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leg" vbProcedure="false">In!$E$126</definedName>
    <definedName function="false" hidden="false" name="ai_leg_lo" vbProcedure="false">In!$D$126</definedName>
    <definedName function="false" hidden="false" name="ai_rr" vbProcedure="false">In!$E$87</definedName>
    <definedName function="false" hidden="false" name="ant_sh" vbProcedure="false">In!$E$120</definedName>
    <definedName function="false" hidden="false" name="ant_sh_hi" vbProcedure="false">In!$F$120</definedName>
    <definedName function="false" hidden="false" name="ant_sh_lo" vbProcedure="false">In!$D$120</definedName>
    <definedName function="false" hidden="false" name="ant_val" vbProcedure="false">In!$E$119</definedName>
    <definedName function="false" hidden="false" name="beta" vbProcedure="false">In!$E$14</definedName>
    <definedName function="false" hidden="false" name="beta_gf" vbProcedure="false">In!$E$13</definedName>
    <definedName function="false" hidden="false" name="beta_hi" vbProcedure="false">In!$F$14</definedName>
    <definedName function="false" hidden="false" name="beta_lo" vbProcedure="false">In!$D$14</definedName>
    <definedName function="false" hidden="false" name="beta_sa" vbProcedure="false">In!$E$12</definedName>
    <definedName function="false" hidden="false" name="capex_g26" vbProcedure="false">In!$E$85</definedName>
    <definedName function="false" hidden="false" name="cash_q2" vbProcedure="false">In!$E$109</definedName>
    <definedName function="false" hidden="false" name="cf_chip" vbProcedure="false">In!$E$80</definedName>
    <definedName function="false" hidden="false" name="cf_chip_lo" vbProcedure="false">In!$D$80</definedName>
    <definedName function="false" hidden="false" name="cf_cx" vbProcedure="false">In!$E$81</definedName>
    <definedName function="false" hidden="false" name="cf_cx_lo" vbProcedure="false">In!$D$81</definedName>
    <definedName function="false" hidden="false" name="colo_sh" vbProcedure="false">In!$E$82</definedName>
    <definedName function="false" hidden="false" name="colo_sh_hi" vbProcedure="false">In!$F$82</definedName>
    <definedName function="false" hidden="false" name="colo_sh_lo" vbProcedure="false">In!$D$82</definedName>
    <definedName function="false" hidden="false" name="cons_tp" vbProcedure="false">In!$E$9</definedName>
    <definedName function="false" hidden="false" name="cons_tp_hi" vbProcedure="false">In!$F$9</definedName>
    <definedName function="false" hidden="false" name="cons_tp_lo" vbProcedure="false">In!$D$9</definedName>
    <definedName function="false" hidden="false" name="cust_sh" vbProcedure="false">In!$E$76</definedName>
    <definedName function="false" hidden="false" name="cust_sh_hi" vbProcedure="false">In!$F$76</definedName>
    <definedName function="false" hidden="false" name="cust_sh_lo" vbProcedure="false">In!$D$76</definedName>
    <definedName function="false" hidden="false" name="cx_awso" vbProcedure="false">In!$E$90</definedName>
    <definedName function="false" hidden="false" name="cx_awso_hi" vbProcedure="false">In!$F$90</definedName>
    <definedName function="false" hidden="false" name="cx_awso_lo" vbProcedure="false">In!$D$90</definedName>
    <definedName function="false" hidden="false" name="cx_rt" vbProcedure="false">In!$E$101</definedName>
    <definedName function="false" hidden="false" name="c_capex26" vbProcedure="false">In!$E$134</definedName>
    <definedName function="false" hidden="false" name="c_capex27" vbProcedure="false">In!$E$141</definedName>
    <definedName function="false" hidden="false" name="c_capex28" vbProcedure="false">In!$E$148</definedName>
    <definedName function="false" hidden="false" name="c_ebit26" vbProcedure="false">In!$E$131</definedName>
    <definedName function="false" hidden="false" name="c_ebit27" vbProcedure="false">In!$E$138</definedName>
    <definedName function="false" hidden="false" name="c_ebit28" vbProcedure="false">In!$E$145</definedName>
    <definedName function="false" hidden="false" name="c_ebitda26" vbProcedure="false">In!$E$130</definedName>
    <definedName function="false" hidden="false" name="c_ebitda27" vbProcedure="false">In!$E$137</definedName>
    <definedName function="false" hidden="false" name="c_ebitda28" vbProcedure="false">In!$E$144</definedName>
    <definedName function="false" hidden="false" name="c_eps26" vbProcedure="false">In!$E$133</definedName>
    <definedName function="false" hidden="false" name="c_eps27" vbProcedure="false">In!$E$140</definedName>
    <definedName function="false" hidden="false" name="c_eps28" vbProcedure="false">In!$E$147</definedName>
    <definedName function="false" hidden="false" name="c_fcf26" vbProcedure="false">In!$E$135</definedName>
    <definedName function="false" hidden="false" name="c_fcf27" vbProcedure="false">In!$E$142</definedName>
    <definedName function="false" hidden="false" name="c_fcf28" vbProcedure="false">In!$E$149</definedName>
    <definedName function="false" hidden="false" name="c_ni26" vbProcedure="false">In!$E$132</definedName>
    <definedName function="false" hidden="false" name="c_ni27" vbProcedure="false">In!$E$139</definedName>
    <definedName function="false" hidden="false" name="c_ni28" vbProcedure="false">In!$E$146</definedName>
    <definedName function="false" hidden="false" name="c_rev26" vbProcedure="false">In!$E$129</definedName>
    <definedName function="false" hidden="false" name="c_rev27" vbProcedure="false">In!$E$136</definedName>
    <definedName function="false" hidden="false" name="c_rev28" vbProcedure="false">In!$E$143</definedName>
    <definedName function="false" hidden="false" name="c_speps26" vbProcedure="false">In!$E$152</definedName>
    <definedName function="false" hidden="false" name="c_speps26_hi" vbProcedure="false">In!$F$152</definedName>
    <definedName function="false" hidden="false" name="c_speps26_lo" vbProcedure="false">In!$D$152</definedName>
    <definedName function="false" hidden="false" name="c_speps27" vbProcedure="false">In!$E$153</definedName>
    <definedName function="false" hidden="false" name="c_sprev26" vbProcedure="false">In!$E$150</definedName>
    <definedName function="false" hidden="false" name="c_sprev26_hi" vbProcedure="false">In!$F$150</definedName>
    <definedName function="false" hidden="false" name="c_sprev26_lo" vbProcedure="false">In!$D$150</definedName>
    <definedName function="false" hidden="false" name="c_sprev27" vbProcedure="false">In!$E$151</definedName>
    <definedName function="false" hidden="false" name="debt_q2" vbProcedure="false">In!$E$20</definedName>
    <definedName function="false" hidden="false" name="dps" vbProcedure="false">In!$E$117</definedName>
    <definedName function="false" hidden="false" name="erp" vbProcedure="false">In!$E$15</definedName>
    <definedName function="false" hidden="false" name="erp_hi" vbProcedure="false">In!$F$15</definedName>
    <definedName function="false" hidden="false" name="erp_lo" vbProcedure="false">In!$D$15</definedName>
    <definedName function="false" hidden="false" name="ext_sh" vbProcedure="false">In!$E$41</definedName>
    <definedName function="false" hidden="false" name="ext_sh_hi" vbProcedure="false">In!$F$41</definedName>
    <definedName function="false" hidden="false" name="ext_sh_lo" vbProcedure="false">In!$D$41</definedName>
    <definedName function="false" hidden="false" name="fac_life" vbProcedure="false">In!$E$62</definedName>
    <definedName function="false" hidden="false" name="fac_life_hi" vbProcedure="false">In!$F$62</definedName>
    <definedName function="false" hidden="false" name="fac_life_lo" vbProcedure="false">In!$D$62</definedName>
    <definedName function="false" hidden="false" name="fin_debt" vbProcedure="false">In!$E$23</definedName>
    <definedName function="false" hidden="false" name="fin_obl" vbProcedure="false">In!$E$22</definedName>
    <definedName function="false" hidden="false" name="fl_pv" vbProcedure="false">In!$E$21</definedName>
    <definedName function="false" hidden="false" name="fx_gbp" vbProcedure="false">In!$E$113</definedName>
    <definedName function="false" hidden="false" name="g26q3_hi" vbProcedure="false">In!$E$155</definedName>
    <definedName function="false" hidden="false" name="g26q3_lo" vbProcedure="false">In!$E$154</definedName>
    <definedName function="false" hidden="false" name="g26q3_mid" vbProcedure="false">In!$E$158</definedName>
    <definedName function="false" hidden="false" name="g26q3_oihi" vbProcedure="false">In!$E$157</definedName>
    <definedName function="false" hidden="false" name="g26q3_oilo" vbProcedure="false">In!$E$156</definedName>
    <definedName function="false" hidden="false" name="g_ad" vbProcedure="false">In!$E$95</definedName>
    <definedName function="false" hidden="false" name="g_ad_hi" vbProcedure="false">In!$F$95</definedName>
    <definedName function="false" hidden="false" name="g_ad_lo" vbProcedure="false">In!$D$95</definedName>
    <definedName function="false" hidden="false" name="g_awso_lt" vbProcedure="false">In!$E$89</definedName>
    <definedName function="false" hidden="false" name="g_awso_lt_hi" vbProcedure="false">In!$F$89</definedName>
    <definedName function="false" hidden="false" name="g_awso_lt_lo" vbProcedure="false">In!$D$89</definedName>
    <definedName function="false" hidden="false" name="g_os" vbProcedure="false">In!$E$92</definedName>
    <definedName function="false" hidden="false" name="g_os_hi" vbProcedure="false">In!$F$92</definedName>
    <definedName function="false" hidden="false" name="g_os_lo" vbProcedure="false">In!$D$92</definedName>
    <definedName function="false" hidden="false" name="g_ot" vbProcedure="false">In!$E$97</definedName>
    <definedName function="false" hidden="false" name="g_ot_hi" vbProcedure="false">In!$F$97</definedName>
    <definedName function="false" hidden="false" name="g_ot_lo" vbProcedure="false">In!$D$97</definedName>
    <definedName function="false" hidden="false" name="g_ps" vbProcedure="false">In!$E$93</definedName>
    <definedName function="false" hidden="false" name="g_ps_hi" vbProcedure="false">In!$F$93</definedName>
    <definedName function="false" hidden="false" name="g_ps_lo" vbProcedure="false">In!$D$93</definedName>
    <definedName function="false" hidden="false" name="g_sp" vbProcedure="false">In!$E$94</definedName>
    <definedName function="false" hidden="false" name="g_sp_hi" vbProcedure="false">In!$F$94</definedName>
    <definedName function="false" hidden="false" name="g_sp_lo" vbProcedure="false">In!$D$94</definedName>
    <definedName function="false" hidden="false" name="g_sub" vbProcedure="false">In!$E$96</definedName>
    <definedName function="false" hidden="false" name="g_sub_hi" vbProcedure="false">In!$F$96</definedName>
    <definedName function="false" hidden="false" name="g_sub_lo" vbProcedure="false">In!$D$96</definedName>
    <definedName function="false" hidden="false" name="he_open" vbProcedure="false">In!$E$73</definedName>
    <definedName function="false" hidden="false" name="internal_ai_reading" vbProcedure="false">In!$E$86</definedName>
    <definedName function="false" hidden="false" name="internal_ai_reading_lo" vbProcedure="false">In!$D$86</definedName>
    <definedName function="false" hidden="false" name="inv_2h26" vbProcedure="false">In!$E$116</definedName>
    <definedName function="false" hidden="false" name="iss_2h26" vbProcedure="false">In!$E$114</definedName>
    <definedName function="false" hidden="false" name="iss_gbp" vbProcedure="false">In!$E$112</definedName>
    <definedName function="false" hidden="false" name="iss_t" vbProcedure="false">In!$E$115</definedName>
    <definedName function="false" hidden="false" name="iss_usd" vbProcedure="false">In!$E$111</definedName>
    <definedName function="false" hidden="false" name="kd" vbProcedure="false">In!$E$18</definedName>
    <definedName function="false" hidden="false" name="kd_book" vbProcedure="false">In!$E$107</definedName>
    <definedName function="false" hidden="false" name="kd_new" vbProcedure="false">In!$E$16</definedName>
    <definedName function="false" hidden="false" name="kd_spr" vbProcedure="false">In!$E$17</definedName>
    <definedName function="false" hidden="false" name="kd_spr_hi" vbProcedure="false">In!$F$17</definedName>
    <definedName function="false" hidden="false" name="kd_spr_lo" vbProcedure="false">In!$D$17</definedName>
    <definedName function="false" hidden="false" name="ke" vbProcedure="false">In!$E$24</definedName>
    <definedName function="false" hidden="false" name="k_A" vbProcedure="false">In!$E$66</definedName>
    <definedName function="false" hidden="false" name="k_B" vbProcedure="false">In!$E$67</definedName>
    <definedName function="false" hidden="false" name="k_C" vbProcedure="false">In!$E$68</definedName>
    <definedName function="false" hidden="false" name="k_long" vbProcedure="false">In!$E$64</definedName>
    <definedName function="false" hidden="false" name="k_long_lo" vbProcedure="false">In!$D$64</definedName>
    <definedName function="false" hidden="false" name="k_spot" vbProcedure="false">In!$E$65</definedName>
    <definedName function="false" hidden="false" name="k_spot_hi" vbProcedure="false">In!$F$65</definedName>
    <definedName function="false" hidden="false" name="lease_pr" vbProcedure="false">In!$E$105</definedName>
    <definedName function="false" hidden="false" name="lease_pr_hi" vbProcedure="false">In!$F$105</definedName>
    <definedName function="false" hidden="false" name="lease_pr_lo" vbProcedure="false">In!$D$105</definedName>
    <definedName function="false" hidden="false" name="liq_disc" vbProcedure="false">In!$E$123</definedName>
    <definedName function="false" hidden="false" name="liq_disc_hi" vbProcedure="false">In!$F$123</definedName>
    <definedName function="false" hidden="false" name="liq_disc_lo" vbProcedure="false">In!$D$123</definedName>
    <definedName function="false" hidden="false" name="long_sh" vbProcedure="false">In!$E$42</definedName>
    <definedName function="false" hidden="false" name="long_sh_hi" vbProcedure="false">In!$F$42</definedName>
    <definedName function="false" hidden="false" name="long_sh_lo" vbProcedure="false">In!$D$42</definedName>
    <definedName function="false" hidden="false" name="min_cash" vbProcedure="false">In!$E$110</definedName>
    <definedName function="false" hidden="false" name="min_cash_hi" vbProcedure="false">In!$F$110</definedName>
    <definedName function="false" hidden="false" name="min_cash_lo" vbProcedure="false">In!$D$110</definedName>
    <definedName function="false" hidden="false" name="mo_gb200" vbProcedure="false">In!$E$71</definedName>
    <definedName function="false" hidden="false" name="mo_gb300" vbProcedure="false">In!$E$72</definedName>
    <definedName function="false" hidden="false" name="mo_h100" vbProcedure="false">In!$E$70</definedName>
    <definedName function="false" hidden="false" name="mo_trn2" vbProcedure="false">In!$E$69</definedName>
    <definedName function="false" hidden="false" name="mw_open" vbProcedure="false">In!$E$37</definedName>
    <definedName function="false" hidden="false" name="mw_open_hi" vbProcedure="false">In!$F$37</definedName>
    <definedName function="false" hidden="false" name="mw_open_lo" vbProcedure="false">In!$D$37</definedName>
    <definedName function="false" hidden="false" name="mw_ye23" vbProcedure="false">In!$E$34</definedName>
    <definedName function="false" hidden="false" name="mw_ye24" vbProcedure="false">In!$E$35</definedName>
    <definedName function="false" hidden="false" name="mw_ye25" vbProcedure="false">In!$E$36</definedName>
    <definedName function="false" hidden="false" name="mw_ye25_hi" vbProcedure="false">In!$F$36</definedName>
    <definedName function="false" hidden="false" name="mw_ye25_lo" vbProcedure="false">In!$D$36</definedName>
    <definedName function="false" hidden="false" name="m_ad" vbProcedure="false">In!$E$98</definedName>
    <definedName function="false" hidden="false" name="m_ads" vbProcedure="false">Val!$C$60</definedName>
    <definedName function="false" hidden="false" name="m_ad_hi" vbProcedure="false">In!$F$98</definedName>
    <definedName function="false" hidden="false" name="m_ad_lo" vbProcedure="false">In!$D$98</definedName>
    <definedName function="false" hidden="false" name="m_ai" vbProcedure="false">In!$E$124</definedName>
    <definedName function="false" hidden="false" name="m_ai_hi" vbProcedure="false">In!$F$124</definedName>
    <definedName function="false" hidden="false" name="m_ai_lo" vbProcedure="false">In!$D$124</definedName>
    <definedName function="false" hidden="false" name="m_cloud" vbProcedure="false">Val!$C$61</definedName>
    <definedName function="false" hidden="false" name="m_retail" vbProcedure="false">Val!$C$59</definedName>
    <definedName function="false" hidden="false" name="m_x" vbProcedure="false">In!$E$127</definedName>
    <definedName function="false" hidden="false" name="m_x_hi" vbProcedure="false">In!$F$127</definedName>
    <definedName function="false" hidden="false" name="m_x_lo" vbProcedure="false">In!$D$127</definedName>
    <definedName function="false" hidden="false" name="na_vr26" vbProcedure="false">In!$E$77</definedName>
    <definedName function="false" hidden="false" name="na_vr27" vbProcedure="false">In!$E$78</definedName>
    <definedName function="false" hidden="false" name="na_vr28" vbProcedure="false">In!$E$79</definedName>
    <definedName function="false" hidden="false" name="oai_sh" vbProcedure="false">In!$E$122</definedName>
    <definedName function="false" hidden="false" name="oai_val" vbProcedure="false">In!$E$121</definedName>
    <definedName function="false" hidden="false" name="oth_r" vbProcedure="false">In!$E$104</definedName>
    <definedName function="false" hidden="false" name="oth_r_hi" vbProcedure="false">In!$F$104</definedName>
    <definedName function="false" hidden="false" name="oth_r_lo" vbProcedure="false">In!$D$104</definedName>
    <definedName function="false" hidden="false" name="ox_open" vbProcedure="false">In!$E$74</definedName>
    <definedName function="false" hidden="false" name="pace_A" vbProcedure="false">In!$E$38</definedName>
    <definedName function="false" hidden="false" name="pace_B" vbProcedure="false">In!$E$39</definedName>
    <definedName function="false" hidden="false" name="pace_C" vbProcedure="false">In!$E$40</definedName>
    <definedName function="false" hidden="false" name="px" vbProcedure="false">In!$E$5</definedName>
    <definedName function="false" hidden="false" name="p_list" vbProcedure="false">In!$E$44</definedName>
    <definedName function="false" hidden="false" name="p_long" vbProcedure="false">In!$E$45</definedName>
    <definedName function="false" hidden="false" name="p_long_lo" vbProcedure="false">In!$E$46</definedName>
    <definedName function="false" hidden="false" name="p_spot" vbProcedure="false">In!$E$43</definedName>
    <definedName function="false" hidden="false" name="rent_mw" vbProcedure="false">In!$E$84</definedName>
    <definedName function="false" hidden="false" name="rent_rec" vbProcedure="false">In!$E$83</definedName>
    <definedName function="false" hidden="false" name="rf" vbProcedure="false">In!$E$11</definedName>
    <definedName function="false" hidden="false" name="ronic" vbProcedure="false">In!$E$27</definedName>
    <definedName function="false" hidden="false" name="ronic_hi" vbProcedure="false">In!$F$27</definedName>
    <definedName function="false" hidden="false" name="rpm_open" vbProcedure="false">In!$E$75</definedName>
    <definedName function="false" hidden="false" name="sbc_ab" vbProcedure="false">In!$E$125</definedName>
    <definedName function="false" hidden="false" name="sbc_ab_lo" vbProcedure="false">In!$D$125</definedName>
    <definedName function="false" hidden="false" name="sbc_r" vbProcedure="false">In!$E$103</definedName>
    <definedName function="false" hidden="false" name="sh_awd" vbProcedure="false">In!$E$7</definedName>
    <definedName function="false" hidden="false" name="sh_g" vbProcedure="false">In!$E$106</definedName>
    <definedName function="false" hidden="false" name="sh_g_hi" vbProcedure="false">In!$F$106</definedName>
    <definedName function="false" hidden="false" name="sh_g_lo" vbProcedure="false">In!$D$106</definedName>
    <definedName function="false" hidden="false" name="sh_out" vbProcedure="false">In!$E$6</definedName>
    <definedName function="false" hidden="false" name="sh_val" vbProcedure="false">In!$E$8</definedName>
    <definedName function="false" hidden="false" name="step_in" vbProcedure="false">In!$E$100</definedName>
    <definedName function="false" hidden="false" name="step_in_hi" vbProcedure="false">In!$F$100</definedName>
    <definedName function="false" hidden="false" name="step_in_lo" vbProcedure="false">In!$D$100</definedName>
    <definedName function="false" hidden="false" name="step_na" vbProcedure="false">In!$E$99</definedName>
    <definedName function="false" hidden="false" name="step_na_hi" vbProcedure="false">In!$F$99</definedName>
    <definedName function="false" hidden="false" name="step_na_lo" vbProcedure="false">In!$D$99</definedName>
    <definedName function="false" hidden="false" name="tax" vbProcedure="false">In!$E$19</definedName>
    <definedName function="false" hidden="false" name="tax_hi" vbProcedure="false">In!$F$19</definedName>
    <definedName function="false" hidden="false" name="tax_lo" vbProcedure="false">In!$D$19</definedName>
    <definedName function="false" hidden="false" name="tg" vbProcedure="false">In!$E$26</definedName>
    <definedName function="false" hidden="false" name="tg_hi" vbProcedure="false">In!$F$26</definedName>
    <definedName function="false" hidden="false" name="tg_lo" vbProcedure="false">In!$D$26</definedName>
    <definedName function="false" hidden="false" name="tk_cx_gb200" vbProcedure="false">In!$E$52</definedName>
    <definedName function="false" hidden="false" name="tk_cx_gb300" vbProcedure="false">In!$E$53</definedName>
    <definedName function="false" hidden="false" name="tk_cx_h100" vbProcedure="false">In!$E$51</definedName>
    <definedName function="false" hidden="false" name="tk_cx_vr200" vbProcedure="false">In!$E$54</definedName>
    <definedName function="false" hidden="false" name="tk_fac" vbProcedure="false">In!$E$60</definedName>
    <definedName function="false" hidden="false" name="tk_gpuhr" vbProcedure="false">In!$E$59</definedName>
    <definedName function="false" hidden="false" name="tk_he_gb200" vbProcedure="false">In!$E$48</definedName>
    <definedName function="false" hidden="false" name="tk_he_gb300" vbProcedure="false">In!$E$49</definedName>
    <definedName function="false" hidden="false" name="tk_he_h100" vbProcedure="false">In!$E$47</definedName>
    <definedName function="false" hidden="false" name="tk_he_vr200" vbProcedure="false">In!$E$50</definedName>
    <definedName function="false" hidden="false" name="tk_life" vbProcedure="false">In!$E$61</definedName>
    <definedName function="false" hidden="false" name="tk_life_hi" vbProcedure="false">In!$F$61</definedName>
    <definedName function="false" hidden="false" name="tk_life_lo" vbProcedure="false">In!$D$61</definedName>
    <definedName function="false" hidden="false" name="tk_ox_gb200" vbProcedure="false">In!$E$56</definedName>
    <definedName function="false" hidden="false" name="tk_ox_gb300" vbProcedure="false">In!$E$57</definedName>
    <definedName function="false" hidden="false" name="tk_ox_h100" vbProcedure="false">In!$E$55</definedName>
    <definedName function="false" hidden="false" name="tk_ox_vr200" vbProcedure="false">In!$E$58</definedName>
    <definedName function="false" hidden="false" name="tk_pq" vbProcedure="false">In!$E$63</definedName>
    <definedName function="false" hidden="false" name="tk_pq_hi" vbProcedure="false">In!$F$63</definedName>
    <definedName function="false" hidden="false" name="tk_pq_lo" vbProcedure="false">In!$D$63</definedName>
    <definedName function="false" hidden="false" name="tp_yf" vbProcedure="false">In!$E$32</definedName>
    <definedName function="false" hidden="false" name="v022_px" vbProcedure="false">In!$E$161</definedName>
    <definedName function="false" hidden="false" name="v022_tp" vbProcedure="false">In!$E$160</definedName>
    <definedName function="false" hidden="false" name="v022_wdcf" vbProcedure="false">In!$E$162</definedName>
    <definedName function="false" hidden="false" name="wacc" vbProcedure="false">In!$E$25</definedName>
    <definedName function="false" hidden="false" name="w_A" vbProcedure="false">In!$E$29</definedName>
    <definedName function="false" hidden="false" name="w_B" vbProcedure="false">In!$E$30</definedName>
    <definedName function="false" hidden="false" name="w_C" vbProcedure="false">In!$E$31</definedName>
    <definedName function="false" hidden="false" name="w_dcf" vbProcedure="false">In!$E$28</definedName>
    <definedName function="false" hidden="false" name="y_cash" vbProcedure="false">In!$E$108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<sst xmlns="http://schemas.openxmlformats.org/spreadsheetml/2006/main" count="29270" uniqueCount="1463">
  <si>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（命題模組＋官方營收分部 → 損益表）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</si>
  <si>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（架構重建；取代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CoreWeave </t>
    </r>
    <r>
      <rPr>
        <sz val="11"/>
        <rFont val="Noto Sans CJK SC"/>
        <family val="2"/>
      </rPr>
      <t xml:space="preserve">式收支引擎，舊引擎移至 </t>
    </r>
    <r>
      <rPr>
        <sz val="11"/>
        <rFont val="Cambria"/>
        <family val="0"/>
        <charset val="1"/>
      </rPr>
      <t xml:space="preserve">legacy_v0.2/</t>
    </r>
    <r>
      <rPr>
        <sz val="11"/>
        <rFont val="Noto Sans CJK SC"/>
        <family val="2"/>
      </rPr>
      <t xml:space="preserve">）。資料截至 </t>
    </r>
    <r>
      <rPr>
        <sz val="11"/>
        <rFont val="Cambria"/>
        <family val="0"/>
        <charset val="1"/>
      </rPr>
      <t xml:space="preserve">2026Q2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10-Q 2026-07-31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＝上半年實績＋下半年模型；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公布後以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滾入。</t>
    </r>
  </si>
  <si>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）能否以高於資金成本的報酬變現，零售與廣告的現金流能否支應資本支出。</t>
    </r>
  </si>
  <si>
    <r>
      <rPr>
        <b val="true"/>
        <sz val="11"/>
        <rFont val="Noto Sans CJK SC"/>
        <family val="2"/>
      </rPr>
      <t xml:space="preserve">核心問題：</t>
    </r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營業利益率與自由現金流（扣股利後）是否轉正並維持。</t>
    </r>
  </si>
  <si>
    <t xml:space="preserve">驅動 → 推導對照表（每頁輸入、推導量、因果方向）</t>
  </si>
  <si>
    <r>
      <rPr>
        <sz val="11"/>
        <rFont val="Cambria"/>
        <family val="0"/>
        <charset val="1"/>
      </rPr>
      <t xml:space="preserve">In → Thesis</t>
    </r>
    <r>
      <rPr>
        <sz val="11"/>
        <rFont val="Noto Sans CJK SC"/>
        <family val="2"/>
      </rPr>
      <t xml:space="preserve">：對外 </t>
    </r>
    <r>
      <rPr>
        <sz val="11"/>
        <rFont val="Cambria"/>
        <family val="0"/>
        <charset val="1"/>
      </rPr>
      <t xml:space="preserve">AI MW</t>
    </r>
    <r>
      <rPr>
        <sz val="11"/>
        <rFont val="Noto Sans CJK SC"/>
        <family val="2"/>
      </rPr>
      <t xml:space="preserve">（期初 </t>
    </r>
    <r>
      <rPr>
        <sz val="11"/>
        <rFont val="Cambria"/>
        <family val="0"/>
        <charset val="1"/>
      </rPr>
      <t xml:space="preserve">2,080 MW</t>
    </r>
    <r>
      <rPr>
        <sz val="11"/>
        <rFont val="Noto Sans CJK SC"/>
        <family val="2"/>
      </rPr>
      <t xml:space="preserve">、每年新增 </t>
    </r>
    <r>
      <rPr>
        <sz val="11"/>
        <rFont val="Cambria"/>
        <family val="0"/>
        <charset val="1"/>
      </rPr>
      <t xml:space="preserve">pace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Tokenomics IF_HoldEcon × k → AWS AI </t>
    </r>
    <r>
      <rPr>
        <sz val="11"/>
        <rFont val="Noto Sans CJK SC"/>
        <family val="2"/>
      </rPr>
      <t xml:space="preserve">營收；新增 </t>
    </r>
    <r>
      <rPr>
        <sz val="11"/>
        <rFont val="Cambria"/>
        <family val="0"/>
        <charset val="1"/>
      </rPr>
      <t xml:space="preserve">MW ÷ </t>
    </r>
    <r>
      <rPr>
        <sz val="11"/>
        <rFont val="Noto Sans CJK SC"/>
        <family val="2"/>
      </rPr>
      <t xml:space="preserve">對外比例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IT</t>
    </r>
    <r>
      <rPr>
        <sz val="11"/>
        <rFont val="Noto Sans CJK SC"/>
        <family val="2"/>
      </rPr>
      <t xml:space="preserve">＋自建機房成本）→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 → </t>
    </r>
    <r>
      <rPr>
        <sz val="11"/>
        <rFont val="Cambria"/>
        <family val="0"/>
        <charset val="1"/>
      </rPr>
      <t xml:space="preserve">IT 6 </t>
    </r>
    <r>
      <rPr>
        <sz val="11"/>
        <rFont val="Noto Sans CJK SC"/>
        <family val="2"/>
      </rPr>
      <t xml:space="preserve">年／機房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年折舊 → </t>
    </r>
    <r>
      <rPr>
        <sz val="11"/>
        <rFont val="Cambria"/>
        <family val="0"/>
        <charset val="1"/>
      </rPr>
      <t xml:space="preserve">AWS AI </t>
    </r>
    <r>
      <rPr>
        <sz val="11"/>
        <rFont val="Noto Sans CJK SC"/>
        <family val="2"/>
      </rPr>
      <t xml:space="preserve">營業利益（對外）與自用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成本（零售）。</t>
    </r>
  </si>
  <si>
    <r>
      <rPr>
        <sz val="11"/>
        <rFont val="Cambria"/>
        <family val="0"/>
        <charset val="1"/>
      </rPr>
      <t xml:space="preserve">In → Seg</t>
    </r>
    <r>
      <rPr>
        <sz val="11"/>
        <rFont val="Noto Sans CJK SC"/>
        <family val="2"/>
      </rPr>
      <t xml:space="preserve">：零售六條營收線（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2H25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2H25 </t>
    </r>
    <r>
      <rPr>
        <sz val="11"/>
        <rFont val="Noto Sans CJK SC"/>
        <family val="2"/>
      </rPr>
      <t xml:space="preserve">年增）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校準係數〔隱含 </t>
    </r>
    <r>
      <rPr>
        <sz val="11"/>
        <rFont val="Cambria"/>
        <family val="0"/>
        <charset val="1"/>
      </rPr>
      <t xml:space="preserve">2026Q3</t>
    </r>
    <r>
      <rPr>
        <sz val="11"/>
        <rFont val="Noto Sans CJK SC"/>
        <family val="2"/>
      </rPr>
      <t xml:space="preserve">＝指引中點〕，之後收斂到長期年增）→ 零售合計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北美比例 → </t>
    </r>
    <r>
      <rPr>
        <sz val="11"/>
        <rFont val="Cambria"/>
        <family val="0"/>
        <charset val="1"/>
      </rPr>
      <t xml:space="preserve">North America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International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其他（殘差起算、收斂到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</si>
  <si>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Thesis → PL</t>
    </r>
    <r>
      <rPr>
        <sz val="11"/>
        <rFont val="Noto Sans CJK SC"/>
        <family val="2"/>
      </rPr>
      <t xml:space="preserve">：北美／國際營業利益＝廣告營收 </t>
    </r>
    <r>
      <rPr>
        <sz val="11"/>
        <rFont val="Cambria"/>
        <family val="0"/>
        <charset val="1"/>
      </rPr>
      <t xml:space="preserve">× 50%</t>
    </r>
    <r>
      <rPr>
        <sz val="11"/>
        <rFont val="Noto Sans CJK SC"/>
        <family val="2"/>
      </rPr>
      <t xml:space="preserve">＋零售本業營收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本業利益率（實績殘差＋每年改善）− 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成本；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營業利益＝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近四季利益率 → 合併營業利益 → 利息（</t>
    </r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）、稅 </t>
    </r>
    <r>
      <rPr>
        <sz val="11"/>
        <rFont val="Cambria"/>
        <family val="0"/>
        <charset val="1"/>
      </rPr>
      <t xml:space="preserve">17.4% → </t>
    </r>
    <r>
      <rPr>
        <sz val="11"/>
        <rFont val="Noto Sans CJK SC"/>
        <family val="2"/>
      </rPr>
      <t xml:space="preserve">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</si>
  <si>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 → CF</t>
    </r>
    <r>
      <rPr>
        <sz val="11"/>
        <rFont val="Noto Sans CJK SC"/>
        <family val="2"/>
      </rPr>
      <t xml:space="preserve">：淨利＋分部折舊＋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＋其他 − 資本支出（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＋零售 </t>
    </r>
    <r>
      <rPr>
        <sz val="11"/>
        <rFont val="Cambria"/>
        <family val="0"/>
        <charset val="1"/>
      </rPr>
      <t xml:space="preserve">5.9%</t>
    </r>
    <r>
      <rPr>
        <sz val="11"/>
        <rFont val="Noto Sans CJK SC"/>
        <family val="2"/>
      </rPr>
      <t xml:space="preserve">）− 融資租賃本金 → 自由現金流；股利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、回購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；現金低於 </t>
    </r>
    <r>
      <rPr>
        <sz val="11"/>
        <rFont val="Cambria"/>
        <family val="0"/>
        <charset val="1"/>
      </rPr>
      <t xml:space="preserve">50 </t>
    </r>
    <r>
      <rPr>
        <sz val="11"/>
        <rFont val="Noto Sans CJK SC"/>
        <family val="2"/>
      </rPr>
      <t xml:space="preserve">即舉債 → 利息費用回到 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</si>
  <si>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CF →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FCFF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RONIC </t>
    </r>
    <r>
      <rPr>
        <sz val="11"/>
        <rFont val="Noto Sans CJK SC"/>
        <family val="2"/>
      </rPr>
      <t xml:space="preserve">永續）＋分部加總（廣告、零售本業、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其他、</t>
    </r>
    <r>
      <rPr>
        <sz val="11"/>
        <rFont val="Cambria"/>
        <family val="0"/>
        <charset val="1"/>
      </rPr>
      <t xml:space="preserve">AWS AI × </t>
    </r>
    <r>
      <rPr>
        <sz val="11"/>
        <rFont val="Noto Sans CJK SC"/>
        <family val="2"/>
      </rPr>
      <t xml:space="preserve">同業倍數）＋持股（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）→ 情境目標價 → 情境加權 → 上檔空間 → 投資建議。</t>
    </r>
  </si>
  <si>
    <r>
      <rPr>
        <sz val="11"/>
        <rFont val="Noto Sans CJK SC"/>
        <family val="2"/>
      </rPr>
      <t xml:space="preserve">工作表：</t>
    </r>
    <r>
      <rPr>
        <sz val="11"/>
        <rFont val="Cambria"/>
        <family val="0"/>
        <charset val="1"/>
      </rPr>
      <t xml:space="preserve">README → In</t>
    </r>
    <r>
      <rPr>
        <sz val="11"/>
        <rFont val="Noto Sans CJK SC"/>
        <family val="2"/>
      </rPr>
      <t xml:space="preserve">（輸入）→ </t>
    </r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（實績與核對）→ </t>
    </r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（命題模組）→ </t>
    </r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（營收分部）→ </t>
    </r>
    <r>
      <rPr>
        <sz val="11"/>
        <rFont val="Cambria"/>
        <family val="0"/>
        <charset val="1"/>
      </rPr>
      <t xml:space="preserve">PL → CF → Val → Recon</t>
    </r>
    <r>
      <rPr>
        <sz val="11"/>
        <rFont val="Noto Sans CJK SC"/>
        <family val="2"/>
      </rPr>
      <t xml:space="preserve">（共識、指引、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（敏感度）→ </t>
    </r>
    <r>
      <rPr>
        <sz val="11"/>
        <rFont val="Cambria"/>
        <family val="0"/>
        <charset val="1"/>
      </rPr>
      <t xml:space="preserve">Sources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</si>
  <si>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。沿用 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規格（</t>
    </r>
    <r>
      <rPr>
        <sz val="11"/>
        <rFont val="Cambria"/>
        <family val="0"/>
        <charset val="1"/>
      </rPr>
      <t xml:space="preserve">kspec.py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C10 </t>
    </r>
    <r>
      <rPr>
        <sz val="11"/>
        <rFont val="Noto Sans CJK SC"/>
        <family val="2"/>
      </rPr>
      <t xml:space="preserve">基準速度、對外比例、</t>
    </r>
    <r>
      <rPr>
        <sz val="11"/>
        <rFont val="Cambria"/>
        <family val="0"/>
        <charset val="1"/>
      </rPr>
      <t xml:space="preserve">Tokenomics v21.4 </t>
    </r>
    <r>
      <rPr>
        <sz val="11"/>
        <rFont val="Noto Sans CJK SC"/>
        <family val="2"/>
      </rPr>
      <t xml:space="preserve">快照、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輸入、持股與同業倍數。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</si>
  <si>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、對外比例與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營收，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其他的歷史分拆為估計；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分部共識未找到；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同業倍數與 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輸入沿用 </t>
    </r>
    <r>
      <rPr>
        <sz val="11"/>
        <rFont val="Cambria"/>
        <family val="0"/>
        <charset val="1"/>
      </rPr>
      <t xml:space="preserve">2026-10-07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到期債務假設全數再融資；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讀法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為主值（</t>
    </r>
    <r>
      <rPr>
        <sz val="11"/>
        <rFont val="Cambria"/>
        <family val="0"/>
        <charset val="1"/>
      </rPr>
      <t xml:space="preserve">C16 </t>
    </r>
    <r>
      <rPr>
        <sz val="11"/>
        <rFont val="Noto Sans CJK SC"/>
        <family val="2"/>
      </rPr>
      <t xml:space="preserve">待決）。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</si>
  <si>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、每股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。每列一個鍵（定義名稱＝鍵）；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</si>
  <si>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已核准的參數與證據（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 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快照），出處見 </t>
    </r>
    <r>
      <rPr>
        <sz val="11"/>
        <color theme="1"/>
        <rFont val="Calibri"/>
        <family val="2"/>
        <charset val="1"/>
      </rPr>
      <t xml:space="preserve">legacy_v0.2/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docs/handoff</t>
    </r>
    <r>
      <rPr>
        <sz val="11"/>
        <color theme="1"/>
        <rFont val="Noto Sans CJK SC"/>
        <family val="2"/>
      </rPr>
      <t xml:space="preserve">。不以公司雲端營收、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run-rate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節）；公司說法只作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</si>
  <si>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</si>
  <si>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</si>
  <si>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</si>
  <si>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</si>
  <si>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</si>
  <si>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</si>
  <si>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</si>
  <si>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</si>
  <si>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</si>
  <si>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價格、股數與共識目標價</t>
    </r>
  </si>
  <si>
    <t xml:space="preserve">px</t>
  </si>
  <si>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</si>
  <si>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</si>
  <si>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</si>
  <si>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S14</t>
    </r>
  </si>
  <si>
    <r>
      <rPr>
        <sz val="11"/>
        <color theme="1"/>
        <rFont val="Noto Sans CJK SC"/>
        <family val="2"/>
      </rPr>
      <t xml:space="preserve">前收 </t>
    </r>
    <r>
      <rPr>
        <sz val="11"/>
        <color theme="1"/>
        <rFont val="Calibri"/>
        <family val="2"/>
        <charset val="1"/>
      </rPr>
      <t xml:space="preserve">248.00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）；市值約 </t>
    </r>
    <r>
      <rPr>
        <sz val="11"/>
        <color theme="1"/>
        <rFont val="Calibri"/>
        <family val="2"/>
        <charset val="1"/>
      </rPr>
      <t xml:space="preserve">2.69T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盤中）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</si>
  <si>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</si>
  <si>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</si>
  <si>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</si>
  <si>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t xml:space="preserve">S02</t>
  </si>
  <si>
    <r>
      <rPr>
        <sz val="11"/>
        <color theme="1"/>
        <rFont val="Calibri"/>
        <family val="2"/>
        <charset val="1"/>
      </rPr>
      <t xml:space="preserve">10,786,313,572 </t>
    </r>
    <r>
      <rPr>
        <sz val="11"/>
        <color theme="1"/>
        <rFont val="Noto Sans CJK SC"/>
        <family val="2"/>
      </rPr>
      <t xml:space="preserve">股</t>
    </r>
  </si>
  <si>
    <t xml:space="preserve">sh_awd</t>
  </si>
  <si>
    <r>
      <rPr>
        <sz val="11"/>
        <color theme="1"/>
        <rFont val="Noto Sans CJK SC"/>
        <family val="2"/>
      </rPr>
      <t xml:space="preserve">未歸屬股份獎勵（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</si>
  <si>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244 </t>
    </r>
    <r>
      <rPr>
        <sz val="11"/>
        <color theme="1"/>
        <rFont val="Noto Sans CJK SC"/>
        <family val="2"/>
      </rPr>
      <t xml:space="preserve">百萬股</t>
    </r>
  </si>
  <si>
    <t xml:space="preserve">sh_val</t>
  </si>
  <si>
    <r>
      <rPr>
        <sz val="11"/>
        <color theme="1"/>
        <rFont val="Noto Sans CJK SC"/>
        <family val="2"/>
      </rPr>
      <t xml:space="preserve">分部加總用稀釋股數＝流通股數＋未歸屬獎勵（倍數為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加回口徑，故計入稀釋）</t>
    </r>
  </si>
  <si>
    <t xml:space="preserve">Derived</t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</si>
  <si>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</si>
  <si>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視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為現金成本，改用流通股數 </t>
    </r>
    <r>
      <rPr>
        <sz val="11"/>
        <color theme="1"/>
        <rFont val="Calibri"/>
        <family val="2"/>
        <charset val="1"/>
      </rPr>
      <t xml:space="preserve">sh_out</t>
    </r>
    <r>
      <rPr>
        <sz val="11"/>
        <color theme="1"/>
        <rFont val="Noto Sans CJK SC"/>
        <family val="2"/>
      </rPr>
      <t xml:space="preserve">，不另計稀釋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</si>
  <si>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</si>
  <si>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位平均）</t>
    </r>
  </si>
  <si>
    <t xml:space="preserve">Interested-party</t>
  </si>
  <si>
    <t xml:space="preserve">S15</t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</si>
  <si>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Buy 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Hold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MarketBeat 2026-10-07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322.86</t>
    </r>
    <r>
      <rPr>
        <sz val="11"/>
        <color theme="1"/>
        <rFont val="Noto Sans CJK SC"/>
        <family val="2"/>
      </rPr>
      <t xml:space="preserve">（獨立彙整）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</si>
  <si>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輸入，現價更新）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</si>
  <si>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</si>
  <si>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</si>
  <si>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%</t>
  </si>
  <si>
    <t xml:space="preserve">S28</t>
  </si>
  <si>
    <r>
      <rPr>
        <sz val="11"/>
        <color theme="1"/>
        <rFont val="Noto Sans CJK SC"/>
        <family val="2"/>
      </rPr>
      <t xml:space="preserve">美國財政部每日殖利率曲線：</t>
    </r>
    <r>
      <rPr>
        <sz val="11"/>
        <color theme="1"/>
        <rFont val="Calibri"/>
        <family val="2"/>
        <charset val="1"/>
      </rPr>
      <t xml:space="preserve">10-26 5.00%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10-23 5.00%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4.96%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10-07 5.28%</t>
    </r>
    <r>
      <rPr>
        <sz val="11"/>
        <color theme="1"/>
        <rFont val="Noto Sans CJK SC"/>
        <family val="2"/>
      </rPr>
      <t xml:space="preserve">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</si>
  <si>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</si>
  <si>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年月資料（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同值，推測同源）</t>
    </r>
  </si>
  <si>
    <t xml:space="preserve">x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</si>
  <si>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）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</si>
  <si>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</si>
  <si>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</si>
  <si>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</si>
  <si>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不同資料商、不同期間（</t>
    </r>
    <r>
      <rPr>
        <sz val="11"/>
        <color theme="1"/>
        <rFont val="Calibri"/>
        <family val="2"/>
        <charset val="1"/>
      </rPr>
      <t xml:space="preserve">C13 </t>
    </r>
    <r>
      <rPr>
        <sz val="11"/>
        <color theme="1"/>
        <rFont val="Noto Sans CJK SC"/>
        <family val="2"/>
      </rPr>
      <t xml:space="preserve">獨立來源）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</si>
  <si>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</si>
  <si>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原始＋</t>
    </r>
    <r>
      <rPr>
        <sz val="11"/>
        <color theme="1"/>
        <rFont val="Calibri"/>
        <family val="2"/>
        <charset val="1"/>
      </rPr>
      <t xml:space="preserve">0.33</t>
    </r>
    <r>
      <rPr>
        <sz val="11"/>
        <color theme="1"/>
        <rFont val="Noto Sans CJK SC"/>
        <family val="2"/>
      </rPr>
      <t xml:space="preserve">，兩個獨立來源的中位數）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</si>
  <si>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</si>
  <si>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為原始平均 </t>
    </r>
    <r>
      <rPr>
        <sz val="11"/>
        <color theme="1"/>
        <rFont val="Calibri"/>
        <family val="2"/>
        <charset val="1"/>
      </rPr>
      <t xml:space="preserve">1.5135</t>
    </r>
  </si>
  <si>
    <t xml:space="preserve">erp</t>
  </si>
  <si>
    <t xml:space="preserve">股權風險溢酬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</si>
  <si>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</si>
  <si>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（對照表預設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</si>
  <si>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t xml:space="preserve">kd_new</t>
  </si>
  <si>
    <r>
      <rPr>
        <sz val="11"/>
        <color theme="1"/>
        <rFont val="Noto Sans CJK SC"/>
        <family val="2"/>
      </rPr>
      <t xml:space="preserve">新增借款利率（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新發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票據有效利率；只用於利息費用）</t>
    </r>
  </si>
  <si>
    <r>
      <rPr>
        <sz val="11"/>
        <color theme="1"/>
        <rFont val="Noto Sans CJK SC"/>
        <family val="2"/>
      </rPr>
      <t xml:space="preserve">期後事項：固定票面 </t>
    </r>
    <r>
      <rPr>
        <sz val="11"/>
        <color theme="1"/>
        <rFont val="Calibri"/>
        <family val="2"/>
        <charset val="1"/>
      </rPr>
      <t xml:space="preserve">4.60%–6.25%</t>
    </r>
    <r>
      <rPr>
        <sz val="11"/>
        <color theme="1"/>
        <rFont val="Noto Sans CJK SC"/>
        <family val="2"/>
      </rPr>
      <t xml:space="preserve">、有效 </t>
    </r>
    <r>
      <rPr>
        <sz val="11"/>
        <color theme="1"/>
        <rFont val="Calibri"/>
        <family val="2"/>
        <charset val="1"/>
      </rPr>
      <t xml:space="preserve">4.67%–6.33%</t>
    </r>
  </si>
  <si>
    <t xml:space="preserve">kd_spr</t>
  </si>
  <si>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級公司債約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年期利差（相對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</si>
  <si>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年期公司債殖利率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</si>
  <si>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各期票據的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年期殖利率：未找到（本輪網路搜尋額度用盡）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</si>
  <si>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</si>
  <si>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用）＝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</t>
    </r>
  </si>
  <si>
    <t xml:space="preserve">tax</t>
  </si>
  <si>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有效稅率平均）</t>
    </r>
  </si>
  <si>
    <t xml:space="preserve">S01</t>
  </si>
  <si>
    <r>
      <rPr>
        <sz val="11"/>
        <color theme="1"/>
        <rFont val="Calibri"/>
        <family val="2"/>
        <charset val="1"/>
      </rPr>
      <t xml:space="preserve">18.96%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19.61%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17.36%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上半年不含一次性項目 </t>
    </r>
    <r>
      <rPr>
        <sz val="11"/>
        <color theme="1"/>
        <rFont val="Calibri"/>
        <family val="2"/>
        <charset val="1"/>
      </rPr>
      <t xml:space="preserve">23%</t>
    </r>
  </si>
  <si>
    <t xml:space="preserve">debt_q2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</si>
  <si>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</si>
  <si>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US$bn</t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</si>
  <si>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</si>
  <si>
    <t xml:space="preserve">fl_pv</t>
  </si>
  <si>
    <r>
      <rPr>
        <sz val="11"/>
        <color theme="1"/>
        <rFont val="Noto Sans CJK SC"/>
        <family val="2"/>
      </rPr>
      <t xml:space="preserve">融資租賃負債現值（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</si>
  <si>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</t>
    </r>
  </si>
  <si>
    <t xml:space="preserve">fin_obl</t>
  </si>
  <si>
    <r>
      <rPr>
        <sz val="11"/>
        <color theme="1"/>
        <rFont val="Noto Sans CJK SC"/>
        <family val="2"/>
      </rPr>
      <t xml:space="preserve">融資義務（</t>
    </r>
    <r>
      <rPr>
        <sz val="11"/>
        <color theme="1"/>
        <rFont val="Calibri"/>
        <family val="2"/>
        <charset val="1"/>
      </rPr>
      <t xml:space="preserve">financing obligations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</si>
  <si>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fin_debt</t>
  </si>
  <si>
    <r>
      <rPr>
        <sz val="11"/>
        <color theme="1"/>
        <rFont val="Noto Sans CJK SC"/>
        <family val="2"/>
      </rPr>
      <t xml:space="preserve">類債務（融資租賃＋融資義務；淨負債與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皆計入，模型期間持平）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</si>
  <si>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、核對第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點）</t>
    </r>
  </si>
  <si>
    <t xml:space="preserve">ke</t>
  </si>
  <si>
    <r>
      <rPr>
        <sz val="11"/>
        <color theme="1"/>
        <rFont val="Noto Sans CJK SC"/>
        <family val="2"/>
      </rPr>
      <t xml:space="preserve">股權成本＝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</si>
  <si>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CAPM</t>
  </si>
  <si>
    <t xml:space="preserve">wacc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</si>
  <si>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E/(D+E) × ke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D/(D+E)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＝債務面額＋類債務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</si>
  <si>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12.5%</t>
    </r>
  </si>
  <si>
    <t xml:space="preserve">tg</t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</si>
  <si>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</si>
  <si>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</si>
  <si>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</t>
  </si>
  <si>
    <r>
      <rPr>
        <sz val="11"/>
        <color theme="1"/>
        <rFont val="Noto Sans CJK SC"/>
        <family val="2"/>
      </rPr>
      <t xml:space="preserve">永續期新投資報酬率（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；預設＝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：永續成長不創造價值）</t>
    </r>
  </si>
  <si>
    <r>
      <rPr>
        <sz val="11"/>
        <color theme="1"/>
        <rFont val="Noto Sans CJK SC"/>
        <family val="2"/>
      </rPr>
      <t xml:space="preserve">判斷（報告第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</si>
  <si>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高值＝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</si>
  <si>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</si>
  <si>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</si>
  <si>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</si>
  <si>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</si>
  <si>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</si>
  <si>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</si>
  <si>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</si>
  <si>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100%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</si>
  <si>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</si>
  <si>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</si>
  <si>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</si>
  <si>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（保守）</t>
    </r>
  </si>
  <si>
    <t xml:space="preserve">tp_yf</t>
  </si>
  <si>
    <r>
      <rPr>
        <sz val="11"/>
        <color theme="1"/>
        <rFont val="Noto Sans CJK SC"/>
        <family val="2"/>
      </rPr>
      <t xml:space="preserve">目標價時點（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）距評價基準日（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）年數</t>
    </r>
  </si>
  <si>
    <t xml:space="preserve">年</t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</si>
  <si>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</si>
  <si>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推到目標價時點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</si>
  <si>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AWS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年收入；沿用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）</t>
    </r>
  </si>
  <si>
    <t xml:space="preserve">mw_ye23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</si>
  <si>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</si>
  <si>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</si>
  <si>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</si>
  <si>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；只用於歷史分拆與折舊年份</t>
    </r>
  </si>
  <si>
    <t xml:space="preserve">mw_ye24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</si>
  <si>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年底）</t>
    </r>
  </si>
  <si>
    <t xml:space="preserve">同上</t>
  </si>
  <si>
    <t xml:space="preserve">mw_ye25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</si>
  <si>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</si>
  <si>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Trainium2 1.4M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0.871 kW ≈ 1,220 MW-IT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chip.trn2.mwFromLanded</t>
    </r>
    <r>
      <rPr>
        <sz val="11"/>
        <color theme="1"/>
        <rFont val="Noto Sans CJK SC"/>
        <family val="2"/>
      </rPr>
      <t xml:space="preserve">）</t>
    </r>
  </si>
  <si>
    <t xml:space="preserve">mw_open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</si>
  <si>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）＝在役 </t>
    </r>
    <r>
      <rPr>
        <sz val="11"/>
        <color theme="1"/>
        <rFont val="Calibri"/>
        <family val="2"/>
        <charset val="1"/>
      </rPr>
      <t xml:space="preserve">AI 2,600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</si>
  <si>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S20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</si>
  <si>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推估；第三方估計，區間見事實總帳 </t>
    </r>
    <r>
      <rPr>
        <sz val="11"/>
        <color theme="1"/>
        <rFont val="Calibri"/>
        <family val="2"/>
        <charset val="1"/>
      </rPr>
      <t xml:space="preserve">mw.ai.ext.2026q2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</si>
  <si>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</si>
  <si>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年底容量為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年兩倍」，以 </t>
    </r>
    <r>
      <rPr>
        <sz val="11"/>
        <color theme="1"/>
        <rFont val="Calibri"/>
        <family val="2"/>
        <charset val="1"/>
      </rPr>
      <t xml:space="preserve">MS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</si>
  <si>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</si>
  <si>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scenarios.mwPath.pace.high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S30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</si>
  <si>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+7 GW × AI </t>
    </r>
    <r>
      <rPr>
        <sz val="11"/>
        <color theme="1"/>
        <rFont val="Noto Sans CJK SC"/>
        <family val="2"/>
      </rPr>
      <t xml:space="preserve">占新增 </t>
    </r>
    <r>
      <rPr>
        <sz val="11"/>
        <color theme="1"/>
        <rFont val="Calibri"/>
        <family val="2"/>
        <charset val="1"/>
      </rPr>
      <t xml:space="preserve">80% ÷ PUE 1.2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</si>
  <si>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</si>
  <si>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隱含的建置量，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</si>
  <si>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scripts/calib_pace.js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</si>
  <si>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這是把支出換成實體產能（物理換算），不是以營收反推單價</t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</si>
  <si>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</si>
  <si>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相同：資本支出照指引投入，下檔在變現）</t>
    </r>
  </si>
  <si>
    <r>
      <rPr>
        <sz val="11"/>
        <color theme="1"/>
        <rFont val="Noto Sans CJK SC"/>
        <family val="2"/>
      </rPr>
      <t xml:space="preserve">判斷（報告第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</si>
  <si>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的保守情境為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站點速度 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／年；本版改為變現不如預期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</si>
  <si>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</si>
  <si>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中租給客戶的比例）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</si>
  <si>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C23</t>
    </r>
    <r>
      <rPr>
        <sz val="11"/>
        <color theme="1"/>
        <rFont val="Noto Sans CJK SC"/>
        <family val="2"/>
      </rPr>
      <t xml:space="preserve">：公司未揭露、最大不確定）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</si>
  <si>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三站全為對外；自用（</t>
    </r>
    <r>
      <rPr>
        <sz val="11"/>
        <color theme="1"/>
        <rFont val="Calibri"/>
        <family val="2"/>
        <charset val="1"/>
      </rPr>
      <t xml:space="preserve">Alexa+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Rufus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Nova</t>
    </r>
    <r>
      <rPr>
        <sz val="11"/>
        <color theme="1"/>
        <rFont val="Noto Sans CJK SC"/>
        <family val="2"/>
      </rPr>
      <t xml:space="preserve">、廣告）未揭露；</t>
    </r>
    <r>
      <rPr>
        <sz val="11"/>
        <color theme="1"/>
        <rFont val="Calibri"/>
        <family val="2"/>
        <charset val="1"/>
      </rPr>
      <t xml:space="preserve">Sens ±20pt</t>
    </r>
  </si>
  <si>
    <t xml:space="preserve">long_sh</t>
  </si>
  <si>
    <t xml:space="preserve">長約占對外容量比例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</si>
  <si>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</si>
  <si>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兩筆占多數</t>
    </r>
  </si>
  <si>
    <t xml:space="preserve">p_spot</t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</si>
  <si>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現貨價（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</si>
  <si>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</si>
  <si>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t xml:space="preserve">S18</t>
  </si>
  <si>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三家共用（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</si>
  <si>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t xml:space="preserve">p_list</t>
  </si>
  <si>
    <r>
      <rPr>
        <sz val="11"/>
        <color theme="1"/>
        <rFont val="Calibri"/>
        <family val="2"/>
        <charset val="1"/>
      </rPr>
      <t xml:space="preserve">AWS p5.48xlarge </t>
    </r>
    <r>
      <rPr>
        <sz val="11"/>
        <color theme="1"/>
        <rFont val="Noto Sans CJK SC"/>
        <family val="2"/>
      </rPr>
      <t xml:space="preserve">隨需（每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</si>
  <si>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Noto Sans CJK SC"/>
        <family val="2"/>
      </rPr>
      <t xml:space="preserve">公開牌價（賣價，非成交價）；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高軸</t>
    </r>
  </si>
  <si>
    <t xml:space="preserve">p_long</t>
  </si>
  <si>
    <r>
      <rPr>
        <sz val="11"/>
        <color theme="1"/>
        <rFont val="Noto Sans CJK SC"/>
        <family val="2"/>
      </rPr>
      <t xml:space="preserve">長約等值價格（判斷倍數 </t>
    </r>
    <r>
      <rPr>
        <sz val="11"/>
        <color theme="1"/>
        <rFont val="Calibri"/>
        <family val="2"/>
        <charset val="1"/>
      </rPr>
      <t xml:space="preserve">0.75 × v5.27 VR200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</si>
  <si>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</si>
  <si>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legacy_v0.2/kspec.py long.base</t>
    </r>
    <r>
      <rPr>
        <sz val="11"/>
        <color theme="1"/>
        <rFont val="Noto Sans CJK SC"/>
        <family val="2"/>
      </rPr>
      <t xml:space="preserve">）</t>
    </r>
  </si>
  <si>
    <t xml:space="preserve">判斷值，不是觀察到的市場價格</t>
  </si>
  <si>
    <t xml:space="preserve">p_long_lo</t>
  </si>
  <si>
    <r>
      <rPr>
        <sz val="11"/>
        <color theme="1"/>
        <rFont val="Noto Sans CJK SC"/>
        <family val="2"/>
      </rPr>
      <t xml:space="preserve">長約等值價格下緣（判斷倍數 </t>
    </r>
    <r>
      <rPr>
        <sz val="11"/>
        <color theme="1"/>
        <rFont val="Calibri"/>
        <family val="2"/>
        <charset val="1"/>
      </rPr>
      <t xml:space="preserve">0.55 ×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</si>
  <si>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legacy_v0.2/kspec.py long.low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</si>
  <si>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下限 </t>
    </r>
    <r>
      <rPr>
        <sz val="11"/>
        <color theme="1"/>
        <rFont val="Calibri"/>
        <family val="2"/>
        <charset val="1"/>
      </rPr>
      <t xml:space="preserve">0.22–0.45 </t>
    </r>
    <r>
      <rPr>
        <sz val="11"/>
        <color theme="1"/>
        <rFont val="Noto Sans CJK SC"/>
        <family val="2"/>
      </rPr>
      <t xml:space="preserve">只作對照</t>
    </r>
  </si>
  <si>
    <t xml:space="preserve">tk_he_h100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</si>
  <si>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</si>
  <si>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</si>
  <si>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下的打平持有成本（資本回收年金＋營運費用）</t>
    </r>
  </si>
  <si>
    <t xml:space="preserve">tk_he_gb200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</si>
  <si>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</si>
  <si>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tk_he_gb300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</si>
  <si>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</si>
  <si>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tk_he_vr200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</si>
  <si>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</si>
  <si>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tk_cx_h100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</si>
  <si>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</si>
  <si>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</si>
  <si>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tk_cx_gb200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</si>
  <si>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</si>
  <si>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tk_cx_gb300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</si>
  <si>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</si>
  <si>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tk_cx_vr200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</si>
  <si>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</si>
  <si>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tk_ox_h100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</si>
  <si>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</si>
  <si>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</si>
  <si>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</si>
  <si>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tk_ox_gb300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</si>
  <si>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</si>
  <si>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tk_ox_vr200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</si>
  <si>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</si>
  <si>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tk_gpuhr</t>
  </si>
  <si>
    <r>
      <rPr>
        <sz val="11"/>
        <color theme="1"/>
        <rFont val="Calibri"/>
        <family val="2"/>
        <charset val="1"/>
      </rPr>
      <t xml:space="preserve">Tokenomics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</si>
  <si>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</si>
  <si>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tk_fac</t>
  </si>
  <si>
    <r>
      <rPr>
        <sz val="11"/>
        <color theme="1"/>
        <rFont val="Calibri"/>
        <family val="2"/>
        <charset val="1"/>
      </rPr>
      <t xml:space="preserve">Tokenomics L1_FacCapexMW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</si>
  <si>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tk_life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</si>
  <si>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設備折舊年限（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</si>
  <si>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管理層口述伺服器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guide.server.life</t>
    </r>
    <r>
      <rPr>
        <sz val="11"/>
        <color theme="1"/>
        <rFont val="Noto Sans CJK SC"/>
        <family val="2"/>
      </rPr>
      <t xml:space="preserve">）</t>
    </r>
  </si>
  <si>
    <t xml:space="preserve">fac_life</t>
  </si>
  <si>
    <t xml:space="preserve">機房折舊年限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</si>
  <si>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</si>
  <si>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管理層：資料中心建築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年以上</t>
    </r>
  </si>
  <si>
    <t xml:space="preserve">tk_pq</t>
  </si>
  <si>
    <r>
      <rPr>
        <sz val="11"/>
        <color theme="1"/>
        <rFont val="Calibri"/>
        <family val="2"/>
        <charset val="1"/>
      </rPr>
      <t xml:space="preserve">Tokenomics L1_RevGW_PQ_VR200</t>
    </r>
    <r>
      <rPr>
        <sz val="11"/>
        <color theme="1"/>
        <rFont val="Noto Sans CJK SC"/>
        <family val="2"/>
      </rPr>
      <t xml:space="preserve">（模型商每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年實收 </t>
    </r>
    <r>
      <rPr>
        <sz val="11"/>
        <color theme="1"/>
        <rFont val="Calibri"/>
        <family val="2"/>
        <charset val="1"/>
      </rPr>
      <t xml:space="preserve">P×Q</t>
    </r>
    <r>
      <rPr>
        <sz val="11"/>
        <color theme="1"/>
        <rFont val="Noto Sans CJK SC"/>
        <family val="2"/>
      </rPr>
      <t xml:space="preserve">；只作上限檢查）</t>
    </r>
  </si>
  <si>
    <t xml:space="preserve">上限，不得作預測</t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</si>
  <si>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</si>
  <si>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長約＝長約等值價格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VR200 IF_HoldEcon</t>
    </r>
  </si>
  <si>
    <r>
      <rPr>
        <sz val="11"/>
        <color theme="1"/>
        <rFont val="Calibri"/>
        <family val="2"/>
        <charset val="1"/>
      </rPr>
      <t xml:space="preserve">legacy_v0.2/kspec.py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起隨目前快照重算）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</si>
  <si>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0.783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0.574</t>
    </r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</si>
  <si>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</si>
  <si>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現貨＝現貨價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</si>
  <si>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legacy_v0.2/kspec.py</t>
    </r>
    <r>
      <rPr>
        <sz val="11"/>
        <color theme="1"/>
        <rFont val="Noto Sans CJK SC"/>
        <family val="2"/>
      </rPr>
      <t xml:space="preserve">（三家一致，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</si>
  <si>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價格軸高）</t>
    </r>
  </si>
  <si>
    <t xml:space="preserve">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</si>
  <si>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（價格軸高：現貨改用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</si>
  <si>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pricing.kSpot.high</t>
    </r>
    <r>
      <rPr>
        <sz val="11"/>
        <color theme="1"/>
        <rFont val="Noto Sans CJK SC"/>
        <family val="2"/>
      </rPr>
      <t xml:space="preserve">）</t>
    </r>
  </si>
  <si>
    <t xml:space="preserve">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</si>
  <si>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（價格軸基準：長約 </t>
    </r>
    <r>
      <rPr>
        <sz val="11"/>
        <color theme="1"/>
        <rFont val="Calibri"/>
        <family val="2"/>
        <charset val="1"/>
      </rPr>
      <t xml:space="preserve">80% × k_</t>
    </r>
    <r>
      <rPr>
        <sz val="11"/>
        <color theme="1"/>
        <rFont val="Noto Sans CJK SC"/>
        <family val="2"/>
      </rPr>
      <t xml:space="preserve">長約＋現貨 </t>
    </r>
    <r>
      <rPr>
        <sz val="11"/>
        <color theme="1"/>
        <rFont val="Calibri"/>
        <family val="2"/>
        <charset val="1"/>
      </rPr>
      <t xml:space="preserve">20% 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</si>
  <si>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</si>
  <si>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t xml:space="preserve">期初機隊三情境皆用本列</t>
  </si>
  <si>
    <t xml:space="preserve">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</si>
  <si>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（價格軸低：長約下緣）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</si>
  <si>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pricing.kLong.low</t>
    </r>
    <r>
      <rPr>
        <sz val="11"/>
        <color theme="1"/>
        <rFont val="Noto Sans CJK SC"/>
        <family val="2"/>
      </rPr>
      <t xml:space="preserve">）</t>
    </r>
  </si>
  <si>
    <t xml:space="preserve">mo_trn2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</si>
  <si>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</si>
  <si>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</si>
  <si>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÷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2,600</t>
    </r>
  </si>
  <si>
    <t xml:space="preserve">mo_h100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</si>
  <si>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Hopper</t>
    </r>
  </si>
  <si>
    <t xml:space="preserve">mo_gb200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</si>
  <si>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</si>
  <si>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mo_gb300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</si>
  <si>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GB300</t>
    </r>
  </si>
  <si>
    <t xml:space="preserve">he_open</t>
  </si>
  <si>
    <r>
      <rPr>
        <sz val="11"/>
        <color theme="1"/>
        <rFont val="Noto Sans CJK SC"/>
        <family val="2"/>
      </rPr>
      <t xml:space="preserve">期初機隊加權 </t>
    </r>
    <r>
      <rPr>
        <sz val="11"/>
        <color theme="1"/>
        <rFont val="Calibri"/>
        <family val="2"/>
        <charset val="1"/>
      </rPr>
      <t xml:space="preserve">IF_HoldEcon</t>
    </r>
  </si>
  <si>
    <t xml:space="preserve">上列加權</t>
  </si>
  <si>
    <t xml:space="preserve">ox_open</t>
  </si>
  <si>
    <t xml:space="preserve">期初機隊加權營運費用</t>
  </si>
  <si>
    <t xml:space="preserve">rpm_open</t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</si>
  <si>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年收入＝加權 </t>
    </r>
    <r>
      <rPr>
        <sz val="11"/>
        <color theme="1"/>
        <rFont val="Calibri"/>
        <family val="2"/>
        <charset val="1"/>
      </rPr>
      <t xml:space="preserve">IF_HoldEcon × k_B</t>
    </r>
    <r>
      <rPr>
        <sz val="11"/>
        <color theme="1"/>
        <rFont val="Noto Sans CJK SC"/>
        <family val="2"/>
      </rPr>
      <t xml:space="preserve">（收入端不乘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</si>
  <si>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</t>
    </r>
  </si>
  <si>
    <t xml:space="preserve">cust_sh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</si>
  <si>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中自研晶片（</t>
    </r>
    <r>
      <rPr>
        <sz val="11"/>
        <color theme="1"/>
        <rFont val="Calibri"/>
        <family val="2"/>
        <charset val="1"/>
      </rPr>
      <t xml:space="preserve">Trainium3 → GB300 </t>
    </r>
    <r>
      <rPr>
        <sz val="11"/>
        <color theme="1"/>
        <rFont val="Noto Sans CJK SC"/>
        <family val="2"/>
      </rPr>
      <t xml:space="preserve">計價）比例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</si>
  <si>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pricing.chips mixAdds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</si>
  <si>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Trainium3 2026 </t>
    </r>
    <r>
      <rPr>
        <sz val="11"/>
        <color theme="1"/>
        <rFont val="Noto Sans CJK SC"/>
        <family val="2"/>
      </rPr>
      <t xml:space="preserve">年初出貨且「接近全數認購」</t>
    </r>
  </si>
  <si>
    <t xml:space="preserve">na_vr26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</si>
  <si>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</si>
  <si>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</si>
  <si>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na_vr27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</si>
  <si>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</si>
  <si>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na_vr28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</si>
  <si>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</si>
  <si>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cf_chip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</si>
  <si>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收入係數（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</si>
  <si>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</si>
  <si>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IF_NonNV_Hold_Trn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）</t>
    </r>
  </si>
  <si>
    <t xml:space="preserve">cf_cx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</si>
  <si>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</si>
  <si>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customCapexFactor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</si>
  <si>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雙邊敏感度時與收入係數同乘 </t>
    </r>
    <r>
      <rPr>
        <sz val="11"/>
        <color theme="1"/>
        <rFont val="Calibri"/>
        <family val="2"/>
        <charset val="1"/>
      </rPr>
      <t xml:space="preserve">0.7</t>
    </r>
  </si>
  <si>
    <t xml:space="preserve">colo_sh</t>
  </si>
  <si>
    <t xml:space="preserve">機房租用比例（第三方託管）</t>
  </si>
  <si>
    <t xml:space="preserve">S29</t>
  </si>
  <si>
    <r>
      <rPr>
        <sz val="11"/>
        <color theme="1"/>
        <rFont val="Noto Sans CJK SC"/>
        <family val="2"/>
      </rPr>
      <t xml:space="preserve">自建比例＝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本列；租用部分不計機房資本支出</t>
    </r>
  </si>
  <si>
    <t xml:space="preserve">rent_rec</t>
  </si>
  <si>
    <r>
      <rPr>
        <sz val="11"/>
        <color theme="1"/>
        <rFont val="Noto Sans CJK SC"/>
        <family val="2"/>
      </rPr>
      <t xml:space="preserve">租用機房年租金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機房資本支出（資本回收係數，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</si>
  <si>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C22</t>
    </r>
  </si>
  <si>
    <t xml:space="preserve">rent_mw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</si>
  <si>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年機房租金（攤到全部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）＝租用比例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回收係數</t>
    </r>
  </si>
  <si>
    <t xml:space="preserve">上列</t>
  </si>
  <si>
    <t xml:space="preserve">capex_g26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</si>
  <si>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現金資本支出指引（下限）</t>
    </r>
  </si>
  <si>
    <t xml:space="preserve">S11</t>
  </si>
  <si>
    <r>
      <rPr>
        <sz val="11"/>
        <color theme="1"/>
        <rFont val="Noto Sans CJK SC"/>
        <family val="2"/>
      </rPr>
      <t xml:space="preserve">上調自約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；首期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− 上半年實際 − 非 </t>
    </r>
    <r>
      <rPr>
        <sz val="11"/>
        <color theme="1"/>
        <rFont val="Calibri"/>
        <family val="2"/>
        <charset val="1"/>
      </rPr>
      <t xml:space="preserve">AI)</t>
    </r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</si>
  <si>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</si>
  <si>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主值：自用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計影子效益、價值中性；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：只計成本）</t>
    </r>
  </si>
  <si>
    <t xml:space="preserve">1/2</t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</si>
  <si>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端預設讀法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</si>
  <si>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</si>
  <si>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t xml:space="preserve">ai_rr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</si>
  <si>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營收年化（</t>
    </r>
    <r>
      <rPr>
        <sz val="11"/>
        <color theme="1"/>
        <rFont val="Calibri"/>
        <family val="2"/>
        <charset val="1"/>
      </rPr>
      <t xml:space="preserve">AWS AI run-rate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）</t>
    </r>
  </si>
  <si>
    <t xml:space="preserve">S04</t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</si>
  <si>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驗證列（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）；不用於校準</t>
    </r>
  </si>
  <si>
    <r>
      <rPr>
        <b val="true"/>
        <sz val="11"/>
        <rFont val="Cambria"/>
        <family val="0"/>
        <charset val="1"/>
      </rPr>
      <t xml:space="preserve">D. AWS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</si>
  <si>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t xml:space="preserve">g_awso_lt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</si>
  <si>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</si>
  <si>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</si>
  <si>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由近期年增（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）線性收斂</t>
    </r>
  </si>
  <si>
    <t xml:space="preserve">cx_awso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</si>
  <si>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其他資本支出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</si>
  <si>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</si>
  <si>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上緣＝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27.4%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</si>
  <si>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營收類別；北美＋國際）</t>
    </r>
  </si>
  <si>
    <t xml:space="preserve">g_os</t>
  </si>
  <si>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</si>
  <si>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年增）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校準係數（隱含 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＝指引中點）；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年增線性收斂到本列</t>
    </r>
  </si>
  <si>
    <t xml:space="preserve">g_ps</t>
  </si>
  <si>
    <r>
      <rPr>
        <sz val="11"/>
        <color theme="1"/>
        <rFont val="Calibri"/>
        <family val="2"/>
        <charset val="1"/>
      </rPr>
      <t xml:space="preserve">Physical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</si>
  <si>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g_sp</t>
  </si>
  <si>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</si>
  <si>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g_ad</t>
  </si>
  <si>
    <r>
      <rPr>
        <sz val="11"/>
        <color theme="1"/>
        <rFont val="Calibri"/>
        <family val="2"/>
        <charset val="1"/>
      </rPr>
      <t xml:space="preserve">Advertising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</si>
  <si>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g_sub</t>
  </si>
  <si>
    <r>
      <rPr>
        <sz val="11"/>
        <color theme="1"/>
        <rFont val="Calibri"/>
        <family val="2"/>
        <charset val="1"/>
      </rPr>
      <t xml:space="preserve">Subscription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</si>
  <si>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g_ot</t>
  </si>
  <si>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</si>
  <si>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m_ad</t>
  </si>
  <si>
    <r>
      <rPr>
        <sz val="11"/>
        <color theme="1"/>
        <rFont val="Noto Sans CJK SC"/>
        <family val="2"/>
      </rPr>
      <t xml:space="preserve">廣告營業利益率（分攤到北美／國際的方法：見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</si>
  <si>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（廣告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，分部未揭露）</t>
    </r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</si>
  <si>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 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50%–60%</t>
    </r>
    <r>
      <rPr>
        <sz val="11"/>
        <color theme="1"/>
        <rFont val="Noto Sans CJK SC"/>
        <family val="2"/>
      </rPr>
      <t xml:space="preserve">；零售本業利益率＝分部利益扣廣告利潤後的殘差</t>
    </r>
  </si>
  <si>
    <t xml:space="preserve">step_na</t>
  </si>
  <si>
    <r>
      <rPr>
        <sz val="11"/>
        <color theme="1"/>
        <rFont val="Noto Sans CJK SC"/>
        <family val="2"/>
      </rPr>
      <t xml:space="preserve">北美零售本業利益率每年改善（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</si>
  <si>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</si>
  <si>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改善約 </t>
    </r>
    <r>
      <rPr>
        <sz val="11"/>
        <color theme="1"/>
        <rFont val="Calibri"/>
        <family val="2"/>
        <charset val="1"/>
      </rPr>
      <t xml:space="preserve">0.5pt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</si>
  <si>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step_in</t>
  </si>
  <si>
    <r>
      <rPr>
        <sz val="11"/>
        <color theme="1"/>
        <rFont val="Noto Sans CJK SC"/>
        <family val="2"/>
      </rPr>
      <t xml:space="preserve">國際零售本業利益率每年改善（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</si>
  <si>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0.3pt</t>
    </r>
  </si>
  <si>
    <t xml:space="preserve">cx_rt</t>
  </si>
  <si>
    <r>
      <rPr>
        <sz val="11"/>
        <color theme="1"/>
        <rFont val="Noto Sans CJK SC"/>
        <family val="2"/>
      </rPr>
      <t xml:space="preserve">零售資本支出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零售營收（北美＋國際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淨增加，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</si>
  <si>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4.48%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5.84%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7.40%</t>
    </r>
    <r>
      <rPr>
        <sz val="11"/>
        <color theme="1"/>
        <rFont val="Noto Sans CJK SC"/>
        <family val="2"/>
      </rPr>
      <t xml:space="preserve">；含分攤的技術基礎設施，可能偏高（沿用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</si>
  <si>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公司層與現金</t>
    </r>
  </si>
  <si>
    <t xml:space="preserve">sbc_r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</si>
  <si>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營收（近四季）</t>
    </r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</si>
  <si>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計入費用；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不加回（視同現金成本）</t>
    </r>
  </si>
  <si>
    <t xml:space="preserve">oth_r</t>
  </si>
  <si>
    <r>
      <rPr>
        <sz val="11"/>
        <color theme="1"/>
        <rFont val="Noto Sans CJK SC"/>
        <family val="2"/>
      </rPr>
      <t xml:space="preserve">營運現金其他項目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營收（營運現金流 −（淨利 − 業外淨額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稅率））− 分部 </t>
    </r>
    <r>
      <rPr>
        <sz val="11"/>
        <color theme="1"/>
        <rFont val="Calibri"/>
        <family val="2"/>
        <charset val="1"/>
      </rPr>
      <t xml:space="preserve">D&amp;A − 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</si>
  <si>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2.3%</t>
    </r>
    <r>
      <rPr>
        <sz val="11"/>
        <color theme="1"/>
        <rFont val="Noto Sans CJK SC"/>
        <family val="2"/>
      </rPr>
      <t xml:space="preserve">；扣除業外（持股評價利益為非現金）；影音內容與營業租賃資產攤銷與其現金支出相抵，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只加回分部 </t>
    </r>
    <r>
      <rPr>
        <sz val="11"/>
        <color theme="1"/>
        <rFont val="Calibri"/>
        <family val="2"/>
        <charset val="1"/>
      </rPr>
      <t xml:space="preserve">D&amp;A</t>
    </r>
  </si>
  <si>
    <t xml:space="preserve">lease_pr</t>
  </si>
  <si>
    <t xml:space="preserve">融資租賃本金償還（每年）</t>
  </si>
  <si>
    <r>
      <rPr>
        <sz val="11"/>
        <color theme="1"/>
        <rFont val="Calibri"/>
        <family val="2"/>
        <charset val="1"/>
      </rPr>
      <t xml:space="preserve">2023 4.384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2025 1.557</t>
    </r>
  </si>
  <si>
    <t xml:space="preserve">sh_g</t>
  </si>
  <si>
    <r>
      <rPr>
        <sz val="11"/>
        <color theme="1"/>
        <rFont val="Noto Sans CJK SC"/>
        <family val="2"/>
      </rPr>
      <t xml:space="preserve">稀釋股數年增（無回購，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稀釋）</t>
    </r>
  </si>
  <si>
    <t xml:space="preserve">S10</t>
  </si>
  <si>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2024→2025 +1.0%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2025→1H26 +0.6%</t>
    </r>
    <r>
      <rPr>
        <sz val="11"/>
        <color theme="1"/>
        <rFont val="Noto Sans CJK SC"/>
        <family val="2"/>
      </rPr>
      <t xml:space="preserve">（半年）</t>
    </r>
  </si>
  <si>
    <t xml:space="preserve">kd_book</t>
  </si>
  <si>
    <r>
      <rPr>
        <sz val="11"/>
        <color theme="1"/>
        <rFont val="Noto Sans CJK SC"/>
        <family val="2"/>
      </rPr>
      <t xml:space="preserve">既有債務平均利率（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× 2 ÷ </t>
    </r>
    <r>
      <rPr>
        <sz val="11"/>
        <color theme="1"/>
        <rFont val="Noto Sans CJK SC"/>
        <family val="2"/>
      </rPr>
      <t xml:space="preserve">平均債務面額）</t>
    </r>
  </si>
  <si>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133.0 </t>
    </r>
    <r>
      <rPr>
        <sz val="11"/>
        <color theme="1"/>
        <rFont val="Noto Sans CJK SC"/>
        <family val="2"/>
      </rPr>
      <t xml:space="preserve">以本列計息；新增借款以 </t>
    </r>
    <r>
      <rPr>
        <sz val="11"/>
        <color theme="1"/>
        <rFont val="Calibri"/>
        <family val="2"/>
        <charset val="1"/>
      </rPr>
      <t xml:space="preserve">kd_new</t>
    </r>
  </si>
  <si>
    <t xml:space="preserve">y_cash</t>
  </si>
  <si>
    <r>
      <rPr>
        <sz val="11"/>
        <color theme="1"/>
        <rFont val="Noto Sans CJK SC"/>
        <family val="2"/>
      </rPr>
      <t xml:space="preserve">現金與有價證券收益率（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期末現金）</t>
    </r>
  </si>
  <si>
    <t xml:space="preserve">cash_q2</t>
  </si>
  <si>
    <r>
      <rPr>
        <sz val="11"/>
        <color theme="1"/>
        <rFont val="Noto Sans CJK SC"/>
        <family val="2"/>
      </rPr>
      <t xml:space="preserve">現金、約當現金與有價證券（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</si>
  <si>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</si>
  <si>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最低現金（低於即舉債）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</si>
  <si>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minCash 50</t>
    </r>
    <r>
      <rPr>
        <sz val="11"/>
        <color theme="1"/>
        <rFont val="Noto Sans CJK SC"/>
        <family val="2"/>
      </rPr>
      <t xml:space="preserve">）</t>
    </r>
  </si>
  <si>
    <t xml:space="preserve">iss_usd</t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</si>
  <si>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美元票據</t>
    </r>
  </si>
  <si>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（期後事項）</t>
    </r>
  </si>
  <si>
    <t xml:space="preserve">iss_gbp</t>
  </si>
  <si>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英鎊票據（</t>
    </r>
    <r>
      <rPr>
        <sz val="11"/>
        <color theme="1"/>
        <rFont val="Calibri"/>
        <family val="2"/>
        <charset val="1"/>
      </rPr>
      <t xml:space="preserve">£bn</t>
    </r>
    <r>
      <rPr>
        <sz val="11"/>
        <color theme="1"/>
        <rFont val="Noto Sans CJK SC"/>
        <family val="2"/>
      </rPr>
      <t xml:space="preserve">）</t>
    </r>
  </si>
  <si>
    <t xml:space="preserve">£bn</t>
  </si>
  <si>
    <t xml:space="preserve">S12</t>
  </si>
  <si>
    <r>
      <rPr>
        <sz val="11"/>
        <color theme="1"/>
        <rFont val="Calibri"/>
        <family val="2"/>
        <charset val="1"/>
      </rPr>
      <t xml:space="preserve">5.200% 2029 £1.25B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5.550% 2032 £1.0B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6.250% 2038 £1.0B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6.650% 2045 £1.0B</t>
    </r>
  </si>
  <si>
    <t xml:space="preserve">fx_gbp</t>
  </si>
  <si>
    <r>
      <rPr>
        <sz val="11"/>
        <color theme="1"/>
        <rFont val="Noto Sans CJK SC"/>
        <family val="2"/>
      </rPr>
      <t xml:space="preserve">英鎊匯率（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£</t>
    </r>
    <r>
      <rPr>
        <sz val="11"/>
        <color theme="1"/>
        <rFont val="Noto Sans CJK SC"/>
        <family val="2"/>
      </rPr>
      <t xml:space="preserve">；事實總帳換算值 </t>
    </r>
    <r>
      <rPr>
        <sz val="11"/>
        <color theme="1"/>
        <rFont val="Calibri"/>
        <family val="2"/>
        <charset val="1"/>
      </rPr>
      <t xml:space="preserve">4.25 ÷ 3.25</t>
    </r>
    <r>
      <rPr>
        <sz val="11"/>
        <color theme="1"/>
        <rFont val="Noto Sans CJK SC"/>
        <family val="2"/>
      </rPr>
      <t xml:space="preserve">）</t>
    </r>
  </si>
  <si>
    <t xml:space="preserve">US$/£</t>
  </si>
  <si>
    <t xml:space="preserve">iss_2h26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</si>
  <si>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下半年已發行債券＝美元＋英鎊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</si>
  <si>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t xml:space="preserve">iss_t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</si>
  <si>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新發債券的平均流通期間（年；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月與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月發行）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</si>
  <si>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：公式內寫死改為鍵）</t>
    </r>
  </si>
  <si>
    <t xml:space="preserve">inv_2h26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</si>
  <si>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35.0 </t>
    </r>
    <r>
      <rPr>
        <sz val="11"/>
        <color theme="1"/>
        <rFont val="Noto Sans CJK SC"/>
        <family val="2"/>
      </rPr>
      <t xml:space="preserve">的期後補足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</si>
  <si>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尚可動用的 </t>
    </r>
    <r>
      <rPr>
        <sz val="11"/>
        <color theme="1"/>
        <rFont val="Calibri"/>
        <family val="2"/>
        <charset val="1"/>
      </rPr>
      <t xml:space="preserve">15.0 </t>
    </r>
    <r>
      <rPr>
        <sz val="11"/>
        <color theme="1"/>
        <rFont val="Noto Sans CJK SC"/>
        <family val="2"/>
      </rPr>
      <t xml:space="preserve">融資額度依里程碑，不列</t>
    </r>
  </si>
  <si>
    <t xml:space="preserve">dps</t>
  </si>
  <si>
    <t xml:space="preserve">每股股利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</si>
  <si>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未發放現金股利；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無回購（授權剩 </t>
    </r>
    <r>
      <rPr>
        <sz val="11"/>
        <color theme="1"/>
        <rFont val="Calibri"/>
        <family val="2"/>
        <charset val="1"/>
      </rPr>
      <t xml:space="preserve">6.1B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</si>
  <si>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都加；預測期業外評價損益設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</si>
  <si>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</si>
  <si>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</si>
  <si>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t xml:space="preserve">S25</t>
  </si>
  <si>
    <t xml:space="preserve">新創自報估值</t>
  </si>
  <si>
    <t xml:space="preserve">ant_sh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</si>
  <si>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</si>
  <si>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S26</t>
    </r>
  </si>
  <si>
    <r>
      <rPr>
        <sz val="11"/>
        <color theme="1"/>
        <rFont val="Calibri"/>
        <family val="2"/>
        <charset val="1"/>
      </rPr>
      <t xml:space="preserve">Fortune 15%–19%</t>
    </r>
    <r>
      <rPr>
        <sz val="11"/>
        <color theme="1"/>
        <rFont val="Noto Sans CJK SC"/>
        <family val="2"/>
      </rPr>
      <t xml:space="preserve">、帳列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Crypto Briefing 21%</t>
    </r>
    <r>
      <rPr>
        <sz val="11"/>
        <color theme="1"/>
        <rFont val="Noto Sans CJK SC"/>
        <family val="2"/>
      </rPr>
      <t xml:space="preserve">（無法查證）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</si>
  <si>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</si>
  <si>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投後估值（投前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＋該輪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</si>
  <si>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t xml:space="preserve">S27</t>
  </si>
  <si>
    <t xml:space="preserve">oai_sh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</si>
  <si>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比例（投入 </t>
    </r>
    <r>
      <rPr>
        <sz val="11"/>
        <color theme="1"/>
        <rFont val="Calibri"/>
        <family val="2"/>
        <charset val="1"/>
      </rPr>
      <t xml:space="preserve">50 ÷ 840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</si>
  <si>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資本結構（</t>
    </r>
    <r>
      <rPr>
        <sz val="11"/>
        <color theme="1"/>
        <rFont val="Calibri"/>
        <family val="2"/>
        <charset val="1"/>
      </rPr>
      <t xml:space="preserve">PBC</t>
    </r>
    <r>
      <rPr>
        <sz val="11"/>
        <color theme="1"/>
        <rFont val="Noto Sans CJK SC"/>
        <family val="2"/>
      </rPr>
      <t xml:space="preserve">＋基金會）可能使比例不同</t>
    </r>
  </si>
  <si>
    <t xml:space="preserve">liq_disc</t>
  </si>
  <si>
    <t xml:space="preserve">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</si>
  <si>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</si>
  <si>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</si>
  <si>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</si>
  <si>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：跨 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可比）</t>
    </r>
  </si>
  <si>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16.5×</t>
    </r>
    <r>
      <rPr>
        <sz val="11"/>
        <color theme="1"/>
        <rFont val="Noto Sans CJK SC"/>
        <family val="2"/>
      </rPr>
      <t xml:space="preserve">（只作對照）；已知可能偏低，</t>
    </r>
    <r>
      <rPr>
        <sz val="11"/>
        <color theme="1"/>
        <rFont val="Calibri"/>
        <family val="2"/>
        <charset val="1"/>
      </rPr>
      <t xml:space="preserve">Sens 10×</t>
    </r>
  </si>
  <si>
    <t xml:space="preserve">sbc_ab</t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</si>
  <si>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是否加回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＝加回，與同業倍數同口徑；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＝視同成本，等同計入未來授予的稀釋）</t>
    </r>
  </si>
  <si>
    <t xml:space="preserve">0/1</t>
  </si>
  <si>
    <r>
      <rPr>
        <sz val="11"/>
        <color theme="1"/>
        <rFont val="Noto Sans CJK SC"/>
        <family val="2"/>
      </rPr>
      <t xml:space="preserve">修正二（</t>
    </r>
    <r>
      <rPr>
        <sz val="11"/>
        <color theme="1"/>
        <rFont val="Calibri"/>
        <family val="2"/>
        <charset val="1"/>
      </rPr>
      <t xml:space="preserve">F2 </t>
    </r>
    <r>
      <rPr>
        <sz val="11"/>
        <color theme="1"/>
        <rFont val="Noto Sans CJK SC"/>
        <family val="2"/>
      </rPr>
      <t xml:space="preserve">敏感度）</t>
    </r>
  </si>
  <si>
    <t xml:space="preserve">ai_leg</t>
  </si>
  <si>
    <r>
      <rPr>
        <sz val="11"/>
        <color theme="1"/>
        <rFont val="Noto Sans CJK SC"/>
        <family val="2"/>
      </rPr>
      <t xml:space="preserve">分部加總中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的評價法（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，主值；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EBITDA × m_ai </t>
    </r>
    <r>
      <rPr>
        <sz val="11"/>
        <color theme="1"/>
        <rFont val="Noto Sans CJK SC"/>
        <family val="2"/>
      </rPr>
      <t xml:space="preserve">倍數，對照）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</si>
  <si>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</si>
  <si>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是資本密集業務，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倍數忽略汰換與成長資本支出</t>
    </r>
  </si>
  <si>
    <t xml:space="preserve">m_x</t>
  </si>
  <si>
    <r>
      <rPr>
        <sz val="11"/>
        <color theme="1"/>
        <rFont val="Noto Sans CJK SC"/>
        <family val="2"/>
      </rPr>
      <t xml:space="preserve">分部倍數乘數（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</si>
  <si>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Sens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</si>
  <si>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對照，不校準）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</si>
  <si>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</si>
  <si>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</si>
  <si>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S16</t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</si>
  <si>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口徑由供應商定義</t>
    </r>
  </si>
  <si>
    <t xml:space="preserve">c_ebitda26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</si>
  <si>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</si>
  <si>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</si>
  <si>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</si>
  <si>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</si>
  <si>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</si>
  <si>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</si>
  <si>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</si>
  <si>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</si>
  <si>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</si>
  <si>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</si>
  <si>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</si>
  <si>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</si>
  <si>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</si>
  <si>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</si>
  <si>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</si>
  <si>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</si>
  <si>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</si>
  <si>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</si>
  <si>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</si>
  <si>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</si>
  <si>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</si>
  <si>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</si>
  <si>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</si>
  <si>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</si>
  <si>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</si>
  <si>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</si>
  <si>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</si>
  <si>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</si>
  <si>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</si>
  <si>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</si>
  <si>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</si>
  <si>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</si>
  <si>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</si>
  <si>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</si>
  <si>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</si>
  <si>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</si>
  <si>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</si>
  <si>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</si>
  <si>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</si>
  <si>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c_sprev26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</si>
  <si>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</si>
  <si>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</t>
    </r>
  </si>
  <si>
    <t xml:space="preserve">c_sprev27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</si>
  <si>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</si>
  <si>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c_speps26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</si>
  <si>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</si>
  <si>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評價利益）</t>
    </r>
  </si>
  <si>
    <t xml:space="preserve">c_speps27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</si>
  <si>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</si>
  <si>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g26q3_lo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</si>
  <si>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營收下緣</t>
    </r>
  </si>
  <si>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9%–12%</t>
    </r>
  </si>
  <si>
    <t xml:space="preserve">g26q3_hi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</si>
  <si>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營收上緣</t>
    </r>
  </si>
  <si>
    <t xml:space="preserve">g26q3_oilo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</si>
  <si>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營業利益下緣</t>
    </r>
  </si>
  <si>
    <t xml:space="preserve">g26q3_oihi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</si>
  <si>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營業利益上緣</t>
    </r>
  </si>
  <si>
    <t xml:space="preserve">g26q3_mid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</si>
  <si>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營收中點（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零售營收校準目標）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</si>
  <si>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的時點影響約 −</t>
    </r>
    <r>
      <rPr>
        <sz val="11"/>
        <color theme="1"/>
        <rFont val="Calibri"/>
        <family val="2"/>
        <charset val="1"/>
      </rPr>
      <t xml:space="preserve">400bp</t>
    </r>
    <r>
      <rPr>
        <sz val="11"/>
        <color theme="1"/>
        <rFont val="Noto Sans CJK SC"/>
        <family val="2"/>
      </rPr>
      <t xml:space="preserve">、匯率 −</t>
    </r>
    <r>
      <rPr>
        <sz val="11"/>
        <color theme="1"/>
        <rFont val="Calibri"/>
        <family val="2"/>
        <charset val="1"/>
      </rPr>
      <t xml:space="preserve">80bp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</si>
  <si>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差異拆解用）</t>
    </r>
  </si>
  <si>
    <t xml:space="preserve">v022_tp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</si>
  <si>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</si>
  <si>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docs/handoff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</si>
  <si>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220.09</t>
    </r>
    <r>
      <rPr>
        <sz val="11"/>
        <color theme="1"/>
        <rFont val="Noto Sans CJK SC"/>
        <family val="2"/>
      </rPr>
      <t xml:space="preserve">；三情境 </t>
    </r>
    <r>
      <rPr>
        <sz val="11"/>
        <color theme="1"/>
        <rFont val="Calibri"/>
        <family val="2"/>
        <charset val="1"/>
      </rPr>
      <t xml:space="preserve">212.33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201.14 </t>
    </r>
    <r>
      <rPr>
        <sz val="11"/>
        <color theme="1"/>
        <rFont val="Noto Sans CJK SC"/>
        <family val="2"/>
      </rPr>
      <t xml:space="preserve">皆賣出</t>
    </r>
  </si>
  <si>
    <t xml:space="preserve">v022_px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</si>
  <si>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</si>
  <si>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legacy_v0.2</t>
  </si>
  <si>
    <t xml:space="preserve">v022_wdcf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</si>
  <si>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評價權重：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</si>
  <si>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EV/EBITDA 55%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</si>
  <si>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；股數十億股）：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、最近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季（</t>
    </r>
    <r>
      <rPr>
        <sz val="11"/>
        <color theme="1"/>
        <rFont val="Calibri"/>
        <family val="2"/>
        <charset val="1"/>
      </rPr>
      <t xml:space="preserve">2024Q3–2026Q2</t>
    </r>
    <r>
      <rPr>
        <sz val="11"/>
        <color theme="1"/>
        <rFont val="Noto Sans CJK SC"/>
        <family val="2"/>
      </rPr>
      <t xml:space="preserve">）與半年合計。資料取自 </t>
    </r>
    <r>
      <rPr>
        <sz val="11"/>
        <color theme="1"/>
        <rFont val="Calibri"/>
        <family val="2"/>
        <charset val="1"/>
      </rPr>
      <t xml:space="preserve">data/amazon_facts_20261008.json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、財報新聞稿逐季補充表），藍字＝事實值、黑字＝加總或換算。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（美國時間）公布，本版未納入</t>
    </r>
  </si>
  <si>
    <r>
      <rPr>
        <sz val="11"/>
        <color theme="1"/>
        <rFont val="Noto Sans CJK SC"/>
        <family val="2"/>
      </rPr>
      <t xml:space="preserve">核對列（綠底）：零售營收線合計＝北美＋國際、營收線合計＝合併營收、分部合計＝合併營收、分部營業利益合計＋未分攤＝合併營業利益；實績皆須為 </t>
    </r>
    <r>
      <rPr>
        <sz val="11"/>
        <color theme="1"/>
        <rFont val="Calibri"/>
        <family val="2"/>
        <charset val="1"/>
      </rPr>
      <t xml:space="preserve">0</t>
    </r>
  </si>
  <si>
    <t xml:space="preserve">FY2023A</t>
  </si>
  <si>
    <t xml:space="preserve">FY2024A</t>
  </si>
  <si>
    <t xml:space="preserve">FY2025A</t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</si>
  <si>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</si>
  <si>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</si>
  <si>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</si>
  <si>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</si>
  <si>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</si>
  <si>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</si>
  <si>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</si>
  <si>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</si>
  <si>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1H25</t>
  </si>
  <si>
    <t xml:space="preserve">2H25</t>
  </si>
  <si>
    <t xml:space="preserve">1H26</t>
  </si>
  <si>
    <r>
      <rPr>
        <b val="true"/>
        <sz val="11"/>
        <rFont val="Noto Sans CJK SC"/>
        <family val="2"/>
      </rPr>
      <t xml:space="preserve">近四季（</t>
    </r>
    <r>
      <rPr>
        <b val="true"/>
        <sz val="11"/>
        <rFont val="Cambria"/>
        <family val="0"/>
        <charset val="1"/>
      </rPr>
      <t xml:space="preserve">2025Q3–2026Q2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</si>
  <si>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官方報告分部營收（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附註：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）</t>
    </r>
  </si>
  <si>
    <t xml:space="preserve">North America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</si>
  <si>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</si>
  <si>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S08</t>
    </r>
    <r>
      <rPr>
        <sz val="11"/>
        <color theme="1"/>
        <rFont val="Noto Sans CJK SC"/>
        <family val="2"/>
      </rPr>
      <t xml:space="preserve">（逐季補充表）</t>
    </r>
  </si>
  <si>
    <t xml:space="preserve">International</t>
  </si>
  <si>
    <t xml:space="preserve">AWS</t>
  </si>
  <si>
    <t xml:space="preserve">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</si>
  <si>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營收類別；零售各線＝北美＋國際，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線＝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分部）</t>
    </r>
  </si>
  <si>
    <t xml:space="preserve">Online stores</t>
  </si>
  <si>
    <t xml:space="preserve">Physical stores</t>
  </si>
  <si>
    <t xml:space="preserve">Third-party seller services</t>
  </si>
  <si>
    <t xml:space="preserve">Advertising services</t>
  </si>
  <si>
    <t xml:space="preserve">Subscription services</t>
  </si>
  <si>
    <t xml:space="preserve">Other</t>
  </si>
  <si>
    <r>
      <rPr>
        <sz val="11"/>
        <color theme="1"/>
        <rFont val="Noto Sans CJK SC"/>
        <family val="2"/>
      </rPr>
      <t xml:space="preserve">零售營收線合計（不含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</si>
  <si>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（營收線）</t>
    </r>
  </si>
  <si>
    <r>
      <rPr>
        <sz val="11"/>
        <color theme="1"/>
        <rFont val="Noto Sans CJK SC"/>
        <family val="2"/>
      </rPr>
      <t xml:space="preserve">檢查：零售營收線合計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</si>
  <si>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</si>
  <si>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</si>
  <si>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</si>
  <si>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</si>
  <si>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</si>
  <si>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</t>
    </r>
  </si>
  <si>
    <t xml:space="preserve">合併營業利益</t>
  </si>
  <si>
    <r>
      <rPr>
        <sz val="11"/>
        <color theme="1"/>
        <rFont val="Noto Sans CJK SC"/>
        <family val="2"/>
      </rPr>
      <t xml:space="preserve">未分攤（合併 − 分部合計；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分部已含全部費用）</t>
    </r>
  </si>
  <si>
    <t xml:space="preserve">檢查：分部營業利益合計＋未分攤 − 合併營業利益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</si>
  <si>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分部折舊攤銷（不含影音內容與營業租賃資產攤銷；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季度 </t>
    </r>
    <r>
      <rPr>
        <b val="true"/>
        <sz val="11"/>
        <rFont val="Cambria"/>
        <family val="0"/>
        <charset val="1"/>
      </rPr>
      <t xml:space="preserve">facts </t>
    </r>
    <r>
      <rPr>
        <b val="true"/>
        <sz val="11"/>
        <rFont val="Noto Sans CJK SC"/>
        <family val="2"/>
      </rPr>
      <t xml:space="preserve">未收；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＝全年 − 前三季）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</si>
  <si>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</si>
  <si>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S03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</si>
  <si>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</si>
  <si>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</t>
    </r>
  </si>
  <si>
    <t xml:space="preserve">分部折舊攤銷合計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</si>
  <si>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損益（業外、稅、淨利）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</si>
  <si>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</si>
  <si>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</si>
  <si>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</si>
  <si>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稅前淨利</t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</si>
  <si>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</si>
  <si>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</si>
  <si>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業外淨額（稅前 − 營業利益＋利息費用；含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等持股評價利益）</t>
    </r>
  </si>
  <si>
    <t xml:space="preserve">有效稅率</t>
  </si>
  <si>
    <t xml:space="preserve">稀釋加權股數</t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</si>
  <si>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稀釋加權股數）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</si>
  <si>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現金流量、資本支出與股東回饋</t>
    </r>
  </si>
  <si>
    <t xml:space="preserve">營運現金流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</si>
  <si>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S09</t>
    </r>
  </si>
  <si>
    <r>
      <rPr>
        <sz val="11"/>
        <color theme="1"/>
        <rFont val="Noto Sans CJK SC"/>
        <family val="2"/>
      </rPr>
      <t xml:space="preserve">資本支出（購置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，總額）</t>
    </r>
  </si>
  <si>
    <t xml:space="preserve">資本支出（現金，淨額＝購置 − 出售及獎勵）</t>
  </si>
  <si>
    <t xml:space="preserve">由同季新聞稿現金流量表換算</t>
  </si>
  <si>
    <t xml:space="preserve">折舊攤銷（現金流量表；含影音內容與營業租賃資產）</t>
  </si>
  <si>
    <t xml:space="preserve">股份基礎給付</t>
  </si>
  <si>
    <t xml:space="preserve">自由現金流（公司口徑＝營運現金流 − 資本支出淨額）</t>
  </si>
  <si>
    <t xml:space="preserve">融資租賃本金償還</t>
  </si>
  <si>
    <t xml:space="preserve">買回庫藏股</t>
  </si>
  <si>
    <t xml:space="preserve">現金股利</t>
  </si>
  <si>
    <r>
      <rPr>
        <sz val="11"/>
        <color theme="1"/>
        <rFont val="Noto Sans CJK SC"/>
        <family val="2"/>
      </rPr>
      <t xml:space="preserve">策略投資（收購與投資；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上半年含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</si>
  <si>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資本支出分布（</t>
    </r>
    <r>
      <rPr>
        <b val="true"/>
        <sz val="11"/>
        <rFont val="Cambria"/>
        <family val="0"/>
        <charset val="1"/>
      </rPr>
      <t xml:space="preserve">PP&amp;E </t>
    </r>
    <r>
      <rPr>
        <b val="true"/>
        <sz val="11"/>
        <rFont val="Noto Sans CJK SC"/>
        <family val="2"/>
      </rPr>
      <t xml:space="preserve">淨增加，含融資租賃取得與已取得未付款；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分部附註）</t>
    </r>
  </si>
  <si>
    <r>
      <rPr>
        <sz val="11"/>
        <color theme="1"/>
        <rFont val="Calibri"/>
        <family val="2"/>
        <charset val="1"/>
      </rPr>
      <t xml:space="preserve">North America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</si>
  <si>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</si>
  <si>
    <r>
      <rPr>
        <sz val="11"/>
        <color theme="1"/>
        <rFont val="Calibri"/>
        <family val="2"/>
        <charset val="1"/>
      </rPr>
      <t xml:space="preserve">International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</si>
  <si>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</si>
  <si>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Noto Sans CJK SC"/>
        <family val="2"/>
      </rPr>
      <t xml:space="preserve">公司層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</si>
  <si>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淨增加合計</t>
    </r>
  </si>
  <si>
    <r>
      <rPr>
        <b val="true"/>
        <sz val="11"/>
        <rFont val="Cambria"/>
        <family val="0"/>
        <charset val="1"/>
      </rPr>
      <t xml:space="preserve">8. </t>
    </r>
    <r>
      <rPr>
        <b val="true"/>
        <sz val="11"/>
        <rFont val="Noto Sans CJK SC"/>
        <family val="2"/>
      </rPr>
      <t xml:space="preserve">期末餘額</t>
    </r>
  </si>
  <si>
    <t xml:space="preserve">現金、約當現金與有價證券</t>
  </si>
  <si>
    <t xml:space="preserve">債務面額</t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</si>
  <si>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Tokenomics v21.4 IF_HoldEcon × 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資本支出（含自用）→ 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Noto Sans CJK SC"/>
        <family val="2"/>
      </rPr>
      <t xml:space="preserve">年／機房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年折舊（次年起提列）→ 對外部分進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營業利益、自用部分進北美／國際營業利益。三情境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依序排列</t>
    </r>
  </si>
  <si>
    <r>
      <rPr>
        <sz val="11"/>
        <color theme="1"/>
        <rFont val="Noto Sans CJK SC"/>
        <family val="2"/>
      </rPr>
      <t xml:space="preserve">情境差異集中在命題驅動：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＝公司容量目標速度＋新產能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＝資本支出指引隱含速度（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）＋基準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同速度（資本支出照指引）＋新產能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價格軸低。非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業務三情境相同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</si>
  <si>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</si>
  <si>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t xml:space="preserve">1H26A</t>
  </si>
  <si>
    <t xml:space="preserve">2H26E</t>
  </si>
  <si>
    <r>
      <rPr>
        <b val="true"/>
        <sz val="11"/>
        <rFont val="Cambria"/>
        <family val="0"/>
        <charset val="1"/>
      </rPr>
      <t xml:space="preserve">FY2026E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1H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模型）</t>
    </r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</si>
  <si>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</si>
  <si>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</si>
  <si>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</si>
  <si>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</si>
  <si>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</si>
  <si>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</si>
  <si>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t xml:space="preserve">1H25A</t>
  </si>
  <si>
    <t xml:space="preserve">2H25A</t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</si>
  <si>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容量（對外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MW-IT</t>
    </r>
    <r>
      <rPr>
        <b val="true"/>
        <sz val="11"/>
        <rFont val="Noto Sans CJK SC"/>
        <family val="2"/>
      </rPr>
      <t xml:space="preserve">；期末）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</si>
  <si>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MW × 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</si>
  <si>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終值不落在建置高峰（共同修正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</si>
  <si>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</si>
  <si>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mw_open</t>
    </r>
    <r>
      <rPr>
        <sz val="11"/>
        <color theme="1"/>
        <rFont val="Noto Sans CJK SC"/>
        <family val="2"/>
      </rPr>
      <t xml:space="preserve">；每年新增＝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（情境）；歷史年底值只用於分拆與折舊年份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</si>
  <si>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</si>
  <si>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t xml:space="preserve">期間長度</t>
  </si>
  <si>
    <r>
      <rPr>
        <sz val="11"/>
        <color theme="1"/>
        <rFont val="Noto Sans CJK SC"/>
        <family val="2"/>
      </rPr>
      <t xml:space="preserve">新增對外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</si>
  <si>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（含自用＝對外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</si>
  <si>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Calibri"/>
        <family val="2"/>
        <charset val="1"/>
      </rPr>
      <t xml:space="preserve">R–AA </t>
    </r>
    <r>
      <rPr>
        <sz val="11"/>
        <color theme="1"/>
        <rFont val="Noto Sans CJK SC"/>
        <family val="2"/>
      </rPr>
      <t xml:space="preserve">欄：依年份（折舊與汰換用）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</si>
  <si>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新增產能的世代與單位經濟（</t>
    </r>
    <r>
      <rPr>
        <b val="true"/>
        <sz val="11"/>
        <rFont val="Cambria"/>
        <family val="0"/>
        <charset val="1"/>
      </rPr>
      <t xml:space="preserve">Tokenomics v21.4 </t>
    </r>
    <r>
      <rPr>
        <b val="true"/>
        <sz val="11"/>
        <rFont val="Noto Sans CJK SC"/>
        <family val="2"/>
      </rPr>
      <t xml:space="preserve">基準成本；自研晶片以同期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世代計價，</t>
    </r>
    <r>
      <rPr>
        <b val="true"/>
        <sz val="11"/>
        <rFont val="Cambria"/>
        <family val="0"/>
        <charset val="1"/>
      </rPr>
      <t xml:space="preserve">C2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</si>
  <si>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</si>
  <si>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（含自研晶片係數）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</si>
  <si>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加權營運費用（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</si>
  <si>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；含自研晶片資本支出係數）</t>
    </r>
  </si>
  <si>
    <r>
      <rPr>
        <sz val="11"/>
        <color theme="1"/>
        <rFont val="Noto Sans CJK SC"/>
        <family val="2"/>
      </rPr>
      <t xml:space="preserve">期初後新增對外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累計（期末）</t>
    </r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</si>
  <si>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HoldEcon</t>
    </r>
  </si>
  <si>
    <t xml:space="preserve">US$m</t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</si>
  <si>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</si>
  <si>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color theme="1"/>
        <rFont val="Noto Sans CJK SC"/>
        <family val="2"/>
      </rPr>
      <t xml:space="preserve">新增機隊加權 </t>
    </r>
    <r>
      <rPr>
        <sz val="11"/>
        <color theme="1"/>
        <rFont val="Calibri"/>
        <family val="2"/>
        <charset val="1"/>
      </rPr>
      <t xml:space="preserve">HoldEcon</t>
    </r>
  </si>
  <si>
    <t xml:space="preserve">新增機隊加權營運費用</t>
  </si>
  <si>
    <r>
      <rPr>
        <sz val="11"/>
        <color theme="1"/>
        <rFont val="Noto Sans CJK SC"/>
        <family val="2"/>
      </rPr>
      <t xml:space="preserve">新增產能每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年收入＝新增機隊 </t>
    </r>
    <r>
      <rPr>
        <sz val="11"/>
        <color theme="1"/>
        <rFont val="Calibri"/>
        <family val="2"/>
        <charset val="1"/>
      </rPr>
      <t xml:space="preserve">HoldEcon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</si>
  <si>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期初機隊 </t>
    </r>
    <r>
      <rPr>
        <sz val="11"/>
        <color theme="1"/>
        <rFont val="Calibri"/>
        <family val="2"/>
        <charset val="1"/>
      </rPr>
      <t xml:space="preserve">2,080 MW </t>
    </r>
    <r>
      <rPr>
        <sz val="11"/>
        <color theme="1"/>
        <rFont val="Noto Sans CJK SC"/>
        <family val="2"/>
      </rPr>
      <t xml:space="preserve">三情境同用 </t>
    </r>
    <r>
      <rPr>
        <sz val="11"/>
        <color theme="1"/>
        <rFont val="Calibri"/>
        <family val="2"/>
        <charset val="1"/>
      </rPr>
      <t xml:space="preserve">rpm_open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只用於新產能</t>
    </r>
  </si>
  <si>
    <r>
      <rPr>
        <sz val="11"/>
        <color theme="1"/>
        <rFont val="Noto Sans CJK SC"/>
        <family val="2"/>
      </rPr>
      <t xml:space="preserve">新增產能平均在役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</si>
  <si>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r>
      <rPr>
        <b val="true"/>
        <sz val="11"/>
        <rFont val="Cambria"/>
        <family val="0"/>
        <charset val="1"/>
      </rPr>
      <t xml:space="preserve">3. AWS AI </t>
    </r>
    <r>
      <rPr>
        <b val="true"/>
        <sz val="11"/>
        <rFont val="Noto Sans CJK SC"/>
        <family val="2"/>
      </rPr>
      <t xml:space="preserve">損益（收入端不乘 </t>
    </r>
    <r>
      <rPr>
        <b val="true"/>
        <sz val="11"/>
        <rFont val="Cambria"/>
        <family val="0"/>
        <charset val="1"/>
      </rPr>
      <t xml:space="preserve">IF_Util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MW-year </t>
    </r>
    <r>
      <rPr>
        <b val="true"/>
        <sz val="11"/>
        <rFont val="Noto Sans CJK SC"/>
        <family val="2"/>
      </rPr>
      <t xml:space="preserve">計價）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</si>
  <si>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營收（命題子列）</t>
    </r>
  </si>
  <si>
    <r>
      <rPr>
        <sz val="11"/>
        <color theme="1"/>
        <rFont val="Noto Sans CJK SC"/>
        <family val="2"/>
      </rPr>
      <t xml:space="preserve">實績欄為分拆估計（期初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），不是公司揭露值</t>
    </r>
  </si>
  <si>
    <r>
      <rPr>
        <sz val="11"/>
        <color theme="1"/>
        <rFont val="Noto Sans CJK SC"/>
        <family val="2"/>
      </rPr>
      <t xml:space="preserve">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</si>
  <si>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營運成本（含自用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、租用機房租金 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</si>
  <si>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</si>
  <si>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其他營收（非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</si>
  <si>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分拆估計（殘差，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</si>
  <si>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</si>
  <si>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Noto Sans CJK SC"/>
        <family val="2"/>
      </rPr>
      <t xml:space="preserve">起點＝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欄）受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分拆低估影響偏高，只列不用；收斂到 </t>
    </r>
    <r>
      <rPr>
        <sz val="11"/>
        <color theme="1"/>
        <rFont val="Calibri"/>
        <family val="2"/>
        <charset val="1"/>
      </rPr>
      <t xml:space="preserve">g_awso_lt</t>
    </r>
  </si>
  <si>
    <r>
      <rPr>
        <b val="true"/>
        <sz val="11"/>
        <rFont val="Cambria"/>
        <family val="0"/>
        <charset val="1"/>
      </rPr>
      <t xml:space="preserve">4. AI </t>
    </r>
    <r>
      <rPr>
        <b val="true"/>
        <sz val="11"/>
        <rFont val="Noto Sans CJK SC"/>
        <family val="2"/>
      </rPr>
      <t xml:space="preserve">資本支出（現金）→ 折舊（</t>
    </r>
    <r>
      <rPr>
        <b val="true"/>
        <sz val="11"/>
        <rFont val="Cambria"/>
        <family val="0"/>
        <charset val="1"/>
      </rPr>
      <t xml:space="preserve">IT 6 </t>
    </r>
    <r>
      <rPr>
        <b val="true"/>
        <sz val="11"/>
        <rFont val="Noto Sans CJK SC"/>
        <family val="2"/>
      </rPr>
      <t xml:space="preserve">年、機房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年；次年起提列）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</si>
  <si>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資本支出（零售＋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</si>
  <si>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比例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</si>
  <si>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資本支出（現金，含自用）</t>
    </r>
  </si>
  <si>
    <r>
      <rPr>
        <sz val="11"/>
        <color theme="1"/>
        <rFont val="Noto Sans CJK SC"/>
        <family val="2"/>
      </rPr>
      <t xml:space="preserve">實績＝公司資本支出淨額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（零售 </t>
    </r>
    <r>
      <rPr>
        <sz val="11"/>
        <color theme="1"/>
        <rFont val="Calibri"/>
        <family val="2"/>
        <charset val="1"/>
      </rPr>
      <t xml:space="preserve">cx_rt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cx_awso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220 − </t>
    </r>
    <r>
      <rPr>
        <sz val="11"/>
        <color theme="1"/>
        <rFont val="Noto Sans CJK SC"/>
        <family val="2"/>
      </rPr>
      <t xml:space="preserve">上半年 − 非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；之後＝新增 </t>
    </r>
    <r>
      <rPr>
        <sz val="11"/>
        <color theme="1"/>
        <rFont val="Calibri"/>
        <family val="2"/>
        <charset val="1"/>
      </rPr>
      <t xml:space="preserve">MW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＋自建機房）＋汰換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</si>
  <si>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汰換（折舊年限前新增的總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</si>
  <si>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資本支出：折舊基礎（實績期以新增在役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成本為上限）</t>
    </r>
  </si>
  <si>
    <r>
      <rPr>
        <sz val="11"/>
        <color theme="1"/>
        <rFont val="Noto Sans CJK SC"/>
        <family val="2"/>
      </rPr>
      <t xml:space="preserve">修正二：實績期超出新增在役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資本支出不提折舊、不計入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投入資本（視為在建或非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</si>
  <si>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實績期未轉為在役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資本支出（不提折舊）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</si>
  <si>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</t>
    </r>
  </si>
  <si>
    <t xml:space="preserve">  其中機房（自建部分）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</si>
  <si>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資本支出占公司資本支出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</si>
  <si>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</si>
  <si>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</si>
  <si>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折舊合計（對外 → 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；自用 → 零售分部）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</si>
  <si>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（期末）</t>
    </r>
  </si>
  <si>
    <r>
      <rPr>
        <b val="true"/>
        <sz val="11"/>
        <rFont val="Cambria"/>
        <family val="0"/>
        <charset val="1"/>
      </rPr>
      <t xml:space="preserve">5. AWS AI </t>
    </r>
    <r>
      <rPr>
        <b val="true"/>
        <sz val="11"/>
        <rFont val="Noto Sans CJK SC"/>
        <family val="2"/>
      </rPr>
      <t xml:space="preserve">營業利益、自用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成本、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</si>
  <si>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AWS AI EBITDA</t>
    </r>
    <r>
      <rPr>
        <sz val="11"/>
        <color theme="1"/>
        <rFont val="Noto Sans CJK SC"/>
        <family val="2"/>
      </rPr>
      <t xml:space="preserve">＝營收 − 對外比例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</si>
  <si>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營業利益＝</t>
    </r>
    <r>
      <rPr>
        <b val="true"/>
        <sz val="11"/>
        <rFont val="Cambria"/>
        <family val="0"/>
        <charset val="1"/>
      </rPr>
      <t xml:space="preserve">EBITDA − </t>
    </r>
    <r>
      <rPr>
        <b val="true"/>
        <sz val="11"/>
        <rFont val="Noto Sans CJK SC"/>
        <family val="2"/>
      </rPr>
      <t xml:space="preserve">對外比例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</si>
  <si>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  AWS AI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</si>
  <si>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HoldEcon × 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；非財報營收）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</si>
  <si>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（主值）；只進評價口徑（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評價口徑、分部加總零售本業）；實績欄為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</si>
  <si>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成本（營運＋折舊；分攤到北美／國際，財報口徑）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</si>
  <si>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</si>
  <si>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其他營業利益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</si>
  <si>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營業利益（殘差）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</si>
  <si>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其他營業利益率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</si>
  <si>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起固定為近四季（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）殘差利益率（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</si>
  <si>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</si>
  <si>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折舊攤銷（分部）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</si>
  <si>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命題指標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</si>
  <si>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對外分攤的平均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</si>
  <si>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：分子分母同口徑（對外）</t>
    </r>
  </si>
  <si>
    <r>
      <rPr>
        <sz val="11"/>
        <color theme="1"/>
        <rFont val="Noto Sans CJK SC"/>
        <family val="2"/>
      </rPr>
      <t xml:space="preserve">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</si>
  <si>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打平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所需的機隊平均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</si>
  <si>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上限檢查：全機隊每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</si>
  <si>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上限，不得作預測；只作檢查</t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</si>
  <si>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</si>
  <si>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</si>
  <si>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營收線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Physical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Advertising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Subscription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（零售各線合計＝北美＋國際）與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（命題子列，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其他。核對列（綠底）每情境每年度皆須為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</si>
  <si>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</si>
  <si>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2H25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校準係數；</t>
    </r>
    <r>
      <rPr>
        <b val="true"/>
        <sz val="11"/>
        <rFont val="Cambria"/>
        <family val="0"/>
        <charset val="1"/>
      </rPr>
      <t xml:space="preserve">2027–2030 </t>
    </r>
    <r>
      <rPr>
        <b val="true"/>
        <sz val="11"/>
        <rFont val="Noto Sans CJK SC"/>
        <family val="2"/>
      </rPr>
      <t xml:space="preserve">年增由 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年增線性收斂到長期值；</t>
    </r>
    <r>
      <rPr>
        <b val="true"/>
        <sz val="11"/>
        <rFont val="Cambria"/>
        <family val="0"/>
        <charset val="1"/>
      </rPr>
      <t xml:space="preserve">2031–2032</t>
    </r>
    <r>
      <rPr>
        <b val="true"/>
        <sz val="11"/>
        <rFont val="Noto Sans CJK SC"/>
        <family val="2"/>
      </rPr>
      <t xml:space="preserve">＝長期值）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</si>
  <si>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頁實績；預測＝前期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</si>
  <si>
    <r>
      <rPr>
        <sz val="11"/>
        <color theme="1"/>
        <rFont val="Calibri"/>
        <family val="2"/>
        <charset val="1"/>
      </rPr>
      <t xml:space="preserve">  Online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</si>
  <si>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g_os</t>
    </r>
  </si>
  <si>
    <r>
      <rPr>
        <sz val="11"/>
        <color theme="1"/>
        <rFont val="Calibri"/>
        <family val="2"/>
        <charset val="1"/>
      </rPr>
      <t xml:space="preserve">  Physical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</si>
  <si>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g_ps</t>
    </r>
  </si>
  <si>
    <r>
      <rPr>
        <sz val="11"/>
        <color theme="1"/>
        <rFont val="Calibri"/>
        <family val="2"/>
        <charset val="1"/>
      </rPr>
      <t xml:space="preserve">  Third-party seller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</si>
  <si>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g_sp</t>
    </r>
  </si>
  <si>
    <r>
      <rPr>
        <sz val="11"/>
        <color theme="1"/>
        <rFont val="Calibri"/>
        <family val="2"/>
        <charset val="1"/>
      </rPr>
      <t xml:space="preserve">  Advertising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</si>
  <si>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g_ad</t>
    </r>
  </si>
  <si>
    <r>
      <rPr>
        <sz val="11"/>
        <color theme="1"/>
        <rFont val="Calibri"/>
        <family val="2"/>
        <charset val="1"/>
      </rPr>
      <t xml:space="preserve">  Subscription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</si>
  <si>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g_sub</t>
    </r>
  </si>
  <si>
    <r>
      <rPr>
        <sz val="11"/>
        <color theme="1"/>
        <rFont val="Calibri"/>
        <family val="2"/>
        <charset val="1"/>
      </rPr>
      <t xml:space="preserve">  Other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</si>
  <si>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g_ot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</si>
  <si>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零售營收校準係數（使隱含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營收＝指引中點）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</si>
  <si>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合併營收目標＝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比例）− 主頁情境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AWS 2H26</t>
    </r>
    <r>
      <rPr>
        <sz val="11"/>
        <color theme="1"/>
        <rFont val="Noto Sans CJK SC"/>
        <family val="2"/>
      </rPr>
      <t xml:space="preserve">；三情境與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共用同一係數（修正二），零售不隨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分拆變動（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時點已含在指引中）</t>
    </r>
  </si>
  <si>
    <r>
      <rPr>
        <b val="true"/>
        <sz val="11"/>
        <rFont val="Noto Sans CJK SC"/>
        <family val="2"/>
      </rPr>
      <t xml:space="preserve">零售營收線合計（＝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）</t>
    </r>
  </si>
  <si>
    <t xml:space="preserve">北美占零售營收比例（地區分攤）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</si>
  <si>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起固定為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）；各營收線不分地區揭露，故以本列分攤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</si>
  <si>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</si>
  <si>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</si>
  <si>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廣告營收歸北美（＝廣告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</si>
  <si>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廣告營收依零售營收的地區比例分攤（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；公司未分地區揭露）</t>
    </r>
  </si>
  <si>
    <t xml:space="preserve">廣告營收歸國際</t>
  </si>
  <si>
    <r>
      <rPr>
        <b val="true"/>
        <sz val="11"/>
        <rFont val="Cambria"/>
        <family val="0"/>
        <charset val="1"/>
      </rPr>
      <t xml:space="preserve">2. AWS</t>
    </r>
    <r>
      <rPr>
        <b val="true"/>
        <sz val="11"/>
        <rFont val="Noto Sans CJK SC"/>
        <family val="2"/>
      </rPr>
      <t xml:space="preserve">（命題子列＋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其他）與合併營收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</si>
  <si>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</si>
  <si>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</si>
  <si>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</si>
  <si>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官方分部＝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營收線</t>
    </r>
  </si>
  <si>
    <t xml:space="preserve">合併營收（實績＝公司揭露；預測＝營收線加總）</t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</si>
  <si>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</si>
  <si>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</si>
  <si>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）：分部合計 − 合併營收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</si>
  <si>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</si>
  <si>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占合併營收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</si>
  <si>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</si>
  <si>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</si>
  <si>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</si>
  <si>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</si>
  <si>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</si>
  <si>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</si>
  <si>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</si>
  <si>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</si>
  <si>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</si>
  <si>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。廣告利潤率 </t>
    </r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驅動北美／國際利益率（廣告營收依零售地區比例分攤；零售本業利益率＝分部利益扣廣告利潤後的殘差）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</si>
  <si>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4–10 </t>
    </r>
    <r>
      <rPr>
        <sz val="11"/>
        <color theme="1"/>
        <rFont val="Noto Sans CJK SC"/>
        <family val="2"/>
      </rPr>
      <t xml:space="preserve">列：跨情境核對（三情境絕對值合計；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讀本區）；實績欄為公司揭露值的核對</t>
    </r>
  </si>
  <si>
    <r>
      <rPr>
        <b val="true"/>
        <sz val="11"/>
        <rFont val="Noto Sans CJK SC"/>
        <family val="2"/>
      </rPr>
      <t xml:space="preserve">跨情境核對（三情境絕對值合計；應全為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</si>
  <si>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</si>
  <si>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t xml:space="preserve">檢查：分部營業利益合計 − 合併營業利益</t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</si>
  <si>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</si>
  <si>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營收線與官方分部）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</si>
  <si>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（營收線＝分部）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</si>
  <si>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</si>
  <si>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分部營業利益（廣告利潤率 </t>
    </r>
    <r>
      <rPr>
        <b val="true"/>
        <sz val="11"/>
        <rFont val="Cambria"/>
        <family val="0"/>
        <charset val="1"/>
      </rPr>
      <t xml:space="preserve">m_ad </t>
    </r>
    <r>
      <rPr>
        <b val="true"/>
        <sz val="11"/>
        <rFont val="Noto Sans CJK SC"/>
        <family val="2"/>
      </rPr>
      <t xml:space="preserve">計入北美／國際；零售本業利益率＝殘差；自用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成本按北美比例分攤）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</si>
  <si>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</si>
  <si>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</si>
  <si>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</si>
  <si>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</si>
  <si>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(1H26 − 1H25)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每年＋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step</t>
    </r>
    <r>
      <rPr>
        <sz val="11"/>
        <color theme="1"/>
        <rFont val="Noto Sans CJK SC"/>
        <family val="2"/>
      </rPr>
      <t xml:space="preserve">；之後持平</t>
    </r>
  </si>
  <si>
    <r>
      <rPr>
        <b val="true"/>
        <sz val="11"/>
        <rFont val="Cambria"/>
        <family val="0"/>
        <charset val="1"/>
      </rPr>
      <t xml:space="preserve">North America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</si>
  <si>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</si>
  <si>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</si>
  <si>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</si>
  <si>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</si>
  <si>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International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</si>
  <si>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營業利益（命題子列）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</si>
  <si>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</si>
  <si>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未分攤（公司層；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</si>
  <si>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</si>
  <si>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；非財報營收；按北美比例分攤到北美／國際）</t>
    </r>
  </si>
  <si>
    <t xml:space="preserve">營收列與分部對帳不動</t>
  </si>
  <si>
    <r>
      <rPr>
        <sz val="11"/>
        <color theme="1"/>
        <rFont val="Noto Sans CJK SC"/>
        <family val="2"/>
      </rPr>
      <t xml:space="preserve">營業利益（評價口徑＝合併營業利益＋自用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</si>
  <si>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</si>
  <si>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</si>
  <si>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</si>
  <si>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營業利益率</t>
    </r>
  </si>
  <si>
    <t xml:space="preserve">合併營業利益率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</si>
  <si>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分部折舊攤銷（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（分部加總評價用）</t>
    </r>
  </si>
  <si>
    <r>
      <rPr>
        <sz val="11"/>
        <color theme="1"/>
        <rFont val="Noto Sans CJK SC"/>
        <family val="2"/>
      </rPr>
      <t xml:space="preserve">零售非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</si>
  <si>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分部折舊攤銷合計（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；不含影音內容與營業租賃資產）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</si>
  <si>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：廣告（＝廣告利潤，未分攤折舊）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</si>
  <si>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：零售本業（北美＋國際 營業利益＋折舊 − 廣告利潤；含自用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</si>
  <si>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</si>
  <si>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AI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</si>
  <si>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（營業利益＋分部折舊攤銷）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</si>
  <si>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業外、稅、淨利、</t>
    </r>
    <r>
      <rPr>
        <b val="true"/>
        <sz val="11"/>
        <rFont val="Cambria"/>
        <family val="0"/>
        <charset val="1"/>
      </rPr>
      <t xml:space="preserve">EPS</t>
    </r>
  </si>
  <si>
    <t xml:space="preserve">利息收入（預測；實績含在業外其他）</t>
  </si>
  <si>
    <r>
      <rPr>
        <sz val="11"/>
        <color theme="1"/>
        <rFont val="Noto Sans CJK SC"/>
        <family val="2"/>
      </rPr>
      <t xml:space="preserve">業外其他（含利息收入與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等持股評價損益；預測期設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</si>
  <si>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持股價值另在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頁加入（不重複計算）</t>
    </r>
  </si>
  <si>
    <r>
      <rPr>
        <sz val="11"/>
        <color theme="1"/>
        <rFont val="Noto Sans CJK SC"/>
        <family val="2"/>
      </rPr>
      <t xml:space="preserve">無回購；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稀釋每年 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</si>
  <si>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Noto Sans CJK SC"/>
        <family val="2"/>
      </rPr>
      <t xml:space="preserve">淨利（評價口徑＝淨利＋影子效益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</si>
  <si>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（評價口徑，稀釋）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</si>
  <si>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（財報口徑，稀釋）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</si>
  <si>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（不含業外其他，近似：扣除業外其他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</si>
  <si>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上半年業外含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評價利益約 </t>
    </r>
    <r>
      <rPr>
        <sz val="11"/>
        <color theme="1"/>
        <rFont val="Calibri"/>
        <family val="2"/>
        <charset val="1"/>
      </rPr>
      <t xml:space="preserve">69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</si>
  <si>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</si>
  <si>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</si>
  <si>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</si>
  <si>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</si>
  <si>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</si>
  <si>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</si>
  <si>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</si>
  <si>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營運現金（淨利＋分部折舊＋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其他＋零售）− 融資租賃本金 → 自由現金流；股利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無）；現金低於最低現金即舉債</t>
    </r>
  </si>
  <si>
    <t xml:space="preserve">收支關卡（地圖讀取；列標籤固定）</t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</si>
  <si>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</si>
  <si>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</si>
  <si>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</si>
  <si>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情境加權</t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</si>
  <si>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</si>
  <si>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</t>
    </r>
    <r>
      <rPr>
        <sz val="11"/>
        <color theme="1"/>
        <rFont val="Noto Sans CJK SC"/>
        <family val="2"/>
      </rPr>
      <t xml:space="preserve">（首年起五年；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模型）自由現金流扣股利合計；負值＝入不敷出（地圖收支關卡）</t>
    </r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</si>
  <si>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新增借款合計（不含已發行債券）</t>
    </r>
  </si>
  <si>
    <t xml:space="preserve">是否需要舉債</t>
  </si>
  <si>
    <r>
      <rPr>
        <sz val="11"/>
        <color theme="1"/>
        <rFont val="Noto Sans CJK SC"/>
        <family val="2"/>
      </rPr>
      <t xml:space="preserve">已發行的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下半年債券 </t>
    </r>
    <r>
      <rPr>
        <sz val="11"/>
        <color theme="1"/>
        <rFont val="Calibri"/>
        <family val="2"/>
        <charset val="1"/>
      </rPr>
      <t xml:space="preserve">29.25 </t>
    </r>
    <r>
      <rPr>
        <sz val="11"/>
        <color theme="1"/>
        <rFont val="Noto Sans CJK SC"/>
        <family val="2"/>
      </rPr>
      <t xml:space="preserve">不計；現金低於最低現金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時舉債</t>
    </r>
  </si>
  <si>
    <t xml:space="preserve">回購是否需停止</t>
  </si>
  <si>
    <r>
      <rPr>
        <sz val="11"/>
        <color theme="1"/>
        <rFont val="Noto Sans CJK SC"/>
        <family val="2"/>
      </rPr>
      <t xml:space="preserve">無回購可減（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</si>
  <si>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自由現金流（扣股利）</t>
    </r>
  </si>
  <si>
    <t xml:space="preserve">檢查：收支關卡＝首年起五年自由現金流扣股利（逐欄加總；三情境絕對值合計）</t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</si>
  <si>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</si>
  <si>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分部折舊攤銷（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</si>
  <si>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股份基礎給付（加回）</t>
  </si>
  <si>
    <t xml:space="preserve">其他營運項目（營運資金、影音內容與租賃現金支出、非現金業外）</t>
  </si>
  <si>
    <r>
      <rPr>
        <sz val="11"/>
        <color theme="1"/>
        <rFont val="Calibri"/>
        <family val="2"/>
        <charset val="1"/>
      </rPr>
      <t xml:space="preserve">oth_r </t>
    </r>
    <r>
      <rPr>
        <sz val="11"/>
        <color theme="1"/>
        <rFont val="Noto Sans CJK SC"/>
        <family val="2"/>
      </rPr>
      <t xml:space="preserve">已含營運資金（修正一：不再另加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營運資金，避免重複）；實績含持股評價利益的扣除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</si>
  <si>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</si>
  <si>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</t>
    </r>
  </si>
  <si>
    <r>
      <rPr>
        <sz val="11"/>
        <color theme="1"/>
        <rFont val="Noto Sans CJK SC"/>
        <family val="2"/>
      </rPr>
      <t xml:space="preserve">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</t>
    </r>
  </si>
  <si>
    <t xml:space="preserve">資本支出（現金，淨額）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</si>
  <si>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未揭露：以全年 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</si>
  <si>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自由現金流（營運現金流 − 資本支出 − 融資租賃本金）</t>
  </si>
  <si>
    <t xml:space="preserve">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</si>
  <si>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未配息</t>
    </r>
  </si>
  <si>
    <t xml:space="preserve">回購</t>
  </si>
  <si>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無回購；模型不設回購（無可減的回購）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</si>
  <si>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</si>
  <si>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</si>
  <si>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已發行債券（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</si>
  <si>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起）</t>
    </r>
  </si>
  <si>
    <t xml:space="preserve">借款前現金</t>
  </si>
  <si>
    <t xml:space="preserve">新增借款（現金低於最低現金時）</t>
  </si>
  <si>
    <r>
      <rPr>
        <sz val="11"/>
        <color theme="1"/>
        <rFont val="Noto Sans CJK SC"/>
        <family val="2"/>
      </rPr>
      <t xml:space="preserve">到期債務假設全數再融資（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</si>
  <si>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期末現金與有價證券</t>
  </si>
  <si>
    <t xml:space="preserve">期末債務面額</t>
  </si>
  <si>
    <t xml:space="preserve">淨負債（債務 − 現金；負值＝淨現金）</t>
  </si>
  <si>
    <r>
      <rPr>
        <sz val="11"/>
        <color theme="1"/>
        <rFont val="Noto Sans CJK SC"/>
        <family val="2"/>
      </rPr>
      <t xml:space="preserve">利息費用（既有債務 </t>
    </r>
    <r>
      <rPr>
        <sz val="11"/>
        <color theme="1"/>
        <rFont val="Calibri"/>
        <family val="2"/>
        <charset val="1"/>
      </rPr>
      <t xml:space="preserve">× kd_book</t>
    </r>
    <r>
      <rPr>
        <sz val="11"/>
        <color theme="1"/>
        <rFont val="Noto Sans CJK SC"/>
        <family val="2"/>
      </rPr>
      <t xml:space="preserve">＋新增債務 </t>
    </r>
    <r>
      <rPr>
        <sz val="11"/>
        <color theme="1"/>
        <rFont val="Calibri"/>
        <family val="2"/>
        <charset val="1"/>
      </rPr>
      <t xml:space="preserve">× kd_new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</si>
  <si>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y_cash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</si>
  <si>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收支關卡（本情境）：自由現金流扣股利 </t>
    </r>
    <r>
      <rPr>
        <b val="true"/>
        <sz val="11"/>
        <rFont val="Cambria"/>
        <family val="0"/>
        <charset val="1"/>
      </rPr>
      <t xml:space="preserve">FY2026–FY2030 </t>
    </r>
    <r>
      <rPr>
        <b val="true"/>
        <sz val="1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</si>
  <si>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）：收支關卡＝首年起五年自由現金流扣股利（逐欄加總）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</si>
  <si>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</si>
  <si>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）：收支關卡＝首年起五年自由現金流扣股利（逐欄加總）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</si>
  <si>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</si>
  <si>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）：收支關卡＝首年起五年自由現金流扣股利（逐欄加總）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</si>
  <si>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；五級投資建議</t>
    </r>
  </si>
  <si>
    <r>
      <rPr>
        <b val="true"/>
        <sz val="12"/>
        <rFont val="Cambria"/>
        <family val="0"/>
        <charset val="1"/>
      </rPr>
      <t xml:space="preserve">0. </t>
    </r>
    <r>
      <rPr>
        <b val="true"/>
        <sz val="12"/>
        <rFont val="Noto Sans CJK SC"/>
        <family val="2"/>
      </rPr>
      <t xml:space="preserve">目標價（工作單第 </t>
    </r>
    <r>
      <rPr>
        <b val="true"/>
        <sz val="12"/>
        <rFont val="Cambria"/>
        <family val="0"/>
        <charset val="1"/>
      </rPr>
      <t xml:space="preserve">2 </t>
    </r>
    <r>
      <rPr>
        <b val="true"/>
        <sz val="12"/>
        <rFont val="Noto Sans CJK SC"/>
        <family val="2"/>
      </rPr>
      <t xml:space="preserve">節；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半導體 </t>
    </r>
    <r>
      <rPr>
        <b val="true"/>
        <sz val="12"/>
        <rFont val="Cambria"/>
        <family val="0"/>
        <charset val="1"/>
      </rPr>
      <t xml:space="preserve">v2 </t>
    </r>
    <r>
      <rPr>
        <b val="true"/>
        <sz val="12"/>
        <rFont val="Noto Sans CJK SC"/>
        <family val="2"/>
      </rPr>
      <t xml:space="preserve">口徑：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各半，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在分部層做＝分部加總）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</si>
  <si>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</si>
  <si>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FCFF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折到 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，再以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</si>
  <si>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（分部加總）情境價值</t>
    </r>
  </si>
  <si>
    <r>
      <rPr>
        <sz val="11"/>
        <color theme="1"/>
        <rFont val="Noto Sans CJK SC"/>
        <family val="2"/>
      </rPr>
      <t xml:space="preserve">廣告、零售本業、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各乘同業倍數；＋持股 − 淨負債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</si>
  <si>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</si>
  <si>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</t>
    </r>
  </si>
  <si>
    <t xml:space="preserve">情境權重</t>
  </si>
  <si>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</t>
    </r>
  </si>
  <si>
    <t xml:space="preserve">核心問題（一）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</si>
  <si>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自由現金流扣股利</t>
    </r>
  </si>
  <si>
    <t xml:space="preserve">核心問題（二）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</si>
  <si>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</si>
  <si>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</si>
  <si>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t xml:space="preserve">FY2028 EPS</t>
  </si>
  <si>
    <r>
      <rPr>
        <sz val="11"/>
        <color theme="1"/>
        <rFont val="Noto Sans CJK SC"/>
        <family val="2"/>
      </rPr>
      <t xml:space="preserve">收支關卡（各情境）：自由現金流扣股利 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</si>
  <si>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</si>
  <si>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</si>
  <si>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</si>
  <si>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</si>
  <si>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分部加總（工作單：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</si>
  <si>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</si>
  <si>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情境目標價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</si>
  <si>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</si>
  <si>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</si>
  <si>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</si>
  <si>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</si>
  <si>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</si>
  <si>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</si>
  <si>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</si>
  <si>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</si>
  <si>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 Global 60 </t>
    </r>
    <r>
      <rPr>
        <sz val="11"/>
        <color theme="1"/>
        <rFont val="Noto Sans CJK SC"/>
        <family val="2"/>
      </rPr>
      <t xml:space="preserve">位平均（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</si>
  <si>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上檔空間：市場共識目標價</t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</si>
  <si>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</si>
  <si>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</si>
  <si>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</si>
  <si>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收支關卡（引用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頁）：自由現金流扣股利五年合計（情境加權）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</si>
  <si>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</si>
  <si>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</si>
  <si>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（評價口徑，含讀法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影子效益）＋分部折舊 − 資本支出＋其他營運項目（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不加回、股數用流通股數；融資租賃負債列淨負債，本金不另扣），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β Blume </t>
    </r>
    <r>
      <rPr>
        <sz val="11"/>
        <color theme="1"/>
        <rFont val="Noto Sans CJK SC"/>
        <family val="2"/>
      </rPr>
      <t xml:space="preserve">調整、</t>
    </r>
    <r>
      <rPr>
        <sz val="11"/>
        <color theme="1"/>
        <rFont val="Calibri"/>
        <family val="2"/>
        <charset val="1"/>
      </rPr>
      <t xml:space="preserve">rf 2026-10-26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利差、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含類債務），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期中折現，永續價值＝</t>
    </r>
    <r>
      <rPr>
        <sz val="11"/>
        <color theme="1"/>
        <rFont val="Calibri"/>
        <family val="2"/>
        <charset val="1"/>
      </rPr>
      <t xml:space="preserve">FY2033 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RONIC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；淨負債含融資租賃與融資義務；持股加回。分部加總：廣告、零售本業、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加回口徑，與同業倍數一致）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中位數；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＝自身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資本支出含汰換；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已在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年底淨負債中）；減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年底淨負債（含類債務）、加持股，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稀釋股數。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</si>
  <si>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只計成本）情境目標價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</si>
  <si>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區塊；主值為讀法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</si>
  <si>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：加權目標價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</si>
  <si>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：上檔空間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</si>
  <si>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：投資建議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</si>
  <si>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讀法（主值）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</si>
  <si>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（價值中性）；讀法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容量越大目標價越低，讀法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下容量對目標價大致中性</t>
    </r>
  </si>
  <si>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StockAnalysis EV ÷ MarketScreener NTM EBITDA </t>
    </r>
    <r>
      <rPr>
        <b val="true"/>
        <sz val="11"/>
        <rFont val="Noto Sans CJK SC"/>
        <family val="2"/>
      </rPr>
      <t xml:space="preserve">共識，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共用同業檔，本輪未更新）</t>
    </r>
  </si>
  <si>
    <t xml:space="preserve">同業</t>
  </si>
  <si>
    <t xml:space="preserve">代號</t>
  </si>
  <si>
    <t xml:space="preserve">NTM EV/EBITDA</t>
  </si>
  <si>
    <t xml:space="preserve">組別</t>
  </si>
  <si>
    <t xml:space="preserve">Walmart</t>
  </si>
  <si>
    <t xml:space="preserve">WMT</t>
  </si>
  <si>
    <t xml:space="preserve">零售</t>
  </si>
  <si>
    <t xml:space="preserve">S24</t>
  </si>
  <si>
    <t xml:space="preserve">Costco</t>
  </si>
  <si>
    <t xml:space="preserve">COST</t>
  </si>
  <si>
    <t xml:space="preserve">Target</t>
  </si>
  <si>
    <t xml:space="preserve">TGT</t>
  </si>
  <si>
    <t xml:space="preserve">Meta</t>
  </si>
  <si>
    <t xml:space="preserve">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</si>
  <si>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C18 </t>
    </r>
    <r>
      <rPr>
        <sz val="11"/>
        <color theme="1"/>
        <rFont val="Noto Sans CJK SC"/>
        <family val="2"/>
      </rPr>
      <t xml:space="preserve">共用組）</t>
    </r>
  </si>
  <si>
    <t xml:space="preserve">S23</t>
  </si>
  <si>
    <t xml:space="preserve">Pinterest</t>
  </si>
  <si>
    <t xml:space="preserve">PINS</t>
  </si>
  <si>
    <t xml:space="preserve">The Trade Desk</t>
  </si>
  <si>
    <t xml:space="preserve">TTD</t>
  </si>
  <si>
    <t xml:space="preserve">AppLovin</t>
  </si>
  <si>
    <t xml:space="preserve">APP</t>
  </si>
  <si>
    <t xml:space="preserve">Reddit</t>
  </si>
  <si>
    <t xml:space="preserve">RDDT</t>
  </si>
  <si>
    <t xml:space="preserve">Snap</t>
  </si>
  <si>
    <t xml:space="preserve">SNAP</t>
  </si>
  <si>
    <t xml:space="preserve">Oracle</t>
  </si>
  <si>
    <t xml:space="preserve">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</si>
  <si>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雲端（</t>
    </r>
    <r>
      <rPr>
        <sz val="11"/>
        <color theme="1"/>
        <rFont val="Calibri"/>
        <family val="2"/>
        <charset val="1"/>
      </rPr>
      <t xml:space="preserve">C12 </t>
    </r>
    <r>
      <rPr>
        <sz val="11"/>
        <color theme="1"/>
        <rFont val="Noto Sans CJK SC"/>
        <family val="2"/>
      </rPr>
      <t xml:space="preserve">共用組）</t>
    </r>
  </si>
  <si>
    <t xml:space="preserve">S22</t>
  </si>
  <si>
    <t xml:space="preserve">IBM</t>
  </si>
  <si>
    <t xml:space="preserve">SAP</t>
  </si>
  <si>
    <t xml:space="preserve">Salesforce</t>
  </si>
  <si>
    <t xml:space="preserve">CRM</t>
  </si>
  <si>
    <t xml:space="preserve">ServiceNow</t>
  </si>
  <si>
    <t xml:space="preserve">NOW</t>
  </si>
  <si>
    <t xml:space="preserve">Akamai</t>
  </si>
  <si>
    <t xml:space="preserve">AKAM</t>
  </si>
  <si>
    <t xml:space="preserve">Equinix</t>
  </si>
  <si>
    <t xml:space="preserve">EQIX</t>
  </si>
  <si>
    <t xml:space="preserve">DigitalOcean</t>
  </si>
  <si>
    <t xml:space="preserve">DOCN</t>
  </si>
  <si>
    <t xml:space="preserve">零售 中位數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</si>
  <si>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</t>
    </r>
  </si>
  <si>
    <t xml:space="preserve">數位廣告 中位數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</si>
  <si>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</si>
  <si>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 中位數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</si>
  <si>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</si>
  <si>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m_ai</t>
    </r>
    <r>
      <rPr>
        <sz val="11"/>
        <color theme="1"/>
        <rFont val="Noto Sans CJK SC"/>
        <family val="2"/>
      </rPr>
      <t xml:space="preserve">，對照表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）；對照 </t>
    </r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TTM 16.5×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260×</t>
    </r>
    <r>
      <rPr>
        <sz val="11"/>
        <color theme="1"/>
        <rFont val="Noto Sans CJK SC"/>
        <family val="2"/>
      </rPr>
      <t xml:space="preserve">（只作對照）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</si>
  <si>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</si>
  <si>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（基準日 </t>
    </r>
    <r>
      <rPr>
        <b val="true"/>
        <sz val="11"/>
        <rFont val="Cambria"/>
        <family val="0"/>
        <charset val="1"/>
      </rPr>
      <t xml:space="preserve">2026-12-31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期中折現；永續價值＝</t>
    </r>
    <r>
      <rPr>
        <b val="true"/>
        <sz val="11"/>
        <rFont val="Cambria"/>
        <family val="0"/>
        <charset val="1"/>
      </rPr>
      <t xml:space="preserve">FY2033 NOPAT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g ÷ RONIC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WACC − g</t>
    </r>
    <r>
      <rPr>
        <b val="true"/>
        <sz val="1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</si>
  <si>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＝營業利益（評價口徑，含自用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</si>
  <si>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＋分部折舊攤銷</t>
  </si>
  <si>
    <t xml:space="preserve">− 資本支出</t>
  </si>
  <si>
    <t xml:space="preserve">融資租賃本金（不扣：融資租賃負債已列入淨負債，修正二）</t>
  </si>
  <si>
    <t xml:space="preserve">＋其他營運項目</t>
  </si>
  <si>
    <r>
      <rPr>
        <b val="true"/>
        <sz val="11"/>
        <rFont val="Cambria"/>
        <family val="0"/>
        <charset val="1"/>
      </rPr>
      <t xml:space="preserve">FCFF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不加回，視同現金成本）</t>
    </r>
  </si>
  <si>
    <t xml:space="preserve">折現因子（期中）</t>
  </si>
  <si>
    <t xml:space="preserve">現值</t>
  </si>
  <si>
    <t xml:space="preserve">明確期現值合計</t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</si>
  <si>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</si>
  <si>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</si>
  <si>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</si>
  <si>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</si>
  <si>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年底，含融資租賃與融資義務）</t>
    </r>
  </si>
  <si>
    <r>
      <rPr>
        <sz val="11"/>
        <color theme="1"/>
        <rFont val="Noto Sans CJK SC"/>
        <family val="2"/>
      </rPr>
      <t xml:space="preserve">＋持股：</t>
    </r>
    <r>
      <rPr>
        <sz val="11"/>
        <color theme="1"/>
        <rFont val="Calibri"/>
        <family val="2"/>
        <charset val="1"/>
      </rPr>
      <t xml:space="preserve">(Anthropic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</t>
    </r>
  </si>
  <si>
    <t xml:space="preserve">股權價值</t>
  </si>
  <si>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sh_out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已視為現金成本，不另計稀釋）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</si>
  <si>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情境價值推到目標價時點（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ke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^tp_yf − </t>
    </r>
    <r>
      <rPr>
        <b val="true"/>
        <sz val="11"/>
        <rFont val="Noto Sans CJK SC"/>
        <family val="2"/>
      </rPr>
      <t xml:space="preserve">期間股利）</t>
    </r>
  </si>
  <si>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）：目標價時點的未來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1 − tp_yf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tp_yf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中位數；</t>
    </r>
    <r>
      <rPr>
        <b val="true"/>
        <sz val="11"/>
        <rFont val="Cambria"/>
        <family val="0"/>
        <charset val="1"/>
      </rPr>
      <t xml:space="preserve">EBITDA </t>
    </r>
    <r>
      <rPr>
        <b val="true"/>
        <sz val="11"/>
        <rFont val="Noto Sans CJK SC"/>
        <family val="2"/>
      </rPr>
      <t xml:space="preserve">用 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加回口徑（與同業倍數同口徑，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按營收比例分攤）；</t>
    </r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用自身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F3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</si>
  <si>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廣告：未來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</si>
  <si>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t xml:space="preserve">廣告：倍數</t>
  </si>
  <si>
    <r>
      <rPr>
        <sz val="11"/>
        <color theme="1"/>
        <rFont val="Noto Sans CJK SC"/>
        <family val="2"/>
      </rPr>
      <t xml:space="preserve">廣告：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</si>
  <si>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零售本業（讀法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：加回自用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營運成本，自用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</si>
  <si>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r>
      <rPr>
        <sz val="11"/>
        <color theme="1"/>
        <rFont val="Noto Sans CJK SC"/>
        <family val="2"/>
      </rPr>
      <t xml:space="preserve">零售本業（讀法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：加回自用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營運成本，自用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價值中性）：倍數</t>
    </r>
  </si>
  <si>
    <r>
      <rPr>
        <sz val="11"/>
        <color theme="1"/>
        <rFont val="Noto Sans CJK SC"/>
        <family val="2"/>
      </rPr>
      <t xml:space="preserve">零售本業（讀法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：加回自用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營運成本，自用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</si>
  <si>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</si>
  <si>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雲端）：倍數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</si>
  <si>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</si>
  <si>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自由現金流＝</t>
    </r>
    <r>
      <rPr>
        <sz val="11"/>
        <color theme="1"/>
        <rFont val="Calibri"/>
        <family val="2"/>
        <charset val="1"/>
      </rPr>
      <t xml:space="preserve">AI EBITDA −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營業利益 − 對外比例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資本支出（含汰換）</t>
    </r>
  </si>
  <si>
    <r>
      <rPr>
        <sz val="11"/>
        <color theme="1"/>
        <rFont val="Noto Sans CJK SC"/>
        <family val="2"/>
      </rPr>
      <t xml:space="preserve">  現值（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，期中）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</si>
  <si>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年底）＝</t>
    </r>
    <r>
      <rPr>
        <sz val="11"/>
        <color theme="1"/>
        <rFont val="Calibri"/>
        <family val="2"/>
        <charset val="1"/>
      </rPr>
      <t xml:space="preserve">FY2033 AI 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RONIC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</si>
  <si>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起的現金流推到目標價時點；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現金流已在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年底淨負債中）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</si>
  <si>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</si>
  <si>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AWS AI 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× m_ai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</si>
  <si>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：採用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ai_leg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：倍數）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</si>
  <si>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</si>
  <si>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年底，含融資租賃與融資義務）</t>
    </r>
  </si>
  <si>
    <t xml:space="preserve">股權價值（＋持股）</t>
  </si>
  <si>
    <t xml:space="preserve">分部加總每股價值（目標價時點）</t>
  </si>
  <si>
    <r>
      <rPr>
        <b val="true"/>
        <sz val="11"/>
        <rFont val="Noto Sans CJK SC"/>
        <family val="2"/>
      </rPr>
      <t xml:space="preserve">情境目標價＝</t>
    </r>
    <r>
      <rPr>
        <b val="true"/>
        <sz val="11"/>
        <rFont val="Cambria"/>
        <family val="0"/>
        <charset val="1"/>
      </rPr>
      <t xml:space="preserve">w_dcf × DCF</t>
    </r>
    <r>
      <rPr>
        <b val="true"/>
        <sz val="11"/>
        <rFont val="Noto Sans CJK SC"/>
        <family val="2"/>
      </rPr>
      <t xml:space="preserve">＋（</t>
    </r>
    <r>
      <rPr>
        <b val="true"/>
        <sz val="11"/>
        <rFont val="Cambria"/>
        <family val="0"/>
        <charset val="1"/>
      </rPr>
      <t xml:space="preserve">1 − w_dcf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分部加總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</si>
  <si>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權重（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</si>
  <si>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對照：分部加總每股價值（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</si>
  <si>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</si>
  <si>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</si>
  <si>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市場共識、公司指引與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。只作事後對照，不為對上數字而調參數（共同規則第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</si>
  <si>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</si>
  <si>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</si>
  <si>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</si>
  <si>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</si>
  <si>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差距（</t>
    </r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對照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</si>
  <si>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S&amp;P Global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</si>
  <si>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</si>
  <si>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</si>
  <si>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模型含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</si>
  <si>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</si>
  <si>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</si>
  <si>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FY2026 EBITDA</t>
  </si>
  <si>
    <r>
      <rPr>
        <sz val="11"/>
        <color theme="1"/>
        <rFont val="Noto Sans CJK SC"/>
        <family val="2"/>
      </rPr>
      <t xml:space="preserve">模型＝營業利益（財報口徑）＋分部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折舊；差距約一半是折舊口徑（不含影音內容與營業租賃資產攤銷，約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／年），約一半是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（供應商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加回，約 </t>
    </r>
    <r>
      <rPr>
        <sz val="11"/>
        <color theme="1"/>
        <rFont val="Calibri"/>
        <family val="2"/>
        <charset val="1"/>
      </rPr>
      <t xml:space="preserve">22–29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</si>
  <si>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</si>
  <si>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</si>
  <si>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財報口徑；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</si>
  <si>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模型財報口徑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</si>
  <si>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</si>
  <si>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</si>
  <si>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模型扣除業外其他（近似）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</si>
  <si>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</si>
  <si>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</t>
    </r>
  </si>
  <si>
    <t xml:space="preserve">模型扣融資租賃本金；供應商口徑未揭露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</si>
  <si>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</si>
  <si>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</si>
  <si>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t xml:space="preserve">FY2027 EBITDA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</si>
  <si>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</si>
  <si>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</si>
  <si>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模型財報口徑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</si>
  <si>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</si>
  <si>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</si>
  <si>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</si>
  <si>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</si>
  <si>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FY2028 EBITDA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</si>
  <si>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</si>
  <si>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</si>
  <si>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模型財報口徑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</si>
  <si>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</si>
  <si>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</si>
  <si>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分部與營收線共識（逐分部）</t>
    </r>
  </si>
  <si>
    <t xml:space="preserve">FY2026 North America</t>
  </si>
  <si>
    <t xml:space="preserve">未找到</t>
  </si>
  <si>
    <t xml:space="preserve">未找到：本輪未取得公開的分部共識（免費來源只有合併數；網路搜尋額度用盡）</t>
  </si>
  <si>
    <t xml:space="preserve">FY2027 North America</t>
  </si>
  <si>
    <t xml:space="preserve">FY2026 International</t>
  </si>
  <si>
    <t xml:space="preserve">FY2027 International</t>
  </si>
  <si>
    <t xml:space="preserve">FY2026 AWS</t>
  </si>
  <si>
    <t xml:space="preserve">FY2027 AWS</t>
  </si>
  <si>
    <t xml:space="preserve">FY2026 Advertising services</t>
  </si>
  <si>
    <t xml:space="preserve">FY2027 Advertising services</t>
  </si>
  <si>
    <r>
      <rPr>
        <sz val="11"/>
        <color theme="1"/>
        <rFont val="Calibri"/>
        <family val="2"/>
        <charset val="1"/>
      </rPr>
      <t xml:space="preserve">FY2026 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</si>
  <si>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</si>
  <si>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AWS AI</t>
    </r>
    <r>
      <rPr>
        <sz val="11"/>
        <color theme="1"/>
        <rFont val="Noto Sans CJK SC"/>
        <family val="2"/>
      </rPr>
      <t xml:space="preserve">（命題子列）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</si>
  <si>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公司指引與說法（驗證列；不用於校準）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</si>
  <si>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</si>
  <si>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法說（二手逐字稿）</t>
    </r>
  </si>
  <si>
    <r>
      <rPr>
        <sz val="11"/>
        <color theme="1"/>
        <rFont val="Calibri"/>
        <family val="2"/>
        <charset val="1"/>
      </rPr>
      <t xml:space="preserve">2H26 AI </t>
    </r>
    <r>
      <rPr>
        <sz val="11"/>
        <color theme="1"/>
        <rFont val="Noto Sans CJK SC"/>
        <family val="2"/>
      </rPr>
      <t xml:space="preserve">資本支出取 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指引下限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</si>
  <si>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模型隱含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× 2025Q3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</si>
  <si>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</si>
  <si>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197–202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時點約 −</t>
    </r>
    <r>
      <rPr>
        <sz val="11"/>
        <color theme="1"/>
        <rFont val="Calibri"/>
        <family val="2"/>
        <charset val="1"/>
      </rPr>
      <t xml:space="preserve">400bp</t>
    </r>
    <r>
      <rPr>
        <sz val="11"/>
        <color theme="1"/>
        <rFont val="Noto Sans CJK SC"/>
        <family val="2"/>
      </rPr>
      <t xml:space="preserve">、匯率 −</t>
    </r>
    <r>
      <rPr>
        <sz val="11"/>
        <color theme="1"/>
        <rFont val="Calibri"/>
        <family val="2"/>
        <charset val="1"/>
      </rPr>
      <t xml:space="preserve">80bp</t>
    </r>
    <r>
      <rPr>
        <sz val="11"/>
        <color theme="1"/>
        <rFont val="Noto Sans CJK SC"/>
        <family val="2"/>
      </rPr>
      <t xml:space="preserve">）；季節比例為 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</si>
  <si>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模型隱含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× 2025Q3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</si>
  <si>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22.5–26.5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營業利益含 </t>
    </r>
    <r>
      <rPr>
        <sz val="11"/>
        <color theme="1"/>
        <rFont val="Calibri"/>
        <family val="2"/>
        <charset val="1"/>
      </rPr>
      <t xml:space="preserve">FTC </t>
    </r>
    <r>
      <rPr>
        <sz val="11"/>
        <color theme="1"/>
        <rFont val="Noto Sans CJK SC"/>
        <family val="2"/>
      </rPr>
      <t xml:space="preserve">和解等一次性費用，比例偏低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</si>
  <si>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年化營收（評價日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</si>
  <si>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</si>
  <si>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：不回頭改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，差距本身是發現</t>
    </r>
  </si>
  <si>
    <r>
      <rPr>
        <sz val="11"/>
        <color theme="1"/>
        <rFont val="Noto Sans CJK SC"/>
        <family val="2"/>
      </rPr>
      <t xml:space="preserve">要對上公司說法：所需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</si>
  <si>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</si>
  <si>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要對上公司說法：所需對外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</si>
  <si>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對照期初 </t>
    </r>
    <r>
      <rPr>
        <sz val="11"/>
        <color theme="1"/>
        <rFont val="Calibri"/>
        <family val="2"/>
        <charset val="1"/>
      </rPr>
      <t xml:space="preserve">2,080 MW</t>
    </r>
  </si>
  <si>
    <r>
      <rPr>
        <sz val="11"/>
        <color theme="1"/>
        <rFont val="Noto Sans CJK SC"/>
        <family val="2"/>
      </rPr>
      <t xml:space="preserve">替代：期初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對上公司 </t>
    </r>
    <r>
      <rPr>
        <sz val="11"/>
        <color theme="1"/>
        <rFont val="Calibri"/>
        <family val="2"/>
        <charset val="1"/>
      </rPr>
      <t xml:space="preserve">run-rate </t>
    </r>
    <r>
      <rPr>
        <sz val="11"/>
        <color theme="1"/>
        <rFont val="Noto Sans CJK SC"/>
        <family val="2"/>
      </rPr>
      <t xml:space="preserve">時的情境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目標價變動（每股）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</si>
  <si>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頁案例</t>
    </r>
  </si>
  <si>
    <r>
      <rPr>
        <sz val="11"/>
        <color theme="1"/>
        <rFont val="Noto Sans CJK SC"/>
        <family val="2"/>
      </rPr>
      <t xml:space="preserve">不作主值（共同規則第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節：不以公司說法反推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其他的成長起點已改用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年增，不受此分拆影響</t>
    </r>
  </si>
  <si>
    <r>
      <rPr>
        <sz val="11"/>
        <color theme="1"/>
        <rFont val="Noto Sans CJK SC"/>
        <family val="2"/>
      </rPr>
      <t xml:space="preserve">上限檢查：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</si>
  <si>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Tokenomics v21.4</t>
  </si>
  <si>
    <r>
      <rPr>
        <b val="true"/>
        <sz val="11"/>
        <rFont val="Cambria"/>
        <family val="0"/>
        <charset val="1"/>
      </rPr>
      <t xml:space="preserve">D. v0.3 vs v0.2.2</t>
    </r>
    <r>
      <rPr>
        <b val="true"/>
        <sz val="11"/>
        <rFont val="Noto Sans CJK SC"/>
        <family val="2"/>
      </rPr>
      <t xml:space="preserve">：目標價差異拆解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</si>
  <si>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；現價 </t>
    </r>
    <r>
      <rPr>
        <sz val="11"/>
        <color theme="1"/>
        <rFont val="Calibri"/>
        <family val="2"/>
        <charset val="1"/>
      </rPr>
      <t xml:space="preserve">259.92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</si>
  <si>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</si>
  <si>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</si>
  <si>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t xml:space="preserve">總差異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</si>
  <si>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）評價權重：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 → </t>
    </r>
    <r>
      <rPr>
        <sz val="11"/>
        <color theme="1"/>
        <rFont val="Noto Sans CJK SC"/>
        <family val="2"/>
      </rPr>
      <t xml:space="preserve">各半（以情境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計）</t>
    </r>
  </si>
  <si>
    <t xml:space="preserve">方法變更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</si>
  <si>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）情境加權（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以基準情境為目標價）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</si>
  <si>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）其餘：營收結構改官方分部、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成本進分部營業利益、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永續法（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）、分部加總口徑、現價與日期</t>
    </r>
  </si>
  <si>
    <r>
      <rPr>
        <sz val="11"/>
        <color theme="1"/>
        <rFont val="Noto Sans CJK SC"/>
        <family val="2"/>
      </rPr>
      <t xml:space="preserve">未再細分：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引擎（</t>
    </r>
    <r>
      <rPr>
        <sz val="11"/>
        <color theme="1"/>
        <rFont val="Calibri"/>
        <family val="2"/>
        <charset val="1"/>
      </rPr>
      <t xml:space="preserve">legacy_v0.2</t>
    </r>
    <r>
      <rPr>
        <sz val="11"/>
        <color theme="1"/>
        <rFont val="Noto Sans CJK SC"/>
        <family val="2"/>
      </rPr>
      <t xml:space="preserve">）與本版結構不同，無法逐項替換重算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</si>
  <si>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上檔空間（基準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當時現價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</si>
  <si>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評等：賣出（舊三級口徑）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</si>
  <si>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）：對情境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目標價、</t>
    </r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營業利益率、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與收支關卡的影響。每個案例是一個完整推導區塊（本頁第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列起，與主頁同一引擎）</t>
    </r>
  </si>
  <si>
    <t xml:space="preserve">案例</t>
  </si>
  <si>
    <t xml:space="preserve">設定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</si>
  <si>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目標價</t>
    </r>
  </si>
  <si>
    <t xml:space="preserve">相對基準</t>
  </si>
  <si>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</t>
    </r>
  </si>
  <si>
    <t xml:space="preserve">收支關卡（五年）</t>
  </si>
  <si>
    <t xml:space="preserve">驅動類別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</si>
  <si>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</si>
  <si>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主頁情境 </t>
    </r>
    <r>
      <rPr>
        <sz val="11"/>
        <color theme="1"/>
        <rFont val="Calibri"/>
        <family val="2"/>
        <charset val="1"/>
      </rPr>
      <t xml:space="preserve">B</t>
    </r>
  </si>
  <si>
    <t xml:space="preserve">—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</si>
  <si>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低（價格軸低 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</si>
  <si>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0.574 </t>
    </r>
    <r>
      <rPr>
        <sz val="11"/>
        <color theme="1"/>
        <rFont val="Noto Sans CJK SC"/>
        <family val="2"/>
      </rPr>
      <t xml:space="preserve">混合</t>
    </r>
  </si>
  <si>
    <t xml:space="preserve">命題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</si>
  <si>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高（價格軸高 </t>
    </r>
    <r>
      <rPr>
        <sz val="11"/>
        <color theme="1"/>
        <rFont val="Calibri"/>
        <family val="2"/>
        <charset val="1"/>
      </rPr>
      <t xml:space="preserve">k_A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</si>
  <si>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</si>
  <si>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60%</t>
    </r>
  </si>
  <si>
    <t xml:space="preserve">C23 −20pt</t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</si>
  <si>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100%</t>
    </r>
  </si>
  <si>
    <t xml:space="preserve">C23 +20pt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</si>
  <si>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0.75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</si>
  <si>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 −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</si>
  <si>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1.25</t>
    </r>
  </si>
  <si>
    <t xml:space="preserve">+25%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</si>
  <si>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</si>
  <si>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6 </t>
    </r>
    <r>
      <rPr>
        <sz val="11"/>
        <color theme="1"/>
        <rFont val="Noto Sans CJK SC"/>
        <family val="2"/>
      </rPr>
      <t xml:space="preserve">年 →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</si>
  <si>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</si>
  <si>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6 → 7</t>
  </si>
  <si>
    <r>
      <rPr>
        <sz val="11"/>
        <color theme="1"/>
        <rFont val="Noto Sans CJK SC"/>
        <family val="2"/>
      </rPr>
      <t xml:space="preserve">自研晶片係數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（收入與資本支出）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</si>
  <si>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</si>
  <si>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（只計成本）</t>
    </r>
  </si>
  <si>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；主值為讀法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</si>
  <si>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對上公司 </t>
    </r>
    <r>
      <rPr>
        <sz val="11"/>
        <color theme="1"/>
        <rFont val="Calibri"/>
        <family val="2"/>
        <charset val="1"/>
      </rPr>
      <t xml:space="preserve">AI run-rate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</si>
  <si>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收入＝</t>
    </r>
    <r>
      <rPr>
        <sz val="11"/>
        <color theme="1"/>
        <rFont val="Calibri"/>
        <family val="2"/>
        <charset val="1"/>
      </rPr>
      <t xml:space="preserve">ai_rr ÷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1.23</t>
    </r>
    <r>
      <rPr>
        <sz val="11"/>
        <color theme="1"/>
        <rFont val="Noto Sans CJK SC"/>
        <family val="2"/>
      </rPr>
      <t xml:space="preserve">）；只作對照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</si>
  <si>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</si>
  <si>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低</t>
    </r>
  </si>
  <si>
    <t xml:space="preserve">業務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</si>
  <si>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</si>
  <si>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</si>
  <si>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</si>
  <si>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</si>
  <si>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</si>
  <si>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</si>
  <si>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</si>
  <si>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</si>
  <si>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</si>
  <si>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</si>
  <si>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</si>
  <si>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</si>
  <si>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</si>
  <si>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高</t>
    </r>
  </si>
  <si>
    <t xml:space="preserve">WACC −1pt</t>
  </si>
  <si>
    <t xml:space="preserve">評價</t>
  </si>
  <si>
    <t xml:space="preserve">WACC +1pt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</si>
  <si>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2%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</si>
  <si>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4%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</si>
  <si>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</si>
  <si>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</si>
  <si>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</si>
  <si>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Noto Sans CJK SC"/>
        <family val="2"/>
      </rPr>
      <t xml:space="preserve">零售、廣告、非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</si>
  <si>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1.2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</si>
  <si>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腿改用 </t>
    </r>
    <r>
      <rPr>
        <sz val="11"/>
        <color theme="1"/>
        <rFont val="Calibri"/>
        <family val="2"/>
        <charset val="1"/>
      </rPr>
      <t xml:space="preserve">EBITDA × 6×</t>
    </r>
  </si>
  <si>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</si>
  <si>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腿改用 </t>
    </r>
    <r>
      <rPr>
        <sz val="11"/>
        <color theme="1"/>
        <rFont val="Calibri"/>
        <family val="2"/>
        <charset val="1"/>
      </rPr>
      <t xml:space="preserve">EBITDA × 10×</t>
    </r>
  </si>
  <si>
    <r>
      <rPr>
        <sz val="11"/>
        <color theme="1"/>
        <rFont val="Noto Sans CJK SC"/>
        <family val="2"/>
      </rPr>
      <t xml:space="preserve">分部加總計入未來授予的稀釋（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不加回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</si>
  <si>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F2 </t>
    </r>
    <r>
      <rPr>
        <sz val="11"/>
        <color theme="1"/>
        <rFont val="Noto Sans CJK SC"/>
        <family val="2"/>
      </rPr>
      <t xml:space="preserve">敏感度；主值加回 </t>
    </r>
    <r>
      <rPr>
        <sz val="11"/>
        <color theme="1"/>
        <rFont val="Calibri"/>
        <family val="2"/>
        <charset val="1"/>
      </rPr>
      <t xml:space="preserve">SBC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</si>
  <si>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</si>
  <si>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</si>
  <si>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</si>
  <si>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</si>
  <si>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</si>
  <si>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</si>
  <si>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基準區塊目標價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</si>
  <si>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讀法：相對基準＝案例目標價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；每列只動一個輸入（自研晶片係數同時動收入與資本支出）。</t>
    </r>
  </si>
  <si>
    <r>
      <rPr>
        <b val="true"/>
        <sz val="11"/>
        <rFont val="Cambria"/>
        <family val="0"/>
        <charset val="1"/>
      </rPr>
      <t xml:space="preserve">WACC × </t>
    </r>
    <r>
      <rPr>
        <b val="true"/>
        <sz val="11"/>
        <rFont val="Noto Sans CJK SC"/>
        <family val="2"/>
      </rPr>
      <t xml:space="preserve">永續成長 </t>
    </r>
    <r>
      <rPr>
        <b val="true"/>
        <sz val="11"/>
        <rFont val="Cambria"/>
        <family val="0"/>
        <charset val="1"/>
      </rPr>
      <t xml:space="preserve">g </t>
    </r>
    <r>
      <rPr>
        <b val="true"/>
        <sz val="11"/>
        <rFont val="Noto Sans CJK SC"/>
        <family val="2"/>
      </rPr>
      <t xml:space="preserve">網格（情境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目標價；</t>
    </r>
    <r>
      <rPr>
        <b val="true"/>
        <sz val="11"/>
        <rFont val="Cambria"/>
        <family val="0"/>
        <charset val="1"/>
      </rPr>
      <t xml:space="preserve">F4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</si>
  <si>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調整</t>
    </r>
  </si>
  <si>
    <t xml:space="preserve">g 2%</t>
  </si>
  <si>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（基準）</t>
    </r>
  </si>
  <si>
    <t xml:space="preserve">g 4%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</si>
  <si>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</si>
  <si>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（只計成本）三情境（主值為讀法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</si>
  <si>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</si>
  <si>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t xml:space="preserve">目標價</t>
  </si>
  <si>
    <t xml:space="preserve">DCF</t>
  </si>
  <si>
    <t xml:space="preserve">分部加總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</si>
  <si>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</si>
  <si>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</si>
  <si>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（保守）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</si>
  <si>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</si>
  <si>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</si>
  <si>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</si>
  <si>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</si>
  <si>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</si>
  <si>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</si>
  <si>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</si>
  <si>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</si>
  <si>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</si>
  <si>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</si>
  <si>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</si>
  <si>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</si>
  <si>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</si>
  <si>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</si>
  <si>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</si>
  <si>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</si>
  <si>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</si>
  <si>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</si>
  <si>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</si>
  <si>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</si>
  <si>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</si>
  <si>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</si>
  <si>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</si>
  <si>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</si>
  <si>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</si>
  <si>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</si>
  <si>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</si>
  <si>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</si>
  <si>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</si>
  <si>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</si>
  <si>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</si>
  <si>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</si>
  <si>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</si>
  <si>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</si>
  <si>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</si>
  <si>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</si>
  <si>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</si>
  <si>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</si>
  <si>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</si>
  <si>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</si>
  <si>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</si>
  <si>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</si>
  <si>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</si>
  <si>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</si>
  <si>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</si>
  <si>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</si>
  <si>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</si>
  <si>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</si>
  <si>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</si>
  <si>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</si>
  <si>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（只計成本）：營收分部層（官方分部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</si>
  <si>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（只計成本）：命題模組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</si>
  <si>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（只計成本）：分部營收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</si>
  <si>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（只計成本）：營運現金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</si>
  <si>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（只計成本）：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</si>
  <si>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案例：期初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對上公司 </t>
    </r>
    <r>
      <rPr>
        <b val="true"/>
        <sz val="12"/>
        <rFont val="Cambria"/>
        <family val="0"/>
        <charset val="1"/>
      </rPr>
      <t xml:space="preserve">AI run-rate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&gt;25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</si>
  <si>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案例：期初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對上公司 </t>
    </r>
    <r>
      <rPr>
        <b val="true"/>
        <sz val="12"/>
        <rFont val="Cambria"/>
        <family val="0"/>
        <charset val="1"/>
      </rPr>
      <t xml:space="preserve">AI run-rate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&gt;25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</si>
  <si>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案例：期初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對上公司 </t>
    </r>
    <r>
      <rPr>
        <b val="true"/>
        <sz val="12"/>
        <rFont val="Cambria"/>
        <family val="0"/>
        <charset val="1"/>
      </rPr>
      <t xml:space="preserve">AI run-rate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&gt;25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</si>
  <si>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案例：期初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對上公司 </t>
    </r>
    <r>
      <rPr>
        <b val="true"/>
        <sz val="12"/>
        <rFont val="Cambria"/>
        <family val="0"/>
        <charset val="1"/>
      </rPr>
      <t xml:space="preserve">AI run-rate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&gt;25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</si>
  <si>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案例：期初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對上公司 </t>
    </r>
    <r>
      <rPr>
        <b val="true"/>
        <sz val="12"/>
        <rFont val="Cambria"/>
        <family val="0"/>
        <charset val="1"/>
      </rPr>
      <t xml:space="preserve">AI run-rate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&gt;25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</si>
  <si>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</si>
  <si>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</si>
  <si>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</si>
  <si>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</si>
  <si>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</si>
  <si>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</si>
  <si>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</si>
  <si>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</si>
  <si>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</si>
  <si>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</si>
  <si>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</si>
  <si>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</si>
  <si>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</si>
  <si>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</si>
  <si>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</si>
  <si>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</si>
  <si>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</si>
  <si>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</si>
  <si>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</si>
  <si>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</si>
  <si>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</si>
  <si>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</si>
  <si>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</si>
  <si>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</si>
  <si>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</si>
  <si>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</si>
  <si>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</si>
  <si>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</si>
  <si>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</si>
  <si>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</si>
  <si>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</si>
  <si>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</si>
  <si>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</si>
  <si>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</si>
  <si>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</si>
  <si>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</si>
  <si>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</si>
  <si>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</si>
  <si>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</si>
  <si>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</si>
  <si>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</si>
  <si>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</si>
  <si>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</si>
  <si>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</si>
  <si>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</si>
  <si>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</si>
  <si>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</si>
  <si>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</si>
  <si>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</si>
  <si>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</si>
  <si>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</si>
  <si>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</si>
  <si>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</si>
  <si>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</si>
  <si>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</si>
  <si>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</si>
  <si>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</si>
  <si>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</si>
  <si>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</si>
  <si>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</si>
  <si>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5pt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</si>
  <si>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5pt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</si>
  <si>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5pt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</si>
  <si>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5pt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</si>
  <si>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5pt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</si>
  <si>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</si>
  <si>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</si>
  <si>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</si>
  <si>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</si>
  <si>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</si>
  <si>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</si>
  <si>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</si>
  <si>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</si>
  <si>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</si>
  <si>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</si>
  <si>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6×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</si>
  <si>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6×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</si>
  <si>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6×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</si>
  <si>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6×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</si>
  <si>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6×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</si>
  <si>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10×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</si>
  <si>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10×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</si>
  <si>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10×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</si>
  <si>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10×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</si>
  <si>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腿改用 </t>
    </r>
    <r>
      <rPr>
        <b val="true"/>
        <sz val="12"/>
        <rFont val="Cambria"/>
        <family val="0"/>
        <charset val="1"/>
      </rPr>
      <t xml:space="preserve">EBITDA × 10×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</si>
  <si>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案例：分部加總計入未來授予的稀釋（</t>
    </r>
    <r>
      <rPr>
        <b val="true"/>
        <sz val="12"/>
        <rFont val="Cambria"/>
        <family val="0"/>
        <charset val="1"/>
      </rPr>
      <t xml:space="preserve">EBITDA </t>
    </r>
    <r>
      <rPr>
        <b val="true"/>
        <sz val="12"/>
        <rFont val="Noto Sans CJK SC"/>
        <family val="2"/>
      </rPr>
      <t xml:space="preserve">不加回 </t>
    </r>
    <r>
      <rPr>
        <b val="true"/>
        <sz val="12"/>
        <rFont val="Cambria"/>
        <family val="0"/>
        <charset val="1"/>
      </rPr>
      <t xml:space="preserve">SBC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</si>
  <si>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案例：分部加總計入未來授予的稀釋（</t>
    </r>
    <r>
      <rPr>
        <b val="true"/>
        <sz val="12"/>
        <rFont val="Cambria"/>
        <family val="0"/>
        <charset val="1"/>
      </rPr>
      <t xml:space="preserve">EBITDA </t>
    </r>
    <r>
      <rPr>
        <b val="true"/>
        <sz val="12"/>
        <rFont val="Noto Sans CJK SC"/>
        <family val="2"/>
      </rPr>
      <t xml:space="preserve">不加回 </t>
    </r>
    <r>
      <rPr>
        <b val="true"/>
        <sz val="12"/>
        <rFont val="Cambria"/>
        <family val="0"/>
        <charset val="1"/>
      </rPr>
      <t xml:space="preserve">SBC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</si>
  <si>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案例：分部加總計入未來授予的稀釋（</t>
    </r>
    <r>
      <rPr>
        <b val="true"/>
        <sz val="12"/>
        <rFont val="Cambria"/>
        <family val="0"/>
        <charset val="1"/>
      </rPr>
      <t xml:space="preserve">EBITDA </t>
    </r>
    <r>
      <rPr>
        <b val="true"/>
        <sz val="12"/>
        <rFont val="Noto Sans CJK SC"/>
        <family val="2"/>
      </rPr>
      <t xml:space="preserve">不加回 </t>
    </r>
    <r>
      <rPr>
        <b val="true"/>
        <sz val="12"/>
        <rFont val="Cambria"/>
        <family val="0"/>
        <charset val="1"/>
      </rPr>
      <t xml:space="preserve">SBC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</si>
  <si>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案例：分部加總計入未來授予的稀釋（</t>
    </r>
    <r>
      <rPr>
        <b val="true"/>
        <sz val="12"/>
        <rFont val="Cambria"/>
        <family val="0"/>
        <charset val="1"/>
      </rPr>
      <t xml:space="preserve">EBITDA </t>
    </r>
    <r>
      <rPr>
        <b val="true"/>
        <sz val="12"/>
        <rFont val="Noto Sans CJK SC"/>
        <family val="2"/>
      </rPr>
      <t xml:space="preserve">不加回 </t>
    </r>
    <r>
      <rPr>
        <b val="true"/>
        <sz val="12"/>
        <rFont val="Cambria"/>
        <family val="0"/>
        <charset val="1"/>
      </rPr>
      <t xml:space="preserve">SBC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</si>
  <si>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案例：分部加總計入未來授予的稀釋（</t>
    </r>
    <r>
      <rPr>
        <b val="true"/>
        <sz val="12"/>
        <rFont val="Cambria"/>
        <family val="0"/>
        <charset val="1"/>
      </rPr>
      <t xml:space="preserve">EBITDA </t>
    </r>
    <r>
      <rPr>
        <b val="true"/>
        <sz val="12"/>
        <rFont val="Noto Sans CJK SC"/>
        <family val="2"/>
      </rPr>
      <t xml:space="preserve">不加回 </t>
    </r>
    <r>
      <rPr>
        <b val="true"/>
        <sz val="12"/>
        <rFont val="Cambria"/>
        <family val="0"/>
        <charset val="1"/>
      </rPr>
      <t xml:space="preserve">SBC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</si>
  <si>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</si>
  <si>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</si>
  <si>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</si>
  <si>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</si>
  <si>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</si>
  <si>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</si>
  <si>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</si>
  <si>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</si>
  <si>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</si>
  <si>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</si>
  <si>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</si>
  <si>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</si>
  <si>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</si>
  <si>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</si>
  <si>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</si>
  <si>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</si>
  <si>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</si>
  <si>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</si>
  <si>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</si>
  <si>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</si>
  <si>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</si>
  <si>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</si>
  <si>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</si>
  <si>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</si>
  <si>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</si>
  <si>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</si>
  <si>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</si>
  <si>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</si>
  <si>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</si>
  <si>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</si>
  <si>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</si>
  <si>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</si>
  <si>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</si>
  <si>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</si>
  <si>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</si>
  <si>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</si>
  <si>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</si>
  <si>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</si>
  <si>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</si>
  <si>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</si>
  <si>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</si>
  <si>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</si>
  <si>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</si>
  <si>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</si>
  <si>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</si>
  <si>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</si>
  <si>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</si>
  <si>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</si>
  <si>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</si>
  <si>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（基準）、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</si>
  <si>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</si>
  <si>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</si>
  <si>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</si>
  <si>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</si>
  <si>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</si>
  <si>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</si>
  <si>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</si>
  <si>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</si>
  <si>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</si>
  <si>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3%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</si>
  <si>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</si>
  <si>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</si>
  <si>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</si>
  <si>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</si>
  <si>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網格：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</si>
  <si>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</si>
  <si>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</si>
  <si>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</si>
  <si>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</si>
  <si>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</si>
  <si>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</si>
  <si>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</si>
  <si>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</si>
  <si>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</si>
  <si>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</si>
  <si>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</si>
  <si>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</si>
  <si>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</si>
  <si>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</si>
  <si>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（保守）｜讀法 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</si>
  <si>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Sources — </t>
    </r>
    <r>
      <rPr>
        <b val="true"/>
        <sz val="11"/>
        <rFont val="Noto Sans CJK SC"/>
        <family val="2"/>
      </rPr>
      <t xml:space="preserve">每個來源一列（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頁、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頁以編號引用）。公司新聞稿與法說屬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（經查核）與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（核閱）為 </t>
    </r>
    <r>
      <rPr>
        <b val="true"/>
        <sz val="11"/>
        <rFont val="Cambria"/>
        <family val="0"/>
        <charset val="1"/>
      </rPr>
      <t xml:space="preserve">Verified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SemiAnalysis </t>
    </r>
    <r>
      <rPr>
        <b val="true"/>
        <sz val="11"/>
        <rFont val="Noto Sans CJK SC"/>
        <family val="2"/>
      </rPr>
      <t xml:space="preserve">未使用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</si>
  <si>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</si>
  <si>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</si>
  <si>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</si>
  <si>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</si>
  <si>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Form 10-K 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，經查核）</t>
    </r>
  </si>
  <si>
    <t xml:space="preserve">2026-02-06</t>
  </si>
  <si>
    <t xml:space="preserve">https://www.sec.gov/Archives/edgar/data/1018724/000101872426000004/amzn-20251231.htm</t>
  </si>
  <si>
    <r>
      <rPr>
        <sz val="11"/>
        <color theme="1"/>
        <rFont val="Calibri"/>
        <family val="2"/>
        <charset val="1"/>
      </rPr>
      <t xml:space="preserve">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，核閱未查核）</t>
    </r>
  </si>
  <si>
    <t xml:space="preserve">2026-07-31</t>
  </si>
  <si>
    <t xml:space="preserve">https://www.sec.gov/Archives/edgar/data/1018724/000101872426000026/amzn-20260630.htm</t>
  </si>
  <si>
    <t xml:space="preserve">S03</t>
  </si>
  <si>
    <r>
      <rPr>
        <sz val="11"/>
        <color theme="1"/>
        <rFont val="Calibri"/>
        <family val="2"/>
        <charset val="1"/>
      </rPr>
      <t xml:space="preserve">Form 10-Q 2025Q3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D&amp;A </t>
    </r>
    <r>
      <rPr>
        <sz val="11"/>
        <color theme="1"/>
        <rFont val="Noto Sans CJK SC"/>
        <family val="2"/>
      </rPr>
      <t xml:space="preserve">前九個月）</t>
    </r>
  </si>
  <si>
    <t xml:space="preserve">2025-10-31</t>
  </si>
  <si>
    <t xml:space="preserve">https://www.sec.gov/Archives/edgar/data/1018724/000101872425000123/amzn-20250930.htm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</si>
  <si>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；逐季補充表、指引）</t>
    </r>
  </si>
  <si>
    <t xml:space="preserve">2026-07-30</t>
  </si>
  <si>
    <t xml:space="preserve">https://www.sec.gov/Archives/edgar/data/1018724/000101872426000024/amzn-20260630xex991.htm</t>
  </si>
  <si>
    <t xml:space="preserve">S05</t>
  </si>
  <si>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</si>
  <si>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2026-04-29</t>
  </si>
  <si>
    <t xml:space="preserve">https://www.sec.gov/Archives/edgar/data/1018724/000101872426000012/amzn-20260331xex991.htm</t>
  </si>
  <si>
    <t xml:space="preserve">S06</t>
  </si>
  <si>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</si>
  <si>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2026-02-05</t>
  </si>
  <si>
    <t xml:space="preserve">https://www.sec.gov/Archives/edgar/data/1018724/000101872426000002/amzn-20251231xex991.htm</t>
  </si>
  <si>
    <t xml:space="preserve">S07</t>
  </si>
  <si>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</si>
  <si>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2025-10-30</t>
  </si>
  <si>
    <t xml:space="preserve">https://www.sec.gov/Archives/edgar/data/1018724/000101872425000121/amzn-20250930xex991.htm</t>
  </si>
  <si>
    <t xml:space="preserve">S08</t>
  </si>
  <si>
    <r>
      <rPr>
        <sz val="11"/>
        <color theme="1"/>
        <rFont val="Calibri"/>
        <family val="2"/>
        <charset val="1"/>
      </rPr>
      <t xml:space="preserve">2024Q4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；逐季補充表）</t>
    </r>
  </si>
  <si>
    <t xml:space="preserve">2025-02-06</t>
  </si>
  <si>
    <t xml:space="preserve">https://www.sec.gov/Archives/edgar/data/1018724/000101872425000002/amzn-20241231xex991.htm</t>
  </si>
  <si>
    <t xml:space="preserve">S09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</si>
  <si>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</si>
  <si>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2024-10-31</t>
  </si>
  <si>
    <t xml:space="preserve">https://www.sec.gov/Archives/edgar/data/1018724/000101872424000158/amzn-20240930xex991.htm</t>
  </si>
  <si>
    <r>
      <rPr>
        <sz val="11"/>
        <color theme="1"/>
        <rFont val="Calibri"/>
        <family val="2"/>
        <charset val="1"/>
      </rPr>
      <t xml:space="preserve">SEC XBRL companyfacts</t>
    </r>
    <r>
      <rPr>
        <sz val="11"/>
        <color theme="1"/>
        <rFont val="Noto Sans CJK SC"/>
        <family val="2"/>
      </rPr>
      <t xml:space="preserve">（稀釋加權股數）</t>
    </r>
  </si>
  <si>
    <t xml:space="preserve">2026-10-08</t>
  </si>
  <si>
    <t xml:space="preserve">https://data.sec.gov/api/xbrl/companyfacts/CIK0001018724.json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</si>
  <si>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法說會逐字稿（二手轉錄：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</si>
  <si>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https://www.webull.com/news/15364638750483456</t>
  </si>
  <si>
    <r>
      <rPr>
        <sz val="11"/>
        <color theme="1"/>
        <rFont val="Calibri"/>
        <family val="2"/>
        <charset val="1"/>
      </rPr>
      <t xml:space="preserve">424B5 </t>
    </r>
    <r>
      <rPr>
        <sz val="11"/>
        <color theme="1"/>
        <rFont val="Noto Sans CJK SC"/>
        <family val="2"/>
      </rPr>
      <t xml:space="preserve">英鎊票據公開說明書補充（</t>
    </r>
    <r>
      <rPr>
        <sz val="11"/>
        <color theme="1"/>
        <rFont val="Calibri"/>
        <family val="2"/>
        <charset val="1"/>
      </rPr>
      <t xml:space="preserve">£3.25B</t>
    </r>
    <r>
      <rPr>
        <sz val="11"/>
        <color theme="1"/>
        <rFont val="Noto Sans CJK SC"/>
        <family val="2"/>
      </rPr>
      <t xml:space="preserve">）</t>
    </r>
  </si>
  <si>
    <t xml:space="preserve">2026-09-11</t>
  </si>
  <si>
    <t xml:space="preserve">https://www.sec.gov/Archives/edgar/data/1018724/000110465926107122/tm2624614-3_424b5.htm</t>
  </si>
  <si>
    <t xml:space="preserve">S13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</si>
  <si>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AMZN 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同值）</t>
    </r>
  </si>
  <si>
    <t xml:space="preserve">2026-10-26</t>
  </si>
  <si>
    <t xml:space="preserve">https://stockanalysis.com/stocks/amzn/history/</t>
  </si>
  <si>
    <t xml:space="preserve">S14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</si>
  <si>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16:00 EDT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</si>
  <si>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https://finance.yahoo.com/quote/AMZN/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</si>
  <si>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332.24</t>
    </r>
    <r>
      <rPr>
        <sz val="11"/>
        <color theme="1"/>
        <rFont val="Noto Sans CJK SC"/>
        <family val="2"/>
      </rPr>
      <t xml:space="preserve">、營收與調整後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</si>
  <si>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https://stockanalysis.com/stocks/amzn/forecast/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</si>
  <si>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年度共識（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、淨利、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</si>
  <si>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https://www.marketscreener.com/quote/stock/AMAZON-COM-INC-12864605/finances/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</si>
  <si>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amazon/data/tokenomics_snapshot_v21.4.json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</si>
  <si>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</si>
  <si>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amazon/data/tokenomics_snapshot_v21.4.json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</si>
  <si>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amazon/data/kevidence_amazon_20261008.json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AWS p5 </t>
    </r>
    <r>
      <rPr>
        <sz val="11"/>
        <color theme="1"/>
        <rFont val="Noto Sans CJK SC"/>
        <family val="2"/>
      </rPr>
      <t xml:space="preserve">牌價）</t>
    </r>
  </si>
  <si>
    <t xml:space="preserve">amazon/data/kevidence_amazon_20261008.json</t>
  </si>
  <si>
    <t xml:space="preserve">S19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</si>
  <si>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資料中心目錄（</t>
    </r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）</t>
    </r>
  </si>
  <si>
    <t xml:space="preserve">2026-10-05</t>
  </si>
  <si>
    <t xml:space="preserve">https://epoch.ai/data/ai-data-centers/directory/</t>
  </si>
  <si>
    <t xml:space="preserve">Analogy</t>
  </si>
  <si>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資料報告（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、對外比例、世代占比的推導）</t>
    </r>
  </si>
  <si>
    <r>
      <rPr>
        <sz val="11"/>
        <color theme="1"/>
        <rFont val="Calibri"/>
        <family val="2"/>
        <charset val="1"/>
      </rPr>
      <t xml:space="preserve">amazon/docs/reports/20261008_amazon_v0.1a_</t>
    </r>
    <r>
      <rPr>
        <sz val="11"/>
        <color theme="1"/>
        <rFont val="Noto Sans CJK SC"/>
        <family val="2"/>
      </rPr>
      <t xml:space="preserve">資料</t>
    </r>
    <r>
      <rPr>
        <sz val="11"/>
        <color theme="1"/>
        <rFont val="Calibri"/>
        <family val="2"/>
        <charset val="1"/>
      </rPr>
      <t xml:space="preserve">.md</t>
    </r>
  </si>
  <si>
    <t xml:space="preserve">S21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</si>
  <si>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、持股、同業倍數；本版沿用）</t>
    </r>
  </si>
  <si>
    <r>
      <rPr>
        <sz val="11"/>
        <color theme="1"/>
        <rFont val="Calibri"/>
        <family val="2"/>
        <charset val="1"/>
      </rPr>
      <t xml:space="preserve">amazon/docs/handoff/20261025_Amazon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；引擎 </t>
    </r>
    <r>
      <rPr>
        <sz val="11"/>
        <color theme="1"/>
        <rFont val="Calibri"/>
        <family val="2"/>
        <charset val="1"/>
      </rPr>
      <t xml:space="preserve">amazon/legacy_v0.2/</t>
    </r>
  </si>
  <si>
    <r>
      <rPr>
        <sz val="11"/>
        <color theme="1"/>
        <rFont val="Noto Sans CJK SC"/>
        <family val="2"/>
      </rPr>
      <t xml:space="preserve">共用非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雲端同業檔（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</si>
  <si>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</si>
  <si>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amazon/data/peers_cloud_20261008.json</t>
  </si>
  <si>
    <r>
      <rPr>
        <sz val="11"/>
        <color theme="1"/>
        <rFont val="Noto Sans CJK SC"/>
        <family val="2"/>
      </rPr>
      <t xml:space="preserve">共用數位廣告同業檔（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</si>
  <si>
    <t xml:space="preserve">amazon/data/peers_ads_20261009.json</t>
  </si>
  <si>
    <r>
      <rPr>
        <sz val="11"/>
        <color theme="1"/>
        <rFont val="Noto Sans CJK SC"/>
        <family val="2"/>
      </rPr>
      <t xml:space="preserve">零售同業（</t>
    </r>
    <r>
      <rPr>
        <sz val="11"/>
        <color theme="1"/>
        <rFont val="Calibri"/>
        <family val="2"/>
        <charset val="1"/>
      </rPr>
      <t xml:space="preserve">WMT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val.peer.retail.*</t>
    </r>
    <r>
      <rPr>
        <sz val="11"/>
        <color theme="1"/>
        <rFont val="Noto Sans CJK SC"/>
        <family val="2"/>
      </rPr>
      <t xml:space="preserve">）</t>
    </r>
  </si>
  <si>
    <t xml:space="preserve">amazon/data/amazon_facts_20261008.json</t>
  </si>
  <si>
    <r>
      <rPr>
        <sz val="11"/>
        <color theme="1"/>
        <rFont val="Calibri"/>
        <family val="2"/>
        <charset val="1"/>
      </rPr>
      <t xml:space="preserve">Anthropic Series H </t>
    </r>
    <r>
      <rPr>
        <sz val="11"/>
        <color theme="1"/>
        <rFont val="Noto Sans CJK SC"/>
        <family val="2"/>
      </rPr>
      <t xml:space="preserve">投後估值 </t>
    </r>
    <r>
      <rPr>
        <sz val="11"/>
        <color theme="1"/>
        <rFont val="Calibri"/>
        <family val="2"/>
        <charset val="1"/>
      </rPr>
      <t xml:space="preserve">965B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W.Media</t>
    </r>
    <r>
      <rPr>
        <sz val="11"/>
        <color theme="1"/>
        <rFont val="Noto Sans CJK SC"/>
        <family val="2"/>
      </rPr>
      <t xml:space="preserve">）</t>
    </r>
  </si>
  <si>
    <t xml:space="preserve">2026-06-01</t>
  </si>
  <si>
    <t xml:space="preserve">https://w.media/anthropic-valuation-touches-us-965-billion-surpassing-openai/</t>
  </si>
  <si>
    <t xml:space="preserve">S26</t>
  </si>
  <si>
    <r>
      <rPr>
        <sz val="11"/>
        <color theme="1"/>
        <rFont val="Calibri"/>
        <family val="2"/>
        <charset val="1"/>
      </rPr>
      <t xml:space="preserve">Fortune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mid-to-high teens</t>
    </r>
  </si>
  <si>
    <t xml:space="preserve">2026-06-04</t>
  </si>
  <si>
    <t xml:space="preserve">https://www.fortune.com/2026/06/04/amazon-google-billions-anthropic-ipo/</t>
  </si>
  <si>
    <r>
      <rPr>
        <sz val="11"/>
        <color theme="1"/>
        <rFont val="Calibri"/>
        <family val="2"/>
        <charset val="1"/>
      </rPr>
      <t xml:space="preserve">GeekWire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 50B</t>
    </r>
    <r>
      <rPr>
        <sz val="11"/>
        <color theme="1"/>
        <rFont val="Noto Sans CJK SC"/>
        <family val="2"/>
      </rPr>
      <t xml:space="preserve">、投前 </t>
    </r>
    <r>
      <rPr>
        <sz val="11"/>
        <color theme="1"/>
        <rFont val="Calibri"/>
        <family val="2"/>
        <charset val="1"/>
      </rPr>
      <t xml:space="preserve">730B</t>
    </r>
  </si>
  <si>
    <t xml:space="preserve">2026-02-27</t>
  </si>
  <si>
    <t xml:space="preserve">https://www.geekwire.com/2026/amazon-invests-50b-in-openai-deepens-aws-partnership-with-expanded-100b-cloud-deal/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</si>
  <si>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沿用）</t>
    </r>
  </si>
  <si>
    <t xml:space="preserve">https://home.treasury.gov/resource-center/data-chart-center/interest-rates/TextView?type=daily_treasury_par_yield_curve_rates</t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</si>
  <si>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SourceMaterial</t>
    </r>
    <r>
      <rPr>
        <sz val="11"/>
        <color theme="1"/>
        <rFont val="Noto Sans CJK SC"/>
        <family val="2"/>
      </rPr>
      <t xml:space="preserve">：第三方託管約占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運算力五分之一（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</si>
  <si>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2025-11-24</t>
  </si>
  <si>
    <t xml:space="preserve">amazon/data/amazon_facts_20261008.json → mw.colo.share</t>
  </si>
  <si>
    <t xml:space="preserve">S30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</si>
  <si>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Brian Nowak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2026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</si>
  <si>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t xml:space="preserve">2026-08-18</t>
  </si>
  <si>
    <t xml:space="preserve">https://invezz.com/news/2026/08/18/could-amazon-stock-double-by-end-of-next-year-heres-what-morgan-stanley-says/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</si>
</sst>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##"/>
    <numFmt numFmtId="166" formatCode="0.0%"/>
    <numFmt numFmtId="167" formatCode="#,##0.0000"/>
    <numFmt numFmtId="168" formatCode="#,##0.000"/>
    <numFmt numFmtId="169" formatCode="0.00%"/>
    <numFmt numFmtId="170" formatCode="0.00"/>
    <numFmt numFmtId="171" formatCode="#,##0"/>
    <numFmt numFmtId="172" formatCode="0.0"/>
    <numFmt numFmtId="173" formatCode="0%"/>
    <numFmt numFmtId="174" formatCode="0.000"/>
    <numFmt numFmtId="175" formatCode="#,##0.00"/>
    <numFmt numFmtId="176" formatCode="0.0000"/>
    <numFmt numFmtId="177" formatCode="#,##0.0"/>
    <numFmt numFmtId="178" formatCode="@"/>
    <numFmt numFmtId="179" formatCode="0"/>
    <numFmt numFmtId="180" formatCode="\+0.0%;\-0.0%;0.0%"/>
    <numFmt numFmtId="181" formatCode="0.00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7.15" hidden="false" customHeight="false" outlineLevel="0" collapsed="false">
      <c r="A5" s="1" t="str">
        <f aca="false">"投資建議："&amp;Val!B24&amp;"（加權目標價 US$"&amp;TEXT(Val!B19,"0.00")&amp;"，現價 US$"&amp;TEXT(px,"0.00")&amp;"〔2026-10-26〕，上檔空間 "&amp;TEXT(Val!B21,"+0.0%;-0.0%")&amp;"；依五級固定規則）"</f>
        <v>投資建議：中立（加權目標價 US$214.94，現價 US$249.09〔2026-10-26〕，上檔空間 -13.7%；依五級固定規則）</v>
      </c>
    </row>
    <row r="6" customFormat="false" ht="17.15" hidden="false" customHeight="false" outlineLevel="0" collapsed="false">
      <c r="A6" s="2" t="str">
        <f aca="false">"命題答案（情境 B）：FY2028 對外 AI ROIC "&amp;TEXT(Thesis!$I$118,"0.0%")&amp;"，低於 WACC "&amp;TEXT(wacc,"0.0%")&amp;"；打平所需機隊平均 k "&amp;TEXT(Thesis!$I$120,"0.00")&amp;"，模型 k "&amp;TEXT(Thesis!$I$119,"0.00")&amp;"。FY2028 AWS 營業利益率 "&amp;TEXT(PL!$I$123,"0.0%")&amp;"（FY2025 "&amp;TEXT(PL!$D$123,"0.0%")&amp;"）；FY2028 自由現金流扣股利 "&amp;TEXT(CF!$I$60,"#,##0.0")&amp;"；收支關卡（FY2026–FY2030 合計，情境加權）"&amp;TEXT(CF!E6,"#,##0.0")&amp;"。"</f>
        <v>命題答案（情境 B）：FY2028 對外 AI ROIC 8.9%，低於 WACC 11.3%；打平所需機隊平均 k 1.09，模型 k 0.99。FY2028 AWS 營業利益率 35.9%（FY2025 35.4%）；FY2028 自由現金流扣股利 -18.1；收支關卡（FY2026–FY2030 合計，情境加權）29.3。</v>
      </c>
    </row>
    <row r="7" customFormat="false" ht="17.15" hidden="false" customHeight="false" outlineLevel="0" collapsed="false">
      <c r="A7" s="2" t="str">
        <f aca="false">"重點觀察 1：目標價 US$"&amp;TEXT(Val!B19,"0.00")&amp;"＝DCF "&amp;TEXT(Val!B17,"0.00")&amp;"（永續價值占 EV "&amp;TEXT(Val!C8,"0%")&amp;"）與分部加總 "&amp;TEXT(Val!B18,"0.00")&amp;" 各半；DCF 低是因為 WACC "&amp;TEXT(wacc,"0.0%")&amp;" 下，2027–2029 的 AI 資本支出（情境 B FY2027 "&amp;TEXT(CF!$H$55,"#,##0")&amp;"）讓 FCFF 為負，而 AI 增量報酬低於資金成本。"</f>
        <v>重點觀察 1：目標價 US$214.94＝DCF 149.84（永續價值占 EV 79%）與分部加總 280.04 各半；DCF 低是因為 WACC 11.3% 下，2027–2029 的 AI 資本支出（情境 B FY2027 273）讓 FCFF 為負，而 AI 增量報酬低於資金成本。</v>
      </c>
    </row>
    <row r="8" customFormat="false" ht="17.15" hidden="false" customHeight="false" outlineLevel="0" collapsed="false">
      <c r="A8" s="2" t="str">
        <f aca="false">"重點觀察 2：分部加總中 AWS 其他（非 AI 雲端）占 "&amp;TEXT(Val!$C$167/Val!$C$175,"0%")&amp;"、廣告占 "&amp;TEXT(Val!$C$161/Val!$C$175,"0%")&amp;"；零售本業未來 12 個月 EBITDA（SBC 加回）僅 "&amp;TEXT(Val!$C$162,"#,##0")&amp;"，廣告利潤（m_ad 50%）幾乎是零售分部的全部利潤；AWS AI 以自身 DCF 計只值 "&amp;TEXT(Val!$C$174,"#,##0")&amp;"。"</f>
        <v>重點觀察 2：分部加總中 AWS 其他（非 AI 雲端）占 45%、廣告占 18%；零售本業未來 12 個月 EBITDA（SBC 加回）僅 51，廣告利潤（m_ad 50%）幾乎是零售分部的全部利潤；AWS AI 以自身 DCF 計只值 160。</v>
      </c>
    </row>
    <row r="9" customFormat="false" ht="17.15" hidden="false" customHeight="false" outlineLevel="0" collapsed="false">
      <c r="A9" s="2" t="str">
        <f aca="false">"重點觀察 3：三情境目標價 A "&amp;TEXT(Val!B7,"0")&amp;"／B "&amp;TEXT(Val!C7,"0")&amp;"／C "&amp;TEXT(Val!D7,"0")&amp;"；新產能 k 是最大的命題驅動（Sens：k_C "&amp;TEXT(Sens!D5,"+0%;-0%")&amp;"、k_A "&amp;TEXT(Sens!D6,"+0%;-0%")&amp;"），對外比例 ±20pt 為 "&amp;TEXT(Sens!D7,"+0%;-0%")&amp;"／"&amp;TEXT(Sens!D8,"+0%;-0%")&amp;"；市場共識目標價 "&amp;TEXT(cons_tp,"0")&amp;"。"</f>
        <v>重點觀察 3：三情境目標價 A 269／B 204／C 183；新產能 k 是最大的命題驅動（Sens：k_C -10%、k_A +31%），對外比例 ±20pt 為 +1%／-1%；市場共識目標價 332。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</row>
    <row r="13" customFormat="false" ht="17.15" hidden="false" customHeight="false" outlineLevel="0" collapsed="false">
      <c r="A13" s="4" t="s">
        <v>6</v>
      </c>
    </row>
    <row r="14" customFormat="false" ht="17.15" hidden="false" customHeight="false" outlineLevel="0" collapsed="false">
      <c r="A14" s="4" t="s">
        <v>7</v>
      </c>
    </row>
    <row r="15" customFormat="false" ht="17.15" hidden="false" customHeight="false" outlineLevel="0" collapsed="false">
      <c r="A15" s="4" t="s">
        <v>8</v>
      </c>
    </row>
    <row r="16" customFormat="false" ht="17.15" hidden="false" customHeight="false" outlineLevel="0" collapsed="false">
      <c r="A16" s="4" t="s">
        <v>9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10</v>
      </c>
    </row>
    <row r="19" customFormat="false" ht="17.15" hidden="false" customHeight="false" outlineLevel="0" collapsed="false">
      <c r="A19" s="2" t="s">
        <v>11</v>
      </c>
    </row>
    <row r="20" customFormat="false" ht="17.15" hidden="false" customHeight="false" outlineLevel="0" collapsed="false">
      <c r="A20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249.09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5" t="s">
        <v>32</v>
      </c>
      <c r="C6" s="5" t="s">
        <v>33</v>
      </c>
      <c r="E6" s="7" t="n">
        <v>10.786314</v>
      </c>
      <c r="G6" s="8" t="s">
        <v>28</v>
      </c>
      <c r="H6" s="8" t="s">
        <v>34</v>
      </c>
      <c r="I6" s="8" t="s">
        <v>35</v>
      </c>
    </row>
    <row r="7" customFormat="false" ht="17.15" hidden="false" customHeight="false" outlineLevel="0" collapsed="false">
      <c r="A7" s="0" t="s">
        <v>36</v>
      </c>
      <c r="B7" s="5" t="s">
        <v>37</v>
      </c>
      <c r="C7" s="5" t="s">
        <v>33</v>
      </c>
      <c r="E7" s="7" t="n">
        <v>0.244</v>
      </c>
      <c r="G7" s="8" t="s">
        <v>28</v>
      </c>
      <c r="H7" s="8" t="s">
        <v>34</v>
      </c>
      <c r="I7" s="8" t="s">
        <v>38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5" t="s">
        <v>33</v>
      </c>
      <c r="E8" s="9" t="n">
        <f aca="false">sh_out+sh_awd</f>
        <v>11.030314</v>
      </c>
      <c r="G8" s="8" t="s">
        <v>41</v>
      </c>
      <c r="H8" s="5" t="s">
        <v>42</v>
      </c>
      <c r="I8" s="8" t="s">
        <v>43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0" t="s">
        <v>27</v>
      </c>
      <c r="D9" s="7" t="n">
        <v>230</v>
      </c>
      <c r="E9" s="7" t="n">
        <v>332.24</v>
      </c>
      <c r="F9" s="7" t="n">
        <v>405</v>
      </c>
      <c r="G9" s="8" t="s">
        <v>46</v>
      </c>
      <c r="H9" s="8" t="s">
        <v>47</v>
      </c>
      <c r="I9" s="5" t="s">
        <v>48</v>
      </c>
    </row>
    <row r="10" customFormat="false" ht="17.15" hidden="false" customHeight="false" outlineLevel="0" collapsed="false">
      <c r="A10" s="1" t="s">
        <v>49</v>
      </c>
    </row>
    <row r="11" customFormat="false" ht="17.15" hidden="false" customHeight="false" outlineLevel="0" collapsed="false">
      <c r="A11" s="0" t="s">
        <v>50</v>
      </c>
      <c r="B11" s="5" t="s">
        <v>51</v>
      </c>
      <c r="C11" s="0" t="s">
        <v>52</v>
      </c>
      <c r="E11" s="10" t="n">
        <v>0.05</v>
      </c>
      <c r="G11" s="8" t="s">
        <v>28</v>
      </c>
      <c r="H11" s="8" t="s">
        <v>53</v>
      </c>
      <c r="I11" s="5" t="s">
        <v>54</v>
      </c>
    </row>
    <row r="12" customFormat="false" ht="17.15" hidden="false" customHeight="false" outlineLevel="0" collapsed="false">
      <c r="A12" s="0" t="s">
        <v>55</v>
      </c>
      <c r="B12" s="5" t="s">
        <v>56</v>
      </c>
      <c r="C12" s="0" t="s">
        <v>57</v>
      </c>
      <c r="E12" s="11" t="n">
        <v>1.46</v>
      </c>
      <c r="G12" s="8" t="s">
        <v>28</v>
      </c>
      <c r="H12" s="5" t="s">
        <v>58</v>
      </c>
    </row>
    <row r="13" customFormat="false" ht="17.15" hidden="false" customHeight="false" outlineLevel="0" collapsed="false">
      <c r="A13" s="0" t="s">
        <v>59</v>
      </c>
      <c r="B13" s="5" t="s">
        <v>60</v>
      </c>
      <c r="C13" s="0" t="s">
        <v>57</v>
      </c>
      <c r="E13" s="11" t="n">
        <v>1.567</v>
      </c>
      <c r="G13" s="8" t="s">
        <v>28</v>
      </c>
      <c r="H13" s="5" t="s">
        <v>61</v>
      </c>
      <c r="I13" s="5" t="s">
        <v>62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0" t="s">
        <v>57</v>
      </c>
      <c r="D14" s="12" t="n">
        <f aca="false">MIN(0.67*beta_sa+0.33,0.67*beta_gf+0.33)</f>
        <v>1.3082</v>
      </c>
      <c r="E14" s="12" t="n">
        <f aca="false">MEDIAN(0.67*beta_sa+0.33,0.67*beta_gf+0.33)</f>
        <v>1.344045</v>
      </c>
      <c r="F14" s="12" t="n">
        <f aca="false">MAX(0.67*beta_sa+0.33,0.67*beta_gf+0.33)</f>
        <v>1.37989</v>
      </c>
      <c r="G14" s="8" t="s">
        <v>41</v>
      </c>
      <c r="H14" s="5" t="s">
        <v>65</v>
      </c>
      <c r="I14" s="8" t="s">
        <v>66</v>
      </c>
    </row>
    <row r="15" customFormat="false" ht="17.15" hidden="false" customHeight="false" outlineLevel="0" collapsed="false">
      <c r="A15" s="0" t="s">
        <v>67</v>
      </c>
      <c r="B15" s="5" t="s">
        <v>68</v>
      </c>
      <c r="C15" s="0" t="s">
        <v>52</v>
      </c>
      <c r="D15" s="10" t="n">
        <v>0.04</v>
      </c>
      <c r="E15" s="10" t="n">
        <v>0.05</v>
      </c>
      <c r="F15" s="10" t="n">
        <v>0.06</v>
      </c>
      <c r="G15" s="8" t="s">
        <v>69</v>
      </c>
      <c r="H15" s="5" t="s">
        <v>70</v>
      </c>
    </row>
    <row r="16" customFormat="false" ht="17.15" hidden="false" customHeight="false" outlineLevel="0" collapsed="false">
      <c r="A16" s="0" t="s">
        <v>71</v>
      </c>
      <c r="B16" s="5" t="s">
        <v>72</v>
      </c>
      <c r="C16" s="0" t="s">
        <v>52</v>
      </c>
      <c r="E16" s="10" t="n">
        <v>0.0633</v>
      </c>
      <c r="G16" s="8" t="s">
        <v>46</v>
      </c>
      <c r="H16" s="8" t="s">
        <v>34</v>
      </c>
      <c r="I16" s="5" t="s">
        <v>73</v>
      </c>
    </row>
    <row r="17" customFormat="false" ht="17.15" hidden="false" customHeight="false" outlineLevel="0" collapsed="false">
      <c r="A17" s="0" t="s">
        <v>74</v>
      </c>
      <c r="B17" s="0" t="s">
        <v>75</v>
      </c>
      <c r="C17" s="0" t="s">
        <v>52</v>
      </c>
      <c r="D17" s="10" t="n">
        <v>0.005</v>
      </c>
      <c r="E17" s="10" t="n">
        <v>0.0065</v>
      </c>
      <c r="F17" s="10" t="n">
        <v>0.01</v>
      </c>
      <c r="G17" s="8" t="s">
        <v>69</v>
      </c>
      <c r="H17" s="5" t="s">
        <v>76</v>
      </c>
      <c r="I17" s="8" t="s">
        <v>77</v>
      </c>
    </row>
    <row r="18" customFormat="false" ht="17.15" hidden="false" customHeight="false" outlineLevel="0" collapsed="false">
      <c r="A18" s="0" t="s">
        <v>78</v>
      </c>
      <c r="B18" s="5" t="s">
        <v>79</v>
      </c>
      <c r="C18" s="0" t="s">
        <v>52</v>
      </c>
      <c r="E18" s="13" t="n">
        <f aca="false">rf+kd_spr</f>
        <v>0.0565</v>
      </c>
      <c r="G18" s="8" t="s">
        <v>41</v>
      </c>
      <c r="H18" s="5" t="s">
        <v>65</v>
      </c>
    </row>
    <row r="19" customFormat="false" ht="17.15" hidden="false" customHeight="false" outlineLevel="0" collapsed="false">
      <c r="A19" s="0" t="s">
        <v>80</v>
      </c>
      <c r="B19" s="5" t="s">
        <v>81</v>
      </c>
      <c r="C19" s="0" t="s">
        <v>52</v>
      </c>
      <c r="D19" s="10" t="n">
        <v>0.135</v>
      </c>
      <c r="E19" s="13" t="n">
        <f aca="false">AVERAGE(Q!$C$40,Q!$D$40,Q!$E$40)</f>
        <v>0.173584526621026</v>
      </c>
      <c r="F19" s="10" t="n">
        <v>0.23</v>
      </c>
      <c r="G19" s="8" t="s">
        <v>41</v>
      </c>
      <c r="H19" s="8" t="s">
        <v>82</v>
      </c>
      <c r="I19" s="8" t="s">
        <v>83</v>
      </c>
    </row>
    <row r="20" customFormat="false" ht="17.15" hidden="false" customHeight="false" outlineLevel="0" collapsed="false">
      <c r="A20" s="0" t="s">
        <v>84</v>
      </c>
      <c r="B20" s="5" t="s">
        <v>85</v>
      </c>
      <c r="C20" s="0" t="s">
        <v>86</v>
      </c>
      <c r="E20" s="7" t="n">
        <v>132.995</v>
      </c>
      <c r="G20" s="8" t="s">
        <v>28</v>
      </c>
      <c r="H20" s="8" t="s">
        <v>34</v>
      </c>
      <c r="I20" s="5" t="s">
        <v>87</v>
      </c>
    </row>
    <row r="21" customFormat="false" ht="17.15" hidden="false" customHeight="false" outlineLevel="0" collapsed="false">
      <c r="A21" s="0" t="s">
        <v>88</v>
      </c>
      <c r="B21" s="5" t="s">
        <v>89</v>
      </c>
      <c r="C21" s="0" t="s">
        <v>86</v>
      </c>
      <c r="E21" s="7" t="n">
        <v>13.451</v>
      </c>
      <c r="G21" s="8" t="s">
        <v>28</v>
      </c>
      <c r="H21" s="8" t="s">
        <v>34</v>
      </c>
      <c r="I21" s="5" t="s">
        <v>90</v>
      </c>
    </row>
    <row r="22" customFormat="false" ht="17.15" hidden="false" customHeight="false" outlineLevel="0" collapsed="false">
      <c r="A22" s="0" t="s">
        <v>91</v>
      </c>
      <c r="B22" s="5" t="s">
        <v>92</v>
      </c>
      <c r="C22" s="0" t="s">
        <v>86</v>
      </c>
      <c r="E22" s="7" t="n">
        <v>11.07</v>
      </c>
      <c r="G22" s="8" t="s">
        <v>28</v>
      </c>
      <c r="H22" s="8" t="s">
        <v>34</v>
      </c>
    </row>
    <row r="23" customFormat="false" ht="17.15" hidden="false" customHeight="false" outlineLevel="0" collapsed="false">
      <c r="A23" s="0" t="s">
        <v>93</v>
      </c>
      <c r="B23" s="5" t="s">
        <v>94</v>
      </c>
      <c r="C23" s="0" t="s">
        <v>86</v>
      </c>
      <c r="E23" s="9" t="n">
        <f aca="false">fl_pv+fin_obl</f>
        <v>24.521</v>
      </c>
      <c r="G23" s="8" t="s">
        <v>41</v>
      </c>
      <c r="H23" s="5" t="s">
        <v>95</v>
      </c>
    </row>
    <row r="24" customFormat="false" ht="17.15" hidden="false" customHeight="false" outlineLevel="0" collapsed="false">
      <c r="A24" s="0" t="s">
        <v>96</v>
      </c>
      <c r="B24" s="5" t="s">
        <v>97</v>
      </c>
      <c r="C24" s="0" t="s">
        <v>52</v>
      </c>
      <c r="E24" s="13" t="n">
        <f aca="false">rf+beta*erp</f>
        <v>0.11720225</v>
      </c>
      <c r="G24" s="8" t="s">
        <v>41</v>
      </c>
      <c r="H24" s="8" t="s">
        <v>98</v>
      </c>
    </row>
    <row r="25" customFormat="false" ht="17.15" hidden="false" customHeight="false" outlineLevel="0" collapsed="false">
      <c r="A25" s="0" t="s">
        <v>99</v>
      </c>
      <c r="B25" s="0" t="s">
        <v>100</v>
      </c>
      <c r="C25" s="0" t="s">
        <v>52</v>
      </c>
      <c r="E25" s="13" t="n">
        <f aca="false">px*sh_out/(px*sh_out+debt_q2+fin_debt)*ke+(debt_q2+fin_debt)/(px*sh_out+debt_q2+fin_debt)*kd*(1-tax)</f>
        <v>0.113297422795535</v>
      </c>
      <c r="G25" s="8" t="s">
        <v>41</v>
      </c>
      <c r="H25" s="5" t="s">
        <v>65</v>
      </c>
      <c r="I25" s="8" t="s">
        <v>101</v>
      </c>
    </row>
    <row r="26" customFormat="false" ht="17.15" hidden="false" customHeight="false" outlineLevel="0" collapsed="false">
      <c r="A26" s="14" t="s">
        <v>102</v>
      </c>
      <c r="B26" s="15" t="s">
        <v>103</v>
      </c>
      <c r="C26" s="14" t="s">
        <v>52</v>
      </c>
      <c r="D26" s="16" t="n">
        <v>0.02</v>
      </c>
      <c r="E26" s="16" t="n">
        <v>0.03</v>
      </c>
      <c r="F26" s="16" t="n">
        <v>0.04</v>
      </c>
      <c r="G26" s="14" t="s">
        <v>69</v>
      </c>
      <c r="H26" s="15" t="s">
        <v>104</v>
      </c>
      <c r="I26" s="14"/>
    </row>
    <row r="27" customFormat="false" ht="17.15" hidden="false" customHeight="false" outlineLevel="0" collapsed="false">
      <c r="A27" s="14" t="s">
        <v>105</v>
      </c>
      <c r="B27" s="15" t="s">
        <v>106</v>
      </c>
      <c r="C27" s="14" t="s">
        <v>52</v>
      </c>
      <c r="D27" s="14"/>
      <c r="E27" s="17" t="n">
        <f aca="false">wacc</f>
        <v>0.113297422795535</v>
      </c>
      <c r="F27" s="17" t="n">
        <f aca="false">wacc+0.05</f>
        <v>0.163297422795535</v>
      </c>
      <c r="G27" s="14" t="s">
        <v>69</v>
      </c>
      <c r="H27" s="15" t="s">
        <v>107</v>
      </c>
      <c r="I27" s="15" t="s">
        <v>108</v>
      </c>
    </row>
    <row r="28" customFormat="false" ht="17.15" hidden="false" customHeight="false" outlineLevel="0" collapsed="false">
      <c r="A28" s="14" t="s">
        <v>109</v>
      </c>
      <c r="B28" s="15" t="s">
        <v>110</v>
      </c>
      <c r="C28" s="14" t="s">
        <v>52</v>
      </c>
      <c r="D28" s="14"/>
      <c r="E28" s="16" t="n">
        <v>0.5</v>
      </c>
      <c r="F28" s="14"/>
      <c r="G28" s="14" t="s">
        <v>69</v>
      </c>
      <c r="H28" s="15" t="s">
        <v>111</v>
      </c>
      <c r="I28" s="14" t="s">
        <v>112</v>
      </c>
    </row>
    <row r="29" customFormat="false" ht="17.15" hidden="false" customHeight="false" outlineLevel="0" collapsed="false">
      <c r="A29" s="14" t="s">
        <v>113</v>
      </c>
      <c r="B29" s="15" t="s">
        <v>114</v>
      </c>
      <c r="C29" s="14" t="s">
        <v>52</v>
      </c>
      <c r="D29" s="14"/>
      <c r="E29" s="16" t="n">
        <v>0.25</v>
      </c>
      <c r="F29" s="14"/>
      <c r="G29" s="14" t="s">
        <v>69</v>
      </c>
      <c r="H29" s="15" t="s">
        <v>115</v>
      </c>
      <c r="I29" s="15" t="s">
        <v>116</v>
      </c>
    </row>
    <row r="30" customFormat="false" ht="17.15" hidden="false" customHeight="false" outlineLevel="0" collapsed="false">
      <c r="A30" s="14" t="s">
        <v>117</v>
      </c>
      <c r="B30" s="15" t="s">
        <v>118</v>
      </c>
      <c r="C30" s="14" t="s">
        <v>52</v>
      </c>
      <c r="D30" s="14"/>
      <c r="E30" s="16" t="n">
        <v>0.5</v>
      </c>
      <c r="F30" s="14"/>
      <c r="G30" s="14" t="s">
        <v>69</v>
      </c>
      <c r="H30" s="15" t="s">
        <v>115</v>
      </c>
      <c r="I30" s="15" t="s">
        <v>116</v>
      </c>
    </row>
    <row r="31" customFormat="false" ht="17.15" hidden="false" customHeight="false" outlineLevel="0" collapsed="false">
      <c r="A31" s="14" t="s">
        <v>119</v>
      </c>
      <c r="B31" s="15" t="s">
        <v>120</v>
      </c>
      <c r="C31" s="14" t="s">
        <v>52</v>
      </c>
      <c r="D31" s="14"/>
      <c r="E31" s="16" t="n">
        <v>0.25</v>
      </c>
      <c r="F31" s="14"/>
      <c r="G31" s="14" t="s">
        <v>69</v>
      </c>
      <c r="H31" s="15" t="s">
        <v>115</v>
      </c>
      <c r="I31" s="15" t="s">
        <v>116</v>
      </c>
    </row>
    <row r="32" customFormat="false" ht="17.15" hidden="false" customHeight="false" outlineLevel="0" collapsed="false">
      <c r="A32" s="0" t="s">
        <v>121</v>
      </c>
      <c r="B32" s="5" t="s">
        <v>122</v>
      </c>
      <c r="C32" s="5" t="s">
        <v>123</v>
      </c>
      <c r="E32" s="9" t="n">
        <f aca="false">(DATE(2027,10,27)-DATE(2026,12,31))/365</f>
        <v>0.821917808219178</v>
      </c>
      <c r="G32" s="8" t="s">
        <v>41</v>
      </c>
      <c r="H32" s="5" t="s">
        <v>124</v>
      </c>
      <c r="I32" s="8" t="s">
        <v>125</v>
      </c>
    </row>
    <row r="33" customFormat="false" ht="17.15" hidden="false" customHeight="false" outlineLevel="0" collapsed="false">
      <c r="A33" s="1" t="s">
        <v>126</v>
      </c>
    </row>
    <row r="34" customFormat="false" ht="17.15" hidden="false" customHeight="false" outlineLevel="0" collapsed="false">
      <c r="A34" s="0" t="s">
        <v>127</v>
      </c>
      <c r="B34" s="5" t="s">
        <v>128</v>
      </c>
      <c r="C34" s="0" t="s">
        <v>129</v>
      </c>
      <c r="E34" s="7" t="n">
        <v>120</v>
      </c>
      <c r="G34" s="8" t="s">
        <v>69</v>
      </c>
      <c r="H34" s="5" t="s">
        <v>130</v>
      </c>
      <c r="I34" s="5" t="s">
        <v>131</v>
      </c>
    </row>
    <row r="35" customFormat="false" ht="17.15" hidden="false" customHeight="false" outlineLevel="0" collapsed="false">
      <c r="A35" s="0" t="s">
        <v>132</v>
      </c>
      <c r="B35" s="5" t="s">
        <v>133</v>
      </c>
      <c r="C35" s="0" t="s">
        <v>129</v>
      </c>
      <c r="E35" s="7" t="n">
        <v>360</v>
      </c>
      <c r="G35" s="8" t="s">
        <v>69</v>
      </c>
      <c r="H35" s="5" t="s">
        <v>130</v>
      </c>
      <c r="I35" s="5" t="s">
        <v>134</v>
      </c>
    </row>
    <row r="36" customFormat="false" ht="17.15" hidden="false" customHeight="false" outlineLevel="0" collapsed="false">
      <c r="A36" s="0" t="s">
        <v>135</v>
      </c>
      <c r="B36" s="5" t="s">
        <v>136</v>
      </c>
      <c r="C36" s="0" t="s">
        <v>129</v>
      </c>
      <c r="D36" s="7" t="n">
        <v>1100</v>
      </c>
      <c r="E36" s="7" t="n">
        <v>1440</v>
      </c>
      <c r="F36" s="7" t="n">
        <v>1800</v>
      </c>
      <c r="G36" s="8" t="s">
        <v>69</v>
      </c>
      <c r="H36" s="5" t="s">
        <v>130</v>
      </c>
      <c r="I36" s="8" t="s">
        <v>137</v>
      </c>
    </row>
    <row r="37" customFormat="false" ht="17.15" hidden="false" customHeight="false" outlineLevel="0" collapsed="false">
      <c r="A37" s="0" t="s">
        <v>138</v>
      </c>
      <c r="B37" s="5" t="s">
        <v>139</v>
      </c>
      <c r="C37" s="0" t="s">
        <v>129</v>
      </c>
      <c r="D37" s="7" t="n">
        <v>1400</v>
      </c>
      <c r="E37" s="7" t="n">
        <v>2080</v>
      </c>
      <c r="F37" s="7" t="n">
        <v>2970</v>
      </c>
      <c r="G37" s="8" t="s">
        <v>41</v>
      </c>
      <c r="H37" s="8" t="s">
        <v>140</v>
      </c>
      <c r="I37" s="8" t="s">
        <v>141</v>
      </c>
    </row>
    <row r="38" customFormat="false" ht="17.15" hidden="false" customHeight="false" outlineLevel="0" collapsed="false">
      <c r="A38" s="14" t="s">
        <v>142</v>
      </c>
      <c r="B38" s="15" t="s">
        <v>143</v>
      </c>
      <c r="C38" s="14" t="s">
        <v>144</v>
      </c>
      <c r="D38" s="14"/>
      <c r="E38" s="18" t="n">
        <v>3733</v>
      </c>
      <c r="F38" s="14"/>
      <c r="G38" s="14" t="s">
        <v>41</v>
      </c>
      <c r="H38" s="15" t="s">
        <v>145</v>
      </c>
      <c r="I38" s="15" t="s">
        <v>146</v>
      </c>
    </row>
    <row r="39" customFormat="false" ht="17.15" hidden="false" customHeight="false" outlineLevel="0" collapsed="false">
      <c r="A39" s="14" t="s">
        <v>147</v>
      </c>
      <c r="B39" s="15" t="s">
        <v>148</v>
      </c>
      <c r="C39" s="14" t="s">
        <v>144</v>
      </c>
      <c r="D39" s="14"/>
      <c r="E39" s="18" t="n">
        <v>3634.3</v>
      </c>
      <c r="F39" s="14"/>
      <c r="G39" s="14" t="s">
        <v>41</v>
      </c>
      <c r="H39" s="15" t="s">
        <v>149</v>
      </c>
      <c r="I39" s="15" t="s">
        <v>150</v>
      </c>
    </row>
    <row r="40" customFormat="false" ht="17.15" hidden="false" customHeight="false" outlineLevel="0" collapsed="false">
      <c r="A40" s="14" t="s">
        <v>151</v>
      </c>
      <c r="B40" s="15" t="s">
        <v>152</v>
      </c>
      <c r="C40" s="14" t="s">
        <v>144</v>
      </c>
      <c r="D40" s="14"/>
      <c r="E40" s="19" t="n">
        <f aca="false">pace_B</f>
        <v>3634.3</v>
      </c>
      <c r="F40" s="14"/>
      <c r="G40" s="14" t="s">
        <v>69</v>
      </c>
      <c r="H40" s="15" t="s">
        <v>153</v>
      </c>
      <c r="I40" s="14" t="s">
        <v>154</v>
      </c>
    </row>
    <row r="41" customFormat="false" ht="17.15" hidden="false" customHeight="false" outlineLevel="0" collapsed="false">
      <c r="A41" s="14" t="s">
        <v>155</v>
      </c>
      <c r="B41" s="15" t="s">
        <v>156</v>
      </c>
      <c r="C41" s="14" t="s">
        <v>52</v>
      </c>
      <c r="D41" s="16" t="n">
        <v>0.6</v>
      </c>
      <c r="E41" s="16" t="n">
        <v>0.8</v>
      </c>
      <c r="F41" s="16" t="n">
        <v>1</v>
      </c>
      <c r="G41" s="14" t="s">
        <v>69</v>
      </c>
      <c r="H41" s="15" t="s">
        <v>157</v>
      </c>
      <c r="I41" s="14" t="s">
        <v>158</v>
      </c>
    </row>
    <row r="42" customFormat="false" ht="17.15" hidden="false" customHeight="false" outlineLevel="0" collapsed="false">
      <c r="A42" s="0" t="s">
        <v>159</v>
      </c>
      <c r="B42" s="5" t="s">
        <v>160</v>
      </c>
      <c r="C42" s="0" t="s">
        <v>52</v>
      </c>
      <c r="D42" s="10" t="n">
        <v>0.7</v>
      </c>
      <c r="E42" s="10" t="n">
        <v>0.8</v>
      </c>
      <c r="F42" s="10" t="n">
        <v>0.9</v>
      </c>
      <c r="G42" s="8" t="s">
        <v>69</v>
      </c>
      <c r="H42" s="5" t="s">
        <v>161</v>
      </c>
      <c r="I42" s="8" t="s">
        <v>162</v>
      </c>
    </row>
    <row r="43" customFormat="false" ht="17.15" hidden="false" customHeight="false" outlineLevel="0" collapsed="false">
      <c r="A43" s="0" t="s">
        <v>163</v>
      </c>
      <c r="B43" s="0" t="s">
        <v>164</v>
      </c>
      <c r="C43" s="0" t="s">
        <v>165</v>
      </c>
      <c r="E43" s="7" t="n">
        <v>2.82</v>
      </c>
      <c r="G43" s="8" t="s">
        <v>28</v>
      </c>
      <c r="H43" s="8" t="s">
        <v>166</v>
      </c>
      <c r="I43" s="8" t="s">
        <v>167</v>
      </c>
    </row>
    <row r="44" customFormat="false" ht="17.15" hidden="false" customHeight="false" outlineLevel="0" collapsed="false">
      <c r="A44" s="0" t="s">
        <v>168</v>
      </c>
      <c r="B44" s="0" t="s">
        <v>169</v>
      </c>
      <c r="C44" s="0" t="s">
        <v>165</v>
      </c>
      <c r="E44" s="7" t="n">
        <v>6.88</v>
      </c>
      <c r="G44" s="8" t="s">
        <v>28</v>
      </c>
      <c r="H44" s="8" t="s">
        <v>166</v>
      </c>
      <c r="I44" s="5" t="s">
        <v>170</v>
      </c>
    </row>
    <row r="45" customFormat="false" ht="17.15" hidden="false" customHeight="false" outlineLevel="0" collapsed="false">
      <c r="A45" s="0" t="s">
        <v>171</v>
      </c>
      <c r="B45" s="5" t="s">
        <v>172</v>
      </c>
      <c r="C45" s="0" t="s">
        <v>173</v>
      </c>
      <c r="E45" s="7" t="n">
        <v>9.5715</v>
      </c>
      <c r="G45" s="8" t="s">
        <v>69</v>
      </c>
      <c r="H45" s="5" t="s">
        <v>174</v>
      </c>
      <c r="I45" s="5" t="s">
        <v>175</v>
      </c>
    </row>
    <row r="46" customFormat="false" ht="17.15" hidden="false" customHeight="false" outlineLevel="0" collapsed="false">
      <c r="A46" s="0" t="s">
        <v>176</v>
      </c>
      <c r="B46" s="5" t="s">
        <v>177</v>
      </c>
      <c r="C46" s="0" t="s">
        <v>173</v>
      </c>
      <c r="E46" s="7" t="n">
        <v>7.0191</v>
      </c>
      <c r="G46" s="8" t="s">
        <v>69</v>
      </c>
      <c r="H46" s="5" t="s">
        <v>178</v>
      </c>
      <c r="I46" s="8" t="s">
        <v>179</v>
      </c>
    </row>
    <row r="47" customFormat="false" ht="17.15" hidden="false" customHeight="false" outlineLevel="0" collapsed="false">
      <c r="A47" s="0" t="s">
        <v>180</v>
      </c>
      <c r="B47" s="0" t="s">
        <v>181</v>
      </c>
      <c r="C47" s="0" t="s">
        <v>173</v>
      </c>
      <c r="E47" s="7" t="n">
        <v>9.70308728611469</v>
      </c>
      <c r="G47" s="8" t="s">
        <v>41</v>
      </c>
      <c r="H47" s="8" t="s">
        <v>182</v>
      </c>
      <c r="I47" s="8" t="s">
        <v>183</v>
      </c>
    </row>
    <row r="48" customFormat="false" ht="17.15" hidden="false" customHeight="false" outlineLevel="0" collapsed="false">
      <c r="A48" s="0" t="s">
        <v>184</v>
      </c>
      <c r="B48" s="0" t="s">
        <v>185</v>
      </c>
      <c r="C48" s="0" t="s">
        <v>173</v>
      </c>
      <c r="E48" s="7" t="n">
        <v>8.82816556596761</v>
      </c>
      <c r="G48" s="8" t="s">
        <v>41</v>
      </c>
      <c r="H48" s="8" t="s">
        <v>182</v>
      </c>
      <c r="I48" s="8" t="s">
        <v>183</v>
      </c>
    </row>
    <row r="49" customFormat="false" ht="17.15" hidden="false" customHeight="false" outlineLevel="0" collapsed="false">
      <c r="A49" s="0" t="s">
        <v>186</v>
      </c>
      <c r="B49" s="0" t="s">
        <v>187</v>
      </c>
      <c r="C49" s="0" t="s">
        <v>173</v>
      </c>
      <c r="E49" s="7" t="n">
        <v>10.8864110021101</v>
      </c>
      <c r="G49" s="8" t="s">
        <v>41</v>
      </c>
      <c r="H49" s="8" t="s">
        <v>182</v>
      </c>
      <c r="I49" s="8" t="s">
        <v>183</v>
      </c>
    </row>
    <row r="50" customFormat="false" ht="17.15" hidden="false" customHeight="false" outlineLevel="0" collapsed="false">
      <c r="A50" s="0" t="s">
        <v>188</v>
      </c>
      <c r="B50" s="0" t="s">
        <v>189</v>
      </c>
      <c r="C50" s="0" t="s">
        <v>173</v>
      </c>
      <c r="E50" s="7" t="n">
        <v>12.2254710045841</v>
      </c>
      <c r="G50" s="8" t="s">
        <v>41</v>
      </c>
      <c r="H50" s="8" t="s">
        <v>182</v>
      </c>
      <c r="I50" s="8" t="s">
        <v>183</v>
      </c>
    </row>
    <row r="51" customFormat="false" ht="17.15" hidden="false" customHeight="false" outlineLevel="0" collapsed="false">
      <c r="A51" s="0" t="s">
        <v>190</v>
      </c>
      <c r="B51" s="0" t="s">
        <v>191</v>
      </c>
      <c r="C51" s="0" t="s">
        <v>192</v>
      </c>
      <c r="E51" s="7" t="n">
        <v>27.510214</v>
      </c>
      <c r="G51" s="8" t="s">
        <v>41</v>
      </c>
      <c r="H51" s="8" t="s">
        <v>182</v>
      </c>
    </row>
    <row r="52" customFormat="false" ht="17.15" hidden="false" customHeight="false" outlineLevel="0" collapsed="false">
      <c r="A52" s="0" t="s">
        <v>193</v>
      </c>
      <c r="B52" s="0" t="s">
        <v>194</v>
      </c>
      <c r="C52" s="0" t="s">
        <v>192</v>
      </c>
      <c r="E52" s="7" t="n">
        <v>24.015174</v>
      </c>
      <c r="G52" s="8" t="s">
        <v>41</v>
      </c>
      <c r="H52" s="8" t="s">
        <v>182</v>
      </c>
    </row>
    <row r="53" customFormat="false" ht="17.15" hidden="false" customHeight="false" outlineLevel="0" collapsed="false">
      <c r="A53" s="0" t="s">
        <v>195</v>
      </c>
      <c r="B53" s="0" t="s">
        <v>196</v>
      </c>
      <c r="C53" s="0" t="s">
        <v>192</v>
      </c>
      <c r="E53" s="7" t="n">
        <v>32.237224</v>
      </c>
      <c r="G53" s="8" t="s">
        <v>41</v>
      </c>
      <c r="H53" s="8" t="s">
        <v>182</v>
      </c>
    </row>
    <row r="54" customFormat="false" ht="17.15" hidden="false" customHeight="false" outlineLevel="0" collapsed="false">
      <c r="A54" s="0" t="s">
        <v>197</v>
      </c>
      <c r="B54" s="0" t="s">
        <v>198</v>
      </c>
      <c r="C54" s="0" t="s">
        <v>192</v>
      </c>
      <c r="E54" s="7" t="n">
        <v>37.586352</v>
      </c>
      <c r="G54" s="8" t="s">
        <v>41</v>
      </c>
      <c r="H54" s="8" t="s">
        <v>182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0" t="s">
        <v>173</v>
      </c>
      <c r="E55" s="7" t="n">
        <v>1.88466748019734</v>
      </c>
      <c r="G55" s="8" t="s">
        <v>41</v>
      </c>
      <c r="H55" s="8" t="s">
        <v>182</v>
      </c>
    </row>
    <row r="56" customFormat="false" ht="17.15" hidden="false" customHeight="false" outlineLevel="0" collapsed="false">
      <c r="A56" s="0" t="s">
        <v>201</v>
      </c>
      <c r="B56" s="0" t="s">
        <v>202</v>
      </c>
      <c r="C56" s="0" t="s">
        <v>173</v>
      </c>
      <c r="E56" s="7" t="n">
        <v>1.812232738713</v>
      </c>
      <c r="G56" s="8" t="s">
        <v>41</v>
      </c>
      <c r="H56" s="8" t="s">
        <v>182</v>
      </c>
    </row>
    <row r="57" customFormat="false" ht="17.15" hidden="false" customHeight="false" outlineLevel="0" collapsed="false">
      <c r="A57" s="0" t="s">
        <v>203</v>
      </c>
      <c r="B57" s="0" t="s">
        <v>204</v>
      </c>
      <c r="C57" s="0" t="s">
        <v>173</v>
      </c>
      <c r="E57" s="7" t="n">
        <v>1.98263481314457</v>
      </c>
      <c r="G57" s="8" t="s">
        <v>41</v>
      </c>
      <c r="H57" s="8" t="s">
        <v>182</v>
      </c>
    </row>
    <row r="58" customFormat="false" ht="17.15" hidden="false" customHeight="false" outlineLevel="0" collapsed="false">
      <c r="A58" s="0" t="s">
        <v>205</v>
      </c>
      <c r="B58" s="0" t="s">
        <v>206</v>
      </c>
      <c r="C58" s="0" t="s">
        <v>173</v>
      </c>
      <c r="E58" s="7" t="n">
        <v>2.09349554831403</v>
      </c>
      <c r="G58" s="8" t="s">
        <v>41</v>
      </c>
      <c r="H58" s="8" t="s">
        <v>182</v>
      </c>
    </row>
    <row r="59" customFormat="false" ht="17.15" hidden="false" customHeight="false" outlineLevel="0" collapsed="false">
      <c r="A59" s="0" t="s">
        <v>207</v>
      </c>
      <c r="B59" s="0" t="s">
        <v>208</v>
      </c>
      <c r="C59" s="0" t="s">
        <v>165</v>
      </c>
      <c r="E59" s="7" t="n">
        <v>1.54259654785589</v>
      </c>
      <c r="G59" s="8" t="s">
        <v>41</v>
      </c>
      <c r="H59" s="8" t="s">
        <v>182</v>
      </c>
      <c r="I59" s="8" t="s">
        <v>209</v>
      </c>
    </row>
    <row r="60" customFormat="false" ht="17.15" hidden="false" customHeight="false" outlineLevel="0" collapsed="false">
      <c r="A60" s="0" t="s">
        <v>210</v>
      </c>
      <c r="B60" s="0" t="s">
        <v>211</v>
      </c>
      <c r="C60" s="0" t="s">
        <v>192</v>
      </c>
      <c r="E60" s="7" t="n">
        <v>12.67</v>
      </c>
      <c r="G60" s="8" t="s">
        <v>41</v>
      </c>
      <c r="H60" s="8" t="s">
        <v>182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5" t="s">
        <v>123</v>
      </c>
      <c r="D61" s="7" t="n">
        <v>5</v>
      </c>
      <c r="E61" s="7" t="n">
        <v>6</v>
      </c>
      <c r="F61" s="7" t="n">
        <v>7</v>
      </c>
      <c r="G61" s="8" t="s">
        <v>41</v>
      </c>
      <c r="H61" s="8" t="s">
        <v>182</v>
      </c>
      <c r="I61" s="5" t="s">
        <v>214</v>
      </c>
    </row>
    <row r="62" customFormat="false" ht="17.15" hidden="false" customHeight="false" outlineLevel="0" collapsed="false">
      <c r="A62" s="0" t="s">
        <v>215</v>
      </c>
      <c r="B62" s="5" t="s">
        <v>216</v>
      </c>
      <c r="C62" s="5" t="s">
        <v>123</v>
      </c>
      <c r="D62" s="7" t="n">
        <v>15</v>
      </c>
      <c r="E62" s="7" t="n">
        <v>20</v>
      </c>
      <c r="F62" s="7" t="n">
        <v>30</v>
      </c>
      <c r="G62" s="8" t="s">
        <v>69</v>
      </c>
      <c r="H62" s="5" t="s">
        <v>217</v>
      </c>
      <c r="I62" s="5" t="s">
        <v>218</v>
      </c>
    </row>
    <row r="63" customFormat="false" ht="17.15" hidden="false" customHeight="false" outlineLevel="0" collapsed="false">
      <c r="A63" s="0" t="s">
        <v>219</v>
      </c>
      <c r="B63" s="0" t="s">
        <v>220</v>
      </c>
      <c r="C63" s="0" t="s">
        <v>173</v>
      </c>
      <c r="D63" s="7" t="n">
        <v>36.2296</v>
      </c>
      <c r="E63" s="7" t="n">
        <v>49.5137840363362</v>
      </c>
      <c r="F63" s="7" t="n">
        <v>78.4975</v>
      </c>
      <c r="G63" s="8" t="s">
        <v>41</v>
      </c>
      <c r="H63" s="8" t="s">
        <v>182</v>
      </c>
      <c r="I63" s="5" t="s">
        <v>221</v>
      </c>
    </row>
    <row r="64" customFormat="false" ht="17.15" hidden="false" customHeight="false" outlineLevel="0" collapsed="false">
      <c r="A64" s="0" t="s">
        <v>222</v>
      </c>
      <c r="B64" s="0" t="s">
        <v>223</v>
      </c>
      <c r="C64" s="0" t="s">
        <v>57</v>
      </c>
      <c r="D64" s="12" t="n">
        <f aca="false">p_long_lo/tk_he_vr200</f>
        <v>0.574137388847276</v>
      </c>
      <c r="E64" s="12" t="n">
        <f aca="false">p_long/tk_he_vr200</f>
        <v>0.782914621155376</v>
      </c>
      <c r="G64" s="8" t="s">
        <v>41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0" t="s">
        <v>227</v>
      </c>
      <c r="C65" s="0" t="s">
        <v>57</v>
      </c>
      <c r="E65" s="12" t="n">
        <f aca="false">p_spot/tk_gpuhr</f>
        <v>1.82808654921445</v>
      </c>
      <c r="F65" s="12" t="n">
        <f aca="false">p_list/tk_gpuhr</f>
        <v>4.46001257397001</v>
      </c>
      <c r="G65" s="8" t="s">
        <v>41</v>
      </c>
      <c r="H65" s="8" t="s">
        <v>228</v>
      </c>
      <c r="I65" s="5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57</v>
      </c>
      <c r="E66" s="12" t="n">
        <f aca="false">long_sh*k_long+(1-long_sh)*k_spot_hi</f>
        <v>1.5183342117183</v>
      </c>
      <c r="G66" s="8" t="s">
        <v>41</v>
      </c>
      <c r="H66" s="5" t="s">
        <v>232</v>
      </c>
    </row>
    <row r="67" customFormat="false" ht="17.15" hidden="false" customHeight="false" outlineLevel="0" collapsed="false">
      <c r="A67" s="0" t="s">
        <v>233</v>
      </c>
      <c r="B67" s="5" t="s">
        <v>234</v>
      </c>
      <c r="C67" s="0" t="s">
        <v>57</v>
      </c>
      <c r="E67" s="12" t="n">
        <f aca="false">long_sh*k_long+(1-long_sh)*k_spot</f>
        <v>0.991949006767191</v>
      </c>
      <c r="G67" s="8" t="s">
        <v>41</v>
      </c>
      <c r="H67" s="5" t="s">
        <v>235</v>
      </c>
      <c r="I67" s="5" t="s">
        <v>236</v>
      </c>
    </row>
    <row r="68" customFormat="false" ht="17.15" hidden="false" customHeight="false" outlineLevel="0" collapsed="false">
      <c r="A68" s="0" t="s">
        <v>237</v>
      </c>
      <c r="B68" s="5" t="s">
        <v>238</v>
      </c>
      <c r="C68" s="0" t="s">
        <v>57</v>
      </c>
      <c r="E68" s="12" t="n">
        <f aca="false">long_sh*k_long_lo+(1-long_sh)*k_spot</f>
        <v>0.824927220920711</v>
      </c>
      <c r="G68" s="8" t="s">
        <v>41</v>
      </c>
      <c r="H68" s="5" t="s">
        <v>239</v>
      </c>
    </row>
    <row r="69" customFormat="false" ht="17.15" hidden="false" customHeight="false" outlineLevel="0" collapsed="false">
      <c r="A69" s="0" t="s">
        <v>240</v>
      </c>
      <c r="B69" s="5" t="s">
        <v>241</v>
      </c>
      <c r="C69" s="0" t="s">
        <v>52</v>
      </c>
      <c r="E69" s="10" t="n">
        <v>0.55</v>
      </c>
      <c r="G69" s="8" t="s">
        <v>69</v>
      </c>
      <c r="H69" s="8" t="s">
        <v>242</v>
      </c>
      <c r="I69" s="8" t="s">
        <v>243</v>
      </c>
    </row>
    <row r="70" customFormat="false" ht="17.15" hidden="false" customHeight="false" outlineLevel="0" collapsed="false">
      <c r="A70" s="0" t="s">
        <v>244</v>
      </c>
      <c r="B70" s="5" t="s">
        <v>245</v>
      </c>
      <c r="C70" s="0" t="s">
        <v>52</v>
      </c>
      <c r="E70" s="10" t="n">
        <v>0.15</v>
      </c>
      <c r="G70" s="8" t="s">
        <v>69</v>
      </c>
      <c r="H70" s="8" t="s">
        <v>242</v>
      </c>
    </row>
    <row r="71" customFormat="false" ht="17.15" hidden="false" customHeight="false" outlineLevel="0" collapsed="false">
      <c r="A71" s="0" t="s">
        <v>246</v>
      </c>
      <c r="B71" s="5" t="s">
        <v>247</v>
      </c>
      <c r="C71" s="0" t="s">
        <v>52</v>
      </c>
      <c r="E71" s="10" t="n">
        <v>0.15</v>
      </c>
      <c r="G71" s="8" t="s">
        <v>69</v>
      </c>
      <c r="H71" s="8" t="s">
        <v>242</v>
      </c>
    </row>
    <row r="72" customFormat="false" ht="17.15" hidden="false" customHeight="false" outlineLevel="0" collapsed="false">
      <c r="A72" s="0" t="s">
        <v>248</v>
      </c>
      <c r="B72" s="5" t="s">
        <v>249</v>
      </c>
      <c r="C72" s="0" t="s">
        <v>52</v>
      </c>
      <c r="E72" s="10" t="n">
        <v>0.15</v>
      </c>
      <c r="G72" s="8" t="s">
        <v>69</v>
      </c>
      <c r="H72" s="8" t="s">
        <v>242</v>
      </c>
    </row>
    <row r="73" customFormat="false" ht="17.15" hidden="false" customHeight="false" outlineLevel="0" collapsed="false">
      <c r="A73" s="0" t="s">
        <v>250</v>
      </c>
      <c r="B73" s="5" t="s">
        <v>251</v>
      </c>
      <c r="C73" s="0" t="s">
        <v>173</v>
      </c>
      <c r="E73" s="9" t="n">
        <f aca="false">(mo_trn2+mo_h100)*tk_he_h100+mo_gb200*tk_he_gb200+mo_gb300*tk_he_gb300</f>
        <v>9.74934758549194</v>
      </c>
      <c r="G73" s="8" t="s">
        <v>41</v>
      </c>
      <c r="H73" s="5" t="s">
        <v>252</v>
      </c>
    </row>
    <row r="74" customFormat="false" ht="17.15" hidden="false" customHeight="false" outlineLevel="0" collapsed="false">
      <c r="A74" s="0" t="s">
        <v>253</v>
      </c>
      <c r="B74" s="5" t="s">
        <v>254</v>
      </c>
      <c r="C74" s="0" t="s">
        <v>173</v>
      </c>
      <c r="E74" s="9" t="n">
        <f aca="false">(mo_trn2+mo_h100)*tk_ox_h100+mo_gb200*tk_ox_gb200+mo_gb300*tk_ox_gb300</f>
        <v>1.88849736891677</v>
      </c>
      <c r="G74" s="8" t="s">
        <v>41</v>
      </c>
      <c r="H74" s="5" t="s">
        <v>252</v>
      </c>
    </row>
    <row r="75" customFormat="false" ht="17.15" hidden="false" customHeight="false" outlineLevel="0" collapsed="false">
      <c r="A75" s="0" t="s">
        <v>255</v>
      </c>
      <c r="B75" s="5" t="s">
        <v>256</v>
      </c>
      <c r="C75" s="0" t="s">
        <v>173</v>
      </c>
      <c r="E75" s="9" t="n">
        <f aca="false">he_open*k_B</f>
        <v>9.67085565405685</v>
      </c>
      <c r="G75" s="8" t="s">
        <v>41</v>
      </c>
      <c r="H75" s="5" t="s">
        <v>257</v>
      </c>
    </row>
    <row r="76" customFormat="false" ht="17.15" hidden="false" customHeight="false" outlineLevel="0" collapsed="false">
      <c r="A76" s="0" t="s">
        <v>258</v>
      </c>
      <c r="B76" s="5" t="s">
        <v>259</v>
      </c>
      <c r="C76" s="0" t="s">
        <v>52</v>
      </c>
      <c r="D76" s="10" t="n">
        <v>0.4</v>
      </c>
      <c r="E76" s="10" t="n">
        <v>0.5</v>
      </c>
      <c r="F76" s="10" t="n">
        <v>0.6</v>
      </c>
      <c r="G76" s="8" t="s">
        <v>69</v>
      </c>
      <c r="H76" s="5" t="s">
        <v>260</v>
      </c>
      <c r="I76" s="8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52</v>
      </c>
      <c r="E77" s="10" t="n">
        <v>0</v>
      </c>
      <c r="G77" s="8" t="s">
        <v>69</v>
      </c>
      <c r="H77" s="5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52</v>
      </c>
      <c r="E78" s="10" t="n">
        <v>0.5</v>
      </c>
      <c r="G78" s="8" t="s">
        <v>69</v>
      </c>
      <c r="H78" s="5" t="s">
        <v>264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52</v>
      </c>
      <c r="E79" s="10" t="n">
        <v>1</v>
      </c>
      <c r="G79" s="8" t="s">
        <v>69</v>
      </c>
      <c r="H79" s="5" t="s">
        <v>264</v>
      </c>
    </row>
    <row r="80" customFormat="false" ht="17.15" hidden="false" customHeight="false" outlineLevel="0" collapsed="false">
      <c r="A80" s="0" t="s">
        <v>269</v>
      </c>
      <c r="B80" s="5" t="s">
        <v>270</v>
      </c>
      <c r="C80" s="0" t="s">
        <v>57</v>
      </c>
      <c r="D80" s="11" t="n">
        <v>0.7</v>
      </c>
      <c r="E80" s="11" t="n">
        <v>1</v>
      </c>
      <c r="G80" s="8" t="s">
        <v>69</v>
      </c>
      <c r="H80" s="5" t="s">
        <v>271</v>
      </c>
      <c r="I80" s="5" t="s">
        <v>272</v>
      </c>
    </row>
    <row r="81" customFormat="false" ht="17.15" hidden="false" customHeight="false" outlineLevel="0" collapsed="false">
      <c r="A81" s="0" t="s">
        <v>273</v>
      </c>
      <c r="B81" s="5" t="s">
        <v>274</v>
      </c>
      <c r="C81" s="0" t="s">
        <v>57</v>
      </c>
      <c r="D81" s="11" t="n">
        <v>0.7</v>
      </c>
      <c r="E81" s="11" t="n">
        <v>1</v>
      </c>
      <c r="G81" s="8" t="s">
        <v>69</v>
      </c>
      <c r="H81" s="5" t="s">
        <v>275</v>
      </c>
      <c r="I81" s="5" t="s">
        <v>276</v>
      </c>
    </row>
    <row r="82" customFormat="false" ht="17.15" hidden="false" customHeight="false" outlineLevel="0" collapsed="false">
      <c r="A82" s="0" t="s">
        <v>277</v>
      </c>
      <c r="B82" s="5" t="s">
        <v>278</v>
      </c>
      <c r="C82" s="0" t="s">
        <v>52</v>
      </c>
      <c r="D82" s="10" t="n">
        <v>0.1</v>
      </c>
      <c r="E82" s="10" t="n">
        <v>0.2</v>
      </c>
      <c r="F82" s="10" t="n">
        <v>0.3</v>
      </c>
      <c r="G82" s="8" t="s">
        <v>46</v>
      </c>
      <c r="H82" s="8" t="s">
        <v>279</v>
      </c>
      <c r="I82" s="5" t="s">
        <v>280</v>
      </c>
    </row>
    <row r="83" customFormat="false" ht="17.15" hidden="false" customHeight="false" outlineLevel="0" collapsed="false">
      <c r="A83" s="0" t="s">
        <v>281</v>
      </c>
      <c r="B83" s="5" t="s">
        <v>282</v>
      </c>
      <c r="C83" s="0" t="s">
        <v>52</v>
      </c>
      <c r="E83" s="10" t="n">
        <v>0.1</v>
      </c>
      <c r="G83" s="8" t="s">
        <v>69</v>
      </c>
      <c r="H83" s="5" t="s">
        <v>283</v>
      </c>
    </row>
    <row r="84" customFormat="false" ht="17.15" hidden="false" customHeight="false" outlineLevel="0" collapsed="false">
      <c r="A84" s="0" t="s">
        <v>284</v>
      </c>
      <c r="B84" s="5" t="s">
        <v>285</v>
      </c>
      <c r="C84" s="0" t="s">
        <v>173</v>
      </c>
      <c r="E84" s="9" t="n">
        <f aca="false">colo_sh*tk_fac*rent_rec</f>
        <v>0.2534</v>
      </c>
      <c r="G84" s="8" t="s">
        <v>41</v>
      </c>
      <c r="H84" s="5" t="s">
        <v>286</v>
      </c>
    </row>
    <row r="85" customFormat="false" ht="17.15" hidden="false" customHeight="false" outlineLevel="0" collapsed="false">
      <c r="A85" s="0" t="s">
        <v>287</v>
      </c>
      <c r="B85" s="0" t="s">
        <v>288</v>
      </c>
      <c r="C85" s="0" t="s">
        <v>86</v>
      </c>
      <c r="E85" s="7" t="n">
        <v>220</v>
      </c>
      <c r="G85" s="8" t="s">
        <v>46</v>
      </c>
      <c r="H85" s="8" t="s">
        <v>289</v>
      </c>
      <c r="I85" s="5" t="s">
        <v>290</v>
      </c>
    </row>
    <row r="86" customFormat="false" ht="17.15" hidden="false" customHeight="false" outlineLevel="0" collapsed="false">
      <c r="A86" s="0" t="s">
        <v>291</v>
      </c>
      <c r="B86" s="5" t="s">
        <v>292</v>
      </c>
      <c r="C86" s="0" t="s">
        <v>293</v>
      </c>
      <c r="D86" s="7" t="n">
        <v>1</v>
      </c>
      <c r="E86" s="7" t="n">
        <v>2</v>
      </c>
      <c r="G86" s="8" t="s">
        <v>69</v>
      </c>
      <c r="H86" s="5" t="s">
        <v>294</v>
      </c>
      <c r="I86" s="5" t="s">
        <v>295</v>
      </c>
    </row>
    <row r="87" customFormat="false" ht="17.15" hidden="false" customHeight="false" outlineLevel="0" collapsed="false">
      <c r="A87" s="0" t="s">
        <v>296</v>
      </c>
      <c r="B87" s="5" t="s">
        <v>297</v>
      </c>
      <c r="C87" s="0" t="s">
        <v>86</v>
      </c>
      <c r="E87" s="7" t="n">
        <v>25</v>
      </c>
      <c r="G87" s="8" t="s">
        <v>46</v>
      </c>
      <c r="H87" s="8" t="s">
        <v>298</v>
      </c>
      <c r="I87" s="5" t="s">
        <v>299</v>
      </c>
    </row>
    <row r="88" customFormat="false" ht="17.15" hidden="false" customHeight="false" outlineLevel="0" collapsed="false">
      <c r="A88" s="1" t="s">
        <v>300</v>
      </c>
    </row>
    <row r="89" customFormat="false" ht="17.15" hidden="false" customHeight="false" outlineLevel="0" collapsed="false">
      <c r="A89" s="0" t="s">
        <v>301</v>
      </c>
      <c r="B89" s="0" t="s">
        <v>302</v>
      </c>
      <c r="C89" s="0" t="s">
        <v>52</v>
      </c>
      <c r="D89" s="10" t="n">
        <v>0.05</v>
      </c>
      <c r="E89" s="10" t="n">
        <v>0.08</v>
      </c>
      <c r="F89" s="10" t="n">
        <v>0.11</v>
      </c>
      <c r="G89" s="8" t="s">
        <v>69</v>
      </c>
      <c r="H89" s="5" t="s">
        <v>303</v>
      </c>
      <c r="I89" s="8" t="s">
        <v>304</v>
      </c>
    </row>
    <row r="90" customFormat="false" ht="17.15" hidden="false" customHeight="false" outlineLevel="0" collapsed="false">
      <c r="A90" s="0" t="s">
        <v>305</v>
      </c>
      <c r="B90" s="0" t="s">
        <v>306</v>
      </c>
      <c r="C90" s="0" t="s">
        <v>52</v>
      </c>
      <c r="D90" s="10" t="n">
        <v>0.15</v>
      </c>
      <c r="E90" s="10" t="n">
        <v>0.2</v>
      </c>
      <c r="F90" s="10" t="n">
        <v>0.27</v>
      </c>
      <c r="G90" s="8" t="s">
        <v>69</v>
      </c>
      <c r="H90" s="5" t="s">
        <v>307</v>
      </c>
      <c r="I90" s="5" t="s">
        <v>308</v>
      </c>
    </row>
    <row r="91" customFormat="false" ht="17.15" hidden="false" customHeight="false" outlineLevel="0" collapsed="false">
      <c r="A91" s="1" t="s">
        <v>309</v>
      </c>
    </row>
    <row r="92" customFormat="false" ht="17.15" hidden="false" customHeight="false" outlineLevel="0" collapsed="false">
      <c r="A92" s="0" t="s">
        <v>310</v>
      </c>
      <c r="B92" s="0" t="s">
        <v>311</v>
      </c>
      <c r="C92" s="0" t="s">
        <v>52</v>
      </c>
      <c r="D92" s="10" t="n">
        <v>0.03</v>
      </c>
      <c r="E92" s="10" t="n">
        <v>0.05</v>
      </c>
      <c r="F92" s="10" t="n">
        <v>0.07</v>
      </c>
      <c r="G92" s="8" t="s">
        <v>69</v>
      </c>
      <c r="H92" s="5" t="s">
        <v>153</v>
      </c>
      <c r="I92" s="8" t="s">
        <v>312</v>
      </c>
    </row>
    <row r="93" customFormat="false" ht="17.15" hidden="false" customHeight="false" outlineLevel="0" collapsed="false">
      <c r="A93" s="0" t="s">
        <v>313</v>
      </c>
      <c r="B93" s="0" t="s">
        <v>314</v>
      </c>
      <c r="C93" s="0" t="s">
        <v>52</v>
      </c>
      <c r="D93" s="10" t="n">
        <v>0.01</v>
      </c>
      <c r="E93" s="10" t="n">
        <v>0.03</v>
      </c>
      <c r="F93" s="10" t="n">
        <v>0.05</v>
      </c>
      <c r="G93" s="8" t="s">
        <v>69</v>
      </c>
      <c r="H93" s="5" t="s">
        <v>153</v>
      </c>
      <c r="I93" s="8" t="s">
        <v>312</v>
      </c>
    </row>
    <row r="94" customFormat="false" ht="17.15" hidden="false" customHeight="false" outlineLevel="0" collapsed="false">
      <c r="A94" s="0" t="s">
        <v>315</v>
      </c>
      <c r="B94" s="0" t="s">
        <v>316</v>
      </c>
      <c r="C94" s="0" t="s">
        <v>52</v>
      </c>
      <c r="D94" s="10" t="n">
        <v>0.05</v>
      </c>
      <c r="E94" s="10" t="n">
        <v>0.07</v>
      </c>
      <c r="F94" s="10" t="n">
        <v>0.09</v>
      </c>
      <c r="G94" s="8" t="s">
        <v>69</v>
      </c>
      <c r="H94" s="5" t="s">
        <v>153</v>
      </c>
      <c r="I94" s="8" t="s">
        <v>312</v>
      </c>
    </row>
    <row r="95" customFormat="false" ht="17.15" hidden="false" customHeight="false" outlineLevel="0" collapsed="false">
      <c r="A95" s="0" t="s">
        <v>317</v>
      </c>
      <c r="B95" s="0" t="s">
        <v>318</v>
      </c>
      <c r="C95" s="0" t="s">
        <v>52</v>
      </c>
      <c r="D95" s="10" t="n">
        <v>0.07</v>
      </c>
      <c r="E95" s="10" t="n">
        <v>0.1</v>
      </c>
      <c r="F95" s="10" t="n">
        <v>0.13</v>
      </c>
      <c r="G95" s="8" t="s">
        <v>69</v>
      </c>
      <c r="H95" s="5" t="s">
        <v>153</v>
      </c>
      <c r="I95" s="8" t="s">
        <v>312</v>
      </c>
    </row>
    <row r="96" customFormat="false" ht="17.15" hidden="false" customHeight="false" outlineLevel="0" collapsed="false">
      <c r="A96" s="0" t="s">
        <v>319</v>
      </c>
      <c r="B96" s="0" t="s">
        <v>320</v>
      </c>
      <c r="C96" s="0" t="s">
        <v>52</v>
      </c>
      <c r="D96" s="10" t="n">
        <v>0.05</v>
      </c>
      <c r="E96" s="10" t="n">
        <v>0.07</v>
      </c>
      <c r="F96" s="10" t="n">
        <v>0.09</v>
      </c>
      <c r="G96" s="8" t="s">
        <v>69</v>
      </c>
      <c r="H96" s="5" t="s">
        <v>153</v>
      </c>
      <c r="I96" s="8" t="s">
        <v>312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52</v>
      </c>
      <c r="D97" s="10" t="n">
        <v>0.02</v>
      </c>
      <c r="E97" s="10" t="n">
        <v>0.05</v>
      </c>
      <c r="F97" s="10" t="n">
        <v>0.08</v>
      </c>
      <c r="G97" s="8" t="s">
        <v>69</v>
      </c>
      <c r="H97" s="5" t="s">
        <v>153</v>
      </c>
      <c r="I97" s="8" t="s">
        <v>312</v>
      </c>
    </row>
    <row r="98" customFormat="false" ht="17.15" hidden="false" customHeight="false" outlineLevel="0" collapsed="false">
      <c r="A98" s="0" t="s">
        <v>323</v>
      </c>
      <c r="B98" s="5" t="s">
        <v>324</v>
      </c>
      <c r="C98" s="0" t="s">
        <v>52</v>
      </c>
      <c r="D98" s="10" t="n">
        <v>0.4</v>
      </c>
      <c r="E98" s="10" t="n">
        <v>0.5</v>
      </c>
      <c r="F98" s="10" t="n">
        <v>0.6</v>
      </c>
      <c r="G98" s="8" t="s">
        <v>69</v>
      </c>
      <c r="H98" s="5" t="s">
        <v>325</v>
      </c>
      <c r="I98" s="5" t="s">
        <v>326</v>
      </c>
    </row>
    <row r="99" customFormat="false" ht="17.15" hidden="false" customHeight="false" outlineLevel="0" collapsed="false">
      <c r="A99" s="0" t="s">
        <v>327</v>
      </c>
      <c r="B99" s="5" t="s">
        <v>328</v>
      </c>
      <c r="C99" s="0" t="s">
        <v>329</v>
      </c>
      <c r="D99" s="10" t="n">
        <v>0</v>
      </c>
      <c r="E99" s="10" t="n">
        <v>0.003</v>
      </c>
      <c r="F99" s="10" t="n">
        <v>0.006</v>
      </c>
      <c r="G99" s="8" t="s">
        <v>69</v>
      </c>
      <c r="H99" s="5" t="s">
        <v>330</v>
      </c>
    </row>
    <row r="100" customFormat="false" ht="17.15" hidden="false" customHeight="false" outlineLevel="0" collapsed="false">
      <c r="A100" s="0" t="s">
        <v>331</v>
      </c>
      <c r="B100" s="5" t="s">
        <v>332</v>
      </c>
      <c r="C100" s="0" t="s">
        <v>329</v>
      </c>
      <c r="D100" s="10" t="n">
        <v>-0.003</v>
      </c>
      <c r="E100" s="10" t="n">
        <v>0</v>
      </c>
      <c r="F100" s="10" t="n">
        <v>0.003</v>
      </c>
      <c r="G100" s="8" t="s">
        <v>69</v>
      </c>
      <c r="H100" s="5" t="s">
        <v>333</v>
      </c>
    </row>
    <row r="101" customFormat="false" ht="17.15" hidden="false" customHeight="false" outlineLevel="0" collapsed="false">
      <c r="A101" s="0" t="s">
        <v>334</v>
      </c>
      <c r="B101" s="5" t="s">
        <v>335</v>
      </c>
      <c r="C101" s="0" t="s">
        <v>52</v>
      </c>
      <c r="E101" s="13" t="n">
        <f aca="false">AVERAGE((Q!$C$55+Q!$C$56)/(Q!$C$5+Q!$C$6),(Q!$D$55+Q!$D$56)/(Q!$D$5+Q!$D$6),(Q!$E$55+Q!$E$56)/(Q!$E$5+Q!$E$6))</f>
        <v>0.0590737529079913</v>
      </c>
      <c r="G101" s="8" t="s">
        <v>41</v>
      </c>
      <c r="H101" s="8" t="s">
        <v>82</v>
      </c>
      <c r="I101" s="8" t="s">
        <v>336</v>
      </c>
    </row>
    <row r="102" customFormat="false" ht="17.15" hidden="false" customHeight="false" outlineLevel="0" collapsed="false">
      <c r="A102" s="1" t="s">
        <v>337</v>
      </c>
    </row>
    <row r="103" customFormat="false" ht="17.15" hidden="false" customHeight="false" outlineLevel="0" collapsed="false">
      <c r="A103" s="0" t="s">
        <v>338</v>
      </c>
      <c r="B103" s="5" t="s">
        <v>339</v>
      </c>
      <c r="C103" s="0" t="s">
        <v>52</v>
      </c>
      <c r="E103" s="13" t="n">
        <f aca="false">Q!$Q$48/Q!$Q$8</f>
        <v>0.0248994430693069</v>
      </c>
      <c r="G103" s="8" t="s">
        <v>41</v>
      </c>
      <c r="H103" s="8" t="s">
        <v>298</v>
      </c>
      <c r="I103" s="8" t="s">
        <v>340</v>
      </c>
    </row>
    <row r="104" customFormat="false" ht="17.15" hidden="false" customHeight="false" outlineLevel="0" collapsed="false">
      <c r="A104" s="0" t="s">
        <v>341</v>
      </c>
      <c r="B104" s="5" t="s">
        <v>342</v>
      </c>
      <c r="C104" s="0" t="s">
        <v>52</v>
      </c>
      <c r="D104" s="10" t="n">
        <v>-0.005</v>
      </c>
      <c r="E104" s="13" t="n">
        <f aca="false">AVERAGE((Q!$C$44-(Q!$C$38-Q!$C$39*(1-Q!$C$40))-Q!$C$32-Q!$C$48)/Q!$C$8,(Q!$D$44-(Q!$D$38-Q!$D$39*(1-Q!$D$40))-Q!$D$32-Q!$D$48)/Q!$D$8,(Q!$E$44-(Q!$E$38-Q!$E$39*(1-Q!$E$40))-Q!$E$32-Q!$E$48)/Q!$E$8)</f>
        <v>0.0119845812666467</v>
      </c>
      <c r="F104" s="10" t="n">
        <v>0.02</v>
      </c>
      <c r="G104" s="8" t="s">
        <v>41</v>
      </c>
      <c r="H104" s="8" t="s">
        <v>82</v>
      </c>
      <c r="I104" s="8" t="s">
        <v>343</v>
      </c>
    </row>
    <row r="105" customFormat="false" ht="17.15" hidden="false" customHeight="false" outlineLevel="0" collapsed="false">
      <c r="A105" s="0" t="s">
        <v>344</v>
      </c>
      <c r="B105" s="5" t="s">
        <v>345</v>
      </c>
      <c r="C105" s="0" t="s">
        <v>86</v>
      </c>
      <c r="D105" s="7" t="n">
        <v>1.5</v>
      </c>
      <c r="E105" s="7" t="n">
        <v>1.6</v>
      </c>
      <c r="F105" s="7" t="n">
        <v>3</v>
      </c>
      <c r="G105" s="8" t="s">
        <v>69</v>
      </c>
      <c r="H105" s="8" t="s">
        <v>82</v>
      </c>
      <c r="I105" s="8" t="s">
        <v>346</v>
      </c>
    </row>
    <row r="106" customFormat="false" ht="17.15" hidden="false" customHeight="false" outlineLevel="0" collapsed="false">
      <c r="A106" s="0" t="s">
        <v>347</v>
      </c>
      <c r="B106" s="5" t="s">
        <v>348</v>
      </c>
      <c r="C106" s="0" t="s">
        <v>52</v>
      </c>
      <c r="D106" s="10" t="n">
        <v>0</v>
      </c>
      <c r="E106" s="10" t="n">
        <v>0.008</v>
      </c>
      <c r="F106" s="10" t="n">
        <v>0.015</v>
      </c>
      <c r="G106" s="8" t="s">
        <v>41</v>
      </c>
      <c r="H106" s="8" t="s">
        <v>349</v>
      </c>
      <c r="I106" s="5" t="s">
        <v>350</v>
      </c>
    </row>
    <row r="107" customFormat="false" ht="17.15" hidden="false" customHeight="false" outlineLevel="0" collapsed="false">
      <c r="A107" s="0" t="s">
        <v>351</v>
      </c>
      <c r="B107" s="5" t="s">
        <v>352</v>
      </c>
      <c r="C107" s="0" t="s">
        <v>52</v>
      </c>
      <c r="E107" s="13" t="n">
        <f aca="false">Q!$P$34*2/((Q!$E$62+Q!$M$62)/2)</f>
        <v>0.0418964381091111</v>
      </c>
      <c r="G107" s="8" t="s">
        <v>41</v>
      </c>
      <c r="H107" s="8" t="s">
        <v>34</v>
      </c>
      <c r="I107" s="5" t="s">
        <v>353</v>
      </c>
    </row>
    <row r="108" customFormat="false" ht="17.15" hidden="false" customHeight="false" outlineLevel="0" collapsed="false">
      <c r="A108" s="0" t="s">
        <v>354</v>
      </c>
      <c r="B108" s="5" t="s">
        <v>355</v>
      </c>
      <c r="C108" s="0" t="s">
        <v>52</v>
      </c>
      <c r="E108" s="13" t="n">
        <f aca="false">Q!$M$35*4/Q!$M$61</f>
        <v>0.0421179302045728</v>
      </c>
      <c r="G108" s="8" t="s">
        <v>41</v>
      </c>
      <c r="H108" s="8" t="s">
        <v>34</v>
      </c>
    </row>
    <row r="109" customFormat="false" ht="17.15" hidden="false" customHeight="false" outlineLevel="0" collapsed="false">
      <c r="A109" s="0" t="s">
        <v>356</v>
      </c>
      <c r="B109" s="5" t="s">
        <v>357</v>
      </c>
      <c r="C109" s="0" t="s">
        <v>86</v>
      </c>
      <c r="E109" s="7" t="n">
        <v>122.988</v>
      </c>
      <c r="G109" s="8" t="s">
        <v>28</v>
      </c>
      <c r="H109" s="8" t="s">
        <v>34</v>
      </c>
    </row>
    <row r="110" customFormat="false" ht="17.15" hidden="false" customHeight="false" outlineLevel="0" collapsed="false">
      <c r="A110" s="0" t="s">
        <v>358</v>
      </c>
      <c r="B110" s="5" t="s">
        <v>359</v>
      </c>
      <c r="C110" s="0" t="s">
        <v>86</v>
      </c>
      <c r="D110" s="7" t="n">
        <v>30</v>
      </c>
      <c r="E110" s="7" t="n">
        <v>50</v>
      </c>
      <c r="F110" s="7" t="n">
        <v>80</v>
      </c>
      <c r="G110" s="8" t="s">
        <v>69</v>
      </c>
      <c r="H110" s="5" t="s">
        <v>360</v>
      </c>
    </row>
    <row r="111" customFormat="false" ht="17.15" hidden="false" customHeight="false" outlineLevel="0" collapsed="false">
      <c r="A111" s="0" t="s">
        <v>361</v>
      </c>
      <c r="B111" s="0" t="s">
        <v>362</v>
      </c>
      <c r="C111" s="0" t="s">
        <v>86</v>
      </c>
      <c r="E111" s="7" t="n">
        <v>25</v>
      </c>
      <c r="G111" s="8" t="s">
        <v>46</v>
      </c>
      <c r="H111" s="8" t="s">
        <v>363</v>
      </c>
    </row>
    <row r="112" customFormat="false" ht="17.15" hidden="false" customHeight="false" outlineLevel="0" collapsed="false">
      <c r="A112" s="0" t="s">
        <v>364</v>
      </c>
      <c r="B112" s="0" t="s">
        <v>365</v>
      </c>
      <c r="C112" s="0" t="s">
        <v>366</v>
      </c>
      <c r="E112" s="7" t="n">
        <v>3.25</v>
      </c>
      <c r="G112" s="8" t="s">
        <v>46</v>
      </c>
      <c r="H112" s="8" t="s">
        <v>367</v>
      </c>
      <c r="I112" s="8" t="s">
        <v>368</v>
      </c>
    </row>
    <row r="113" customFormat="false" ht="17.15" hidden="false" customHeight="false" outlineLevel="0" collapsed="false">
      <c r="A113" s="0" t="s">
        <v>369</v>
      </c>
      <c r="B113" s="5" t="s">
        <v>370</v>
      </c>
      <c r="C113" s="0" t="s">
        <v>371</v>
      </c>
      <c r="E113" s="7" t="n">
        <v>1.307692</v>
      </c>
      <c r="G113" s="8" t="s">
        <v>41</v>
      </c>
      <c r="H113" s="8" t="s">
        <v>367</v>
      </c>
    </row>
    <row r="114" customFormat="false" ht="17.15" hidden="false" customHeight="false" outlineLevel="0" collapsed="false">
      <c r="A114" s="0" t="s">
        <v>372</v>
      </c>
      <c r="B114" s="0" t="s">
        <v>373</v>
      </c>
      <c r="C114" s="0" t="s">
        <v>86</v>
      </c>
      <c r="E114" s="9" t="n">
        <f aca="false">iss_usd+iss_gbp*fx_gbp</f>
        <v>29.249999</v>
      </c>
      <c r="G114" s="8" t="s">
        <v>41</v>
      </c>
      <c r="H114" s="5" t="s">
        <v>286</v>
      </c>
    </row>
    <row r="115" customFormat="false" ht="17.15" hidden="false" customHeight="false" outlineLevel="0" collapsed="false">
      <c r="A115" s="0" t="s">
        <v>374</v>
      </c>
      <c r="B115" s="0" t="s">
        <v>375</v>
      </c>
      <c r="C115" s="5" t="s">
        <v>123</v>
      </c>
      <c r="E115" s="7" t="n">
        <v>0.25</v>
      </c>
      <c r="G115" s="8" t="s">
        <v>69</v>
      </c>
      <c r="H115" s="5" t="s">
        <v>376</v>
      </c>
    </row>
    <row r="116" customFormat="false" ht="17.15" hidden="false" customHeight="false" outlineLevel="0" collapsed="false">
      <c r="A116" s="0" t="s">
        <v>377</v>
      </c>
      <c r="B116" s="0" t="s">
        <v>378</v>
      </c>
      <c r="C116" s="0" t="s">
        <v>86</v>
      </c>
      <c r="E116" s="7" t="n">
        <v>21.3</v>
      </c>
      <c r="G116" s="8" t="s">
        <v>46</v>
      </c>
      <c r="H116" s="8" t="s">
        <v>34</v>
      </c>
      <c r="I116" s="8" t="s">
        <v>379</v>
      </c>
    </row>
    <row r="117" customFormat="false" ht="17.15" hidden="false" customHeight="false" outlineLevel="0" collapsed="false">
      <c r="A117" s="0" t="s">
        <v>380</v>
      </c>
      <c r="B117" s="5" t="s">
        <v>381</v>
      </c>
      <c r="C117" s="0" t="s">
        <v>27</v>
      </c>
      <c r="E117" s="7" t="n">
        <v>0</v>
      </c>
      <c r="G117" s="8" t="s">
        <v>28</v>
      </c>
      <c r="H117" s="8" t="s">
        <v>34</v>
      </c>
      <c r="I117" s="8" t="s">
        <v>382</v>
      </c>
    </row>
    <row r="118" customFormat="false" ht="17.15" hidden="false" customHeight="false" outlineLevel="0" collapsed="false">
      <c r="A118" s="1" t="s">
        <v>383</v>
      </c>
    </row>
    <row r="119" customFormat="false" ht="17.15" hidden="false" customHeight="false" outlineLevel="0" collapsed="false">
      <c r="A119" s="0" t="s">
        <v>384</v>
      </c>
      <c r="B119" s="0" t="s">
        <v>385</v>
      </c>
      <c r="C119" s="0" t="s">
        <v>86</v>
      </c>
      <c r="E119" s="7" t="n">
        <v>965</v>
      </c>
      <c r="G119" s="8" t="s">
        <v>46</v>
      </c>
      <c r="H119" s="8" t="s">
        <v>386</v>
      </c>
      <c r="I119" s="5" t="s">
        <v>387</v>
      </c>
    </row>
    <row r="120" customFormat="false" ht="17.15" hidden="false" customHeight="false" outlineLevel="0" collapsed="false">
      <c r="A120" s="0" t="s">
        <v>388</v>
      </c>
      <c r="B120" s="0" t="s">
        <v>389</v>
      </c>
      <c r="C120" s="0" t="s">
        <v>52</v>
      </c>
      <c r="D120" s="10" t="n">
        <v>0.15</v>
      </c>
      <c r="E120" s="10" t="n">
        <v>0.18</v>
      </c>
      <c r="F120" s="10" t="n">
        <v>0.21</v>
      </c>
      <c r="G120" s="8" t="s">
        <v>69</v>
      </c>
      <c r="H120" s="5" t="s">
        <v>390</v>
      </c>
      <c r="I120" s="8" t="s">
        <v>391</v>
      </c>
    </row>
    <row r="121" customFormat="false" ht="17.15" hidden="false" customHeight="false" outlineLevel="0" collapsed="false">
      <c r="A121" s="0" t="s">
        <v>392</v>
      </c>
      <c r="B121" s="0" t="s">
        <v>393</v>
      </c>
      <c r="C121" s="0" t="s">
        <v>86</v>
      </c>
      <c r="E121" s="7" t="n">
        <v>840</v>
      </c>
      <c r="G121" s="8" t="s">
        <v>41</v>
      </c>
      <c r="H121" s="8" t="s">
        <v>394</v>
      </c>
    </row>
    <row r="122" customFormat="false" ht="17.15" hidden="false" customHeight="false" outlineLevel="0" collapsed="false">
      <c r="A122" s="0" t="s">
        <v>395</v>
      </c>
      <c r="B122" s="0" t="s">
        <v>396</v>
      </c>
      <c r="C122" s="0" t="s">
        <v>52</v>
      </c>
      <c r="E122" s="10" t="n">
        <v>0.0595</v>
      </c>
      <c r="G122" s="8" t="s">
        <v>41</v>
      </c>
      <c r="H122" s="5" t="s">
        <v>264</v>
      </c>
      <c r="I122" s="5" t="s">
        <v>397</v>
      </c>
    </row>
    <row r="123" customFormat="false" ht="17.15" hidden="false" customHeight="false" outlineLevel="0" collapsed="false">
      <c r="A123" s="0" t="s">
        <v>398</v>
      </c>
      <c r="B123" s="5" t="s">
        <v>399</v>
      </c>
      <c r="C123" s="0" t="s">
        <v>52</v>
      </c>
      <c r="D123" s="10" t="n">
        <v>0</v>
      </c>
      <c r="E123" s="10" t="n">
        <v>0.2</v>
      </c>
      <c r="F123" s="10" t="n">
        <v>0.4</v>
      </c>
      <c r="G123" s="8" t="s">
        <v>69</v>
      </c>
      <c r="H123" s="5" t="s">
        <v>400</v>
      </c>
    </row>
    <row r="124" customFormat="false" ht="17.15" hidden="false" customHeight="false" outlineLevel="0" collapsed="false">
      <c r="A124" s="0" t="s">
        <v>401</v>
      </c>
      <c r="B124" s="0" t="s">
        <v>402</v>
      </c>
      <c r="C124" s="0" t="s">
        <v>57</v>
      </c>
      <c r="D124" s="11" t="n">
        <v>4</v>
      </c>
      <c r="E124" s="11" t="n">
        <v>6</v>
      </c>
      <c r="F124" s="11" t="n">
        <v>10</v>
      </c>
      <c r="G124" s="8" t="s">
        <v>69</v>
      </c>
      <c r="H124" s="5" t="s">
        <v>403</v>
      </c>
      <c r="I124" s="8" t="s">
        <v>404</v>
      </c>
    </row>
    <row r="125" customFormat="false" ht="17.15" hidden="false" customHeight="false" outlineLevel="0" collapsed="false">
      <c r="A125" s="0" t="s">
        <v>405</v>
      </c>
      <c r="B125" s="5" t="s">
        <v>406</v>
      </c>
      <c r="C125" s="0" t="s">
        <v>407</v>
      </c>
      <c r="D125" s="7" t="n">
        <v>0</v>
      </c>
      <c r="E125" s="7" t="n">
        <v>1</v>
      </c>
      <c r="G125" s="8" t="s">
        <v>69</v>
      </c>
      <c r="H125" s="5" t="s">
        <v>408</v>
      </c>
    </row>
    <row r="126" customFormat="false" ht="17.15" hidden="false" customHeight="false" outlineLevel="0" collapsed="false">
      <c r="A126" s="0" t="s">
        <v>409</v>
      </c>
      <c r="B126" s="5" t="s">
        <v>410</v>
      </c>
      <c r="C126" s="0" t="s">
        <v>407</v>
      </c>
      <c r="D126" s="7" t="n">
        <v>0</v>
      </c>
      <c r="E126" s="7" t="n">
        <v>1</v>
      </c>
      <c r="G126" s="8" t="s">
        <v>69</v>
      </c>
      <c r="H126" s="5" t="s">
        <v>411</v>
      </c>
      <c r="I126" s="8" t="s">
        <v>412</v>
      </c>
    </row>
    <row r="127" customFormat="false" ht="17.15" hidden="false" customHeight="false" outlineLevel="0" collapsed="false">
      <c r="A127" s="0" t="s">
        <v>413</v>
      </c>
      <c r="B127" s="5" t="s">
        <v>414</v>
      </c>
      <c r="C127" s="0" t="s">
        <v>57</v>
      </c>
      <c r="D127" s="11" t="n">
        <v>0.8</v>
      </c>
      <c r="E127" s="11" t="n">
        <v>1</v>
      </c>
      <c r="F127" s="11" t="n">
        <v>1.2</v>
      </c>
      <c r="G127" s="8" t="s">
        <v>69</v>
      </c>
      <c r="H127" s="8" t="s">
        <v>415</v>
      </c>
    </row>
    <row r="128" customFormat="false" ht="17.15" hidden="false" customHeight="false" outlineLevel="0" collapsed="false">
      <c r="A128" s="1" t="s">
        <v>416</v>
      </c>
    </row>
    <row r="129" customFormat="false" ht="17.15" hidden="false" customHeight="false" outlineLevel="0" collapsed="false">
      <c r="A129" s="0" t="s">
        <v>417</v>
      </c>
      <c r="B129" s="5" t="s">
        <v>418</v>
      </c>
      <c r="C129" s="0" t="s">
        <v>86</v>
      </c>
      <c r="E129" s="7" t="n">
        <v>828.285</v>
      </c>
      <c r="G129" s="8" t="s">
        <v>46</v>
      </c>
      <c r="H129" s="8" t="s">
        <v>419</v>
      </c>
      <c r="I129" s="8" t="s">
        <v>420</v>
      </c>
    </row>
    <row r="130" customFormat="false" ht="17.15" hidden="false" customHeight="false" outlineLevel="0" collapsed="false">
      <c r="A130" s="0" t="s">
        <v>421</v>
      </c>
      <c r="B130" s="5" t="s">
        <v>422</v>
      </c>
      <c r="C130" s="0" t="s">
        <v>86</v>
      </c>
      <c r="E130" s="7" t="n">
        <v>216.957</v>
      </c>
      <c r="G130" s="8" t="s">
        <v>46</v>
      </c>
      <c r="H130" s="8" t="s">
        <v>419</v>
      </c>
      <c r="I130" s="8" t="s">
        <v>420</v>
      </c>
    </row>
    <row r="131" customFormat="false" ht="17.15" hidden="false" customHeight="false" outlineLevel="0" collapsed="false">
      <c r="A131" s="0" t="s">
        <v>423</v>
      </c>
      <c r="B131" s="5" t="s">
        <v>424</v>
      </c>
      <c r="C131" s="0" t="s">
        <v>86</v>
      </c>
      <c r="E131" s="7" t="n">
        <v>109.867</v>
      </c>
      <c r="G131" s="8" t="s">
        <v>46</v>
      </c>
      <c r="H131" s="8" t="s">
        <v>419</v>
      </c>
      <c r="I131" s="8" t="s">
        <v>420</v>
      </c>
    </row>
    <row r="132" customFormat="false" ht="17.15" hidden="false" customHeight="false" outlineLevel="0" collapsed="false">
      <c r="A132" s="0" t="s">
        <v>425</v>
      </c>
      <c r="B132" s="5" t="s">
        <v>426</v>
      </c>
      <c r="C132" s="0" t="s">
        <v>86</v>
      </c>
      <c r="E132" s="7" t="n">
        <v>140.133</v>
      </c>
      <c r="G132" s="8" t="s">
        <v>46</v>
      </c>
      <c r="H132" s="8" t="s">
        <v>419</v>
      </c>
      <c r="I132" s="8" t="s">
        <v>420</v>
      </c>
    </row>
    <row r="133" customFormat="false" ht="17.15" hidden="false" customHeight="false" outlineLevel="0" collapsed="false">
      <c r="A133" s="0" t="s">
        <v>427</v>
      </c>
      <c r="B133" s="5" t="s">
        <v>428</v>
      </c>
      <c r="C133" s="0" t="s">
        <v>27</v>
      </c>
      <c r="E133" s="7" t="n">
        <v>12.88</v>
      </c>
      <c r="G133" s="8" t="s">
        <v>46</v>
      </c>
      <c r="H133" s="8" t="s">
        <v>419</v>
      </c>
      <c r="I133" s="8" t="s">
        <v>420</v>
      </c>
    </row>
    <row r="134" customFormat="false" ht="17.15" hidden="false" customHeight="false" outlineLevel="0" collapsed="false">
      <c r="A134" s="0" t="s">
        <v>429</v>
      </c>
      <c r="B134" s="5" t="s">
        <v>430</v>
      </c>
      <c r="C134" s="0" t="s">
        <v>86</v>
      </c>
      <c r="E134" s="7" t="n">
        <v>220.5</v>
      </c>
      <c r="G134" s="8" t="s">
        <v>46</v>
      </c>
      <c r="H134" s="8" t="s">
        <v>419</v>
      </c>
      <c r="I134" s="8" t="s">
        <v>420</v>
      </c>
    </row>
    <row r="135" customFormat="false" ht="17.15" hidden="false" customHeight="false" outlineLevel="0" collapsed="false">
      <c r="A135" s="0" t="s">
        <v>431</v>
      </c>
      <c r="B135" s="5" t="s">
        <v>432</v>
      </c>
      <c r="C135" s="0" t="s">
        <v>86</v>
      </c>
      <c r="E135" s="7" t="n">
        <v>-34.027</v>
      </c>
      <c r="G135" s="8" t="s">
        <v>46</v>
      </c>
      <c r="H135" s="8" t="s">
        <v>419</v>
      </c>
      <c r="I135" s="8" t="s">
        <v>420</v>
      </c>
    </row>
    <row r="136" customFormat="false" ht="17.15" hidden="false" customHeight="false" outlineLevel="0" collapsed="false">
      <c r="A136" s="0" t="s">
        <v>433</v>
      </c>
      <c r="B136" s="5" t="s">
        <v>434</v>
      </c>
      <c r="C136" s="0" t="s">
        <v>86</v>
      </c>
      <c r="E136" s="7" t="n">
        <v>947.853</v>
      </c>
      <c r="G136" s="8" t="s">
        <v>46</v>
      </c>
      <c r="H136" s="8" t="s">
        <v>419</v>
      </c>
      <c r="I136" s="8" t="s">
        <v>420</v>
      </c>
    </row>
    <row r="137" customFormat="false" ht="17.15" hidden="false" customHeight="false" outlineLevel="0" collapsed="false">
      <c r="A137" s="0" t="s">
        <v>435</v>
      </c>
      <c r="B137" s="5" t="s">
        <v>436</v>
      </c>
      <c r="C137" s="0" t="s">
        <v>86</v>
      </c>
      <c r="E137" s="7" t="n">
        <v>273.452</v>
      </c>
      <c r="G137" s="8" t="s">
        <v>46</v>
      </c>
      <c r="H137" s="8" t="s">
        <v>419</v>
      </c>
      <c r="I137" s="8" t="s">
        <v>420</v>
      </c>
    </row>
    <row r="138" customFormat="false" ht="17.15" hidden="false" customHeight="false" outlineLevel="0" collapsed="false">
      <c r="A138" s="0" t="s">
        <v>437</v>
      </c>
      <c r="B138" s="5" t="s">
        <v>438</v>
      </c>
      <c r="C138" s="0" t="s">
        <v>86</v>
      </c>
      <c r="E138" s="7" t="n">
        <v>140.372</v>
      </c>
      <c r="G138" s="8" t="s">
        <v>46</v>
      </c>
      <c r="H138" s="8" t="s">
        <v>419</v>
      </c>
      <c r="I138" s="8" t="s">
        <v>420</v>
      </c>
    </row>
    <row r="139" customFormat="false" ht="17.15" hidden="false" customHeight="false" outlineLevel="0" collapsed="false">
      <c r="A139" s="0" t="s">
        <v>439</v>
      </c>
      <c r="B139" s="5" t="s">
        <v>440</v>
      </c>
      <c r="C139" s="0" t="s">
        <v>86</v>
      </c>
      <c r="E139" s="7" t="n">
        <v>115.541</v>
      </c>
      <c r="G139" s="8" t="s">
        <v>46</v>
      </c>
      <c r="H139" s="8" t="s">
        <v>419</v>
      </c>
      <c r="I139" s="8" t="s">
        <v>420</v>
      </c>
    </row>
    <row r="140" customFormat="false" ht="17.15" hidden="false" customHeight="false" outlineLevel="0" collapsed="false">
      <c r="A140" s="0" t="s">
        <v>441</v>
      </c>
      <c r="B140" s="5" t="s">
        <v>442</v>
      </c>
      <c r="C140" s="0" t="s">
        <v>27</v>
      </c>
      <c r="E140" s="7" t="n">
        <v>10.51</v>
      </c>
      <c r="G140" s="8" t="s">
        <v>46</v>
      </c>
      <c r="H140" s="8" t="s">
        <v>419</v>
      </c>
      <c r="I140" s="8" t="s">
        <v>420</v>
      </c>
    </row>
    <row r="141" customFormat="false" ht="17.15" hidden="false" customHeight="false" outlineLevel="0" collapsed="false">
      <c r="A141" s="0" t="s">
        <v>443</v>
      </c>
      <c r="B141" s="5" t="s">
        <v>444</v>
      </c>
      <c r="C141" s="0" t="s">
        <v>86</v>
      </c>
      <c r="E141" s="7" t="n">
        <v>275.063</v>
      </c>
      <c r="G141" s="8" t="s">
        <v>46</v>
      </c>
      <c r="H141" s="8" t="s">
        <v>419</v>
      </c>
      <c r="I141" s="8" t="s">
        <v>420</v>
      </c>
    </row>
    <row r="142" customFormat="false" ht="17.15" hidden="false" customHeight="false" outlineLevel="0" collapsed="false">
      <c r="A142" s="0" t="s">
        <v>445</v>
      </c>
      <c r="B142" s="5" t="s">
        <v>446</v>
      </c>
      <c r="C142" s="0" t="s">
        <v>86</v>
      </c>
      <c r="E142" s="7" t="n">
        <v>-5.631</v>
      </c>
      <c r="G142" s="8" t="s">
        <v>46</v>
      </c>
      <c r="H142" s="8" t="s">
        <v>419</v>
      </c>
      <c r="I142" s="8" t="s">
        <v>420</v>
      </c>
    </row>
    <row r="143" customFormat="false" ht="17.15" hidden="false" customHeight="false" outlineLevel="0" collapsed="false">
      <c r="A143" s="0" t="s">
        <v>447</v>
      </c>
      <c r="B143" s="5" t="s">
        <v>448</v>
      </c>
      <c r="C143" s="0" t="s">
        <v>86</v>
      </c>
      <c r="E143" s="7" t="n">
        <v>1097.389</v>
      </c>
      <c r="G143" s="8" t="s">
        <v>46</v>
      </c>
      <c r="H143" s="8" t="s">
        <v>419</v>
      </c>
      <c r="I143" s="8" t="s">
        <v>420</v>
      </c>
    </row>
    <row r="144" customFormat="false" ht="17.15" hidden="false" customHeight="false" outlineLevel="0" collapsed="false">
      <c r="A144" s="0" t="s">
        <v>449</v>
      </c>
      <c r="B144" s="5" t="s">
        <v>450</v>
      </c>
      <c r="C144" s="0" t="s">
        <v>86</v>
      </c>
      <c r="E144" s="7" t="n">
        <v>355.29</v>
      </c>
      <c r="G144" s="8" t="s">
        <v>46</v>
      </c>
      <c r="H144" s="8" t="s">
        <v>419</v>
      </c>
      <c r="I144" s="8" t="s">
        <v>420</v>
      </c>
    </row>
    <row r="145" customFormat="false" ht="17.15" hidden="false" customHeight="false" outlineLevel="0" collapsed="false">
      <c r="A145" s="0" t="s">
        <v>451</v>
      </c>
      <c r="B145" s="5" t="s">
        <v>452</v>
      </c>
      <c r="C145" s="0" t="s">
        <v>86</v>
      </c>
      <c r="E145" s="7" t="n">
        <v>182.749</v>
      </c>
      <c r="G145" s="8" t="s">
        <v>46</v>
      </c>
      <c r="H145" s="8" t="s">
        <v>419</v>
      </c>
      <c r="I145" s="8" t="s">
        <v>420</v>
      </c>
    </row>
    <row r="146" customFormat="false" ht="17.15" hidden="false" customHeight="false" outlineLevel="0" collapsed="false">
      <c r="A146" s="0" t="s">
        <v>453</v>
      </c>
      <c r="B146" s="5" t="s">
        <v>454</v>
      </c>
      <c r="C146" s="0" t="s">
        <v>86</v>
      </c>
      <c r="E146" s="7" t="n">
        <v>147.701</v>
      </c>
      <c r="G146" s="8" t="s">
        <v>46</v>
      </c>
      <c r="H146" s="8" t="s">
        <v>419</v>
      </c>
      <c r="I146" s="8" t="s">
        <v>420</v>
      </c>
    </row>
    <row r="147" customFormat="false" ht="17.15" hidden="false" customHeight="false" outlineLevel="0" collapsed="false">
      <c r="A147" s="0" t="s">
        <v>455</v>
      </c>
      <c r="B147" s="5" t="s">
        <v>456</v>
      </c>
      <c r="C147" s="0" t="s">
        <v>27</v>
      </c>
      <c r="E147" s="7" t="n">
        <v>13.81</v>
      </c>
      <c r="G147" s="8" t="s">
        <v>46</v>
      </c>
      <c r="H147" s="8" t="s">
        <v>419</v>
      </c>
      <c r="I147" s="8" t="s">
        <v>420</v>
      </c>
    </row>
    <row r="148" customFormat="false" ht="17.15" hidden="false" customHeight="false" outlineLevel="0" collapsed="false">
      <c r="A148" s="0" t="s">
        <v>457</v>
      </c>
      <c r="B148" s="5" t="s">
        <v>458</v>
      </c>
      <c r="C148" s="0" t="s">
        <v>86</v>
      </c>
      <c r="E148" s="7" t="n">
        <v>292.927</v>
      </c>
      <c r="G148" s="8" t="s">
        <v>46</v>
      </c>
      <c r="H148" s="8" t="s">
        <v>419</v>
      </c>
      <c r="I148" s="8" t="s">
        <v>420</v>
      </c>
    </row>
    <row r="149" customFormat="false" ht="17.15" hidden="false" customHeight="false" outlineLevel="0" collapsed="false">
      <c r="A149" s="0" t="s">
        <v>459</v>
      </c>
      <c r="B149" s="5" t="s">
        <v>460</v>
      </c>
      <c r="C149" s="0" t="s">
        <v>86</v>
      </c>
      <c r="E149" s="7" t="n">
        <v>41.402</v>
      </c>
      <c r="G149" s="8" t="s">
        <v>46</v>
      </c>
      <c r="H149" s="8" t="s">
        <v>419</v>
      </c>
      <c r="I149" s="8" t="s">
        <v>420</v>
      </c>
    </row>
    <row r="150" customFormat="false" ht="17.15" hidden="false" customHeight="false" outlineLevel="0" collapsed="false">
      <c r="A150" s="0" t="s">
        <v>461</v>
      </c>
      <c r="B150" s="5" t="s">
        <v>462</v>
      </c>
      <c r="C150" s="0" t="s">
        <v>86</v>
      </c>
      <c r="D150" s="7" t="n">
        <v>815.9</v>
      </c>
      <c r="E150" s="7" t="n">
        <v>828.74</v>
      </c>
      <c r="F150" s="7" t="n">
        <v>842</v>
      </c>
      <c r="G150" s="8" t="s">
        <v>46</v>
      </c>
      <c r="H150" s="8" t="s">
        <v>47</v>
      </c>
      <c r="I150" s="8" t="s">
        <v>463</v>
      </c>
    </row>
    <row r="151" customFormat="false" ht="17.15" hidden="false" customHeight="false" outlineLevel="0" collapsed="false">
      <c r="A151" s="0" t="s">
        <v>464</v>
      </c>
      <c r="B151" s="5" t="s">
        <v>465</v>
      </c>
      <c r="C151" s="0" t="s">
        <v>86</v>
      </c>
      <c r="E151" s="7" t="n">
        <v>949.92</v>
      </c>
      <c r="G151" s="8" t="s">
        <v>46</v>
      </c>
      <c r="H151" s="8" t="s">
        <v>47</v>
      </c>
    </row>
    <row r="152" customFormat="false" ht="17.15" hidden="false" customHeight="false" outlineLevel="0" collapsed="false">
      <c r="A152" s="0" t="s">
        <v>466</v>
      </c>
      <c r="B152" s="5" t="s">
        <v>467</v>
      </c>
      <c r="C152" s="0" t="s">
        <v>27</v>
      </c>
      <c r="D152" s="7" t="n">
        <v>7.65</v>
      </c>
      <c r="E152" s="7" t="n">
        <v>7.92</v>
      </c>
      <c r="F152" s="7" t="n">
        <v>8.3</v>
      </c>
      <c r="G152" s="8" t="s">
        <v>46</v>
      </c>
      <c r="H152" s="8" t="s">
        <v>47</v>
      </c>
      <c r="I152" s="8" t="s">
        <v>468</v>
      </c>
    </row>
    <row r="153" customFormat="false" ht="17.15" hidden="false" customHeight="false" outlineLevel="0" collapsed="false">
      <c r="A153" s="0" t="s">
        <v>469</v>
      </c>
      <c r="B153" s="5" t="s">
        <v>470</v>
      </c>
      <c r="C153" s="0" t="s">
        <v>27</v>
      </c>
      <c r="E153" s="7" t="n">
        <v>10.43</v>
      </c>
      <c r="G153" s="8" t="s">
        <v>46</v>
      </c>
      <c r="H153" s="8" t="s">
        <v>47</v>
      </c>
    </row>
    <row r="154" customFormat="false" ht="17.15" hidden="false" customHeight="false" outlineLevel="0" collapsed="false">
      <c r="A154" s="0" t="s">
        <v>471</v>
      </c>
      <c r="B154" s="5" t="s">
        <v>472</v>
      </c>
      <c r="C154" s="0" t="s">
        <v>86</v>
      </c>
      <c r="E154" s="7" t="n">
        <v>197</v>
      </c>
      <c r="G154" s="8" t="s">
        <v>46</v>
      </c>
      <c r="H154" s="8" t="s">
        <v>298</v>
      </c>
      <c r="I154" s="5" t="s">
        <v>473</v>
      </c>
    </row>
    <row r="155" customFormat="false" ht="17.15" hidden="false" customHeight="false" outlineLevel="0" collapsed="false">
      <c r="A155" s="0" t="s">
        <v>474</v>
      </c>
      <c r="B155" s="5" t="s">
        <v>475</v>
      </c>
      <c r="C155" s="0" t="s">
        <v>86</v>
      </c>
      <c r="E155" s="7" t="n">
        <v>202</v>
      </c>
      <c r="G155" s="8" t="s">
        <v>46</v>
      </c>
      <c r="H155" s="8" t="s">
        <v>298</v>
      </c>
    </row>
    <row r="156" customFormat="false" ht="17.15" hidden="false" customHeight="false" outlineLevel="0" collapsed="false">
      <c r="A156" s="0" t="s">
        <v>476</v>
      </c>
      <c r="B156" s="5" t="s">
        <v>477</v>
      </c>
      <c r="C156" s="0" t="s">
        <v>86</v>
      </c>
      <c r="E156" s="7" t="n">
        <v>22.5</v>
      </c>
      <c r="G156" s="8" t="s">
        <v>46</v>
      </c>
      <c r="H156" s="8" t="s">
        <v>298</v>
      </c>
    </row>
    <row r="157" customFormat="false" ht="17.15" hidden="false" customHeight="false" outlineLevel="0" collapsed="false">
      <c r="A157" s="0" t="s">
        <v>478</v>
      </c>
      <c r="B157" s="5" t="s">
        <v>479</v>
      </c>
      <c r="C157" s="0" t="s">
        <v>86</v>
      </c>
      <c r="E157" s="7" t="n">
        <v>26.5</v>
      </c>
      <c r="G157" s="8" t="s">
        <v>46</v>
      </c>
      <c r="H157" s="8" t="s">
        <v>298</v>
      </c>
    </row>
    <row r="158" customFormat="false" ht="17.15" hidden="false" customHeight="false" outlineLevel="0" collapsed="false">
      <c r="A158" s="0" t="s">
        <v>480</v>
      </c>
      <c r="B158" s="5" t="s">
        <v>481</v>
      </c>
      <c r="C158" s="0" t="s">
        <v>86</v>
      </c>
      <c r="E158" s="9" t="n">
        <f aca="false">(g26q3_lo+g26q3_hi)/2</f>
        <v>199.5</v>
      </c>
      <c r="G158" s="8" t="s">
        <v>41</v>
      </c>
      <c r="H158" s="8" t="s">
        <v>298</v>
      </c>
      <c r="I158" s="5" t="s">
        <v>482</v>
      </c>
    </row>
    <row r="159" customFormat="false" ht="17.15" hidden="false" customHeight="false" outlineLevel="0" collapsed="false">
      <c r="A159" s="1" t="s">
        <v>483</v>
      </c>
    </row>
    <row r="160" customFormat="false" ht="17.15" hidden="false" customHeight="false" outlineLevel="0" collapsed="false">
      <c r="A160" s="0" t="s">
        <v>484</v>
      </c>
      <c r="B160" s="0" t="s">
        <v>485</v>
      </c>
      <c r="C160" s="0" t="s">
        <v>27</v>
      </c>
      <c r="E160" s="7" t="n">
        <v>201.71</v>
      </c>
      <c r="G160" s="8" t="s">
        <v>41</v>
      </c>
      <c r="H160" s="8" t="s">
        <v>486</v>
      </c>
      <c r="I160" s="5" t="s">
        <v>487</v>
      </c>
    </row>
    <row r="161" customFormat="false" ht="17.15" hidden="false" customHeight="false" outlineLevel="0" collapsed="false">
      <c r="A161" s="0" t="s">
        <v>488</v>
      </c>
      <c r="B161" s="0" t="s">
        <v>489</v>
      </c>
      <c r="C161" s="0" t="s">
        <v>27</v>
      </c>
      <c r="E161" s="7" t="n">
        <v>259.92</v>
      </c>
      <c r="G161" s="8" t="s">
        <v>28</v>
      </c>
      <c r="H161" s="8" t="s">
        <v>490</v>
      </c>
    </row>
    <row r="162" customFormat="false" ht="17.15" hidden="false" customHeight="false" outlineLevel="0" collapsed="false">
      <c r="A162" s="0" t="s">
        <v>491</v>
      </c>
      <c r="B162" s="0" t="s">
        <v>492</v>
      </c>
      <c r="C162" s="0" t="s">
        <v>52</v>
      </c>
      <c r="E162" s="10" t="n">
        <v>0.45</v>
      </c>
      <c r="G162" s="8" t="s">
        <v>41</v>
      </c>
      <c r="H162" s="8" t="s">
        <v>490</v>
      </c>
      <c r="I162" s="5" t="s">
        <v>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7" min="3" style="0" width="11"/>
    <col collapsed="false" customWidth="true" hidden="false" outlineLevel="0" max="18" min="18" style="0" width="22"/>
    <col collapsed="false" customWidth="true" hidden="false" outlineLevel="0" max="19" min="19" style="0" width="60"/>
  </cols>
  <sheetData>
    <row r="1" customFormat="false" ht="17.15" hidden="false" customHeight="false" outlineLevel="0" collapsed="false">
      <c r="A1" s="0" t="s">
        <v>494</v>
      </c>
    </row>
    <row r="2" customFormat="false" ht="17.15" hidden="false" customHeight="false" outlineLevel="0" collapsed="false">
      <c r="A2" s="5" t="s">
        <v>495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20" t="s">
        <v>496</v>
      </c>
      <c r="D3" s="20" t="s">
        <v>497</v>
      </c>
      <c r="E3" s="20" t="s">
        <v>498</v>
      </c>
      <c r="F3" s="20" t="s">
        <v>499</v>
      </c>
      <c r="G3" s="20" t="s">
        <v>500</v>
      </c>
      <c r="H3" s="20" t="s">
        <v>501</v>
      </c>
      <c r="I3" s="20" t="s">
        <v>502</v>
      </c>
      <c r="J3" s="20" t="s">
        <v>503</v>
      </c>
      <c r="K3" s="20" t="s">
        <v>504</v>
      </c>
      <c r="L3" s="20" t="s">
        <v>505</v>
      </c>
      <c r="M3" s="20" t="s">
        <v>506</v>
      </c>
      <c r="N3" s="20" t="s">
        <v>507</v>
      </c>
      <c r="O3" s="20" t="s">
        <v>508</v>
      </c>
      <c r="P3" s="20" t="s">
        <v>509</v>
      </c>
      <c r="Q3" s="6" t="s">
        <v>510</v>
      </c>
      <c r="R3" s="6" t="s">
        <v>21</v>
      </c>
      <c r="S3" s="6" t="s">
        <v>22</v>
      </c>
    </row>
    <row r="4" customFormat="false" ht="17.15" hidden="false" customHeight="false" outlineLevel="0" collapsed="false">
      <c r="A4" s="1" t="s">
        <v>511</v>
      </c>
    </row>
    <row r="5" customFormat="false" ht="17.15" hidden="false" customHeight="false" outlineLevel="0" collapsed="false">
      <c r="A5" s="0" t="s">
        <v>512</v>
      </c>
      <c r="B5" s="0" t="s">
        <v>86</v>
      </c>
      <c r="C5" s="21" t="n">
        <v>352.828</v>
      </c>
      <c r="D5" s="21" t="n">
        <v>387.497</v>
      </c>
      <c r="E5" s="21" t="n">
        <v>426.305</v>
      </c>
      <c r="F5" s="21" t="n">
        <v>95.537</v>
      </c>
      <c r="G5" s="21" t="n">
        <v>115.586</v>
      </c>
      <c r="H5" s="21" t="n">
        <v>92.887</v>
      </c>
      <c r="I5" s="21" t="n">
        <v>100.068</v>
      </c>
      <c r="J5" s="21" t="n">
        <v>106.267</v>
      </c>
      <c r="K5" s="21" t="n">
        <v>127.083</v>
      </c>
      <c r="L5" s="21" t="n">
        <v>104.143</v>
      </c>
      <c r="M5" s="21" t="n">
        <v>116.177</v>
      </c>
      <c r="N5" s="22" t="n">
        <f aca="false">H5+I5</f>
        <v>192.955</v>
      </c>
      <c r="O5" s="22" t="n">
        <f aca="false">J5+K5</f>
        <v>233.35</v>
      </c>
      <c r="P5" s="22" t="n">
        <f aca="false">L5+M5</f>
        <v>220.32</v>
      </c>
      <c r="Q5" s="22" t="n">
        <f aca="false">J5+K5+L5+M5</f>
        <v>453.67</v>
      </c>
      <c r="R5" s="8" t="s">
        <v>513</v>
      </c>
      <c r="S5" s="8" t="s">
        <v>514</v>
      </c>
    </row>
    <row r="6" customFormat="false" ht="17.15" hidden="false" customHeight="false" outlineLevel="0" collapsed="false">
      <c r="A6" s="0" t="s">
        <v>515</v>
      </c>
      <c r="B6" s="0" t="s">
        <v>86</v>
      </c>
      <c r="C6" s="21" t="n">
        <v>131.2</v>
      </c>
      <c r="D6" s="21" t="n">
        <v>142.906</v>
      </c>
      <c r="E6" s="21" t="n">
        <v>161.894</v>
      </c>
      <c r="F6" s="21" t="n">
        <v>35.888</v>
      </c>
      <c r="G6" s="21" t="n">
        <v>43.42</v>
      </c>
      <c r="H6" s="21" t="n">
        <v>33.513</v>
      </c>
      <c r="I6" s="21" t="n">
        <v>36.761</v>
      </c>
      <c r="J6" s="21" t="n">
        <v>40.896</v>
      </c>
      <c r="K6" s="21" t="n">
        <v>50.724</v>
      </c>
      <c r="L6" s="21" t="n">
        <v>39.789</v>
      </c>
      <c r="M6" s="21" t="n">
        <v>42.197</v>
      </c>
      <c r="N6" s="22" t="n">
        <f aca="false">H6+I6</f>
        <v>70.274</v>
      </c>
      <c r="O6" s="22" t="n">
        <f aca="false">J6+K6</f>
        <v>91.62</v>
      </c>
      <c r="P6" s="22" t="n">
        <f aca="false">L6+M6</f>
        <v>81.986</v>
      </c>
      <c r="Q6" s="22" t="n">
        <f aca="false">J6+K6+L6+M6</f>
        <v>173.606</v>
      </c>
      <c r="R6" s="8" t="s">
        <v>513</v>
      </c>
      <c r="S6" s="8" t="s">
        <v>514</v>
      </c>
    </row>
    <row r="7" customFormat="false" ht="17.15" hidden="false" customHeight="false" outlineLevel="0" collapsed="false">
      <c r="A7" s="0" t="s">
        <v>516</v>
      </c>
      <c r="B7" s="0" t="s">
        <v>86</v>
      </c>
      <c r="C7" s="21" t="n">
        <v>90.757</v>
      </c>
      <c r="D7" s="21" t="n">
        <v>107.556</v>
      </c>
      <c r="E7" s="21" t="n">
        <v>128.725</v>
      </c>
      <c r="F7" s="21" t="n">
        <v>27.452</v>
      </c>
      <c r="G7" s="21" t="n">
        <v>28.786</v>
      </c>
      <c r="H7" s="21" t="n">
        <v>29.267</v>
      </c>
      <c r="I7" s="21" t="n">
        <v>30.873</v>
      </c>
      <c r="J7" s="21" t="n">
        <v>33.006</v>
      </c>
      <c r="K7" s="21" t="n">
        <v>35.579</v>
      </c>
      <c r="L7" s="21" t="n">
        <v>37.587</v>
      </c>
      <c r="M7" s="21" t="n">
        <v>42.232</v>
      </c>
      <c r="N7" s="22" t="n">
        <f aca="false">H7+I7</f>
        <v>60.14</v>
      </c>
      <c r="O7" s="22" t="n">
        <f aca="false">J7+K7</f>
        <v>68.585</v>
      </c>
      <c r="P7" s="22" t="n">
        <f aca="false">L7+M7</f>
        <v>79.819</v>
      </c>
      <c r="Q7" s="22" t="n">
        <f aca="false">J7+K7+L7+M7</f>
        <v>148.404</v>
      </c>
      <c r="R7" s="8" t="s">
        <v>513</v>
      </c>
      <c r="S7" s="8" t="s">
        <v>514</v>
      </c>
    </row>
    <row r="8" customFormat="false" ht="17.15" hidden="false" customHeight="false" outlineLevel="0" collapsed="false">
      <c r="A8" s="5" t="s">
        <v>517</v>
      </c>
      <c r="B8" s="0" t="s">
        <v>86</v>
      </c>
      <c r="C8" s="21" t="n">
        <v>574.785</v>
      </c>
      <c r="D8" s="21" t="n">
        <v>637.959</v>
      </c>
      <c r="E8" s="21" t="n">
        <v>716.924</v>
      </c>
      <c r="F8" s="21" t="n">
        <v>158.877</v>
      </c>
      <c r="G8" s="21" t="n">
        <v>187.792</v>
      </c>
      <c r="H8" s="21" t="n">
        <v>155.667</v>
      </c>
      <c r="I8" s="21" t="n">
        <v>167.702</v>
      </c>
      <c r="J8" s="21" t="n">
        <v>180.169</v>
      </c>
      <c r="K8" s="21" t="n">
        <v>213.386</v>
      </c>
      <c r="L8" s="21" t="n">
        <v>181.519</v>
      </c>
      <c r="M8" s="21" t="n">
        <v>200.606</v>
      </c>
      <c r="N8" s="22" t="n">
        <f aca="false">H8+I8</f>
        <v>323.369</v>
      </c>
      <c r="O8" s="22" t="n">
        <f aca="false">J8+K8</f>
        <v>393.555</v>
      </c>
      <c r="P8" s="22" t="n">
        <f aca="false">L8+M8</f>
        <v>382.125</v>
      </c>
      <c r="Q8" s="22" t="n">
        <f aca="false">J8+K8+L8+M8</f>
        <v>775.68</v>
      </c>
      <c r="R8" s="8" t="s">
        <v>513</v>
      </c>
      <c r="S8" s="8" t="s">
        <v>514</v>
      </c>
    </row>
    <row r="9" customFormat="false" ht="17.15" hidden="false" customHeight="false" outlineLevel="0" collapsed="false">
      <c r="A9" s="1" t="s">
        <v>518</v>
      </c>
    </row>
    <row r="10" customFormat="false" ht="17.15" hidden="false" customHeight="false" outlineLevel="0" collapsed="false">
      <c r="A10" s="0" t="s">
        <v>519</v>
      </c>
      <c r="B10" s="0" t="s">
        <v>86</v>
      </c>
      <c r="C10" s="21" t="n">
        <v>231.872</v>
      </c>
      <c r="D10" s="21" t="n">
        <v>247.029</v>
      </c>
      <c r="E10" s="21" t="n">
        <v>269.287</v>
      </c>
      <c r="F10" s="21" t="n">
        <v>61.411</v>
      </c>
      <c r="G10" s="21" t="n">
        <v>75.556</v>
      </c>
      <c r="H10" s="21" t="n">
        <v>57.407</v>
      </c>
      <c r="I10" s="21" t="n">
        <v>61.485</v>
      </c>
      <c r="J10" s="21" t="n">
        <v>67.407</v>
      </c>
      <c r="K10" s="21" t="n">
        <v>82.988</v>
      </c>
      <c r="L10" s="21" t="n">
        <v>64.254</v>
      </c>
      <c r="M10" s="21" t="n">
        <v>70.432</v>
      </c>
      <c r="N10" s="22" t="n">
        <f aca="false">H10+I10</f>
        <v>118.892</v>
      </c>
      <c r="O10" s="22" t="n">
        <f aca="false">J10+K10</f>
        <v>150.395</v>
      </c>
      <c r="P10" s="22" t="n">
        <f aca="false">L10+M10</f>
        <v>134.686</v>
      </c>
      <c r="Q10" s="22" t="n">
        <f aca="false">J10+K10+L10+M10</f>
        <v>285.081</v>
      </c>
      <c r="R10" s="8" t="s">
        <v>513</v>
      </c>
      <c r="S10" s="8" t="s">
        <v>514</v>
      </c>
    </row>
    <row r="11" customFormat="false" ht="17.15" hidden="false" customHeight="false" outlineLevel="0" collapsed="false">
      <c r="A11" s="0" t="s">
        <v>520</v>
      </c>
      <c r="B11" s="0" t="s">
        <v>86</v>
      </c>
      <c r="C11" s="21" t="n">
        <v>20.03</v>
      </c>
      <c r="D11" s="21" t="n">
        <v>21.215</v>
      </c>
      <c r="E11" s="21" t="n">
        <v>22.561</v>
      </c>
      <c r="F11" s="21" t="n">
        <v>5.228</v>
      </c>
      <c r="G11" s="21" t="n">
        <v>5.579</v>
      </c>
      <c r="H11" s="21" t="n">
        <v>5.533</v>
      </c>
      <c r="I11" s="21" t="n">
        <v>5.595</v>
      </c>
      <c r="J11" s="21" t="n">
        <v>5.578</v>
      </c>
      <c r="K11" s="21" t="n">
        <v>5.855</v>
      </c>
      <c r="L11" s="21" t="n">
        <v>5.785</v>
      </c>
      <c r="M11" s="21" t="n">
        <v>5.794</v>
      </c>
      <c r="N11" s="22" t="n">
        <f aca="false">H11+I11</f>
        <v>11.128</v>
      </c>
      <c r="O11" s="22" t="n">
        <f aca="false">J11+K11</f>
        <v>11.433</v>
      </c>
      <c r="P11" s="22" t="n">
        <f aca="false">L11+M11</f>
        <v>11.579</v>
      </c>
      <c r="Q11" s="22" t="n">
        <f aca="false">J11+K11+L11+M11</f>
        <v>23.012</v>
      </c>
      <c r="R11" s="8" t="s">
        <v>513</v>
      </c>
      <c r="S11" s="8" t="s">
        <v>514</v>
      </c>
    </row>
    <row r="12" customFormat="false" ht="17.15" hidden="false" customHeight="false" outlineLevel="0" collapsed="false">
      <c r="A12" s="0" t="s">
        <v>521</v>
      </c>
      <c r="B12" s="0" t="s">
        <v>86</v>
      </c>
      <c r="C12" s="21" t="n">
        <v>140.053</v>
      </c>
      <c r="D12" s="21" t="n">
        <v>156.146</v>
      </c>
      <c r="E12" s="21" t="n">
        <v>172.162</v>
      </c>
      <c r="F12" s="21" t="n">
        <v>37.864</v>
      </c>
      <c r="G12" s="21" t="n">
        <v>47.485</v>
      </c>
      <c r="H12" s="21" t="n">
        <v>36.512</v>
      </c>
      <c r="I12" s="21" t="n">
        <v>40.348</v>
      </c>
      <c r="J12" s="21" t="n">
        <v>42.486</v>
      </c>
      <c r="K12" s="21" t="n">
        <v>52.816</v>
      </c>
      <c r="L12" s="21" t="n">
        <v>41.578</v>
      </c>
      <c r="M12" s="21" t="n">
        <v>46.78</v>
      </c>
      <c r="N12" s="22" t="n">
        <f aca="false">H12+I12</f>
        <v>76.86</v>
      </c>
      <c r="O12" s="22" t="n">
        <f aca="false">J12+K12</f>
        <v>95.302</v>
      </c>
      <c r="P12" s="22" t="n">
        <f aca="false">L12+M12</f>
        <v>88.358</v>
      </c>
      <c r="Q12" s="22" t="n">
        <f aca="false">J12+K12+L12+M12</f>
        <v>183.66</v>
      </c>
      <c r="R12" s="8" t="s">
        <v>513</v>
      </c>
      <c r="S12" s="8" t="s">
        <v>514</v>
      </c>
    </row>
    <row r="13" customFormat="false" ht="17.15" hidden="false" customHeight="false" outlineLevel="0" collapsed="false">
      <c r="A13" s="0" t="s">
        <v>522</v>
      </c>
      <c r="B13" s="0" t="s">
        <v>86</v>
      </c>
      <c r="C13" s="21" t="n">
        <v>46.906</v>
      </c>
      <c r="D13" s="21" t="n">
        <v>56.214</v>
      </c>
      <c r="E13" s="21" t="n">
        <v>68.635</v>
      </c>
      <c r="F13" s="21" t="n">
        <v>14.331</v>
      </c>
      <c r="G13" s="21" t="n">
        <v>17.288</v>
      </c>
      <c r="H13" s="21" t="n">
        <v>13.921</v>
      </c>
      <c r="I13" s="21" t="n">
        <v>15.694</v>
      </c>
      <c r="J13" s="21" t="n">
        <v>17.703</v>
      </c>
      <c r="K13" s="21" t="n">
        <v>21.317</v>
      </c>
      <c r="L13" s="21" t="n">
        <v>17.243</v>
      </c>
      <c r="M13" s="21" t="n">
        <v>19.809</v>
      </c>
      <c r="N13" s="22" t="n">
        <f aca="false">H13+I13</f>
        <v>29.615</v>
      </c>
      <c r="O13" s="22" t="n">
        <f aca="false">J13+K13</f>
        <v>39.02</v>
      </c>
      <c r="P13" s="22" t="n">
        <f aca="false">L13+M13</f>
        <v>37.052</v>
      </c>
      <c r="Q13" s="22" t="n">
        <f aca="false">J13+K13+L13+M13</f>
        <v>76.072</v>
      </c>
      <c r="R13" s="8" t="s">
        <v>513</v>
      </c>
      <c r="S13" s="8" t="s">
        <v>514</v>
      </c>
    </row>
    <row r="14" customFormat="false" ht="17.15" hidden="false" customHeight="false" outlineLevel="0" collapsed="false">
      <c r="A14" s="0" t="s">
        <v>523</v>
      </c>
      <c r="B14" s="0" t="s">
        <v>86</v>
      </c>
      <c r="C14" s="21" t="n">
        <v>40.209</v>
      </c>
      <c r="D14" s="21" t="n">
        <v>44.374</v>
      </c>
      <c r="E14" s="21" t="n">
        <v>49.619</v>
      </c>
      <c r="F14" s="21" t="n">
        <v>11.278</v>
      </c>
      <c r="G14" s="21" t="n">
        <v>11.508</v>
      </c>
      <c r="H14" s="21" t="n">
        <v>11.715</v>
      </c>
      <c r="I14" s="21" t="n">
        <v>12.208</v>
      </c>
      <c r="J14" s="21" t="n">
        <v>12.574</v>
      </c>
      <c r="K14" s="21" t="n">
        <v>13.122</v>
      </c>
      <c r="L14" s="21" t="n">
        <v>13.427</v>
      </c>
      <c r="M14" s="21" t="n">
        <v>13.73</v>
      </c>
      <c r="N14" s="22" t="n">
        <f aca="false">H14+I14</f>
        <v>23.923</v>
      </c>
      <c r="O14" s="22" t="n">
        <f aca="false">J14+K14</f>
        <v>25.696</v>
      </c>
      <c r="P14" s="22" t="n">
        <f aca="false">L14+M14</f>
        <v>27.157</v>
      </c>
      <c r="Q14" s="22" t="n">
        <f aca="false">J14+K14+L14+M14</f>
        <v>52.853</v>
      </c>
      <c r="R14" s="8" t="s">
        <v>513</v>
      </c>
      <c r="S14" s="8" t="s">
        <v>514</v>
      </c>
    </row>
    <row r="15" customFormat="false" ht="17.15" hidden="false" customHeight="false" outlineLevel="0" collapsed="false">
      <c r="A15" s="0" t="s">
        <v>524</v>
      </c>
      <c r="B15" s="0" t="s">
        <v>86</v>
      </c>
      <c r="C15" s="21" t="n">
        <v>4.958</v>
      </c>
      <c r="D15" s="21" t="n">
        <v>5.425</v>
      </c>
      <c r="E15" s="21" t="n">
        <v>5.935</v>
      </c>
      <c r="F15" s="21" t="n">
        <v>1.313</v>
      </c>
      <c r="G15" s="21" t="n">
        <v>1.59</v>
      </c>
      <c r="H15" s="21" t="n">
        <v>1.312</v>
      </c>
      <c r="I15" s="21" t="n">
        <v>1.499</v>
      </c>
      <c r="J15" s="21" t="n">
        <v>1.415</v>
      </c>
      <c r="K15" s="21" t="n">
        <v>1.709</v>
      </c>
      <c r="L15" s="21" t="n">
        <v>1.645</v>
      </c>
      <c r="M15" s="21" t="n">
        <v>1.829</v>
      </c>
      <c r="N15" s="22" t="n">
        <f aca="false">H15+I15</f>
        <v>2.811</v>
      </c>
      <c r="O15" s="22" t="n">
        <f aca="false">J15+K15</f>
        <v>3.124</v>
      </c>
      <c r="P15" s="22" t="n">
        <f aca="false">L15+M15</f>
        <v>3.474</v>
      </c>
      <c r="Q15" s="22" t="n">
        <f aca="false">J15+K15+L15+M15</f>
        <v>6.598</v>
      </c>
      <c r="R15" s="8" t="s">
        <v>513</v>
      </c>
      <c r="S15" s="8" t="s">
        <v>514</v>
      </c>
    </row>
    <row r="16" customFormat="false" ht="17.15" hidden="false" customHeight="false" outlineLevel="0" collapsed="false">
      <c r="A16" s="5" t="s">
        <v>525</v>
      </c>
      <c r="B16" s="0" t="s">
        <v>86</v>
      </c>
      <c r="C16" s="23" t="n">
        <f aca="false">C10+C11+C12+C13+C14+C15</f>
        <v>484.028</v>
      </c>
      <c r="D16" s="23" t="n">
        <f aca="false">D10+D11+D12+D13+D14+D15</f>
        <v>530.403</v>
      </c>
      <c r="E16" s="23" t="n">
        <f aca="false">E10+E11+E12+E13+E14+E15</f>
        <v>588.199</v>
      </c>
      <c r="F16" s="23" t="n">
        <f aca="false">F10+F11+F12+F13+F14+F15</f>
        <v>131.425</v>
      </c>
      <c r="G16" s="23" t="n">
        <f aca="false">G10+G11+G12+G13+G14+G15</f>
        <v>159.006</v>
      </c>
      <c r="H16" s="23" t="n">
        <f aca="false">H10+H11+H12+H13+H14+H15</f>
        <v>126.4</v>
      </c>
      <c r="I16" s="23" t="n">
        <f aca="false">I10+I11+I12+I13+I14+I15</f>
        <v>136.829</v>
      </c>
      <c r="J16" s="23" t="n">
        <f aca="false">J10+J11+J12+J13+J14+J15</f>
        <v>147.163</v>
      </c>
      <c r="K16" s="23" t="n">
        <f aca="false">K10+K11+K12+K13+K14+K15</f>
        <v>177.807</v>
      </c>
      <c r="L16" s="23" t="n">
        <f aca="false">L10+L11+L12+L13+L14+L15</f>
        <v>143.932</v>
      </c>
      <c r="M16" s="23" t="n">
        <f aca="false">M10+M11+M12+M13+M14+M15</f>
        <v>158.374</v>
      </c>
      <c r="N16" s="23" t="n">
        <f aca="false">N10+N11+N12+N13+N14+N15</f>
        <v>263.229</v>
      </c>
      <c r="O16" s="23" t="n">
        <f aca="false">O10+O11+O12+O13+O14+O15</f>
        <v>324.97</v>
      </c>
      <c r="P16" s="23" t="n">
        <f aca="false">P10+P11+P12+P13+P14+P15</f>
        <v>302.306</v>
      </c>
      <c r="Q16" s="23" t="n">
        <f aca="false">Q10+Q11+Q12+Q13+Q14+Q15</f>
        <v>627.276</v>
      </c>
      <c r="R16" s="8" t="s">
        <v>41</v>
      </c>
    </row>
    <row r="17" customFormat="false" ht="17.15" hidden="false" customHeight="false" outlineLevel="0" collapsed="false">
      <c r="A17" s="0" t="s">
        <v>526</v>
      </c>
      <c r="B17" s="0" t="s">
        <v>86</v>
      </c>
      <c r="C17" s="23" t="n">
        <f aca="false">C7</f>
        <v>90.757</v>
      </c>
      <c r="D17" s="23" t="n">
        <f aca="false">D7</f>
        <v>107.556</v>
      </c>
      <c r="E17" s="23" t="n">
        <f aca="false">E7</f>
        <v>128.725</v>
      </c>
      <c r="F17" s="23" t="n">
        <f aca="false">F7</f>
        <v>27.452</v>
      </c>
      <c r="G17" s="23" t="n">
        <f aca="false">G7</f>
        <v>28.786</v>
      </c>
      <c r="H17" s="23" t="n">
        <f aca="false">H7</f>
        <v>29.267</v>
      </c>
      <c r="I17" s="23" t="n">
        <f aca="false">I7</f>
        <v>30.873</v>
      </c>
      <c r="J17" s="23" t="n">
        <f aca="false">J7</f>
        <v>33.006</v>
      </c>
      <c r="K17" s="23" t="n">
        <f aca="false">K7</f>
        <v>35.579</v>
      </c>
      <c r="L17" s="23" t="n">
        <f aca="false">L7</f>
        <v>37.587</v>
      </c>
      <c r="M17" s="23" t="n">
        <f aca="false">M7</f>
        <v>42.232</v>
      </c>
      <c r="N17" s="23" t="n">
        <f aca="false">N7</f>
        <v>60.14</v>
      </c>
      <c r="O17" s="23" t="n">
        <f aca="false">O7</f>
        <v>68.585</v>
      </c>
      <c r="P17" s="23" t="n">
        <f aca="false">P7</f>
        <v>79.819</v>
      </c>
      <c r="Q17" s="23" t="n">
        <f aca="false">Q7</f>
        <v>148.404</v>
      </c>
      <c r="R17" s="8" t="s">
        <v>41</v>
      </c>
    </row>
    <row r="18" customFormat="false" ht="17.15" hidden="false" customHeight="false" outlineLevel="0" collapsed="false">
      <c r="A18" s="24" t="s">
        <v>527</v>
      </c>
      <c r="B18" s="25" t="s">
        <v>86</v>
      </c>
      <c r="C18" s="26" t="n">
        <f aca="false">C16-(C5+C6)</f>
        <v>0</v>
      </c>
      <c r="D18" s="26" t="n">
        <f aca="false">D16-(D5+D6)</f>
        <v>0</v>
      </c>
      <c r="E18" s="26" t="n">
        <f aca="false">E16-(E5+E6)</f>
        <v>0</v>
      </c>
      <c r="F18" s="26" t="n">
        <f aca="false">F16-(F5+F6)</f>
        <v>0</v>
      </c>
      <c r="G18" s="26" t="n">
        <f aca="false">G16-(G5+G6)</f>
        <v>0</v>
      </c>
      <c r="H18" s="26" t="n">
        <f aca="false">H16-(H5+H6)</f>
        <v>0</v>
      </c>
      <c r="I18" s="26" t="n">
        <f aca="false">I16-(I5+I6)</f>
        <v>0</v>
      </c>
      <c r="J18" s="26" t="n">
        <f aca="false">J16-(J5+J6)</f>
        <v>0</v>
      </c>
      <c r="K18" s="26" t="n">
        <f aca="false">K16-(K5+K6)</f>
        <v>0</v>
      </c>
      <c r="L18" s="26" t="n">
        <f aca="false">L16-(L5+L6)</f>
        <v>0</v>
      </c>
      <c r="M18" s="26" t="n">
        <f aca="false">M16-(M5+M6)</f>
        <v>0</v>
      </c>
      <c r="N18" s="26" t="n">
        <f aca="false">N16-(N5+N6)</f>
        <v>0</v>
      </c>
      <c r="O18" s="26" t="n">
        <f aca="false">O16-(O5+O6)</f>
        <v>0</v>
      </c>
      <c r="P18" s="26" t="n">
        <f aca="false">P16-(P5+P6)</f>
        <v>0</v>
      </c>
      <c r="Q18" s="26" t="n">
        <f aca="false">Q16-(Q5+Q6)</f>
        <v>0</v>
      </c>
      <c r="R18" s="8" t="s">
        <v>41</v>
      </c>
    </row>
    <row r="19" customFormat="false" ht="17.15" hidden="false" customHeight="false" outlineLevel="0" collapsed="false">
      <c r="A19" s="24" t="s">
        <v>528</v>
      </c>
      <c r="B19" s="25" t="s">
        <v>86</v>
      </c>
      <c r="C19" s="26" t="n">
        <f aca="false">C16+C17-C8</f>
        <v>0</v>
      </c>
      <c r="D19" s="26" t="n">
        <f aca="false">D16+D17-D8</f>
        <v>0</v>
      </c>
      <c r="E19" s="26" t="n">
        <f aca="false">E16+E17-E8</f>
        <v>0</v>
      </c>
      <c r="F19" s="26" t="n">
        <f aca="false">F16+F17-F8</f>
        <v>0</v>
      </c>
      <c r="G19" s="26" t="n">
        <f aca="false">G16+G17-G8</f>
        <v>0</v>
      </c>
      <c r="H19" s="26" t="n">
        <f aca="false">H16+H17-H8</f>
        <v>0</v>
      </c>
      <c r="I19" s="26" t="n">
        <f aca="false">I16+I17-I8</f>
        <v>0</v>
      </c>
      <c r="J19" s="26" t="n">
        <f aca="false">J16+J17-J8</f>
        <v>0</v>
      </c>
      <c r="K19" s="26" t="n">
        <f aca="false">K16+K17-K8</f>
        <v>0</v>
      </c>
      <c r="L19" s="26" t="n">
        <f aca="false">L16+L17-L8</f>
        <v>0</v>
      </c>
      <c r="M19" s="26" t="n">
        <f aca="false">M16+M17-M8</f>
        <v>0</v>
      </c>
      <c r="N19" s="26" t="n">
        <f aca="false">N16+N17-N8</f>
        <v>0</v>
      </c>
      <c r="O19" s="26" t="n">
        <f aca="false">O16+O17-O8</f>
        <v>0</v>
      </c>
      <c r="P19" s="26" t="n">
        <f aca="false">P16+P17-P8</f>
        <v>0</v>
      </c>
      <c r="Q19" s="26" t="n">
        <f aca="false">Q16+Q17-Q8</f>
        <v>0</v>
      </c>
      <c r="R19" s="8" t="s">
        <v>41</v>
      </c>
    </row>
    <row r="20" customFormat="false" ht="15" hidden="false" customHeight="false" outlineLevel="0" collapsed="false">
      <c r="A20" s="24" t="s">
        <v>529</v>
      </c>
      <c r="B20" s="25" t="s">
        <v>86</v>
      </c>
      <c r="C20" s="26" t="n">
        <f aca="false">C5+C6+C7-C8</f>
        <v>0</v>
      </c>
      <c r="D20" s="26" t="n">
        <f aca="false">D5+D6+D7-D8</f>
        <v>0</v>
      </c>
      <c r="E20" s="26" t="n">
        <f aca="false">E5+E6+E7-E8</f>
        <v>0</v>
      </c>
      <c r="F20" s="26" t="n">
        <f aca="false">F5+F6+F7-F8</f>
        <v>0</v>
      </c>
      <c r="G20" s="26" t="n">
        <f aca="false">G5+G6+G7-G8</f>
        <v>0</v>
      </c>
      <c r="H20" s="26" t="n">
        <f aca="false">H5+H6+H7-H8</f>
        <v>0</v>
      </c>
      <c r="I20" s="26" t="n">
        <f aca="false">I5+I6+I7-I8</f>
        <v>0</v>
      </c>
      <c r="J20" s="26" t="n">
        <f aca="false">J5+J6+J7-J8</f>
        <v>0</v>
      </c>
      <c r="K20" s="26" t="n">
        <f aca="false">K5+K6+K7-K8</f>
        <v>0</v>
      </c>
      <c r="L20" s="26" t="n">
        <f aca="false">L5+L6+L7-L8</f>
        <v>0</v>
      </c>
      <c r="M20" s="26" t="n">
        <f aca="false">M5+M6+M7-M8</f>
        <v>0</v>
      </c>
      <c r="N20" s="26" t="n">
        <f aca="false">N5+N6+N7-N8</f>
        <v>0</v>
      </c>
      <c r="O20" s="26" t="n">
        <f aca="false">O5+O6+O7-O8</f>
        <v>0</v>
      </c>
      <c r="P20" s="26" t="n">
        <f aca="false">P5+P6+P7-P8</f>
        <v>0</v>
      </c>
      <c r="Q20" s="26" t="n">
        <f aca="false">Q5+Q6+Q7-Q8</f>
        <v>0</v>
      </c>
      <c r="R20" s="8" t="s">
        <v>41</v>
      </c>
    </row>
    <row r="21" customFormat="false" ht="17.15" hidden="false" customHeight="false" outlineLevel="0" collapsed="false">
      <c r="A21" s="1" t="s">
        <v>530</v>
      </c>
    </row>
    <row r="22" customFormat="false" ht="17.15" hidden="false" customHeight="false" outlineLevel="0" collapsed="false">
      <c r="A22" s="0" t="s">
        <v>531</v>
      </c>
      <c r="B22" s="0" t="s">
        <v>86</v>
      </c>
      <c r="C22" s="21" t="n">
        <v>14.877</v>
      </c>
      <c r="D22" s="21" t="n">
        <v>24.967</v>
      </c>
      <c r="E22" s="21" t="n">
        <v>29.619</v>
      </c>
      <c r="F22" s="21" t="n">
        <v>5.663</v>
      </c>
      <c r="G22" s="21" t="n">
        <v>9.256</v>
      </c>
      <c r="H22" s="21" t="n">
        <v>5.841</v>
      </c>
      <c r="I22" s="21" t="n">
        <v>7.517</v>
      </c>
      <c r="J22" s="21" t="n">
        <v>4.789</v>
      </c>
      <c r="K22" s="21" t="n">
        <v>11.472</v>
      </c>
      <c r="L22" s="21" t="n">
        <v>8.267</v>
      </c>
      <c r="M22" s="21" t="n">
        <v>9.123</v>
      </c>
      <c r="N22" s="22" t="n">
        <f aca="false">H22+I22</f>
        <v>13.358</v>
      </c>
      <c r="O22" s="22" t="n">
        <f aca="false">J22+K22</f>
        <v>16.261</v>
      </c>
      <c r="P22" s="22" t="n">
        <f aca="false">L22+M22</f>
        <v>17.39</v>
      </c>
      <c r="Q22" s="22" t="n">
        <f aca="false">J22+K22+L22+M22</f>
        <v>33.651</v>
      </c>
      <c r="R22" s="8" t="s">
        <v>513</v>
      </c>
      <c r="S22" s="8" t="s">
        <v>514</v>
      </c>
    </row>
    <row r="23" customFormat="false" ht="17.15" hidden="false" customHeight="false" outlineLevel="0" collapsed="false">
      <c r="A23" s="0" t="s">
        <v>532</v>
      </c>
      <c r="B23" s="0" t="s">
        <v>86</v>
      </c>
      <c r="C23" s="21" t="n">
        <v>-2.656</v>
      </c>
      <c r="D23" s="21" t="n">
        <v>3.792</v>
      </c>
      <c r="E23" s="21" t="n">
        <v>4.75</v>
      </c>
      <c r="F23" s="21" t="n">
        <v>1.301</v>
      </c>
      <c r="G23" s="21" t="n">
        <v>1.315</v>
      </c>
      <c r="H23" s="21" t="n">
        <v>1.017</v>
      </c>
      <c r="I23" s="21" t="n">
        <v>1.494</v>
      </c>
      <c r="J23" s="21" t="n">
        <v>1.199</v>
      </c>
      <c r="K23" s="21" t="n">
        <v>1.04</v>
      </c>
      <c r="L23" s="21" t="n">
        <v>1.424</v>
      </c>
      <c r="M23" s="21" t="n">
        <v>1.717</v>
      </c>
      <c r="N23" s="22" t="n">
        <f aca="false">H23+I23</f>
        <v>2.511</v>
      </c>
      <c r="O23" s="22" t="n">
        <f aca="false">J23+K23</f>
        <v>2.239</v>
      </c>
      <c r="P23" s="22" t="n">
        <f aca="false">L23+M23</f>
        <v>3.141</v>
      </c>
      <c r="Q23" s="22" t="n">
        <f aca="false">J23+K23+L23+M23</f>
        <v>5.38</v>
      </c>
      <c r="R23" s="8" t="s">
        <v>513</v>
      </c>
      <c r="S23" s="8" t="s">
        <v>514</v>
      </c>
    </row>
    <row r="24" customFormat="false" ht="17.15" hidden="false" customHeight="false" outlineLevel="0" collapsed="false">
      <c r="A24" s="0" t="s">
        <v>533</v>
      </c>
      <c r="B24" s="0" t="s">
        <v>86</v>
      </c>
      <c r="C24" s="21" t="n">
        <v>24.631</v>
      </c>
      <c r="D24" s="21" t="n">
        <v>39.834</v>
      </c>
      <c r="E24" s="21" t="n">
        <v>45.606</v>
      </c>
      <c r="F24" s="21" t="n">
        <v>10.447</v>
      </c>
      <c r="G24" s="21" t="n">
        <v>10.632</v>
      </c>
      <c r="H24" s="21" t="n">
        <v>11.547</v>
      </c>
      <c r="I24" s="21" t="n">
        <v>10.16</v>
      </c>
      <c r="J24" s="21" t="n">
        <v>11.434</v>
      </c>
      <c r="K24" s="21" t="n">
        <v>12.465</v>
      </c>
      <c r="L24" s="21" t="n">
        <v>14.161</v>
      </c>
      <c r="M24" s="21" t="n">
        <v>16.621</v>
      </c>
      <c r="N24" s="22" t="n">
        <f aca="false">H24+I24</f>
        <v>21.707</v>
      </c>
      <c r="O24" s="22" t="n">
        <f aca="false">J24+K24</f>
        <v>23.899</v>
      </c>
      <c r="P24" s="22" t="n">
        <f aca="false">L24+M24</f>
        <v>30.782</v>
      </c>
      <c r="Q24" s="22" t="n">
        <f aca="false">J24+K24+L24+M24</f>
        <v>54.681</v>
      </c>
      <c r="R24" s="8" t="s">
        <v>513</v>
      </c>
      <c r="S24" s="8" t="s">
        <v>514</v>
      </c>
    </row>
    <row r="25" customFormat="false" ht="17.15" hidden="false" customHeight="false" outlineLevel="0" collapsed="false">
      <c r="A25" s="5" t="s">
        <v>534</v>
      </c>
      <c r="B25" s="0" t="s">
        <v>86</v>
      </c>
      <c r="C25" s="21" t="n">
        <v>36.852</v>
      </c>
      <c r="D25" s="21" t="n">
        <v>68.593</v>
      </c>
      <c r="E25" s="21" t="n">
        <v>79.975</v>
      </c>
      <c r="F25" s="21" t="n">
        <v>17.411</v>
      </c>
      <c r="G25" s="21" t="n">
        <v>21.203</v>
      </c>
      <c r="H25" s="21" t="n">
        <v>18.405</v>
      </c>
      <c r="I25" s="21" t="n">
        <v>19.171</v>
      </c>
      <c r="J25" s="21" t="n">
        <v>17.422</v>
      </c>
      <c r="K25" s="21" t="n">
        <v>24.977</v>
      </c>
      <c r="L25" s="21" t="n">
        <v>23.852</v>
      </c>
      <c r="M25" s="21" t="n">
        <v>27.461</v>
      </c>
      <c r="N25" s="22" t="n">
        <f aca="false">H25+I25</f>
        <v>37.576</v>
      </c>
      <c r="O25" s="22" t="n">
        <f aca="false">J25+K25</f>
        <v>42.399</v>
      </c>
      <c r="P25" s="22" t="n">
        <f aca="false">L25+M25</f>
        <v>51.313</v>
      </c>
      <c r="Q25" s="22" t="n">
        <f aca="false">J25+K25+L25+M25</f>
        <v>93.712</v>
      </c>
      <c r="R25" s="8" t="s">
        <v>513</v>
      </c>
      <c r="S25" s="8" t="s">
        <v>514</v>
      </c>
    </row>
    <row r="26" customFormat="false" ht="17.15" hidden="false" customHeight="false" outlineLevel="0" collapsed="false">
      <c r="A26" s="5" t="s">
        <v>535</v>
      </c>
      <c r="B26" s="0" t="s">
        <v>86</v>
      </c>
      <c r="C26" s="23" t="n">
        <f aca="false">C25-(C22+C23+C24)</f>
        <v>0</v>
      </c>
      <c r="D26" s="23" t="n">
        <f aca="false">D25-(D22+D23+D24)</f>
        <v>0</v>
      </c>
      <c r="E26" s="23" t="n">
        <f aca="false">E25-(E22+E23+E24)</f>
        <v>0</v>
      </c>
      <c r="F26" s="23" t="n">
        <f aca="false">F25-(F22+F23+F24)</f>
        <v>0</v>
      </c>
      <c r="G26" s="23" t="n">
        <f aca="false">G25-(G22+G23+G24)</f>
        <v>0</v>
      </c>
      <c r="H26" s="23" t="n">
        <f aca="false">H25-(H22+H23+H24)</f>
        <v>0</v>
      </c>
      <c r="I26" s="23" t="n">
        <f aca="false">I25-(I22+I23+I24)</f>
        <v>0</v>
      </c>
      <c r="J26" s="23" t="n">
        <f aca="false">J25-(J22+J23+J24)</f>
        <v>0</v>
      </c>
      <c r="K26" s="23" t="n">
        <f aca="false">K25-(K22+K23+K24)</f>
        <v>0</v>
      </c>
      <c r="L26" s="23" t="n">
        <f aca="false">L25-(L22+L23+L24)</f>
        <v>0</v>
      </c>
      <c r="M26" s="23" t="n">
        <f aca="false">M25-(M22+M23+M24)</f>
        <v>0</v>
      </c>
      <c r="N26" s="23" t="n">
        <f aca="false">N25-(N22+N23+N24)</f>
        <v>0</v>
      </c>
      <c r="O26" s="23" t="n">
        <f aca="false">O25-(O22+O23+O24)</f>
        <v>0</v>
      </c>
      <c r="P26" s="23" t="n">
        <f aca="false">P25-(P22+P23+P24)</f>
        <v>0</v>
      </c>
      <c r="Q26" s="23" t="n">
        <f aca="false">Q25-(Q22+Q23+Q24)</f>
        <v>0</v>
      </c>
      <c r="R26" s="8" t="s">
        <v>41</v>
      </c>
    </row>
    <row r="27" customFormat="false" ht="15" hidden="false" customHeight="false" outlineLevel="0" collapsed="false">
      <c r="A27" s="24" t="s">
        <v>536</v>
      </c>
      <c r="B27" s="25" t="s">
        <v>86</v>
      </c>
      <c r="C27" s="26" t="n">
        <f aca="false">C22+C23+C24+C26-C25</f>
        <v>0</v>
      </c>
      <c r="D27" s="26" t="n">
        <f aca="false">D22+D23+D24+D26-D25</f>
        <v>0</v>
      </c>
      <c r="E27" s="26" t="n">
        <f aca="false">E22+E23+E24+E26-E25</f>
        <v>0</v>
      </c>
      <c r="F27" s="26" t="n">
        <f aca="false">F22+F23+F24+F26-F25</f>
        <v>0</v>
      </c>
      <c r="G27" s="26" t="n">
        <f aca="false">G22+G23+G24+G26-G25</f>
        <v>0</v>
      </c>
      <c r="H27" s="26" t="n">
        <f aca="false">H22+H23+H24+H26-H25</f>
        <v>0</v>
      </c>
      <c r="I27" s="26" t="n">
        <f aca="false">I22+I23+I24+I26-I25</f>
        <v>0</v>
      </c>
      <c r="J27" s="26" t="n">
        <f aca="false">J22+J23+J24+J26-J25</f>
        <v>0</v>
      </c>
      <c r="K27" s="26" t="n">
        <f aca="false">K22+K23+K24+K26-K25</f>
        <v>0</v>
      </c>
      <c r="L27" s="26" t="n">
        <f aca="false">L22+L23+L24+L26-L25</f>
        <v>0</v>
      </c>
      <c r="M27" s="26" t="n">
        <f aca="false">M22+M23+M24+M26-M25</f>
        <v>0</v>
      </c>
      <c r="N27" s="26" t="n">
        <f aca="false">N22+N23+N24+N26-N25</f>
        <v>0</v>
      </c>
      <c r="O27" s="26" t="n">
        <f aca="false">O22+O23+O24+O26-O25</f>
        <v>0</v>
      </c>
      <c r="P27" s="26" t="n">
        <f aca="false">P22+P23+P24+P26-P25</f>
        <v>0</v>
      </c>
      <c r="Q27" s="26" t="n">
        <f aca="false">Q22+Q23+Q24+Q26-Q25</f>
        <v>0</v>
      </c>
      <c r="R27" s="8" t="s">
        <v>41</v>
      </c>
    </row>
    <row r="28" customFormat="false" ht="17.15" hidden="false" customHeight="false" outlineLevel="0" collapsed="false">
      <c r="A28" s="1" t="s">
        <v>537</v>
      </c>
    </row>
    <row r="29" customFormat="false" ht="17.15" hidden="false" customHeight="false" outlineLevel="0" collapsed="false">
      <c r="A29" s="0" t="s">
        <v>538</v>
      </c>
      <c r="B29" s="0" t="s">
        <v>86</v>
      </c>
      <c r="C29" s="21" t="n">
        <v>13.678</v>
      </c>
      <c r="D29" s="21" t="n">
        <v>14.285</v>
      </c>
      <c r="E29" s="21" t="n">
        <v>15.503</v>
      </c>
      <c r="F29" s="22"/>
      <c r="G29" s="22"/>
      <c r="H29" s="21" t="n">
        <v>3.53</v>
      </c>
      <c r="I29" s="21" t="n">
        <v>3.742</v>
      </c>
      <c r="J29" s="21" t="n">
        <v>4.001</v>
      </c>
      <c r="K29" s="23" t="n">
        <f aca="false">E29-H29-I29-J29</f>
        <v>4.23</v>
      </c>
      <c r="L29" s="21" t="n">
        <v>4.28</v>
      </c>
      <c r="M29" s="21" t="n">
        <v>4.5</v>
      </c>
      <c r="N29" s="22" t="n">
        <f aca="false">H29+I29</f>
        <v>7.272</v>
      </c>
      <c r="O29" s="22" t="n">
        <f aca="false">J29+K29</f>
        <v>8.231</v>
      </c>
      <c r="P29" s="22" t="n">
        <f aca="false">L29+M29</f>
        <v>8.78</v>
      </c>
      <c r="Q29" s="22" t="n">
        <f aca="false">J29+K29+L29+M29</f>
        <v>17.011</v>
      </c>
      <c r="R29" s="8" t="s">
        <v>28</v>
      </c>
      <c r="S29" s="8" t="s">
        <v>539</v>
      </c>
    </row>
    <row r="30" customFormat="false" ht="17.15" hidden="false" customHeight="false" outlineLevel="0" collapsed="false">
      <c r="A30" s="0" t="s">
        <v>540</v>
      </c>
      <c r="B30" s="0" t="s">
        <v>86</v>
      </c>
      <c r="C30" s="21" t="n">
        <v>4.016</v>
      </c>
      <c r="D30" s="21" t="n">
        <v>4.462</v>
      </c>
      <c r="E30" s="21" t="n">
        <v>4.907</v>
      </c>
      <c r="F30" s="22"/>
      <c r="G30" s="22"/>
      <c r="H30" s="21" t="n">
        <v>1.136</v>
      </c>
      <c r="I30" s="21" t="n">
        <v>1.18</v>
      </c>
      <c r="J30" s="21" t="n">
        <v>1.276</v>
      </c>
      <c r="K30" s="23" t="n">
        <f aca="false">E30-H30-I30-J30</f>
        <v>1.315</v>
      </c>
      <c r="L30" s="21" t="n">
        <v>1.277</v>
      </c>
      <c r="M30" s="21" t="n">
        <v>1.293</v>
      </c>
      <c r="N30" s="22" t="n">
        <f aca="false">H30+I30</f>
        <v>2.316</v>
      </c>
      <c r="O30" s="22" t="n">
        <f aca="false">J30+K30</f>
        <v>2.591</v>
      </c>
      <c r="P30" s="22" t="n">
        <f aca="false">L30+M30</f>
        <v>2.57</v>
      </c>
      <c r="Q30" s="22" t="n">
        <f aca="false">J30+K30+L30+M30</f>
        <v>5.161</v>
      </c>
      <c r="R30" s="8" t="s">
        <v>28</v>
      </c>
      <c r="S30" s="8" t="s">
        <v>539</v>
      </c>
    </row>
    <row r="31" customFormat="false" ht="17.15" hidden="false" customHeight="false" outlineLevel="0" collapsed="false">
      <c r="A31" s="0" t="s">
        <v>541</v>
      </c>
      <c r="B31" s="0" t="s">
        <v>86</v>
      </c>
      <c r="C31" s="21" t="n">
        <v>12.531</v>
      </c>
      <c r="D31" s="21" t="n">
        <v>13.32</v>
      </c>
      <c r="E31" s="21" t="n">
        <v>21.45</v>
      </c>
      <c r="F31" s="22"/>
      <c r="G31" s="22"/>
      <c r="H31" s="21" t="n">
        <v>4.39</v>
      </c>
      <c r="I31" s="21" t="n">
        <v>4.844</v>
      </c>
      <c r="J31" s="21" t="n">
        <v>5.648</v>
      </c>
      <c r="K31" s="23" t="n">
        <f aca="false">E31-H31-I31-J31</f>
        <v>6.568</v>
      </c>
      <c r="L31" s="21" t="n">
        <v>7.277</v>
      </c>
      <c r="M31" s="21" t="n">
        <v>8.076</v>
      </c>
      <c r="N31" s="22" t="n">
        <f aca="false">H31+I31</f>
        <v>9.234</v>
      </c>
      <c r="O31" s="22" t="n">
        <f aca="false">J31+K31</f>
        <v>12.216</v>
      </c>
      <c r="P31" s="22" t="n">
        <f aca="false">L31+M31</f>
        <v>15.353</v>
      </c>
      <c r="Q31" s="22" t="n">
        <f aca="false">J31+K31+L31+M31</f>
        <v>27.569</v>
      </c>
      <c r="R31" s="8" t="s">
        <v>28</v>
      </c>
      <c r="S31" s="8" t="s">
        <v>539</v>
      </c>
    </row>
    <row r="32" customFormat="false" ht="15" hidden="false" customHeight="false" outlineLevel="0" collapsed="false">
      <c r="A32" s="5" t="s">
        <v>542</v>
      </c>
      <c r="B32" s="0" t="s">
        <v>86</v>
      </c>
      <c r="C32" s="23" t="n">
        <f aca="false">IF(COUNT(C29:C31)=3,C29+C30+C31,"")</f>
        <v>30.225</v>
      </c>
      <c r="D32" s="23" t="n">
        <f aca="false">IF(COUNT(D29:D31)=3,D29+D30+D31,"")</f>
        <v>32.067</v>
      </c>
      <c r="E32" s="23" t="n">
        <f aca="false">IF(COUNT(E29:E31)=3,E29+E30+E31,"")</f>
        <v>41.86</v>
      </c>
      <c r="F32" s="23" t="str">
        <f aca="false">IF(COUNT(F29:F31)=3,F29+F30+F31,"")</f>
        <v/>
      </c>
      <c r="G32" s="23" t="str">
        <f aca="false">IF(COUNT(G29:G31)=3,G29+G30+G31,"")</f>
        <v/>
      </c>
      <c r="H32" s="23" t="n">
        <f aca="false">IF(COUNT(H29:H31)=3,H29+H30+H31,"")</f>
        <v>9.056</v>
      </c>
      <c r="I32" s="23" t="n">
        <f aca="false">IF(COUNT(I29:I31)=3,I29+I30+I31,"")</f>
        <v>9.766</v>
      </c>
      <c r="J32" s="23" t="n">
        <f aca="false">IF(COUNT(J29:J31)=3,J29+J30+J31,"")</f>
        <v>10.925</v>
      </c>
      <c r="K32" s="23" t="n">
        <f aca="false">IF(COUNT(K29:K31)=3,K29+K30+K31,"")</f>
        <v>12.113</v>
      </c>
      <c r="L32" s="23" t="n">
        <f aca="false">IF(COUNT(L29:L31)=3,L29+L30+L31,"")</f>
        <v>12.834</v>
      </c>
      <c r="M32" s="23" t="n">
        <f aca="false">IF(COUNT(M29:M31)=3,M29+M30+M31,"")</f>
        <v>13.869</v>
      </c>
      <c r="N32" s="23" t="n">
        <f aca="false">IF(COUNT(N29:N31)=3,N29+N30+N31,"")</f>
        <v>18.822</v>
      </c>
      <c r="O32" s="23" t="n">
        <f aca="false">IF(COUNT(O29:O31)=3,O29+O30+O31,"")</f>
        <v>23.038</v>
      </c>
      <c r="P32" s="23" t="n">
        <f aca="false">IF(COUNT(P29:P31)=3,P29+P30+P31,"")</f>
        <v>26.703</v>
      </c>
      <c r="Q32" s="23" t="n">
        <f aca="false">IF(COUNT(Q29:Q31)=3,Q29+Q30+Q31,"")</f>
        <v>49.741</v>
      </c>
      <c r="R32" s="8" t="s">
        <v>41</v>
      </c>
    </row>
    <row r="33" customFormat="false" ht="17.15" hidden="false" customHeight="false" outlineLevel="0" collapsed="false">
      <c r="A33" s="1" t="s">
        <v>543</v>
      </c>
    </row>
    <row r="34" customFormat="false" ht="17.15" hidden="false" customHeight="false" outlineLevel="0" collapsed="false">
      <c r="A34" s="5" t="s">
        <v>544</v>
      </c>
      <c r="B34" s="0" t="s">
        <v>86</v>
      </c>
      <c r="C34" s="21" t="n">
        <v>3.182</v>
      </c>
      <c r="D34" s="21" t="n">
        <v>2.406</v>
      </c>
      <c r="E34" s="21" t="n">
        <v>2.274</v>
      </c>
      <c r="F34" s="21" t="n">
        <v>0.603</v>
      </c>
      <c r="G34" s="21" t="n">
        <v>0.57</v>
      </c>
      <c r="H34" s="21" t="n">
        <v>0.541</v>
      </c>
      <c r="I34" s="21" t="n">
        <v>0.516</v>
      </c>
      <c r="J34" s="21" t="n">
        <v>0.538</v>
      </c>
      <c r="K34" s="21" t="n">
        <v>0.679</v>
      </c>
      <c r="L34" s="21" t="n">
        <v>0.8</v>
      </c>
      <c r="M34" s="21" t="n">
        <v>1.314</v>
      </c>
      <c r="N34" s="22" t="n">
        <f aca="false">H34+I34</f>
        <v>1.057</v>
      </c>
      <c r="O34" s="22" t="n">
        <f aca="false">J34+K34</f>
        <v>1.217</v>
      </c>
      <c r="P34" s="22" t="n">
        <f aca="false">L34+M34</f>
        <v>2.114</v>
      </c>
      <c r="Q34" s="22" t="n">
        <f aca="false">J34+K34+L34+M34</f>
        <v>3.331</v>
      </c>
      <c r="R34" s="8" t="s">
        <v>28</v>
      </c>
      <c r="S34" s="8" t="s">
        <v>545</v>
      </c>
    </row>
    <row r="35" customFormat="false" ht="17.15" hidden="false" customHeight="false" outlineLevel="0" collapsed="false">
      <c r="A35" s="5" t="s">
        <v>546</v>
      </c>
      <c r="B35" s="0" t="s">
        <v>86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1" t="n">
        <v>1.295</v>
      </c>
      <c r="N35" s="22"/>
      <c r="O35" s="22"/>
      <c r="P35" s="22"/>
      <c r="Q35" s="22"/>
      <c r="R35" s="8" t="s">
        <v>28</v>
      </c>
      <c r="S35" s="8" t="s">
        <v>34</v>
      </c>
    </row>
    <row r="36" customFormat="false" ht="17.15" hidden="false" customHeight="false" outlineLevel="0" collapsed="false">
      <c r="A36" s="5" t="s">
        <v>547</v>
      </c>
      <c r="B36" s="0" t="s">
        <v>86</v>
      </c>
      <c r="C36" s="21" t="n">
        <v>37.557</v>
      </c>
      <c r="D36" s="21" t="n">
        <v>68.614</v>
      </c>
      <c r="E36" s="21" t="n">
        <v>97.311</v>
      </c>
      <c r="F36" s="21" t="n">
        <v>18.037</v>
      </c>
      <c r="G36" s="21" t="n">
        <v>22.349</v>
      </c>
      <c r="H36" s="21" t="n">
        <v>21.679</v>
      </c>
      <c r="I36" s="21" t="n">
        <v>20.857</v>
      </c>
      <c r="J36" s="21" t="n">
        <v>28.17</v>
      </c>
      <c r="K36" s="21" t="n">
        <v>26.605</v>
      </c>
      <c r="L36" s="21" t="n">
        <v>39.834</v>
      </c>
      <c r="M36" s="21" t="n">
        <v>80.857</v>
      </c>
      <c r="N36" s="22" t="n">
        <f aca="false">H36+I36</f>
        <v>42.536</v>
      </c>
      <c r="O36" s="22" t="n">
        <f aca="false">J36+K36</f>
        <v>54.775</v>
      </c>
      <c r="P36" s="22" t="n">
        <f aca="false">L36+M36</f>
        <v>120.691</v>
      </c>
      <c r="Q36" s="22" t="n">
        <f aca="false">J36+K36+L36+M36</f>
        <v>175.466</v>
      </c>
      <c r="R36" s="8" t="s">
        <v>28</v>
      </c>
      <c r="S36" s="8" t="s">
        <v>545</v>
      </c>
    </row>
    <row r="37" customFormat="false" ht="17.15" hidden="false" customHeight="false" outlineLevel="0" collapsed="false">
      <c r="A37" s="5" t="s">
        <v>548</v>
      </c>
      <c r="B37" s="0" t="s">
        <v>86</v>
      </c>
      <c r="C37" s="21" t="n">
        <v>7.12</v>
      </c>
      <c r="D37" s="21" t="n">
        <v>9.265</v>
      </c>
      <c r="E37" s="21" t="n">
        <v>19.087</v>
      </c>
      <c r="F37" s="21" t="n">
        <v>2.706</v>
      </c>
      <c r="G37" s="21" t="n">
        <v>2.325</v>
      </c>
      <c r="H37" s="21" t="n">
        <v>4.553</v>
      </c>
      <c r="I37" s="21" t="n">
        <v>2.678</v>
      </c>
      <c r="J37" s="21" t="n">
        <v>6.91</v>
      </c>
      <c r="K37" s="21" t="n">
        <v>4.946</v>
      </c>
      <c r="L37" s="21" t="n">
        <v>9.56</v>
      </c>
      <c r="M37" s="21" t="n">
        <v>18.199</v>
      </c>
      <c r="N37" s="22" t="n">
        <f aca="false">H37+I37</f>
        <v>7.231</v>
      </c>
      <c r="O37" s="22" t="n">
        <f aca="false">J37+K37</f>
        <v>11.856</v>
      </c>
      <c r="P37" s="22" t="n">
        <f aca="false">L37+M37</f>
        <v>27.759</v>
      </c>
      <c r="Q37" s="22" t="n">
        <f aca="false">J37+K37+L37+M37</f>
        <v>39.615</v>
      </c>
      <c r="R37" s="8" t="s">
        <v>28</v>
      </c>
      <c r="S37" s="8" t="s">
        <v>545</v>
      </c>
    </row>
    <row r="38" customFormat="false" ht="17.15" hidden="false" customHeight="false" outlineLevel="0" collapsed="false">
      <c r="A38" s="5" t="s">
        <v>549</v>
      </c>
      <c r="B38" s="0" t="s">
        <v>86</v>
      </c>
      <c r="C38" s="21" t="n">
        <v>30.425</v>
      </c>
      <c r="D38" s="21" t="n">
        <v>59.248</v>
      </c>
      <c r="E38" s="21" t="n">
        <v>77.67</v>
      </c>
      <c r="F38" s="21" t="n">
        <v>15.328</v>
      </c>
      <c r="G38" s="21" t="n">
        <v>20.004</v>
      </c>
      <c r="H38" s="21" t="n">
        <v>17.127</v>
      </c>
      <c r="I38" s="21" t="n">
        <v>18.164</v>
      </c>
      <c r="J38" s="21" t="n">
        <v>21.187</v>
      </c>
      <c r="K38" s="21" t="n">
        <v>21.192</v>
      </c>
      <c r="L38" s="21" t="n">
        <v>30.255</v>
      </c>
      <c r="M38" s="21" t="n">
        <v>62.647</v>
      </c>
      <c r="N38" s="22" t="n">
        <f aca="false">H38+I38</f>
        <v>35.291</v>
      </c>
      <c r="O38" s="22" t="n">
        <f aca="false">J38+K38</f>
        <v>42.379</v>
      </c>
      <c r="P38" s="22" t="n">
        <f aca="false">L38+M38</f>
        <v>92.902</v>
      </c>
      <c r="Q38" s="22" t="n">
        <f aca="false">J38+K38+L38+M38</f>
        <v>135.281</v>
      </c>
      <c r="R38" s="8" t="s">
        <v>28</v>
      </c>
      <c r="S38" s="8" t="s">
        <v>545</v>
      </c>
    </row>
    <row r="39" customFormat="false" ht="17.15" hidden="false" customHeight="false" outlineLevel="0" collapsed="false">
      <c r="A39" s="5" t="s">
        <v>550</v>
      </c>
      <c r="B39" s="0" t="s">
        <v>86</v>
      </c>
      <c r="C39" s="23" t="n">
        <f aca="false">IF(AND(ISNUMBER(C36),ISNUMBER(C34)),C36-C25+C34,"")</f>
        <v>3.88700000000001</v>
      </c>
      <c r="D39" s="23" t="n">
        <f aca="false">IF(AND(ISNUMBER(D36),ISNUMBER(D34)),D36-D25+D34,"")</f>
        <v>2.427</v>
      </c>
      <c r="E39" s="23" t="n">
        <f aca="false">IF(AND(ISNUMBER(E36),ISNUMBER(E34)),E36-E25+E34,"")</f>
        <v>19.61</v>
      </c>
      <c r="F39" s="23" t="n">
        <f aca="false">IF(AND(ISNUMBER(F36),ISNUMBER(F34)),F36-F25+F34,"")</f>
        <v>1.229</v>
      </c>
      <c r="G39" s="23" t="n">
        <f aca="false">IF(AND(ISNUMBER(G36),ISNUMBER(G34)),G36-G25+G34,"")</f>
        <v>1.716</v>
      </c>
      <c r="H39" s="23" t="n">
        <f aca="false">IF(AND(ISNUMBER(H36),ISNUMBER(H34)),H36-H25+H34,"")</f>
        <v>3.815</v>
      </c>
      <c r="I39" s="23" t="n">
        <f aca="false">IF(AND(ISNUMBER(I36),ISNUMBER(I34)),I36-I25+I34,"")</f>
        <v>2.202</v>
      </c>
      <c r="J39" s="23" t="n">
        <f aca="false">IF(AND(ISNUMBER(J36),ISNUMBER(J34)),J36-J25+J34,"")</f>
        <v>11.286</v>
      </c>
      <c r="K39" s="23" t="n">
        <f aca="false">IF(AND(ISNUMBER(K36),ISNUMBER(K34)),K36-K25+K34,"")</f>
        <v>2.307</v>
      </c>
      <c r="L39" s="23" t="n">
        <f aca="false">IF(AND(ISNUMBER(L36),ISNUMBER(L34)),L36-L25+L34,"")</f>
        <v>16.782</v>
      </c>
      <c r="M39" s="23" t="n">
        <f aca="false">IF(AND(ISNUMBER(M36),ISNUMBER(M34)),M36-M25+M34,"")</f>
        <v>54.71</v>
      </c>
      <c r="N39" s="23" t="n">
        <f aca="false">IF(AND(ISNUMBER(N36),ISNUMBER(N34)),N36-N25+N34,"")</f>
        <v>6.017</v>
      </c>
      <c r="O39" s="23" t="n">
        <f aca="false">IF(AND(ISNUMBER(O36),ISNUMBER(O34)),O36-O25+O34,"")</f>
        <v>13.593</v>
      </c>
      <c r="P39" s="23" t="n">
        <f aca="false">IF(AND(ISNUMBER(P36),ISNUMBER(P34)),P36-P25+P34,"")</f>
        <v>71.492</v>
      </c>
      <c r="Q39" s="23" t="n">
        <f aca="false">IF(AND(ISNUMBER(Q36),ISNUMBER(Q34)),Q36-Q25+Q34,"")</f>
        <v>85.085</v>
      </c>
      <c r="R39" s="8" t="s">
        <v>41</v>
      </c>
    </row>
    <row r="40" customFormat="false" ht="15" hidden="false" customHeight="false" outlineLevel="0" collapsed="false">
      <c r="A40" s="5" t="s">
        <v>551</v>
      </c>
      <c r="B40" s="0" t="s">
        <v>86</v>
      </c>
      <c r="C40" s="27" t="n">
        <f aca="false">C37/C36</f>
        <v>0.189578507335517</v>
      </c>
      <c r="D40" s="27" t="n">
        <f aca="false">D37/D36</f>
        <v>0.135030751741627</v>
      </c>
      <c r="E40" s="27" t="n">
        <f aca="false">E37/E36</f>
        <v>0.196144320785934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8" t="s">
        <v>41</v>
      </c>
    </row>
    <row r="41" customFormat="false" ht="15" hidden="false" customHeight="false" outlineLevel="0" collapsed="false">
      <c r="A41" s="5" t="s">
        <v>552</v>
      </c>
      <c r="B41" s="5" t="s">
        <v>33</v>
      </c>
      <c r="C41" s="21" t="n">
        <v>10.492</v>
      </c>
      <c r="D41" s="21" t="n">
        <v>10.721</v>
      </c>
      <c r="E41" s="21" t="n">
        <v>10.827</v>
      </c>
      <c r="F41" s="21" t="n">
        <v>10.735</v>
      </c>
      <c r="G41" s="22"/>
      <c r="H41" s="21" t="n">
        <v>10.793</v>
      </c>
      <c r="I41" s="21" t="n">
        <v>10.806</v>
      </c>
      <c r="J41" s="21" t="n">
        <v>10.845</v>
      </c>
      <c r="K41" s="22"/>
      <c r="L41" s="21" t="n">
        <v>10.874</v>
      </c>
      <c r="M41" s="21" t="n">
        <v>10.903</v>
      </c>
      <c r="N41" s="22"/>
      <c r="O41" s="22"/>
      <c r="P41" s="22"/>
      <c r="Q41" s="22"/>
      <c r="R41" s="8" t="s">
        <v>28</v>
      </c>
      <c r="S41" s="8" t="s">
        <v>349</v>
      </c>
    </row>
    <row r="42" customFormat="false" ht="17.15" hidden="false" customHeight="false" outlineLevel="0" collapsed="false">
      <c r="A42" s="5" t="s">
        <v>553</v>
      </c>
      <c r="B42" s="0" t="s">
        <v>27</v>
      </c>
      <c r="C42" s="29" t="n">
        <f aca="false">IF(ISNUMBER(C41),C38/C41,"")</f>
        <v>2.89982844071674</v>
      </c>
      <c r="D42" s="29" t="n">
        <f aca="false">IF(ISNUMBER(D41),D38/D41,"")</f>
        <v>5.52635015390355</v>
      </c>
      <c r="E42" s="29" t="n">
        <f aca="false">IF(ISNUMBER(E41),E38/E41,"")</f>
        <v>7.1737323358271</v>
      </c>
      <c r="F42" s="29" t="n">
        <f aca="false">IF(ISNUMBER(F41),F38/F41,"")</f>
        <v>1.42785281788542</v>
      </c>
      <c r="G42" s="29" t="str">
        <f aca="false">IF(ISNUMBER(G41),G38/G41,"")</f>
        <v/>
      </c>
      <c r="H42" s="29" t="n">
        <f aca="false">IF(ISNUMBER(H41),H38/H41,"")</f>
        <v>1.58686185490596</v>
      </c>
      <c r="I42" s="29" t="n">
        <f aca="false">IF(ISNUMBER(I41),I38/I41,"")</f>
        <v>1.68091800851379</v>
      </c>
      <c r="J42" s="29" t="n">
        <f aca="false">IF(ISNUMBER(J41),J38/J41,"")</f>
        <v>1.95361917934532</v>
      </c>
      <c r="K42" s="29" t="str">
        <f aca="false">IF(ISNUMBER(K41),K38/K41,"")</f>
        <v/>
      </c>
      <c r="L42" s="29" t="n">
        <f aca="false">IF(ISNUMBER(L41),L38/L41,"")</f>
        <v>2.78232481147692</v>
      </c>
      <c r="M42" s="29" t="n">
        <f aca="false">IF(ISNUMBER(M41),M38/M41,"")</f>
        <v>5.74584976611942</v>
      </c>
      <c r="N42" s="30"/>
      <c r="O42" s="30"/>
      <c r="P42" s="30"/>
      <c r="Q42" s="30"/>
      <c r="R42" s="8" t="s">
        <v>41</v>
      </c>
    </row>
    <row r="43" customFormat="false" ht="17.15" hidden="false" customHeight="false" outlineLevel="0" collapsed="false">
      <c r="A43" s="1" t="s">
        <v>554</v>
      </c>
    </row>
    <row r="44" customFormat="false" ht="17.15" hidden="false" customHeight="false" outlineLevel="0" collapsed="false">
      <c r="A44" s="5" t="s">
        <v>555</v>
      </c>
      <c r="B44" s="0" t="s">
        <v>86</v>
      </c>
      <c r="C44" s="21" t="n">
        <v>84.946</v>
      </c>
      <c r="D44" s="21" t="n">
        <v>115.877</v>
      </c>
      <c r="E44" s="21" t="n">
        <v>139.514</v>
      </c>
      <c r="F44" s="21" t="n">
        <v>25.971</v>
      </c>
      <c r="G44" s="21" t="n">
        <v>45.636</v>
      </c>
      <c r="H44" s="21" t="n">
        <v>17.015</v>
      </c>
      <c r="I44" s="21" t="n">
        <v>32.515</v>
      </c>
      <c r="J44" s="21" t="n">
        <v>35.525</v>
      </c>
      <c r="K44" s="21" t="n">
        <v>54.459</v>
      </c>
      <c r="L44" s="21" t="n">
        <v>26.032</v>
      </c>
      <c r="M44" s="21" t="n">
        <v>45.387</v>
      </c>
      <c r="N44" s="22" t="n">
        <f aca="false">H44+I44</f>
        <v>49.53</v>
      </c>
      <c r="O44" s="22" t="n">
        <f aca="false">J44+K44</f>
        <v>89.984</v>
      </c>
      <c r="P44" s="22" t="n">
        <f aca="false">L44+M44</f>
        <v>71.419</v>
      </c>
      <c r="Q44" s="22" t="n">
        <f aca="false">J44+K44+L44+M44</f>
        <v>161.403</v>
      </c>
      <c r="R44" s="8" t="s">
        <v>28</v>
      </c>
      <c r="S44" s="8" t="s">
        <v>556</v>
      </c>
    </row>
    <row r="45" customFormat="false" ht="17.15" hidden="false" customHeight="false" outlineLevel="0" collapsed="false">
      <c r="A45" s="5" t="s">
        <v>557</v>
      </c>
      <c r="B45" s="0" t="s">
        <v>86</v>
      </c>
      <c r="C45" s="21" t="n">
        <v>52.729</v>
      </c>
      <c r="D45" s="21" t="n">
        <v>82.999</v>
      </c>
      <c r="E45" s="21" t="n">
        <v>131.819</v>
      </c>
      <c r="F45" s="21" t="n">
        <v>22.62</v>
      </c>
      <c r="G45" s="21" t="n">
        <v>27.834</v>
      </c>
      <c r="H45" s="21" t="n">
        <v>25.019</v>
      </c>
      <c r="I45" s="21" t="n">
        <v>32.183</v>
      </c>
      <c r="J45" s="21" t="n">
        <v>35.095</v>
      </c>
      <c r="K45" s="21" t="n">
        <v>39.522</v>
      </c>
      <c r="L45" s="21" t="n">
        <v>44.203</v>
      </c>
      <c r="M45" s="21" t="n">
        <v>54.208</v>
      </c>
      <c r="N45" s="22" t="n">
        <f aca="false">H45+I45</f>
        <v>57.202</v>
      </c>
      <c r="O45" s="22" t="n">
        <f aca="false">J45+K45</f>
        <v>74.617</v>
      </c>
      <c r="P45" s="22" t="n">
        <f aca="false">L45+M45</f>
        <v>98.411</v>
      </c>
      <c r="Q45" s="22" t="n">
        <f aca="false">J45+K45+L45+M45</f>
        <v>173.028</v>
      </c>
      <c r="R45" s="8" t="s">
        <v>28</v>
      </c>
      <c r="S45" s="8" t="s">
        <v>545</v>
      </c>
    </row>
    <row r="46" customFormat="false" ht="15" hidden="false" customHeight="false" outlineLevel="0" collapsed="false">
      <c r="A46" s="5" t="s">
        <v>558</v>
      </c>
      <c r="B46" s="0" t="s">
        <v>86</v>
      </c>
      <c r="C46" s="21" t="n">
        <v>48.133</v>
      </c>
      <c r="D46" s="21" t="n">
        <v>77.658</v>
      </c>
      <c r="E46" s="21" t="n">
        <v>128.32</v>
      </c>
      <c r="F46" s="21" t="n">
        <v>21.278</v>
      </c>
      <c r="G46" s="21" t="n">
        <v>26.052</v>
      </c>
      <c r="H46" s="21" t="n">
        <v>24.255</v>
      </c>
      <c r="I46" s="21" t="n">
        <v>31.368</v>
      </c>
      <c r="J46" s="21" t="n">
        <v>34.228</v>
      </c>
      <c r="K46" s="21" t="n">
        <v>38.469</v>
      </c>
      <c r="L46" s="21" t="n">
        <v>43.234</v>
      </c>
      <c r="M46" s="21" t="n">
        <v>53.076</v>
      </c>
      <c r="N46" s="22" t="n">
        <f aca="false">H46+I46</f>
        <v>55.623</v>
      </c>
      <c r="O46" s="22" t="n">
        <f aca="false">J46+K46</f>
        <v>72.697</v>
      </c>
      <c r="P46" s="22" t="n">
        <f aca="false">L46+M46</f>
        <v>96.31</v>
      </c>
      <c r="Q46" s="22" t="n">
        <f aca="false">J46+K46+L46+M46</f>
        <v>169.007</v>
      </c>
      <c r="R46" s="8" t="s">
        <v>41</v>
      </c>
      <c r="S46" s="5" t="s">
        <v>559</v>
      </c>
    </row>
    <row r="47" customFormat="false" ht="17.15" hidden="false" customHeight="false" outlineLevel="0" collapsed="false">
      <c r="A47" s="5" t="s">
        <v>560</v>
      </c>
      <c r="B47" s="0" t="s">
        <v>86</v>
      </c>
      <c r="C47" s="21" t="n">
        <v>48.663</v>
      </c>
      <c r="D47" s="21" t="n">
        <v>52.795</v>
      </c>
      <c r="E47" s="21" t="n">
        <v>65.756</v>
      </c>
      <c r="F47" s="21" t="n">
        <v>13.442</v>
      </c>
      <c r="G47" s="21" t="n">
        <v>15.631</v>
      </c>
      <c r="H47" s="21" t="n">
        <v>14.262</v>
      </c>
      <c r="I47" s="21" t="n">
        <v>15.227</v>
      </c>
      <c r="J47" s="21" t="n">
        <v>16.796</v>
      </c>
      <c r="K47" s="21" t="n">
        <v>19.471</v>
      </c>
      <c r="L47" s="21" t="n">
        <v>18.945</v>
      </c>
      <c r="M47" s="21" t="n">
        <v>19.988</v>
      </c>
      <c r="N47" s="22" t="n">
        <f aca="false">H47+I47</f>
        <v>29.489</v>
      </c>
      <c r="O47" s="22" t="n">
        <f aca="false">J47+K47</f>
        <v>36.267</v>
      </c>
      <c r="P47" s="22" t="n">
        <f aca="false">L47+M47</f>
        <v>38.933</v>
      </c>
      <c r="Q47" s="22" t="n">
        <f aca="false">J47+K47+L47+M47</f>
        <v>75.2</v>
      </c>
      <c r="R47" s="8" t="s">
        <v>28</v>
      </c>
      <c r="S47" s="8" t="s">
        <v>545</v>
      </c>
    </row>
    <row r="48" customFormat="false" ht="17.15" hidden="false" customHeight="false" outlineLevel="0" collapsed="false">
      <c r="A48" s="5" t="s">
        <v>561</v>
      </c>
      <c r="B48" s="0" t="s">
        <v>86</v>
      </c>
      <c r="C48" s="21" t="n">
        <v>24.023</v>
      </c>
      <c r="D48" s="21" t="n">
        <v>22.011</v>
      </c>
      <c r="E48" s="21" t="n">
        <v>19.467</v>
      </c>
      <c r="F48" s="21" t="n">
        <v>5.333</v>
      </c>
      <c r="G48" s="21" t="n">
        <v>4.995</v>
      </c>
      <c r="H48" s="21" t="n">
        <v>3.689</v>
      </c>
      <c r="I48" s="21" t="n">
        <v>6.534</v>
      </c>
      <c r="J48" s="21" t="n">
        <v>4.847</v>
      </c>
      <c r="K48" s="21" t="n">
        <v>4.397</v>
      </c>
      <c r="L48" s="21" t="n">
        <v>4.032</v>
      </c>
      <c r="M48" s="21" t="n">
        <v>6.038</v>
      </c>
      <c r="N48" s="22" t="n">
        <f aca="false">H48+I48</f>
        <v>10.223</v>
      </c>
      <c r="O48" s="22" t="n">
        <f aca="false">J48+K48</f>
        <v>9.244</v>
      </c>
      <c r="P48" s="22" t="n">
        <f aca="false">L48+M48</f>
        <v>10.07</v>
      </c>
      <c r="Q48" s="22" t="n">
        <f aca="false">J48+K48+L48+M48</f>
        <v>19.314</v>
      </c>
      <c r="R48" s="8" t="s">
        <v>28</v>
      </c>
      <c r="S48" s="8" t="s">
        <v>545</v>
      </c>
    </row>
    <row r="49" customFormat="false" ht="15" hidden="false" customHeight="false" outlineLevel="0" collapsed="false">
      <c r="A49" s="5" t="s">
        <v>562</v>
      </c>
      <c r="B49" s="0" t="s">
        <v>86</v>
      </c>
      <c r="C49" s="23" t="n">
        <f aca="false">C44-C46</f>
        <v>36.813</v>
      </c>
      <c r="D49" s="23" t="n">
        <f aca="false">D44-D46</f>
        <v>38.219</v>
      </c>
      <c r="E49" s="23" t="n">
        <f aca="false">E44-E46</f>
        <v>11.194</v>
      </c>
      <c r="F49" s="23" t="n">
        <f aca="false">F44-F46</f>
        <v>4.693</v>
      </c>
      <c r="G49" s="23" t="n">
        <f aca="false">G44-G46</f>
        <v>19.584</v>
      </c>
      <c r="H49" s="23" t="n">
        <f aca="false">H44-H46</f>
        <v>-7.24</v>
      </c>
      <c r="I49" s="23" t="n">
        <f aca="false">I44-I46</f>
        <v>1.147</v>
      </c>
      <c r="J49" s="23" t="n">
        <f aca="false">J44-J46</f>
        <v>1.297</v>
      </c>
      <c r="K49" s="23" t="n">
        <f aca="false">K44-K46</f>
        <v>15.99</v>
      </c>
      <c r="L49" s="23" t="n">
        <f aca="false">L44-L46</f>
        <v>-17.202</v>
      </c>
      <c r="M49" s="23" t="n">
        <f aca="false">M44-M46</f>
        <v>-7.689</v>
      </c>
      <c r="N49" s="23" t="n">
        <f aca="false">N44-N46</f>
        <v>-6.093</v>
      </c>
      <c r="O49" s="23" t="n">
        <f aca="false">O44-O46</f>
        <v>17.287</v>
      </c>
      <c r="P49" s="23" t="n">
        <f aca="false">P44-P46</f>
        <v>-24.891</v>
      </c>
      <c r="Q49" s="23" t="n">
        <f aca="false">Q44-Q46</f>
        <v>-7.60399999999999</v>
      </c>
      <c r="R49" s="8" t="s">
        <v>41</v>
      </c>
    </row>
    <row r="50" customFormat="false" ht="15" hidden="false" customHeight="false" outlineLevel="0" collapsed="false">
      <c r="A50" s="5" t="s">
        <v>563</v>
      </c>
      <c r="B50" s="0" t="s">
        <v>86</v>
      </c>
      <c r="C50" s="21" t="n">
        <v>4.384</v>
      </c>
      <c r="D50" s="21" t="n">
        <v>2.043</v>
      </c>
      <c r="E50" s="21" t="n">
        <v>1.557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8" t="s">
        <v>28</v>
      </c>
      <c r="S50" s="8" t="s">
        <v>82</v>
      </c>
    </row>
    <row r="51" customFormat="false" ht="15" hidden="false" customHeight="false" outlineLevel="0" collapsed="false">
      <c r="A51" s="5" t="s">
        <v>564</v>
      </c>
      <c r="B51" s="0" t="s">
        <v>86</v>
      </c>
      <c r="C51" s="21" t="n">
        <v>0</v>
      </c>
      <c r="D51" s="21" t="n">
        <v>0</v>
      </c>
      <c r="E51" s="21" t="n">
        <v>0</v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1" t="n">
        <v>0</v>
      </c>
      <c r="Q51" s="22"/>
      <c r="R51" s="8" t="s">
        <v>28</v>
      </c>
      <c r="S51" s="8" t="s">
        <v>82</v>
      </c>
    </row>
    <row r="52" customFormat="false" ht="15" hidden="false" customHeight="false" outlineLevel="0" collapsed="false">
      <c r="A52" s="5" t="s">
        <v>565</v>
      </c>
      <c r="B52" s="0" t="s">
        <v>86</v>
      </c>
      <c r="C52" s="21" t="n">
        <v>0</v>
      </c>
      <c r="D52" s="21" t="n">
        <v>0</v>
      </c>
      <c r="E52" s="21" t="n">
        <v>0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1" t="n">
        <v>0</v>
      </c>
      <c r="Q52" s="22"/>
      <c r="R52" s="8" t="s">
        <v>28</v>
      </c>
      <c r="S52" s="8" t="s">
        <v>82</v>
      </c>
    </row>
    <row r="53" customFormat="false" ht="17.15" hidden="false" customHeight="false" outlineLevel="0" collapsed="false">
      <c r="A53" s="5" t="s">
        <v>566</v>
      </c>
      <c r="B53" s="0" t="s">
        <v>86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1" t="n">
        <v>39.767</v>
      </c>
      <c r="Q53" s="22"/>
      <c r="R53" s="8" t="s">
        <v>28</v>
      </c>
      <c r="S53" s="8" t="s">
        <v>34</v>
      </c>
    </row>
    <row r="54" customFormat="false" ht="17.15" hidden="false" customHeight="false" outlineLevel="0" collapsed="false">
      <c r="A54" s="1" t="s">
        <v>567</v>
      </c>
    </row>
    <row r="55" customFormat="false" ht="17.15" hidden="false" customHeight="false" outlineLevel="0" collapsed="false">
      <c r="A55" s="0" t="s">
        <v>568</v>
      </c>
      <c r="B55" s="0" t="s">
        <v>86</v>
      </c>
      <c r="C55" s="21" t="n">
        <v>17.529</v>
      </c>
      <c r="D55" s="21" t="n">
        <v>24.348</v>
      </c>
      <c r="E55" s="21" t="n">
        <v>35.919</v>
      </c>
      <c r="F55" s="22"/>
      <c r="G55" s="22"/>
      <c r="H55" s="22"/>
      <c r="I55" s="22"/>
      <c r="J55" s="22"/>
      <c r="K55" s="22"/>
      <c r="L55" s="22"/>
      <c r="M55" s="21"/>
      <c r="N55" s="22"/>
      <c r="O55" s="22"/>
      <c r="P55" s="21" t="n">
        <v>23.265</v>
      </c>
      <c r="Q55" s="22"/>
      <c r="R55" s="8" t="s">
        <v>28</v>
      </c>
      <c r="S55" s="8" t="s">
        <v>569</v>
      </c>
    </row>
    <row r="56" customFormat="false" ht="17.15" hidden="false" customHeight="false" outlineLevel="0" collapsed="false">
      <c r="A56" s="0" t="s">
        <v>570</v>
      </c>
      <c r="B56" s="0" t="s">
        <v>86</v>
      </c>
      <c r="C56" s="21" t="n">
        <v>4.144</v>
      </c>
      <c r="D56" s="21" t="n">
        <v>6.643</v>
      </c>
      <c r="E56" s="21" t="n">
        <v>7.617</v>
      </c>
      <c r="F56" s="22"/>
      <c r="G56" s="22"/>
      <c r="H56" s="22"/>
      <c r="I56" s="22"/>
      <c r="J56" s="22"/>
      <c r="K56" s="22"/>
      <c r="L56" s="22"/>
      <c r="M56" s="21"/>
      <c r="N56" s="22"/>
      <c r="O56" s="22"/>
      <c r="P56" s="21" t="n">
        <v>4.267</v>
      </c>
      <c r="Q56" s="22"/>
      <c r="R56" s="8" t="s">
        <v>28</v>
      </c>
      <c r="S56" s="8" t="s">
        <v>569</v>
      </c>
    </row>
    <row r="57" customFormat="false" ht="17.15" hidden="false" customHeight="false" outlineLevel="0" collapsed="false">
      <c r="A57" s="0" t="s">
        <v>571</v>
      </c>
      <c r="B57" s="0" t="s">
        <v>86</v>
      </c>
      <c r="C57" s="21" t="n">
        <v>24.843</v>
      </c>
      <c r="D57" s="21" t="n">
        <v>53.267</v>
      </c>
      <c r="E57" s="21" t="n">
        <v>96.496</v>
      </c>
      <c r="F57" s="22"/>
      <c r="G57" s="22"/>
      <c r="H57" s="22"/>
      <c r="I57" s="22"/>
      <c r="J57" s="22"/>
      <c r="K57" s="22"/>
      <c r="L57" s="22"/>
      <c r="M57" s="21"/>
      <c r="N57" s="22"/>
      <c r="O57" s="22"/>
      <c r="P57" s="21" t="n">
        <v>90.12</v>
      </c>
      <c r="Q57" s="22"/>
      <c r="R57" s="8" t="s">
        <v>28</v>
      </c>
      <c r="S57" s="8" t="s">
        <v>569</v>
      </c>
    </row>
    <row r="58" customFormat="false" ht="17.15" hidden="false" customHeight="false" outlineLevel="0" collapsed="false">
      <c r="A58" s="5" t="s">
        <v>572</v>
      </c>
      <c r="B58" s="0" t="s">
        <v>86</v>
      </c>
      <c r="C58" s="21" t="n">
        <v>1.828</v>
      </c>
      <c r="D58" s="21" t="n">
        <v>1.494</v>
      </c>
      <c r="E58" s="21" t="n">
        <v>2.32</v>
      </c>
      <c r="F58" s="22"/>
      <c r="G58" s="22"/>
      <c r="H58" s="22"/>
      <c r="I58" s="22"/>
      <c r="J58" s="22"/>
      <c r="K58" s="22"/>
      <c r="L58" s="22"/>
      <c r="M58" s="21"/>
      <c r="N58" s="22"/>
      <c r="O58" s="22"/>
      <c r="P58" s="21" t="n">
        <v>0.996</v>
      </c>
      <c r="Q58" s="22"/>
      <c r="R58" s="8" t="s">
        <v>28</v>
      </c>
      <c r="S58" s="8" t="s">
        <v>569</v>
      </c>
    </row>
    <row r="59" customFormat="false" ht="17.15" hidden="false" customHeight="false" outlineLevel="0" collapsed="false">
      <c r="A59" s="0" t="s">
        <v>573</v>
      </c>
      <c r="B59" s="0" t="s">
        <v>86</v>
      </c>
      <c r="C59" s="21" t="n">
        <v>48.344</v>
      </c>
      <c r="D59" s="21" t="n">
        <v>85.752</v>
      </c>
      <c r="E59" s="21" t="n">
        <v>142.352</v>
      </c>
      <c r="F59" s="22"/>
      <c r="G59" s="22"/>
      <c r="H59" s="22"/>
      <c r="I59" s="22"/>
      <c r="J59" s="22"/>
      <c r="K59" s="22"/>
      <c r="L59" s="22"/>
      <c r="M59" s="21"/>
      <c r="N59" s="22"/>
      <c r="O59" s="22"/>
      <c r="P59" s="21" t="n">
        <v>118.648</v>
      </c>
      <c r="Q59" s="22"/>
      <c r="R59" s="8" t="s">
        <v>28</v>
      </c>
      <c r="S59" s="8" t="s">
        <v>569</v>
      </c>
    </row>
    <row r="60" customFormat="false" ht="17.15" hidden="false" customHeight="false" outlineLevel="0" collapsed="false">
      <c r="A60" s="1" t="s">
        <v>574</v>
      </c>
    </row>
    <row r="61" customFormat="false" ht="17.15" hidden="false" customHeight="false" outlineLevel="0" collapsed="false">
      <c r="A61" s="5" t="s">
        <v>575</v>
      </c>
      <c r="B61" s="0" t="s">
        <v>86</v>
      </c>
      <c r="C61" s="22"/>
      <c r="D61" s="22"/>
      <c r="E61" s="21" t="n">
        <v>123.029</v>
      </c>
      <c r="F61" s="22"/>
      <c r="G61" s="22"/>
      <c r="H61" s="22"/>
      <c r="I61" s="22"/>
      <c r="J61" s="22"/>
      <c r="K61" s="22"/>
      <c r="L61" s="22"/>
      <c r="M61" s="21" t="n">
        <v>122.988</v>
      </c>
      <c r="N61" s="22"/>
      <c r="O61" s="22"/>
      <c r="P61" s="22"/>
      <c r="Q61" s="22"/>
      <c r="R61" s="8" t="s">
        <v>28</v>
      </c>
      <c r="S61" s="8" t="s">
        <v>569</v>
      </c>
    </row>
    <row r="62" customFormat="false" ht="17.15" hidden="false" customHeight="false" outlineLevel="0" collapsed="false">
      <c r="A62" s="5" t="s">
        <v>576</v>
      </c>
      <c r="B62" s="0" t="s">
        <v>86</v>
      </c>
      <c r="C62" s="22"/>
      <c r="D62" s="22"/>
      <c r="E62" s="21" t="n">
        <v>68.836</v>
      </c>
      <c r="F62" s="22"/>
      <c r="G62" s="22"/>
      <c r="H62" s="22"/>
      <c r="I62" s="22"/>
      <c r="J62" s="22"/>
      <c r="K62" s="22"/>
      <c r="L62" s="22"/>
      <c r="M62" s="21" t="n">
        <v>132.995</v>
      </c>
      <c r="N62" s="22"/>
      <c r="O62" s="22"/>
      <c r="P62" s="22"/>
      <c r="Q62" s="22"/>
      <c r="R62" s="8" t="s">
        <v>28</v>
      </c>
      <c r="S62" s="8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577</v>
      </c>
    </row>
    <row r="2" customFormat="false" ht="17.15" hidden="false" customHeight="false" outlineLevel="0" collapsed="false">
      <c r="A2" s="5" t="s">
        <v>578</v>
      </c>
    </row>
    <row r="4" customFormat="false" ht="19.4" hidden="false" customHeight="false" outlineLevel="0" collapsed="false">
      <c r="A4" s="31" t="s">
        <v>579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497</v>
      </c>
      <c r="D5" s="20" t="s">
        <v>498</v>
      </c>
      <c r="E5" s="20" t="s">
        <v>580</v>
      </c>
      <c r="F5" s="20" t="s">
        <v>581</v>
      </c>
      <c r="G5" s="20" t="s">
        <v>582</v>
      </c>
      <c r="H5" s="20" t="s">
        <v>583</v>
      </c>
      <c r="I5" s="20" t="s">
        <v>584</v>
      </c>
      <c r="J5" s="20" t="s">
        <v>585</v>
      </c>
      <c r="K5" s="20" t="s">
        <v>586</v>
      </c>
      <c r="L5" s="20" t="s">
        <v>587</v>
      </c>
      <c r="M5" s="20" t="s">
        <v>588</v>
      </c>
      <c r="N5" s="20" t="s">
        <v>589</v>
      </c>
      <c r="O5" s="20" t="s">
        <v>590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591</v>
      </c>
    </row>
    <row r="7" customFormat="false" ht="17.15" hidden="false" customHeight="false" outlineLevel="0" collapsed="false">
      <c r="A7" s="5" t="s">
        <v>592</v>
      </c>
      <c r="B7" s="0" t="s">
        <v>144</v>
      </c>
      <c r="H7" s="32" t="n">
        <f aca="false">pace_A</f>
        <v>3733</v>
      </c>
      <c r="I7" s="32" t="n">
        <f aca="false">pace_A</f>
        <v>3733</v>
      </c>
      <c r="J7" s="32" t="n">
        <f aca="false">pace_A</f>
        <v>3733</v>
      </c>
      <c r="K7" s="32" t="n">
        <f aca="false">pace_A+(Thesis!$J$8*tg-pace_A)*1/3</f>
        <v>2640.12166666667</v>
      </c>
      <c r="L7" s="32" t="n">
        <f aca="false">pace_A+(Thesis!$J$8*tg-pace_A)*2/3</f>
        <v>1547.24333333333</v>
      </c>
      <c r="M7" s="32" t="n">
        <f aca="false">pace_A+(Thesis!$J$8*tg-pace_A)*3/3</f>
        <v>454.365</v>
      </c>
      <c r="P7" s="5" t="s">
        <v>593</v>
      </c>
    </row>
    <row r="8" customFormat="false" ht="17.15" hidden="false" customHeight="false" outlineLevel="0" collapsed="false">
      <c r="A8" s="15" t="s">
        <v>594</v>
      </c>
      <c r="B8" s="14" t="s">
        <v>129</v>
      </c>
      <c r="C8" s="33" t="n">
        <f aca="false">mw_ye24</f>
        <v>360</v>
      </c>
      <c r="D8" s="33" t="n">
        <f aca="false">mw_ye25</f>
        <v>1440</v>
      </c>
      <c r="E8" s="33" t="n">
        <f aca="false">mw_open</f>
        <v>2080</v>
      </c>
      <c r="F8" s="33" t="n">
        <f aca="false">Thesis!$E$8+pace_A*0.5</f>
        <v>3946.5</v>
      </c>
      <c r="G8" s="33" t="n">
        <f aca="false">Thesis!$F$8</f>
        <v>3946.5</v>
      </c>
      <c r="H8" s="33" t="n">
        <f aca="false">Thesis!$G$8+Thesis!$H$7</f>
        <v>7679.5</v>
      </c>
      <c r="I8" s="33" t="n">
        <f aca="false">Thesis!$H$8+Thesis!$I$7</f>
        <v>11412.5</v>
      </c>
      <c r="J8" s="33" t="n">
        <f aca="false">Thesis!$I$8+Thesis!$J$7</f>
        <v>15145.5</v>
      </c>
      <c r="K8" s="33" t="n">
        <f aca="false">Thesis!$J$8+Thesis!$K$7</f>
        <v>17785.6216666667</v>
      </c>
      <c r="L8" s="33" t="n">
        <f aca="false">Thesis!$K$8+Thesis!$L$7</f>
        <v>19332.865</v>
      </c>
      <c r="M8" s="33" t="n">
        <f aca="false">Thesis!$L$8+Thesis!$M$7</f>
        <v>19787.23</v>
      </c>
      <c r="N8" s="33" t="n">
        <f aca="false">(mw_ye24+mw_ye25)/2</f>
        <v>900</v>
      </c>
      <c r="O8" s="33" t="n">
        <f aca="false">mw_ye25</f>
        <v>1440</v>
      </c>
      <c r="P8" s="5" t="s">
        <v>595</v>
      </c>
    </row>
    <row r="9" customFormat="false" ht="17.15" hidden="false" customHeight="false" outlineLevel="0" collapsed="false">
      <c r="A9" s="5" t="s">
        <v>596</v>
      </c>
      <c r="B9" s="0" t="s">
        <v>129</v>
      </c>
      <c r="C9" s="32" t="n">
        <f aca="false">(mw_ye23+mw_ye24)/2</f>
        <v>240</v>
      </c>
      <c r="D9" s="32" t="n">
        <f aca="false">(Thesis!$C$8+Thesis!$D$8)/2</f>
        <v>900</v>
      </c>
      <c r="E9" s="32" t="n">
        <f aca="false">(Thesis!$D$8+Thesis!$E$8)/2</f>
        <v>1760</v>
      </c>
      <c r="F9" s="32" t="n">
        <f aca="false">(Thesis!$E$8+Thesis!$F$8)/2</f>
        <v>3013.25</v>
      </c>
      <c r="G9" s="32" t="n">
        <f aca="false">(Thesis!$E$9+Thesis!$F$9)/2</f>
        <v>2386.625</v>
      </c>
      <c r="H9" s="32" t="n">
        <f aca="false">(Thesis!$G$8+Thesis!$H$8)/2</f>
        <v>5813</v>
      </c>
      <c r="I9" s="32" t="n">
        <f aca="false">(Thesis!$H$8+Thesis!$I$8)/2</f>
        <v>9546</v>
      </c>
      <c r="J9" s="32" t="n">
        <f aca="false">(Thesis!$I$8+Thesis!$J$8)/2</f>
        <v>13279</v>
      </c>
      <c r="K9" s="32" t="n">
        <f aca="false">(Thesis!$J$8+Thesis!$K$8)/2</f>
        <v>16465.5608333333</v>
      </c>
      <c r="L9" s="32" t="n">
        <f aca="false">(Thesis!$K$8+Thesis!$L$8)/2</f>
        <v>18559.2433333333</v>
      </c>
      <c r="M9" s="32" t="n">
        <f aca="false">(Thesis!$L$8+Thesis!$M$8)/2</f>
        <v>19560.0475</v>
      </c>
      <c r="N9" s="32" t="n">
        <f aca="false">(Thesis!$C$8+Thesis!$N$8)/2</f>
        <v>630</v>
      </c>
      <c r="O9" s="32" t="n">
        <f aca="false">(Thesis!$N$8+Thesis!$O$8)/2</f>
        <v>1170</v>
      </c>
    </row>
    <row r="10" customFormat="false" ht="15" hidden="false" customHeight="false" outlineLevel="0" collapsed="false">
      <c r="A10" s="5" t="s">
        <v>597</v>
      </c>
      <c r="B10" s="5" t="s">
        <v>123</v>
      </c>
      <c r="C10" s="34" t="n">
        <v>1</v>
      </c>
      <c r="D10" s="34" t="n">
        <v>1</v>
      </c>
      <c r="E10" s="34" t="n">
        <v>0.5</v>
      </c>
      <c r="F10" s="34" t="n">
        <v>0.5</v>
      </c>
      <c r="G10" s="34" t="n">
        <v>1</v>
      </c>
      <c r="H10" s="34" t="n">
        <v>1</v>
      </c>
      <c r="I10" s="34" t="n">
        <v>1</v>
      </c>
      <c r="J10" s="34" t="n">
        <v>1</v>
      </c>
      <c r="K10" s="34" t="n">
        <v>1</v>
      </c>
      <c r="L10" s="34" t="n">
        <v>1</v>
      </c>
      <c r="M10" s="34" t="n">
        <v>1</v>
      </c>
      <c r="N10" s="34" t="n">
        <v>0.5</v>
      </c>
      <c r="O10" s="34" t="n">
        <v>0.5</v>
      </c>
    </row>
    <row r="11" customFormat="false" ht="17.15" hidden="false" customHeight="false" outlineLevel="0" collapsed="false">
      <c r="A11" s="5" t="s">
        <v>598</v>
      </c>
      <c r="B11" s="0" t="s">
        <v>129</v>
      </c>
      <c r="C11" s="32" t="n">
        <f aca="false">Thesis!$C$8-mw_ye23</f>
        <v>240</v>
      </c>
      <c r="D11" s="32" t="n">
        <f aca="false">Thesis!$D$8-Thesis!$C$8</f>
        <v>1080</v>
      </c>
      <c r="E11" s="32" t="n">
        <f aca="false">Thesis!$E$8-Thesis!$D$8</f>
        <v>640</v>
      </c>
      <c r="F11" s="32" t="n">
        <f aca="false">Thesis!$F$8-Thesis!$E$8</f>
        <v>1866.5</v>
      </c>
      <c r="G11" s="32" t="n">
        <f aca="false">Thesis!$E$11+Thesis!$F$11</f>
        <v>2506.5</v>
      </c>
      <c r="H11" s="32" t="n">
        <f aca="false">Thesis!$H$8-Thesis!$G$8</f>
        <v>3733</v>
      </c>
      <c r="I11" s="32" t="n">
        <f aca="false">Thesis!$I$8-Thesis!$H$8</f>
        <v>3733</v>
      </c>
      <c r="J11" s="32" t="n">
        <f aca="false">Thesis!$J$8-Thesis!$I$8</f>
        <v>3733</v>
      </c>
      <c r="K11" s="32" t="n">
        <f aca="false">Thesis!$K$8-Thesis!$J$8</f>
        <v>2640.12166666667</v>
      </c>
      <c r="L11" s="32" t="n">
        <f aca="false">Thesis!$L$8-Thesis!$K$8</f>
        <v>1547.24333333333</v>
      </c>
      <c r="M11" s="32" t="n">
        <f aca="false">Thesis!$M$8-Thesis!$L$8</f>
        <v>454.364999999998</v>
      </c>
      <c r="N11" s="32" t="n">
        <f aca="false">Thesis!$N$8-Thesis!$C$8</f>
        <v>540</v>
      </c>
      <c r="O11" s="32" t="n">
        <f aca="false">Thesis!$O$8-Thesis!$N$8</f>
        <v>540</v>
      </c>
    </row>
    <row r="12" customFormat="false" ht="17.15" hidden="false" customHeight="false" outlineLevel="0" collapsed="false">
      <c r="A12" s="5" t="s">
        <v>599</v>
      </c>
      <c r="B12" s="0" t="s">
        <v>129</v>
      </c>
      <c r="C12" s="32" t="n">
        <f aca="false">Thesis!$C$11/ext_sh</f>
        <v>300</v>
      </c>
      <c r="D12" s="32" t="n">
        <f aca="false">Thesis!$D$11/ext_sh</f>
        <v>1350</v>
      </c>
      <c r="E12" s="32" t="n">
        <f aca="false">Thesis!$E$11/ext_sh</f>
        <v>800</v>
      </c>
      <c r="F12" s="32" t="n">
        <f aca="false">Thesis!$F$11/ext_sh</f>
        <v>2333.125</v>
      </c>
      <c r="G12" s="32" t="n">
        <f aca="false">Thesis!$G$11/ext_sh</f>
        <v>3133.125</v>
      </c>
      <c r="H12" s="32" t="n">
        <f aca="false">Thesis!$H$11/ext_sh</f>
        <v>4666.25</v>
      </c>
      <c r="I12" s="32" t="n">
        <f aca="false">Thesis!$I$11/ext_sh</f>
        <v>4666.25</v>
      </c>
      <c r="J12" s="32" t="n">
        <f aca="false">Thesis!$J$11/ext_sh</f>
        <v>4666.25</v>
      </c>
      <c r="K12" s="32" t="n">
        <f aca="false">Thesis!$K$11/ext_sh</f>
        <v>3300.15208333333</v>
      </c>
      <c r="L12" s="32" t="n">
        <f aca="false">Thesis!$L$11/ext_sh</f>
        <v>1934.05416666667</v>
      </c>
      <c r="M12" s="32" t="n">
        <f aca="false">Thesis!$M$11/ext_sh</f>
        <v>567.956249999998</v>
      </c>
      <c r="N12" s="32" t="n">
        <f aca="false">Thesis!$N$11/ext_sh</f>
        <v>675</v>
      </c>
      <c r="O12" s="32" t="n">
        <f aca="false">Thesis!$O$11/ext_sh</f>
        <v>675</v>
      </c>
      <c r="P12" s="8" t="s">
        <v>600</v>
      </c>
      <c r="R12" s="32" t="n">
        <f aca="false">mw_ye23/ext_sh</f>
        <v>150</v>
      </c>
      <c r="S12" s="32" t="n">
        <f aca="false">Thesis!$C$12</f>
        <v>300</v>
      </c>
      <c r="T12" s="32" t="n">
        <f aca="false">Thesis!$D$12</f>
        <v>1350</v>
      </c>
      <c r="U12" s="32" t="n">
        <f aca="false">Thesis!$G$12</f>
        <v>3133.125</v>
      </c>
      <c r="V12" s="32" t="n">
        <f aca="false">Thesis!$H$12</f>
        <v>4666.25</v>
      </c>
      <c r="W12" s="32" t="n">
        <f aca="false">Thesis!$I$12</f>
        <v>4666.25</v>
      </c>
      <c r="X12" s="32" t="n">
        <f aca="false">Thesis!$J$12</f>
        <v>4666.25</v>
      </c>
      <c r="Y12" s="32" t="n">
        <f aca="false">Thesis!$K$12</f>
        <v>3300.15208333333</v>
      </c>
      <c r="Z12" s="32" t="n">
        <f aca="false">Thesis!$L$12</f>
        <v>1934.05416666667</v>
      </c>
      <c r="AA12" s="32" t="n">
        <f aca="false">Thesis!$M$12</f>
        <v>567.956249999998</v>
      </c>
    </row>
    <row r="13" customFormat="false" ht="17.15" hidden="false" customHeight="false" outlineLevel="0" collapsed="false">
      <c r="A13" s="1" t="s">
        <v>601</v>
      </c>
    </row>
    <row r="14" customFormat="false" ht="17.15" hidden="false" customHeight="false" outlineLevel="0" collapsed="false">
      <c r="A14" s="0" t="s">
        <v>602</v>
      </c>
      <c r="B14" s="0" t="s">
        <v>52</v>
      </c>
      <c r="F14" s="35" t="n">
        <f aca="false">na_vr26</f>
        <v>0</v>
      </c>
      <c r="G14" s="35" t="n">
        <f aca="false">na_vr26</f>
        <v>0</v>
      </c>
      <c r="H14" s="35" t="n">
        <f aca="false">na_vr27</f>
        <v>0.5</v>
      </c>
      <c r="I14" s="35" t="n">
        <f aca="false">na_vr28</f>
        <v>1</v>
      </c>
      <c r="J14" s="35" t="n">
        <f aca="false">na_vr28</f>
        <v>1</v>
      </c>
      <c r="K14" s="35" t="n">
        <f aca="false">na_vr28</f>
        <v>1</v>
      </c>
      <c r="L14" s="35" t="n">
        <f aca="false">na_vr28</f>
        <v>1</v>
      </c>
      <c r="M14" s="35" t="n">
        <f aca="false">na_vr28</f>
        <v>1</v>
      </c>
    </row>
    <row r="15" customFormat="false" ht="17.15" hidden="false" customHeight="false" outlineLevel="0" collapsed="false">
      <c r="A15" s="5" t="s">
        <v>603</v>
      </c>
      <c r="B15" s="0" t="s">
        <v>173</v>
      </c>
      <c r="F15" s="36" t="n">
        <f aca="false">cust_sh*tk_he_gb300*cf_chip+(1-cust_sh)*((1-Thesis!$F$14)*tk_he_gb300+Thesis!$F$14*tk_he_vr200)</f>
        <v>10.8864110021101</v>
      </c>
      <c r="G15" s="36" t="n">
        <f aca="false">cust_sh*tk_he_gb300*cf_chip+(1-cust_sh)*((1-Thesis!$G$14)*tk_he_gb300+Thesis!$G$14*tk_he_vr200)</f>
        <v>10.8864110021101</v>
      </c>
      <c r="H15" s="36" t="n">
        <f aca="false">cust_sh*tk_he_gb300*cf_chip+(1-cust_sh)*((1-Thesis!$H$14)*tk_he_gb300+Thesis!$H$14*tk_he_vr200)</f>
        <v>11.2211760027286</v>
      </c>
      <c r="I15" s="36" t="n">
        <f aca="false">cust_sh*tk_he_gb300*cf_chip+(1-cust_sh)*((1-Thesis!$I$14)*tk_he_gb300+Thesis!$I$14*tk_he_vr200)</f>
        <v>11.5559410033471</v>
      </c>
      <c r="J15" s="36" t="n">
        <f aca="false">cust_sh*tk_he_gb300*cf_chip+(1-cust_sh)*((1-Thesis!$J$14)*tk_he_gb300+Thesis!$J$14*tk_he_vr200)</f>
        <v>11.5559410033471</v>
      </c>
      <c r="K15" s="36" t="n">
        <f aca="false">cust_sh*tk_he_gb300*cf_chip+(1-cust_sh)*((1-Thesis!$K$14)*tk_he_gb300+Thesis!$K$14*tk_he_vr200)</f>
        <v>11.5559410033471</v>
      </c>
      <c r="L15" s="36" t="n">
        <f aca="false">cust_sh*tk_he_gb300*cf_chip+(1-cust_sh)*((1-Thesis!$L$14)*tk_he_gb300+Thesis!$L$14*tk_he_vr200)</f>
        <v>11.5559410033471</v>
      </c>
      <c r="M15" s="36" t="n">
        <f aca="false">cust_sh*tk_he_gb300*cf_chip+(1-cust_sh)*((1-Thesis!$M$14)*tk_he_gb300+Thesis!$M$14*tk_he_vr200)</f>
        <v>11.5559410033471</v>
      </c>
    </row>
    <row r="16" customFormat="false" ht="17.15" hidden="false" customHeight="false" outlineLevel="0" collapsed="false">
      <c r="A16" s="5" t="s">
        <v>604</v>
      </c>
      <c r="B16" s="0" t="s">
        <v>173</v>
      </c>
      <c r="F16" s="36" t="n">
        <f aca="false">cust_sh*tk_ox_gb300+(1-cust_sh)*((1-Thesis!$F$14)*tk_ox_gb300+Thesis!$F$14*tk_ox_vr200)</f>
        <v>1.98263481314457</v>
      </c>
      <c r="G16" s="36" t="n">
        <f aca="false">cust_sh*tk_ox_gb300+(1-cust_sh)*((1-Thesis!$G$14)*tk_ox_gb300+Thesis!$G$14*tk_ox_vr200)</f>
        <v>1.98263481314457</v>
      </c>
      <c r="H16" s="36" t="n">
        <f aca="false">cust_sh*tk_ox_gb300+(1-cust_sh)*((1-Thesis!$H$14)*tk_ox_gb300+Thesis!$H$14*tk_ox_vr200)</f>
        <v>2.01034999693694</v>
      </c>
      <c r="I16" s="36" t="n">
        <f aca="false">cust_sh*tk_ox_gb300+(1-cust_sh)*((1-Thesis!$I$14)*tk_ox_gb300+Thesis!$I$14*tk_ox_vr200)</f>
        <v>2.0380651807293</v>
      </c>
      <c r="J16" s="36" t="n">
        <f aca="false">cust_sh*tk_ox_gb300+(1-cust_sh)*((1-Thesis!$J$14)*tk_ox_gb300+Thesis!$J$14*tk_ox_vr200)</f>
        <v>2.0380651807293</v>
      </c>
      <c r="K16" s="36" t="n">
        <f aca="false">cust_sh*tk_ox_gb300+(1-cust_sh)*((1-Thesis!$K$14)*tk_ox_gb300+Thesis!$K$14*tk_ox_vr200)</f>
        <v>2.0380651807293</v>
      </c>
      <c r="L16" s="36" t="n">
        <f aca="false">cust_sh*tk_ox_gb300+(1-cust_sh)*((1-Thesis!$L$14)*tk_ox_gb300+Thesis!$L$14*tk_ox_vr200)</f>
        <v>2.0380651807293</v>
      </c>
      <c r="M16" s="36" t="n">
        <f aca="false">cust_sh*tk_ox_gb300+(1-cust_sh)*((1-Thesis!$M$14)*tk_ox_gb300+Thesis!$M$14*tk_ox_vr200)</f>
        <v>2.0380651807293</v>
      </c>
    </row>
    <row r="17" customFormat="false" ht="17.15" hidden="false" customHeight="false" outlineLevel="0" collapsed="false">
      <c r="A17" s="5" t="s">
        <v>605</v>
      </c>
      <c r="B17" s="0" t="s">
        <v>192</v>
      </c>
      <c r="F17" s="36" t="n">
        <f aca="false">cust_sh*tk_cx_gb300*cf_cx+(1-cust_sh)*((1-Thesis!$F$14)*tk_cx_gb300+Thesis!$F$14*tk_cx_vr200)</f>
        <v>32.237224</v>
      </c>
      <c r="G17" s="36" t="n">
        <f aca="false">cust_sh*tk_cx_gb300*cf_cx+(1-cust_sh)*((1-Thesis!$G$14)*tk_cx_gb300+Thesis!$G$14*tk_cx_vr200)</f>
        <v>32.237224</v>
      </c>
      <c r="H17" s="36" t="n">
        <f aca="false">cust_sh*tk_cx_gb300*cf_cx+(1-cust_sh)*((1-Thesis!$H$14)*tk_cx_gb300+Thesis!$H$14*tk_cx_vr200)</f>
        <v>33.574506</v>
      </c>
      <c r="I17" s="36" t="n">
        <f aca="false">cust_sh*tk_cx_gb300*cf_cx+(1-cust_sh)*((1-Thesis!$I$14)*tk_cx_gb300+Thesis!$I$14*tk_cx_vr200)</f>
        <v>34.911788</v>
      </c>
      <c r="J17" s="36" t="n">
        <f aca="false">cust_sh*tk_cx_gb300*cf_cx+(1-cust_sh)*((1-Thesis!$J$14)*tk_cx_gb300+Thesis!$J$14*tk_cx_vr200)</f>
        <v>34.911788</v>
      </c>
      <c r="K17" s="36" t="n">
        <f aca="false">cust_sh*tk_cx_gb300*cf_cx+(1-cust_sh)*((1-Thesis!$K$14)*tk_cx_gb300+Thesis!$K$14*tk_cx_vr200)</f>
        <v>34.911788</v>
      </c>
      <c r="L17" s="36" t="n">
        <f aca="false">cust_sh*tk_cx_gb300*cf_cx+(1-cust_sh)*((1-Thesis!$L$14)*tk_cx_gb300+Thesis!$L$14*tk_cx_vr200)</f>
        <v>34.911788</v>
      </c>
      <c r="M17" s="36" t="n">
        <f aca="false">cust_sh*tk_cx_gb300*cf_cx+(1-cust_sh)*((1-Thesis!$M$14)*tk_cx_gb300+Thesis!$M$14*tk_cx_vr200)</f>
        <v>34.911788</v>
      </c>
    </row>
    <row r="18" customFormat="false" ht="17.15" hidden="false" customHeight="false" outlineLevel="0" collapsed="false">
      <c r="A18" s="5" t="s">
        <v>606</v>
      </c>
      <c r="B18" s="0" t="s">
        <v>129</v>
      </c>
      <c r="F18" s="32" t="n">
        <f aca="false">Thesis!$F$8-mw_open</f>
        <v>1866.5</v>
      </c>
      <c r="G18" s="32" t="n">
        <f aca="false">Thesis!$F$18</f>
        <v>1866.5</v>
      </c>
      <c r="H18" s="32" t="n">
        <f aca="false">Thesis!$H$8-mw_open</f>
        <v>5599.5</v>
      </c>
      <c r="I18" s="32" t="n">
        <f aca="false">Thesis!$I$8-mw_open</f>
        <v>9332.5</v>
      </c>
      <c r="J18" s="32" t="n">
        <f aca="false">Thesis!$J$8-mw_open</f>
        <v>13065.5</v>
      </c>
      <c r="K18" s="32" t="n">
        <f aca="false">Thesis!$K$8-mw_open</f>
        <v>15705.6216666667</v>
      </c>
      <c r="L18" s="32" t="n">
        <f aca="false">Thesis!$L$8-mw_open</f>
        <v>17252.865</v>
      </c>
      <c r="M18" s="32" t="n">
        <f aca="false">Thesis!$M$8-mw_open</f>
        <v>17707.23</v>
      </c>
    </row>
    <row r="19" customFormat="false" ht="17.15" hidden="false" customHeight="false" outlineLevel="0" collapsed="false">
      <c r="A19" s="0" t="s">
        <v>607</v>
      </c>
      <c r="B19" s="0" t="s">
        <v>608</v>
      </c>
      <c r="F19" s="32" t="n">
        <f aca="false">Thesis!$F$11*Thesis!$F$15</f>
        <v>20319.4861354385</v>
      </c>
      <c r="G19" s="32" t="n">
        <f aca="false">Thesis!$F$19</f>
        <v>20319.4861354385</v>
      </c>
      <c r="H19" s="32" t="n">
        <f aca="false">Thesis!$G$19+Thesis!$H$11*Thesis!$H$15</f>
        <v>62208.1361536244</v>
      </c>
      <c r="I19" s="32" t="n">
        <f aca="false">Thesis!$H$19+Thesis!$I$11*Thesis!$I$15</f>
        <v>105346.463919119</v>
      </c>
      <c r="J19" s="32" t="n">
        <f aca="false">Thesis!$I$19+Thesis!$J$11*Thesis!$J$15</f>
        <v>148484.791684614</v>
      </c>
      <c r="K19" s="32" t="n">
        <f aca="false">Thesis!$J$19+Thesis!$K$11*Thesis!$K$15</f>
        <v>178993.881906272</v>
      </c>
      <c r="L19" s="32" t="n">
        <f aca="false">Thesis!$K$19+Thesis!$L$11*Thesis!$L$15</f>
        <v>196873.734584094</v>
      </c>
      <c r="M19" s="32" t="n">
        <f aca="false">Thesis!$L$19+Thesis!$M$11*Thesis!$M$15</f>
        <v>202124.34971808</v>
      </c>
    </row>
    <row r="20" customFormat="false" ht="17.15" hidden="false" customHeight="false" outlineLevel="0" collapsed="false">
      <c r="A20" s="0" t="s">
        <v>609</v>
      </c>
      <c r="B20" s="0" t="s">
        <v>608</v>
      </c>
      <c r="F20" s="32" t="n">
        <f aca="false">Thesis!$F$11*Thesis!$F$16</f>
        <v>3700.58787873434</v>
      </c>
      <c r="G20" s="32" t="n">
        <f aca="false">Thesis!$F$20</f>
        <v>3700.58787873434</v>
      </c>
      <c r="H20" s="32" t="n">
        <f aca="false">Thesis!$G$20+Thesis!$H$11*Thesis!$H$16</f>
        <v>11205.2244172999</v>
      </c>
      <c r="I20" s="32" t="n">
        <f aca="false">Thesis!$H$20+Thesis!$I$11*Thesis!$I$16</f>
        <v>18813.3217369624</v>
      </c>
      <c r="J20" s="32" t="n">
        <f aca="false">Thesis!$I$20+Thesis!$J$11*Thesis!$J$16</f>
        <v>26421.4190566249</v>
      </c>
      <c r="K20" s="32" t="n">
        <f aca="false">Thesis!$J$20+Thesis!$K$11*Thesis!$K$16</f>
        <v>31802.1590983472</v>
      </c>
      <c r="L20" s="32" t="n">
        <f aca="false">Thesis!$K$20+Thesis!$L$11*Thesis!$L$16</f>
        <v>34955.5418621294</v>
      </c>
      <c r="M20" s="32" t="n">
        <f aca="false">Thesis!$L$20+Thesis!$M$11*Thesis!$M$16</f>
        <v>35881.5673479715</v>
      </c>
    </row>
    <row r="21" customFormat="false" ht="17.15" hidden="false" customHeight="false" outlineLevel="0" collapsed="false">
      <c r="A21" s="5" t="s">
        <v>610</v>
      </c>
      <c r="B21" s="0" t="s">
        <v>173</v>
      </c>
      <c r="F21" s="36" t="n">
        <f aca="false">IF(Thesis!$F$18&gt;0,Thesis!$F$19/Thesis!$F$18,Thesis!$F$15)</f>
        <v>10.8864110021101</v>
      </c>
      <c r="G21" s="36" t="n">
        <f aca="false">IF(Thesis!$G$18&gt;0,Thesis!$G$19/Thesis!$G$18,Thesis!$G$15)</f>
        <v>10.8864110021101</v>
      </c>
      <c r="H21" s="36" t="n">
        <f aca="false">IF(Thesis!$H$18&gt;0,Thesis!$H$19/Thesis!$H$18,Thesis!$H$15)</f>
        <v>11.1095876691891</v>
      </c>
      <c r="I21" s="36" t="n">
        <f aca="false">IF(Thesis!$I$18&gt;0,Thesis!$I$19/Thesis!$I$18,Thesis!$I$15)</f>
        <v>11.2881290028523</v>
      </c>
      <c r="J21" s="36" t="n">
        <f aca="false">IF(Thesis!$J$18&gt;0,Thesis!$J$19/Thesis!$J$18,Thesis!$J$15)</f>
        <v>11.3646467172794</v>
      </c>
      <c r="K21" s="36" t="n">
        <f aca="false">IF(Thesis!$K$18&gt;0,Thesis!$K$19/Thesis!$K$18,Thesis!$K$15)</f>
        <v>11.3968033679409</v>
      </c>
      <c r="L21" s="36" t="n">
        <f aca="false">IF(Thesis!$L$18&gt;0,Thesis!$L$19/Thesis!$L$18,Thesis!$L$15)</f>
        <v>11.4110748901179</v>
      </c>
      <c r="M21" s="36" t="n">
        <f aca="false">IF(Thesis!$M$18&gt;0,Thesis!$M$19/Thesis!$M$18,Thesis!$M$15)</f>
        <v>11.4147921339521</v>
      </c>
    </row>
    <row r="22" customFormat="false" ht="17.15" hidden="false" customHeight="false" outlineLevel="0" collapsed="false">
      <c r="A22" s="5" t="s">
        <v>611</v>
      </c>
      <c r="B22" s="0" t="s">
        <v>173</v>
      </c>
      <c r="F22" s="36" t="n">
        <f aca="false">IF(Thesis!$F$18&gt;0,Thesis!$F$20/Thesis!$F$18,Thesis!$F$16)</f>
        <v>1.98263481314457</v>
      </c>
      <c r="G22" s="36" t="n">
        <f aca="false">IF(Thesis!$G$18&gt;0,Thesis!$G$20/Thesis!$G$18,Thesis!$G$16)</f>
        <v>1.98263481314457</v>
      </c>
      <c r="H22" s="36" t="n">
        <f aca="false">IF(Thesis!$H$18&gt;0,Thesis!$H$20/Thesis!$H$18,Thesis!$H$16)</f>
        <v>2.00111160233948</v>
      </c>
      <c r="I22" s="36" t="n">
        <f aca="false">IF(Thesis!$I$18&gt;0,Thesis!$I$20/Thesis!$I$18,Thesis!$I$16)</f>
        <v>2.01589303369541</v>
      </c>
      <c r="J22" s="36" t="n">
        <f aca="false">IF(Thesis!$J$18&gt;0,Thesis!$J$20/Thesis!$J$18,Thesis!$J$16)</f>
        <v>2.02222793284795</v>
      </c>
      <c r="K22" s="36" t="n">
        <f aca="false">IF(Thesis!$K$18&gt;0,Thesis!$K$20/Thesis!$K$18,Thesis!$K$16)</f>
        <v>2.02489018093716</v>
      </c>
      <c r="L22" s="36" t="n">
        <f aca="false">IF(Thesis!$L$18&gt;0,Thesis!$L$20/Thesis!$L$18,Thesis!$L$16)</f>
        <v>2.02607171980592</v>
      </c>
      <c r="M22" s="36" t="n">
        <f aca="false">IF(Thesis!$M$18&gt;0,Thesis!$M$20/Thesis!$M$18,Thesis!$M$16)</f>
        <v>2.02637947030515</v>
      </c>
    </row>
    <row r="23" customFormat="false" ht="17.15" hidden="false" customHeight="false" outlineLevel="0" collapsed="false">
      <c r="A23" s="15" t="s">
        <v>612</v>
      </c>
      <c r="B23" s="14" t="s">
        <v>173</v>
      </c>
      <c r="C23" s="14"/>
      <c r="D23" s="14"/>
      <c r="E23" s="14"/>
      <c r="F23" s="37" t="n">
        <f aca="false">Thesis!$F$21*k_A</f>
        <v>16.5292102673303</v>
      </c>
      <c r="G23" s="37" t="n">
        <f aca="false">Thesis!$G$21*k_A</f>
        <v>16.5292102673303</v>
      </c>
      <c r="H23" s="37" t="n">
        <f aca="false">Thesis!$H$21*k_A</f>
        <v>16.8680670362136</v>
      </c>
      <c r="I23" s="37" t="n">
        <f aca="false">Thesis!$I$21*k_A</f>
        <v>17.1391524513203</v>
      </c>
      <c r="J23" s="37" t="n">
        <f aca="false">Thesis!$J$21*k_A</f>
        <v>17.2553319149374</v>
      </c>
      <c r="K23" s="37" t="n">
        <f aca="false">Thesis!$K$21*k_A</f>
        <v>17.304156457771</v>
      </c>
      <c r="L23" s="37" t="n">
        <f aca="false">Thesis!$L$21*k_A</f>
        <v>17.3258253981457</v>
      </c>
      <c r="M23" s="37" t="n">
        <f aca="false">Thesis!$M$21*k_A</f>
        <v>17.3314694166324</v>
      </c>
      <c r="N23" s="14"/>
      <c r="O23" s="14"/>
      <c r="P23" s="5" t="s">
        <v>613</v>
      </c>
    </row>
    <row r="24" customFormat="false" ht="17.15" hidden="false" customHeight="false" outlineLevel="0" collapsed="false">
      <c r="A24" s="5" t="s">
        <v>614</v>
      </c>
      <c r="B24" s="0" t="s">
        <v>129</v>
      </c>
      <c r="F24" s="32" t="n">
        <f aca="false">Thesis!$F$18/2</f>
        <v>933.25</v>
      </c>
      <c r="H24" s="32" t="n">
        <f aca="false">(Thesis!$G$18+Thesis!$H$18)/2</f>
        <v>3733</v>
      </c>
      <c r="I24" s="32" t="n">
        <f aca="false">(Thesis!$H$18+Thesis!$I$18)/2</f>
        <v>7466</v>
      </c>
      <c r="J24" s="32" t="n">
        <f aca="false">(Thesis!$I$18+Thesis!$J$18)/2</f>
        <v>11199</v>
      </c>
      <c r="K24" s="32" t="n">
        <f aca="false">(Thesis!$J$18+Thesis!$K$18)/2</f>
        <v>14385.5608333333</v>
      </c>
      <c r="L24" s="32" t="n">
        <f aca="false">(Thesis!$K$18+Thesis!$L$18)/2</f>
        <v>16479.2433333333</v>
      </c>
      <c r="M24" s="32" t="n">
        <f aca="false">(Thesis!$L$18+Thesis!$M$18)/2</f>
        <v>17480.0475</v>
      </c>
    </row>
    <row r="25" customFormat="false" ht="17.15" hidden="false" customHeight="false" outlineLevel="0" collapsed="false">
      <c r="A25" s="1" t="s">
        <v>615</v>
      </c>
    </row>
    <row r="26" customFormat="false" ht="17.15" hidden="false" customHeight="false" outlineLevel="0" collapsed="false">
      <c r="A26" s="1" t="s">
        <v>616</v>
      </c>
      <c r="B26" s="8" t="s">
        <v>86</v>
      </c>
      <c r="C26" s="38" t="n">
        <f aca="false">Thesis!$C$9*rpm_open*Thesis!$C$10/1000</f>
        <v>2.32100535697364</v>
      </c>
      <c r="D26" s="38" t="n">
        <f aca="false">Thesis!$D$9*rpm_open*Thesis!$D$10/1000</f>
        <v>8.70377008865116</v>
      </c>
      <c r="E26" s="38" t="n">
        <f aca="false">Thesis!$E$9*rpm_open*Thesis!$E$10/1000</f>
        <v>8.51035297557002</v>
      </c>
      <c r="F26" s="38" t="n">
        <f aca="false">(mw_open*rpm_open+Thesis!$F$24*Thesis!$F$23)*Thesis!$F$10/1000</f>
        <v>17.7706326212121</v>
      </c>
      <c r="G26" s="38" t="n">
        <f aca="false">Thesis!$E$26+Thesis!$F$26</f>
        <v>26.2809855967821</v>
      </c>
      <c r="H26" s="38" t="n">
        <f aca="false">(mw_open*rpm_open+Thesis!$H$24*Thesis!$H$23)/1000</f>
        <v>83.0838740066237</v>
      </c>
      <c r="I26" s="38" t="n">
        <f aca="false">(mw_open*rpm_open+Thesis!$I$24*Thesis!$I$23)/1000</f>
        <v>148.076291961995</v>
      </c>
      <c r="J26" s="38" t="n">
        <f aca="false">(mw_open*rpm_open+Thesis!$J$24*Thesis!$J$23)/1000</f>
        <v>213.357841875822</v>
      </c>
      <c r="K26" s="38" t="n">
        <f aca="false">(mw_open*rpm_open+Thesis!$K$24*Thesis!$K$23)/1000</f>
        <v>269.045375153221</v>
      </c>
      <c r="L26" s="38" t="n">
        <f aca="false">(mw_open*rpm_open+Thesis!$L$24*Thesis!$L$23)/1000</f>
        <v>305.631872447328</v>
      </c>
      <c r="M26" s="38" t="n">
        <f aca="false">(mw_open*rpm_open+Thesis!$M$24*Thesis!$M$23)/1000</f>
        <v>323.07028840797</v>
      </c>
      <c r="N26" s="38" t="n">
        <f aca="false">Thesis!$N$9*rpm_open*Thesis!$N$10/1000</f>
        <v>3.04631953102791</v>
      </c>
      <c r="O26" s="38" t="n">
        <f aca="false">Thesis!$O$9*rpm_open*Thesis!$O$10/1000</f>
        <v>5.65745055762326</v>
      </c>
      <c r="P26" s="5" t="s">
        <v>617</v>
      </c>
    </row>
    <row r="27" customFormat="false" ht="17.15" hidden="false" customHeight="false" outlineLevel="0" collapsed="false">
      <c r="A27" s="5" t="s">
        <v>618</v>
      </c>
      <c r="B27" s="0" t="s">
        <v>173</v>
      </c>
      <c r="C27" s="36" t="n">
        <f aca="false">Thesis!$C$26*1000/(Thesis!$C$9*Thesis!$C$10)</f>
        <v>9.67085565405685</v>
      </c>
      <c r="D27" s="36" t="n">
        <f aca="false">Thesis!$D$26*1000/(Thesis!$D$9*Thesis!$D$10)</f>
        <v>9.67085565405685</v>
      </c>
      <c r="E27" s="36" t="n">
        <f aca="false">Thesis!$E$26*1000/(Thesis!$E$9*Thesis!$E$10)</f>
        <v>9.67085565405685</v>
      </c>
      <c r="F27" s="36" t="n">
        <f aca="false">Thesis!$F$26*1000/(Thesis!$F$9*Thesis!$F$10)</f>
        <v>11.7949938579355</v>
      </c>
      <c r="G27" s="36" t="n">
        <f aca="false">Thesis!$G$26*1000/(Thesis!$G$9*Thesis!$G$10)</f>
        <v>11.0117783886376</v>
      </c>
      <c r="H27" s="36" t="n">
        <f aca="false">Thesis!$H$26*1000/(Thesis!$H$9*Thesis!$H$10)</f>
        <v>14.2927703434756</v>
      </c>
      <c r="I27" s="36" t="n">
        <f aca="false">Thesis!$I$26*1000/(Thesis!$I$9*Thesis!$I$10)</f>
        <v>15.5118680035612</v>
      </c>
      <c r="J27" s="36" t="n">
        <f aca="false">Thesis!$J$26*1000/(Thesis!$J$9*Thesis!$J$10)</f>
        <v>16.0673124388751</v>
      </c>
      <c r="K27" s="36" t="n">
        <f aca="false">Thesis!$K$26*1000/(Thesis!$K$9*Thesis!$K$10)</f>
        <v>16.3398852839898</v>
      </c>
      <c r="L27" s="36" t="n">
        <f aca="false">Thesis!$L$26*1000/(Thesis!$L$9*Thesis!$L$10)</f>
        <v>16.4679058816152</v>
      </c>
      <c r="M27" s="36" t="n">
        <f aca="false">Thesis!$M$26*1000/(Thesis!$M$9*Thesis!$M$10)</f>
        <v>16.5168458005007</v>
      </c>
      <c r="N27" s="36" t="n">
        <f aca="false">Thesis!$N$26*1000/(Thesis!$N$9*Thesis!$N$10)</f>
        <v>9.67085565405685</v>
      </c>
      <c r="O27" s="36" t="n">
        <f aca="false">Thesis!$O$26*1000/(Thesis!$O$9*Thesis!$O$10)</f>
        <v>9.67085565405685</v>
      </c>
    </row>
    <row r="28" customFormat="false" ht="17.15" hidden="false" customHeight="false" outlineLevel="0" collapsed="false">
      <c r="A28" s="0" t="s">
        <v>619</v>
      </c>
      <c r="B28" s="0" t="s">
        <v>86</v>
      </c>
      <c r="C28" s="38" t="n">
        <f aca="false">Thesis!$C$9/ext_sh*(ox_open+rent_mw)*Thesis!$C$10/1000</f>
        <v>0.642569210675032</v>
      </c>
      <c r="D28" s="38" t="n">
        <f aca="false">Thesis!$D$9/ext_sh*(ox_open+rent_mw)*Thesis!$D$10/1000</f>
        <v>2.40963454003137</v>
      </c>
      <c r="E28" s="38" t="n">
        <f aca="false">Thesis!$E$9/ext_sh*(ox_open+rent_mw)*Thesis!$E$10/1000</f>
        <v>2.35608710580845</v>
      </c>
      <c r="F28" s="38" t="n">
        <f aca="false">((mw_open*ox_open+Thesis!$F$24*Thesis!$F$22)/ext_sh+Thesis!$F$9/ext_sh*rent_mw)*Thesis!$F$10/1000</f>
        <v>4.08870376044629</v>
      </c>
      <c r="G28" s="38" t="n">
        <f aca="false">Thesis!$E$28+Thesis!$F$28</f>
        <v>6.44479086625474</v>
      </c>
      <c r="H28" s="38" t="n">
        <f aca="false">((mw_open*ox_open+Thesis!$H$24*Thesis!$H$22)/ext_sh+Thesis!$H$9/ext_sh*rent_mw)*Thesis!$H$10/1000</f>
        <v>16.0890479236002</v>
      </c>
      <c r="I28" s="38" t="n">
        <f aca="false">((mw_open*ox_open+Thesis!$I$24*Thesis!$I$22)/ext_sh+Thesis!$I$9/ext_sh*rent_mw)*Thesis!$I$10/1000</f>
        <v>26.747110396146</v>
      </c>
      <c r="J28" s="38" t="n">
        <f aca="false">((mw_open*ox_open+Thesis!$J$24*Thesis!$J$22)/ext_sh+Thesis!$J$9/ext_sh*rent_mw)*Thesis!$J$10/1000</f>
        <v>37.4248796841388</v>
      </c>
      <c r="K28" s="38" t="n">
        <f aca="false">((mw_open*ox_open+Thesis!$K$24*Thesis!$K$22)/ext_sh+Thesis!$K$9/ext_sh*rent_mw)*Thesis!$K$10/1000</f>
        <v>46.5370356515055</v>
      </c>
      <c r="L28" s="38" t="n">
        <f aca="false">((mw_open*ox_open+Thesis!$L$24*Thesis!$L$22)/ext_sh+Thesis!$L$9/ext_sh*rent_mw)*Thesis!$L$10/1000</f>
        <v>52.5238945868506</v>
      </c>
      <c r="M28" s="38" t="n">
        <f aca="false">((mw_open*ox_open+Thesis!$M$24*Thesis!$M$22)/ext_sh+Thesis!$M$9/ext_sh*rent_mw)*Thesis!$M$10/1000</f>
        <v>55.3822499472572</v>
      </c>
      <c r="N28" s="38" t="n">
        <f aca="false">Thesis!$N$9/ext_sh*(ox_open+rent_mw)*Thesis!$N$10/1000</f>
        <v>0.84337208901098</v>
      </c>
      <c r="O28" s="38" t="n">
        <f aca="false">Thesis!$O$9/ext_sh*(ox_open+rent_mw)*Thesis!$O$10/1000</f>
        <v>1.56626245102039</v>
      </c>
    </row>
    <row r="29" customFormat="false" ht="17.15" hidden="false" customHeight="false" outlineLevel="0" collapsed="false">
      <c r="A29" s="0" t="s">
        <v>620</v>
      </c>
      <c r="B29" s="0" t="s">
        <v>86</v>
      </c>
      <c r="C29" s="38" t="n">
        <f aca="false">Q!$D$7</f>
        <v>107.556</v>
      </c>
      <c r="D29" s="38" t="n">
        <f aca="false">Q!$E$7</f>
        <v>128.725</v>
      </c>
      <c r="E29" s="38" t="n">
        <f aca="false">Q!$P$7</f>
        <v>79.819</v>
      </c>
      <c r="N29" s="38" t="n">
        <f aca="false">Q!$N$7</f>
        <v>60.14</v>
      </c>
      <c r="O29" s="38" t="n">
        <f aca="false">Q!$O$7</f>
        <v>68.585</v>
      </c>
    </row>
    <row r="30" customFormat="false" ht="17.15" hidden="false" customHeight="false" outlineLevel="0" collapsed="false">
      <c r="A30" s="1" t="s">
        <v>621</v>
      </c>
      <c r="B30" s="8" t="s">
        <v>86</v>
      </c>
      <c r="C30" s="38" t="n">
        <f aca="false">Thesis!$C$29-Thesis!$C$26</f>
        <v>105.234994643026</v>
      </c>
      <c r="D30" s="38" t="n">
        <f aca="false">Thesis!$D$29-Thesis!$D$26</f>
        <v>120.021229911349</v>
      </c>
      <c r="E30" s="38" t="n">
        <f aca="false">Thesis!$E$29-Thesis!$E$26</f>
        <v>71.30864702443</v>
      </c>
      <c r="F30" s="38" t="n">
        <f aca="false">Thesis!$O$30*(1+Thesis!$F$31)</f>
        <v>71.7692997942464</v>
      </c>
      <c r="G30" s="38" t="n">
        <f aca="false">Thesis!$E$30+Thesis!$F$30</f>
        <v>143.077946818676</v>
      </c>
      <c r="H30" s="38" t="n">
        <f aca="false">Thesis!$G$30*(1+Thesis!$H$31)</f>
        <v>161.017077079203</v>
      </c>
      <c r="I30" s="38" t="n">
        <f aca="false">Thesis!$H$30*(1+Thesis!$I$31)</f>
        <v>178.769759521457</v>
      </c>
      <c r="J30" s="38" t="n">
        <f aca="false">Thesis!$I$30*(1+Thesis!$J$31)</f>
        <v>195.775538045907</v>
      </c>
      <c r="K30" s="38" t="n">
        <f aca="false">Thesis!$J$30*(1+Thesis!$K$31)</f>
        <v>211.43758108958</v>
      </c>
      <c r="L30" s="38" t="n">
        <f aca="false">Thesis!$K$30*(1+Thesis!$L$31)</f>
        <v>228.352587576746</v>
      </c>
      <c r="M30" s="38" t="n">
        <f aca="false">Thesis!$L$30*(1+Thesis!$M$31)</f>
        <v>246.620794582886</v>
      </c>
      <c r="N30" s="38" t="n">
        <f aca="false">Thesis!$N$29-Thesis!$N$26</f>
        <v>57.0936804689721</v>
      </c>
      <c r="O30" s="38" t="n">
        <f aca="false">Thesis!$O$29-Thesis!$O$26</f>
        <v>62.9275494423768</v>
      </c>
      <c r="P30" s="5" t="s">
        <v>622</v>
      </c>
    </row>
    <row r="31" customFormat="false" ht="17.15" hidden="false" customHeight="false" outlineLevel="0" collapsed="false">
      <c r="A31" s="0" t="s">
        <v>623</v>
      </c>
      <c r="B31" s="0" t="s">
        <v>52</v>
      </c>
      <c r="D31" s="13" t="n">
        <f aca="false">Thesis!$D$30/Thesis!$C$30-1</f>
        <v>0.140506827776062</v>
      </c>
      <c r="E31" s="13" t="n">
        <f aca="false">Thesis!$E$30/Thesis!$N$30-1</f>
        <v>0.248976181579029</v>
      </c>
      <c r="F31" s="13" t="n">
        <f aca="false">Thesis!$D$31</f>
        <v>0.140506827776062</v>
      </c>
      <c r="G31" s="13" t="n">
        <f aca="false">Thesis!$G$30/Thesis!$D$30-1</f>
        <v>0.19210532106993</v>
      </c>
      <c r="H31" s="13" t="n">
        <f aca="false">Thesis!$F$31+(g_awso_lt-Thesis!$F$31)*1/4</f>
        <v>0.125380120832046</v>
      </c>
      <c r="I31" s="13" t="n">
        <f aca="false">Thesis!$F$31+(g_awso_lt-Thesis!$F$31)*2/4</f>
        <v>0.110253413888031</v>
      </c>
      <c r="J31" s="13" t="n">
        <f aca="false">Thesis!$F$31+(g_awso_lt-Thesis!$F$31)*3/4</f>
        <v>0.0951267069440154</v>
      </c>
      <c r="K31" s="13" t="n">
        <f aca="false">Thesis!$F$31+(g_awso_lt-Thesis!$F$31)*4/4</f>
        <v>0.08</v>
      </c>
      <c r="L31" s="13" t="n">
        <f aca="false">g_awso_lt</f>
        <v>0.08</v>
      </c>
      <c r="M31" s="13" t="n">
        <f aca="false">g_awso_lt</f>
        <v>0.08</v>
      </c>
      <c r="P31" s="5" t="s">
        <v>624</v>
      </c>
    </row>
    <row r="32" customFormat="false" ht="17.15" hidden="false" customHeight="false" outlineLevel="0" collapsed="false">
      <c r="A32" s="1" t="s">
        <v>625</v>
      </c>
    </row>
    <row r="33" customFormat="false" ht="17.15" hidden="false" customHeight="false" outlineLevel="0" collapsed="false">
      <c r="A33" s="0" t="s">
        <v>626</v>
      </c>
      <c r="B33" s="0" t="s">
        <v>86</v>
      </c>
      <c r="F33" s="38" t="n">
        <f aca="false">cx_rt*Seg!$F$20+cx_awso*Thesis!$F$30</f>
        <v>34.9734495387866</v>
      </c>
    </row>
    <row r="34" customFormat="false" ht="17.15" hidden="false" customHeight="false" outlineLevel="0" collapsed="false">
      <c r="A34" s="0" t="s">
        <v>627</v>
      </c>
      <c r="B34" s="0" t="s">
        <v>52</v>
      </c>
      <c r="C34" s="13" t="n">
        <f aca="false">tk_cx_h100/(tk_cx_h100+tk_fac*(1-colo_sh))</f>
        <v>0.730756458006641</v>
      </c>
      <c r="D34" s="13" t="n">
        <f aca="false">tk_cx_h100/(tk_cx_h100+tk_fac*(1-colo_sh))</f>
        <v>0.730756458006641</v>
      </c>
      <c r="E34" s="13" t="n">
        <f aca="false">Thesis!$F$34</f>
        <v>0.760792334328868</v>
      </c>
      <c r="F34" s="13" t="n">
        <f aca="false">Thesis!$F$17/(Thesis!$F$17+tk_fac*(1-colo_sh))</f>
        <v>0.760792334328868</v>
      </c>
      <c r="G34" s="13" t="n">
        <f aca="false">Thesis!$G$17/(Thesis!$G$17+tk_fac*(1-colo_sh))</f>
        <v>0.760792334328868</v>
      </c>
      <c r="H34" s="13" t="n">
        <f aca="false">Thesis!$H$17/(Thesis!$H$17+tk_fac*(1-colo_sh))</f>
        <v>0.768110668862996</v>
      </c>
      <c r="I34" s="13" t="n">
        <f aca="false">Thesis!$I$17/(Thesis!$I$17+tk_fac*(1-colo_sh))</f>
        <v>0.77499450139483</v>
      </c>
      <c r="J34" s="13" t="n">
        <f aca="false">Thesis!$J$17/(Thesis!$J$17+tk_fac*(1-colo_sh))</f>
        <v>0.77499450139483</v>
      </c>
      <c r="K34" s="13" t="n">
        <f aca="false">Thesis!$K$17/(Thesis!$K$17+tk_fac*(1-colo_sh))</f>
        <v>0.77499450139483</v>
      </c>
      <c r="L34" s="13" t="n">
        <f aca="false">Thesis!$L$17/(Thesis!$L$17+tk_fac*(1-colo_sh))</f>
        <v>0.77499450139483</v>
      </c>
      <c r="M34" s="13" t="n">
        <f aca="false">Thesis!$M$17/(Thesis!$M$17+tk_fac*(1-colo_sh))</f>
        <v>0.77499450139483</v>
      </c>
    </row>
    <row r="35" customFormat="false" ht="17.15" hidden="false" customHeight="false" outlineLevel="0" collapsed="false">
      <c r="A35" s="1" t="s">
        <v>628</v>
      </c>
      <c r="B35" s="8" t="s">
        <v>86</v>
      </c>
      <c r="C35" s="38" t="n">
        <f aca="false">Q!$D$46-cx_rt*Q!$D$16-cx_awso*Thesis!$C$30</f>
        <v>25.2781053077374</v>
      </c>
      <c r="D35" s="38" t="n">
        <f aca="false">Q!$E$46-cx_rt*Q!$E$16-cx_awso*Thesis!$D$30</f>
        <v>69.5686316310026</v>
      </c>
      <c r="E35" s="38" t="n">
        <f aca="false">Q!$P$46-cx_rt*Q!$P$16-cx_awso*Thesis!$E$30</f>
        <v>64.1899206485108</v>
      </c>
      <c r="F35" s="38" t="n">
        <f aca="false">MAX(Thesis!$F$12*(Thesis!$F$17+tk_fac*(1-colo_sh))/1000,capex_g26-Q!$P$46-Thesis!$F$33)</f>
        <v>98.862028245</v>
      </c>
      <c r="G35" s="38" t="n">
        <f aca="false">Thesis!$E$35+Thesis!$F$35</f>
        <v>163.051948893511</v>
      </c>
      <c r="H35" s="38" t="n">
        <f aca="false">Thesis!$H$12*(Thesis!$H$17+tk_fac*(1-colo_sh))/1000+Thesis!$H$36</f>
        <v>203.9641486225</v>
      </c>
      <c r="I35" s="38" t="n">
        <f aca="false">Thesis!$I$12*(Thesis!$I$17+tk_fac*(1-colo_sh))/1000+Thesis!$I$36</f>
        <v>210.204240755</v>
      </c>
      <c r="J35" s="38" t="n">
        <f aca="false">Thesis!$J$12*(Thesis!$J$17+tk_fac*(1-colo_sh))/1000+Thesis!$J$36</f>
        <v>215.441008955</v>
      </c>
      <c r="K35" s="38" t="n">
        <f aca="false">Thesis!$K$12*(Thesis!$K$17+tk_fac*(1-colo_sh))/1000+Thesis!$K$36</f>
        <v>159.138087817758</v>
      </c>
      <c r="L35" s="38" t="n">
        <f aca="false">Thesis!$L$12*(Thesis!$L$17+tk_fac*(1-colo_sh))/1000+Thesis!$L$36</f>
        <v>134.255775880517</v>
      </c>
      <c r="M35" s="38" t="n">
        <f aca="false">Thesis!$M$12*(Thesis!$M$17+tk_fac*(1-colo_sh))/1000+Thesis!$M$36</f>
        <v>134.968168520775</v>
      </c>
      <c r="P35" s="5" t="s">
        <v>629</v>
      </c>
      <c r="R35" s="38" t="n">
        <f aca="false">Q!$C$46-cx_rt*Q!$C$16-cx_awso*(Q!$C$7-mw_ye23/2*rpm_open/1000)</f>
        <v>1.50429979529945</v>
      </c>
      <c r="S35" s="38" t="n">
        <f aca="false">Thesis!$C$35</f>
        <v>25.2781053077374</v>
      </c>
      <c r="T35" s="38" t="n">
        <f aca="false">Thesis!$D$35</f>
        <v>69.5686316310026</v>
      </c>
      <c r="U35" s="38" t="n">
        <f aca="false">Thesis!$G$35</f>
        <v>163.051948893511</v>
      </c>
      <c r="V35" s="38" t="n">
        <f aca="false">Thesis!$H$35</f>
        <v>203.9641486225</v>
      </c>
      <c r="W35" s="38" t="n">
        <f aca="false">Thesis!$I$35</f>
        <v>210.204240755</v>
      </c>
      <c r="X35" s="38" t="n">
        <f aca="false">Thesis!$J$35</f>
        <v>215.441008955</v>
      </c>
      <c r="Y35" s="38" t="n">
        <f aca="false">Thesis!$K$35</f>
        <v>159.138087817758</v>
      </c>
      <c r="Z35" s="38" t="n">
        <f aca="false">Thesis!$L$35</f>
        <v>134.255775880517</v>
      </c>
      <c r="AA35" s="38" t="n">
        <f aca="false">Thesis!$M$35</f>
        <v>134.968168520775</v>
      </c>
    </row>
    <row r="36" customFormat="false" ht="17.15" hidden="false" customHeight="false" outlineLevel="0" collapsed="false">
      <c r="A36" s="0" t="s">
        <v>630</v>
      </c>
      <c r="B36" s="0" t="s">
        <v>86</v>
      </c>
      <c r="H36" s="38" t="n">
        <f aca="false">SUMPRODUCT(--(Thesis!$R$5:$AA$5=2027-tk_life),Thesis!$R$12:$AA$12)*Thesis!$H$17/1000</f>
        <v>0</v>
      </c>
      <c r="I36" s="38" t="n">
        <f aca="false">SUMPRODUCT(--(Thesis!$R$5:$AA$5=2028-tk_life),Thesis!$R$12:$AA$12)*Thesis!$I$17/1000</f>
        <v>0</v>
      </c>
      <c r="J36" s="38" t="n">
        <f aca="false">SUMPRODUCT(--(Thesis!$R$5:$AA$5=2029-tk_life),Thesis!$R$12:$AA$12)*Thesis!$J$17/1000</f>
        <v>5.2367682</v>
      </c>
      <c r="K36" s="38" t="n">
        <f aca="false">SUMPRODUCT(--(Thesis!$R$5:$AA$5=2030-tk_life),Thesis!$R$12:$AA$12)*Thesis!$K$17/1000</f>
        <v>10.4735364</v>
      </c>
      <c r="L36" s="38" t="n">
        <f aca="false">SUMPRODUCT(--(Thesis!$R$5:$AA$5=2031-tk_life),Thesis!$R$12:$AA$12)*Thesis!$L$17/1000</f>
        <v>47.1309138</v>
      </c>
      <c r="M36" s="38" t="n">
        <f aca="false">SUMPRODUCT(--(Thesis!$R$5:$AA$5=2032-tk_life),Thesis!$R$12:$AA$12)*Thesis!$M$17/1000</f>
        <v>109.3829957775</v>
      </c>
    </row>
    <row r="37" customFormat="false" ht="17.15" hidden="false" customHeight="false" outlineLevel="0" collapsed="false">
      <c r="A37" s="0" t="s">
        <v>631</v>
      </c>
      <c r="B37" s="0" t="s">
        <v>86</v>
      </c>
      <c r="C37" s="38" t="n">
        <f aca="false">MIN(Thesis!$C$35,Thesis!$C$12*(tk_cx_h100+tk_fac*(1-colo_sh))/1000)</f>
        <v>11.2938642</v>
      </c>
      <c r="D37" s="38" t="n">
        <f aca="false">MIN(Thesis!$D$35,Thesis!$D$12*(tk_cx_h100+tk_fac*(1-colo_sh))/1000)</f>
        <v>50.8223889</v>
      </c>
      <c r="E37" s="38" t="n">
        <f aca="false">MIN(Thesis!$E$35,Thesis!$E$12*(Thesis!$F$17+tk_fac*(1-colo_sh))/1000)</f>
        <v>33.8985792</v>
      </c>
      <c r="F37" s="38" t="n">
        <f aca="false">Thesis!$F$35</f>
        <v>98.862028245</v>
      </c>
      <c r="G37" s="38" t="n">
        <f aca="false">Thesis!$E$37+Thesis!$F$37</f>
        <v>132.760607445</v>
      </c>
      <c r="H37" s="38" t="n">
        <f aca="false">Thesis!$H$35</f>
        <v>203.9641486225</v>
      </c>
      <c r="I37" s="38" t="n">
        <f aca="false">Thesis!$I$35</f>
        <v>210.204240755</v>
      </c>
      <c r="J37" s="38" t="n">
        <f aca="false">Thesis!$J$35</f>
        <v>215.441008955</v>
      </c>
      <c r="K37" s="38" t="n">
        <f aca="false">Thesis!$K$35</f>
        <v>159.138087817758</v>
      </c>
      <c r="L37" s="38" t="n">
        <f aca="false">Thesis!$L$35</f>
        <v>134.255775880517</v>
      </c>
      <c r="M37" s="38" t="n">
        <f aca="false">Thesis!$M$35</f>
        <v>134.968168520775</v>
      </c>
      <c r="P37" s="5" t="s">
        <v>632</v>
      </c>
      <c r="R37" s="38" t="n">
        <f aca="false">MIN(Thesis!$R$35,Thesis!$R$12*(tk_cx_h100+tk_fac*(1-colo_sh))/1000)</f>
        <v>1.50429979529945</v>
      </c>
      <c r="S37" s="38" t="n">
        <f aca="false">Thesis!$C$37</f>
        <v>11.2938642</v>
      </c>
      <c r="T37" s="38" t="n">
        <f aca="false">Thesis!$D$37</f>
        <v>50.8223889</v>
      </c>
      <c r="U37" s="38" t="n">
        <f aca="false">Thesis!$G$37</f>
        <v>132.760607445</v>
      </c>
      <c r="V37" s="38" t="n">
        <f aca="false">Thesis!$H$37</f>
        <v>203.9641486225</v>
      </c>
      <c r="W37" s="38" t="n">
        <f aca="false">Thesis!$I$37</f>
        <v>210.204240755</v>
      </c>
      <c r="X37" s="38" t="n">
        <f aca="false">Thesis!$J$37</f>
        <v>215.441008955</v>
      </c>
      <c r="Y37" s="38" t="n">
        <f aca="false">Thesis!$K$37</f>
        <v>159.138087817758</v>
      </c>
      <c r="Z37" s="38" t="n">
        <f aca="false">Thesis!$L$37</f>
        <v>134.255775880517</v>
      </c>
      <c r="AA37" s="38" t="n">
        <f aca="false">Thesis!$M$37</f>
        <v>134.968168520775</v>
      </c>
    </row>
    <row r="38" customFormat="false" ht="17.15" hidden="false" customHeight="false" outlineLevel="0" collapsed="false">
      <c r="A38" s="5" t="s">
        <v>633</v>
      </c>
      <c r="B38" s="0" t="s">
        <v>86</v>
      </c>
      <c r="C38" s="38" t="n">
        <f aca="false">Thesis!$C$35-Thesis!$C$37</f>
        <v>13.9842411077374</v>
      </c>
      <c r="D38" s="38" t="n">
        <f aca="false">Thesis!$D$35-Thesis!$D$37</f>
        <v>18.7462427310026</v>
      </c>
      <c r="E38" s="38" t="n">
        <f aca="false">Thesis!$E$35-Thesis!$E$37</f>
        <v>30.2913414485108</v>
      </c>
      <c r="F38" s="38" t="n">
        <f aca="false">Thesis!$F$35-Thesis!$F$37</f>
        <v>0</v>
      </c>
      <c r="G38" s="38" t="n">
        <f aca="false">Thesis!$G$35-Thesis!$G$37</f>
        <v>30.2913414485108</v>
      </c>
      <c r="H38" s="38" t="n">
        <f aca="false">Thesis!$H$35-Thesis!$H$37</f>
        <v>0</v>
      </c>
      <c r="I38" s="38" t="n">
        <f aca="false">Thesis!$I$35-Thesis!$I$37</f>
        <v>0</v>
      </c>
      <c r="J38" s="38" t="n">
        <f aca="false">Thesis!$J$35-Thesis!$J$37</f>
        <v>0</v>
      </c>
      <c r="K38" s="38" t="n">
        <f aca="false">Thesis!$K$35-Thesis!$K$37</f>
        <v>0</v>
      </c>
      <c r="L38" s="38" t="n">
        <f aca="false">Thesis!$L$35-Thesis!$L$37</f>
        <v>0</v>
      </c>
      <c r="M38" s="38" t="n">
        <f aca="false">Thesis!$M$35-Thesis!$M$37</f>
        <v>0</v>
      </c>
    </row>
    <row r="39" customFormat="false" ht="17.15" hidden="false" customHeight="false" outlineLevel="0" collapsed="false">
      <c r="A39" s="5" t="s">
        <v>634</v>
      </c>
      <c r="B39" s="0" t="s">
        <v>86</v>
      </c>
      <c r="C39" s="38" t="n">
        <f aca="false">Thesis!$C$37*Thesis!$C$34</f>
        <v>8.2530642</v>
      </c>
      <c r="D39" s="38" t="n">
        <f aca="false">Thesis!$D$37*Thesis!$D$34</f>
        <v>37.1387889</v>
      </c>
      <c r="E39" s="38" t="n">
        <f aca="false">Thesis!$E$37*Thesis!$E$34</f>
        <v>25.7897792</v>
      </c>
      <c r="F39" s="38" t="n">
        <f aca="false">Thesis!$F$37*Thesis!$F$34</f>
        <v>75.213473245</v>
      </c>
      <c r="G39" s="38" t="n">
        <f aca="false">Thesis!$E$39+Thesis!$F$39</f>
        <v>101.003252445</v>
      </c>
      <c r="H39" s="38" t="n">
        <f aca="false">(Thesis!$H$37-Thesis!$H$36)*Thesis!$H$34+Thesis!$H$36</f>
        <v>156.6670386225</v>
      </c>
      <c r="I39" s="38" t="n">
        <f aca="false">(Thesis!$I$37-Thesis!$I$36)*Thesis!$I$34+Thesis!$I$36</f>
        <v>162.907130755</v>
      </c>
      <c r="J39" s="38" t="n">
        <f aca="false">(Thesis!$J$37-Thesis!$J$36)*Thesis!$J$34+Thesis!$J$36</f>
        <v>168.143898955</v>
      </c>
      <c r="K39" s="38" t="n">
        <f aca="false">(Thesis!$K$37-Thesis!$K$36)*Thesis!$K$34+Thesis!$K$36</f>
        <v>125.687746301092</v>
      </c>
      <c r="L39" s="38" t="n">
        <f aca="false">(Thesis!$L$37-Thesis!$L$36)*Thesis!$L$34+Thesis!$L$36</f>
        <v>114.652202847183</v>
      </c>
      <c r="M39" s="38" t="n">
        <f aca="false">(Thesis!$M$37-Thesis!$M$36)*Thesis!$M$34+Thesis!$M$36</f>
        <v>129.211363970775</v>
      </c>
      <c r="R39" s="38" t="n">
        <f aca="false">Thesis!$R$37*Thesis!$C$34</f>
        <v>1.09927679019314</v>
      </c>
      <c r="S39" s="38" t="n">
        <f aca="false">Thesis!$C$39</f>
        <v>8.2530642</v>
      </c>
      <c r="T39" s="38" t="n">
        <f aca="false">Thesis!$D$39</f>
        <v>37.1387889</v>
      </c>
      <c r="U39" s="38" t="n">
        <f aca="false">Thesis!$G$39</f>
        <v>101.003252445</v>
      </c>
      <c r="V39" s="38" t="n">
        <f aca="false">Thesis!$H$39</f>
        <v>156.6670386225</v>
      </c>
      <c r="W39" s="38" t="n">
        <f aca="false">Thesis!$I$39</f>
        <v>162.907130755</v>
      </c>
      <c r="X39" s="38" t="n">
        <f aca="false">Thesis!$J$39</f>
        <v>168.143898955</v>
      </c>
      <c r="Y39" s="38" t="n">
        <f aca="false">Thesis!$K$39</f>
        <v>125.687746301092</v>
      </c>
      <c r="Z39" s="38" t="n">
        <f aca="false">Thesis!$L$39</f>
        <v>114.652202847183</v>
      </c>
      <c r="AA39" s="38" t="n">
        <f aca="false">Thesis!$M$39</f>
        <v>129.211363970775</v>
      </c>
    </row>
    <row r="40" customFormat="false" ht="15" hidden="false" customHeight="false" outlineLevel="0" collapsed="false">
      <c r="A40" s="5" t="s">
        <v>635</v>
      </c>
      <c r="B40" s="0" t="s">
        <v>86</v>
      </c>
      <c r="C40" s="38" t="n">
        <f aca="false">Thesis!$C$37-Thesis!$C$39</f>
        <v>3.0408</v>
      </c>
      <c r="D40" s="38" t="n">
        <f aca="false">Thesis!$D$37-Thesis!$D$39</f>
        <v>13.6836</v>
      </c>
      <c r="E40" s="38" t="n">
        <f aca="false">Thesis!$E$37-Thesis!$E$39</f>
        <v>8.1088</v>
      </c>
      <c r="F40" s="38" t="n">
        <f aca="false">Thesis!$F$37-Thesis!$F$39</f>
        <v>23.648555</v>
      </c>
      <c r="G40" s="38" t="n">
        <f aca="false">Thesis!$G$37-Thesis!$G$39</f>
        <v>31.757355</v>
      </c>
      <c r="H40" s="38" t="n">
        <f aca="false">Thesis!$H$37-Thesis!$H$39</f>
        <v>47.29711</v>
      </c>
      <c r="I40" s="38" t="n">
        <f aca="false">Thesis!$I$37-Thesis!$I$39</f>
        <v>47.29711</v>
      </c>
      <c r="J40" s="38" t="n">
        <f aca="false">Thesis!$J$37-Thesis!$J$39</f>
        <v>47.29711</v>
      </c>
      <c r="K40" s="38" t="n">
        <f aca="false">Thesis!$K$37-Thesis!$K$39</f>
        <v>33.4503415166667</v>
      </c>
      <c r="L40" s="38" t="n">
        <f aca="false">Thesis!$L$37-Thesis!$L$39</f>
        <v>19.6035730333333</v>
      </c>
      <c r="M40" s="38" t="n">
        <f aca="false">Thesis!$M$37-Thesis!$M$39</f>
        <v>5.75680454999997</v>
      </c>
      <c r="R40" s="38" t="n">
        <f aca="false">Thesis!$R$37-Thesis!$R$39</f>
        <v>0.405023005106309</v>
      </c>
      <c r="S40" s="38" t="n">
        <f aca="false">Thesis!$S$37-Thesis!$S$39</f>
        <v>3.0408</v>
      </c>
      <c r="T40" s="38" t="n">
        <f aca="false">Thesis!$T$37-Thesis!$T$39</f>
        <v>13.6836</v>
      </c>
      <c r="U40" s="38" t="n">
        <f aca="false">Thesis!$U$37-Thesis!$U$39</f>
        <v>31.757355</v>
      </c>
      <c r="V40" s="38" t="n">
        <f aca="false">Thesis!$V$37-Thesis!$V$39</f>
        <v>47.29711</v>
      </c>
      <c r="W40" s="38" t="n">
        <f aca="false">Thesis!$W$37-Thesis!$W$39</f>
        <v>47.29711</v>
      </c>
      <c r="X40" s="38" t="n">
        <f aca="false">Thesis!$X$37-Thesis!$X$39</f>
        <v>47.29711</v>
      </c>
      <c r="Y40" s="38" t="n">
        <f aca="false">Thesis!$Y$37-Thesis!$Y$39</f>
        <v>33.4503415166667</v>
      </c>
      <c r="Z40" s="38" t="n">
        <f aca="false">Thesis!$Z$37-Thesis!$Z$39</f>
        <v>19.6035730333333</v>
      </c>
      <c r="AA40" s="38" t="n">
        <f aca="false">Thesis!$AA$37-Thesis!$AA$39</f>
        <v>5.75680454999997</v>
      </c>
    </row>
    <row r="41" customFormat="false" ht="17.15" hidden="false" customHeight="false" outlineLevel="0" collapsed="false">
      <c r="A41" s="0" t="s">
        <v>636</v>
      </c>
      <c r="B41" s="0" t="s">
        <v>52</v>
      </c>
      <c r="C41" s="13" t="n">
        <f aca="false">Thesis!$C$35/CF!$C$24</f>
        <v>0.325505489553393</v>
      </c>
      <c r="D41" s="13" t="n">
        <f aca="false">Thesis!$D$35/CF!$D$24</f>
        <v>0.54214956071542</v>
      </c>
      <c r="E41" s="13" t="n">
        <f aca="false">Thesis!$E$35/CF!$E$24</f>
        <v>0.666492790452817</v>
      </c>
      <c r="F41" s="13" t="n">
        <f aca="false">Thesis!$F$35/CF!$F$24</f>
        <v>0.738683269056006</v>
      </c>
      <c r="G41" s="13" t="n">
        <f aca="false">Thesis!$G$35/CF!$G$24</f>
        <v>0.708473398928534</v>
      </c>
      <c r="H41" s="13" t="n">
        <f aca="false">Thesis!$H$35/CF!$H$24</f>
        <v>0.731669361234362</v>
      </c>
      <c r="I41" s="13" t="n">
        <f aca="false">Thesis!$I$35/CF!$I$24</f>
        <v>0.718549737942984</v>
      </c>
      <c r="J41" s="13" t="n">
        <f aca="false">Thesis!$J$35/CF!$J$24</f>
        <v>0.706655234973871</v>
      </c>
      <c r="K41" s="13" t="n">
        <f aca="false">Thesis!$K$35/CF!$K$24</f>
        <v>0.624176557844496</v>
      </c>
      <c r="L41" s="13" t="n">
        <f aca="false">Thesis!$L$35/CF!$L$24</f>
        <v>0.566628382341687</v>
      </c>
      <c r="M41" s="13" t="n">
        <f aca="false">Thesis!$M$35/CF!$M$24</f>
        <v>0.550825547262128</v>
      </c>
    </row>
    <row r="42" customFormat="false" ht="17.15" hidden="false" customHeight="false" outlineLevel="0" collapsed="false">
      <c r="A42" s="0" t="s">
        <v>637</v>
      </c>
      <c r="B42" s="0" t="s">
        <v>86</v>
      </c>
      <c r="C42" s="38" t="n">
        <f aca="false">Thesis!$S$42</f>
        <v>0.183212798365523</v>
      </c>
      <c r="D42" s="38" t="n">
        <f aca="false">Thesis!$T$42</f>
        <v>1.55872349836552</v>
      </c>
      <c r="E42" s="38" t="n">
        <f aca="false">Thesis!$G$42/2</f>
        <v>3.87426082418276</v>
      </c>
      <c r="F42" s="38" t="n">
        <f aca="false">Thesis!$G$42/2</f>
        <v>3.87426082418276</v>
      </c>
      <c r="G42" s="38" t="n">
        <f aca="false">Thesis!$U$42</f>
        <v>7.74852164836552</v>
      </c>
      <c r="H42" s="38" t="n">
        <f aca="false">Thesis!$V$42</f>
        <v>24.5823970558655</v>
      </c>
      <c r="I42" s="38" t="n">
        <f aca="false">Thesis!$W$42</f>
        <v>50.6935701596155</v>
      </c>
      <c r="J42" s="38" t="n">
        <f aca="false">Thesis!$X$42</f>
        <v>77.8447586187822</v>
      </c>
      <c r="K42" s="38" t="n">
        <f aca="false">Thesis!$Y$42</f>
        <v>105.685528979583</v>
      </c>
      <c r="L42" s="38" t="n">
        <f aca="false">Thesis!$Z$42</f>
        <v>125.257975996432</v>
      </c>
      <c r="M42" s="38" t="n">
        <f aca="false">Thesis!$AA$42</f>
        <v>138.176878320963</v>
      </c>
      <c r="N42" s="38" t="n">
        <f aca="false">Thesis!$D$42/2</f>
        <v>0.779361749182762</v>
      </c>
      <c r="O42" s="38" t="n">
        <f aca="false">Thesis!$D$42/2</f>
        <v>0.779361749182762</v>
      </c>
      <c r="R42" s="38" t="n">
        <f aca="false">SUMPRODUCT(--(Thesis!$R$5:$AA$5&lt;Thesis!R$5),--(Thesis!$R$5:$AA$5&gt;=Thesis!R$5-tk_life),Thesis!$R$39:$AA$39)/tk_life</f>
        <v>0</v>
      </c>
      <c r="S42" s="38" t="n">
        <f aca="false">SUMPRODUCT(--(Thesis!$R$5:$AA$5&lt;Thesis!S$5),--(Thesis!$R$5:$AA$5&gt;=Thesis!S$5-tk_life),Thesis!$R$39:$AA$39)/tk_life</f>
        <v>0.183212798365523</v>
      </c>
      <c r="T42" s="38" t="n">
        <f aca="false">SUMPRODUCT(--(Thesis!$R$5:$AA$5&lt;Thesis!T$5),--(Thesis!$R$5:$AA$5&gt;=Thesis!T$5-tk_life),Thesis!$R$39:$AA$39)/tk_life</f>
        <v>1.55872349836552</v>
      </c>
      <c r="U42" s="38" t="n">
        <f aca="false">SUMPRODUCT(--(Thesis!$R$5:$AA$5&lt;Thesis!U$5),--(Thesis!$R$5:$AA$5&gt;=Thesis!U$5-tk_life),Thesis!$R$39:$AA$39)/tk_life</f>
        <v>7.74852164836552</v>
      </c>
      <c r="V42" s="38" t="n">
        <f aca="false">SUMPRODUCT(--(Thesis!$R$5:$AA$5&lt;Thesis!V$5),--(Thesis!$R$5:$AA$5&gt;=Thesis!V$5-tk_life),Thesis!$R$39:$AA$39)/tk_life</f>
        <v>24.5823970558655</v>
      </c>
      <c r="W42" s="38" t="n">
        <f aca="false">SUMPRODUCT(--(Thesis!$R$5:$AA$5&lt;Thesis!W$5),--(Thesis!$R$5:$AA$5&gt;=Thesis!W$5-tk_life),Thesis!$R$39:$AA$39)/tk_life</f>
        <v>50.6935701596155</v>
      </c>
      <c r="X42" s="38" t="n">
        <f aca="false">SUMPRODUCT(--(Thesis!$R$5:$AA$5&lt;Thesis!X$5),--(Thesis!$R$5:$AA$5&gt;=Thesis!X$5-tk_life),Thesis!$R$39:$AA$39)/tk_life</f>
        <v>77.8447586187822</v>
      </c>
      <c r="Y42" s="38" t="n">
        <f aca="false">SUMPRODUCT(--(Thesis!$R$5:$AA$5&lt;Thesis!Y$5),--(Thesis!$R$5:$AA$5&gt;=Thesis!Y$5-tk_life),Thesis!$R$39:$AA$39)/tk_life</f>
        <v>105.685528979583</v>
      </c>
      <c r="Z42" s="38" t="n">
        <f aca="false">SUMPRODUCT(--(Thesis!$R$5:$AA$5&lt;Thesis!Z$5),--(Thesis!$R$5:$AA$5&gt;=Thesis!Z$5-tk_life),Thesis!$R$39:$AA$39)/tk_life</f>
        <v>125.257975996432</v>
      </c>
      <c r="AA42" s="38" t="n">
        <f aca="false">SUMPRODUCT(--(Thesis!$R$5:$AA$5&lt;Thesis!AA$5),--(Thesis!$R$5:$AA$5&gt;=Thesis!AA$5-tk_life),Thesis!$R$39:$AA$39)/tk_life</f>
        <v>138.176878320963</v>
      </c>
    </row>
    <row r="43" customFormat="false" ht="17.15" hidden="false" customHeight="false" outlineLevel="0" collapsed="false">
      <c r="A43" s="0" t="s">
        <v>638</v>
      </c>
      <c r="B43" s="0" t="s">
        <v>86</v>
      </c>
      <c r="C43" s="38" t="n">
        <f aca="false">Thesis!$S$43</f>
        <v>0.0202511502553155</v>
      </c>
      <c r="D43" s="38" t="n">
        <f aca="false">Thesis!$T$43</f>
        <v>0.172291150255315</v>
      </c>
      <c r="E43" s="38" t="n">
        <f aca="false">Thesis!$G$43/2</f>
        <v>0.428235575127658</v>
      </c>
      <c r="F43" s="38" t="n">
        <f aca="false">Thesis!$G$43/2</f>
        <v>0.428235575127658</v>
      </c>
      <c r="G43" s="38" t="n">
        <f aca="false">Thesis!$U$43</f>
        <v>0.856471150255315</v>
      </c>
      <c r="H43" s="38" t="n">
        <f aca="false">Thesis!$V$43</f>
        <v>2.44433890025532</v>
      </c>
      <c r="I43" s="38" t="n">
        <f aca="false">Thesis!$W$43</f>
        <v>4.80919440025532</v>
      </c>
      <c r="J43" s="38" t="n">
        <f aca="false">Thesis!$X$43</f>
        <v>7.17404990025532</v>
      </c>
      <c r="K43" s="38" t="n">
        <f aca="false">Thesis!$Y$43</f>
        <v>9.53890540025532</v>
      </c>
      <c r="L43" s="38" t="n">
        <f aca="false">Thesis!$Z$43</f>
        <v>11.2114224760887</v>
      </c>
      <c r="M43" s="38" t="n">
        <f aca="false">Thesis!$AA$43</f>
        <v>12.1916011277553</v>
      </c>
      <c r="N43" s="38" t="n">
        <f aca="false">Thesis!$D$43/2</f>
        <v>0.0861455751276577</v>
      </c>
      <c r="O43" s="38" t="n">
        <f aca="false">Thesis!$D$43/2</f>
        <v>0.0861455751276577</v>
      </c>
      <c r="R43" s="38" t="n">
        <f aca="false">SUMPRODUCT(--(Thesis!$R$5:$AA$5&lt;Thesis!R$5),Thesis!$R$40:$AA$40)/fac_life</f>
        <v>0</v>
      </c>
      <c r="S43" s="38" t="n">
        <f aca="false">SUMPRODUCT(--(Thesis!$R$5:$AA$5&lt;Thesis!S$5),Thesis!$R$40:$AA$40)/fac_life</f>
        <v>0.0202511502553155</v>
      </c>
      <c r="T43" s="38" t="n">
        <f aca="false">SUMPRODUCT(--(Thesis!$R$5:$AA$5&lt;Thesis!T$5),Thesis!$R$40:$AA$40)/fac_life</f>
        <v>0.172291150255315</v>
      </c>
      <c r="U43" s="38" t="n">
        <f aca="false">SUMPRODUCT(--(Thesis!$R$5:$AA$5&lt;Thesis!U$5),Thesis!$R$40:$AA$40)/fac_life</f>
        <v>0.856471150255315</v>
      </c>
      <c r="V43" s="38" t="n">
        <f aca="false">SUMPRODUCT(--(Thesis!$R$5:$AA$5&lt;Thesis!V$5),Thesis!$R$40:$AA$40)/fac_life</f>
        <v>2.44433890025532</v>
      </c>
      <c r="W43" s="38" t="n">
        <f aca="false">SUMPRODUCT(--(Thesis!$R$5:$AA$5&lt;Thesis!W$5),Thesis!$R$40:$AA$40)/fac_life</f>
        <v>4.80919440025532</v>
      </c>
      <c r="X43" s="38" t="n">
        <f aca="false">SUMPRODUCT(--(Thesis!$R$5:$AA$5&lt;Thesis!X$5),Thesis!$R$40:$AA$40)/fac_life</f>
        <v>7.17404990025532</v>
      </c>
      <c r="Y43" s="38" t="n">
        <f aca="false">SUMPRODUCT(--(Thesis!$R$5:$AA$5&lt;Thesis!Y$5),Thesis!$R$40:$AA$40)/fac_life</f>
        <v>9.53890540025532</v>
      </c>
      <c r="Z43" s="38" t="n">
        <f aca="false">SUMPRODUCT(--(Thesis!$R$5:$AA$5&lt;Thesis!Z$5),Thesis!$R$40:$AA$40)/fac_life</f>
        <v>11.2114224760887</v>
      </c>
      <c r="AA43" s="38" t="n">
        <f aca="false">SUMPRODUCT(--(Thesis!$R$5:$AA$5&lt;Thesis!AA$5),Thesis!$R$40:$AA$40)/fac_life</f>
        <v>12.1916011277553</v>
      </c>
    </row>
    <row r="44" customFormat="false" ht="17.15" hidden="false" customHeight="false" outlineLevel="0" collapsed="false">
      <c r="A44" s="1" t="s">
        <v>639</v>
      </c>
      <c r="B44" s="8" t="s">
        <v>86</v>
      </c>
      <c r="C44" s="38" t="n">
        <f aca="false">Thesis!$C$42+Thesis!$C$43</f>
        <v>0.203463948620839</v>
      </c>
      <c r="D44" s="38" t="n">
        <f aca="false">Thesis!$D$42+Thesis!$D$43</f>
        <v>1.73101464862084</v>
      </c>
      <c r="E44" s="38" t="n">
        <f aca="false">Thesis!$E$42+Thesis!$E$43</f>
        <v>4.30249639931042</v>
      </c>
      <c r="F44" s="38" t="n">
        <f aca="false">Thesis!$F$42+Thesis!$F$43</f>
        <v>4.30249639931042</v>
      </c>
      <c r="G44" s="38" t="n">
        <f aca="false">Thesis!$G$42+Thesis!$G$43</f>
        <v>8.60499279862084</v>
      </c>
      <c r="H44" s="38" t="n">
        <f aca="false">Thesis!$H$42+Thesis!$H$43</f>
        <v>27.0267359561208</v>
      </c>
      <c r="I44" s="38" t="n">
        <f aca="false">Thesis!$I$42+Thesis!$I$43</f>
        <v>55.5027645598708</v>
      </c>
      <c r="J44" s="38" t="n">
        <f aca="false">Thesis!$J$42+Thesis!$J$43</f>
        <v>85.0188085190375</v>
      </c>
      <c r="K44" s="38" t="n">
        <f aca="false">Thesis!$K$42+Thesis!$K$43</f>
        <v>115.224434379839</v>
      </c>
      <c r="L44" s="38" t="n">
        <f aca="false">Thesis!$L$42+Thesis!$L$43</f>
        <v>136.469398472521</v>
      </c>
      <c r="M44" s="38" t="n">
        <f aca="false">Thesis!$M$42+Thesis!$M$43</f>
        <v>150.368479448718</v>
      </c>
      <c r="N44" s="38" t="n">
        <f aca="false">Thesis!$N$42+Thesis!$N$43</f>
        <v>0.865507324310419</v>
      </c>
      <c r="O44" s="38" t="n">
        <f aca="false">Thesis!$O$42+Thesis!$O$43</f>
        <v>0.865507324310419</v>
      </c>
      <c r="R44" s="38" t="n">
        <f aca="false">Thesis!$R$42+Thesis!$R$43</f>
        <v>0</v>
      </c>
      <c r="S44" s="38" t="n">
        <f aca="false">Thesis!$S$42+Thesis!$S$43</f>
        <v>0.203463948620839</v>
      </c>
      <c r="T44" s="38" t="n">
        <f aca="false">Thesis!$T$42+Thesis!$T$43</f>
        <v>1.73101464862084</v>
      </c>
      <c r="U44" s="38" t="n">
        <f aca="false">Thesis!$U$42+Thesis!$U$43</f>
        <v>8.60499279862084</v>
      </c>
      <c r="V44" s="38" t="n">
        <f aca="false">Thesis!$V$42+Thesis!$V$43</f>
        <v>27.0267359561208</v>
      </c>
      <c r="W44" s="38" t="n">
        <f aca="false">Thesis!$W$42+Thesis!$W$43</f>
        <v>55.5027645598708</v>
      </c>
      <c r="X44" s="38" t="n">
        <f aca="false">Thesis!$X$42+Thesis!$X$43</f>
        <v>85.0188085190375</v>
      </c>
      <c r="Y44" s="38" t="n">
        <f aca="false">Thesis!$Y$42+Thesis!$Y$43</f>
        <v>115.224434379839</v>
      </c>
      <c r="Z44" s="38" t="n">
        <f aca="false">Thesis!$Z$42+Thesis!$Z$43</f>
        <v>136.469398472521</v>
      </c>
      <c r="AA44" s="38" t="n">
        <f aca="false">Thesis!$AA$42+Thesis!$AA$43</f>
        <v>150.368479448718</v>
      </c>
    </row>
    <row r="45" customFormat="false" ht="17.15" hidden="false" customHeight="false" outlineLevel="0" collapsed="false">
      <c r="A45" s="0" t="s">
        <v>640</v>
      </c>
      <c r="B45" s="0" t="s">
        <v>86</v>
      </c>
      <c r="C45" s="38" t="n">
        <f aca="false">Thesis!$S$45</f>
        <v>12.5947000466786</v>
      </c>
      <c r="D45" s="38" t="n">
        <f aca="false">Thesis!$T$45</f>
        <v>61.6860742980578</v>
      </c>
      <c r="G45" s="38" t="n">
        <f aca="false">Thesis!$U$45</f>
        <v>185.841688944437</v>
      </c>
      <c r="H45" s="38" t="n">
        <f aca="false">Thesis!$V$45</f>
        <v>362.779101610816</v>
      </c>
      <c r="I45" s="38" t="n">
        <f aca="false">Thesis!$W$45</f>
        <v>517.480577805945</v>
      </c>
      <c r="J45" s="38" t="n">
        <f aca="false">Thesis!$X$45</f>
        <v>647.902778241908</v>
      </c>
      <c r="K45" s="38" t="n">
        <f aca="false">Thesis!$Y$45</f>
        <v>691.816431679828</v>
      </c>
      <c r="L45" s="38" t="n">
        <f aca="false">Thesis!$Z$45</f>
        <v>689.602809087823</v>
      </c>
      <c r="M45" s="38" t="n">
        <f aca="false">Thesis!$AA$45</f>
        <v>674.202498159881</v>
      </c>
      <c r="R45" s="38" t="n">
        <f aca="false">SUM(Thesis!$R$37:$R$37)-SUM(Thesis!$R$44:$R$44)</f>
        <v>1.50429979529945</v>
      </c>
      <c r="S45" s="38" t="n">
        <f aca="false">SUM(Thesis!$R$37:$S$37)-SUM(Thesis!$R$44:$S$44)</f>
        <v>12.5947000466786</v>
      </c>
      <c r="T45" s="38" t="n">
        <f aca="false">SUM(Thesis!$R$37:$T$37)-SUM(Thesis!$R$44:$T$44)</f>
        <v>61.6860742980578</v>
      </c>
      <c r="U45" s="38" t="n">
        <f aca="false">SUM(Thesis!$R$37:$U$37)-SUM(Thesis!$R$44:$U$44)</f>
        <v>185.841688944437</v>
      </c>
      <c r="V45" s="38" t="n">
        <f aca="false">SUM(Thesis!$R$37:$V$37)-SUM(Thesis!$R$44:$V$44)</f>
        <v>362.779101610816</v>
      </c>
      <c r="W45" s="38" t="n">
        <f aca="false">SUM(Thesis!$R$37:$W$37)-SUM(Thesis!$R$44:$W$44)</f>
        <v>517.480577805945</v>
      </c>
      <c r="X45" s="38" t="n">
        <f aca="false">SUM(Thesis!$R$37:$X$37)-SUM(Thesis!$R$44:$X$44)</f>
        <v>647.902778241908</v>
      </c>
      <c r="Y45" s="38" t="n">
        <f aca="false">SUM(Thesis!$R$37:$Y$37)-SUM(Thesis!$R$44:$Y$44)</f>
        <v>691.816431679828</v>
      </c>
      <c r="Z45" s="38" t="n">
        <f aca="false">SUM(Thesis!$R$37:$Z$37)-SUM(Thesis!$R$44:$Z$44)</f>
        <v>689.602809087823</v>
      </c>
      <c r="AA45" s="38" t="n">
        <f aca="false">SUM(Thesis!$R$37:$AA$37)-SUM(Thesis!$R$44:$AA$44)</f>
        <v>674.202498159881</v>
      </c>
    </row>
    <row r="46" customFormat="false" ht="17.15" hidden="false" customHeight="false" outlineLevel="0" collapsed="false">
      <c r="A46" s="1" t="s">
        <v>641</v>
      </c>
    </row>
    <row r="47" customFormat="false" ht="17.15" hidden="false" customHeight="false" outlineLevel="0" collapsed="false">
      <c r="A47" s="0" t="s">
        <v>642</v>
      </c>
      <c r="B47" s="0" t="s">
        <v>86</v>
      </c>
      <c r="C47" s="38" t="n">
        <f aca="false">Thesis!$C$26-ext_sh*Thesis!$C$28</f>
        <v>1.80694998843362</v>
      </c>
      <c r="D47" s="38" t="n">
        <f aca="false">Thesis!$D$26-ext_sh*Thesis!$D$28</f>
        <v>6.77606245662607</v>
      </c>
      <c r="E47" s="38" t="n">
        <f aca="false">Thesis!$E$26-ext_sh*Thesis!$E$28</f>
        <v>6.62548329092326</v>
      </c>
      <c r="F47" s="38" t="n">
        <f aca="false">Thesis!$F$26-ext_sh*Thesis!$F$28</f>
        <v>14.4996696128551</v>
      </c>
      <c r="G47" s="38" t="n">
        <f aca="false">Thesis!$G$26-ext_sh*Thesis!$G$28</f>
        <v>21.1251529037784</v>
      </c>
      <c r="H47" s="38" t="n">
        <f aca="false">Thesis!$H$26-ext_sh*Thesis!$H$28</f>
        <v>70.2126356677435</v>
      </c>
      <c r="I47" s="38" t="n">
        <f aca="false">Thesis!$I$26-ext_sh*Thesis!$I$28</f>
        <v>126.678603645079</v>
      </c>
      <c r="J47" s="38" t="n">
        <f aca="false">Thesis!$J$26-ext_sh*Thesis!$J$28</f>
        <v>183.417938128511</v>
      </c>
      <c r="K47" s="38" t="n">
        <f aca="false">Thesis!$K$26-ext_sh*Thesis!$K$28</f>
        <v>231.815746632017</v>
      </c>
      <c r="L47" s="38" t="n">
        <f aca="false">Thesis!$L$26-ext_sh*Thesis!$L$28</f>
        <v>263.612756777848</v>
      </c>
      <c r="M47" s="38" t="n">
        <f aca="false">Thesis!$M$26-ext_sh*Thesis!$M$28</f>
        <v>278.764488450164</v>
      </c>
      <c r="N47" s="38" t="n">
        <f aca="false">Thesis!$N$26-ext_sh*Thesis!$N$28</f>
        <v>2.37162185981912</v>
      </c>
      <c r="O47" s="38" t="n">
        <f aca="false">Thesis!$O$26-ext_sh*Thesis!$O$28</f>
        <v>4.40444059680694</v>
      </c>
    </row>
    <row r="48" customFormat="false" ht="17.15" hidden="false" customHeight="false" outlineLevel="0" collapsed="false">
      <c r="A48" s="1" t="s">
        <v>643</v>
      </c>
      <c r="B48" s="8" t="s">
        <v>86</v>
      </c>
      <c r="C48" s="38" t="n">
        <f aca="false">Thesis!$C$47-ext_sh*Thesis!$C$44</f>
        <v>1.64417882953695</v>
      </c>
      <c r="D48" s="38" t="n">
        <f aca="false">Thesis!$D$47-ext_sh*Thesis!$D$44</f>
        <v>5.39125073772939</v>
      </c>
      <c r="E48" s="38" t="n">
        <f aca="false">Thesis!$E$47-ext_sh*Thesis!$E$44</f>
        <v>3.18348617147493</v>
      </c>
      <c r="F48" s="38" t="n">
        <f aca="false">Thesis!$F$47-ext_sh*Thesis!$F$44</f>
        <v>11.0576724934068</v>
      </c>
      <c r="G48" s="38" t="n">
        <f aca="false">Thesis!$G$47-ext_sh*Thesis!$G$44</f>
        <v>14.2411586648817</v>
      </c>
      <c r="H48" s="38" t="n">
        <f aca="false">Thesis!$H$47-ext_sh*Thesis!$H$44</f>
        <v>48.5912469028468</v>
      </c>
      <c r="I48" s="38" t="n">
        <f aca="false">Thesis!$I$47-ext_sh*Thesis!$I$44</f>
        <v>82.2763919971818</v>
      </c>
      <c r="J48" s="38" t="n">
        <f aca="false">Thesis!$J$47-ext_sh*Thesis!$J$44</f>
        <v>115.402891313281</v>
      </c>
      <c r="K48" s="38" t="n">
        <f aca="false">Thesis!$K$47-ext_sh*Thesis!$K$44</f>
        <v>139.636199128146</v>
      </c>
      <c r="L48" s="38" t="n">
        <f aca="false">Thesis!$L$47-ext_sh*Thesis!$L$44</f>
        <v>154.437237999831</v>
      </c>
      <c r="M48" s="38" t="n">
        <f aca="false">Thesis!$M$47-ext_sh*Thesis!$M$44</f>
        <v>158.46970489119</v>
      </c>
      <c r="N48" s="38" t="n">
        <f aca="false">Thesis!$N$47-ext_sh*Thesis!$N$44</f>
        <v>1.67921600037079</v>
      </c>
      <c r="O48" s="38" t="n">
        <f aca="false">Thesis!$O$47-ext_sh*Thesis!$O$44</f>
        <v>3.71203473735861</v>
      </c>
    </row>
    <row r="49" customFormat="false" ht="17.15" hidden="false" customHeight="false" outlineLevel="0" collapsed="false">
      <c r="A49" s="0" t="s">
        <v>644</v>
      </c>
      <c r="B49" s="0" t="s">
        <v>52</v>
      </c>
      <c r="C49" s="13" t="n">
        <f aca="false">Thesis!$C$48/Thesis!$C$26</f>
        <v>0.708390794789371</v>
      </c>
      <c r="D49" s="13" t="n">
        <f aca="false">Thesis!$D$48/Thesis!$D$26</f>
        <v>0.619415573115729</v>
      </c>
      <c r="E49" s="13" t="n">
        <f aca="false">Thesis!$E$48/Thesis!$E$26</f>
        <v>0.374072166056273</v>
      </c>
      <c r="F49" s="13" t="n">
        <f aca="false">Thesis!$F$48/Thesis!$F$26</f>
        <v>0.622244167053886</v>
      </c>
      <c r="G49" s="13" t="n">
        <f aca="false">Thesis!$G$48/Thesis!$G$26</f>
        <v>0.541880692123867</v>
      </c>
      <c r="H49" s="13" t="n">
        <f aca="false">Thesis!$H$48/Thesis!$H$26</f>
        <v>0.584845705425014</v>
      </c>
      <c r="I49" s="13" t="n">
        <f aca="false">Thesis!$I$48/Thesis!$I$26</f>
        <v>0.555635145282397</v>
      </c>
      <c r="J49" s="13" t="n">
        <f aca="false">Thesis!$J$48/Thesis!$J$26</f>
        <v>0.540888913661057</v>
      </c>
      <c r="K49" s="13" t="n">
        <f aca="false">Thesis!$K$48/Thesis!$K$26</f>
        <v>0.519006130652212</v>
      </c>
      <c r="L49" s="13" t="n">
        <f aca="false">Thesis!$L$48/Thesis!$L$26</f>
        <v>0.505304753601726</v>
      </c>
      <c r="M49" s="13" t="n">
        <f aca="false">Thesis!$M$48/Thesis!$M$26</f>
        <v>0.490511540606532</v>
      </c>
      <c r="N49" s="13" t="n">
        <f aca="false">Thesis!$N$48/Thesis!$N$26</f>
        <v>0.551227795793364</v>
      </c>
      <c r="O49" s="13" t="n">
        <f aca="false">Thesis!$O$48/Thesis!$O$26</f>
        <v>0.656132068597002</v>
      </c>
    </row>
    <row r="50" customFormat="false" ht="17.15" hidden="false" customHeight="false" outlineLevel="0" collapsed="false">
      <c r="A50" s="5" t="s">
        <v>645</v>
      </c>
      <c r="B50" s="0" t="s">
        <v>86</v>
      </c>
      <c r="C50" s="39" t="n">
        <v>0</v>
      </c>
      <c r="D50" s="39" t="n">
        <v>0</v>
      </c>
      <c r="E50" s="39" t="n">
        <v>0</v>
      </c>
      <c r="F50" s="38" t="n">
        <f aca="false">IF(internal_ai_reading=2,1,0)*(1-ext_sh)/ext_sh*(mw_open*he_open+Thesis!$F$24*Thesis!$F$21)*Thesis!$F$10/1000</f>
        <v>3.80479825569281</v>
      </c>
      <c r="G50" s="38" t="n">
        <f aca="false">Thesis!$E$50+Thesis!$F$50</f>
        <v>3.80479825569281</v>
      </c>
      <c r="H50" s="38" t="n">
        <f aca="false">IF(internal_ai_reading=2,1,0)*(1-ext_sh)/ext_sh*(mw_open*he_open+Thesis!$H$24*Thesis!$H$21)*Thesis!$H$10/1000</f>
        <v>15.4376834367265</v>
      </c>
      <c r="I50" s="38" t="n">
        <f aca="false">IF(internal_ai_reading=2,1,0)*(1-ext_sh)/ext_sh*(mw_open*he_open+Thesis!$I$24*Thesis!$I$21)*Thesis!$I$10/1000</f>
        <v>26.1389535282796</v>
      </c>
      <c r="J50" s="38" t="n">
        <f aca="false">IF(internal_ai_reading=2,1,0)*(1-ext_sh)/ext_sh*(mw_open*he_open+Thesis!$J$24*Thesis!$J$21)*Thesis!$J$10/1000</f>
        <v>36.8878303911588</v>
      </c>
      <c r="K50" s="38" t="n">
        <f aca="false">IF(internal_ai_reading=2,1,0)*(1-ext_sh)/ext_sh*(mw_open*he_open+Thesis!$K$24*Thesis!$K$21)*Thesis!$K$10/1000</f>
        <v>46.0570127832188</v>
      </c>
      <c r="L50" s="38" t="n">
        <f aca="false">IF(internal_ai_reading=2,1,0)*(1-ext_sh)/ext_sh*(mw_open*he_open+Thesis!$L$24*Thesis!$L$21)*Thesis!$L$10/1000</f>
        <v>52.0811306967416</v>
      </c>
      <c r="M50" s="38" t="n">
        <f aca="false">IF(internal_ai_reading=2,1,0)*(1-ext_sh)/ext_sh*(mw_open*he_open+Thesis!$M$24*Thesis!$M$21)*Thesis!$M$10/1000</f>
        <v>54.9524379204829</v>
      </c>
      <c r="N50" s="39" t="n">
        <v>0</v>
      </c>
      <c r="O50" s="39" t="n">
        <v>0</v>
      </c>
      <c r="P50" s="8" t="s">
        <v>646</v>
      </c>
    </row>
    <row r="51" customFormat="false" ht="17.15" hidden="false" customHeight="false" outlineLevel="0" collapsed="false">
      <c r="A51" s="5" t="s">
        <v>647</v>
      </c>
      <c r="B51" s="0" t="s">
        <v>86</v>
      </c>
      <c r="C51" s="38" t="n">
        <f aca="false">(1-ext_sh)*(Thesis!$C$28+Thesis!$C$44)</f>
        <v>0.169206631859174</v>
      </c>
      <c r="D51" s="38" t="n">
        <f aca="false">(1-ext_sh)*(Thesis!$D$28+Thesis!$D$44)</f>
        <v>0.828129837730442</v>
      </c>
      <c r="E51" s="38" t="n">
        <f aca="false">(1-ext_sh)*(Thesis!$E$28+Thesis!$E$44)</f>
        <v>1.33171670102377</v>
      </c>
      <c r="F51" s="38" t="n">
        <f aca="false">(1-ext_sh)*(Thesis!$F$28+Thesis!$F$44)</f>
        <v>1.67824003195134</v>
      </c>
      <c r="G51" s="38" t="n">
        <f aca="false">(1-ext_sh)*(Thesis!$G$28+Thesis!$G$44)</f>
        <v>3.00995673297512</v>
      </c>
      <c r="H51" s="38" t="n">
        <f aca="false">(1-ext_sh)*(Thesis!$H$28+Thesis!$H$44)</f>
        <v>8.62315677594421</v>
      </c>
      <c r="I51" s="38" t="n">
        <f aca="false">(1-ext_sh)*(Thesis!$I$28+Thesis!$I$44)</f>
        <v>16.4499749912034</v>
      </c>
      <c r="J51" s="38" t="n">
        <f aca="false">(1-ext_sh)*(Thesis!$J$28+Thesis!$J$44)</f>
        <v>24.4887376406353</v>
      </c>
      <c r="K51" s="38" t="n">
        <f aca="false">(1-ext_sh)*(Thesis!$K$28+Thesis!$K$44)</f>
        <v>32.3522940062688</v>
      </c>
      <c r="L51" s="38" t="n">
        <f aca="false">(1-ext_sh)*(Thesis!$L$28+Thesis!$L$44)</f>
        <v>37.7986586118742</v>
      </c>
      <c r="M51" s="38" t="n">
        <f aca="false">(1-ext_sh)*(Thesis!$M$28+Thesis!$M$44)</f>
        <v>41.150145879195</v>
      </c>
      <c r="N51" s="38" t="n">
        <f aca="false">(1-ext_sh)*(Thesis!$N$28+Thesis!$N$44)</f>
        <v>0.34177588266428</v>
      </c>
      <c r="O51" s="38" t="n">
        <f aca="false">(1-ext_sh)*(Thesis!$O$28+Thesis!$O$44)</f>
        <v>0.486353955066162</v>
      </c>
    </row>
    <row r="52" customFormat="false" ht="17.15" hidden="false" customHeight="false" outlineLevel="0" collapsed="false">
      <c r="A52" s="0" t="s">
        <v>648</v>
      </c>
      <c r="B52" s="0" t="s">
        <v>86</v>
      </c>
      <c r="C52" s="38" t="n">
        <f aca="false">Q!$D$24</f>
        <v>39.834</v>
      </c>
      <c r="D52" s="38" t="n">
        <f aca="false">Q!$E$24</f>
        <v>45.606</v>
      </c>
      <c r="E52" s="38" t="n">
        <f aca="false">Q!$P$24</f>
        <v>30.782</v>
      </c>
      <c r="N52" s="38" t="n">
        <f aca="false">Q!$N$24</f>
        <v>21.707</v>
      </c>
      <c r="O52" s="38" t="n">
        <f aca="false">Q!$O$24</f>
        <v>23.899</v>
      </c>
    </row>
    <row r="53" customFormat="false" ht="17.15" hidden="false" customHeight="false" outlineLevel="0" collapsed="false">
      <c r="A53" s="0" t="s">
        <v>649</v>
      </c>
      <c r="B53" s="0" t="s">
        <v>86</v>
      </c>
      <c r="C53" s="38" t="n">
        <f aca="false">Thesis!$C$52-Thesis!$C$48</f>
        <v>38.1898211704631</v>
      </c>
      <c r="D53" s="38" t="n">
        <f aca="false">Thesis!$D$52-Thesis!$D$48</f>
        <v>40.2147492622706</v>
      </c>
      <c r="E53" s="38" t="n">
        <f aca="false">Thesis!$E$52-Thesis!$E$48</f>
        <v>27.5985138285251</v>
      </c>
      <c r="F53" s="38" t="n">
        <f aca="false">Thesis!$F$30*Thesis!$F$54</f>
        <v>25.5484769754606</v>
      </c>
      <c r="G53" s="38" t="n">
        <f aca="false">Thesis!$E$53+Thesis!$F$53</f>
        <v>53.1469908039857</v>
      </c>
      <c r="H53" s="38" t="n">
        <f aca="false">Thesis!$H$30*Thesis!$H$54</f>
        <v>57.3189525076539</v>
      </c>
      <c r="I53" s="38" t="n">
        <f aca="false">Thesis!$I$30*Thesis!$I$54</f>
        <v>63.6385627021087</v>
      </c>
      <c r="J53" s="38" t="n">
        <f aca="false">Thesis!$J$30*Thesis!$J$54</f>
        <v>69.6922896066105</v>
      </c>
      <c r="K53" s="38" t="n">
        <f aca="false">Thesis!$K$30*Thesis!$K$54</f>
        <v>75.2676727751394</v>
      </c>
      <c r="L53" s="38" t="n">
        <f aca="false">Thesis!$L$30*Thesis!$L$54</f>
        <v>81.2890865971505</v>
      </c>
      <c r="M53" s="38" t="n">
        <f aca="false">Thesis!$M$30*Thesis!$M$54</f>
        <v>87.7922135249226</v>
      </c>
      <c r="N53" s="38" t="n">
        <f aca="false">Thesis!$N$52-Thesis!$N$48</f>
        <v>20.0277839996292</v>
      </c>
      <c r="O53" s="38" t="n">
        <f aca="false">Thesis!$O$52-Thesis!$O$48</f>
        <v>20.1869652626414</v>
      </c>
      <c r="P53" s="5" t="s">
        <v>650</v>
      </c>
    </row>
    <row r="54" customFormat="false" ht="17.15" hidden="false" customHeight="false" outlineLevel="0" collapsed="false">
      <c r="A54" s="0" t="s">
        <v>651</v>
      </c>
      <c r="B54" s="0" t="s">
        <v>52</v>
      </c>
      <c r="C54" s="13" t="n">
        <f aca="false">Thesis!$C$53/Thesis!$C$30</f>
        <v>0.362900395443635</v>
      </c>
      <c r="D54" s="13" t="n">
        <f aca="false">Thesis!$D$53/Thesis!$D$30</f>
        <v>0.335063632425483</v>
      </c>
      <c r="E54" s="13" t="n">
        <f aca="false">Thesis!$E$53/Thesis!$E$30</f>
        <v>0.387028992698038</v>
      </c>
      <c r="F54" s="13" t="n">
        <f aca="false">(Thesis!$O$53+Thesis!$E$53)/(Thesis!$O$30+Thesis!$E$30)</f>
        <v>0.355980580118587</v>
      </c>
      <c r="G54" s="13" t="n">
        <f aca="false">Thesis!$G$53/Thesis!$G$30</f>
        <v>0.371454804780916</v>
      </c>
      <c r="H54" s="13" t="n">
        <f aca="false">Thesis!$F$54</f>
        <v>0.355980580118587</v>
      </c>
      <c r="I54" s="13" t="n">
        <f aca="false">Thesis!$F$54</f>
        <v>0.355980580118587</v>
      </c>
      <c r="J54" s="13" t="n">
        <f aca="false">Thesis!$F$54</f>
        <v>0.355980580118587</v>
      </c>
      <c r="K54" s="13" t="n">
        <f aca="false">Thesis!$F$54</f>
        <v>0.355980580118587</v>
      </c>
      <c r="L54" s="13" t="n">
        <f aca="false">Thesis!$F$54</f>
        <v>0.355980580118587</v>
      </c>
      <c r="M54" s="13" t="n">
        <f aca="false">Thesis!$F$54</f>
        <v>0.355980580118587</v>
      </c>
      <c r="N54" s="13" t="n">
        <f aca="false">Thesis!$N$53/Thesis!$N$30</f>
        <v>0.35078810535806</v>
      </c>
      <c r="O54" s="13" t="n">
        <f aca="false">Thesis!$O$53/Thesis!$O$30</f>
        <v>0.320796939361619</v>
      </c>
      <c r="P54" s="8" t="s">
        <v>652</v>
      </c>
    </row>
    <row r="55" customFormat="false" ht="17.15" hidden="false" customHeight="false" outlineLevel="0" collapsed="false">
      <c r="A55" s="0" t="s">
        <v>653</v>
      </c>
      <c r="B55" s="0" t="s">
        <v>52</v>
      </c>
      <c r="D55" s="13" t="n">
        <f aca="false">(Q!$E$31-ext_sh*Thesis!$D$44)/Thesis!$D$30</f>
        <v>0.167180325480118</v>
      </c>
    </row>
    <row r="56" customFormat="false" ht="17.15" hidden="false" customHeight="false" outlineLevel="0" collapsed="false">
      <c r="A56" s="0" t="s">
        <v>654</v>
      </c>
      <c r="B56" s="0" t="s">
        <v>86</v>
      </c>
      <c r="C56" s="38" t="n">
        <f aca="false">Q!$D$31</f>
        <v>13.32</v>
      </c>
      <c r="D56" s="38" t="n">
        <f aca="false">Q!$E$31</f>
        <v>21.45</v>
      </c>
      <c r="E56" s="38" t="n">
        <f aca="false">Q!$P$31</f>
        <v>15.353</v>
      </c>
      <c r="F56" s="38" t="n">
        <f aca="false">ext_sh*Thesis!$F$44+Thesis!$D$55*Thesis!$F$30</f>
        <v>15.4404120185306</v>
      </c>
      <c r="G56" s="38" t="n">
        <f aca="false">Thesis!$E$56+Thesis!$F$56</f>
        <v>30.7934120185306</v>
      </c>
      <c r="H56" s="38" t="n">
        <f aca="false">ext_sh*Thesis!$H$44+Thesis!$D$55*Thesis!$H$30</f>
        <v>48.540276118855</v>
      </c>
      <c r="I56" s="38" t="n">
        <f aca="false">ext_sh*Thesis!$I$44+Thesis!$D$55*Thesis!$I$30</f>
        <v>74.2889982306963</v>
      </c>
      <c r="J56" s="38" t="n">
        <f aca="false">ext_sh*Thesis!$J$44+Thesis!$D$55*Thesis!$J$30</f>
        <v>100.74486498679</v>
      </c>
      <c r="K56" s="38" t="n">
        <f aca="false">ext_sh*Thesis!$K$44+Thesis!$D$55*Thesis!$K$30</f>
        <v>127.527751129156</v>
      </c>
      <c r="L56" s="38" t="n">
        <f aca="false">ext_sh*Thesis!$L$44+Thesis!$D$55*Thesis!$L$30</f>
        <v>147.351578693324</v>
      </c>
      <c r="M56" s="38" t="n">
        <f aca="false">ext_sh*Thesis!$M$44+Thesis!$D$55*Thesis!$M$30</f>
        <v>161.524928267506</v>
      </c>
      <c r="N56" s="38" t="n">
        <f aca="false">Q!$N$31</f>
        <v>9.234</v>
      </c>
      <c r="O56" s="38" t="n">
        <f aca="false">Q!$O$31</f>
        <v>12.216</v>
      </c>
    </row>
    <row r="57" customFormat="false" ht="17.15" hidden="false" customHeight="false" outlineLevel="0" collapsed="false">
      <c r="A57" s="1" t="s">
        <v>655</v>
      </c>
    </row>
    <row r="58" customFormat="false" ht="17.15" hidden="false" customHeight="false" outlineLevel="0" collapsed="false">
      <c r="A58" s="15" t="s">
        <v>656</v>
      </c>
      <c r="B58" s="14" t="s">
        <v>52</v>
      </c>
      <c r="C58" s="14"/>
      <c r="D58" s="14"/>
      <c r="E58" s="14"/>
      <c r="F58" s="14"/>
      <c r="G58" s="17" t="n">
        <f aca="false">Thesis!$G$48*(1-tax)/(ext_sh*(Thesis!$D$45+Thesis!$G$45)/2)</f>
        <v>0.118866604349079</v>
      </c>
      <c r="H58" s="17" t="n">
        <f aca="false">Thesis!$H$48*(1-tax)/(ext_sh*(Thesis!$G$45+Thesis!$H$45)/2)</f>
        <v>0.182988682723128</v>
      </c>
      <c r="I58" s="17" t="n">
        <f aca="false">Thesis!$I$48*(1-tax)/(ext_sh*(Thesis!$H$45+Thesis!$I$45)/2)</f>
        <v>0.193109161507081</v>
      </c>
      <c r="J58" s="17" t="n">
        <f aca="false">Thesis!$J$48*(1-tax)/(ext_sh*(Thesis!$I$45+Thesis!$J$45)/2)</f>
        <v>0.204590906844158</v>
      </c>
      <c r="K58" s="17" t="n">
        <f aca="false">Thesis!$K$48*(1-tax)/(ext_sh*(Thesis!$J$45+Thesis!$K$45)/2)</f>
        <v>0.215338995568461</v>
      </c>
      <c r="L58" s="17" t="n">
        <f aca="false">Thesis!$L$48*(1-tax)/(ext_sh*(Thesis!$K$45+Thesis!$L$45)/2)</f>
        <v>0.230974999085087</v>
      </c>
      <c r="M58" s="17" t="n">
        <f aca="false">Thesis!$M$48*(1-tax)/(ext_sh*(Thesis!$L$45+Thesis!$M$45)/2)</f>
        <v>0.240066920637252</v>
      </c>
      <c r="N58" s="14"/>
      <c r="O58" s="14"/>
      <c r="P58" s="8" t="s">
        <v>657</v>
      </c>
    </row>
    <row r="59" customFormat="false" ht="17.15" hidden="false" customHeight="false" outlineLevel="0" collapsed="false">
      <c r="A59" s="5" t="s">
        <v>658</v>
      </c>
      <c r="B59" s="0" t="s">
        <v>57</v>
      </c>
      <c r="H59" s="36" t="n">
        <f aca="false">Thesis!$H$26*1000/(mw_open*he_open+Thesis!$H$24*Thesis!$H$21)</f>
        <v>1.34547185053953</v>
      </c>
      <c r="I59" s="36" t="n">
        <f aca="false">Thesis!$I$26*1000/(mw_open*he_open+Thesis!$I$24*Thesis!$I$21)</f>
        <v>1.41624158558789</v>
      </c>
      <c r="J59" s="36" t="n">
        <f aca="false">Thesis!$J$26*1000/(mw_open*he_open+Thesis!$J$24*Thesis!$J$21)</f>
        <v>1.44599072114959</v>
      </c>
      <c r="K59" s="36" t="n">
        <f aca="false">Thesis!$K$26*1000/(mw_open*he_open+Thesis!$K$24*Thesis!$K$21)</f>
        <v>1.46039310245524</v>
      </c>
      <c r="L59" s="36" t="n">
        <f aca="false">Thesis!$L$26*1000/(mw_open*he_open+Thesis!$L$24*Thesis!$L$21)</f>
        <v>1.46709503210944</v>
      </c>
      <c r="M59" s="36" t="n">
        <f aca="false">Thesis!$M$26*1000/(mw_open*he_open+Thesis!$M$24*Thesis!$M$21)</f>
        <v>1.46977231872523</v>
      </c>
    </row>
    <row r="60" customFormat="false" ht="17.15" hidden="false" customHeight="false" outlineLevel="0" collapsed="false">
      <c r="A60" s="5" t="s">
        <v>659</v>
      </c>
      <c r="B60" s="0" t="s">
        <v>57</v>
      </c>
      <c r="H60" s="36" t="n">
        <f aca="false">Thesis!$H$59*(Thesis!$H$26+wacc*ext_sh*(Thesis!$G$45+Thesis!$H$45)/2/(1-tax)-Thesis!$H$48)/Thesis!$H$26</f>
        <v>1.04578339988052</v>
      </c>
      <c r="I60" s="36" t="n">
        <f aca="false">Thesis!$I$59*(Thesis!$I$26+wacc*ext_sh*(Thesis!$H$45+Thesis!$I$45)/2/(1-tax)-Thesis!$I$48)/Thesis!$I$26</f>
        <v>1.09101132683259</v>
      </c>
      <c r="J60" s="36" t="n">
        <f aca="false">Thesis!$J$59*(Thesis!$J$26+wacc*ext_sh*(Thesis!$I$45+Thesis!$J$45)/2/(1-tax)-Thesis!$J$48)/Thesis!$J$26</f>
        <v>1.09698942471841</v>
      </c>
      <c r="K60" s="36" t="n">
        <f aca="false">Thesis!$K$59*(Thesis!$K$26+wacc*ext_sh*(Thesis!$J$45+Thesis!$K$45)/2/(1-tax)-Thesis!$K$48)/Thesis!$K$26</f>
        <v>1.10122585881227</v>
      </c>
      <c r="L60" s="36" t="n">
        <f aca="false">Thesis!$L$59*(Thesis!$L$26+wacc*ext_sh*(Thesis!$K$45+Thesis!$L$45)/2/(1-tax)-Thesis!$L$48)/Thesis!$L$26</f>
        <v>1.08940078379728</v>
      </c>
      <c r="M60" s="36" t="n">
        <f aca="false">Thesis!$M$59*(Thesis!$M$26+wacc*ext_sh*(Thesis!$L$45+Thesis!$M$45)/2/(1-tax)-Thesis!$M$48)/Thesis!$M$26</f>
        <v>1.08907331369575</v>
      </c>
    </row>
    <row r="61" customFormat="false" ht="17.15" hidden="false" customHeight="false" outlineLevel="0" collapsed="false">
      <c r="A61" s="5" t="s">
        <v>660</v>
      </c>
      <c r="B61" s="0" t="s">
        <v>52</v>
      </c>
      <c r="C61" s="13" t="n">
        <f aca="false">Thesis!$C$27/tk_pq</f>
        <v>0.195316432429398</v>
      </c>
      <c r="D61" s="13" t="n">
        <f aca="false">Thesis!$D$27/tk_pq</f>
        <v>0.195316432429398</v>
      </c>
      <c r="E61" s="13" t="n">
        <f aca="false">Thesis!$E$27/tk_pq</f>
        <v>0.195316432429398</v>
      </c>
      <c r="F61" s="13" t="n">
        <f aca="false">Thesis!$F$27/tk_pq</f>
        <v>0.238216369188823</v>
      </c>
      <c r="G61" s="13" t="n">
        <f aca="false">Thesis!$G$27/tk_pq</f>
        <v>0.222398239257102</v>
      </c>
      <c r="H61" s="13" t="n">
        <f aca="false">Thesis!$H$27/tk_pq</f>
        <v>0.288662452721988</v>
      </c>
      <c r="I61" s="13" t="n">
        <f aca="false">Thesis!$I$27/tk_pq</f>
        <v>0.313283832077501</v>
      </c>
      <c r="J61" s="13" t="n">
        <f aca="false">Thesis!$J$27/tk_pq</f>
        <v>0.324501807962888</v>
      </c>
      <c r="K61" s="13" t="n">
        <f aca="false">Thesis!$K$27/tk_pq</f>
        <v>0.330006797137512</v>
      </c>
      <c r="L61" s="13" t="n">
        <f aca="false">Thesis!$L$27/tk_pq</f>
        <v>0.332592351849539</v>
      </c>
      <c r="M61" s="13" t="n">
        <f aca="false">Thesis!$M$27/tk_pq</f>
        <v>0.333580761841585</v>
      </c>
      <c r="N61" s="13" t="n">
        <f aca="false">Thesis!$N$27/tk_pq</f>
        <v>0.195316432429398</v>
      </c>
      <c r="O61" s="13" t="n">
        <f aca="false">Thesis!$O$27/tk_pq</f>
        <v>0.195316432429398</v>
      </c>
      <c r="P61" s="5" t="s">
        <v>661</v>
      </c>
    </row>
    <row r="64" customFormat="false" ht="19.4" hidden="false" customHeight="false" outlineLevel="0" collapsed="false">
      <c r="A64" s="31" t="s">
        <v>662</v>
      </c>
    </row>
    <row r="65" customFormat="false" ht="17.15" hidden="false" customHeight="false" outlineLevel="0" collapsed="false">
      <c r="A65" s="6" t="s">
        <v>16</v>
      </c>
      <c r="B65" s="6" t="s">
        <v>17</v>
      </c>
      <c r="C65" s="20" t="s">
        <v>497</v>
      </c>
      <c r="D65" s="20" t="s">
        <v>498</v>
      </c>
      <c r="E65" s="20" t="s">
        <v>580</v>
      </c>
      <c r="F65" s="20" t="s">
        <v>581</v>
      </c>
      <c r="G65" s="20" t="s">
        <v>582</v>
      </c>
      <c r="H65" s="20" t="s">
        <v>583</v>
      </c>
      <c r="I65" s="20" t="s">
        <v>584</v>
      </c>
      <c r="J65" s="20" t="s">
        <v>585</v>
      </c>
      <c r="K65" s="20" t="s">
        <v>586</v>
      </c>
      <c r="L65" s="20" t="s">
        <v>587</v>
      </c>
      <c r="M65" s="20" t="s">
        <v>588</v>
      </c>
      <c r="N65" s="20" t="s">
        <v>589</v>
      </c>
      <c r="O65" s="20" t="s">
        <v>590</v>
      </c>
      <c r="P65" s="6" t="s">
        <v>23</v>
      </c>
      <c r="R65" s="20" t="n">
        <v>2023</v>
      </c>
      <c r="S65" s="20" t="n">
        <v>2024</v>
      </c>
      <c r="T65" s="20" t="n">
        <v>2025</v>
      </c>
      <c r="U65" s="20" t="n">
        <v>2026</v>
      </c>
      <c r="V65" s="20" t="n">
        <v>2027</v>
      </c>
      <c r="W65" s="20" t="n">
        <v>2028</v>
      </c>
      <c r="X65" s="20" t="n">
        <v>2029</v>
      </c>
      <c r="Y65" s="20" t="n">
        <v>2030</v>
      </c>
      <c r="Z65" s="20" t="n">
        <v>2031</v>
      </c>
      <c r="AA65" s="20" t="n">
        <v>2032</v>
      </c>
    </row>
    <row r="66" customFormat="false" ht="17.15" hidden="false" customHeight="false" outlineLevel="0" collapsed="false">
      <c r="A66" s="1" t="s">
        <v>591</v>
      </c>
    </row>
    <row r="67" customFormat="false" ht="17.15" hidden="false" customHeight="false" outlineLevel="0" collapsed="false">
      <c r="A67" s="5" t="s">
        <v>592</v>
      </c>
      <c r="B67" s="0" t="s">
        <v>144</v>
      </c>
      <c r="H67" s="32" t="n">
        <f aca="false">pace_B</f>
        <v>3634.3</v>
      </c>
      <c r="I67" s="32" t="n">
        <f aca="false">pace_B</f>
        <v>3634.3</v>
      </c>
      <c r="J67" s="32" t="n">
        <f aca="false">pace_B</f>
        <v>3634.3</v>
      </c>
      <c r="K67" s="32" t="n">
        <f aca="false">pace_B+(Thesis!$J$68*tg-pace_B)*1/3</f>
        <v>2570.86716666667</v>
      </c>
      <c r="L67" s="32" t="n">
        <f aca="false">pace_B+(Thesis!$J$68*tg-pace_B)*2/3</f>
        <v>1507.43433333333</v>
      </c>
      <c r="M67" s="32" t="n">
        <f aca="false">pace_B+(Thesis!$J$68*tg-pace_B)*3/3</f>
        <v>444.0015</v>
      </c>
      <c r="P67" s="5" t="s">
        <v>593</v>
      </c>
    </row>
    <row r="68" customFormat="false" ht="17.15" hidden="false" customHeight="false" outlineLevel="0" collapsed="false">
      <c r="A68" s="15" t="s">
        <v>594</v>
      </c>
      <c r="B68" s="14" t="s">
        <v>129</v>
      </c>
      <c r="C68" s="33" t="n">
        <f aca="false">mw_ye24</f>
        <v>360</v>
      </c>
      <c r="D68" s="33" t="n">
        <f aca="false">mw_ye25</f>
        <v>1440</v>
      </c>
      <c r="E68" s="33" t="n">
        <f aca="false">mw_open</f>
        <v>2080</v>
      </c>
      <c r="F68" s="33" t="n">
        <f aca="false">Thesis!$E$68+pace_B*0.5</f>
        <v>3897.15</v>
      </c>
      <c r="G68" s="33" t="n">
        <f aca="false">Thesis!$F$68</f>
        <v>3897.15</v>
      </c>
      <c r="H68" s="33" t="n">
        <f aca="false">Thesis!$G$68+Thesis!$H$67</f>
        <v>7531.45</v>
      </c>
      <c r="I68" s="33" t="n">
        <f aca="false">Thesis!$H$68+Thesis!$I$67</f>
        <v>11165.75</v>
      </c>
      <c r="J68" s="33" t="n">
        <f aca="false">Thesis!$I$68+Thesis!$J$67</f>
        <v>14800.05</v>
      </c>
      <c r="K68" s="33" t="n">
        <f aca="false">Thesis!$J$68+Thesis!$K$67</f>
        <v>17370.9171666667</v>
      </c>
      <c r="L68" s="33" t="n">
        <f aca="false">Thesis!$K$68+Thesis!$L$67</f>
        <v>18878.3515</v>
      </c>
      <c r="M68" s="33" t="n">
        <f aca="false">Thesis!$L$68+Thesis!$M$67</f>
        <v>19322.353</v>
      </c>
      <c r="N68" s="33" t="n">
        <f aca="false">(mw_ye24+mw_ye25)/2</f>
        <v>900</v>
      </c>
      <c r="O68" s="33" t="n">
        <f aca="false">mw_ye25</f>
        <v>1440</v>
      </c>
      <c r="P68" s="5" t="s">
        <v>595</v>
      </c>
    </row>
    <row r="69" customFormat="false" ht="17.15" hidden="false" customHeight="false" outlineLevel="0" collapsed="false">
      <c r="A69" s="5" t="s">
        <v>596</v>
      </c>
      <c r="B69" s="0" t="s">
        <v>129</v>
      </c>
      <c r="C69" s="32" t="n">
        <f aca="false">(mw_ye23+mw_ye24)/2</f>
        <v>240</v>
      </c>
      <c r="D69" s="32" t="n">
        <f aca="false">(Thesis!$C$68+Thesis!$D$68)/2</f>
        <v>900</v>
      </c>
      <c r="E69" s="32" t="n">
        <f aca="false">(Thesis!$D$68+Thesis!$E$68)/2</f>
        <v>1760</v>
      </c>
      <c r="F69" s="32" t="n">
        <f aca="false">(Thesis!$E$68+Thesis!$F$68)/2</f>
        <v>2988.575</v>
      </c>
      <c r="G69" s="32" t="n">
        <f aca="false">(Thesis!$E$69+Thesis!$F$69)/2</f>
        <v>2374.2875</v>
      </c>
      <c r="H69" s="32" t="n">
        <f aca="false">(Thesis!$G$68+Thesis!$H$68)/2</f>
        <v>5714.3</v>
      </c>
      <c r="I69" s="32" t="n">
        <f aca="false">(Thesis!$H$68+Thesis!$I$68)/2</f>
        <v>9348.6</v>
      </c>
      <c r="J69" s="32" t="n">
        <f aca="false">(Thesis!$I$68+Thesis!$J$68)/2</f>
        <v>12982.9</v>
      </c>
      <c r="K69" s="32" t="n">
        <f aca="false">(Thesis!$J$68+Thesis!$K$68)/2</f>
        <v>16085.4835833333</v>
      </c>
      <c r="L69" s="32" t="n">
        <f aca="false">(Thesis!$K$68+Thesis!$L$68)/2</f>
        <v>18124.6343333333</v>
      </c>
      <c r="M69" s="32" t="n">
        <f aca="false">(Thesis!$L$68+Thesis!$M$68)/2</f>
        <v>19100.35225</v>
      </c>
      <c r="N69" s="32" t="n">
        <f aca="false">(Thesis!$C$68+Thesis!$N$68)/2</f>
        <v>630</v>
      </c>
      <c r="O69" s="32" t="n">
        <f aca="false">(Thesis!$N$68+Thesis!$O$68)/2</f>
        <v>1170</v>
      </c>
    </row>
    <row r="70" customFormat="false" ht="15" hidden="false" customHeight="false" outlineLevel="0" collapsed="false">
      <c r="A70" s="5" t="s">
        <v>597</v>
      </c>
      <c r="B70" s="5" t="s">
        <v>123</v>
      </c>
      <c r="C70" s="34" t="n">
        <v>1</v>
      </c>
      <c r="D70" s="34" t="n">
        <v>1</v>
      </c>
      <c r="E70" s="34" t="n">
        <v>0.5</v>
      </c>
      <c r="F70" s="34" t="n">
        <v>0.5</v>
      </c>
      <c r="G70" s="34" t="n">
        <v>1</v>
      </c>
      <c r="H70" s="34" t="n">
        <v>1</v>
      </c>
      <c r="I70" s="34" t="n">
        <v>1</v>
      </c>
      <c r="J70" s="34" t="n">
        <v>1</v>
      </c>
      <c r="K70" s="34" t="n">
        <v>1</v>
      </c>
      <c r="L70" s="34" t="n">
        <v>1</v>
      </c>
      <c r="M70" s="34" t="n">
        <v>1</v>
      </c>
      <c r="N70" s="34" t="n">
        <v>0.5</v>
      </c>
      <c r="O70" s="34" t="n">
        <v>0.5</v>
      </c>
    </row>
    <row r="71" customFormat="false" ht="17.15" hidden="false" customHeight="false" outlineLevel="0" collapsed="false">
      <c r="A71" s="5" t="s">
        <v>598</v>
      </c>
      <c r="B71" s="0" t="s">
        <v>129</v>
      </c>
      <c r="C71" s="32" t="n">
        <f aca="false">Thesis!$C$68-mw_ye23</f>
        <v>240</v>
      </c>
      <c r="D71" s="32" t="n">
        <f aca="false">Thesis!$D$68-Thesis!$C$68</f>
        <v>1080</v>
      </c>
      <c r="E71" s="32" t="n">
        <f aca="false">Thesis!$E$68-Thesis!$D$68</f>
        <v>640</v>
      </c>
      <c r="F71" s="32" t="n">
        <f aca="false">Thesis!$F$68-Thesis!$E$68</f>
        <v>1817.15</v>
      </c>
      <c r="G71" s="32" t="n">
        <f aca="false">Thesis!$E$71+Thesis!$F$71</f>
        <v>2457.15</v>
      </c>
      <c r="H71" s="32" t="n">
        <f aca="false">Thesis!$H$68-Thesis!$G$68</f>
        <v>3634.3</v>
      </c>
      <c r="I71" s="32" t="n">
        <f aca="false">Thesis!$I$68-Thesis!$H$68</f>
        <v>3634.3</v>
      </c>
      <c r="J71" s="32" t="n">
        <f aca="false">Thesis!$J$68-Thesis!$I$68</f>
        <v>3634.3</v>
      </c>
      <c r="K71" s="32" t="n">
        <f aca="false">Thesis!$K$68-Thesis!$J$68</f>
        <v>2570.86716666667</v>
      </c>
      <c r="L71" s="32" t="n">
        <f aca="false">Thesis!$L$68-Thesis!$K$68</f>
        <v>1507.43433333333</v>
      </c>
      <c r="M71" s="32" t="n">
        <f aca="false">Thesis!$M$68-Thesis!$L$68</f>
        <v>444.001499999999</v>
      </c>
      <c r="N71" s="32" t="n">
        <f aca="false">Thesis!$N$68-Thesis!$C$68</f>
        <v>540</v>
      </c>
      <c r="O71" s="32" t="n">
        <f aca="false">Thesis!$O$68-Thesis!$N$68</f>
        <v>540</v>
      </c>
    </row>
    <row r="72" customFormat="false" ht="17.15" hidden="false" customHeight="false" outlineLevel="0" collapsed="false">
      <c r="A72" s="5" t="s">
        <v>599</v>
      </c>
      <c r="B72" s="0" t="s">
        <v>129</v>
      </c>
      <c r="C72" s="32" t="n">
        <f aca="false">Thesis!$C$71/ext_sh</f>
        <v>300</v>
      </c>
      <c r="D72" s="32" t="n">
        <f aca="false">Thesis!$D$71/ext_sh</f>
        <v>1350</v>
      </c>
      <c r="E72" s="32" t="n">
        <f aca="false">Thesis!$E$71/ext_sh</f>
        <v>800</v>
      </c>
      <c r="F72" s="32" t="n">
        <f aca="false">Thesis!$F$71/ext_sh</f>
        <v>2271.4375</v>
      </c>
      <c r="G72" s="32" t="n">
        <f aca="false">Thesis!$G$71/ext_sh</f>
        <v>3071.4375</v>
      </c>
      <c r="H72" s="32" t="n">
        <f aca="false">Thesis!$H$71/ext_sh</f>
        <v>4542.875</v>
      </c>
      <c r="I72" s="32" t="n">
        <f aca="false">Thesis!$I$71/ext_sh</f>
        <v>4542.875</v>
      </c>
      <c r="J72" s="32" t="n">
        <f aca="false">Thesis!$J$71/ext_sh</f>
        <v>4542.875</v>
      </c>
      <c r="K72" s="32" t="n">
        <f aca="false">Thesis!$K$71/ext_sh</f>
        <v>3213.58395833333</v>
      </c>
      <c r="L72" s="32" t="n">
        <f aca="false">Thesis!$L$71/ext_sh</f>
        <v>1884.29291666667</v>
      </c>
      <c r="M72" s="32" t="n">
        <f aca="false">Thesis!$M$71/ext_sh</f>
        <v>555.001874999998</v>
      </c>
      <c r="N72" s="32" t="n">
        <f aca="false">Thesis!$N$71/ext_sh</f>
        <v>675</v>
      </c>
      <c r="O72" s="32" t="n">
        <f aca="false">Thesis!$O$71/ext_sh</f>
        <v>675</v>
      </c>
      <c r="P72" s="8" t="s">
        <v>600</v>
      </c>
      <c r="R72" s="32" t="n">
        <f aca="false">mw_ye23/ext_sh</f>
        <v>150</v>
      </c>
      <c r="S72" s="32" t="n">
        <f aca="false">Thesis!$C$72</f>
        <v>300</v>
      </c>
      <c r="T72" s="32" t="n">
        <f aca="false">Thesis!$D$72</f>
        <v>1350</v>
      </c>
      <c r="U72" s="32" t="n">
        <f aca="false">Thesis!$G$72</f>
        <v>3071.4375</v>
      </c>
      <c r="V72" s="32" t="n">
        <f aca="false">Thesis!$H$72</f>
        <v>4542.875</v>
      </c>
      <c r="W72" s="32" t="n">
        <f aca="false">Thesis!$I$72</f>
        <v>4542.875</v>
      </c>
      <c r="X72" s="32" t="n">
        <f aca="false">Thesis!$J$72</f>
        <v>4542.875</v>
      </c>
      <c r="Y72" s="32" t="n">
        <f aca="false">Thesis!$K$72</f>
        <v>3213.58395833333</v>
      </c>
      <c r="Z72" s="32" t="n">
        <f aca="false">Thesis!$L$72</f>
        <v>1884.29291666667</v>
      </c>
      <c r="AA72" s="32" t="n">
        <f aca="false">Thesis!$M$72</f>
        <v>555.001874999998</v>
      </c>
    </row>
    <row r="73" customFormat="false" ht="17.15" hidden="false" customHeight="false" outlineLevel="0" collapsed="false">
      <c r="A73" s="1" t="s">
        <v>601</v>
      </c>
    </row>
    <row r="74" customFormat="false" ht="17.15" hidden="false" customHeight="false" outlineLevel="0" collapsed="false">
      <c r="A74" s="0" t="s">
        <v>602</v>
      </c>
      <c r="B74" s="0" t="s">
        <v>52</v>
      </c>
      <c r="F74" s="35" t="n">
        <f aca="false">na_vr26</f>
        <v>0</v>
      </c>
      <c r="G74" s="35" t="n">
        <f aca="false">na_vr26</f>
        <v>0</v>
      </c>
      <c r="H74" s="35" t="n">
        <f aca="false">na_vr27</f>
        <v>0.5</v>
      </c>
      <c r="I74" s="35" t="n">
        <f aca="false">na_vr28</f>
        <v>1</v>
      </c>
      <c r="J74" s="35" t="n">
        <f aca="false">na_vr28</f>
        <v>1</v>
      </c>
      <c r="K74" s="35" t="n">
        <f aca="false">na_vr28</f>
        <v>1</v>
      </c>
      <c r="L74" s="35" t="n">
        <f aca="false">na_vr28</f>
        <v>1</v>
      </c>
      <c r="M74" s="35" t="n">
        <f aca="false">na_vr28</f>
        <v>1</v>
      </c>
    </row>
    <row r="75" customFormat="false" ht="17.15" hidden="false" customHeight="false" outlineLevel="0" collapsed="false">
      <c r="A75" s="5" t="s">
        <v>603</v>
      </c>
      <c r="B75" s="0" t="s">
        <v>173</v>
      </c>
      <c r="F75" s="36" t="n">
        <f aca="false">cust_sh*tk_he_gb300*cf_chip+(1-cust_sh)*((1-Thesis!$F$74)*tk_he_gb300+Thesis!$F$74*tk_he_vr200)</f>
        <v>10.8864110021101</v>
      </c>
      <c r="G75" s="36" t="n">
        <f aca="false">cust_sh*tk_he_gb300*cf_chip+(1-cust_sh)*((1-Thesis!$G$74)*tk_he_gb300+Thesis!$G$74*tk_he_vr200)</f>
        <v>10.8864110021101</v>
      </c>
      <c r="H75" s="36" t="n">
        <f aca="false">cust_sh*tk_he_gb300*cf_chip+(1-cust_sh)*((1-Thesis!$H$74)*tk_he_gb300+Thesis!$H$74*tk_he_vr200)</f>
        <v>11.2211760027286</v>
      </c>
      <c r="I75" s="36" t="n">
        <f aca="false">cust_sh*tk_he_gb300*cf_chip+(1-cust_sh)*((1-Thesis!$I$74)*tk_he_gb300+Thesis!$I$74*tk_he_vr200)</f>
        <v>11.5559410033471</v>
      </c>
      <c r="J75" s="36" t="n">
        <f aca="false">cust_sh*tk_he_gb300*cf_chip+(1-cust_sh)*((1-Thesis!$J$74)*tk_he_gb300+Thesis!$J$74*tk_he_vr200)</f>
        <v>11.5559410033471</v>
      </c>
      <c r="K75" s="36" t="n">
        <f aca="false">cust_sh*tk_he_gb300*cf_chip+(1-cust_sh)*((1-Thesis!$K$74)*tk_he_gb300+Thesis!$K$74*tk_he_vr200)</f>
        <v>11.5559410033471</v>
      </c>
      <c r="L75" s="36" t="n">
        <f aca="false">cust_sh*tk_he_gb300*cf_chip+(1-cust_sh)*((1-Thesis!$L$74)*tk_he_gb300+Thesis!$L$74*tk_he_vr200)</f>
        <v>11.5559410033471</v>
      </c>
      <c r="M75" s="36" t="n">
        <f aca="false">cust_sh*tk_he_gb300*cf_chip+(1-cust_sh)*((1-Thesis!$M$74)*tk_he_gb300+Thesis!$M$74*tk_he_vr200)</f>
        <v>11.5559410033471</v>
      </c>
    </row>
    <row r="76" customFormat="false" ht="17.15" hidden="false" customHeight="false" outlineLevel="0" collapsed="false">
      <c r="A76" s="5" t="s">
        <v>604</v>
      </c>
      <c r="B76" s="0" t="s">
        <v>173</v>
      </c>
      <c r="F76" s="36" t="n">
        <f aca="false">cust_sh*tk_ox_gb300+(1-cust_sh)*((1-Thesis!$F$74)*tk_ox_gb300+Thesis!$F$74*tk_ox_vr200)</f>
        <v>1.98263481314457</v>
      </c>
      <c r="G76" s="36" t="n">
        <f aca="false">cust_sh*tk_ox_gb300+(1-cust_sh)*((1-Thesis!$G$74)*tk_ox_gb300+Thesis!$G$74*tk_ox_vr200)</f>
        <v>1.98263481314457</v>
      </c>
      <c r="H76" s="36" t="n">
        <f aca="false">cust_sh*tk_ox_gb300+(1-cust_sh)*((1-Thesis!$H$74)*tk_ox_gb300+Thesis!$H$74*tk_ox_vr200)</f>
        <v>2.01034999693694</v>
      </c>
      <c r="I76" s="36" t="n">
        <f aca="false">cust_sh*tk_ox_gb300+(1-cust_sh)*((1-Thesis!$I$74)*tk_ox_gb300+Thesis!$I$74*tk_ox_vr200)</f>
        <v>2.0380651807293</v>
      </c>
      <c r="J76" s="36" t="n">
        <f aca="false">cust_sh*tk_ox_gb300+(1-cust_sh)*((1-Thesis!$J$74)*tk_ox_gb300+Thesis!$J$74*tk_ox_vr200)</f>
        <v>2.0380651807293</v>
      </c>
      <c r="K76" s="36" t="n">
        <f aca="false">cust_sh*tk_ox_gb300+(1-cust_sh)*((1-Thesis!$K$74)*tk_ox_gb300+Thesis!$K$74*tk_ox_vr200)</f>
        <v>2.0380651807293</v>
      </c>
      <c r="L76" s="36" t="n">
        <f aca="false">cust_sh*tk_ox_gb300+(1-cust_sh)*((1-Thesis!$L$74)*tk_ox_gb300+Thesis!$L$74*tk_ox_vr200)</f>
        <v>2.0380651807293</v>
      </c>
      <c r="M76" s="36" t="n">
        <f aca="false">cust_sh*tk_ox_gb300+(1-cust_sh)*((1-Thesis!$M$74)*tk_ox_gb300+Thesis!$M$74*tk_ox_vr200)</f>
        <v>2.0380651807293</v>
      </c>
    </row>
    <row r="77" customFormat="false" ht="17.15" hidden="false" customHeight="false" outlineLevel="0" collapsed="false">
      <c r="A77" s="5" t="s">
        <v>605</v>
      </c>
      <c r="B77" s="0" t="s">
        <v>192</v>
      </c>
      <c r="F77" s="36" t="n">
        <f aca="false">cust_sh*tk_cx_gb300*cf_cx+(1-cust_sh)*((1-Thesis!$F$74)*tk_cx_gb300+Thesis!$F$74*tk_cx_vr200)</f>
        <v>32.237224</v>
      </c>
      <c r="G77" s="36" t="n">
        <f aca="false">cust_sh*tk_cx_gb300*cf_cx+(1-cust_sh)*((1-Thesis!$G$74)*tk_cx_gb300+Thesis!$G$74*tk_cx_vr200)</f>
        <v>32.237224</v>
      </c>
      <c r="H77" s="36" t="n">
        <f aca="false">cust_sh*tk_cx_gb300*cf_cx+(1-cust_sh)*((1-Thesis!$H$74)*tk_cx_gb300+Thesis!$H$74*tk_cx_vr200)</f>
        <v>33.574506</v>
      </c>
      <c r="I77" s="36" t="n">
        <f aca="false">cust_sh*tk_cx_gb300*cf_cx+(1-cust_sh)*((1-Thesis!$I$74)*tk_cx_gb300+Thesis!$I$74*tk_cx_vr200)</f>
        <v>34.911788</v>
      </c>
      <c r="J77" s="36" t="n">
        <f aca="false">cust_sh*tk_cx_gb300*cf_cx+(1-cust_sh)*((1-Thesis!$J$74)*tk_cx_gb300+Thesis!$J$74*tk_cx_vr200)</f>
        <v>34.911788</v>
      </c>
      <c r="K77" s="36" t="n">
        <f aca="false">cust_sh*tk_cx_gb300*cf_cx+(1-cust_sh)*((1-Thesis!$K$74)*tk_cx_gb300+Thesis!$K$74*tk_cx_vr200)</f>
        <v>34.911788</v>
      </c>
      <c r="L77" s="36" t="n">
        <f aca="false">cust_sh*tk_cx_gb300*cf_cx+(1-cust_sh)*((1-Thesis!$L$74)*tk_cx_gb300+Thesis!$L$74*tk_cx_vr200)</f>
        <v>34.911788</v>
      </c>
      <c r="M77" s="36" t="n">
        <f aca="false">cust_sh*tk_cx_gb300*cf_cx+(1-cust_sh)*((1-Thesis!$M$74)*tk_cx_gb300+Thesis!$M$74*tk_cx_vr200)</f>
        <v>34.911788</v>
      </c>
    </row>
    <row r="78" customFormat="false" ht="17.15" hidden="false" customHeight="false" outlineLevel="0" collapsed="false">
      <c r="A78" s="5" t="s">
        <v>606</v>
      </c>
      <c r="B78" s="0" t="s">
        <v>129</v>
      </c>
      <c r="F78" s="32" t="n">
        <f aca="false">Thesis!$F$68-mw_open</f>
        <v>1817.15</v>
      </c>
      <c r="G78" s="32" t="n">
        <f aca="false">Thesis!$F$78</f>
        <v>1817.15</v>
      </c>
      <c r="H78" s="32" t="n">
        <f aca="false">Thesis!$H$68-mw_open</f>
        <v>5451.45</v>
      </c>
      <c r="I78" s="32" t="n">
        <f aca="false">Thesis!$I$68-mw_open</f>
        <v>9085.75</v>
      </c>
      <c r="J78" s="32" t="n">
        <f aca="false">Thesis!$J$68-mw_open</f>
        <v>12720.05</v>
      </c>
      <c r="K78" s="32" t="n">
        <f aca="false">Thesis!$K$68-mw_open</f>
        <v>15290.9171666667</v>
      </c>
      <c r="L78" s="32" t="n">
        <f aca="false">Thesis!$L$68-mw_open</f>
        <v>16798.3515</v>
      </c>
      <c r="M78" s="32" t="n">
        <f aca="false">Thesis!$M$68-mw_open</f>
        <v>17242.353</v>
      </c>
    </row>
    <row r="79" customFormat="false" ht="17.15" hidden="false" customHeight="false" outlineLevel="0" collapsed="false">
      <c r="A79" s="0" t="s">
        <v>607</v>
      </c>
      <c r="B79" s="0" t="s">
        <v>608</v>
      </c>
      <c r="F79" s="32" t="n">
        <f aca="false">Thesis!$F$71*Thesis!$F$75</f>
        <v>19782.2417524844</v>
      </c>
      <c r="G79" s="32" t="n">
        <f aca="false">Thesis!$F$79</f>
        <v>19782.2417524844</v>
      </c>
      <c r="H79" s="32" t="n">
        <f aca="false">Thesis!$G$79+Thesis!$H$71*Thesis!$H$75</f>
        <v>60563.3616992009</v>
      </c>
      <c r="I79" s="32" t="n">
        <f aca="false">Thesis!$H$79+Thesis!$I$71*Thesis!$I$75</f>
        <v>102561.118087665</v>
      </c>
      <c r="J79" s="32" t="n">
        <f aca="false">Thesis!$I$79+Thesis!$J$71*Thesis!$J$75</f>
        <v>144558.87447613</v>
      </c>
      <c r="K79" s="32" t="n">
        <f aca="false">Thesis!$J$79+Thesis!$K$71*Thesis!$K$75</f>
        <v>174267.663781572</v>
      </c>
      <c r="L79" s="32" t="n">
        <f aca="false">Thesis!$K$79+Thesis!$L$71*Thesis!$L$75</f>
        <v>191687.486003992</v>
      </c>
      <c r="M79" s="32" t="n">
        <f aca="false">Thesis!$L$79+Thesis!$M$71*Thesis!$M$75</f>
        <v>196818.341143389</v>
      </c>
    </row>
    <row r="80" customFormat="false" ht="17.15" hidden="false" customHeight="false" outlineLevel="0" collapsed="false">
      <c r="A80" s="0" t="s">
        <v>609</v>
      </c>
      <c r="B80" s="0" t="s">
        <v>608</v>
      </c>
      <c r="F80" s="32" t="n">
        <f aca="false">Thesis!$F$71*Thesis!$F$76</f>
        <v>3602.74485070566</v>
      </c>
      <c r="G80" s="32" t="n">
        <f aca="false">Thesis!$F$80</f>
        <v>3602.74485070566</v>
      </c>
      <c r="H80" s="32" t="n">
        <f aca="false">Thesis!$G$80+Thesis!$H$71*Thesis!$H$76</f>
        <v>10908.9598445736</v>
      </c>
      <c r="I80" s="32" t="n">
        <f aca="false">Thesis!$H$80+Thesis!$I$71*Thesis!$I$76</f>
        <v>18315.9001308981</v>
      </c>
      <c r="J80" s="32" t="n">
        <f aca="false">Thesis!$I$80+Thesis!$J$71*Thesis!$J$76</f>
        <v>25722.8404172225</v>
      </c>
      <c r="K80" s="32" t="n">
        <f aca="false">Thesis!$J$80+Thesis!$K$71*Thesis!$K$76</f>
        <v>30962.4352738861</v>
      </c>
      <c r="L80" s="32" t="n">
        <f aca="false">Thesis!$K$80+Thesis!$L$71*Thesis!$L$76</f>
        <v>34034.6847008886</v>
      </c>
      <c r="M80" s="32" t="n">
        <f aca="false">Thesis!$L$80+Thesis!$M$71*Thesis!$M$76</f>
        <v>34939.5886982302</v>
      </c>
    </row>
    <row r="81" customFormat="false" ht="17.15" hidden="false" customHeight="false" outlineLevel="0" collapsed="false">
      <c r="A81" s="5" t="s">
        <v>610</v>
      </c>
      <c r="B81" s="0" t="s">
        <v>173</v>
      </c>
      <c r="F81" s="36" t="n">
        <f aca="false">IF(Thesis!$F$78&gt;0,Thesis!$F$79/Thesis!$F$78,Thesis!$F$75)</f>
        <v>10.8864110021101</v>
      </c>
      <c r="G81" s="36" t="n">
        <f aca="false">IF(Thesis!$G$78&gt;0,Thesis!$G$79/Thesis!$G$78,Thesis!$G$75)</f>
        <v>10.8864110021101</v>
      </c>
      <c r="H81" s="36" t="n">
        <f aca="false">IF(Thesis!$H$78&gt;0,Thesis!$H$79/Thesis!$H$78,Thesis!$H$75)</f>
        <v>11.1095876691891</v>
      </c>
      <c r="I81" s="36" t="n">
        <f aca="false">IF(Thesis!$I$78&gt;0,Thesis!$I$79/Thesis!$I$78,Thesis!$I$75)</f>
        <v>11.2881290028523</v>
      </c>
      <c r="J81" s="36" t="n">
        <f aca="false">IF(Thesis!$J$78&gt;0,Thesis!$J$79/Thesis!$J$78,Thesis!$J$75)</f>
        <v>11.3646467172794</v>
      </c>
      <c r="K81" s="36" t="n">
        <f aca="false">IF(Thesis!$K$78&gt;0,Thesis!$K$79/Thesis!$K$78,Thesis!$K$75)</f>
        <v>11.3968090914432</v>
      </c>
      <c r="L81" s="36" t="n">
        <f aca="false">IF(Thesis!$L$78&gt;0,Thesis!$L$79/Thesis!$L$78,Thesis!$L$75)</f>
        <v>11.4110891181192</v>
      </c>
      <c r="M81" s="36" t="n">
        <f aca="false">IF(Thesis!$M$78&gt;0,Thesis!$M$79/Thesis!$M$78,Thesis!$M$75)</f>
        <v>11.4148191458201</v>
      </c>
    </row>
    <row r="82" customFormat="false" ht="17.15" hidden="false" customHeight="false" outlineLevel="0" collapsed="false">
      <c r="A82" s="5" t="s">
        <v>611</v>
      </c>
      <c r="B82" s="0" t="s">
        <v>173</v>
      </c>
      <c r="F82" s="36" t="n">
        <f aca="false">IF(Thesis!$F$78&gt;0,Thesis!$F$80/Thesis!$F$78,Thesis!$F$76)</f>
        <v>1.98263481314457</v>
      </c>
      <c r="G82" s="36" t="n">
        <f aca="false">IF(Thesis!$G$78&gt;0,Thesis!$G$80/Thesis!$G$78,Thesis!$G$76)</f>
        <v>1.98263481314457</v>
      </c>
      <c r="H82" s="36" t="n">
        <f aca="false">IF(Thesis!$H$78&gt;0,Thesis!$H$80/Thesis!$H$78,Thesis!$H$76)</f>
        <v>2.00111160233948</v>
      </c>
      <c r="I82" s="36" t="n">
        <f aca="false">IF(Thesis!$I$78&gt;0,Thesis!$I$80/Thesis!$I$78,Thesis!$I$76)</f>
        <v>2.01589303369541</v>
      </c>
      <c r="J82" s="36" t="n">
        <f aca="false">IF(Thesis!$J$78&gt;0,Thesis!$J$80/Thesis!$J$78,Thesis!$J$76)</f>
        <v>2.02222793284795</v>
      </c>
      <c r="K82" s="36" t="n">
        <f aca="false">IF(Thesis!$K$78&gt;0,Thesis!$K$80/Thesis!$K$78,Thesis!$K$76)</f>
        <v>2.02489065478573</v>
      </c>
      <c r="L82" s="36" t="n">
        <f aca="false">IF(Thesis!$L$78&gt;0,Thesis!$L$80/Thesis!$L$78,Thesis!$L$76)</f>
        <v>2.0260728977417</v>
      </c>
      <c r="M82" s="36" t="n">
        <f aca="false">IF(Thesis!$M$78&gt;0,Thesis!$M$80/Thesis!$M$78,Thesis!$M$76)</f>
        <v>2.02638170661685</v>
      </c>
    </row>
    <row r="83" customFormat="false" ht="17.15" hidden="false" customHeight="false" outlineLevel="0" collapsed="false">
      <c r="A83" s="15" t="s">
        <v>612</v>
      </c>
      <c r="B83" s="14" t="s">
        <v>173</v>
      </c>
      <c r="C83" s="14"/>
      <c r="D83" s="14"/>
      <c r="E83" s="14"/>
      <c r="F83" s="37" t="n">
        <f aca="false">Thesis!$F$81*k_B</f>
        <v>10.7987645808025</v>
      </c>
      <c r="G83" s="37" t="n">
        <f aca="false">Thesis!$G$81*k_B</f>
        <v>10.7987645808025</v>
      </c>
      <c r="H83" s="37" t="n">
        <f aca="false">Thesis!$H$81*k_B</f>
        <v>11.0201444540452</v>
      </c>
      <c r="I83" s="37" t="n">
        <f aca="false">Thesis!$I$81*k_B</f>
        <v>11.1972483526393</v>
      </c>
      <c r="J83" s="37" t="n">
        <f aca="false">Thesis!$J$81*k_B</f>
        <v>11.2731500234653</v>
      </c>
      <c r="K83" s="37" t="n">
        <f aca="false">Thesis!$K$81*k_B</f>
        <v>11.3050534585724</v>
      </c>
      <c r="L83" s="37" t="n">
        <f aca="false">Thesis!$L$81*k_B</f>
        <v>11.3192185168503</v>
      </c>
      <c r="M83" s="37" t="n">
        <f aca="false">Thesis!$M$81*k_B</f>
        <v>11.3229185141234</v>
      </c>
      <c r="N83" s="14"/>
      <c r="O83" s="14"/>
      <c r="P83" s="5" t="s">
        <v>613</v>
      </c>
    </row>
    <row r="84" customFormat="false" ht="17.15" hidden="false" customHeight="false" outlineLevel="0" collapsed="false">
      <c r="A84" s="5" t="s">
        <v>614</v>
      </c>
      <c r="B84" s="0" t="s">
        <v>129</v>
      </c>
      <c r="F84" s="32" t="n">
        <f aca="false">Thesis!$F$78/2</f>
        <v>908.575</v>
      </c>
      <c r="H84" s="32" t="n">
        <f aca="false">(Thesis!$G$78+Thesis!$H$78)/2</f>
        <v>3634.3</v>
      </c>
      <c r="I84" s="32" t="n">
        <f aca="false">(Thesis!$H$78+Thesis!$I$78)/2</f>
        <v>7268.6</v>
      </c>
      <c r="J84" s="32" t="n">
        <f aca="false">(Thesis!$I$78+Thesis!$J$78)/2</f>
        <v>10902.9</v>
      </c>
      <c r="K84" s="32" t="n">
        <f aca="false">(Thesis!$J$78+Thesis!$K$78)/2</f>
        <v>14005.4835833333</v>
      </c>
      <c r="L84" s="32" t="n">
        <f aca="false">(Thesis!$K$78+Thesis!$L$78)/2</f>
        <v>16044.6343333333</v>
      </c>
      <c r="M84" s="32" t="n">
        <f aca="false">(Thesis!$L$78+Thesis!$M$78)/2</f>
        <v>17020.35225</v>
      </c>
    </row>
    <row r="85" customFormat="false" ht="17.15" hidden="false" customHeight="false" outlineLevel="0" collapsed="false">
      <c r="A85" s="1" t="s">
        <v>615</v>
      </c>
    </row>
    <row r="86" customFormat="false" ht="17.15" hidden="false" customHeight="false" outlineLevel="0" collapsed="false">
      <c r="A86" s="1" t="s">
        <v>616</v>
      </c>
      <c r="B86" s="8" t="s">
        <v>86</v>
      </c>
      <c r="C86" s="38" t="n">
        <f aca="false">Thesis!$C$69*rpm_open*Thesis!$C$70/1000</f>
        <v>2.32100535697364</v>
      </c>
      <c r="D86" s="38" t="n">
        <f aca="false">Thesis!$D$69*rpm_open*Thesis!$D$70/1000</f>
        <v>8.70377008865116</v>
      </c>
      <c r="E86" s="38" t="n">
        <f aca="false">Thesis!$E$69*rpm_open*Thesis!$E$70/1000</f>
        <v>8.51035297557002</v>
      </c>
      <c r="F86" s="38" t="n">
        <f aca="false">(mw_open*rpm_open+Thesis!$F$84*Thesis!$F$83)*Thesis!$F$70/1000</f>
        <v>14.9634336447205</v>
      </c>
      <c r="G86" s="38" t="n">
        <f aca="false">Thesis!$E$86+Thesis!$F$86</f>
        <v>23.4737866202905</v>
      </c>
      <c r="H86" s="38" t="n">
        <f aca="false">(mw_open*rpm_open+Thesis!$H$84*Thesis!$H$83)/1000</f>
        <v>60.1658907497746</v>
      </c>
      <c r="I86" s="38" t="n">
        <f aca="false">(mw_open*rpm_open+Thesis!$I$84*Thesis!$I$83)/1000</f>
        <v>101.503699136432</v>
      </c>
      <c r="J86" s="38" t="n">
        <f aca="false">(mw_open*rpm_open+Thesis!$J$84*Thesis!$J$83)/1000</f>
        <v>143.025407151278</v>
      </c>
      <c r="K86" s="38" t="n">
        <f aca="false">(mw_open*rpm_open+Thesis!$K$84*Thesis!$K$83)/1000</f>
        <v>178.44812038318</v>
      </c>
      <c r="L86" s="38" t="n">
        <f aca="false">(mw_open*rpm_open+Thesis!$L$84*Thesis!$L$83)/1000</f>
        <v>201.728101802396</v>
      </c>
      <c r="M86" s="38" t="n">
        <f aca="false">(mw_open*rpm_open+Thesis!$M$84*Thesis!$M$83)/1000</f>
        <v>212.835441368865</v>
      </c>
      <c r="N86" s="38" t="n">
        <f aca="false">Thesis!$N$69*rpm_open*Thesis!$N$70/1000</f>
        <v>3.04631953102791</v>
      </c>
      <c r="O86" s="38" t="n">
        <f aca="false">Thesis!$O$69*rpm_open*Thesis!$O$70/1000</f>
        <v>5.65745055762326</v>
      </c>
      <c r="P86" s="5" t="s">
        <v>617</v>
      </c>
    </row>
    <row r="87" customFormat="false" ht="17.15" hidden="false" customHeight="false" outlineLevel="0" collapsed="false">
      <c r="A87" s="5" t="s">
        <v>618</v>
      </c>
      <c r="B87" s="0" t="s">
        <v>173</v>
      </c>
      <c r="C87" s="36" t="n">
        <f aca="false">Thesis!$C$86*1000/(Thesis!$C$69*Thesis!$C$70)</f>
        <v>9.67085565405685</v>
      </c>
      <c r="D87" s="36" t="n">
        <f aca="false">Thesis!$D$86*1000/(Thesis!$D$69*Thesis!$D$70)</f>
        <v>9.67085565405685</v>
      </c>
      <c r="E87" s="36" t="n">
        <f aca="false">Thesis!$E$86*1000/(Thesis!$E$69*Thesis!$E$70)</f>
        <v>9.67085565405685</v>
      </c>
      <c r="F87" s="36" t="n">
        <f aca="false">Thesis!$F$86*1000/(Thesis!$F$69*Thesis!$F$70)</f>
        <v>10.0137581588017</v>
      </c>
      <c r="G87" s="36" t="n">
        <f aca="false">Thesis!$G$86*1000/(Thesis!$G$69*Thesis!$G$70)</f>
        <v>9.88666562928478</v>
      </c>
      <c r="H87" s="36" t="n">
        <f aca="false">Thesis!$H$86*1000/(Thesis!$H$69*Thesis!$H$70)</f>
        <v>10.5290045586992</v>
      </c>
      <c r="I87" s="36" t="n">
        <f aca="false">Thesis!$I$86*1000/(Thesis!$I$69*Thesis!$I$70)</f>
        <v>10.8576363451674</v>
      </c>
      <c r="J87" s="36" t="n">
        <f aca="false">Thesis!$J$86*1000/(Thesis!$J$69*Thesis!$J$70)</f>
        <v>11.0164452588619</v>
      </c>
      <c r="K87" s="36" t="n">
        <f aca="false">Thesis!$K$86*1000/(Thesis!$K$69*Thesis!$K$70)</f>
        <v>11.0937367508227</v>
      </c>
      <c r="L87" s="36" t="n">
        <f aca="false">Thesis!$L$86*1000/(Thesis!$L$69*Thesis!$L$70)</f>
        <v>11.1300508519168</v>
      </c>
      <c r="M87" s="36" t="n">
        <f aca="false">Thesis!$M$86*1000/(Thesis!$M$69*Thesis!$M$70)</f>
        <v>11.1430113216297</v>
      </c>
      <c r="N87" s="36" t="n">
        <f aca="false">Thesis!$N$86*1000/(Thesis!$N$69*Thesis!$N$70)</f>
        <v>9.67085565405685</v>
      </c>
      <c r="O87" s="36" t="n">
        <f aca="false">Thesis!$O$86*1000/(Thesis!$O$69*Thesis!$O$70)</f>
        <v>9.67085565405685</v>
      </c>
    </row>
    <row r="88" customFormat="false" ht="17.15" hidden="false" customHeight="false" outlineLevel="0" collapsed="false">
      <c r="A88" s="0" t="s">
        <v>619</v>
      </c>
      <c r="B88" s="0" t="s">
        <v>86</v>
      </c>
      <c r="C88" s="38" t="n">
        <f aca="false">Thesis!$C$69/ext_sh*(ox_open+rent_mw)*Thesis!$C$70/1000</f>
        <v>0.642569210675032</v>
      </c>
      <c r="D88" s="38" t="n">
        <f aca="false">Thesis!$D$69/ext_sh*(ox_open+rent_mw)*Thesis!$D$70/1000</f>
        <v>2.40963454003137</v>
      </c>
      <c r="E88" s="38" t="n">
        <f aca="false">Thesis!$E$69/ext_sh*(ox_open+rent_mw)*Thesis!$E$70/1000</f>
        <v>2.35608710580845</v>
      </c>
      <c r="F88" s="38" t="n">
        <f aca="false">((mw_open*ox_open+Thesis!$F$84*Thesis!$F$82)/ext_sh+Thesis!$F$69/ext_sh*rent_mw)*Thesis!$F$70/1000</f>
        <v>4.05421991106232</v>
      </c>
      <c r="G88" s="38" t="n">
        <f aca="false">Thesis!$E$88+Thesis!$F$88</f>
        <v>6.41030701687077</v>
      </c>
      <c r="H88" s="38" t="n">
        <f aca="false">((mw_open*ox_open+Thesis!$H$84*Thesis!$H$82)/ext_sh+Thesis!$H$69/ext_sh*rent_mw)*Thesis!$H$70/1000</f>
        <v>15.8108975546616</v>
      </c>
      <c r="I88" s="38" t="n">
        <f aca="false">((mw_open*ox_open+Thesis!$I$84*Thesis!$I$82)/ext_sh+Thesis!$I$69/ext_sh*rent_mw)*Thesis!$I$70/1000</f>
        <v>26.1871623400817</v>
      </c>
      <c r="J88" s="38" t="n">
        <f aca="false">((mw_open*ox_open+Thesis!$J$84*Thesis!$J$82)/ext_sh+Thesis!$J$69/ext_sh*rent_mw)*Thesis!$J$70/1000</f>
        <v>36.5826128954935</v>
      </c>
      <c r="K88" s="38" t="n">
        <f aca="false">((mw_open*ox_open+Thesis!$K$84*Thesis!$K$82)/ext_sh+Thesis!$K$69/ext_sh*rent_mw)*Thesis!$K$70/1000</f>
        <v>45.4546361137628</v>
      </c>
      <c r="L88" s="38" t="n">
        <f aca="false">((mw_open*ox_open+Thesis!$L$84*Thesis!$L$82)/ext_sh+Thesis!$L$69/ext_sh*rent_mw)*Thesis!$L$70/1000</f>
        <v>51.2855695554452</v>
      </c>
      <c r="M88" s="38" t="n">
        <f aca="false">((mw_open*ox_open+Thesis!$M$84*Thesis!$M$82)/ext_sh+Thesis!$M$69/ext_sh*rent_mw)*Thesis!$M$70/1000</f>
        <v>54.0722927838398</v>
      </c>
      <c r="N88" s="38" t="n">
        <f aca="false">Thesis!$N$69/ext_sh*(ox_open+rent_mw)*Thesis!$N$70/1000</f>
        <v>0.84337208901098</v>
      </c>
      <c r="O88" s="38" t="n">
        <f aca="false">Thesis!$O$69/ext_sh*(ox_open+rent_mw)*Thesis!$O$70/1000</f>
        <v>1.56626245102039</v>
      </c>
    </row>
    <row r="89" customFormat="false" ht="17.15" hidden="false" customHeight="false" outlineLevel="0" collapsed="false">
      <c r="A89" s="0" t="s">
        <v>620</v>
      </c>
      <c r="B89" s="0" t="s">
        <v>86</v>
      </c>
      <c r="C89" s="38" t="n">
        <f aca="false">Q!$D$7</f>
        <v>107.556</v>
      </c>
      <c r="D89" s="38" t="n">
        <f aca="false">Q!$E$7</f>
        <v>128.725</v>
      </c>
      <c r="E89" s="38" t="n">
        <f aca="false">Q!$P$7</f>
        <v>79.819</v>
      </c>
      <c r="N89" s="38" t="n">
        <f aca="false">Q!$N$7</f>
        <v>60.14</v>
      </c>
      <c r="O89" s="38" t="n">
        <f aca="false">Q!$O$7</f>
        <v>68.585</v>
      </c>
    </row>
    <row r="90" customFormat="false" ht="17.15" hidden="false" customHeight="false" outlineLevel="0" collapsed="false">
      <c r="A90" s="1" t="s">
        <v>621</v>
      </c>
      <c r="B90" s="8" t="s">
        <v>86</v>
      </c>
      <c r="C90" s="38" t="n">
        <f aca="false">Thesis!$C$89-Thesis!$C$86</f>
        <v>105.234994643026</v>
      </c>
      <c r="D90" s="38" t="n">
        <f aca="false">Thesis!$D$89-Thesis!$D$86</f>
        <v>120.021229911349</v>
      </c>
      <c r="E90" s="38" t="n">
        <f aca="false">Thesis!$E$89-Thesis!$E$86</f>
        <v>71.30864702443</v>
      </c>
      <c r="F90" s="38" t="n">
        <f aca="false">Thesis!$O$90*(1+Thesis!$F$91)</f>
        <v>71.7692997942464</v>
      </c>
      <c r="G90" s="38" t="n">
        <f aca="false">Thesis!$E$90+Thesis!$F$90</f>
        <v>143.077946818676</v>
      </c>
      <c r="H90" s="38" t="n">
        <f aca="false">Thesis!$G$90*(1+Thesis!$H$91)</f>
        <v>161.017077079203</v>
      </c>
      <c r="I90" s="38" t="n">
        <f aca="false">Thesis!$H$90*(1+Thesis!$I$91)</f>
        <v>178.769759521457</v>
      </c>
      <c r="J90" s="38" t="n">
        <f aca="false">Thesis!$I$90*(1+Thesis!$J$91)</f>
        <v>195.775538045907</v>
      </c>
      <c r="K90" s="38" t="n">
        <f aca="false">Thesis!$J$90*(1+Thesis!$K$91)</f>
        <v>211.43758108958</v>
      </c>
      <c r="L90" s="38" t="n">
        <f aca="false">Thesis!$K$90*(1+Thesis!$L$91)</f>
        <v>228.352587576746</v>
      </c>
      <c r="M90" s="38" t="n">
        <f aca="false">Thesis!$L$90*(1+Thesis!$M$91)</f>
        <v>246.620794582886</v>
      </c>
      <c r="N90" s="38" t="n">
        <f aca="false">Thesis!$N$89-Thesis!$N$86</f>
        <v>57.0936804689721</v>
      </c>
      <c r="O90" s="38" t="n">
        <f aca="false">Thesis!$O$89-Thesis!$O$86</f>
        <v>62.9275494423768</v>
      </c>
      <c r="P90" s="5" t="s">
        <v>622</v>
      </c>
    </row>
    <row r="91" customFormat="false" ht="17.15" hidden="false" customHeight="false" outlineLevel="0" collapsed="false">
      <c r="A91" s="0" t="s">
        <v>623</v>
      </c>
      <c r="B91" s="0" t="s">
        <v>52</v>
      </c>
      <c r="D91" s="13" t="n">
        <f aca="false">Thesis!$D$90/Thesis!$C$90-1</f>
        <v>0.140506827776062</v>
      </c>
      <c r="E91" s="13" t="n">
        <f aca="false">Thesis!$E$90/Thesis!$N$90-1</f>
        <v>0.248976181579029</v>
      </c>
      <c r="F91" s="13" t="n">
        <f aca="false">Thesis!$D$91</f>
        <v>0.140506827776062</v>
      </c>
      <c r="G91" s="13" t="n">
        <f aca="false">Thesis!$G$90/Thesis!$D$90-1</f>
        <v>0.19210532106993</v>
      </c>
      <c r="H91" s="13" t="n">
        <f aca="false">Thesis!$F$91+(g_awso_lt-Thesis!$F$91)*1/4</f>
        <v>0.125380120832046</v>
      </c>
      <c r="I91" s="13" t="n">
        <f aca="false">Thesis!$F$91+(g_awso_lt-Thesis!$F$91)*2/4</f>
        <v>0.110253413888031</v>
      </c>
      <c r="J91" s="13" t="n">
        <f aca="false">Thesis!$F$91+(g_awso_lt-Thesis!$F$91)*3/4</f>
        <v>0.0951267069440154</v>
      </c>
      <c r="K91" s="13" t="n">
        <f aca="false">Thesis!$F$91+(g_awso_lt-Thesis!$F$91)*4/4</f>
        <v>0.08</v>
      </c>
      <c r="L91" s="13" t="n">
        <f aca="false">g_awso_lt</f>
        <v>0.08</v>
      </c>
      <c r="M91" s="13" t="n">
        <f aca="false">g_awso_lt</f>
        <v>0.08</v>
      </c>
      <c r="P91" s="5" t="s">
        <v>624</v>
      </c>
    </row>
    <row r="92" customFormat="false" ht="17.15" hidden="false" customHeight="false" outlineLevel="0" collapsed="false">
      <c r="A92" s="1" t="s">
        <v>625</v>
      </c>
    </row>
    <row r="93" customFormat="false" ht="17.15" hidden="false" customHeight="false" outlineLevel="0" collapsed="false">
      <c r="A93" s="0" t="s">
        <v>626</v>
      </c>
      <c r="B93" s="0" t="s">
        <v>86</v>
      </c>
      <c r="F93" s="38" t="n">
        <f aca="false">cx_rt*Seg!$F$55+cx_awso*Thesis!$F$90</f>
        <v>34.9734495387866</v>
      </c>
    </row>
    <row r="94" customFormat="false" ht="17.15" hidden="false" customHeight="false" outlineLevel="0" collapsed="false">
      <c r="A94" s="0" t="s">
        <v>627</v>
      </c>
      <c r="B94" s="0" t="s">
        <v>52</v>
      </c>
      <c r="C94" s="13" t="n">
        <f aca="false">tk_cx_h100/(tk_cx_h100+tk_fac*(1-colo_sh))</f>
        <v>0.730756458006641</v>
      </c>
      <c r="D94" s="13" t="n">
        <f aca="false">tk_cx_h100/(tk_cx_h100+tk_fac*(1-colo_sh))</f>
        <v>0.730756458006641</v>
      </c>
      <c r="E94" s="13" t="n">
        <f aca="false">Thesis!$F$94</f>
        <v>0.760792334328868</v>
      </c>
      <c r="F94" s="13" t="n">
        <f aca="false">Thesis!$F$77/(Thesis!$F$77+tk_fac*(1-colo_sh))</f>
        <v>0.760792334328868</v>
      </c>
      <c r="G94" s="13" t="n">
        <f aca="false">Thesis!$G$77/(Thesis!$G$77+tk_fac*(1-colo_sh))</f>
        <v>0.760792334328868</v>
      </c>
      <c r="H94" s="13" t="n">
        <f aca="false">Thesis!$H$77/(Thesis!$H$77+tk_fac*(1-colo_sh))</f>
        <v>0.768110668862996</v>
      </c>
      <c r="I94" s="13" t="n">
        <f aca="false">Thesis!$I$77/(Thesis!$I$77+tk_fac*(1-colo_sh))</f>
        <v>0.77499450139483</v>
      </c>
      <c r="J94" s="13" t="n">
        <f aca="false">Thesis!$J$77/(Thesis!$J$77+tk_fac*(1-colo_sh))</f>
        <v>0.77499450139483</v>
      </c>
      <c r="K94" s="13" t="n">
        <f aca="false">Thesis!$K$77/(Thesis!$K$77+tk_fac*(1-colo_sh))</f>
        <v>0.77499450139483</v>
      </c>
      <c r="L94" s="13" t="n">
        <f aca="false">Thesis!$L$77/(Thesis!$L$77+tk_fac*(1-colo_sh))</f>
        <v>0.77499450139483</v>
      </c>
      <c r="M94" s="13" t="n">
        <f aca="false">Thesis!$M$77/(Thesis!$M$77+tk_fac*(1-colo_sh))</f>
        <v>0.77499450139483</v>
      </c>
    </row>
    <row r="95" customFormat="false" ht="17.15" hidden="false" customHeight="false" outlineLevel="0" collapsed="false">
      <c r="A95" s="1" t="s">
        <v>628</v>
      </c>
      <c r="B95" s="8" t="s">
        <v>86</v>
      </c>
      <c r="C95" s="38" t="n">
        <f aca="false">Q!$D$46-cx_rt*Q!$D$16-cx_awso*Thesis!$C$90</f>
        <v>25.2781053077374</v>
      </c>
      <c r="D95" s="38" t="n">
        <f aca="false">Q!$E$46-cx_rt*Q!$E$16-cx_awso*Thesis!$D$90</f>
        <v>69.5686316310026</v>
      </c>
      <c r="E95" s="38" t="n">
        <f aca="false">Q!$P$46-cx_rt*Q!$P$16-cx_awso*Thesis!$E$90</f>
        <v>64.1899206485108</v>
      </c>
      <c r="F95" s="38" t="n">
        <f aca="false">MAX(Thesis!$F$72*(Thesis!$F$77+tk_fac*(1-colo_sh))/1000,capex_g26-Q!$P$46-Thesis!$F$93)</f>
        <v>96.2481299895</v>
      </c>
      <c r="G95" s="38" t="n">
        <f aca="false">Thesis!$E$95+Thesis!$F$95</f>
        <v>160.438050638011</v>
      </c>
      <c r="H95" s="38" t="n">
        <f aca="false">Thesis!$H$72*(Thesis!$H$77+tk_fac*(1-colo_sh))/1000+Thesis!$H$96</f>
        <v>198.57136494475</v>
      </c>
      <c r="I95" s="38" t="n">
        <f aca="false">Thesis!$I$72*(Thesis!$I$77+tk_fac*(1-colo_sh))/1000+Thesis!$I$96</f>
        <v>204.6464699105</v>
      </c>
      <c r="J95" s="38" t="n">
        <f aca="false">Thesis!$J$72*(Thesis!$J$77+tk_fac*(1-colo_sh))/1000+Thesis!$J$96</f>
        <v>209.8832381105</v>
      </c>
      <c r="K95" s="38" t="n">
        <f aca="false">Thesis!$K$72*(Thesis!$K$77+tk_fac*(1-colo_sh))/1000+Thesis!$K$96</f>
        <v>155.238385275201</v>
      </c>
      <c r="L95" s="38" t="n">
        <f aca="false">Thesis!$L$72*(Thesis!$L$77+tk_fac*(1-colo_sh))/1000+Thesis!$L$96</f>
        <v>132.014141639902</v>
      </c>
      <c r="M95" s="38" t="n">
        <f aca="false">Thesis!$M$72*(Thesis!$M$77+tk_fac*(1-colo_sh))/1000+Thesis!$M$96</f>
        <v>132.230981659852</v>
      </c>
      <c r="P95" s="5" t="s">
        <v>629</v>
      </c>
      <c r="R95" s="38" t="n">
        <f aca="false">Q!$C$46-cx_rt*Q!$C$16-cx_awso*(Q!$C$7-mw_ye23/2*rpm_open/1000)</f>
        <v>1.50429979529945</v>
      </c>
      <c r="S95" s="38" t="n">
        <f aca="false">Thesis!$C$95</f>
        <v>25.2781053077374</v>
      </c>
      <c r="T95" s="38" t="n">
        <f aca="false">Thesis!$D$95</f>
        <v>69.5686316310026</v>
      </c>
      <c r="U95" s="38" t="n">
        <f aca="false">Thesis!$G$95</f>
        <v>160.438050638011</v>
      </c>
      <c r="V95" s="38" t="n">
        <f aca="false">Thesis!$H$95</f>
        <v>198.57136494475</v>
      </c>
      <c r="W95" s="38" t="n">
        <f aca="false">Thesis!$I$95</f>
        <v>204.6464699105</v>
      </c>
      <c r="X95" s="38" t="n">
        <f aca="false">Thesis!$J$95</f>
        <v>209.8832381105</v>
      </c>
      <c r="Y95" s="38" t="n">
        <f aca="false">Thesis!$K$95</f>
        <v>155.238385275201</v>
      </c>
      <c r="Z95" s="38" t="n">
        <f aca="false">Thesis!$L$95</f>
        <v>132.014141639902</v>
      </c>
      <c r="AA95" s="38" t="n">
        <f aca="false">Thesis!$M$95</f>
        <v>132.230981659852</v>
      </c>
    </row>
    <row r="96" customFormat="false" ht="17.15" hidden="false" customHeight="false" outlineLevel="0" collapsed="false">
      <c r="A96" s="0" t="s">
        <v>630</v>
      </c>
      <c r="B96" s="0" t="s">
        <v>86</v>
      </c>
      <c r="H96" s="38" t="n">
        <f aca="false">SUMPRODUCT(--(Thesis!$R$65:$AA$65=2027-tk_life),Thesis!$R$72:$AA$72)*Thesis!$H$77/1000</f>
        <v>0</v>
      </c>
      <c r="I96" s="38" t="n">
        <f aca="false">SUMPRODUCT(--(Thesis!$R$65:$AA$65=2028-tk_life),Thesis!$R$72:$AA$72)*Thesis!$I$77/1000</f>
        <v>0</v>
      </c>
      <c r="J96" s="38" t="n">
        <f aca="false">SUMPRODUCT(--(Thesis!$R$65:$AA$65=2029-tk_life),Thesis!$R$72:$AA$72)*Thesis!$J$77/1000</f>
        <v>5.2367682</v>
      </c>
      <c r="K96" s="38" t="n">
        <f aca="false">SUMPRODUCT(--(Thesis!$R$65:$AA$65=2030-tk_life),Thesis!$R$72:$AA$72)*Thesis!$K$77/1000</f>
        <v>10.4735364</v>
      </c>
      <c r="L96" s="38" t="n">
        <f aca="false">SUMPRODUCT(--(Thesis!$R$65:$AA$65=2031-tk_life),Thesis!$R$72:$AA$72)*Thesis!$L$77/1000</f>
        <v>47.1309138</v>
      </c>
      <c r="M96" s="38" t="n">
        <f aca="false">SUMPRODUCT(--(Thesis!$R$65:$AA$65=2032-tk_life),Thesis!$R$72:$AA$72)*Thesis!$M$77/1000</f>
        <v>107.22937485525</v>
      </c>
    </row>
    <row r="97" customFormat="false" ht="17.15" hidden="false" customHeight="false" outlineLevel="0" collapsed="false">
      <c r="A97" s="0" t="s">
        <v>631</v>
      </c>
      <c r="B97" s="0" t="s">
        <v>86</v>
      </c>
      <c r="C97" s="38" t="n">
        <f aca="false">MIN(Thesis!$C$95,Thesis!$C$72*(tk_cx_h100+tk_fac*(1-colo_sh))/1000)</f>
        <v>11.2938642</v>
      </c>
      <c r="D97" s="38" t="n">
        <f aca="false">MIN(Thesis!$D$95,Thesis!$D$72*(tk_cx_h100+tk_fac*(1-colo_sh))/1000)</f>
        <v>50.8223889</v>
      </c>
      <c r="E97" s="38" t="n">
        <f aca="false">MIN(Thesis!$E$95,Thesis!$E$72*(Thesis!$F$77+tk_fac*(1-colo_sh))/1000)</f>
        <v>33.8985792</v>
      </c>
      <c r="F97" s="38" t="n">
        <f aca="false">Thesis!$F$95</f>
        <v>96.2481299895</v>
      </c>
      <c r="G97" s="38" t="n">
        <f aca="false">Thesis!$E$97+Thesis!$F$97</f>
        <v>130.1467091895</v>
      </c>
      <c r="H97" s="38" t="n">
        <f aca="false">Thesis!$H$95</f>
        <v>198.57136494475</v>
      </c>
      <c r="I97" s="38" t="n">
        <f aca="false">Thesis!$I$95</f>
        <v>204.6464699105</v>
      </c>
      <c r="J97" s="38" t="n">
        <f aca="false">Thesis!$J$95</f>
        <v>209.8832381105</v>
      </c>
      <c r="K97" s="38" t="n">
        <f aca="false">Thesis!$K$95</f>
        <v>155.238385275201</v>
      </c>
      <c r="L97" s="38" t="n">
        <f aca="false">Thesis!$L$95</f>
        <v>132.014141639902</v>
      </c>
      <c r="M97" s="38" t="n">
        <f aca="false">Thesis!$M$95</f>
        <v>132.230981659852</v>
      </c>
      <c r="P97" s="5" t="s">
        <v>632</v>
      </c>
      <c r="R97" s="38" t="n">
        <f aca="false">MIN(Thesis!$R$95,Thesis!$R$72*(tk_cx_h100+tk_fac*(1-colo_sh))/1000)</f>
        <v>1.50429979529945</v>
      </c>
      <c r="S97" s="38" t="n">
        <f aca="false">Thesis!$C$97</f>
        <v>11.2938642</v>
      </c>
      <c r="T97" s="38" t="n">
        <f aca="false">Thesis!$D$97</f>
        <v>50.8223889</v>
      </c>
      <c r="U97" s="38" t="n">
        <f aca="false">Thesis!$G$97</f>
        <v>130.1467091895</v>
      </c>
      <c r="V97" s="38" t="n">
        <f aca="false">Thesis!$H$97</f>
        <v>198.57136494475</v>
      </c>
      <c r="W97" s="38" t="n">
        <f aca="false">Thesis!$I$97</f>
        <v>204.6464699105</v>
      </c>
      <c r="X97" s="38" t="n">
        <f aca="false">Thesis!$J$97</f>
        <v>209.8832381105</v>
      </c>
      <c r="Y97" s="38" t="n">
        <f aca="false">Thesis!$K$97</f>
        <v>155.238385275201</v>
      </c>
      <c r="Z97" s="38" t="n">
        <f aca="false">Thesis!$L$97</f>
        <v>132.014141639902</v>
      </c>
      <c r="AA97" s="38" t="n">
        <f aca="false">Thesis!$M$97</f>
        <v>132.230981659852</v>
      </c>
    </row>
    <row r="98" customFormat="false" ht="17.15" hidden="false" customHeight="false" outlineLevel="0" collapsed="false">
      <c r="A98" s="5" t="s">
        <v>633</v>
      </c>
      <c r="B98" s="0" t="s">
        <v>86</v>
      </c>
      <c r="C98" s="38" t="n">
        <f aca="false">Thesis!$C$95-Thesis!$C$97</f>
        <v>13.9842411077374</v>
      </c>
      <c r="D98" s="38" t="n">
        <f aca="false">Thesis!$D$95-Thesis!$D$97</f>
        <v>18.7462427310026</v>
      </c>
      <c r="E98" s="38" t="n">
        <f aca="false">Thesis!$E$95-Thesis!$E$97</f>
        <v>30.2913414485108</v>
      </c>
      <c r="F98" s="38" t="n">
        <f aca="false">Thesis!$F$95-Thesis!$F$97</f>
        <v>0</v>
      </c>
      <c r="G98" s="38" t="n">
        <f aca="false">Thesis!$G$95-Thesis!$G$97</f>
        <v>30.2913414485108</v>
      </c>
      <c r="H98" s="38" t="n">
        <f aca="false">Thesis!$H$95-Thesis!$H$97</f>
        <v>0</v>
      </c>
      <c r="I98" s="38" t="n">
        <f aca="false">Thesis!$I$95-Thesis!$I$97</f>
        <v>0</v>
      </c>
      <c r="J98" s="38" t="n">
        <f aca="false">Thesis!$J$95-Thesis!$J$97</f>
        <v>0</v>
      </c>
      <c r="K98" s="38" t="n">
        <f aca="false">Thesis!$K$95-Thesis!$K$97</f>
        <v>0</v>
      </c>
      <c r="L98" s="38" t="n">
        <f aca="false">Thesis!$L$95-Thesis!$L$97</f>
        <v>0</v>
      </c>
      <c r="M98" s="38" t="n">
        <f aca="false">Thesis!$M$95-Thesis!$M$97</f>
        <v>0</v>
      </c>
    </row>
    <row r="99" customFormat="false" ht="17.15" hidden="false" customHeight="false" outlineLevel="0" collapsed="false">
      <c r="A99" s="5" t="s">
        <v>634</v>
      </c>
      <c r="B99" s="0" t="s">
        <v>86</v>
      </c>
      <c r="C99" s="38" t="n">
        <f aca="false">Thesis!$C$97*Thesis!$C$94</f>
        <v>8.2530642</v>
      </c>
      <c r="D99" s="38" t="n">
        <f aca="false">Thesis!$D$97*Thesis!$D$94</f>
        <v>37.1387889</v>
      </c>
      <c r="E99" s="38" t="n">
        <f aca="false">Thesis!$E$97*Thesis!$E$94</f>
        <v>25.7897792</v>
      </c>
      <c r="F99" s="38" t="n">
        <f aca="false">Thesis!$F$97*Thesis!$F$94</f>
        <v>73.2248394895</v>
      </c>
      <c r="G99" s="38" t="n">
        <f aca="false">Thesis!$E$99+Thesis!$F$99</f>
        <v>99.0146186895</v>
      </c>
      <c r="H99" s="38" t="n">
        <f aca="false">(Thesis!$H$97-Thesis!$H$96)*Thesis!$H$94+Thesis!$H$96</f>
        <v>152.52478394475</v>
      </c>
      <c r="I99" s="38" t="n">
        <f aca="false">(Thesis!$I$97-Thesis!$I$96)*Thesis!$I$94+Thesis!$I$96</f>
        <v>158.5998889105</v>
      </c>
      <c r="J99" s="38" t="n">
        <f aca="false">(Thesis!$J$97-Thesis!$J$96)*Thesis!$J$94+Thesis!$J$96</f>
        <v>163.8366571105</v>
      </c>
      <c r="K99" s="38" t="n">
        <f aca="false">(Thesis!$K$97-Thesis!$K$96)*Thesis!$K$94+Thesis!$K$96</f>
        <v>122.665498273534</v>
      </c>
      <c r="L99" s="38" t="n">
        <f aca="false">(Thesis!$L$97-Thesis!$L$96)*Thesis!$L$94+Thesis!$L$96</f>
        <v>112.914948636568</v>
      </c>
      <c r="M99" s="38" t="n">
        <f aca="false">(Thesis!$M$97-Thesis!$M$96)*Thesis!$M$94+Thesis!$M$96</f>
        <v>126.605482654852</v>
      </c>
      <c r="R99" s="38" t="n">
        <f aca="false">Thesis!$R$97*Thesis!$C$94</f>
        <v>1.09927679019314</v>
      </c>
      <c r="S99" s="38" t="n">
        <f aca="false">Thesis!$C$99</f>
        <v>8.2530642</v>
      </c>
      <c r="T99" s="38" t="n">
        <f aca="false">Thesis!$D$99</f>
        <v>37.1387889</v>
      </c>
      <c r="U99" s="38" t="n">
        <f aca="false">Thesis!$G$99</f>
        <v>99.0146186895</v>
      </c>
      <c r="V99" s="38" t="n">
        <f aca="false">Thesis!$H$99</f>
        <v>152.52478394475</v>
      </c>
      <c r="W99" s="38" t="n">
        <f aca="false">Thesis!$I$99</f>
        <v>158.5998889105</v>
      </c>
      <c r="X99" s="38" t="n">
        <f aca="false">Thesis!$J$99</f>
        <v>163.8366571105</v>
      </c>
      <c r="Y99" s="38" t="n">
        <f aca="false">Thesis!$K$99</f>
        <v>122.665498273534</v>
      </c>
      <c r="Z99" s="38" t="n">
        <f aca="false">Thesis!$L$99</f>
        <v>112.914948636568</v>
      </c>
      <c r="AA99" s="38" t="n">
        <f aca="false">Thesis!$M$99</f>
        <v>126.605482654852</v>
      </c>
    </row>
    <row r="100" customFormat="false" ht="15" hidden="false" customHeight="false" outlineLevel="0" collapsed="false">
      <c r="A100" s="5" t="s">
        <v>635</v>
      </c>
      <c r="B100" s="0" t="s">
        <v>86</v>
      </c>
      <c r="C100" s="38" t="n">
        <f aca="false">Thesis!$C$97-Thesis!$C$99</f>
        <v>3.0408</v>
      </c>
      <c r="D100" s="38" t="n">
        <f aca="false">Thesis!$D$97-Thesis!$D$99</f>
        <v>13.6836</v>
      </c>
      <c r="E100" s="38" t="n">
        <f aca="false">Thesis!$E$97-Thesis!$E$99</f>
        <v>8.1088</v>
      </c>
      <c r="F100" s="38" t="n">
        <f aca="false">Thesis!$F$97-Thesis!$F$99</f>
        <v>23.0232905</v>
      </c>
      <c r="G100" s="38" t="n">
        <f aca="false">Thesis!$G$97-Thesis!$G$99</f>
        <v>31.1320905</v>
      </c>
      <c r="H100" s="38" t="n">
        <f aca="false">Thesis!$H$97-Thesis!$H$99</f>
        <v>46.046581</v>
      </c>
      <c r="I100" s="38" t="n">
        <f aca="false">Thesis!$I$97-Thesis!$I$99</f>
        <v>46.046581</v>
      </c>
      <c r="J100" s="38" t="n">
        <f aca="false">Thesis!$J$97-Thesis!$J$99</f>
        <v>46.046581</v>
      </c>
      <c r="K100" s="38" t="n">
        <f aca="false">Thesis!$K$97-Thesis!$K$99</f>
        <v>32.5728870016667</v>
      </c>
      <c r="L100" s="38" t="n">
        <f aca="false">Thesis!$L$97-Thesis!$L$99</f>
        <v>19.0991930033334</v>
      </c>
      <c r="M100" s="38" t="n">
        <f aca="false">Thesis!$M$97-Thesis!$M$99</f>
        <v>5.62549900499998</v>
      </c>
      <c r="R100" s="38" t="n">
        <f aca="false">Thesis!$R$97-Thesis!$R$99</f>
        <v>0.405023005106309</v>
      </c>
      <c r="S100" s="38" t="n">
        <f aca="false">Thesis!$S$97-Thesis!$S$99</f>
        <v>3.0408</v>
      </c>
      <c r="T100" s="38" t="n">
        <f aca="false">Thesis!$T$97-Thesis!$T$99</f>
        <v>13.6836</v>
      </c>
      <c r="U100" s="38" t="n">
        <f aca="false">Thesis!$U$97-Thesis!$U$99</f>
        <v>31.1320905</v>
      </c>
      <c r="V100" s="38" t="n">
        <f aca="false">Thesis!$V$97-Thesis!$V$99</f>
        <v>46.046581</v>
      </c>
      <c r="W100" s="38" t="n">
        <f aca="false">Thesis!$W$97-Thesis!$W$99</f>
        <v>46.046581</v>
      </c>
      <c r="X100" s="38" t="n">
        <f aca="false">Thesis!$X$97-Thesis!$X$99</f>
        <v>46.046581</v>
      </c>
      <c r="Y100" s="38" t="n">
        <f aca="false">Thesis!$Y$97-Thesis!$Y$99</f>
        <v>32.5728870016667</v>
      </c>
      <c r="Z100" s="38" t="n">
        <f aca="false">Thesis!$Z$97-Thesis!$Z$99</f>
        <v>19.0991930033334</v>
      </c>
      <c r="AA100" s="38" t="n">
        <f aca="false">Thesis!$AA$97-Thesis!$AA$99</f>
        <v>5.62549900499998</v>
      </c>
    </row>
    <row r="101" customFormat="false" ht="17.15" hidden="false" customHeight="false" outlineLevel="0" collapsed="false">
      <c r="A101" s="0" t="s">
        <v>636</v>
      </c>
      <c r="B101" s="0" t="s">
        <v>52</v>
      </c>
      <c r="C101" s="13" t="n">
        <f aca="false">Thesis!$C$95/CF!$C$55</f>
        <v>0.325505489553393</v>
      </c>
      <c r="D101" s="13" t="n">
        <f aca="false">Thesis!$D$95/CF!$D$55</f>
        <v>0.54214956071542</v>
      </c>
      <c r="E101" s="13" t="n">
        <f aca="false">Thesis!$E$95/CF!$E$55</f>
        <v>0.666492790452817</v>
      </c>
      <c r="F101" s="13" t="n">
        <f aca="false">Thesis!$F$95/CF!$F$55</f>
        <v>0.733477910687338</v>
      </c>
      <c r="G101" s="13" t="n">
        <f aca="false">Thesis!$G$95/CF!$G$55</f>
        <v>0.705124321514523</v>
      </c>
      <c r="H101" s="13" t="n">
        <f aca="false">Thesis!$H$95/CF!$H$55</f>
        <v>0.726376041178204</v>
      </c>
      <c r="I101" s="13" t="n">
        <f aca="false">Thesis!$I$95/CF!$I$55</f>
        <v>0.713099092661699</v>
      </c>
      <c r="J101" s="13" t="n">
        <f aca="false">Thesis!$J$95/CF!$J$55</f>
        <v>0.701208348786245</v>
      </c>
      <c r="K101" s="13" t="n">
        <f aca="false">Thesis!$K$95/CF!$K$55</f>
        <v>0.618338844562383</v>
      </c>
      <c r="L101" s="13" t="n">
        <f aca="false">Thesis!$L$95/CF!$L$55</f>
        <v>0.562489158462506</v>
      </c>
      <c r="M101" s="13" t="n">
        <f aca="false">Thesis!$M$95/CF!$M$55</f>
        <v>0.545751190895923</v>
      </c>
    </row>
    <row r="102" customFormat="false" ht="17.15" hidden="false" customHeight="false" outlineLevel="0" collapsed="false">
      <c r="A102" s="0" t="s">
        <v>637</v>
      </c>
      <c r="B102" s="0" t="s">
        <v>86</v>
      </c>
      <c r="C102" s="38" t="n">
        <f aca="false">Thesis!$S$102</f>
        <v>0.183212798365523</v>
      </c>
      <c r="D102" s="38" t="n">
        <f aca="false">Thesis!$T$102</f>
        <v>1.55872349836552</v>
      </c>
      <c r="E102" s="38" t="n">
        <f aca="false">Thesis!$G$102/2</f>
        <v>3.87426082418276</v>
      </c>
      <c r="F102" s="38" t="n">
        <f aca="false">Thesis!$G$102/2</f>
        <v>3.87426082418276</v>
      </c>
      <c r="G102" s="38" t="n">
        <f aca="false">Thesis!$U$102</f>
        <v>7.74852164836552</v>
      </c>
      <c r="H102" s="38" t="n">
        <f aca="false">Thesis!$V$102</f>
        <v>24.2509580966155</v>
      </c>
      <c r="I102" s="38" t="n">
        <f aca="false">Thesis!$W$102</f>
        <v>49.6717554207405</v>
      </c>
      <c r="J102" s="38" t="n">
        <f aca="false">Thesis!$X$102</f>
        <v>76.1050702391572</v>
      </c>
      <c r="K102" s="38" t="n">
        <f aca="false">Thesis!$Y$102</f>
        <v>103.227966959208</v>
      </c>
      <c r="L102" s="38" t="n">
        <f aca="false">Thesis!$Z$102</f>
        <v>122.296705971464</v>
      </c>
      <c r="M102" s="38" t="n">
        <f aca="false">Thesis!$AA$102</f>
        <v>134.926065927559</v>
      </c>
      <c r="N102" s="38" t="n">
        <f aca="false">Thesis!$D$102/2</f>
        <v>0.779361749182762</v>
      </c>
      <c r="O102" s="38" t="n">
        <f aca="false">Thesis!$D$102/2</f>
        <v>0.779361749182762</v>
      </c>
      <c r="R102" s="38" t="n">
        <f aca="false">SUMPRODUCT(--(Thesis!$R$65:$AA$65&lt;Thesis!R$65),--(Thesis!$R$65:$AA$65&gt;=Thesis!R$65-tk_life),Thesis!$R$99:$AA$99)/tk_life</f>
        <v>0</v>
      </c>
      <c r="S102" s="38" t="n">
        <f aca="false">SUMPRODUCT(--(Thesis!$R$65:$AA$65&lt;Thesis!S$65),--(Thesis!$R$65:$AA$65&gt;=Thesis!S$65-tk_life),Thesis!$R$99:$AA$99)/tk_life</f>
        <v>0.183212798365523</v>
      </c>
      <c r="T102" s="38" t="n">
        <f aca="false">SUMPRODUCT(--(Thesis!$R$65:$AA$65&lt;Thesis!T$65),--(Thesis!$R$65:$AA$65&gt;=Thesis!T$65-tk_life),Thesis!$R$99:$AA$99)/tk_life</f>
        <v>1.55872349836552</v>
      </c>
      <c r="U102" s="38" t="n">
        <f aca="false">SUMPRODUCT(--(Thesis!$R$65:$AA$65&lt;Thesis!U$65),--(Thesis!$R$65:$AA$65&gt;=Thesis!U$65-tk_life),Thesis!$R$99:$AA$99)/tk_life</f>
        <v>7.74852164836552</v>
      </c>
      <c r="V102" s="38" t="n">
        <f aca="false">SUMPRODUCT(--(Thesis!$R$65:$AA$65&lt;Thesis!V$65),--(Thesis!$R$65:$AA$65&gt;=Thesis!V$65-tk_life),Thesis!$R$99:$AA$99)/tk_life</f>
        <v>24.2509580966155</v>
      </c>
      <c r="W102" s="38" t="n">
        <f aca="false">SUMPRODUCT(--(Thesis!$R$65:$AA$65&lt;Thesis!W$65),--(Thesis!$R$65:$AA$65&gt;=Thesis!W$65-tk_life),Thesis!$R$99:$AA$99)/tk_life</f>
        <v>49.6717554207405</v>
      </c>
      <c r="X102" s="38" t="n">
        <f aca="false">SUMPRODUCT(--(Thesis!$R$65:$AA$65&lt;Thesis!X$65),--(Thesis!$R$65:$AA$65&gt;=Thesis!X$65-tk_life),Thesis!$R$99:$AA$99)/tk_life</f>
        <v>76.1050702391572</v>
      </c>
      <c r="Y102" s="38" t="n">
        <f aca="false">SUMPRODUCT(--(Thesis!$R$65:$AA$65&lt;Thesis!Y$65),--(Thesis!$R$65:$AA$65&gt;=Thesis!Y$65-tk_life),Thesis!$R$99:$AA$99)/tk_life</f>
        <v>103.227966959208</v>
      </c>
      <c r="Z102" s="38" t="n">
        <f aca="false">SUMPRODUCT(--(Thesis!$R$65:$AA$65&lt;Thesis!Z$65),--(Thesis!$R$65:$AA$65&gt;=Thesis!Z$65-tk_life),Thesis!$R$99:$AA$99)/tk_life</f>
        <v>122.296705971464</v>
      </c>
      <c r="AA102" s="38" t="n">
        <f aca="false">SUMPRODUCT(--(Thesis!$R$65:$AA$65&lt;Thesis!AA$65),--(Thesis!$R$65:$AA$65&gt;=Thesis!AA$65-tk_life),Thesis!$R$99:$AA$99)/tk_life</f>
        <v>134.926065927559</v>
      </c>
    </row>
    <row r="103" customFormat="false" ht="17.15" hidden="false" customHeight="false" outlineLevel="0" collapsed="false">
      <c r="A103" s="0" t="s">
        <v>638</v>
      </c>
      <c r="B103" s="0" t="s">
        <v>86</v>
      </c>
      <c r="C103" s="38" t="n">
        <f aca="false">Thesis!$S$103</f>
        <v>0.0202511502553155</v>
      </c>
      <c r="D103" s="38" t="n">
        <f aca="false">Thesis!$T$103</f>
        <v>0.172291150255315</v>
      </c>
      <c r="E103" s="38" t="n">
        <f aca="false">Thesis!$G$103/2</f>
        <v>0.428235575127658</v>
      </c>
      <c r="F103" s="38" t="n">
        <f aca="false">Thesis!$G$103/2</f>
        <v>0.428235575127658</v>
      </c>
      <c r="G103" s="38" t="n">
        <f aca="false">Thesis!$U$103</f>
        <v>0.856471150255315</v>
      </c>
      <c r="H103" s="38" t="n">
        <f aca="false">Thesis!$V$103</f>
        <v>2.41307567525532</v>
      </c>
      <c r="I103" s="38" t="n">
        <f aca="false">Thesis!$W$103</f>
        <v>4.71540472525532</v>
      </c>
      <c r="J103" s="38" t="n">
        <f aca="false">Thesis!$X$103</f>
        <v>7.01773377525532</v>
      </c>
      <c r="K103" s="38" t="n">
        <f aca="false">Thesis!$Y$103</f>
        <v>9.32006282525532</v>
      </c>
      <c r="L103" s="38" t="n">
        <f aca="false">Thesis!$Z$103</f>
        <v>10.9487071753387</v>
      </c>
      <c r="M103" s="38" t="n">
        <f aca="false">Thesis!$AA$103</f>
        <v>11.9036668255053</v>
      </c>
      <c r="N103" s="38" t="n">
        <f aca="false">Thesis!$D$103/2</f>
        <v>0.0861455751276577</v>
      </c>
      <c r="O103" s="38" t="n">
        <f aca="false">Thesis!$D$103/2</f>
        <v>0.0861455751276577</v>
      </c>
      <c r="R103" s="38" t="n">
        <f aca="false">SUMPRODUCT(--(Thesis!$R$65:$AA$65&lt;Thesis!R$65),Thesis!$R$100:$AA$100)/fac_life</f>
        <v>0</v>
      </c>
      <c r="S103" s="38" t="n">
        <f aca="false">SUMPRODUCT(--(Thesis!$R$65:$AA$65&lt;Thesis!S$65),Thesis!$R$100:$AA$100)/fac_life</f>
        <v>0.0202511502553155</v>
      </c>
      <c r="T103" s="38" t="n">
        <f aca="false">SUMPRODUCT(--(Thesis!$R$65:$AA$65&lt;Thesis!T$65),Thesis!$R$100:$AA$100)/fac_life</f>
        <v>0.172291150255315</v>
      </c>
      <c r="U103" s="38" t="n">
        <f aca="false">SUMPRODUCT(--(Thesis!$R$65:$AA$65&lt;Thesis!U$65),Thesis!$R$100:$AA$100)/fac_life</f>
        <v>0.856471150255315</v>
      </c>
      <c r="V103" s="38" t="n">
        <f aca="false">SUMPRODUCT(--(Thesis!$R$65:$AA$65&lt;Thesis!V$65),Thesis!$R$100:$AA$100)/fac_life</f>
        <v>2.41307567525532</v>
      </c>
      <c r="W103" s="38" t="n">
        <f aca="false">SUMPRODUCT(--(Thesis!$R$65:$AA$65&lt;Thesis!W$65),Thesis!$R$100:$AA$100)/fac_life</f>
        <v>4.71540472525532</v>
      </c>
      <c r="X103" s="38" t="n">
        <f aca="false">SUMPRODUCT(--(Thesis!$R$65:$AA$65&lt;Thesis!X$65),Thesis!$R$100:$AA$100)/fac_life</f>
        <v>7.01773377525532</v>
      </c>
      <c r="Y103" s="38" t="n">
        <f aca="false">SUMPRODUCT(--(Thesis!$R$65:$AA$65&lt;Thesis!Y$65),Thesis!$R$100:$AA$100)/fac_life</f>
        <v>9.32006282525532</v>
      </c>
      <c r="Z103" s="38" t="n">
        <f aca="false">SUMPRODUCT(--(Thesis!$R$65:$AA$65&lt;Thesis!Z$65),Thesis!$R$100:$AA$100)/fac_life</f>
        <v>10.9487071753387</v>
      </c>
      <c r="AA103" s="38" t="n">
        <f aca="false">SUMPRODUCT(--(Thesis!$R$65:$AA$65&lt;Thesis!AA$65),Thesis!$R$100:$AA$100)/fac_life</f>
        <v>11.9036668255053</v>
      </c>
    </row>
    <row r="104" customFormat="false" ht="17.15" hidden="false" customHeight="false" outlineLevel="0" collapsed="false">
      <c r="A104" s="1" t="s">
        <v>639</v>
      </c>
      <c r="B104" s="8" t="s">
        <v>86</v>
      </c>
      <c r="C104" s="38" t="n">
        <f aca="false">Thesis!$C$102+Thesis!$C$103</f>
        <v>0.203463948620839</v>
      </c>
      <c r="D104" s="38" t="n">
        <f aca="false">Thesis!$D$102+Thesis!$D$103</f>
        <v>1.73101464862084</v>
      </c>
      <c r="E104" s="38" t="n">
        <f aca="false">Thesis!$E$102+Thesis!$E$103</f>
        <v>4.30249639931042</v>
      </c>
      <c r="F104" s="38" t="n">
        <f aca="false">Thesis!$F$102+Thesis!$F$103</f>
        <v>4.30249639931042</v>
      </c>
      <c r="G104" s="38" t="n">
        <f aca="false">Thesis!$G$102+Thesis!$G$103</f>
        <v>8.60499279862084</v>
      </c>
      <c r="H104" s="38" t="n">
        <f aca="false">Thesis!$H$102+Thesis!$H$103</f>
        <v>26.6640337718708</v>
      </c>
      <c r="I104" s="38" t="n">
        <f aca="false">Thesis!$I$102+Thesis!$I$103</f>
        <v>54.3871601459959</v>
      </c>
      <c r="J104" s="38" t="n">
        <f aca="false">Thesis!$J$102+Thesis!$J$103</f>
        <v>83.1228040144125</v>
      </c>
      <c r="K104" s="38" t="n">
        <f aca="false">Thesis!$K$102+Thesis!$K$103</f>
        <v>112.548029784464</v>
      </c>
      <c r="L104" s="38" t="n">
        <f aca="false">Thesis!$L$102+Thesis!$L$103</f>
        <v>133.245413146803</v>
      </c>
      <c r="M104" s="38" t="n">
        <f aca="false">Thesis!$M$102+Thesis!$M$103</f>
        <v>146.829732753064</v>
      </c>
      <c r="N104" s="38" t="n">
        <f aca="false">Thesis!$N$102+Thesis!$N$103</f>
        <v>0.865507324310419</v>
      </c>
      <c r="O104" s="38" t="n">
        <f aca="false">Thesis!$O$102+Thesis!$O$103</f>
        <v>0.865507324310419</v>
      </c>
      <c r="R104" s="38" t="n">
        <f aca="false">Thesis!$R$102+Thesis!$R$103</f>
        <v>0</v>
      </c>
      <c r="S104" s="38" t="n">
        <f aca="false">Thesis!$S$102+Thesis!$S$103</f>
        <v>0.203463948620839</v>
      </c>
      <c r="T104" s="38" t="n">
        <f aca="false">Thesis!$T$102+Thesis!$T$103</f>
        <v>1.73101464862084</v>
      </c>
      <c r="U104" s="38" t="n">
        <f aca="false">Thesis!$U$102+Thesis!$U$103</f>
        <v>8.60499279862084</v>
      </c>
      <c r="V104" s="38" t="n">
        <f aca="false">Thesis!$V$102+Thesis!$V$103</f>
        <v>26.6640337718708</v>
      </c>
      <c r="W104" s="38" t="n">
        <f aca="false">Thesis!$W$102+Thesis!$W$103</f>
        <v>54.3871601459959</v>
      </c>
      <c r="X104" s="38" t="n">
        <f aca="false">Thesis!$X$102+Thesis!$X$103</f>
        <v>83.1228040144125</v>
      </c>
      <c r="Y104" s="38" t="n">
        <f aca="false">Thesis!$Y$102+Thesis!$Y$103</f>
        <v>112.548029784464</v>
      </c>
      <c r="Z104" s="38" t="n">
        <f aca="false">Thesis!$Z$102+Thesis!$Z$103</f>
        <v>133.245413146803</v>
      </c>
      <c r="AA104" s="38" t="n">
        <f aca="false">Thesis!$AA$102+Thesis!$AA$103</f>
        <v>146.829732753064</v>
      </c>
    </row>
    <row r="105" customFormat="false" ht="17.15" hidden="false" customHeight="false" outlineLevel="0" collapsed="false">
      <c r="A105" s="0" t="s">
        <v>640</v>
      </c>
      <c r="B105" s="0" t="s">
        <v>86</v>
      </c>
      <c r="C105" s="38" t="n">
        <f aca="false">Thesis!$S$105</f>
        <v>12.5947000466786</v>
      </c>
      <c r="D105" s="38" t="n">
        <f aca="false">Thesis!$T$105</f>
        <v>61.6860742980578</v>
      </c>
      <c r="G105" s="38" t="n">
        <f aca="false">Thesis!$U$105</f>
        <v>183.227790688937</v>
      </c>
      <c r="H105" s="38" t="n">
        <f aca="false">Thesis!$V$105</f>
        <v>355.135121861816</v>
      </c>
      <c r="I105" s="38" t="n">
        <f aca="false">Thesis!$W$105</f>
        <v>505.39443162632</v>
      </c>
      <c r="J105" s="38" t="n">
        <f aca="false">Thesis!$X$105</f>
        <v>632.154865722408</v>
      </c>
      <c r="K105" s="38" t="n">
        <f aca="false">Thesis!$Y$105</f>
        <v>674.845221213145</v>
      </c>
      <c r="L105" s="38" t="n">
        <f aca="false">Thesis!$Z$105</f>
        <v>673.613949706244</v>
      </c>
      <c r="M105" s="38" t="n">
        <f aca="false">Thesis!$AA$105</f>
        <v>659.015198613032</v>
      </c>
      <c r="R105" s="38" t="n">
        <f aca="false">SUM(Thesis!$R$97:$R$97)-SUM(Thesis!$R$104:$R$104)</f>
        <v>1.50429979529945</v>
      </c>
      <c r="S105" s="38" t="n">
        <f aca="false">SUM(Thesis!$R$97:$S$97)-SUM(Thesis!$R$104:$S$104)</f>
        <v>12.5947000466786</v>
      </c>
      <c r="T105" s="38" t="n">
        <f aca="false">SUM(Thesis!$R$97:$T$97)-SUM(Thesis!$R$104:$T$104)</f>
        <v>61.6860742980578</v>
      </c>
      <c r="U105" s="38" t="n">
        <f aca="false">SUM(Thesis!$R$97:$U$97)-SUM(Thesis!$R$104:$U$104)</f>
        <v>183.227790688937</v>
      </c>
      <c r="V105" s="38" t="n">
        <f aca="false">SUM(Thesis!$R$97:$V$97)-SUM(Thesis!$R$104:$V$104)</f>
        <v>355.135121861816</v>
      </c>
      <c r="W105" s="38" t="n">
        <f aca="false">SUM(Thesis!$R$97:$W$97)-SUM(Thesis!$R$104:$W$104)</f>
        <v>505.39443162632</v>
      </c>
      <c r="X105" s="38" t="n">
        <f aca="false">SUM(Thesis!$R$97:$X$97)-SUM(Thesis!$R$104:$X$104)</f>
        <v>632.154865722408</v>
      </c>
      <c r="Y105" s="38" t="n">
        <f aca="false">SUM(Thesis!$R$97:$Y$97)-SUM(Thesis!$R$104:$Y$104)</f>
        <v>674.845221213145</v>
      </c>
      <c r="Z105" s="38" t="n">
        <f aca="false">SUM(Thesis!$R$97:$Z$97)-SUM(Thesis!$R$104:$Z$104)</f>
        <v>673.613949706244</v>
      </c>
      <c r="AA105" s="38" t="n">
        <f aca="false">SUM(Thesis!$R$97:$AA$97)-SUM(Thesis!$R$104:$AA$104)</f>
        <v>659.015198613032</v>
      </c>
    </row>
    <row r="106" customFormat="false" ht="17.15" hidden="false" customHeight="false" outlineLevel="0" collapsed="false">
      <c r="A106" s="1" t="s">
        <v>641</v>
      </c>
    </row>
    <row r="107" customFormat="false" ht="17.15" hidden="false" customHeight="false" outlineLevel="0" collapsed="false">
      <c r="A107" s="0" t="s">
        <v>642</v>
      </c>
      <c r="B107" s="0" t="s">
        <v>86</v>
      </c>
      <c r="C107" s="38" t="n">
        <f aca="false">Thesis!$C$86-ext_sh*Thesis!$C$88</f>
        <v>1.80694998843362</v>
      </c>
      <c r="D107" s="38" t="n">
        <f aca="false">Thesis!$D$86-ext_sh*Thesis!$D$88</f>
        <v>6.77606245662607</v>
      </c>
      <c r="E107" s="38" t="n">
        <f aca="false">Thesis!$E$86-ext_sh*Thesis!$E$88</f>
        <v>6.62548329092326</v>
      </c>
      <c r="F107" s="38" t="n">
        <f aca="false">Thesis!$F$86-ext_sh*Thesis!$F$88</f>
        <v>11.7200577158706</v>
      </c>
      <c r="G107" s="38" t="n">
        <f aca="false">Thesis!$G$86-ext_sh*Thesis!$G$88</f>
        <v>18.3455410067939</v>
      </c>
      <c r="H107" s="38" t="n">
        <f aca="false">Thesis!$H$86-ext_sh*Thesis!$H$88</f>
        <v>47.5171727060453</v>
      </c>
      <c r="I107" s="38" t="n">
        <f aca="false">Thesis!$I$86-ext_sh*Thesis!$I$88</f>
        <v>80.5539692643667</v>
      </c>
      <c r="J107" s="38" t="n">
        <f aca="false">Thesis!$J$86-ext_sh*Thesis!$J$88</f>
        <v>113.759316834883</v>
      </c>
      <c r="K107" s="38" t="n">
        <f aca="false">Thesis!$K$86-ext_sh*Thesis!$K$88</f>
        <v>142.084411492169</v>
      </c>
      <c r="L107" s="38" t="n">
        <f aca="false">Thesis!$L$86-ext_sh*Thesis!$L$88</f>
        <v>160.69964615804</v>
      </c>
      <c r="M107" s="38" t="n">
        <f aca="false">Thesis!$M$86-ext_sh*Thesis!$M$88</f>
        <v>169.577607141793</v>
      </c>
      <c r="N107" s="38" t="n">
        <f aca="false">Thesis!$N$86-ext_sh*Thesis!$N$88</f>
        <v>2.37162185981912</v>
      </c>
      <c r="O107" s="38" t="n">
        <f aca="false">Thesis!$O$86-ext_sh*Thesis!$O$88</f>
        <v>4.40444059680694</v>
      </c>
    </row>
    <row r="108" customFormat="false" ht="17.15" hidden="false" customHeight="false" outlineLevel="0" collapsed="false">
      <c r="A108" s="1" t="s">
        <v>643</v>
      </c>
      <c r="B108" s="8" t="s">
        <v>86</v>
      </c>
      <c r="C108" s="38" t="n">
        <f aca="false">Thesis!$C$107-ext_sh*Thesis!$C$104</f>
        <v>1.64417882953695</v>
      </c>
      <c r="D108" s="38" t="n">
        <f aca="false">Thesis!$D$107-ext_sh*Thesis!$D$104</f>
        <v>5.39125073772939</v>
      </c>
      <c r="E108" s="38" t="n">
        <f aca="false">Thesis!$E$107-ext_sh*Thesis!$E$104</f>
        <v>3.18348617147493</v>
      </c>
      <c r="F108" s="38" t="n">
        <f aca="false">Thesis!$F$107-ext_sh*Thesis!$F$104</f>
        <v>8.27806059642226</v>
      </c>
      <c r="G108" s="38" t="n">
        <f aca="false">Thesis!$G$107-ext_sh*Thesis!$G$104</f>
        <v>11.4615467678972</v>
      </c>
      <c r="H108" s="38" t="n">
        <f aca="false">Thesis!$H$107-ext_sh*Thesis!$H$104</f>
        <v>26.1859456885487</v>
      </c>
      <c r="I108" s="38" t="n">
        <f aca="false">Thesis!$I$107-ext_sh*Thesis!$I$104</f>
        <v>37.04424114757</v>
      </c>
      <c r="J108" s="38" t="n">
        <f aca="false">Thesis!$J$107-ext_sh*Thesis!$J$104</f>
        <v>47.2610736233534</v>
      </c>
      <c r="K108" s="38" t="n">
        <f aca="false">Thesis!$K$107-ext_sh*Thesis!$K$104</f>
        <v>52.0459876645985</v>
      </c>
      <c r="L108" s="38" t="n">
        <f aca="false">Thesis!$L$107-ext_sh*Thesis!$L$104</f>
        <v>54.1033156405981</v>
      </c>
      <c r="M108" s="38" t="n">
        <f aca="false">Thesis!$M$107-ext_sh*Thesis!$M$104</f>
        <v>52.1138209393421</v>
      </c>
      <c r="N108" s="38" t="n">
        <f aca="false">Thesis!$N$107-ext_sh*Thesis!$N$104</f>
        <v>1.67921600037079</v>
      </c>
      <c r="O108" s="38" t="n">
        <f aca="false">Thesis!$O$107-ext_sh*Thesis!$O$104</f>
        <v>3.71203473735861</v>
      </c>
    </row>
    <row r="109" customFormat="false" ht="17.15" hidden="false" customHeight="false" outlineLevel="0" collapsed="false">
      <c r="A109" s="0" t="s">
        <v>644</v>
      </c>
      <c r="B109" s="0" t="s">
        <v>52</v>
      </c>
      <c r="C109" s="13" t="n">
        <f aca="false">Thesis!$C$108/Thesis!$C$86</f>
        <v>0.708390794789371</v>
      </c>
      <c r="D109" s="13" t="n">
        <f aca="false">Thesis!$D$108/Thesis!$D$86</f>
        <v>0.619415573115729</v>
      </c>
      <c r="E109" s="13" t="n">
        <f aca="false">Thesis!$E$108/Thesis!$E$86</f>
        <v>0.374072166056273</v>
      </c>
      <c r="F109" s="13" t="n">
        <f aca="false">Thesis!$F$108/Thesis!$F$86</f>
        <v>0.553219320710057</v>
      </c>
      <c r="G109" s="13" t="n">
        <f aca="false">Thesis!$G$108/Thesis!$G$86</f>
        <v>0.488270041527512</v>
      </c>
      <c r="H109" s="13" t="n">
        <f aca="false">Thesis!$H$108/Thesis!$H$86</f>
        <v>0.435229086816882</v>
      </c>
      <c r="I109" s="13" t="n">
        <f aca="false">Thesis!$I$108/Thesis!$I$86</f>
        <v>0.364954592421095</v>
      </c>
      <c r="J109" s="13" t="n">
        <f aca="false">Thesis!$J$108/Thesis!$J$86</f>
        <v>0.330438308582232</v>
      </c>
      <c r="K109" s="13" t="n">
        <f aca="false">Thesis!$K$108/Thesis!$K$86</f>
        <v>0.2916589289528</v>
      </c>
      <c r="L109" s="13" t="n">
        <f aca="false">Thesis!$L$108/Thesis!$L$86</f>
        <v>0.268199200593258</v>
      </c>
      <c r="M109" s="13" t="n">
        <f aca="false">Thesis!$M$108/Thesis!$M$86</f>
        <v>0.244854995033574</v>
      </c>
      <c r="N109" s="13" t="n">
        <f aca="false">Thesis!$N$108/Thesis!$N$86</f>
        <v>0.551227795793364</v>
      </c>
      <c r="O109" s="13" t="n">
        <f aca="false">Thesis!$O$108/Thesis!$O$86</f>
        <v>0.656132068597002</v>
      </c>
    </row>
    <row r="110" customFormat="false" ht="17.15" hidden="false" customHeight="false" outlineLevel="0" collapsed="false">
      <c r="A110" s="5" t="s">
        <v>645</v>
      </c>
      <c r="B110" s="0" t="s">
        <v>86</v>
      </c>
      <c r="C110" s="39" t="n">
        <v>0</v>
      </c>
      <c r="D110" s="39" t="n">
        <v>0</v>
      </c>
      <c r="E110" s="39" t="n">
        <v>0</v>
      </c>
      <c r="F110" s="38" t="n">
        <f aca="false">IF(internal_ai_reading=2,1,0)*(1-ext_sh)/ext_sh*(mw_open*he_open+Thesis!$F$84*Thesis!$F$81)*Thesis!$F$70/1000</f>
        <v>3.77122048175818</v>
      </c>
      <c r="G110" s="38" t="n">
        <f aca="false">Thesis!$E$110+Thesis!$F$110</f>
        <v>3.77122048175818</v>
      </c>
      <c r="H110" s="38" t="n">
        <f aca="false">IF(internal_ai_reading=2,1,0)*(1-ext_sh)/ext_sh*(mw_open*he_open+Thesis!$H$84*Thesis!$H$81)*Thesis!$H$70/1000</f>
        <v>15.1635543609893</v>
      </c>
      <c r="I110" s="38" t="n">
        <f aca="false">IF(internal_ai_reading=2,1,0)*(1-ext_sh)/ext_sh*(mw_open*he_open+Thesis!$I$84*Thesis!$I$81)*Thesis!$I$70/1000</f>
        <v>25.5818843619889</v>
      </c>
      <c r="J110" s="38" t="n">
        <f aca="false">IF(internal_ai_reading=2,1,0)*(1-ext_sh)/ext_sh*(mw_open*he_open+Thesis!$J$84*Thesis!$J$81)*Thesis!$J$70/1000</f>
        <v>36.0465624179122</v>
      </c>
      <c r="K110" s="38" t="n">
        <f aca="false">IF(internal_ai_reading=2,1,0)*(1-ext_sh)/ext_sh*(mw_open*he_open+Thesis!$K$84*Thesis!$K$81)*Thesis!$K$70/1000</f>
        <v>44.9741164026038</v>
      </c>
      <c r="L110" s="38" t="n">
        <f aca="false">IF(internal_ai_reading=2,1,0)*(1-ext_sh)/ext_sh*(mw_open*he_open+Thesis!$L$84*Thesis!$L$81)*Thesis!$L$70/1000</f>
        <v>50.8413488057813</v>
      </c>
      <c r="M110" s="38" t="n">
        <f aca="false">IF(internal_ai_reading=2,1,0)*(1-ext_sh)/ext_sh*(mw_open*he_open+Thesis!$M$84*Thesis!$M$81)*Thesis!$M$70/1000</f>
        <v>53.6407214274315</v>
      </c>
      <c r="N110" s="39" t="n">
        <v>0</v>
      </c>
      <c r="O110" s="39" t="n">
        <v>0</v>
      </c>
      <c r="P110" s="8" t="s">
        <v>646</v>
      </c>
    </row>
    <row r="111" customFormat="false" ht="17.15" hidden="false" customHeight="false" outlineLevel="0" collapsed="false">
      <c r="A111" s="5" t="s">
        <v>647</v>
      </c>
      <c r="B111" s="0" t="s">
        <v>86</v>
      </c>
      <c r="C111" s="38" t="n">
        <f aca="false">(1-ext_sh)*(Thesis!$C$88+Thesis!$C$104)</f>
        <v>0.169206631859174</v>
      </c>
      <c r="D111" s="38" t="n">
        <f aca="false">(1-ext_sh)*(Thesis!$D$88+Thesis!$D$104)</f>
        <v>0.828129837730442</v>
      </c>
      <c r="E111" s="38" t="n">
        <f aca="false">(1-ext_sh)*(Thesis!$E$88+Thesis!$E$104)</f>
        <v>1.33171670102377</v>
      </c>
      <c r="F111" s="38" t="n">
        <f aca="false">(1-ext_sh)*(Thesis!$F$88+Thesis!$F$104)</f>
        <v>1.67134326207455</v>
      </c>
      <c r="G111" s="38" t="n">
        <f aca="false">(1-ext_sh)*(Thesis!$G$88+Thesis!$G$104)</f>
        <v>3.00305996309832</v>
      </c>
      <c r="H111" s="38" t="n">
        <f aca="false">(1-ext_sh)*(Thesis!$H$88+Thesis!$H$104)</f>
        <v>8.49498626530648</v>
      </c>
      <c r="I111" s="38" t="n">
        <f aca="false">(1-ext_sh)*(Thesis!$I$88+Thesis!$I$104)</f>
        <v>16.1148644972155</v>
      </c>
      <c r="J111" s="38" t="n">
        <f aca="false">(1-ext_sh)*(Thesis!$J$88+Thesis!$J$104)</f>
        <v>23.9410833819812</v>
      </c>
      <c r="K111" s="38" t="n">
        <f aca="false">(1-ext_sh)*(Thesis!$K$88+Thesis!$K$104)</f>
        <v>31.6005331796453</v>
      </c>
      <c r="L111" s="38" t="n">
        <f aca="false">(1-ext_sh)*(Thesis!$L$88+Thesis!$L$104)</f>
        <v>36.9061965404496</v>
      </c>
      <c r="M111" s="38" t="n">
        <f aca="false">(1-ext_sh)*(Thesis!$M$88+Thesis!$M$104)</f>
        <v>40.1804051073808</v>
      </c>
      <c r="N111" s="38" t="n">
        <f aca="false">(1-ext_sh)*(Thesis!$N$88+Thesis!$N$104)</f>
        <v>0.34177588266428</v>
      </c>
      <c r="O111" s="38" t="n">
        <f aca="false">(1-ext_sh)*(Thesis!$O$88+Thesis!$O$104)</f>
        <v>0.486353955066162</v>
      </c>
    </row>
    <row r="112" customFormat="false" ht="17.15" hidden="false" customHeight="false" outlineLevel="0" collapsed="false">
      <c r="A112" s="0" t="s">
        <v>648</v>
      </c>
      <c r="B112" s="0" t="s">
        <v>86</v>
      </c>
      <c r="C112" s="38" t="n">
        <f aca="false">Q!$D$24</f>
        <v>39.834</v>
      </c>
      <c r="D112" s="38" t="n">
        <f aca="false">Q!$E$24</f>
        <v>45.606</v>
      </c>
      <c r="E112" s="38" t="n">
        <f aca="false">Q!$P$24</f>
        <v>30.782</v>
      </c>
      <c r="N112" s="38" t="n">
        <f aca="false">Q!$N$24</f>
        <v>21.707</v>
      </c>
      <c r="O112" s="38" t="n">
        <f aca="false">Q!$O$24</f>
        <v>23.899</v>
      </c>
    </row>
    <row r="113" customFormat="false" ht="17.15" hidden="false" customHeight="false" outlineLevel="0" collapsed="false">
      <c r="A113" s="0" t="s">
        <v>649</v>
      </c>
      <c r="B113" s="0" t="s">
        <v>86</v>
      </c>
      <c r="C113" s="38" t="n">
        <f aca="false">Thesis!$C$112-Thesis!$C$108</f>
        <v>38.1898211704631</v>
      </c>
      <c r="D113" s="38" t="n">
        <f aca="false">Thesis!$D$112-Thesis!$D$108</f>
        <v>40.2147492622706</v>
      </c>
      <c r="E113" s="38" t="n">
        <f aca="false">Thesis!$E$112-Thesis!$E$108</f>
        <v>27.5985138285251</v>
      </c>
      <c r="F113" s="38" t="n">
        <f aca="false">Thesis!$F$90*Thesis!$F$114</f>
        <v>25.5484769754606</v>
      </c>
      <c r="G113" s="38" t="n">
        <f aca="false">Thesis!$E$113+Thesis!$F$113</f>
        <v>53.1469908039857</v>
      </c>
      <c r="H113" s="38" t="n">
        <f aca="false">Thesis!$H$90*Thesis!$H$114</f>
        <v>57.3189525076539</v>
      </c>
      <c r="I113" s="38" t="n">
        <f aca="false">Thesis!$I$90*Thesis!$I$114</f>
        <v>63.6385627021087</v>
      </c>
      <c r="J113" s="38" t="n">
        <f aca="false">Thesis!$J$90*Thesis!$J$114</f>
        <v>69.6922896066105</v>
      </c>
      <c r="K113" s="38" t="n">
        <f aca="false">Thesis!$K$90*Thesis!$K$114</f>
        <v>75.2676727751394</v>
      </c>
      <c r="L113" s="38" t="n">
        <f aca="false">Thesis!$L$90*Thesis!$L$114</f>
        <v>81.2890865971505</v>
      </c>
      <c r="M113" s="38" t="n">
        <f aca="false">Thesis!$M$90*Thesis!$M$114</f>
        <v>87.7922135249226</v>
      </c>
      <c r="N113" s="38" t="n">
        <f aca="false">Thesis!$N$112-Thesis!$N$108</f>
        <v>20.0277839996292</v>
      </c>
      <c r="O113" s="38" t="n">
        <f aca="false">Thesis!$O$112-Thesis!$O$108</f>
        <v>20.1869652626414</v>
      </c>
      <c r="P113" s="5" t="s">
        <v>650</v>
      </c>
    </row>
    <row r="114" customFormat="false" ht="17.15" hidden="false" customHeight="false" outlineLevel="0" collapsed="false">
      <c r="A114" s="0" t="s">
        <v>651</v>
      </c>
      <c r="B114" s="0" t="s">
        <v>52</v>
      </c>
      <c r="C114" s="13" t="n">
        <f aca="false">Thesis!$C$113/Thesis!$C$90</f>
        <v>0.362900395443635</v>
      </c>
      <c r="D114" s="13" t="n">
        <f aca="false">Thesis!$D$113/Thesis!$D$90</f>
        <v>0.335063632425483</v>
      </c>
      <c r="E114" s="13" t="n">
        <f aca="false">Thesis!$E$113/Thesis!$E$90</f>
        <v>0.387028992698038</v>
      </c>
      <c r="F114" s="13" t="n">
        <f aca="false">(Thesis!$O$113+Thesis!$E$113)/(Thesis!$O$90+Thesis!$E$90)</f>
        <v>0.355980580118587</v>
      </c>
      <c r="G114" s="13" t="n">
        <f aca="false">Thesis!$G$113/Thesis!$G$90</f>
        <v>0.371454804780916</v>
      </c>
      <c r="H114" s="13" t="n">
        <f aca="false">Thesis!$F$114</f>
        <v>0.355980580118587</v>
      </c>
      <c r="I114" s="13" t="n">
        <f aca="false">Thesis!$F$114</f>
        <v>0.355980580118587</v>
      </c>
      <c r="J114" s="13" t="n">
        <f aca="false">Thesis!$F$114</f>
        <v>0.355980580118587</v>
      </c>
      <c r="K114" s="13" t="n">
        <f aca="false">Thesis!$F$114</f>
        <v>0.355980580118587</v>
      </c>
      <c r="L114" s="13" t="n">
        <f aca="false">Thesis!$F$114</f>
        <v>0.355980580118587</v>
      </c>
      <c r="M114" s="13" t="n">
        <f aca="false">Thesis!$F$114</f>
        <v>0.355980580118587</v>
      </c>
      <c r="N114" s="13" t="n">
        <f aca="false">Thesis!$N$113/Thesis!$N$90</f>
        <v>0.35078810535806</v>
      </c>
      <c r="O114" s="13" t="n">
        <f aca="false">Thesis!$O$113/Thesis!$O$90</f>
        <v>0.320796939361619</v>
      </c>
      <c r="P114" s="8" t="s">
        <v>652</v>
      </c>
    </row>
    <row r="115" customFormat="false" ht="17.15" hidden="false" customHeight="false" outlineLevel="0" collapsed="false">
      <c r="A115" s="0" t="s">
        <v>653</v>
      </c>
      <c r="B115" s="0" t="s">
        <v>52</v>
      </c>
      <c r="D115" s="13" t="n">
        <f aca="false">(Q!$E$31-ext_sh*Thesis!$D$104)/Thesis!$D$90</f>
        <v>0.167180325480118</v>
      </c>
    </row>
    <row r="116" customFormat="false" ht="17.15" hidden="false" customHeight="false" outlineLevel="0" collapsed="false">
      <c r="A116" s="0" t="s">
        <v>654</v>
      </c>
      <c r="B116" s="0" t="s">
        <v>86</v>
      </c>
      <c r="C116" s="38" t="n">
        <f aca="false">Q!$D$31</f>
        <v>13.32</v>
      </c>
      <c r="D116" s="38" t="n">
        <f aca="false">Q!$E$31</f>
        <v>21.45</v>
      </c>
      <c r="E116" s="38" t="n">
        <f aca="false">Q!$P$31</f>
        <v>15.353</v>
      </c>
      <c r="F116" s="38" t="n">
        <f aca="false">ext_sh*Thesis!$F$104+Thesis!$D$115*Thesis!$F$90</f>
        <v>15.4404120185306</v>
      </c>
      <c r="G116" s="38" t="n">
        <f aca="false">Thesis!$E$116+Thesis!$F$116</f>
        <v>30.7934120185306</v>
      </c>
      <c r="H116" s="38" t="n">
        <f aca="false">ext_sh*Thesis!$H$104+Thesis!$D$115*Thesis!$H$90</f>
        <v>48.250114371455</v>
      </c>
      <c r="I116" s="38" t="n">
        <f aca="false">ext_sh*Thesis!$I$104+Thesis!$D$115*Thesis!$I$90</f>
        <v>73.3965146995963</v>
      </c>
      <c r="J116" s="38" t="n">
        <f aca="false">ext_sh*Thesis!$J$104+Thesis!$D$115*Thesis!$J$90</f>
        <v>99.22806138309</v>
      </c>
      <c r="K116" s="38" t="n">
        <f aca="false">ext_sh*Thesis!$K$104+Thesis!$D$115*Thesis!$K$90</f>
        <v>125.386627452856</v>
      </c>
      <c r="L116" s="38" t="n">
        <f aca="false">ext_sh*Thesis!$L$104+Thesis!$D$115*Thesis!$L$90</f>
        <v>144.77239043275</v>
      </c>
      <c r="M116" s="38" t="n">
        <f aca="false">ext_sh*Thesis!$M$104+Thesis!$D$115*Thesis!$M$90</f>
        <v>158.693930910983</v>
      </c>
      <c r="N116" s="38" t="n">
        <f aca="false">Q!$N$31</f>
        <v>9.234</v>
      </c>
      <c r="O116" s="38" t="n">
        <f aca="false">Q!$O$31</f>
        <v>12.216</v>
      </c>
    </row>
    <row r="117" customFormat="false" ht="17.15" hidden="false" customHeight="false" outlineLevel="0" collapsed="false">
      <c r="A117" s="1" t="s">
        <v>655</v>
      </c>
    </row>
    <row r="118" customFormat="false" ht="17.15" hidden="false" customHeight="false" outlineLevel="0" collapsed="false">
      <c r="A118" s="15" t="s">
        <v>656</v>
      </c>
      <c r="B118" s="14" t="s">
        <v>52</v>
      </c>
      <c r="C118" s="14"/>
      <c r="D118" s="14"/>
      <c r="E118" s="14"/>
      <c r="F118" s="14"/>
      <c r="G118" s="17" t="n">
        <f aca="false">Thesis!$G$108*(1-tax)/(ext_sh*(Thesis!$D$105+Thesis!$G$105)/2)</f>
        <v>0.0966870495301478</v>
      </c>
      <c r="H118" s="17" t="n">
        <f aca="false">Thesis!$H$108*(1-tax)/(ext_sh*(Thesis!$G$105+Thesis!$H$105)/2)</f>
        <v>0.100492020334136</v>
      </c>
      <c r="I118" s="17" t="n">
        <f aca="false">Thesis!$I$108*(1-tax)/(ext_sh*(Thesis!$H$105+Thesis!$I$105)/2)</f>
        <v>0.0889392292218236</v>
      </c>
      <c r="J118" s="17" t="n">
        <f aca="false">Thesis!$J$108*(1-tax)/(ext_sh*(Thesis!$I$105+Thesis!$J$105)/2)</f>
        <v>0.0858364613777012</v>
      </c>
      <c r="K118" s="17" t="n">
        <f aca="false">Thesis!$K$108*(1-tax)/(ext_sh*(Thesis!$J$105+Thesis!$K$105)/2)</f>
        <v>0.08227162714687</v>
      </c>
      <c r="L118" s="17" t="n">
        <f aca="false">Thesis!$L$108*(1-tax)/(ext_sh*(Thesis!$K$105+Thesis!$L$105)/2)</f>
        <v>0.0828942732763872</v>
      </c>
      <c r="M118" s="17" t="n">
        <f aca="false">Thesis!$M$108*(1-tax)/(ext_sh*(Thesis!$L$105+Thesis!$M$105)/2)</f>
        <v>0.0807945482347635</v>
      </c>
      <c r="N118" s="14"/>
      <c r="O118" s="14"/>
      <c r="P118" s="8" t="s">
        <v>657</v>
      </c>
    </row>
    <row r="119" customFormat="false" ht="17.15" hidden="false" customHeight="false" outlineLevel="0" collapsed="false">
      <c r="A119" s="5" t="s">
        <v>658</v>
      </c>
      <c r="B119" s="0" t="s">
        <v>57</v>
      </c>
      <c r="H119" s="36" t="n">
        <f aca="false">Thesis!$H$86*1000/(mw_open*he_open+Thesis!$H$84*Thesis!$H$81)</f>
        <v>0.991949006767191</v>
      </c>
      <c r="I119" s="36" t="n">
        <f aca="false">Thesis!$I$86*1000/(mw_open*he_open+Thesis!$I$84*Thesis!$I$81)</f>
        <v>0.991949006767191</v>
      </c>
      <c r="J119" s="36" t="n">
        <f aca="false">Thesis!$J$86*1000/(mw_open*he_open+Thesis!$J$84*Thesis!$J$81)</f>
        <v>0.991949006767191</v>
      </c>
      <c r="K119" s="36" t="n">
        <f aca="false">Thesis!$K$86*1000/(mw_open*he_open+Thesis!$K$84*Thesis!$K$81)</f>
        <v>0.991949006767191</v>
      </c>
      <c r="L119" s="36" t="n">
        <f aca="false">Thesis!$L$86*1000/(mw_open*he_open+Thesis!$L$84*Thesis!$L$81)</f>
        <v>0.991949006767191</v>
      </c>
      <c r="M119" s="36" t="n">
        <f aca="false">Thesis!$M$86*1000/(mw_open*he_open+Thesis!$M$84*Thesis!$M$81)</f>
        <v>0.991949006767191</v>
      </c>
    </row>
    <row r="120" customFormat="false" ht="17.15" hidden="false" customHeight="false" outlineLevel="0" collapsed="false">
      <c r="A120" s="5" t="s">
        <v>659</v>
      </c>
      <c r="B120" s="0" t="s">
        <v>57</v>
      </c>
      <c r="H120" s="36" t="n">
        <f aca="false">Thesis!$H$119*(Thesis!$H$86+wacc*ext_sh*(Thesis!$G$105+Thesis!$H$105)/2/(1-tax)-Thesis!$H$108)/Thesis!$H$86</f>
        <v>1.04696246089529</v>
      </c>
      <c r="I120" s="36" t="n">
        <f aca="false">Thesis!$I$119*(Thesis!$I$86+wacc*ext_sh*(Thesis!$H$105+Thesis!$I$105)/2/(1-tax)-Thesis!$I$108)/Thesis!$I$86</f>
        <v>1.09109607940198</v>
      </c>
      <c r="J120" s="36" t="n">
        <f aca="false">Thesis!$J$119*(Thesis!$J$86+wacc*ext_sh*(Thesis!$I$105+Thesis!$J$105)/2/(1-tax)-Thesis!$J$108)/Thesis!$J$86</f>
        <v>1.09681234280071</v>
      </c>
      <c r="K120" s="36" t="n">
        <f aca="false">Thesis!$K$119*(Thesis!$K$86+wacc*ext_sh*(Thesis!$J$105+Thesis!$K$105)/2/(1-tax)-Thesis!$K$108)/Thesis!$K$86</f>
        <v>1.10105220068984</v>
      </c>
      <c r="L120" s="36" t="n">
        <f aca="false">Thesis!$L$119*(Thesis!$L$86+wacc*ext_sh*(Thesis!$K$105+Thesis!$L$105)/2/(1-tax)-Thesis!$L$108)/Thesis!$L$86</f>
        <v>1.08952452639895</v>
      </c>
      <c r="M120" s="36" t="n">
        <f aca="false">Thesis!$M$119*(Thesis!$M$86+wacc*ext_sh*(Thesis!$L$105+Thesis!$M$105)/2/(1-tax)-Thesis!$M$108)/Thesis!$M$86</f>
        <v>1.08965878549519</v>
      </c>
    </row>
    <row r="121" customFormat="false" ht="17.15" hidden="false" customHeight="false" outlineLevel="0" collapsed="false">
      <c r="A121" s="5" t="s">
        <v>660</v>
      </c>
      <c r="B121" s="0" t="s">
        <v>52</v>
      </c>
      <c r="C121" s="13" t="n">
        <f aca="false">Thesis!$C$87/tk_pq</f>
        <v>0.195316432429398</v>
      </c>
      <c r="D121" s="13" t="n">
        <f aca="false">Thesis!$D$87/tk_pq</f>
        <v>0.195316432429398</v>
      </c>
      <c r="E121" s="13" t="n">
        <f aca="false">Thesis!$E$87/tk_pq</f>
        <v>0.195316432429398</v>
      </c>
      <c r="F121" s="13" t="n">
        <f aca="false">Thesis!$F$87/tk_pq</f>
        <v>0.202241827274866</v>
      </c>
      <c r="G121" s="13" t="n">
        <f aca="false">Thesis!$G$87/tk_pq</f>
        <v>0.199675016194063</v>
      </c>
      <c r="H121" s="13" t="n">
        <f aca="false">Thesis!$H$87/tk_pq</f>
        <v>0.212647947710325</v>
      </c>
      <c r="I121" s="13" t="n">
        <f aca="false">Thesis!$I$87/tk_pq</f>
        <v>0.219285125475351</v>
      </c>
      <c r="J121" s="13" t="n">
        <f aca="false">Thesis!$J$87/tk_pq</f>
        <v>0.222492493217189</v>
      </c>
      <c r="K121" s="13" t="n">
        <f aca="false">Thesis!$K$87/tk_pq</f>
        <v>0.224053502812094</v>
      </c>
      <c r="L121" s="13" t="n">
        <f aca="false">Thesis!$L$87/tk_pq</f>
        <v>0.224786916785614</v>
      </c>
      <c r="M121" s="13" t="n">
        <f aca="false">Thesis!$M$87/tk_pq</f>
        <v>0.225048671566937</v>
      </c>
      <c r="N121" s="13" t="n">
        <f aca="false">Thesis!$N$87/tk_pq</f>
        <v>0.195316432429398</v>
      </c>
      <c r="O121" s="13" t="n">
        <f aca="false">Thesis!$O$87/tk_pq</f>
        <v>0.195316432429398</v>
      </c>
      <c r="P121" s="5" t="s">
        <v>661</v>
      </c>
    </row>
    <row r="124" customFormat="false" ht="19.4" hidden="false" customHeight="false" outlineLevel="0" collapsed="false">
      <c r="A124" s="31" t="s">
        <v>663</v>
      </c>
    </row>
    <row r="125" customFormat="false" ht="17.15" hidden="false" customHeight="false" outlineLevel="0" collapsed="false">
      <c r="A125" s="6" t="s">
        <v>16</v>
      </c>
      <c r="B125" s="6" t="s">
        <v>17</v>
      </c>
      <c r="C125" s="20" t="s">
        <v>497</v>
      </c>
      <c r="D125" s="20" t="s">
        <v>498</v>
      </c>
      <c r="E125" s="20" t="s">
        <v>580</v>
      </c>
      <c r="F125" s="20" t="s">
        <v>581</v>
      </c>
      <c r="G125" s="20" t="s">
        <v>582</v>
      </c>
      <c r="H125" s="20" t="s">
        <v>583</v>
      </c>
      <c r="I125" s="20" t="s">
        <v>584</v>
      </c>
      <c r="J125" s="20" t="s">
        <v>585</v>
      </c>
      <c r="K125" s="20" t="s">
        <v>586</v>
      </c>
      <c r="L125" s="20" t="s">
        <v>587</v>
      </c>
      <c r="M125" s="20" t="s">
        <v>588</v>
      </c>
      <c r="N125" s="20" t="s">
        <v>589</v>
      </c>
      <c r="O125" s="20" t="s">
        <v>590</v>
      </c>
      <c r="P125" s="6" t="s">
        <v>23</v>
      </c>
      <c r="R125" s="20" t="n">
        <v>2023</v>
      </c>
      <c r="S125" s="20" t="n">
        <v>2024</v>
      </c>
      <c r="T125" s="20" t="n">
        <v>2025</v>
      </c>
      <c r="U125" s="20" t="n">
        <v>2026</v>
      </c>
      <c r="V125" s="20" t="n">
        <v>2027</v>
      </c>
      <c r="W125" s="20" t="n">
        <v>2028</v>
      </c>
      <c r="X125" s="20" t="n">
        <v>2029</v>
      </c>
      <c r="Y125" s="20" t="n">
        <v>2030</v>
      </c>
      <c r="Z125" s="20" t="n">
        <v>2031</v>
      </c>
      <c r="AA125" s="20" t="n">
        <v>2032</v>
      </c>
    </row>
    <row r="126" customFormat="false" ht="17.15" hidden="false" customHeight="false" outlineLevel="0" collapsed="false">
      <c r="A126" s="1" t="s">
        <v>591</v>
      </c>
    </row>
    <row r="127" customFormat="false" ht="17.15" hidden="false" customHeight="false" outlineLevel="0" collapsed="false">
      <c r="A127" s="5" t="s">
        <v>592</v>
      </c>
      <c r="B127" s="0" t="s">
        <v>144</v>
      </c>
      <c r="H127" s="32" t="n">
        <f aca="false">pace_C</f>
        <v>3634.3</v>
      </c>
      <c r="I127" s="32" t="n">
        <f aca="false">pace_C</f>
        <v>3634.3</v>
      </c>
      <c r="J127" s="32" t="n">
        <f aca="false">pace_C</f>
        <v>3634.3</v>
      </c>
      <c r="K127" s="32" t="n">
        <f aca="false">pace_C+(Thesis!$J$128*tg-pace_C)*1/3</f>
        <v>2570.86716666667</v>
      </c>
      <c r="L127" s="32" t="n">
        <f aca="false">pace_C+(Thesis!$J$128*tg-pace_C)*2/3</f>
        <v>1507.43433333333</v>
      </c>
      <c r="M127" s="32" t="n">
        <f aca="false">pace_C+(Thesis!$J$128*tg-pace_C)*3/3</f>
        <v>444.0015</v>
      </c>
      <c r="P127" s="5" t="s">
        <v>593</v>
      </c>
    </row>
    <row r="128" customFormat="false" ht="17.15" hidden="false" customHeight="false" outlineLevel="0" collapsed="false">
      <c r="A128" s="15" t="s">
        <v>594</v>
      </c>
      <c r="B128" s="14" t="s">
        <v>129</v>
      </c>
      <c r="C128" s="33" t="n">
        <f aca="false">mw_ye24</f>
        <v>360</v>
      </c>
      <c r="D128" s="33" t="n">
        <f aca="false">mw_ye25</f>
        <v>1440</v>
      </c>
      <c r="E128" s="33" t="n">
        <f aca="false">mw_open</f>
        <v>2080</v>
      </c>
      <c r="F128" s="33" t="n">
        <f aca="false">Thesis!$E$128+pace_C*0.5</f>
        <v>3897.15</v>
      </c>
      <c r="G128" s="33" t="n">
        <f aca="false">Thesis!$F$128</f>
        <v>3897.15</v>
      </c>
      <c r="H128" s="33" t="n">
        <f aca="false">Thesis!$G$128+Thesis!$H$127</f>
        <v>7531.45</v>
      </c>
      <c r="I128" s="33" t="n">
        <f aca="false">Thesis!$H$128+Thesis!$I$127</f>
        <v>11165.75</v>
      </c>
      <c r="J128" s="33" t="n">
        <f aca="false">Thesis!$I$128+Thesis!$J$127</f>
        <v>14800.05</v>
      </c>
      <c r="K128" s="33" t="n">
        <f aca="false">Thesis!$J$128+Thesis!$K$127</f>
        <v>17370.9171666667</v>
      </c>
      <c r="L128" s="33" t="n">
        <f aca="false">Thesis!$K$128+Thesis!$L$127</f>
        <v>18878.3515</v>
      </c>
      <c r="M128" s="33" t="n">
        <f aca="false">Thesis!$L$128+Thesis!$M$127</f>
        <v>19322.353</v>
      </c>
      <c r="N128" s="33" t="n">
        <f aca="false">(mw_ye24+mw_ye25)/2</f>
        <v>900</v>
      </c>
      <c r="O128" s="33" t="n">
        <f aca="false">mw_ye25</f>
        <v>1440</v>
      </c>
      <c r="P128" s="5" t="s">
        <v>595</v>
      </c>
    </row>
    <row r="129" customFormat="false" ht="17.15" hidden="false" customHeight="false" outlineLevel="0" collapsed="false">
      <c r="A129" s="5" t="s">
        <v>596</v>
      </c>
      <c r="B129" s="0" t="s">
        <v>129</v>
      </c>
      <c r="C129" s="32" t="n">
        <f aca="false">(mw_ye23+mw_ye24)/2</f>
        <v>240</v>
      </c>
      <c r="D129" s="32" t="n">
        <f aca="false">(Thesis!$C$128+Thesis!$D$128)/2</f>
        <v>900</v>
      </c>
      <c r="E129" s="32" t="n">
        <f aca="false">(Thesis!$D$128+Thesis!$E$128)/2</f>
        <v>1760</v>
      </c>
      <c r="F129" s="32" t="n">
        <f aca="false">(Thesis!$E$128+Thesis!$F$128)/2</f>
        <v>2988.575</v>
      </c>
      <c r="G129" s="32" t="n">
        <f aca="false">(Thesis!$E$129+Thesis!$F$129)/2</f>
        <v>2374.2875</v>
      </c>
      <c r="H129" s="32" t="n">
        <f aca="false">(Thesis!$G$128+Thesis!$H$128)/2</f>
        <v>5714.3</v>
      </c>
      <c r="I129" s="32" t="n">
        <f aca="false">(Thesis!$H$128+Thesis!$I$128)/2</f>
        <v>9348.6</v>
      </c>
      <c r="J129" s="32" t="n">
        <f aca="false">(Thesis!$I$128+Thesis!$J$128)/2</f>
        <v>12982.9</v>
      </c>
      <c r="K129" s="32" t="n">
        <f aca="false">(Thesis!$J$128+Thesis!$K$128)/2</f>
        <v>16085.4835833333</v>
      </c>
      <c r="L129" s="32" t="n">
        <f aca="false">(Thesis!$K$128+Thesis!$L$128)/2</f>
        <v>18124.6343333333</v>
      </c>
      <c r="M129" s="32" t="n">
        <f aca="false">(Thesis!$L$128+Thesis!$M$128)/2</f>
        <v>19100.35225</v>
      </c>
      <c r="N129" s="32" t="n">
        <f aca="false">(Thesis!$C$128+Thesis!$N$128)/2</f>
        <v>630</v>
      </c>
      <c r="O129" s="32" t="n">
        <f aca="false">(Thesis!$N$128+Thesis!$O$128)/2</f>
        <v>1170</v>
      </c>
    </row>
    <row r="130" customFormat="false" ht="15" hidden="false" customHeight="false" outlineLevel="0" collapsed="false">
      <c r="A130" s="5" t="s">
        <v>597</v>
      </c>
      <c r="B130" s="5" t="s">
        <v>123</v>
      </c>
      <c r="C130" s="34" t="n">
        <v>1</v>
      </c>
      <c r="D130" s="34" t="n">
        <v>1</v>
      </c>
      <c r="E130" s="34" t="n">
        <v>0.5</v>
      </c>
      <c r="F130" s="34" t="n">
        <v>0.5</v>
      </c>
      <c r="G130" s="34" t="n">
        <v>1</v>
      </c>
      <c r="H130" s="34" t="n">
        <v>1</v>
      </c>
      <c r="I130" s="34" t="n">
        <v>1</v>
      </c>
      <c r="J130" s="34" t="n">
        <v>1</v>
      </c>
      <c r="K130" s="34" t="n">
        <v>1</v>
      </c>
      <c r="L130" s="34" t="n">
        <v>1</v>
      </c>
      <c r="M130" s="34" t="n">
        <v>1</v>
      </c>
      <c r="N130" s="34" t="n">
        <v>0.5</v>
      </c>
      <c r="O130" s="34" t="n">
        <v>0.5</v>
      </c>
    </row>
    <row r="131" customFormat="false" ht="17.15" hidden="false" customHeight="false" outlineLevel="0" collapsed="false">
      <c r="A131" s="5" t="s">
        <v>598</v>
      </c>
      <c r="B131" s="0" t="s">
        <v>129</v>
      </c>
      <c r="C131" s="32" t="n">
        <f aca="false">Thesis!$C$128-mw_ye23</f>
        <v>240</v>
      </c>
      <c r="D131" s="32" t="n">
        <f aca="false">Thesis!$D$128-Thesis!$C$128</f>
        <v>1080</v>
      </c>
      <c r="E131" s="32" t="n">
        <f aca="false">Thesis!$E$128-Thesis!$D$128</f>
        <v>640</v>
      </c>
      <c r="F131" s="32" t="n">
        <f aca="false">Thesis!$F$128-Thesis!$E$128</f>
        <v>1817.15</v>
      </c>
      <c r="G131" s="32" t="n">
        <f aca="false">Thesis!$E$131+Thesis!$F$131</f>
        <v>2457.15</v>
      </c>
      <c r="H131" s="32" t="n">
        <f aca="false">Thesis!$H$128-Thesis!$G$128</f>
        <v>3634.3</v>
      </c>
      <c r="I131" s="32" t="n">
        <f aca="false">Thesis!$I$128-Thesis!$H$128</f>
        <v>3634.3</v>
      </c>
      <c r="J131" s="32" t="n">
        <f aca="false">Thesis!$J$128-Thesis!$I$128</f>
        <v>3634.3</v>
      </c>
      <c r="K131" s="32" t="n">
        <f aca="false">Thesis!$K$128-Thesis!$J$128</f>
        <v>2570.86716666667</v>
      </c>
      <c r="L131" s="32" t="n">
        <f aca="false">Thesis!$L$128-Thesis!$K$128</f>
        <v>1507.43433333333</v>
      </c>
      <c r="M131" s="32" t="n">
        <f aca="false">Thesis!$M$128-Thesis!$L$128</f>
        <v>444.001499999999</v>
      </c>
      <c r="N131" s="32" t="n">
        <f aca="false">Thesis!$N$128-Thesis!$C$128</f>
        <v>540</v>
      </c>
      <c r="O131" s="32" t="n">
        <f aca="false">Thesis!$O$128-Thesis!$N$128</f>
        <v>540</v>
      </c>
    </row>
    <row r="132" customFormat="false" ht="17.15" hidden="false" customHeight="false" outlineLevel="0" collapsed="false">
      <c r="A132" s="5" t="s">
        <v>599</v>
      </c>
      <c r="B132" s="0" t="s">
        <v>129</v>
      </c>
      <c r="C132" s="32" t="n">
        <f aca="false">Thesis!$C$131/ext_sh</f>
        <v>300</v>
      </c>
      <c r="D132" s="32" t="n">
        <f aca="false">Thesis!$D$131/ext_sh</f>
        <v>1350</v>
      </c>
      <c r="E132" s="32" t="n">
        <f aca="false">Thesis!$E$131/ext_sh</f>
        <v>800</v>
      </c>
      <c r="F132" s="32" t="n">
        <f aca="false">Thesis!$F$131/ext_sh</f>
        <v>2271.4375</v>
      </c>
      <c r="G132" s="32" t="n">
        <f aca="false">Thesis!$G$131/ext_sh</f>
        <v>3071.4375</v>
      </c>
      <c r="H132" s="32" t="n">
        <f aca="false">Thesis!$H$131/ext_sh</f>
        <v>4542.875</v>
      </c>
      <c r="I132" s="32" t="n">
        <f aca="false">Thesis!$I$131/ext_sh</f>
        <v>4542.875</v>
      </c>
      <c r="J132" s="32" t="n">
        <f aca="false">Thesis!$J$131/ext_sh</f>
        <v>4542.875</v>
      </c>
      <c r="K132" s="32" t="n">
        <f aca="false">Thesis!$K$131/ext_sh</f>
        <v>3213.58395833333</v>
      </c>
      <c r="L132" s="32" t="n">
        <f aca="false">Thesis!$L$131/ext_sh</f>
        <v>1884.29291666667</v>
      </c>
      <c r="M132" s="32" t="n">
        <f aca="false">Thesis!$M$131/ext_sh</f>
        <v>555.001874999998</v>
      </c>
      <c r="N132" s="32" t="n">
        <f aca="false">Thesis!$N$131/ext_sh</f>
        <v>675</v>
      </c>
      <c r="O132" s="32" t="n">
        <f aca="false">Thesis!$O$131/ext_sh</f>
        <v>675</v>
      </c>
      <c r="P132" s="8" t="s">
        <v>600</v>
      </c>
      <c r="R132" s="32" t="n">
        <f aca="false">mw_ye23/ext_sh</f>
        <v>150</v>
      </c>
      <c r="S132" s="32" t="n">
        <f aca="false">Thesis!$C$132</f>
        <v>300</v>
      </c>
      <c r="T132" s="32" t="n">
        <f aca="false">Thesis!$D$132</f>
        <v>1350</v>
      </c>
      <c r="U132" s="32" t="n">
        <f aca="false">Thesis!$G$132</f>
        <v>3071.4375</v>
      </c>
      <c r="V132" s="32" t="n">
        <f aca="false">Thesis!$H$132</f>
        <v>4542.875</v>
      </c>
      <c r="W132" s="32" t="n">
        <f aca="false">Thesis!$I$132</f>
        <v>4542.875</v>
      </c>
      <c r="X132" s="32" t="n">
        <f aca="false">Thesis!$J$132</f>
        <v>4542.875</v>
      </c>
      <c r="Y132" s="32" t="n">
        <f aca="false">Thesis!$K$132</f>
        <v>3213.58395833333</v>
      </c>
      <c r="Z132" s="32" t="n">
        <f aca="false">Thesis!$L$132</f>
        <v>1884.29291666667</v>
      </c>
      <c r="AA132" s="32" t="n">
        <f aca="false">Thesis!$M$132</f>
        <v>555.001874999998</v>
      </c>
    </row>
    <row r="133" customFormat="false" ht="17.15" hidden="false" customHeight="false" outlineLevel="0" collapsed="false">
      <c r="A133" s="1" t="s">
        <v>601</v>
      </c>
    </row>
    <row r="134" customFormat="false" ht="17.15" hidden="false" customHeight="false" outlineLevel="0" collapsed="false">
      <c r="A134" s="0" t="s">
        <v>602</v>
      </c>
      <c r="B134" s="0" t="s">
        <v>52</v>
      </c>
      <c r="F134" s="35" t="n">
        <f aca="false">na_vr26</f>
        <v>0</v>
      </c>
      <c r="G134" s="35" t="n">
        <f aca="false">na_vr26</f>
        <v>0</v>
      </c>
      <c r="H134" s="35" t="n">
        <f aca="false">na_vr27</f>
        <v>0.5</v>
      </c>
      <c r="I134" s="35" t="n">
        <f aca="false">na_vr28</f>
        <v>1</v>
      </c>
      <c r="J134" s="35" t="n">
        <f aca="false">na_vr28</f>
        <v>1</v>
      </c>
      <c r="K134" s="35" t="n">
        <f aca="false">na_vr28</f>
        <v>1</v>
      </c>
      <c r="L134" s="35" t="n">
        <f aca="false">na_vr28</f>
        <v>1</v>
      </c>
      <c r="M134" s="35" t="n">
        <f aca="false">na_vr28</f>
        <v>1</v>
      </c>
    </row>
    <row r="135" customFormat="false" ht="17.15" hidden="false" customHeight="false" outlineLevel="0" collapsed="false">
      <c r="A135" s="5" t="s">
        <v>603</v>
      </c>
      <c r="B135" s="0" t="s">
        <v>173</v>
      </c>
      <c r="F135" s="36" t="n">
        <f aca="false">cust_sh*tk_he_gb300*cf_chip+(1-cust_sh)*((1-Thesis!$F$134)*tk_he_gb300+Thesis!$F$134*tk_he_vr200)</f>
        <v>10.8864110021101</v>
      </c>
      <c r="G135" s="36" t="n">
        <f aca="false">cust_sh*tk_he_gb300*cf_chip+(1-cust_sh)*((1-Thesis!$G$134)*tk_he_gb300+Thesis!$G$134*tk_he_vr200)</f>
        <v>10.8864110021101</v>
      </c>
      <c r="H135" s="36" t="n">
        <f aca="false">cust_sh*tk_he_gb300*cf_chip+(1-cust_sh)*((1-Thesis!$H$134)*tk_he_gb300+Thesis!$H$134*tk_he_vr200)</f>
        <v>11.2211760027286</v>
      </c>
      <c r="I135" s="36" t="n">
        <f aca="false">cust_sh*tk_he_gb300*cf_chip+(1-cust_sh)*((1-Thesis!$I$134)*tk_he_gb300+Thesis!$I$134*tk_he_vr200)</f>
        <v>11.5559410033471</v>
      </c>
      <c r="J135" s="36" t="n">
        <f aca="false">cust_sh*tk_he_gb300*cf_chip+(1-cust_sh)*((1-Thesis!$J$134)*tk_he_gb300+Thesis!$J$134*tk_he_vr200)</f>
        <v>11.5559410033471</v>
      </c>
      <c r="K135" s="36" t="n">
        <f aca="false">cust_sh*tk_he_gb300*cf_chip+(1-cust_sh)*((1-Thesis!$K$134)*tk_he_gb300+Thesis!$K$134*tk_he_vr200)</f>
        <v>11.5559410033471</v>
      </c>
      <c r="L135" s="36" t="n">
        <f aca="false">cust_sh*tk_he_gb300*cf_chip+(1-cust_sh)*((1-Thesis!$L$134)*tk_he_gb300+Thesis!$L$134*tk_he_vr200)</f>
        <v>11.5559410033471</v>
      </c>
      <c r="M135" s="36" t="n">
        <f aca="false">cust_sh*tk_he_gb300*cf_chip+(1-cust_sh)*((1-Thesis!$M$134)*tk_he_gb300+Thesis!$M$134*tk_he_vr200)</f>
        <v>11.5559410033471</v>
      </c>
    </row>
    <row r="136" customFormat="false" ht="17.15" hidden="false" customHeight="false" outlineLevel="0" collapsed="false">
      <c r="A136" s="5" t="s">
        <v>604</v>
      </c>
      <c r="B136" s="0" t="s">
        <v>173</v>
      </c>
      <c r="F136" s="36" t="n">
        <f aca="false">cust_sh*tk_ox_gb300+(1-cust_sh)*((1-Thesis!$F$134)*tk_ox_gb300+Thesis!$F$134*tk_ox_vr200)</f>
        <v>1.98263481314457</v>
      </c>
      <c r="G136" s="36" t="n">
        <f aca="false">cust_sh*tk_ox_gb300+(1-cust_sh)*((1-Thesis!$G$134)*tk_ox_gb300+Thesis!$G$134*tk_ox_vr200)</f>
        <v>1.98263481314457</v>
      </c>
      <c r="H136" s="36" t="n">
        <f aca="false">cust_sh*tk_ox_gb300+(1-cust_sh)*((1-Thesis!$H$134)*tk_ox_gb300+Thesis!$H$134*tk_ox_vr200)</f>
        <v>2.01034999693694</v>
      </c>
      <c r="I136" s="36" t="n">
        <f aca="false">cust_sh*tk_ox_gb300+(1-cust_sh)*((1-Thesis!$I$134)*tk_ox_gb300+Thesis!$I$134*tk_ox_vr200)</f>
        <v>2.0380651807293</v>
      </c>
      <c r="J136" s="36" t="n">
        <f aca="false">cust_sh*tk_ox_gb300+(1-cust_sh)*((1-Thesis!$J$134)*tk_ox_gb300+Thesis!$J$134*tk_ox_vr200)</f>
        <v>2.0380651807293</v>
      </c>
      <c r="K136" s="36" t="n">
        <f aca="false">cust_sh*tk_ox_gb300+(1-cust_sh)*((1-Thesis!$K$134)*tk_ox_gb300+Thesis!$K$134*tk_ox_vr200)</f>
        <v>2.0380651807293</v>
      </c>
      <c r="L136" s="36" t="n">
        <f aca="false">cust_sh*tk_ox_gb300+(1-cust_sh)*((1-Thesis!$L$134)*tk_ox_gb300+Thesis!$L$134*tk_ox_vr200)</f>
        <v>2.0380651807293</v>
      </c>
      <c r="M136" s="36" t="n">
        <f aca="false">cust_sh*tk_ox_gb300+(1-cust_sh)*((1-Thesis!$M$134)*tk_ox_gb300+Thesis!$M$134*tk_ox_vr200)</f>
        <v>2.0380651807293</v>
      </c>
    </row>
    <row r="137" customFormat="false" ht="17.15" hidden="false" customHeight="false" outlineLevel="0" collapsed="false">
      <c r="A137" s="5" t="s">
        <v>605</v>
      </c>
      <c r="B137" s="0" t="s">
        <v>192</v>
      </c>
      <c r="F137" s="36" t="n">
        <f aca="false">cust_sh*tk_cx_gb300*cf_cx+(1-cust_sh)*((1-Thesis!$F$134)*tk_cx_gb300+Thesis!$F$134*tk_cx_vr200)</f>
        <v>32.237224</v>
      </c>
      <c r="G137" s="36" t="n">
        <f aca="false">cust_sh*tk_cx_gb300*cf_cx+(1-cust_sh)*((1-Thesis!$G$134)*tk_cx_gb300+Thesis!$G$134*tk_cx_vr200)</f>
        <v>32.237224</v>
      </c>
      <c r="H137" s="36" t="n">
        <f aca="false">cust_sh*tk_cx_gb300*cf_cx+(1-cust_sh)*((1-Thesis!$H$134)*tk_cx_gb300+Thesis!$H$134*tk_cx_vr200)</f>
        <v>33.574506</v>
      </c>
      <c r="I137" s="36" t="n">
        <f aca="false">cust_sh*tk_cx_gb300*cf_cx+(1-cust_sh)*((1-Thesis!$I$134)*tk_cx_gb300+Thesis!$I$134*tk_cx_vr200)</f>
        <v>34.911788</v>
      </c>
      <c r="J137" s="36" t="n">
        <f aca="false">cust_sh*tk_cx_gb300*cf_cx+(1-cust_sh)*((1-Thesis!$J$134)*tk_cx_gb300+Thesis!$J$134*tk_cx_vr200)</f>
        <v>34.911788</v>
      </c>
      <c r="K137" s="36" t="n">
        <f aca="false">cust_sh*tk_cx_gb300*cf_cx+(1-cust_sh)*((1-Thesis!$K$134)*tk_cx_gb300+Thesis!$K$134*tk_cx_vr200)</f>
        <v>34.911788</v>
      </c>
      <c r="L137" s="36" t="n">
        <f aca="false">cust_sh*tk_cx_gb300*cf_cx+(1-cust_sh)*((1-Thesis!$L$134)*tk_cx_gb300+Thesis!$L$134*tk_cx_vr200)</f>
        <v>34.911788</v>
      </c>
      <c r="M137" s="36" t="n">
        <f aca="false">cust_sh*tk_cx_gb300*cf_cx+(1-cust_sh)*((1-Thesis!$M$134)*tk_cx_gb300+Thesis!$M$134*tk_cx_vr200)</f>
        <v>34.911788</v>
      </c>
    </row>
    <row r="138" customFormat="false" ht="17.15" hidden="false" customHeight="false" outlineLevel="0" collapsed="false">
      <c r="A138" s="5" t="s">
        <v>606</v>
      </c>
      <c r="B138" s="0" t="s">
        <v>129</v>
      </c>
      <c r="F138" s="32" t="n">
        <f aca="false">Thesis!$F$128-mw_open</f>
        <v>1817.15</v>
      </c>
      <c r="G138" s="32" t="n">
        <f aca="false">Thesis!$F$138</f>
        <v>1817.15</v>
      </c>
      <c r="H138" s="32" t="n">
        <f aca="false">Thesis!$H$128-mw_open</f>
        <v>5451.45</v>
      </c>
      <c r="I138" s="32" t="n">
        <f aca="false">Thesis!$I$128-mw_open</f>
        <v>9085.75</v>
      </c>
      <c r="J138" s="32" t="n">
        <f aca="false">Thesis!$J$128-mw_open</f>
        <v>12720.05</v>
      </c>
      <c r="K138" s="32" t="n">
        <f aca="false">Thesis!$K$128-mw_open</f>
        <v>15290.9171666667</v>
      </c>
      <c r="L138" s="32" t="n">
        <f aca="false">Thesis!$L$128-mw_open</f>
        <v>16798.3515</v>
      </c>
      <c r="M138" s="32" t="n">
        <f aca="false">Thesis!$M$128-mw_open</f>
        <v>17242.353</v>
      </c>
    </row>
    <row r="139" customFormat="false" ht="17.15" hidden="false" customHeight="false" outlineLevel="0" collapsed="false">
      <c r="A139" s="0" t="s">
        <v>607</v>
      </c>
      <c r="B139" s="0" t="s">
        <v>608</v>
      </c>
      <c r="F139" s="32" t="n">
        <f aca="false">Thesis!$F$131*Thesis!$F$135</f>
        <v>19782.2417524844</v>
      </c>
      <c r="G139" s="32" t="n">
        <f aca="false">Thesis!$F$139</f>
        <v>19782.2417524844</v>
      </c>
      <c r="H139" s="32" t="n">
        <f aca="false">Thesis!$G$139+Thesis!$H$131*Thesis!$H$135</f>
        <v>60563.3616992009</v>
      </c>
      <c r="I139" s="32" t="n">
        <f aca="false">Thesis!$H$139+Thesis!$I$131*Thesis!$I$135</f>
        <v>102561.118087665</v>
      </c>
      <c r="J139" s="32" t="n">
        <f aca="false">Thesis!$I$139+Thesis!$J$131*Thesis!$J$135</f>
        <v>144558.87447613</v>
      </c>
      <c r="K139" s="32" t="n">
        <f aca="false">Thesis!$J$139+Thesis!$K$131*Thesis!$K$135</f>
        <v>174267.663781572</v>
      </c>
      <c r="L139" s="32" t="n">
        <f aca="false">Thesis!$K$139+Thesis!$L$131*Thesis!$L$135</f>
        <v>191687.486003992</v>
      </c>
      <c r="M139" s="32" t="n">
        <f aca="false">Thesis!$L$139+Thesis!$M$131*Thesis!$M$135</f>
        <v>196818.341143389</v>
      </c>
    </row>
    <row r="140" customFormat="false" ht="17.15" hidden="false" customHeight="false" outlineLevel="0" collapsed="false">
      <c r="A140" s="0" t="s">
        <v>609</v>
      </c>
      <c r="B140" s="0" t="s">
        <v>608</v>
      </c>
      <c r="F140" s="32" t="n">
        <f aca="false">Thesis!$F$131*Thesis!$F$136</f>
        <v>3602.74485070566</v>
      </c>
      <c r="G140" s="32" t="n">
        <f aca="false">Thesis!$F$140</f>
        <v>3602.74485070566</v>
      </c>
      <c r="H140" s="32" t="n">
        <f aca="false">Thesis!$G$140+Thesis!$H$131*Thesis!$H$136</f>
        <v>10908.9598445736</v>
      </c>
      <c r="I140" s="32" t="n">
        <f aca="false">Thesis!$H$140+Thesis!$I$131*Thesis!$I$136</f>
        <v>18315.9001308981</v>
      </c>
      <c r="J140" s="32" t="n">
        <f aca="false">Thesis!$I$140+Thesis!$J$131*Thesis!$J$136</f>
        <v>25722.8404172225</v>
      </c>
      <c r="K140" s="32" t="n">
        <f aca="false">Thesis!$J$140+Thesis!$K$131*Thesis!$K$136</f>
        <v>30962.4352738861</v>
      </c>
      <c r="L140" s="32" t="n">
        <f aca="false">Thesis!$K$140+Thesis!$L$131*Thesis!$L$136</f>
        <v>34034.6847008886</v>
      </c>
      <c r="M140" s="32" t="n">
        <f aca="false">Thesis!$L$140+Thesis!$M$131*Thesis!$M$136</f>
        <v>34939.5886982302</v>
      </c>
    </row>
    <row r="141" customFormat="false" ht="17.15" hidden="false" customHeight="false" outlineLevel="0" collapsed="false">
      <c r="A141" s="5" t="s">
        <v>610</v>
      </c>
      <c r="B141" s="0" t="s">
        <v>173</v>
      </c>
      <c r="F141" s="36" t="n">
        <f aca="false">IF(Thesis!$F$138&gt;0,Thesis!$F$139/Thesis!$F$138,Thesis!$F$135)</f>
        <v>10.8864110021101</v>
      </c>
      <c r="G141" s="36" t="n">
        <f aca="false">IF(Thesis!$G$138&gt;0,Thesis!$G$139/Thesis!$G$138,Thesis!$G$135)</f>
        <v>10.8864110021101</v>
      </c>
      <c r="H141" s="36" t="n">
        <f aca="false">IF(Thesis!$H$138&gt;0,Thesis!$H$139/Thesis!$H$138,Thesis!$H$135)</f>
        <v>11.1095876691891</v>
      </c>
      <c r="I141" s="36" t="n">
        <f aca="false">IF(Thesis!$I$138&gt;0,Thesis!$I$139/Thesis!$I$138,Thesis!$I$135)</f>
        <v>11.2881290028523</v>
      </c>
      <c r="J141" s="36" t="n">
        <f aca="false">IF(Thesis!$J$138&gt;0,Thesis!$J$139/Thesis!$J$138,Thesis!$J$135)</f>
        <v>11.3646467172794</v>
      </c>
      <c r="K141" s="36" t="n">
        <f aca="false">IF(Thesis!$K$138&gt;0,Thesis!$K$139/Thesis!$K$138,Thesis!$K$135)</f>
        <v>11.3968090914432</v>
      </c>
      <c r="L141" s="36" t="n">
        <f aca="false">IF(Thesis!$L$138&gt;0,Thesis!$L$139/Thesis!$L$138,Thesis!$L$135)</f>
        <v>11.4110891181192</v>
      </c>
      <c r="M141" s="36" t="n">
        <f aca="false">IF(Thesis!$M$138&gt;0,Thesis!$M$139/Thesis!$M$138,Thesis!$M$135)</f>
        <v>11.4148191458201</v>
      </c>
    </row>
    <row r="142" customFormat="false" ht="17.15" hidden="false" customHeight="false" outlineLevel="0" collapsed="false">
      <c r="A142" s="5" t="s">
        <v>611</v>
      </c>
      <c r="B142" s="0" t="s">
        <v>173</v>
      </c>
      <c r="F142" s="36" t="n">
        <f aca="false">IF(Thesis!$F$138&gt;0,Thesis!$F$140/Thesis!$F$138,Thesis!$F$136)</f>
        <v>1.98263481314457</v>
      </c>
      <c r="G142" s="36" t="n">
        <f aca="false">IF(Thesis!$G$138&gt;0,Thesis!$G$140/Thesis!$G$138,Thesis!$G$136)</f>
        <v>1.98263481314457</v>
      </c>
      <c r="H142" s="36" t="n">
        <f aca="false">IF(Thesis!$H$138&gt;0,Thesis!$H$140/Thesis!$H$138,Thesis!$H$136)</f>
        <v>2.00111160233948</v>
      </c>
      <c r="I142" s="36" t="n">
        <f aca="false">IF(Thesis!$I$138&gt;0,Thesis!$I$140/Thesis!$I$138,Thesis!$I$136)</f>
        <v>2.01589303369541</v>
      </c>
      <c r="J142" s="36" t="n">
        <f aca="false">IF(Thesis!$J$138&gt;0,Thesis!$J$140/Thesis!$J$138,Thesis!$J$136)</f>
        <v>2.02222793284795</v>
      </c>
      <c r="K142" s="36" t="n">
        <f aca="false">IF(Thesis!$K$138&gt;0,Thesis!$K$140/Thesis!$K$138,Thesis!$K$136)</f>
        <v>2.02489065478573</v>
      </c>
      <c r="L142" s="36" t="n">
        <f aca="false">IF(Thesis!$L$138&gt;0,Thesis!$L$140/Thesis!$L$138,Thesis!$L$136)</f>
        <v>2.0260728977417</v>
      </c>
      <c r="M142" s="36" t="n">
        <f aca="false">IF(Thesis!$M$138&gt;0,Thesis!$M$140/Thesis!$M$138,Thesis!$M$136)</f>
        <v>2.02638170661685</v>
      </c>
    </row>
    <row r="143" customFormat="false" ht="17.15" hidden="false" customHeight="false" outlineLevel="0" collapsed="false">
      <c r="A143" s="15" t="s">
        <v>612</v>
      </c>
      <c r="B143" s="14" t="s">
        <v>173</v>
      </c>
      <c r="C143" s="14"/>
      <c r="D143" s="14"/>
      <c r="E143" s="14"/>
      <c r="F143" s="37" t="n">
        <f aca="false">Thesis!$F$141*k_C</f>
        <v>8.98049677377134</v>
      </c>
      <c r="G143" s="37" t="n">
        <f aca="false">Thesis!$G$141*k_C</f>
        <v>8.98049677377134</v>
      </c>
      <c r="H143" s="37" t="n">
        <f aca="false">Thesis!$H$141*k_C</f>
        <v>9.16460128151917</v>
      </c>
      <c r="I143" s="37" t="n">
        <f aca="false">Thesis!$I$141*k_C</f>
        <v>9.31188488771743</v>
      </c>
      <c r="J143" s="37" t="n">
        <f aca="false">Thesis!$J$141*k_C</f>
        <v>9.37500643323097</v>
      </c>
      <c r="K143" s="37" t="n">
        <f aca="false">Thesis!$K$141*k_C</f>
        <v>9.40153805116815</v>
      </c>
      <c r="L143" s="37" t="n">
        <f aca="false">Thesis!$L$141*k_C</f>
        <v>9.41331803388866</v>
      </c>
      <c r="M143" s="37" t="n">
        <f aca="false">Thesis!$M$141*k_C</f>
        <v>9.41639503527393</v>
      </c>
      <c r="N143" s="14"/>
      <c r="O143" s="14"/>
      <c r="P143" s="5" t="s">
        <v>613</v>
      </c>
    </row>
    <row r="144" customFormat="false" ht="17.15" hidden="false" customHeight="false" outlineLevel="0" collapsed="false">
      <c r="A144" s="5" t="s">
        <v>614</v>
      </c>
      <c r="B144" s="0" t="s">
        <v>129</v>
      </c>
      <c r="F144" s="32" t="n">
        <f aca="false">Thesis!$F$138/2</f>
        <v>908.575</v>
      </c>
      <c r="H144" s="32" t="n">
        <f aca="false">(Thesis!$G$138+Thesis!$H$138)/2</f>
        <v>3634.3</v>
      </c>
      <c r="I144" s="32" t="n">
        <f aca="false">(Thesis!$H$138+Thesis!$I$138)/2</f>
        <v>7268.6</v>
      </c>
      <c r="J144" s="32" t="n">
        <f aca="false">(Thesis!$I$138+Thesis!$J$138)/2</f>
        <v>10902.9</v>
      </c>
      <c r="K144" s="32" t="n">
        <f aca="false">(Thesis!$J$138+Thesis!$K$138)/2</f>
        <v>14005.4835833333</v>
      </c>
      <c r="L144" s="32" t="n">
        <f aca="false">(Thesis!$K$138+Thesis!$L$138)/2</f>
        <v>16044.6343333333</v>
      </c>
      <c r="M144" s="32" t="n">
        <f aca="false">(Thesis!$L$138+Thesis!$M$138)/2</f>
        <v>17020.35225</v>
      </c>
    </row>
    <row r="145" customFormat="false" ht="17.15" hidden="false" customHeight="false" outlineLevel="0" collapsed="false">
      <c r="A145" s="1" t="s">
        <v>615</v>
      </c>
    </row>
    <row r="146" customFormat="false" ht="17.15" hidden="false" customHeight="false" outlineLevel="0" collapsed="false">
      <c r="A146" s="1" t="s">
        <v>616</v>
      </c>
      <c r="B146" s="8" t="s">
        <v>86</v>
      </c>
      <c r="C146" s="38" t="n">
        <f aca="false">Thesis!$C$129*rpm_open*Thesis!$C$130/1000</f>
        <v>2.32100535697364</v>
      </c>
      <c r="D146" s="38" t="n">
        <f aca="false">Thesis!$D$129*rpm_open*Thesis!$D$130/1000</f>
        <v>8.70377008865116</v>
      </c>
      <c r="E146" s="38" t="n">
        <f aca="false">Thesis!$E$129*rpm_open*Thesis!$E$130/1000</f>
        <v>8.51035297557002</v>
      </c>
      <c r="F146" s="38" t="n">
        <f aca="false">(mw_open*rpm_open+Thesis!$F$144*Thesis!$F$143)*Thesis!$F$130/1000</f>
        <v>14.1374173083338</v>
      </c>
      <c r="G146" s="38" t="n">
        <f aca="false">Thesis!$E$146+Thesis!$F$146</f>
        <v>22.6477702839038</v>
      </c>
      <c r="H146" s="38" t="n">
        <f aca="false">(mw_open*rpm_open+Thesis!$H$144*Thesis!$H$143)/1000</f>
        <v>53.4222901978634</v>
      </c>
      <c r="I146" s="38" t="n">
        <f aca="false">(mw_open*rpm_open+Thesis!$I$144*Thesis!$I$143)/1000</f>
        <v>87.7997462553011</v>
      </c>
      <c r="J146" s="38" t="n">
        <f aca="false">(mw_open*rpm_open+Thesis!$J$144*Thesis!$J$143)/1000</f>
        <v>122.330137401312</v>
      </c>
      <c r="K146" s="38" t="n">
        <f aca="false">(mw_open*rpm_open+Thesis!$K$144*Thesis!$K$143)/1000</f>
        <v>151.788466594157</v>
      </c>
      <c r="L146" s="38" t="n">
        <f aca="false">(mw_open*rpm_open+Thesis!$L$144*Thesis!$L$143)/1000</f>
        <v>171.148625477554</v>
      </c>
      <c r="M146" s="38" t="n">
        <f aca="false">(mw_open*rpm_open+Thesis!$M$144*Thesis!$M$143)/1000</f>
        <v>180.385740185952</v>
      </c>
      <c r="N146" s="38" t="n">
        <f aca="false">Thesis!$N$129*rpm_open*Thesis!$N$130/1000</f>
        <v>3.04631953102791</v>
      </c>
      <c r="O146" s="38" t="n">
        <f aca="false">Thesis!$O$129*rpm_open*Thesis!$O$130/1000</f>
        <v>5.65745055762326</v>
      </c>
      <c r="P146" s="5" t="s">
        <v>617</v>
      </c>
    </row>
    <row r="147" customFormat="false" ht="17.15" hidden="false" customHeight="false" outlineLevel="0" collapsed="false">
      <c r="A147" s="5" t="s">
        <v>618</v>
      </c>
      <c r="B147" s="0" t="s">
        <v>173</v>
      </c>
      <c r="C147" s="36" t="n">
        <f aca="false">Thesis!$C$146*1000/(Thesis!$C$129*Thesis!$C$130)</f>
        <v>9.67085565405685</v>
      </c>
      <c r="D147" s="36" t="n">
        <f aca="false">Thesis!$D$146*1000/(Thesis!$D$129*Thesis!$D$130)</f>
        <v>9.67085565405685</v>
      </c>
      <c r="E147" s="36" t="n">
        <f aca="false">Thesis!$E$146*1000/(Thesis!$E$129*Thesis!$E$130)</f>
        <v>9.67085565405685</v>
      </c>
      <c r="F147" s="36" t="n">
        <f aca="false">Thesis!$F$146*1000/(Thesis!$F$129*Thesis!$F$130)</f>
        <v>9.46097542028142</v>
      </c>
      <c r="G147" s="36" t="n">
        <f aca="false">Thesis!$G$146*1000/(Thesis!$G$129*Thesis!$G$130)</f>
        <v>9.53876490690525</v>
      </c>
      <c r="H147" s="36" t="n">
        <f aca="false">Thesis!$H$146*1000/(Thesis!$H$129*Thesis!$H$130)</f>
        <v>9.34887741243255</v>
      </c>
      <c r="I147" s="36" t="n">
        <f aca="false">Thesis!$I$146*1000/(Thesis!$I$129*Thesis!$I$130)</f>
        <v>9.39175344493305</v>
      </c>
      <c r="J147" s="36" t="n">
        <f aca="false">Thesis!$J$146*1000/(Thesis!$J$129*Thesis!$J$130)</f>
        <v>9.42240465545542</v>
      </c>
      <c r="K147" s="36" t="n">
        <f aca="false">Thesis!$K$146*1000/(Thesis!$K$129*Thesis!$K$130)</f>
        <v>9.43636327797009</v>
      </c>
      <c r="L147" s="36" t="n">
        <f aca="false">Thesis!$L$146*1000/(Thesis!$L$129*Thesis!$L$130)</f>
        <v>9.4428732922237</v>
      </c>
      <c r="M147" s="36" t="n">
        <f aca="false">Thesis!$M$146*1000/(Thesis!$M$129*Thesis!$M$130)</f>
        <v>9.44410541883864</v>
      </c>
      <c r="N147" s="36" t="n">
        <f aca="false">Thesis!$N$146*1000/(Thesis!$N$129*Thesis!$N$130)</f>
        <v>9.67085565405685</v>
      </c>
      <c r="O147" s="36" t="n">
        <f aca="false">Thesis!$O$146*1000/(Thesis!$O$129*Thesis!$O$130)</f>
        <v>9.67085565405685</v>
      </c>
    </row>
    <row r="148" customFormat="false" ht="17.15" hidden="false" customHeight="false" outlineLevel="0" collapsed="false">
      <c r="A148" s="0" t="s">
        <v>619</v>
      </c>
      <c r="B148" s="0" t="s">
        <v>86</v>
      </c>
      <c r="C148" s="38" t="n">
        <f aca="false">Thesis!$C$129/ext_sh*(ox_open+rent_mw)*Thesis!$C$130/1000</f>
        <v>0.642569210675032</v>
      </c>
      <c r="D148" s="38" t="n">
        <f aca="false">Thesis!$D$129/ext_sh*(ox_open+rent_mw)*Thesis!$D$130/1000</f>
        <v>2.40963454003137</v>
      </c>
      <c r="E148" s="38" t="n">
        <f aca="false">Thesis!$E$129/ext_sh*(ox_open+rent_mw)*Thesis!$E$130/1000</f>
        <v>2.35608710580845</v>
      </c>
      <c r="F148" s="38" t="n">
        <f aca="false">((mw_open*ox_open+Thesis!$F$144*Thesis!$F$142)/ext_sh+Thesis!$F$129/ext_sh*rent_mw)*Thesis!$F$130/1000</f>
        <v>4.05421991106232</v>
      </c>
      <c r="G148" s="38" t="n">
        <f aca="false">Thesis!$E$148+Thesis!$F$148</f>
        <v>6.41030701687077</v>
      </c>
      <c r="H148" s="38" t="n">
        <f aca="false">((mw_open*ox_open+Thesis!$H$144*Thesis!$H$142)/ext_sh+Thesis!$H$129/ext_sh*rent_mw)*Thesis!$H$130/1000</f>
        <v>15.8108975546616</v>
      </c>
      <c r="I148" s="38" t="n">
        <f aca="false">((mw_open*ox_open+Thesis!$I$144*Thesis!$I$142)/ext_sh+Thesis!$I$129/ext_sh*rent_mw)*Thesis!$I$130/1000</f>
        <v>26.1871623400817</v>
      </c>
      <c r="J148" s="38" t="n">
        <f aca="false">((mw_open*ox_open+Thesis!$J$144*Thesis!$J$142)/ext_sh+Thesis!$J$129/ext_sh*rent_mw)*Thesis!$J$130/1000</f>
        <v>36.5826128954935</v>
      </c>
      <c r="K148" s="38" t="n">
        <f aca="false">((mw_open*ox_open+Thesis!$K$144*Thesis!$K$142)/ext_sh+Thesis!$K$129/ext_sh*rent_mw)*Thesis!$K$130/1000</f>
        <v>45.4546361137628</v>
      </c>
      <c r="L148" s="38" t="n">
        <f aca="false">((mw_open*ox_open+Thesis!$L$144*Thesis!$L$142)/ext_sh+Thesis!$L$129/ext_sh*rent_mw)*Thesis!$L$130/1000</f>
        <v>51.2855695554452</v>
      </c>
      <c r="M148" s="38" t="n">
        <f aca="false">((mw_open*ox_open+Thesis!$M$144*Thesis!$M$142)/ext_sh+Thesis!$M$129/ext_sh*rent_mw)*Thesis!$M$130/1000</f>
        <v>54.0722927838398</v>
      </c>
      <c r="N148" s="38" t="n">
        <f aca="false">Thesis!$N$129/ext_sh*(ox_open+rent_mw)*Thesis!$N$130/1000</f>
        <v>0.84337208901098</v>
      </c>
      <c r="O148" s="38" t="n">
        <f aca="false">Thesis!$O$129/ext_sh*(ox_open+rent_mw)*Thesis!$O$130/1000</f>
        <v>1.56626245102039</v>
      </c>
    </row>
    <row r="149" customFormat="false" ht="17.15" hidden="false" customHeight="false" outlineLevel="0" collapsed="false">
      <c r="A149" s="0" t="s">
        <v>620</v>
      </c>
      <c r="B149" s="0" t="s">
        <v>86</v>
      </c>
      <c r="C149" s="38" t="n">
        <f aca="false">Q!$D$7</f>
        <v>107.556</v>
      </c>
      <c r="D149" s="38" t="n">
        <f aca="false">Q!$E$7</f>
        <v>128.725</v>
      </c>
      <c r="E149" s="38" t="n">
        <f aca="false">Q!$P$7</f>
        <v>79.819</v>
      </c>
      <c r="N149" s="38" t="n">
        <f aca="false">Q!$N$7</f>
        <v>60.14</v>
      </c>
      <c r="O149" s="38" t="n">
        <f aca="false">Q!$O$7</f>
        <v>68.585</v>
      </c>
    </row>
    <row r="150" customFormat="false" ht="17.15" hidden="false" customHeight="false" outlineLevel="0" collapsed="false">
      <c r="A150" s="1" t="s">
        <v>621</v>
      </c>
      <c r="B150" s="8" t="s">
        <v>86</v>
      </c>
      <c r="C150" s="38" t="n">
        <f aca="false">Thesis!$C$149-Thesis!$C$146</f>
        <v>105.234994643026</v>
      </c>
      <c r="D150" s="38" t="n">
        <f aca="false">Thesis!$D$149-Thesis!$D$146</f>
        <v>120.021229911349</v>
      </c>
      <c r="E150" s="38" t="n">
        <f aca="false">Thesis!$E$149-Thesis!$E$146</f>
        <v>71.30864702443</v>
      </c>
      <c r="F150" s="38" t="n">
        <f aca="false">Thesis!$O$150*(1+Thesis!$F$151)</f>
        <v>71.7692997942464</v>
      </c>
      <c r="G150" s="38" t="n">
        <f aca="false">Thesis!$E$150+Thesis!$F$150</f>
        <v>143.077946818676</v>
      </c>
      <c r="H150" s="38" t="n">
        <f aca="false">Thesis!$G$150*(1+Thesis!$H$151)</f>
        <v>161.017077079203</v>
      </c>
      <c r="I150" s="38" t="n">
        <f aca="false">Thesis!$H$150*(1+Thesis!$I$151)</f>
        <v>178.769759521457</v>
      </c>
      <c r="J150" s="38" t="n">
        <f aca="false">Thesis!$I$150*(1+Thesis!$J$151)</f>
        <v>195.775538045907</v>
      </c>
      <c r="K150" s="38" t="n">
        <f aca="false">Thesis!$J$150*(1+Thesis!$K$151)</f>
        <v>211.43758108958</v>
      </c>
      <c r="L150" s="38" t="n">
        <f aca="false">Thesis!$K$150*(1+Thesis!$L$151)</f>
        <v>228.352587576746</v>
      </c>
      <c r="M150" s="38" t="n">
        <f aca="false">Thesis!$L$150*(1+Thesis!$M$151)</f>
        <v>246.620794582886</v>
      </c>
      <c r="N150" s="38" t="n">
        <f aca="false">Thesis!$N$149-Thesis!$N$146</f>
        <v>57.0936804689721</v>
      </c>
      <c r="O150" s="38" t="n">
        <f aca="false">Thesis!$O$149-Thesis!$O$146</f>
        <v>62.9275494423768</v>
      </c>
      <c r="P150" s="5" t="s">
        <v>622</v>
      </c>
    </row>
    <row r="151" customFormat="false" ht="17.15" hidden="false" customHeight="false" outlineLevel="0" collapsed="false">
      <c r="A151" s="0" t="s">
        <v>623</v>
      </c>
      <c r="B151" s="0" t="s">
        <v>52</v>
      </c>
      <c r="D151" s="13" t="n">
        <f aca="false">Thesis!$D$150/Thesis!$C$150-1</f>
        <v>0.140506827776062</v>
      </c>
      <c r="E151" s="13" t="n">
        <f aca="false">Thesis!$E$150/Thesis!$N$150-1</f>
        <v>0.248976181579029</v>
      </c>
      <c r="F151" s="13" t="n">
        <f aca="false">Thesis!$D$151</f>
        <v>0.140506827776062</v>
      </c>
      <c r="G151" s="13" t="n">
        <f aca="false">Thesis!$G$150/Thesis!$D$150-1</f>
        <v>0.19210532106993</v>
      </c>
      <c r="H151" s="13" t="n">
        <f aca="false">Thesis!$F$151+(g_awso_lt-Thesis!$F$151)*1/4</f>
        <v>0.125380120832046</v>
      </c>
      <c r="I151" s="13" t="n">
        <f aca="false">Thesis!$F$151+(g_awso_lt-Thesis!$F$151)*2/4</f>
        <v>0.110253413888031</v>
      </c>
      <c r="J151" s="13" t="n">
        <f aca="false">Thesis!$F$151+(g_awso_lt-Thesis!$F$151)*3/4</f>
        <v>0.0951267069440154</v>
      </c>
      <c r="K151" s="13" t="n">
        <f aca="false">Thesis!$F$151+(g_awso_lt-Thesis!$F$151)*4/4</f>
        <v>0.08</v>
      </c>
      <c r="L151" s="13" t="n">
        <f aca="false">g_awso_lt</f>
        <v>0.08</v>
      </c>
      <c r="M151" s="13" t="n">
        <f aca="false">g_awso_lt</f>
        <v>0.08</v>
      </c>
      <c r="P151" s="5" t="s">
        <v>624</v>
      </c>
    </row>
    <row r="152" customFormat="false" ht="17.15" hidden="false" customHeight="false" outlineLevel="0" collapsed="false">
      <c r="A152" s="1" t="s">
        <v>625</v>
      </c>
    </row>
    <row r="153" customFormat="false" ht="17.15" hidden="false" customHeight="false" outlineLevel="0" collapsed="false">
      <c r="A153" s="0" t="s">
        <v>626</v>
      </c>
      <c r="B153" s="0" t="s">
        <v>86</v>
      </c>
      <c r="F153" s="38" t="n">
        <f aca="false">cx_rt*Seg!$F$90+cx_awso*Thesis!$F$150</f>
        <v>34.9734495387866</v>
      </c>
    </row>
    <row r="154" customFormat="false" ht="17.15" hidden="false" customHeight="false" outlineLevel="0" collapsed="false">
      <c r="A154" s="0" t="s">
        <v>627</v>
      </c>
      <c r="B154" s="0" t="s">
        <v>52</v>
      </c>
      <c r="C154" s="13" t="n">
        <f aca="false">tk_cx_h100/(tk_cx_h100+tk_fac*(1-colo_sh))</f>
        <v>0.730756458006641</v>
      </c>
      <c r="D154" s="13" t="n">
        <f aca="false">tk_cx_h100/(tk_cx_h100+tk_fac*(1-colo_sh))</f>
        <v>0.730756458006641</v>
      </c>
      <c r="E154" s="13" t="n">
        <f aca="false">Thesis!$F$154</f>
        <v>0.760792334328868</v>
      </c>
      <c r="F154" s="13" t="n">
        <f aca="false">Thesis!$F$137/(Thesis!$F$137+tk_fac*(1-colo_sh))</f>
        <v>0.760792334328868</v>
      </c>
      <c r="G154" s="13" t="n">
        <f aca="false">Thesis!$G$137/(Thesis!$G$137+tk_fac*(1-colo_sh))</f>
        <v>0.760792334328868</v>
      </c>
      <c r="H154" s="13" t="n">
        <f aca="false">Thesis!$H$137/(Thesis!$H$137+tk_fac*(1-colo_sh))</f>
        <v>0.768110668862996</v>
      </c>
      <c r="I154" s="13" t="n">
        <f aca="false">Thesis!$I$137/(Thesis!$I$137+tk_fac*(1-colo_sh))</f>
        <v>0.77499450139483</v>
      </c>
      <c r="J154" s="13" t="n">
        <f aca="false">Thesis!$J$137/(Thesis!$J$137+tk_fac*(1-colo_sh))</f>
        <v>0.77499450139483</v>
      </c>
      <c r="K154" s="13" t="n">
        <f aca="false">Thesis!$K$137/(Thesis!$K$137+tk_fac*(1-colo_sh))</f>
        <v>0.77499450139483</v>
      </c>
      <c r="L154" s="13" t="n">
        <f aca="false">Thesis!$L$137/(Thesis!$L$137+tk_fac*(1-colo_sh))</f>
        <v>0.77499450139483</v>
      </c>
      <c r="M154" s="13" t="n">
        <f aca="false">Thesis!$M$137/(Thesis!$M$137+tk_fac*(1-colo_sh))</f>
        <v>0.77499450139483</v>
      </c>
    </row>
    <row r="155" customFormat="false" ht="17.15" hidden="false" customHeight="false" outlineLevel="0" collapsed="false">
      <c r="A155" s="1" t="s">
        <v>628</v>
      </c>
      <c r="B155" s="8" t="s">
        <v>86</v>
      </c>
      <c r="C155" s="38" t="n">
        <f aca="false">Q!$D$46-cx_rt*Q!$D$16-cx_awso*Thesis!$C$150</f>
        <v>25.2781053077374</v>
      </c>
      <c r="D155" s="38" t="n">
        <f aca="false">Q!$E$46-cx_rt*Q!$E$16-cx_awso*Thesis!$D$150</f>
        <v>69.5686316310026</v>
      </c>
      <c r="E155" s="38" t="n">
        <f aca="false">Q!$P$46-cx_rt*Q!$P$16-cx_awso*Thesis!$E$150</f>
        <v>64.1899206485108</v>
      </c>
      <c r="F155" s="38" t="n">
        <f aca="false">MAX(Thesis!$F$132*(Thesis!$F$137+tk_fac*(1-colo_sh))/1000,capex_g26-Q!$P$46-Thesis!$F$153)</f>
        <v>96.2481299895</v>
      </c>
      <c r="G155" s="38" t="n">
        <f aca="false">Thesis!$E$155+Thesis!$F$155</f>
        <v>160.438050638011</v>
      </c>
      <c r="H155" s="38" t="n">
        <f aca="false">Thesis!$H$132*(Thesis!$H$137+tk_fac*(1-colo_sh))/1000+Thesis!$H$156</f>
        <v>198.57136494475</v>
      </c>
      <c r="I155" s="38" t="n">
        <f aca="false">Thesis!$I$132*(Thesis!$I$137+tk_fac*(1-colo_sh))/1000+Thesis!$I$156</f>
        <v>204.6464699105</v>
      </c>
      <c r="J155" s="38" t="n">
        <f aca="false">Thesis!$J$132*(Thesis!$J$137+tk_fac*(1-colo_sh))/1000+Thesis!$J$156</f>
        <v>209.8832381105</v>
      </c>
      <c r="K155" s="38" t="n">
        <f aca="false">Thesis!$K$132*(Thesis!$K$137+tk_fac*(1-colo_sh))/1000+Thesis!$K$156</f>
        <v>155.238385275201</v>
      </c>
      <c r="L155" s="38" t="n">
        <f aca="false">Thesis!$L$132*(Thesis!$L$137+tk_fac*(1-colo_sh))/1000+Thesis!$L$156</f>
        <v>132.014141639902</v>
      </c>
      <c r="M155" s="38" t="n">
        <f aca="false">Thesis!$M$132*(Thesis!$M$137+tk_fac*(1-colo_sh))/1000+Thesis!$M$156</f>
        <v>132.230981659852</v>
      </c>
      <c r="P155" s="5" t="s">
        <v>629</v>
      </c>
      <c r="R155" s="38" t="n">
        <f aca="false">Q!$C$46-cx_rt*Q!$C$16-cx_awso*(Q!$C$7-mw_ye23/2*rpm_open/1000)</f>
        <v>1.50429979529945</v>
      </c>
      <c r="S155" s="38" t="n">
        <f aca="false">Thesis!$C$155</f>
        <v>25.2781053077374</v>
      </c>
      <c r="T155" s="38" t="n">
        <f aca="false">Thesis!$D$155</f>
        <v>69.5686316310026</v>
      </c>
      <c r="U155" s="38" t="n">
        <f aca="false">Thesis!$G$155</f>
        <v>160.438050638011</v>
      </c>
      <c r="V155" s="38" t="n">
        <f aca="false">Thesis!$H$155</f>
        <v>198.57136494475</v>
      </c>
      <c r="W155" s="38" t="n">
        <f aca="false">Thesis!$I$155</f>
        <v>204.6464699105</v>
      </c>
      <c r="X155" s="38" t="n">
        <f aca="false">Thesis!$J$155</f>
        <v>209.8832381105</v>
      </c>
      <c r="Y155" s="38" t="n">
        <f aca="false">Thesis!$K$155</f>
        <v>155.238385275201</v>
      </c>
      <c r="Z155" s="38" t="n">
        <f aca="false">Thesis!$L$155</f>
        <v>132.014141639902</v>
      </c>
      <c r="AA155" s="38" t="n">
        <f aca="false">Thesis!$M$155</f>
        <v>132.230981659852</v>
      </c>
    </row>
    <row r="156" customFormat="false" ht="17.15" hidden="false" customHeight="false" outlineLevel="0" collapsed="false">
      <c r="A156" s="0" t="s">
        <v>630</v>
      </c>
      <c r="B156" s="0" t="s">
        <v>86</v>
      </c>
      <c r="H156" s="38" t="n">
        <f aca="false">SUMPRODUCT(--(Thesis!$R$125:$AA$125=2027-tk_life),Thesis!$R$132:$AA$132)*Thesis!$H$137/1000</f>
        <v>0</v>
      </c>
      <c r="I156" s="38" t="n">
        <f aca="false">SUMPRODUCT(--(Thesis!$R$125:$AA$125=2028-tk_life),Thesis!$R$132:$AA$132)*Thesis!$I$137/1000</f>
        <v>0</v>
      </c>
      <c r="J156" s="38" t="n">
        <f aca="false">SUMPRODUCT(--(Thesis!$R$125:$AA$125=2029-tk_life),Thesis!$R$132:$AA$132)*Thesis!$J$137/1000</f>
        <v>5.2367682</v>
      </c>
      <c r="K156" s="38" t="n">
        <f aca="false">SUMPRODUCT(--(Thesis!$R$125:$AA$125=2030-tk_life),Thesis!$R$132:$AA$132)*Thesis!$K$137/1000</f>
        <v>10.4735364</v>
      </c>
      <c r="L156" s="38" t="n">
        <f aca="false">SUMPRODUCT(--(Thesis!$R$125:$AA$125=2031-tk_life),Thesis!$R$132:$AA$132)*Thesis!$L$137/1000</f>
        <v>47.1309138</v>
      </c>
      <c r="M156" s="38" t="n">
        <f aca="false">SUMPRODUCT(--(Thesis!$R$125:$AA$125=2032-tk_life),Thesis!$R$132:$AA$132)*Thesis!$M$137/1000</f>
        <v>107.22937485525</v>
      </c>
    </row>
    <row r="157" customFormat="false" ht="17.15" hidden="false" customHeight="false" outlineLevel="0" collapsed="false">
      <c r="A157" s="0" t="s">
        <v>631</v>
      </c>
      <c r="B157" s="0" t="s">
        <v>86</v>
      </c>
      <c r="C157" s="38" t="n">
        <f aca="false">MIN(Thesis!$C$155,Thesis!$C$132*(tk_cx_h100+tk_fac*(1-colo_sh))/1000)</f>
        <v>11.2938642</v>
      </c>
      <c r="D157" s="38" t="n">
        <f aca="false">MIN(Thesis!$D$155,Thesis!$D$132*(tk_cx_h100+tk_fac*(1-colo_sh))/1000)</f>
        <v>50.8223889</v>
      </c>
      <c r="E157" s="38" t="n">
        <f aca="false">MIN(Thesis!$E$155,Thesis!$E$132*(Thesis!$F$137+tk_fac*(1-colo_sh))/1000)</f>
        <v>33.8985792</v>
      </c>
      <c r="F157" s="38" t="n">
        <f aca="false">Thesis!$F$155</f>
        <v>96.2481299895</v>
      </c>
      <c r="G157" s="38" t="n">
        <f aca="false">Thesis!$E$157+Thesis!$F$157</f>
        <v>130.1467091895</v>
      </c>
      <c r="H157" s="38" t="n">
        <f aca="false">Thesis!$H$155</f>
        <v>198.57136494475</v>
      </c>
      <c r="I157" s="38" t="n">
        <f aca="false">Thesis!$I$155</f>
        <v>204.6464699105</v>
      </c>
      <c r="J157" s="38" t="n">
        <f aca="false">Thesis!$J$155</f>
        <v>209.8832381105</v>
      </c>
      <c r="K157" s="38" t="n">
        <f aca="false">Thesis!$K$155</f>
        <v>155.238385275201</v>
      </c>
      <c r="L157" s="38" t="n">
        <f aca="false">Thesis!$L$155</f>
        <v>132.014141639902</v>
      </c>
      <c r="M157" s="38" t="n">
        <f aca="false">Thesis!$M$155</f>
        <v>132.230981659852</v>
      </c>
      <c r="P157" s="5" t="s">
        <v>632</v>
      </c>
      <c r="R157" s="38" t="n">
        <f aca="false">MIN(Thesis!$R$155,Thesis!$R$132*(tk_cx_h100+tk_fac*(1-colo_sh))/1000)</f>
        <v>1.50429979529945</v>
      </c>
      <c r="S157" s="38" t="n">
        <f aca="false">Thesis!$C$157</f>
        <v>11.2938642</v>
      </c>
      <c r="T157" s="38" t="n">
        <f aca="false">Thesis!$D$157</f>
        <v>50.8223889</v>
      </c>
      <c r="U157" s="38" t="n">
        <f aca="false">Thesis!$G$157</f>
        <v>130.1467091895</v>
      </c>
      <c r="V157" s="38" t="n">
        <f aca="false">Thesis!$H$157</f>
        <v>198.57136494475</v>
      </c>
      <c r="W157" s="38" t="n">
        <f aca="false">Thesis!$I$157</f>
        <v>204.6464699105</v>
      </c>
      <c r="X157" s="38" t="n">
        <f aca="false">Thesis!$J$157</f>
        <v>209.8832381105</v>
      </c>
      <c r="Y157" s="38" t="n">
        <f aca="false">Thesis!$K$157</f>
        <v>155.238385275201</v>
      </c>
      <c r="Z157" s="38" t="n">
        <f aca="false">Thesis!$L$157</f>
        <v>132.014141639902</v>
      </c>
      <c r="AA157" s="38" t="n">
        <f aca="false">Thesis!$M$157</f>
        <v>132.230981659852</v>
      </c>
    </row>
    <row r="158" customFormat="false" ht="17.15" hidden="false" customHeight="false" outlineLevel="0" collapsed="false">
      <c r="A158" s="5" t="s">
        <v>633</v>
      </c>
      <c r="B158" s="0" t="s">
        <v>86</v>
      </c>
      <c r="C158" s="38" t="n">
        <f aca="false">Thesis!$C$155-Thesis!$C$157</f>
        <v>13.9842411077374</v>
      </c>
      <c r="D158" s="38" t="n">
        <f aca="false">Thesis!$D$155-Thesis!$D$157</f>
        <v>18.7462427310026</v>
      </c>
      <c r="E158" s="38" t="n">
        <f aca="false">Thesis!$E$155-Thesis!$E$157</f>
        <v>30.2913414485108</v>
      </c>
      <c r="F158" s="38" t="n">
        <f aca="false">Thesis!$F$155-Thesis!$F$157</f>
        <v>0</v>
      </c>
      <c r="G158" s="38" t="n">
        <f aca="false">Thesis!$G$155-Thesis!$G$157</f>
        <v>30.2913414485108</v>
      </c>
      <c r="H158" s="38" t="n">
        <f aca="false">Thesis!$H$155-Thesis!$H$157</f>
        <v>0</v>
      </c>
      <c r="I158" s="38" t="n">
        <f aca="false">Thesis!$I$155-Thesis!$I$157</f>
        <v>0</v>
      </c>
      <c r="J158" s="38" t="n">
        <f aca="false">Thesis!$J$155-Thesis!$J$157</f>
        <v>0</v>
      </c>
      <c r="K158" s="38" t="n">
        <f aca="false">Thesis!$K$155-Thesis!$K$157</f>
        <v>0</v>
      </c>
      <c r="L158" s="38" t="n">
        <f aca="false">Thesis!$L$155-Thesis!$L$157</f>
        <v>0</v>
      </c>
      <c r="M158" s="38" t="n">
        <f aca="false">Thesis!$M$155-Thesis!$M$157</f>
        <v>0</v>
      </c>
    </row>
    <row r="159" customFormat="false" ht="17.15" hidden="false" customHeight="false" outlineLevel="0" collapsed="false">
      <c r="A159" s="5" t="s">
        <v>634</v>
      </c>
      <c r="B159" s="0" t="s">
        <v>86</v>
      </c>
      <c r="C159" s="38" t="n">
        <f aca="false">Thesis!$C$157*Thesis!$C$154</f>
        <v>8.2530642</v>
      </c>
      <c r="D159" s="38" t="n">
        <f aca="false">Thesis!$D$157*Thesis!$D$154</f>
        <v>37.1387889</v>
      </c>
      <c r="E159" s="38" t="n">
        <f aca="false">Thesis!$E$157*Thesis!$E$154</f>
        <v>25.7897792</v>
      </c>
      <c r="F159" s="38" t="n">
        <f aca="false">Thesis!$F$157*Thesis!$F$154</f>
        <v>73.2248394895</v>
      </c>
      <c r="G159" s="38" t="n">
        <f aca="false">Thesis!$E$159+Thesis!$F$159</f>
        <v>99.0146186895</v>
      </c>
      <c r="H159" s="38" t="n">
        <f aca="false">(Thesis!$H$157-Thesis!$H$156)*Thesis!$H$154+Thesis!$H$156</f>
        <v>152.52478394475</v>
      </c>
      <c r="I159" s="38" t="n">
        <f aca="false">(Thesis!$I$157-Thesis!$I$156)*Thesis!$I$154+Thesis!$I$156</f>
        <v>158.5998889105</v>
      </c>
      <c r="J159" s="38" t="n">
        <f aca="false">(Thesis!$J$157-Thesis!$J$156)*Thesis!$J$154+Thesis!$J$156</f>
        <v>163.8366571105</v>
      </c>
      <c r="K159" s="38" t="n">
        <f aca="false">(Thesis!$K$157-Thesis!$K$156)*Thesis!$K$154+Thesis!$K$156</f>
        <v>122.665498273534</v>
      </c>
      <c r="L159" s="38" t="n">
        <f aca="false">(Thesis!$L$157-Thesis!$L$156)*Thesis!$L$154+Thesis!$L$156</f>
        <v>112.914948636568</v>
      </c>
      <c r="M159" s="38" t="n">
        <f aca="false">(Thesis!$M$157-Thesis!$M$156)*Thesis!$M$154+Thesis!$M$156</f>
        <v>126.605482654852</v>
      </c>
      <c r="R159" s="38" t="n">
        <f aca="false">Thesis!$R$157*Thesis!$C$154</f>
        <v>1.09927679019314</v>
      </c>
      <c r="S159" s="38" t="n">
        <f aca="false">Thesis!$C$159</f>
        <v>8.2530642</v>
      </c>
      <c r="T159" s="38" t="n">
        <f aca="false">Thesis!$D$159</f>
        <v>37.1387889</v>
      </c>
      <c r="U159" s="38" t="n">
        <f aca="false">Thesis!$G$159</f>
        <v>99.0146186895</v>
      </c>
      <c r="V159" s="38" t="n">
        <f aca="false">Thesis!$H$159</f>
        <v>152.52478394475</v>
      </c>
      <c r="W159" s="38" t="n">
        <f aca="false">Thesis!$I$159</f>
        <v>158.5998889105</v>
      </c>
      <c r="X159" s="38" t="n">
        <f aca="false">Thesis!$J$159</f>
        <v>163.8366571105</v>
      </c>
      <c r="Y159" s="38" t="n">
        <f aca="false">Thesis!$K$159</f>
        <v>122.665498273534</v>
      </c>
      <c r="Z159" s="38" t="n">
        <f aca="false">Thesis!$L$159</f>
        <v>112.914948636568</v>
      </c>
      <c r="AA159" s="38" t="n">
        <f aca="false">Thesis!$M$159</f>
        <v>126.605482654852</v>
      </c>
    </row>
    <row r="160" customFormat="false" ht="15" hidden="false" customHeight="false" outlineLevel="0" collapsed="false">
      <c r="A160" s="5" t="s">
        <v>635</v>
      </c>
      <c r="B160" s="0" t="s">
        <v>86</v>
      </c>
      <c r="C160" s="38" t="n">
        <f aca="false">Thesis!$C$157-Thesis!$C$159</f>
        <v>3.0408</v>
      </c>
      <c r="D160" s="38" t="n">
        <f aca="false">Thesis!$D$157-Thesis!$D$159</f>
        <v>13.6836</v>
      </c>
      <c r="E160" s="38" t="n">
        <f aca="false">Thesis!$E$157-Thesis!$E$159</f>
        <v>8.1088</v>
      </c>
      <c r="F160" s="38" t="n">
        <f aca="false">Thesis!$F$157-Thesis!$F$159</f>
        <v>23.0232905</v>
      </c>
      <c r="G160" s="38" t="n">
        <f aca="false">Thesis!$G$157-Thesis!$G$159</f>
        <v>31.1320905</v>
      </c>
      <c r="H160" s="38" t="n">
        <f aca="false">Thesis!$H$157-Thesis!$H$159</f>
        <v>46.046581</v>
      </c>
      <c r="I160" s="38" t="n">
        <f aca="false">Thesis!$I$157-Thesis!$I$159</f>
        <v>46.046581</v>
      </c>
      <c r="J160" s="38" t="n">
        <f aca="false">Thesis!$J$157-Thesis!$J$159</f>
        <v>46.046581</v>
      </c>
      <c r="K160" s="38" t="n">
        <f aca="false">Thesis!$K$157-Thesis!$K$159</f>
        <v>32.5728870016667</v>
      </c>
      <c r="L160" s="38" t="n">
        <f aca="false">Thesis!$L$157-Thesis!$L$159</f>
        <v>19.0991930033334</v>
      </c>
      <c r="M160" s="38" t="n">
        <f aca="false">Thesis!$M$157-Thesis!$M$159</f>
        <v>5.62549900499998</v>
      </c>
      <c r="R160" s="38" t="n">
        <f aca="false">Thesis!$R$157-Thesis!$R$159</f>
        <v>0.405023005106309</v>
      </c>
      <c r="S160" s="38" t="n">
        <f aca="false">Thesis!$S$157-Thesis!$S$159</f>
        <v>3.0408</v>
      </c>
      <c r="T160" s="38" t="n">
        <f aca="false">Thesis!$T$157-Thesis!$T$159</f>
        <v>13.6836</v>
      </c>
      <c r="U160" s="38" t="n">
        <f aca="false">Thesis!$U$157-Thesis!$U$159</f>
        <v>31.1320905</v>
      </c>
      <c r="V160" s="38" t="n">
        <f aca="false">Thesis!$V$157-Thesis!$V$159</f>
        <v>46.046581</v>
      </c>
      <c r="W160" s="38" t="n">
        <f aca="false">Thesis!$W$157-Thesis!$W$159</f>
        <v>46.046581</v>
      </c>
      <c r="X160" s="38" t="n">
        <f aca="false">Thesis!$X$157-Thesis!$X$159</f>
        <v>46.046581</v>
      </c>
      <c r="Y160" s="38" t="n">
        <f aca="false">Thesis!$Y$157-Thesis!$Y$159</f>
        <v>32.5728870016667</v>
      </c>
      <c r="Z160" s="38" t="n">
        <f aca="false">Thesis!$Z$157-Thesis!$Z$159</f>
        <v>19.0991930033334</v>
      </c>
      <c r="AA160" s="38" t="n">
        <f aca="false">Thesis!$AA$157-Thesis!$AA$159</f>
        <v>5.62549900499998</v>
      </c>
    </row>
    <row r="161" customFormat="false" ht="17.15" hidden="false" customHeight="false" outlineLevel="0" collapsed="false">
      <c r="A161" s="0" t="s">
        <v>636</v>
      </c>
      <c r="B161" s="0" t="s">
        <v>52</v>
      </c>
      <c r="C161" s="13" t="n">
        <f aca="false">Thesis!$C$155/CF!$C$86</f>
        <v>0.325505489553393</v>
      </c>
      <c r="D161" s="13" t="n">
        <f aca="false">Thesis!$D$155/CF!$D$86</f>
        <v>0.54214956071542</v>
      </c>
      <c r="E161" s="13" t="n">
        <f aca="false">Thesis!$E$155/CF!$E$86</f>
        <v>0.666492790452817</v>
      </c>
      <c r="F161" s="13" t="n">
        <f aca="false">Thesis!$F$155/CF!$F$86</f>
        <v>0.733477910687338</v>
      </c>
      <c r="G161" s="13" t="n">
        <f aca="false">Thesis!$G$155/CF!$G$86</f>
        <v>0.705124321514523</v>
      </c>
      <c r="H161" s="13" t="n">
        <f aca="false">Thesis!$H$155/CF!$H$86</f>
        <v>0.726376041178204</v>
      </c>
      <c r="I161" s="13" t="n">
        <f aca="false">Thesis!$I$155/CF!$I$86</f>
        <v>0.713099092661699</v>
      </c>
      <c r="J161" s="13" t="n">
        <f aca="false">Thesis!$J$155/CF!$J$86</f>
        <v>0.701208348786245</v>
      </c>
      <c r="K161" s="13" t="n">
        <f aca="false">Thesis!$K$155/CF!$K$86</f>
        <v>0.618338844562383</v>
      </c>
      <c r="L161" s="13" t="n">
        <f aca="false">Thesis!$L$155/CF!$L$86</f>
        <v>0.562489158462506</v>
      </c>
      <c r="M161" s="13" t="n">
        <f aca="false">Thesis!$M$155/CF!$M$86</f>
        <v>0.545751190895923</v>
      </c>
    </row>
    <row r="162" customFormat="false" ht="17.15" hidden="false" customHeight="false" outlineLevel="0" collapsed="false">
      <c r="A162" s="0" t="s">
        <v>637</v>
      </c>
      <c r="B162" s="0" t="s">
        <v>86</v>
      </c>
      <c r="C162" s="38" t="n">
        <f aca="false">Thesis!$S$162</f>
        <v>0.183212798365523</v>
      </c>
      <c r="D162" s="38" t="n">
        <f aca="false">Thesis!$T$162</f>
        <v>1.55872349836552</v>
      </c>
      <c r="E162" s="38" t="n">
        <f aca="false">Thesis!$G$162/2</f>
        <v>3.87426082418276</v>
      </c>
      <c r="F162" s="38" t="n">
        <f aca="false">Thesis!$G$162/2</f>
        <v>3.87426082418276</v>
      </c>
      <c r="G162" s="38" t="n">
        <f aca="false">Thesis!$U$162</f>
        <v>7.74852164836552</v>
      </c>
      <c r="H162" s="38" t="n">
        <f aca="false">Thesis!$V$162</f>
        <v>24.2509580966155</v>
      </c>
      <c r="I162" s="38" t="n">
        <f aca="false">Thesis!$W$162</f>
        <v>49.6717554207405</v>
      </c>
      <c r="J162" s="38" t="n">
        <f aca="false">Thesis!$X$162</f>
        <v>76.1050702391572</v>
      </c>
      <c r="K162" s="38" t="n">
        <f aca="false">Thesis!$Y$162</f>
        <v>103.227966959208</v>
      </c>
      <c r="L162" s="38" t="n">
        <f aca="false">Thesis!$Z$162</f>
        <v>122.296705971464</v>
      </c>
      <c r="M162" s="38" t="n">
        <f aca="false">Thesis!$AA$162</f>
        <v>134.926065927559</v>
      </c>
      <c r="N162" s="38" t="n">
        <f aca="false">Thesis!$D$162/2</f>
        <v>0.779361749182762</v>
      </c>
      <c r="O162" s="38" t="n">
        <f aca="false">Thesis!$D$162/2</f>
        <v>0.779361749182762</v>
      </c>
      <c r="R162" s="38" t="n">
        <f aca="false">SUMPRODUCT(--(Thesis!$R$125:$AA$125&lt;Thesis!R$125),--(Thesis!$R$125:$AA$125&gt;=Thesis!R$125-tk_life),Thesis!$R$159:$AA$159)/tk_life</f>
        <v>0</v>
      </c>
      <c r="S162" s="38" t="n">
        <f aca="false">SUMPRODUCT(--(Thesis!$R$125:$AA$125&lt;Thesis!S$125),--(Thesis!$R$125:$AA$125&gt;=Thesis!S$125-tk_life),Thesis!$R$159:$AA$159)/tk_life</f>
        <v>0.183212798365523</v>
      </c>
      <c r="T162" s="38" t="n">
        <f aca="false">SUMPRODUCT(--(Thesis!$R$125:$AA$125&lt;Thesis!T$125),--(Thesis!$R$125:$AA$125&gt;=Thesis!T$125-tk_life),Thesis!$R$159:$AA$159)/tk_life</f>
        <v>1.55872349836552</v>
      </c>
      <c r="U162" s="38" t="n">
        <f aca="false">SUMPRODUCT(--(Thesis!$R$125:$AA$125&lt;Thesis!U$125),--(Thesis!$R$125:$AA$125&gt;=Thesis!U$125-tk_life),Thesis!$R$159:$AA$159)/tk_life</f>
        <v>7.74852164836552</v>
      </c>
      <c r="V162" s="38" t="n">
        <f aca="false">SUMPRODUCT(--(Thesis!$R$125:$AA$125&lt;Thesis!V$125),--(Thesis!$R$125:$AA$125&gt;=Thesis!V$125-tk_life),Thesis!$R$159:$AA$159)/tk_life</f>
        <v>24.2509580966155</v>
      </c>
      <c r="W162" s="38" t="n">
        <f aca="false">SUMPRODUCT(--(Thesis!$R$125:$AA$125&lt;Thesis!W$125),--(Thesis!$R$125:$AA$125&gt;=Thesis!W$125-tk_life),Thesis!$R$159:$AA$159)/tk_life</f>
        <v>49.6717554207405</v>
      </c>
      <c r="X162" s="38" t="n">
        <f aca="false">SUMPRODUCT(--(Thesis!$R$125:$AA$125&lt;Thesis!X$125),--(Thesis!$R$125:$AA$125&gt;=Thesis!X$125-tk_life),Thesis!$R$159:$AA$159)/tk_life</f>
        <v>76.1050702391572</v>
      </c>
      <c r="Y162" s="38" t="n">
        <f aca="false">SUMPRODUCT(--(Thesis!$R$125:$AA$125&lt;Thesis!Y$125),--(Thesis!$R$125:$AA$125&gt;=Thesis!Y$125-tk_life),Thesis!$R$159:$AA$159)/tk_life</f>
        <v>103.227966959208</v>
      </c>
      <c r="Z162" s="38" t="n">
        <f aca="false">SUMPRODUCT(--(Thesis!$R$125:$AA$125&lt;Thesis!Z$125),--(Thesis!$R$125:$AA$125&gt;=Thesis!Z$125-tk_life),Thesis!$R$159:$AA$159)/tk_life</f>
        <v>122.296705971464</v>
      </c>
      <c r="AA162" s="38" t="n">
        <f aca="false">SUMPRODUCT(--(Thesis!$R$125:$AA$125&lt;Thesis!AA$125),--(Thesis!$R$125:$AA$125&gt;=Thesis!AA$125-tk_life),Thesis!$R$159:$AA$159)/tk_life</f>
        <v>134.926065927559</v>
      </c>
    </row>
    <row r="163" customFormat="false" ht="17.15" hidden="false" customHeight="false" outlineLevel="0" collapsed="false">
      <c r="A163" s="0" t="s">
        <v>638</v>
      </c>
      <c r="B163" s="0" t="s">
        <v>86</v>
      </c>
      <c r="C163" s="38" t="n">
        <f aca="false">Thesis!$S$163</f>
        <v>0.0202511502553155</v>
      </c>
      <c r="D163" s="38" t="n">
        <f aca="false">Thesis!$T$163</f>
        <v>0.172291150255315</v>
      </c>
      <c r="E163" s="38" t="n">
        <f aca="false">Thesis!$G$163/2</f>
        <v>0.428235575127658</v>
      </c>
      <c r="F163" s="38" t="n">
        <f aca="false">Thesis!$G$163/2</f>
        <v>0.428235575127658</v>
      </c>
      <c r="G163" s="38" t="n">
        <f aca="false">Thesis!$U$163</f>
        <v>0.856471150255315</v>
      </c>
      <c r="H163" s="38" t="n">
        <f aca="false">Thesis!$V$163</f>
        <v>2.41307567525532</v>
      </c>
      <c r="I163" s="38" t="n">
        <f aca="false">Thesis!$W$163</f>
        <v>4.71540472525532</v>
      </c>
      <c r="J163" s="38" t="n">
        <f aca="false">Thesis!$X$163</f>
        <v>7.01773377525532</v>
      </c>
      <c r="K163" s="38" t="n">
        <f aca="false">Thesis!$Y$163</f>
        <v>9.32006282525532</v>
      </c>
      <c r="L163" s="38" t="n">
        <f aca="false">Thesis!$Z$163</f>
        <v>10.9487071753387</v>
      </c>
      <c r="M163" s="38" t="n">
        <f aca="false">Thesis!$AA$163</f>
        <v>11.9036668255053</v>
      </c>
      <c r="N163" s="38" t="n">
        <f aca="false">Thesis!$D$163/2</f>
        <v>0.0861455751276577</v>
      </c>
      <c r="O163" s="38" t="n">
        <f aca="false">Thesis!$D$163/2</f>
        <v>0.0861455751276577</v>
      </c>
      <c r="R163" s="38" t="n">
        <f aca="false">SUMPRODUCT(--(Thesis!$R$125:$AA$125&lt;Thesis!R$125),Thesis!$R$160:$AA$160)/fac_life</f>
        <v>0</v>
      </c>
      <c r="S163" s="38" t="n">
        <f aca="false">SUMPRODUCT(--(Thesis!$R$125:$AA$125&lt;Thesis!S$125),Thesis!$R$160:$AA$160)/fac_life</f>
        <v>0.0202511502553155</v>
      </c>
      <c r="T163" s="38" t="n">
        <f aca="false">SUMPRODUCT(--(Thesis!$R$125:$AA$125&lt;Thesis!T$125),Thesis!$R$160:$AA$160)/fac_life</f>
        <v>0.172291150255315</v>
      </c>
      <c r="U163" s="38" t="n">
        <f aca="false">SUMPRODUCT(--(Thesis!$R$125:$AA$125&lt;Thesis!U$125),Thesis!$R$160:$AA$160)/fac_life</f>
        <v>0.856471150255315</v>
      </c>
      <c r="V163" s="38" t="n">
        <f aca="false">SUMPRODUCT(--(Thesis!$R$125:$AA$125&lt;Thesis!V$125),Thesis!$R$160:$AA$160)/fac_life</f>
        <v>2.41307567525532</v>
      </c>
      <c r="W163" s="38" t="n">
        <f aca="false">SUMPRODUCT(--(Thesis!$R$125:$AA$125&lt;Thesis!W$125),Thesis!$R$160:$AA$160)/fac_life</f>
        <v>4.71540472525532</v>
      </c>
      <c r="X163" s="38" t="n">
        <f aca="false">SUMPRODUCT(--(Thesis!$R$125:$AA$125&lt;Thesis!X$125),Thesis!$R$160:$AA$160)/fac_life</f>
        <v>7.01773377525532</v>
      </c>
      <c r="Y163" s="38" t="n">
        <f aca="false">SUMPRODUCT(--(Thesis!$R$125:$AA$125&lt;Thesis!Y$125),Thesis!$R$160:$AA$160)/fac_life</f>
        <v>9.32006282525532</v>
      </c>
      <c r="Z163" s="38" t="n">
        <f aca="false">SUMPRODUCT(--(Thesis!$R$125:$AA$125&lt;Thesis!Z$125),Thesis!$R$160:$AA$160)/fac_life</f>
        <v>10.9487071753387</v>
      </c>
      <c r="AA163" s="38" t="n">
        <f aca="false">SUMPRODUCT(--(Thesis!$R$125:$AA$125&lt;Thesis!AA$125),Thesis!$R$160:$AA$160)/fac_life</f>
        <v>11.9036668255053</v>
      </c>
    </row>
    <row r="164" customFormat="false" ht="17.15" hidden="false" customHeight="false" outlineLevel="0" collapsed="false">
      <c r="A164" s="1" t="s">
        <v>639</v>
      </c>
      <c r="B164" s="8" t="s">
        <v>86</v>
      </c>
      <c r="C164" s="38" t="n">
        <f aca="false">Thesis!$C$162+Thesis!$C$163</f>
        <v>0.203463948620839</v>
      </c>
      <c r="D164" s="38" t="n">
        <f aca="false">Thesis!$D$162+Thesis!$D$163</f>
        <v>1.73101464862084</v>
      </c>
      <c r="E164" s="38" t="n">
        <f aca="false">Thesis!$E$162+Thesis!$E$163</f>
        <v>4.30249639931042</v>
      </c>
      <c r="F164" s="38" t="n">
        <f aca="false">Thesis!$F$162+Thesis!$F$163</f>
        <v>4.30249639931042</v>
      </c>
      <c r="G164" s="38" t="n">
        <f aca="false">Thesis!$G$162+Thesis!$G$163</f>
        <v>8.60499279862084</v>
      </c>
      <c r="H164" s="38" t="n">
        <f aca="false">Thesis!$H$162+Thesis!$H$163</f>
        <v>26.6640337718708</v>
      </c>
      <c r="I164" s="38" t="n">
        <f aca="false">Thesis!$I$162+Thesis!$I$163</f>
        <v>54.3871601459959</v>
      </c>
      <c r="J164" s="38" t="n">
        <f aca="false">Thesis!$J$162+Thesis!$J$163</f>
        <v>83.1228040144125</v>
      </c>
      <c r="K164" s="38" t="n">
        <f aca="false">Thesis!$K$162+Thesis!$K$163</f>
        <v>112.548029784464</v>
      </c>
      <c r="L164" s="38" t="n">
        <f aca="false">Thesis!$L$162+Thesis!$L$163</f>
        <v>133.245413146803</v>
      </c>
      <c r="M164" s="38" t="n">
        <f aca="false">Thesis!$M$162+Thesis!$M$163</f>
        <v>146.829732753064</v>
      </c>
      <c r="N164" s="38" t="n">
        <f aca="false">Thesis!$N$162+Thesis!$N$163</f>
        <v>0.865507324310419</v>
      </c>
      <c r="O164" s="38" t="n">
        <f aca="false">Thesis!$O$162+Thesis!$O$163</f>
        <v>0.865507324310419</v>
      </c>
      <c r="R164" s="38" t="n">
        <f aca="false">Thesis!$R$162+Thesis!$R$163</f>
        <v>0</v>
      </c>
      <c r="S164" s="38" t="n">
        <f aca="false">Thesis!$S$162+Thesis!$S$163</f>
        <v>0.203463948620839</v>
      </c>
      <c r="T164" s="38" t="n">
        <f aca="false">Thesis!$T$162+Thesis!$T$163</f>
        <v>1.73101464862084</v>
      </c>
      <c r="U164" s="38" t="n">
        <f aca="false">Thesis!$U$162+Thesis!$U$163</f>
        <v>8.60499279862084</v>
      </c>
      <c r="V164" s="38" t="n">
        <f aca="false">Thesis!$V$162+Thesis!$V$163</f>
        <v>26.6640337718708</v>
      </c>
      <c r="W164" s="38" t="n">
        <f aca="false">Thesis!$W$162+Thesis!$W$163</f>
        <v>54.3871601459959</v>
      </c>
      <c r="X164" s="38" t="n">
        <f aca="false">Thesis!$X$162+Thesis!$X$163</f>
        <v>83.1228040144125</v>
      </c>
      <c r="Y164" s="38" t="n">
        <f aca="false">Thesis!$Y$162+Thesis!$Y$163</f>
        <v>112.548029784464</v>
      </c>
      <c r="Z164" s="38" t="n">
        <f aca="false">Thesis!$Z$162+Thesis!$Z$163</f>
        <v>133.245413146803</v>
      </c>
      <c r="AA164" s="38" t="n">
        <f aca="false">Thesis!$AA$162+Thesis!$AA$163</f>
        <v>146.829732753064</v>
      </c>
    </row>
    <row r="165" customFormat="false" ht="17.15" hidden="false" customHeight="false" outlineLevel="0" collapsed="false">
      <c r="A165" s="0" t="s">
        <v>640</v>
      </c>
      <c r="B165" s="0" t="s">
        <v>86</v>
      </c>
      <c r="C165" s="38" t="n">
        <f aca="false">Thesis!$S$165</f>
        <v>12.5947000466786</v>
      </c>
      <c r="D165" s="38" t="n">
        <f aca="false">Thesis!$T$165</f>
        <v>61.6860742980578</v>
      </c>
      <c r="G165" s="38" t="n">
        <f aca="false">Thesis!$U$165</f>
        <v>183.227790688937</v>
      </c>
      <c r="H165" s="38" t="n">
        <f aca="false">Thesis!$V$165</f>
        <v>355.135121861816</v>
      </c>
      <c r="I165" s="38" t="n">
        <f aca="false">Thesis!$W$165</f>
        <v>505.39443162632</v>
      </c>
      <c r="J165" s="38" t="n">
        <f aca="false">Thesis!$X$165</f>
        <v>632.154865722408</v>
      </c>
      <c r="K165" s="38" t="n">
        <f aca="false">Thesis!$Y$165</f>
        <v>674.845221213145</v>
      </c>
      <c r="L165" s="38" t="n">
        <f aca="false">Thesis!$Z$165</f>
        <v>673.613949706244</v>
      </c>
      <c r="M165" s="38" t="n">
        <f aca="false">Thesis!$AA$165</f>
        <v>659.015198613032</v>
      </c>
      <c r="R165" s="38" t="n">
        <f aca="false">SUM(Thesis!$R$157:$R$157)-SUM(Thesis!$R$164:$R$164)</f>
        <v>1.50429979529945</v>
      </c>
      <c r="S165" s="38" t="n">
        <f aca="false">SUM(Thesis!$R$157:$S$157)-SUM(Thesis!$R$164:$S$164)</f>
        <v>12.5947000466786</v>
      </c>
      <c r="T165" s="38" t="n">
        <f aca="false">SUM(Thesis!$R$157:$T$157)-SUM(Thesis!$R$164:$T$164)</f>
        <v>61.6860742980578</v>
      </c>
      <c r="U165" s="38" t="n">
        <f aca="false">SUM(Thesis!$R$157:$U$157)-SUM(Thesis!$R$164:$U$164)</f>
        <v>183.227790688937</v>
      </c>
      <c r="V165" s="38" t="n">
        <f aca="false">SUM(Thesis!$R$157:$V$157)-SUM(Thesis!$R$164:$V$164)</f>
        <v>355.135121861816</v>
      </c>
      <c r="W165" s="38" t="n">
        <f aca="false">SUM(Thesis!$R$157:$W$157)-SUM(Thesis!$R$164:$W$164)</f>
        <v>505.39443162632</v>
      </c>
      <c r="X165" s="38" t="n">
        <f aca="false">SUM(Thesis!$R$157:$X$157)-SUM(Thesis!$R$164:$X$164)</f>
        <v>632.154865722408</v>
      </c>
      <c r="Y165" s="38" t="n">
        <f aca="false">SUM(Thesis!$R$157:$Y$157)-SUM(Thesis!$R$164:$Y$164)</f>
        <v>674.845221213145</v>
      </c>
      <c r="Z165" s="38" t="n">
        <f aca="false">SUM(Thesis!$R$157:$Z$157)-SUM(Thesis!$R$164:$Z$164)</f>
        <v>673.613949706244</v>
      </c>
      <c r="AA165" s="38" t="n">
        <f aca="false">SUM(Thesis!$R$157:$AA$157)-SUM(Thesis!$R$164:$AA$164)</f>
        <v>659.015198613032</v>
      </c>
    </row>
    <row r="166" customFormat="false" ht="17.15" hidden="false" customHeight="false" outlineLevel="0" collapsed="false">
      <c r="A166" s="1" t="s">
        <v>641</v>
      </c>
    </row>
    <row r="167" customFormat="false" ht="17.15" hidden="false" customHeight="false" outlineLevel="0" collapsed="false">
      <c r="A167" s="0" t="s">
        <v>642</v>
      </c>
      <c r="B167" s="0" t="s">
        <v>86</v>
      </c>
      <c r="C167" s="38" t="n">
        <f aca="false">Thesis!$C$146-ext_sh*Thesis!$C$148</f>
        <v>1.80694998843362</v>
      </c>
      <c r="D167" s="38" t="n">
        <f aca="false">Thesis!$D$146-ext_sh*Thesis!$D$148</f>
        <v>6.77606245662607</v>
      </c>
      <c r="E167" s="38" t="n">
        <f aca="false">Thesis!$E$146-ext_sh*Thesis!$E$148</f>
        <v>6.62548329092326</v>
      </c>
      <c r="F167" s="38" t="n">
        <f aca="false">Thesis!$F$146-ext_sh*Thesis!$F$148</f>
        <v>10.8940413794839</v>
      </c>
      <c r="G167" s="38" t="n">
        <f aca="false">Thesis!$G$146-ext_sh*Thesis!$G$148</f>
        <v>17.5195246704072</v>
      </c>
      <c r="H167" s="38" t="n">
        <f aca="false">Thesis!$H$146-ext_sh*Thesis!$H$148</f>
        <v>40.7735721541341</v>
      </c>
      <c r="I167" s="38" t="n">
        <f aca="false">Thesis!$I$146-ext_sh*Thesis!$I$148</f>
        <v>66.8500163832358</v>
      </c>
      <c r="J167" s="38" t="n">
        <f aca="false">Thesis!$J$146-ext_sh*Thesis!$J$148</f>
        <v>93.0640470849174</v>
      </c>
      <c r="K167" s="38" t="n">
        <f aca="false">Thesis!$K$146-ext_sh*Thesis!$K$148</f>
        <v>115.424757703147</v>
      </c>
      <c r="L167" s="38" t="n">
        <f aca="false">Thesis!$L$146-ext_sh*Thesis!$L$148</f>
        <v>130.120169833198</v>
      </c>
      <c r="M167" s="38" t="n">
        <f aca="false">Thesis!$M$146-ext_sh*Thesis!$M$148</f>
        <v>137.12790595888</v>
      </c>
      <c r="N167" s="38" t="n">
        <f aca="false">Thesis!$N$146-ext_sh*Thesis!$N$148</f>
        <v>2.37162185981912</v>
      </c>
      <c r="O167" s="38" t="n">
        <f aca="false">Thesis!$O$146-ext_sh*Thesis!$O$148</f>
        <v>4.40444059680694</v>
      </c>
    </row>
    <row r="168" customFormat="false" ht="17.15" hidden="false" customHeight="false" outlineLevel="0" collapsed="false">
      <c r="A168" s="1" t="s">
        <v>643</v>
      </c>
      <c r="B168" s="8" t="s">
        <v>86</v>
      </c>
      <c r="C168" s="38" t="n">
        <f aca="false">Thesis!$C$167-ext_sh*Thesis!$C$164</f>
        <v>1.64417882953695</v>
      </c>
      <c r="D168" s="38" t="n">
        <f aca="false">Thesis!$D$167-ext_sh*Thesis!$D$164</f>
        <v>5.39125073772939</v>
      </c>
      <c r="E168" s="38" t="n">
        <f aca="false">Thesis!$E$167-ext_sh*Thesis!$E$164</f>
        <v>3.18348617147493</v>
      </c>
      <c r="F168" s="38" t="n">
        <f aca="false">Thesis!$F$167-ext_sh*Thesis!$F$164</f>
        <v>7.45204426003557</v>
      </c>
      <c r="G168" s="38" t="n">
        <f aca="false">Thesis!$G$167-ext_sh*Thesis!$G$164</f>
        <v>10.6355304315105</v>
      </c>
      <c r="H168" s="38" t="n">
        <f aca="false">Thesis!$H$167-ext_sh*Thesis!$H$164</f>
        <v>19.4423451366374</v>
      </c>
      <c r="I168" s="38" t="n">
        <f aca="false">Thesis!$I$167-ext_sh*Thesis!$I$164</f>
        <v>23.3402882664391</v>
      </c>
      <c r="J168" s="38" t="n">
        <f aca="false">Thesis!$J$167-ext_sh*Thesis!$J$164</f>
        <v>26.5658038733873</v>
      </c>
      <c r="K168" s="38" t="n">
        <f aca="false">Thesis!$K$167-ext_sh*Thesis!$K$164</f>
        <v>25.3863338755762</v>
      </c>
      <c r="L168" s="38" t="n">
        <f aca="false">Thesis!$L$167-ext_sh*Thesis!$L$164</f>
        <v>23.5238393157556</v>
      </c>
      <c r="M168" s="38" t="n">
        <f aca="false">Thesis!$M$167-ext_sh*Thesis!$M$164</f>
        <v>19.6641197564286</v>
      </c>
      <c r="N168" s="38" t="n">
        <f aca="false">Thesis!$N$167-ext_sh*Thesis!$N$164</f>
        <v>1.67921600037079</v>
      </c>
      <c r="O168" s="38" t="n">
        <f aca="false">Thesis!$O$167-ext_sh*Thesis!$O$164</f>
        <v>3.71203473735861</v>
      </c>
    </row>
    <row r="169" customFormat="false" ht="17.15" hidden="false" customHeight="false" outlineLevel="0" collapsed="false">
      <c r="A169" s="0" t="s">
        <v>644</v>
      </c>
      <c r="B169" s="0" t="s">
        <v>52</v>
      </c>
      <c r="C169" s="13" t="n">
        <f aca="false">Thesis!$C$168/Thesis!$C$146</f>
        <v>0.708390794789371</v>
      </c>
      <c r="D169" s="13" t="n">
        <f aca="false">Thesis!$D$168/Thesis!$D$146</f>
        <v>0.619415573115729</v>
      </c>
      <c r="E169" s="13" t="n">
        <f aca="false">Thesis!$E$168/Thesis!$E$146</f>
        <v>0.374072166056273</v>
      </c>
      <c r="F169" s="13" t="n">
        <f aca="false">Thesis!$F$168/Thesis!$F$146</f>
        <v>0.527114967147693</v>
      </c>
      <c r="G169" s="13" t="n">
        <f aca="false">Thesis!$G$168/Thesis!$G$146</f>
        <v>0.469606071511127</v>
      </c>
      <c r="H169" s="13" t="n">
        <f aca="false">Thesis!$H$168/Thesis!$H$146</f>
        <v>0.363936945882096</v>
      </c>
      <c r="I169" s="13" t="n">
        <f aca="false">Thesis!$I$168/Thesis!$I$146</f>
        <v>0.265835486569301</v>
      </c>
      <c r="J169" s="13" t="n">
        <f aca="false">Thesis!$J$168/Thesis!$J$146</f>
        <v>0.217164833112518</v>
      </c>
      <c r="K169" s="13" t="n">
        <f aca="false">Thesis!$K$168/Thesis!$K$146</f>
        <v>0.167248108141527</v>
      </c>
      <c r="L169" s="13" t="n">
        <f aca="false">Thesis!$L$168/Thesis!$L$146</f>
        <v>0.137446849193894</v>
      </c>
      <c r="M169" s="13" t="n">
        <f aca="false">Thesis!$M$168/Thesis!$M$146</f>
        <v>0.109011498005096</v>
      </c>
      <c r="N169" s="13" t="n">
        <f aca="false">Thesis!$N$168/Thesis!$N$146</f>
        <v>0.551227795793364</v>
      </c>
      <c r="O169" s="13" t="n">
        <f aca="false">Thesis!$O$168/Thesis!$O$146</f>
        <v>0.656132068597002</v>
      </c>
    </row>
    <row r="170" customFormat="false" ht="17.15" hidden="false" customHeight="false" outlineLevel="0" collapsed="false">
      <c r="A170" s="5" t="s">
        <v>645</v>
      </c>
      <c r="B170" s="0" t="s">
        <v>86</v>
      </c>
      <c r="C170" s="39" t="n">
        <v>0</v>
      </c>
      <c r="D170" s="39" t="n">
        <v>0</v>
      </c>
      <c r="E170" s="39" t="n">
        <v>0</v>
      </c>
      <c r="F170" s="38" t="n">
        <f aca="false">IF(internal_ai_reading=2,1,0)*(1-ext_sh)/ext_sh*(mw_open*he_open+Thesis!$F$144*Thesis!$F$141)*Thesis!$F$130/1000</f>
        <v>3.77122048175818</v>
      </c>
      <c r="G170" s="38" t="n">
        <f aca="false">Thesis!$E$170+Thesis!$F$170</f>
        <v>3.77122048175818</v>
      </c>
      <c r="H170" s="38" t="n">
        <f aca="false">IF(internal_ai_reading=2,1,0)*(1-ext_sh)/ext_sh*(mw_open*he_open+Thesis!$H$144*Thesis!$H$141)*Thesis!$H$130/1000</f>
        <v>15.1635543609893</v>
      </c>
      <c r="I170" s="38" t="n">
        <f aca="false">IF(internal_ai_reading=2,1,0)*(1-ext_sh)/ext_sh*(mw_open*he_open+Thesis!$I$144*Thesis!$I$141)*Thesis!$I$130/1000</f>
        <v>25.5818843619889</v>
      </c>
      <c r="J170" s="38" t="n">
        <f aca="false">IF(internal_ai_reading=2,1,0)*(1-ext_sh)/ext_sh*(mw_open*he_open+Thesis!$J$144*Thesis!$J$141)*Thesis!$J$130/1000</f>
        <v>36.0465624179122</v>
      </c>
      <c r="K170" s="38" t="n">
        <f aca="false">IF(internal_ai_reading=2,1,0)*(1-ext_sh)/ext_sh*(mw_open*he_open+Thesis!$K$144*Thesis!$K$141)*Thesis!$K$130/1000</f>
        <v>44.9741164026038</v>
      </c>
      <c r="L170" s="38" t="n">
        <f aca="false">IF(internal_ai_reading=2,1,0)*(1-ext_sh)/ext_sh*(mw_open*he_open+Thesis!$L$144*Thesis!$L$141)*Thesis!$L$130/1000</f>
        <v>50.8413488057813</v>
      </c>
      <c r="M170" s="38" t="n">
        <f aca="false">IF(internal_ai_reading=2,1,0)*(1-ext_sh)/ext_sh*(mw_open*he_open+Thesis!$M$144*Thesis!$M$141)*Thesis!$M$130/1000</f>
        <v>53.6407214274315</v>
      </c>
      <c r="N170" s="39" t="n">
        <v>0</v>
      </c>
      <c r="O170" s="39" t="n">
        <v>0</v>
      </c>
      <c r="P170" s="8" t="s">
        <v>646</v>
      </c>
    </row>
    <row r="171" customFormat="false" ht="17.15" hidden="false" customHeight="false" outlineLevel="0" collapsed="false">
      <c r="A171" s="5" t="s">
        <v>647</v>
      </c>
      <c r="B171" s="0" t="s">
        <v>86</v>
      </c>
      <c r="C171" s="38" t="n">
        <f aca="false">(1-ext_sh)*(Thesis!$C$148+Thesis!$C$164)</f>
        <v>0.169206631859174</v>
      </c>
      <c r="D171" s="38" t="n">
        <f aca="false">(1-ext_sh)*(Thesis!$D$148+Thesis!$D$164)</f>
        <v>0.828129837730442</v>
      </c>
      <c r="E171" s="38" t="n">
        <f aca="false">(1-ext_sh)*(Thesis!$E$148+Thesis!$E$164)</f>
        <v>1.33171670102377</v>
      </c>
      <c r="F171" s="38" t="n">
        <f aca="false">(1-ext_sh)*(Thesis!$F$148+Thesis!$F$164)</f>
        <v>1.67134326207455</v>
      </c>
      <c r="G171" s="38" t="n">
        <f aca="false">(1-ext_sh)*(Thesis!$G$148+Thesis!$G$164)</f>
        <v>3.00305996309832</v>
      </c>
      <c r="H171" s="38" t="n">
        <f aca="false">(1-ext_sh)*(Thesis!$H$148+Thesis!$H$164)</f>
        <v>8.49498626530648</v>
      </c>
      <c r="I171" s="38" t="n">
        <f aca="false">(1-ext_sh)*(Thesis!$I$148+Thesis!$I$164)</f>
        <v>16.1148644972155</v>
      </c>
      <c r="J171" s="38" t="n">
        <f aca="false">(1-ext_sh)*(Thesis!$J$148+Thesis!$J$164)</f>
        <v>23.9410833819812</v>
      </c>
      <c r="K171" s="38" t="n">
        <f aca="false">(1-ext_sh)*(Thesis!$K$148+Thesis!$K$164)</f>
        <v>31.6005331796453</v>
      </c>
      <c r="L171" s="38" t="n">
        <f aca="false">(1-ext_sh)*(Thesis!$L$148+Thesis!$L$164)</f>
        <v>36.9061965404496</v>
      </c>
      <c r="M171" s="38" t="n">
        <f aca="false">(1-ext_sh)*(Thesis!$M$148+Thesis!$M$164)</f>
        <v>40.1804051073808</v>
      </c>
      <c r="N171" s="38" t="n">
        <f aca="false">(1-ext_sh)*(Thesis!$N$148+Thesis!$N$164)</f>
        <v>0.34177588266428</v>
      </c>
      <c r="O171" s="38" t="n">
        <f aca="false">(1-ext_sh)*(Thesis!$O$148+Thesis!$O$164)</f>
        <v>0.486353955066162</v>
      </c>
    </row>
    <row r="172" customFormat="false" ht="17.15" hidden="false" customHeight="false" outlineLevel="0" collapsed="false">
      <c r="A172" s="0" t="s">
        <v>648</v>
      </c>
      <c r="B172" s="0" t="s">
        <v>86</v>
      </c>
      <c r="C172" s="38" t="n">
        <f aca="false">Q!$D$24</f>
        <v>39.834</v>
      </c>
      <c r="D172" s="38" t="n">
        <f aca="false">Q!$E$24</f>
        <v>45.606</v>
      </c>
      <c r="E172" s="38" t="n">
        <f aca="false">Q!$P$24</f>
        <v>30.782</v>
      </c>
      <c r="N172" s="38" t="n">
        <f aca="false">Q!$N$24</f>
        <v>21.707</v>
      </c>
      <c r="O172" s="38" t="n">
        <f aca="false">Q!$O$24</f>
        <v>23.899</v>
      </c>
    </row>
    <row r="173" customFormat="false" ht="17.15" hidden="false" customHeight="false" outlineLevel="0" collapsed="false">
      <c r="A173" s="0" t="s">
        <v>649</v>
      </c>
      <c r="B173" s="0" t="s">
        <v>86</v>
      </c>
      <c r="C173" s="38" t="n">
        <f aca="false">Thesis!$C$172-Thesis!$C$168</f>
        <v>38.1898211704631</v>
      </c>
      <c r="D173" s="38" t="n">
        <f aca="false">Thesis!$D$172-Thesis!$D$168</f>
        <v>40.2147492622706</v>
      </c>
      <c r="E173" s="38" t="n">
        <f aca="false">Thesis!$E$172-Thesis!$E$168</f>
        <v>27.5985138285251</v>
      </c>
      <c r="F173" s="38" t="n">
        <f aca="false">Thesis!$F$150*Thesis!$F$174</f>
        <v>25.5484769754606</v>
      </c>
      <c r="G173" s="38" t="n">
        <f aca="false">Thesis!$E$173+Thesis!$F$173</f>
        <v>53.1469908039857</v>
      </c>
      <c r="H173" s="38" t="n">
        <f aca="false">Thesis!$H$150*Thesis!$H$174</f>
        <v>57.3189525076539</v>
      </c>
      <c r="I173" s="38" t="n">
        <f aca="false">Thesis!$I$150*Thesis!$I$174</f>
        <v>63.6385627021087</v>
      </c>
      <c r="J173" s="38" t="n">
        <f aca="false">Thesis!$J$150*Thesis!$J$174</f>
        <v>69.6922896066105</v>
      </c>
      <c r="K173" s="38" t="n">
        <f aca="false">Thesis!$K$150*Thesis!$K$174</f>
        <v>75.2676727751394</v>
      </c>
      <c r="L173" s="38" t="n">
        <f aca="false">Thesis!$L$150*Thesis!$L$174</f>
        <v>81.2890865971505</v>
      </c>
      <c r="M173" s="38" t="n">
        <f aca="false">Thesis!$M$150*Thesis!$M$174</f>
        <v>87.7922135249226</v>
      </c>
      <c r="N173" s="38" t="n">
        <f aca="false">Thesis!$N$172-Thesis!$N$168</f>
        <v>20.0277839996292</v>
      </c>
      <c r="O173" s="38" t="n">
        <f aca="false">Thesis!$O$172-Thesis!$O$168</f>
        <v>20.1869652626414</v>
      </c>
      <c r="P173" s="5" t="s">
        <v>650</v>
      </c>
    </row>
    <row r="174" customFormat="false" ht="17.15" hidden="false" customHeight="false" outlineLevel="0" collapsed="false">
      <c r="A174" s="0" t="s">
        <v>651</v>
      </c>
      <c r="B174" s="0" t="s">
        <v>52</v>
      </c>
      <c r="C174" s="13" t="n">
        <f aca="false">Thesis!$C$173/Thesis!$C$150</f>
        <v>0.362900395443635</v>
      </c>
      <c r="D174" s="13" t="n">
        <f aca="false">Thesis!$D$173/Thesis!$D$150</f>
        <v>0.335063632425483</v>
      </c>
      <c r="E174" s="13" t="n">
        <f aca="false">Thesis!$E$173/Thesis!$E$150</f>
        <v>0.387028992698038</v>
      </c>
      <c r="F174" s="13" t="n">
        <f aca="false">(Thesis!$O$173+Thesis!$E$173)/(Thesis!$O$150+Thesis!$E$150)</f>
        <v>0.355980580118587</v>
      </c>
      <c r="G174" s="13" t="n">
        <f aca="false">Thesis!$G$173/Thesis!$G$150</f>
        <v>0.371454804780916</v>
      </c>
      <c r="H174" s="13" t="n">
        <f aca="false">Thesis!$F$174</f>
        <v>0.355980580118587</v>
      </c>
      <c r="I174" s="13" t="n">
        <f aca="false">Thesis!$F$174</f>
        <v>0.355980580118587</v>
      </c>
      <c r="J174" s="13" t="n">
        <f aca="false">Thesis!$F$174</f>
        <v>0.355980580118587</v>
      </c>
      <c r="K174" s="13" t="n">
        <f aca="false">Thesis!$F$174</f>
        <v>0.355980580118587</v>
      </c>
      <c r="L174" s="13" t="n">
        <f aca="false">Thesis!$F$174</f>
        <v>0.355980580118587</v>
      </c>
      <c r="M174" s="13" t="n">
        <f aca="false">Thesis!$F$174</f>
        <v>0.355980580118587</v>
      </c>
      <c r="N174" s="13" t="n">
        <f aca="false">Thesis!$N$173/Thesis!$N$150</f>
        <v>0.35078810535806</v>
      </c>
      <c r="O174" s="13" t="n">
        <f aca="false">Thesis!$O$173/Thesis!$O$150</f>
        <v>0.320796939361619</v>
      </c>
      <c r="P174" s="8" t="s">
        <v>652</v>
      </c>
    </row>
    <row r="175" customFormat="false" ht="17.15" hidden="false" customHeight="false" outlineLevel="0" collapsed="false">
      <c r="A175" s="0" t="s">
        <v>653</v>
      </c>
      <c r="B175" s="0" t="s">
        <v>52</v>
      </c>
      <c r="D175" s="13" t="n">
        <f aca="false">(Q!$E$31-ext_sh*Thesis!$D$164)/Thesis!$D$150</f>
        <v>0.167180325480118</v>
      </c>
    </row>
    <row r="176" customFormat="false" ht="17.15" hidden="false" customHeight="false" outlineLevel="0" collapsed="false">
      <c r="A176" s="0" t="s">
        <v>654</v>
      </c>
      <c r="B176" s="0" t="s">
        <v>86</v>
      </c>
      <c r="C176" s="38" t="n">
        <f aca="false">Q!$D$31</f>
        <v>13.32</v>
      </c>
      <c r="D176" s="38" t="n">
        <f aca="false">Q!$E$31</f>
        <v>21.45</v>
      </c>
      <c r="E176" s="38" t="n">
        <f aca="false">Q!$P$31</f>
        <v>15.353</v>
      </c>
      <c r="F176" s="38" t="n">
        <f aca="false">ext_sh*Thesis!$F$164+Thesis!$D$175*Thesis!$F$150</f>
        <v>15.4404120185306</v>
      </c>
      <c r="G176" s="38" t="n">
        <f aca="false">Thesis!$E$176+Thesis!$F$176</f>
        <v>30.7934120185306</v>
      </c>
      <c r="H176" s="38" t="n">
        <f aca="false">ext_sh*Thesis!$H$164+Thesis!$D$175*Thesis!$H$150</f>
        <v>48.250114371455</v>
      </c>
      <c r="I176" s="38" t="n">
        <f aca="false">ext_sh*Thesis!$I$164+Thesis!$D$175*Thesis!$I$150</f>
        <v>73.3965146995963</v>
      </c>
      <c r="J176" s="38" t="n">
        <f aca="false">ext_sh*Thesis!$J$164+Thesis!$D$175*Thesis!$J$150</f>
        <v>99.22806138309</v>
      </c>
      <c r="K176" s="38" t="n">
        <f aca="false">ext_sh*Thesis!$K$164+Thesis!$D$175*Thesis!$K$150</f>
        <v>125.386627452856</v>
      </c>
      <c r="L176" s="38" t="n">
        <f aca="false">ext_sh*Thesis!$L$164+Thesis!$D$175*Thesis!$L$150</f>
        <v>144.77239043275</v>
      </c>
      <c r="M176" s="38" t="n">
        <f aca="false">ext_sh*Thesis!$M$164+Thesis!$D$175*Thesis!$M$150</f>
        <v>158.693930910983</v>
      </c>
      <c r="N176" s="38" t="n">
        <f aca="false">Q!$N$31</f>
        <v>9.234</v>
      </c>
      <c r="O176" s="38" t="n">
        <f aca="false">Q!$O$31</f>
        <v>12.216</v>
      </c>
    </row>
    <row r="177" customFormat="false" ht="17.15" hidden="false" customHeight="false" outlineLevel="0" collapsed="false">
      <c r="A177" s="1" t="s">
        <v>655</v>
      </c>
    </row>
    <row r="178" customFormat="false" ht="17.15" hidden="false" customHeight="false" outlineLevel="0" collapsed="false">
      <c r="A178" s="15" t="s">
        <v>656</v>
      </c>
      <c r="B178" s="14" t="s">
        <v>52</v>
      </c>
      <c r="C178" s="14"/>
      <c r="D178" s="14"/>
      <c r="E178" s="14"/>
      <c r="F178" s="14"/>
      <c r="G178" s="17" t="n">
        <f aca="false">Thesis!$G$168*(1-tax)/(ext_sh*(Thesis!$D$165+Thesis!$G$165)/2)</f>
        <v>0.0897189601399247</v>
      </c>
      <c r="H178" s="17" t="n">
        <f aca="false">Thesis!$H$168*(1-tax)/(ext_sh*(Thesis!$G$165+Thesis!$H$165)/2)</f>
        <v>0.0746125637795345</v>
      </c>
      <c r="I178" s="17" t="n">
        <f aca="false">Thesis!$I$168*(1-tax)/(ext_sh*(Thesis!$H$165+Thesis!$I$165)/2)</f>
        <v>0.0560375157899122</v>
      </c>
      <c r="J178" s="17" t="n">
        <f aca="false">Thesis!$J$168*(1-tax)/(ext_sh*(Thesis!$I$165+Thesis!$J$165)/2)</f>
        <v>0.0482493185897244</v>
      </c>
      <c r="K178" s="17" t="n">
        <f aca="false">Thesis!$K$168*(1-tax)/(ext_sh*(Thesis!$J$165+Thesis!$K$165)/2)</f>
        <v>0.0401294141768781</v>
      </c>
      <c r="L178" s="17" t="n">
        <f aca="false">Thesis!$L$168*(1-tax)/(ext_sh*(Thesis!$K$165+Thesis!$L$165)/2)</f>
        <v>0.0360419974573024</v>
      </c>
      <c r="M178" s="17" t="n">
        <f aca="false">Thesis!$M$168*(1-tax)/(ext_sh*(Thesis!$L$165+Thesis!$M$165)/2)</f>
        <v>0.0304862250266425</v>
      </c>
      <c r="N178" s="14"/>
      <c r="O178" s="14"/>
      <c r="P178" s="8" t="s">
        <v>657</v>
      </c>
    </row>
    <row r="179" customFormat="false" ht="17.15" hidden="false" customHeight="false" outlineLevel="0" collapsed="false">
      <c r="A179" s="5" t="s">
        <v>658</v>
      </c>
      <c r="B179" s="0" t="s">
        <v>57</v>
      </c>
      <c r="H179" s="36" t="n">
        <f aca="false">Thesis!$H$146*1000/(mw_open*he_open+Thesis!$H$144*Thesis!$H$141)</f>
        <v>0.880767940782091</v>
      </c>
      <c r="I179" s="36" t="n">
        <f aca="false">Thesis!$I$146*1000/(mw_open*he_open+Thesis!$I$144*Thesis!$I$141)</f>
        <v>0.858026572758645</v>
      </c>
      <c r="J179" s="36" t="n">
        <f aca="false">Thesis!$J$146*1000/(mw_open*he_open+Thesis!$J$144*Thesis!$J$141)</f>
        <v>0.848417499448742</v>
      </c>
      <c r="K179" s="36" t="n">
        <f aca="false">Thesis!$K$146*1000/(mw_open*he_open+Thesis!$K$144*Thesis!$K$141)</f>
        <v>0.843754578941374</v>
      </c>
      <c r="L179" s="36" t="n">
        <f aca="false">Thesis!$L$146*1000/(mw_open*he_open+Thesis!$L$144*Thesis!$L$141)</f>
        <v>0.841581849703465</v>
      </c>
      <c r="M179" s="36" t="n">
        <f aca="false">Thesis!$M$146*1000/(mw_open*he_open+Thesis!$M$144*Thesis!$M$141)</f>
        <v>0.840712687048722</v>
      </c>
    </row>
    <row r="180" customFormat="false" ht="17.15" hidden="false" customHeight="false" outlineLevel="0" collapsed="false">
      <c r="A180" s="5" t="s">
        <v>659</v>
      </c>
      <c r="B180" s="0" t="s">
        <v>57</v>
      </c>
      <c r="H180" s="36" t="n">
        <f aca="false">Thesis!$H$179*(Thesis!$H$146+wacc*ext_sh*(Thesis!$G$165+Thesis!$H$165)/2/(1-tax)-Thesis!$H$168)/Thesis!$H$146</f>
        <v>1.04696246089528</v>
      </c>
      <c r="I180" s="36" t="n">
        <f aca="false">Thesis!$I$179*(Thesis!$I$146+wacc*ext_sh*(Thesis!$H$165+Thesis!$I$165)/2/(1-tax)-Thesis!$I$168)/Thesis!$I$146</f>
        <v>1.09109607940198</v>
      </c>
      <c r="J180" s="36" t="n">
        <f aca="false">Thesis!$J$179*(Thesis!$J$146+wacc*ext_sh*(Thesis!$I$165+Thesis!$J$165)/2/(1-tax)-Thesis!$J$168)/Thesis!$J$146</f>
        <v>1.09681234280071</v>
      </c>
      <c r="K180" s="36" t="n">
        <f aca="false">Thesis!$K$179*(Thesis!$K$146+wacc*ext_sh*(Thesis!$J$165+Thesis!$K$165)/2/(1-tax)-Thesis!$K$168)/Thesis!$K$146</f>
        <v>1.10105220068984</v>
      </c>
      <c r="L180" s="36" t="n">
        <f aca="false">Thesis!$L$179*(Thesis!$L$146+wacc*ext_sh*(Thesis!$K$165+Thesis!$L$165)/2/(1-tax)-Thesis!$L$168)/Thesis!$L$146</f>
        <v>1.08952452639895</v>
      </c>
      <c r="M180" s="36" t="n">
        <f aca="false">Thesis!$M$179*(Thesis!$M$146+wacc*ext_sh*(Thesis!$L$165+Thesis!$M$165)/2/(1-tax)-Thesis!$M$168)/Thesis!$M$146</f>
        <v>1.08965878549519</v>
      </c>
    </row>
    <row r="181" customFormat="false" ht="17.15" hidden="false" customHeight="false" outlineLevel="0" collapsed="false">
      <c r="A181" s="5" t="s">
        <v>660</v>
      </c>
      <c r="B181" s="0" t="s">
        <v>52</v>
      </c>
      <c r="C181" s="13" t="n">
        <f aca="false">Thesis!$C$147/tk_pq</f>
        <v>0.195316432429398</v>
      </c>
      <c r="D181" s="13" t="n">
        <f aca="false">Thesis!$D$147/tk_pq</f>
        <v>0.195316432429398</v>
      </c>
      <c r="E181" s="13" t="n">
        <f aca="false">Thesis!$E$147/tk_pq</f>
        <v>0.195316432429398</v>
      </c>
      <c r="F181" s="13" t="n">
        <f aca="false">Thesis!$F$147/tk_pq</f>
        <v>0.191077608072499</v>
      </c>
      <c r="G181" s="13" t="n">
        <f aca="false">Thesis!$G$147/tk_pq</f>
        <v>0.192648675364927</v>
      </c>
      <c r="H181" s="13" t="n">
        <f aca="false">Thesis!$H$147/tk_pq</f>
        <v>0.188813632292207</v>
      </c>
      <c r="I181" s="13" t="n">
        <f aca="false">Thesis!$I$147/tk_pq</f>
        <v>0.18967957363228</v>
      </c>
      <c r="J181" s="13" t="n">
        <f aca="false">Thesis!$J$147/tk_pq</f>
        <v>0.190298617624149</v>
      </c>
      <c r="K181" s="13" t="n">
        <f aca="false">Thesis!$K$147/tk_pq</f>
        <v>0.190580531494929</v>
      </c>
      <c r="L181" s="13" t="n">
        <f aca="false">Thesis!$L$147/tk_pq</f>
        <v>0.190712010322094</v>
      </c>
      <c r="M181" s="13" t="n">
        <f aca="false">Thesis!$M$147/tk_pq</f>
        <v>0.190736894839384</v>
      </c>
      <c r="N181" s="13" t="n">
        <f aca="false">Thesis!$N$147/tk_pq</f>
        <v>0.195316432429398</v>
      </c>
      <c r="O181" s="13" t="n">
        <f aca="false">Thesis!$O$147/tk_pq</f>
        <v>0.195316432429398</v>
      </c>
      <c r="P181" s="5" t="s">
        <v>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664</v>
      </c>
    </row>
    <row r="4" customFormat="false" ht="19.4" hidden="false" customHeight="false" outlineLevel="0" collapsed="false">
      <c r="A4" s="31" t="s">
        <v>665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497</v>
      </c>
      <c r="D5" s="20" t="s">
        <v>498</v>
      </c>
      <c r="E5" s="20" t="s">
        <v>580</v>
      </c>
      <c r="F5" s="20" t="s">
        <v>581</v>
      </c>
      <c r="G5" s="20" t="s">
        <v>582</v>
      </c>
      <c r="H5" s="20" t="s">
        <v>583</v>
      </c>
      <c r="I5" s="20" t="s">
        <v>584</v>
      </c>
      <c r="J5" s="20" t="s">
        <v>585</v>
      </c>
      <c r="K5" s="20" t="s">
        <v>586</v>
      </c>
      <c r="L5" s="20" t="s">
        <v>587</v>
      </c>
      <c r="M5" s="20" t="s">
        <v>588</v>
      </c>
      <c r="N5" s="20" t="s">
        <v>589</v>
      </c>
      <c r="O5" s="20" t="s">
        <v>590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666</v>
      </c>
    </row>
    <row r="7" customFormat="false" ht="17.15" hidden="false" customHeight="false" outlineLevel="0" collapsed="false">
      <c r="A7" s="0" t="s">
        <v>519</v>
      </c>
      <c r="B7" s="0" t="s">
        <v>86</v>
      </c>
      <c r="C7" s="38" t="n">
        <f aca="false">Q!$D$10</f>
        <v>247.029</v>
      </c>
      <c r="D7" s="38" t="n">
        <f aca="false">Q!$E$10</f>
        <v>269.287</v>
      </c>
      <c r="E7" s="38" t="n">
        <f aca="false">Q!$P$10</f>
        <v>134.686</v>
      </c>
      <c r="F7" s="38" t="n">
        <f aca="false">Seg!$O$7*(1+Seg!$F$8)*Seg!$F$19</f>
        <v>158.293876822267</v>
      </c>
      <c r="G7" s="38" t="n">
        <f aca="false">Seg!$E$7+Seg!$F$7</f>
        <v>292.979876822267</v>
      </c>
      <c r="H7" s="38" t="n">
        <f aca="false">Seg!$G$7*(1+Seg!$H$8)</f>
        <v>318.184543087396</v>
      </c>
      <c r="I7" s="38" t="n">
        <f aca="false">Seg!$H$7*(1+Seg!$I$8)</f>
        <v>341.736278761793</v>
      </c>
      <c r="J7" s="38" t="n">
        <f aca="false">Seg!$I$7*(1+Seg!$J$8)</f>
        <v>362.927192787048</v>
      </c>
      <c r="K7" s="38" t="n">
        <f aca="false">Seg!$J$7*(1+Seg!$K$8)</f>
        <v>381.0735524264</v>
      </c>
      <c r="L7" s="38" t="n">
        <f aca="false">Seg!$K$7*(1+Seg!$L$8)</f>
        <v>400.12723004772</v>
      </c>
      <c r="M7" s="38" t="n">
        <f aca="false">Seg!$L$7*(1+Seg!$M$8)</f>
        <v>420.133591550106</v>
      </c>
      <c r="N7" s="38" t="n">
        <f aca="false">Q!$N$10</f>
        <v>118.892</v>
      </c>
      <c r="O7" s="38" t="n">
        <f aca="false">Q!$O$10</f>
        <v>150.395</v>
      </c>
      <c r="P7" s="8" t="s">
        <v>667</v>
      </c>
    </row>
    <row r="8" customFormat="false" ht="17.15" hidden="false" customHeight="false" outlineLevel="0" collapsed="false">
      <c r="A8" s="0" t="s">
        <v>668</v>
      </c>
      <c r="B8" s="0" t="s">
        <v>52</v>
      </c>
      <c r="E8" s="13" t="n">
        <f aca="false">Seg!$E$7/Seg!$N$7-1</f>
        <v>0.132843252699929</v>
      </c>
      <c r="F8" s="13" t="n">
        <f aca="false">Seg!$O$7/(Q!$F$10+Q!$G$10)-1</f>
        <v>0.0980382135842941</v>
      </c>
      <c r="G8" s="13" t="n">
        <f aca="false">Seg!$G$7/Seg!$D$7-1</f>
        <v>0.0879837378791657</v>
      </c>
      <c r="H8" s="13" t="n">
        <f aca="false">Seg!$F$8+(g_os-Seg!$F$8)*1/4</f>
        <v>0.0860286601882206</v>
      </c>
      <c r="I8" s="13" t="n">
        <f aca="false">Seg!$F$8+(g_os-Seg!$F$8)*2/4</f>
        <v>0.074019106792147</v>
      </c>
      <c r="J8" s="13" t="n">
        <f aca="false">Seg!$F$8+(g_os-Seg!$F$8)*3/4</f>
        <v>0.0620095533960735</v>
      </c>
      <c r="K8" s="13" t="n">
        <f aca="false">Seg!$F$8+(g_os-Seg!$F$8)*4/4</f>
        <v>0.05</v>
      </c>
      <c r="L8" s="13" t="n">
        <f aca="false">g_os</f>
        <v>0.05</v>
      </c>
      <c r="M8" s="13" t="n">
        <f aca="false">g_os</f>
        <v>0.05</v>
      </c>
      <c r="P8" s="8" t="s">
        <v>669</v>
      </c>
    </row>
    <row r="9" customFormat="false" ht="17.15" hidden="false" customHeight="false" outlineLevel="0" collapsed="false">
      <c r="A9" s="0" t="s">
        <v>520</v>
      </c>
      <c r="B9" s="0" t="s">
        <v>86</v>
      </c>
      <c r="C9" s="38" t="n">
        <f aca="false">Q!$D$11</f>
        <v>21.215</v>
      </c>
      <c r="D9" s="38" t="n">
        <f aca="false">Q!$E$11</f>
        <v>22.561</v>
      </c>
      <c r="E9" s="38" t="n">
        <f aca="false">Q!$P$11</f>
        <v>11.579</v>
      </c>
      <c r="F9" s="38" t="n">
        <f aca="false">Seg!$O$9*(1+Seg!$F$10)*Seg!$F$19</f>
        <v>11.5938724610325</v>
      </c>
      <c r="G9" s="38" t="n">
        <f aca="false">Seg!$E$9+Seg!$F$9</f>
        <v>23.1728724610325</v>
      </c>
      <c r="H9" s="38" t="n">
        <f aca="false">Seg!$G$9*(1+Seg!$H$10)</f>
        <v>24.353392759506</v>
      </c>
      <c r="I9" s="38" t="n">
        <f aca="false">Seg!$H$9*(1+Seg!$I$10)</f>
        <v>25.4240338872015</v>
      </c>
      <c r="J9" s="38" t="n">
        <f aca="false">Seg!$I$9*(1+Seg!$J$10)</f>
        <v>26.3642491017174</v>
      </c>
      <c r="K9" s="38" t="n">
        <f aca="false">Seg!$J$9*(1+Seg!$K$10)</f>
        <v>27.155176574769</v>
      </c>
      <c r="L9" s="38" t="n">
        <f aca="false">Seg!$K$9*(1+Seg!$L$10)</f>
        <v>27.969831872012</v>
      </c>
      <c r="M9" s="38" t="n">
        <f aca="false">Seg!$L$9*(1+Seg!$M$10)</f>
        <v>28.8089268281724</v>
      </c>
      <c r="N9" s="38" t="n">
        <f aca="false">Q!$N$11</f>
        <v>11.128</v>
      </c>
      <c r="O9" s="38" t="n">
        <f aca="false">Q!$O$11</f>
        <v>11.433</v>
      </c>
      <c r="P9" s="8" t="s">
        <v>667</v>
      </c>
    </row>
    <row r="10" customFormat="false" ht="17.15" hidden="false" customHeight="false" outlineLevel="0" collapsed="false">
      <c r="A10" s="0" t="s">
        <v>670</v>
      </c>
      <c r="B10" s="0" t="s">
        <v>52</v>
      </c>
      <c r="E10" s="13" t="n">
        <f aca="false">Seg!$E$9/Seg!$N$9-1</f>
        <v>0.0405283968368082</v>
      </c>
      <c r="F10" s="13" t="n">
        <f aca="false">Seg!$O$9/(Q!$F$11+Q!$G$11)-1</f>
        <v>0.0579254187100955</v>
      </c>
      <c r="G10" s="13" t="n">
        <f aca="false">Seg!$G$9/Seg!$D$9-1</f>
        <v>0.0271208040881397</v>
      </c>
      <c r="H10" s="13" t="n">
        <f aca="false">Seg!$F$10+(g_ps-Seg!$F$10)*1/4</f>
        <v>0.0509440640325716</v>
      </c>
      <c r="I10" s="13" t="n">
        <f aca="false">Seg!$F$10+(g_ps-Seg!$F$10)*2/4</f>
        <v>0.0439627093550477</v>
      </c>
      <c r="J10" s="13" t="n">
        <f aca="false">Seg!$F$10+(g_ps-Seg!$F$10)*3/4</f>
        <v>0.0369813546775239</v>
      </c>
      <c r="K10" s="13" t="n">
        <f aca="false">Seg!$F$10+(g_ps-Seg!$F$10)*4/4</f>
        <v>0.03</v>
      </c>
      <c r="L10" s="13" t="n">
        <f aca="false">g_ps</f>
        <v>0.03</v>
      </c>
      <c r="M10" s="13" t="n">
        <f aca="false">g_ps</f>
        <v>0.03</v>
      </c>
      <c r="P10" s="8" t="s">
        <v>671</v>
      </c>
    </row>
    <row r="11" customFormat="false" ht="17.15" hidden="false" customHeight="false" outlineLevel="0" collapsed="false">
      <c r="A11" s="0" t="s">
        <v>521</v>
      </c>
      <c r="B11" s="0" t="s">
        <v>86</v>
      </c>
      <c r="C11" s="38" t="n">
        <f aca="false">Q!$D$12</f>
        <v>156.146</v>
      </c>
      <c r="D11" s="38" t="n">
        <f aca="false">Q!$E$12</f>
        <v>172.162</v>
      </c>
      <c r="E11" s="38" t="n">
        <f aca="false">Q!$P$12</f>
        <v>88.358</v>
      </c>
      <c r="F11" s="38" t="n">
        <f aca="false">Seg!$O$11*(1+Seg!$F$12)*Seg!$F$19</f>
        <v>102.004388260171</v>
      </c>
      <c r="G11" s="38" t="n">
        <f aca="false">Seg!$E$11+Seg!$F$11</f>
        <v>190.362388260171</v>
      </c>
      <c r="H11" s="38" t="n">
        <f aca="false">Seg!$G$11*(1+Seg!$H$12)</f>
        <v>210.343106588311</v>
      </c>
      <c r="I11" s="38" t="n">
        <f aca="false">Seg!$H$11*(1+Seg!$I$12)</f>
        <v>229.969728494648</v>
      </c>
      <c r="J11" s="38" t="n">
        <f aca="false">Seg!$I$11*(1+Seg!$J$12)</f>
        <v>248.747636972598</v>
      </c>
      <c r="K11" s="38" t="n">
        <f aca="false">Seg!$J$11*(1+Seg!$K$12)</f>
        <v>266.15997156068</v>
      </c>
      <c r="L11" s="38" t="n">
        <f aca="false">Seg!$K$11*(1+Seg!$L$12)</f>
        <v>284.791169569927</v>
      </c>
      <c r="M11" s="38" t="n">
        <f aca="false">Seg!$L$11*(1+Seg!$M$12)</f>
        <v>304.726551439822</v>
      </c>
      <c r="N11" s="38" t="n">
        <f aca="false">Q!$N$12</f>
        <v>76.86</v>
      </c>
      <c r="O11" s="38" t="n">
        <f aca="false">Q!$O$12</f>
        <v>95.302</v>
      </c>
      <c r="P11" s="8" t="s">
        <v>667</v>
      </c>
    </row>
    <row r="12" customFormat="false" ht="17.15" hidden="false" customHeight="false" outlineLevel="0" collapsed="false">
      <c r="A12" s="0" t="s">
        <v>672</v>
      </c>
      <c r="B12" s="0" t="s">
        <v>52</v>
      </c>
      <c r="E12" s="13" t="n">
        <f aca="false">Seg!$E$11/Seg!$N$11-1</f>
        <v>0.1495966692688</v>
      </c>
      <c r="F12" s="13" t="n">
        <f aca="false">Seg!$O$11/(Q!$F$12+Q!$G$12)-1</f>
        <v>0.11661530890813</v>
      </c>
      <c r="G12" s="13" t="n">
        <f aca="false">Seg!$G$11/Seg!$D$11-1</f>
        <v>0.105716640490767</v>
      </c>
      <c r="H12" s="13" t="n">
        <f aca="false">Seg!$F$12+(g_sp-Seg!$F$12)*1/4</f>
        <v>0.104961481681098</v>
      </c>
      <c r="I12" s="13" t="n">
        <f aca="false">Seg!$F$12+(g_sp-Seg!$F$12)*2/4</f>
        <v>0.0933076544540651</v>
      </c>
      <c r="J12" s="13" t="n">
        <f aca="false">Seg!$F$12+(g_sp-Seg!$F$12)*3/4</f>
        <v>0.0816538272270325</v>
      </c>
      <c r="K12" s="13" t="n">
        <f aca="false">Seg!$F$12+(g_sp-Seg!$F$12)*4/4</f>
        <v>0.07</v>
      </c>
      <c r="L12" s="13" t="n">
        <f aca="false">g_sp</f>
        <v>0.07</v>
      </c>
      <c r="M12" s="13" t="n">
        <f aca="false">g_sp</f>
        <v>0.07</v>
      </c>
      <c r="P12" s="8" t="s">
        <v>673</v>
      </c>
    </row>
    <row r="13" customFormat="false" ht="17.15" hidden="false" customHeight="false" outlineLevel="0" collapsed="false">
      <c r="A13" s="0" t="s">
        <v>522</v>
      </c>
      <c r="B13" s="0" t="s">
        <v>86</v>
      </c>
      <c r="C13" s="38" t="n">
        <f aca="false">Q!$D$13</f>
        <v>56.214</v>
      </c>
      <c r="D13" s="38" t="n">
        <f aca="false">Q!$E$13</f>
        <v>68.635</v>
      </c>
      <c r="E13" s="38" t="n">
        <f aca="false">Q!$P$13</f>
        <v>37.052</v>
      </c>
      <c r="F13" s="38" t="n">
        <f aca="false">Seg!$O$13*(1+Seg!$F$14)*Seg!$F$19</f>
        <v>46.1572219944148</v>
      </c>
      <c r="G13" s="38" t="n">
        <f aca="false">Seg!$E$13+Seg!$F$13</f>
        <v>83.2092219944148</v>
      </c>
      <c r="H13" s="38" t="n">
        <f aca="false">Seg!$G$13*(1+Seg!$H$14)</f>
        <v>99.8969223878976</v>
      </c>
      <c r="I13" s="38" t="n">
        <f aca="false">Seg!$H$13*(1+Seg!$I$14)</f>
        <v>116.583111095496</v>
      </c>
      <c r="J13" s="38" t="n">
        <f aca="false">Seg!$I$13*(1+Seg!$J$14)</f>
        <v>132.148941941952</v>
      </c>
      <c r="K13" s="38" t="n">
        <f aca="false">Seg!$J$13*(1+Seg!$K$14)</f>
        <v>145.363836136147</v>
      </c>
      <c r="L13" s="38" t="n">
        <f aca="false">Seg!$K$13*(1+Seg!$L$14)</f>
        <v>159.900219749762</v>
      </c>
      <c r="M13" s="38" t="n">
        <f aca="false">Seg!$L$13*(1+Seg!$M$14)</f>
        <v>175.890241724738</v>
      </c>
      <c r="N13" s="38" t="n">
        <f aca="false">Q!$N$13</f>
        <v>29.615</v>
      </c>
      <c r="O13" s="38" t="n">
        <f aca="false">Q!$O$13</f>
        <v>39.02</v>
      </c>
      <c r="P13" s="8" t="s">
        <v>667</v>
      </c>
    </row>
    <row r="14" customFormat="false" ht="17.15" hidden="false" customHeight="false" outlineLevel="0" collapsed="false">
      <c r="A14" s="0" t="s">
        <v>674</v>
      </c>
      <c r="B14" s="0" t="s">
        <v>52</v>
      </c>
      <c r="E14" s="13" t="n">
        <f aca="false">Seg!$E$13/Seg!$N$13-1</f>
        <v>0.25112274185379</v>
      </c>
      <c r="F14" s="13" t="n">
        <f aca="false">Seg!$O$13/(Q!$F$13+Q!$G$13)-1</f>
        <v>0.234068123596572</v>
      </c>
      <c r="G14" s="13" t="n">
        <f aca="false">Seg!$G$13/Seg!$D$13-1</f>
        <v>0.212343876949294</v>
      </c>
      <c r="H14" s="13" t="n">
        <f aca="false">Seg!$F$14+(g_ad-Seg!$F$14)*1/4</f>
        <v>0.200551092697429</v>
      </c>
      <c r="I14" s="13" t="n">
        <f aca="false">Seg!$F$14+(g_ad-Seg!$F$14)*2/4</f>
        <v>0.167034061798286</v>
      </c>
      <c r="J14" s="13" t="n">
        <f aca="false">Seg!$F$14+(g_ad-Seg!$F$14)*3/4</f>
        <v>0.133517030899143</v>
      </c>
      <c r="K14" s="13" t="n">
        <f aca="false">Seg!$F$14+(g_ad-Seg!$F$14)*4/4</f>
        <v>0.1</v>
      </c>
      <c r="L14" s="13" t="n">
        <f aca="false">g_ad</f>
        <v>0.1</v>
      </c>
      <c r="M14" s="13" t="n">
        <f aca="false">g_ad</f>
        <v>0.1</v>
      </c>
      <c r="P14" s="8" t="s">
        <v>675</v>
      </c>
    </row>
    <row r="15" customFormat="false" ht="17.15" hidden="false" customHeight="false" outlineLevel="0" collapsed="false">
      <c r="A15" s="0" t="s">
        <v>523</v>
      </c>
      <c r="B15" s="0" t="s">
        <v>86</v>
      </c>
      <c r="C15" s="38" t="n">
        <f aca="false">Q!$D$14</f>
        <v>44.374</v>
      </c>
      <c r="D15" s="38" t="n">
        <f aca="false">Q!$E$14</f>
        <v>49.619</v>
      </c>
      <c r="E15" s="38" t="n">
        <f aca="false">Q!$P$14</f>
        <v>27.157</v>
      </c>
      <c r="F15" s="38" t="n">
        <f aca="false">Seg!$O$15*(1+Seg!$F$16)*Seg!$F$19</f>
        <v>27.7764165988154</v>
      </c>
      <c r="G15" s="38" t="n">
        <f aca="false">Seg!$E$15+Seg!$F$15</f>
        <v>54.9334165988154</v>
      </c>
      <c r="H15" s="38" t="n">
        <f aca="false">Seg!$G$15*(1+Seg!$H$16)</f>
        <v>61.1564112561829</v>
      </c>
      <c r="I15" s="38" t="n">
        <f aca="false">Seg!$H$15*(1+Seg!$I$16)</f>
        <v>67.2020282103945</v>
      </c>
      <c r="J15" s="38" t="n">
        <f aca="false">Seg!$I$15*(1+Seg!$J$16)</f>
        <v>72.8757274028885</v>
      </c>
      <c r="K15" s="38" t="n">
        <f aca="false">Seg!$J$15*(1+Seg!$K$16)</f>
        <v>77.9770283210907</v>
      </c>
      <c r="L15" s="38" t="n">
        <f aca="false">Seg!$K$15*(1+Seg!$L$16)</f>
        <v>83.4354203035671</v>
      </c>
      <c r="M15" s="38" t="n">
        <f aca="false">Seg!$L$15*(1+Seg!$M$16)</f>
        <v>89.2758997248168</v>
      </c>
      <c r="N15" s="38" t="n">
        <f aca="false">Q!$N$14</f>
        <v>23.923</v>
      </c>
      <c r="O15" s="38" t="n">
        <f aca="false">Q!$O$14</f>
        <v>25.696</v>
      </c>
      <c r="P15" s="8" t="s">
        <v>667</v>
      </c>
    </row>
    <row r="16" customFormat="false" ht="17.15" hidden="false" customHeight="false" outlineLevel="0" collapsed="false">
      <c r="A16" s="0" t="s">
        <v>676</v>
      </c>
      <c r="B16" s="0" t="s">
        <v>52</v>
      </c>
      <c r="E16" s="13" t="n">
        <f aca="false">Seg!$E$15/Seg!$N$15-1</f>
        <v>0.135183714417088</v>
      </c>
      <c r="F16" s="13" t="n">
        <f aca="false">Seg!$O$15/(Q!$F$14+Q!$G$14)-1</f>
        <v>0.127709997366804</v>
      </c>
      <c r="G16" s="13" t="n">
        <f aca="false">Seg!$G$15/Seg!$D$15-1</f>
        <v>0.107104468022641</v>
      </c>
      <c r="H16" s="13" t="n">
        <f aca="false">Seg!$F$16+(g_sub-Seg!$F$16)*1/4</f>
        <v>0.113282498025103</v>
      </c>
      <c r="I16" s="13" t="n">
        <f aca="false">Seg!$F$16+(g_sub-Seg!$F$16)*2/4</f>
        <v>0.0988549986834021</v>
      </c>
      <c r="J16" s="13" t="n">
        <f aca="false">Seg!$F$16+(g_sub-Seg!$F$16)*3/4</f>
        <v>0.084427499341701</v>
      </c>
      <c r="K16" s="13" t="n">
        <f aca="false">Seg!$F$16+(g_sub-Seg!$F$16)*4/4</f>
        <v>0.07</v>
      </c>
      <c r="L16" s="13" t="n">
        <f aca="false">g_sub</f>
        <v>0.07</v>
      </c>
      <c r="M16" s="13" t="n">
        <f aca="false">g_sub</f>
        <v>0.07</v>
      </c>
      <c r="P16" s="8" t="s">
        <v>677</v>
      </c>
    </row>
    <row r="17" customFormat="false" ht="17.15" hidden="false" customHeight="false" outlineLevel="0" collapsed="false">
      <c r="A17" s="0" t="s">
        <v>524</v>
      </c>
      <c r="B17" s="0" t="s">
        <v>86</v>
      </c>
      <c r="C17" s="38" t="n">
        <f aca="false">Q!$D$15</f>
        <v>5.425</v>
      </c>
      <c r="D17" s="38" t="n">
        <f aca="false">Q!$E$15</f>
        <v>5.935</v>
      </c>
      <c r="E17" s="38" t="n">
        <f aca="false">Q!$P$15</f>
        <v>3.474</v>
      </c>
      <c r="F17" s="38" t="n">
        <f aca="false">Seg!$O$17*(1+Seg!$F$18)*Seg!$F$19</f>
        <v>3.22246550883619</v>
      </c>
      <c r="G17" s="38" t="n">
        <f aca="false">Seg!$E$17+Seg!$F$17</f>
        <v>6.69646550883619</v>
      </c>
      <c r="H17" s="38" t="n">
        <f aca="false">Seg!$G$17*(1+Seg!$H$18)</f>
        <v>7.16251344209196</v>
      </c>
      <c r="I17" s="38" t="n">
        <f aca="false">Seg!$H$17*(1+Seg!$I$18)</f>
        <v>7.61421070299826</v>
      </c>
      <c r="J17" s="38" t="n">
        <f aca="false">Seg!$I$17*(1+Seg!$J$18)</f>
        <v>8.04465753523932</v>
      </c>
      <c r="K17" s="38" t="n">
        <f aca="false">Seg!$J$17*(1+Seg!$K$18)</f>
        <v>8.44689041200128</v>
      </c>
      <c r="L17" s="38" t="n">
        <f aca="false">Seg!$K$17*(1+Seg!$L$18)</f>
        <v>8.86923493260135</v>
      </c>
      <c r="M17" s="38" t="n">
        <f aca="false">Seg!$L$17*(1+Seg!$M$18)</f>
        <v>9.31269667923142</v>
      </c>
      <c r="N17" s="38" t="n">
        <f aca="false">Q!$N$15</f>
        <v>2.811</v>
      </c>
      <c r="O17" s="38" t="n">
        <f aca="false">Q!$O$15</f>
        <v>3.124</v>
      </c>
      <c r="P17" s="8" t="s">
        <v>667</v>
      </c>
    </row>
    <row r="18" customFormat="false" ht="17.15" hidden="false" customHeight="false" outlineLevel="0" collapsed="false">
      <c r="A18" s="0" t="s">
        <v>678</v>
      </c>
      <c r="B18" s="0" t="s">
        <v>52</v>
      </c>
      <c r="E18" s="13" t="n">
        <f aca="false">Seg!$E$17/Seg!$N$17-1</f>
        <v>0.235859124866596</v>
      </c>
      <c r="F18" s="13" t="n">
        <f aca="false">Seg!$O$17/(Q!$F$15+Q!$G$15)-1</f>
        <v>0.0761281433000345</v>
      </c>
      <c r="G18" s="13" t="n">
        <f aca="false">Seg!$G$17/Seg!$D$17-1</f>
        <v>0.128300843948811</v>
      </c>
      <c r="H18" s="13" t="n">
        <f aca="false">Seg!$F$18+(g_ot-Seg!$F$18)*1/4</f>
        <v>0.0695961074750259</v>
      </c>
      <c r="I18" s="13" t="n">
        <f aca="false">Seg!$F$18+(g_ot-Seg!$F$18)*2/4</f>
        <v>0.0630640716500172</v>
      </c>
      <c r="J18" s="13" t="n">
        <f aca="false">Seg!$F$18+(g_ot-Seg!$F$18)*3/4</f>
        <v>0.0565320358250086</v>
      </c>
      <c r="K18" s="13" t="n">
        <f aca="false">Seg!$F$18+(g_ot-Seg!$F$18)*4/4</f>
        <v>0.05</v>
      </c>
      <c r="L18" s="13" t="n">
        <f aca="false">g_ot</f>
        <v>0.05</v>
      </c>
      <c r="M18" s="13" t="n">
        <f aca="false">g_ot</f>
        <v>0.05</v>
      </c>
      <c r="P18" s="8" t="s">
        <v>679</v>
      </c>
    </row>
    <row r="19" customFormat="false" ht="17.15" hidden="false" customHeight="false" outlineLevel="0" collapsed="false">
      <c r="A19" s="0" t="s">
        <v>680</v>
      </c>
      <c r="B19" s="0" t="s">
        <v>57</v>
      </c>
      <c r="F19" s="40" t="n">
        <f aca="false">(g26q3_mid*Q!$O$8/Q!$J$8-Thesis!$F$86-Thesis!$F$90)/(Seg!$O$7*(1+Seg!$F$8)+Seg!$O$9*(1+Seg!$F$10)+Seg!$O$11*(1+Seg!$F$12)+Seg!$O$13*(1+Seg!$F$14)+Seg!$O$15*(1+Seg!$F$16)+Seg!$O$17*(1+Seg!$F$18))</f>
        <v>0.958546670622329</v>
      </c>
      <c r="P19" s="8" t="s">
        <v>681</v>
      </c>
    </row>
    <row r="20" customFormat="false" ht="17.15" hidden="false" customHeight="false" outlineLevel="0" collapsed="false">
      <c r="A20" s="3" t="s">
        <v>682</v>
      </c>
      <c r="B20" s="8" t="s">
        <v>86</v>
      </c>
      <c r="C20" s="38" t="n">
        <f aca="false">Seg!$C$7+Seg!$C$9+Seg!$C$11+Seg!$C$13+Seg!$C$15+Seg!$C$17</f>
        <v>530.403</v>
      </c>
      <c r="D20" s="38" t="n">
        <f aca="false">Seg!$D$7+Seg!$D$9+Seg!$D$11+Seg!$D$13+Seg!$D$15+Seg!$D$17</f>
        <v>588.199</v>
      </c>
      <c r="E20" s="38" t="n">
        <f aca="false">Seg!$E$7+Seg!$E$9+Seg!$E$11+Seg!$E$13+Seg!$E$15+Seg!$E$17</f>
        <v>302.306</v>
      </c>
      <c r="F20" s="38" t="n">
        <f aca="false">Seg!$F$7+Seg!$F$9+Seg!$F$11+Seg!$F$13+Seg!$F$15+Seg!$F$17</f>
        <v>349.048241645537</v>
      </c>
      <c r="G20" s="38" t="n">
        <f aca="false">Seg!$G$7+Seg!$G$9+Seg!$G$11+Seg!$G$13+Seg!$G$15+Seg!$G$17</f>
        <v>651.354241645537</v>
      </c>
      <c r="H20" s="38" t="n">
        <f aca="false">Seg!$H$7+Seg!$H$9+Seg!$H$11+Seg!$H$13+Seg!$H$15+Seg!$H$17</f>
        <v>721.096889521386</v>
      </c>
      <c r="I20" s="38" t="n">
        <f aca="false">Seg!$I$7+Seg!$I$9+Seg!$I$11+Seg!$I$13+Seg!$I$15+Seg!$I$17</f>
        <v>788.529391152531</v>
      </c>
      <c r="J20" s="38" t="n">
        <f aca="false">Seg!$J$7+Seg!$J$9+Seg!$J$11+Seg!$J$13+Seg!$J$15+Seg!$J$17</f>
        <v>851.108405741443</v>
      </c>
      <c r="K20" s="38" t="n">
        <f aca="false">Seg!$K$7+Seg!$K$9+Seg!$K$11+Seg!$K$13+Seg!$K$15+Seg!$K$17</f>
        <v>906.176455431088</v>
      </c>
      <c r="L20" s="38" t="n">
        <f aca="false">Seg!$L$7+Seg!$L$9+Seg!$L$11+Seg!$L$13+Seg!$L$15+Seg!$L$17</f>
        <v>965.093106475589</v>
      </c>
      <c r="M20" s="38" t="n">
        <f aca="false">Seg!$M$7+Seg!$M$9+Seg!$M$11+Seg!$M$13+Seg!$M$15+Seg!$M$17</f>
        <v>1028.14790794689</v>
      </c>
      <c r="N20" s="38" t="n">
        <f aca="false">Seg!$N$7+Seg!$N$9+Seg!$N$11+Seg!$N$13+Seg!$N$15+Seg!$N$17</f>
        <v>263.229</v>
      </c>
      <c r="O20" s="38" t="n">
        <f aca="false">Seg!$O$7+Seg!$O$9+Seg!$O$11+Seg!$O$13+Seg!$O$15+Seg!$O$17</f>
        <v>324.97</v>
      </c>
    </row>
    <row r="21" customFormat="false" ht="17.15" hidden="false" customHeight="false" outlineLevel="0" collapsed="false">
      <c r="A21" s="5" t="s">
        <v>683</v>
      </c>
      <c r="B21" s="0" t="s">
        <v>52</v>
      </c>
      <c r="C21" s="13" t="n">
        <f aca="false">Q!$D$5/(Q!$D$5+Q!$D$6)</f>
        <v>0.730570905519011</v>
      </c>
      <c r="D21" s="13" t="n">
        <f aca="false">Q!$E$5/(Q!$E$5+Q!$E$6)</f>
        <v>0.724763217890544</v>
      </c>
      <c r="E21" s="13" t="n">
        <f aca="false">Q!$P$5/(Q!$P$5+Q!$P$6)</f>
        <v>0.728797972914861</v>
      </c>
      <c r="F21" s="13" t="n">
        <f aca="false">Seg!$O$21</f>
        <v>0.718066283041511</v>
      </c>
      <c r="G21" s="13" t="n">
        <f aca="false">Seg!$G$22/Seg!$G$20</f>
        <v>0.723047066202847</v>
      </c>
      <c r="H21" s="13" t="n">
        <f aca="false">Seg!$G$21</f>
        <v>0.723047066202847</v>
      </c>
      <c r="I21" s="13" t="n">
        <f aca="false">Seg!$G$21</f>
        <v>0.723047066202847</v>
      </c>
      <c r="J21" s="13" t="n">
        <f aca="false">Seg!$G$21</f>
        <v>0.723047066202847</v>
      </c>
      <c r="K21" s="13" t="n">
        <f aca="false">Seg!$G$21</f>
        <v>0.723047066202847</v>
      </c>
      <c r="L21" s="13" t="n">
        <f aca="false">Seg!$G$21</f>
        <v>0.723047066202847</v>
      </c>
      <c r="M21" s="13" t="n">
        <f aca="false">Seg!$G$21</f>
        <v>0.723047066202847</v>
      </c>
      <c r="N21" s="13" t="n">
        <f aca="false">Q!$N$5/(Q!$N$5+Q!$N$6)</f>
        <v>0.733030935041352</v>
      </c>
      <c r="O21" s="13" t="n">
        <f aca="false">Q!$O$5/(Q!$O$5+Q!$O$6)</f>
        <v>0.718066283041511</v>
      </c>
      <c r="P21" s="8" t="s">
        <v>684</v>
      </c>
    </row>
    <row r="22" customFormat="false" ht="17.15" hidden="false" customHeight="false" outlineLevel="0" collapsed="false">
      <c r="A22" s="1" t="s">
        <v>512</v>
      </c>
      <c r="B22" s="8" t="s">
        <v>86</v>
      </c>
      <c r="C22" s="38" t="n">
        <f aca="false">Q!$D$5</f>
        <v>387.497</v>
      </c>
      <c r="D22" s="38" t="n">
        <f aca="false">Q!$E$5</f>
        <v>426.305</v>
      </c>
      <c r="E22" s="38" t="n">
        <f aca="false">Q!$P$5</f>
        <v>220.32</v>
      </c>
      <c r="F22" s="38" t="n">
        <f aca="false">Seg!$F$20*Seg!$F$21</f>
        <v>250.639773480586</v>
      </c>
      <c r="G22" s="38" t="n">
        <f aca="false">Seg!$E$22+Seg!$F$22</f>
        <v>470.959773480586</v>
      </c>
      <c r="H22" s="38" t="n">
        <f aca="false">Seg!$H$20*Seg!$H$21</f>
        <v>521.386990416437</v>
      </c>
      <c r="I22" s="38" t="n">
        <f aca="false">Seg!$I$20*Seg!$I$21</f>
        <v>570.143862887555</v>
      </c>
      <c r="J22" s="38" t="n">
        <f aca="false">Seg!$J$20*Seg!$J$21</f>
        <v>615.391435791933</v>
      </c>
      <c r="K22" s="38" t="n">
        <f aca="false">Seg!$K$20*Seg!$K$21</f>
        <v>655.208227561543</v>
      </c>
      <c r="L22" s="38" t="n">
        <f aca="false">Seg!$L$20*Seg!$L$21</f>
        <v>697.807739249767</v>
      </c>
      <c r="M22" s="38" t="n">
        <f aca="false">Seg!$M$20*Seg!$M$21</f>
        <v>743.399328463592</v>
      </c>
      <c r="N22" s="38" t="n">
        <f aca="false">Q!$N$5</f>
        <v>192.955</v>
      </c>
      <c r="O22" s="38" t="n">
        <f aca="false">Q!$O$5</f>
        <v>233.35</v>
      </c>
      <c r="P22" s="5" t="s">
        <v>685</v>
      </c>
    </row>
    <row r="23" customFormat="false" ht="17.15" hidden="false" customHeight="false" outlineLevel="0" collapsed="false">
      <c r="A23" s="1" t="s">
        <v>515</v>
      </c>
      <c r="B23" s="8" t="s">
        <v>86</v>
      </c>
      <c r="C23" s="38" t="n">
        <f aca="false">Q!$D$6</f>
        <v>142.906</v>
      </c>
      <c r="D23" s="38" t="n">
        <f aca="false">Q!$E$6</f>
        <v>161.894</v>
      </c>
      <c r="E23" s="38" t="n">
        <f aca="false">Q!$P$6</f>
        <v>81.986</v>
      </c>
      <c r="F23" s="38" t="n">
        <f aca="false">Seg!$F$20*(1-Seg!$F$21)</f>
        <v>98.408468164951</v>
      </c>
      <c r="G23" s="38" t="n">
        <f aca="false">Seg!$E$23+Seg!$F$23</f>
        <v>180.394468164951</v>
      </c>
      <c r="H23" s="38" t="n">
        <f aca="false">Seg!$H$20*(1-Seg!$H$21)</f>
        <v>199.709899104949</v>
      </c>
      <c r="I23" s="38" t="n">
        <f aca="false">Seg!$I$20*(1-Seg!$I$21)</f>
        <v>218.385528264976</v>
      </c>
      <c r="J23" s="38" t="n">
        <f aca="false">Seg!$J$20*(1-Seg!$J$21)</f>
        <v>235.71696994951</v>
      </c>
      <c r="K23" s="38" t="n">
        <f aca="false">Seg!$K$20*(1-Seg!$K$21)</f>
        <v>250.968227869545</v>
      </c>
      <c r="L23" s="38" t="n">
        <f aca="false">Seg!$L$20*(1-Seg!$L$21)</f>
        <v>267.285367225822</v>
      </c>
      <c r="M23" s="38" t="n">
        <f aca="false">Seg!$M$20*(1-Seg!$M$21)</f>
        <v>284.748579483295</v>
      </c>
      <c r="N23" s="38" t="n">
        <f aca="false">Q!$N$6</f>
        <v>70.274</v>
      </c>
      <c r="O23" s="38" t="n">
        <f aca="false">Q!$O$6</f>
        <v>91.62</v>
      </c>
      <c r="P23" s="5" t="s">
        <v>686</v>
      </c>
    </row>
    <row r="24" customFormat="false" ht="17.15" hidden="false" customHeight="false" outlineLevel="0" collapsed="false">
      <c r="A24" s="5" t="s">
        <v>687</v>
      </c>
      <c r="B24" s="0" t="s">
        <v>86</v>
      </c>
      <c r="C24" s="38" t="n">
        <f aca="false">Seg!$C$13*Seg!$C$21</f>
        <v>41.0683128828457</v>
      </c>
      <c r="D24" s="38" t="n">
        <f aca="false">Seg!$D$13*Seg!$D$21</f>
        <v>49.7441234599175</v>
      </c>
      <c r="E24" s="38" t="n">
        <f aca="false">Seg!$E$13*Seg!$E$21</f>
        <v>27.0034224924414</v>
      </c>
      <c r="F24" s="38" t="n">
        <f aca="false">Seg!$F$13*Seg!$F$21</f>
        <v>33.1439448330513</v>
      </c>
      <c r="G24" s="38" t="n">
        <f aca="false">Seg!$G$13*Seg!$G$21</f>
        <v>60.164183844083</v>
      </c>
      <c r="H24" s="38" t="n">
        <f aca="false">Seg!$H$13*Seg!$H$21</f>
        <v>72.2301766552629</v>
      </c>
      <c r="I24" s="38" t="n">
        <f aca="false">Seg!$I$13*Seg!$I$21</f>
        <v>84.2950764463991</v>
      </c>
      <c r="J24" s="38" t="n">
        <f aca="false">Seg!$J$13*Seg!$J$21</f>
        <v>95.5499047729386</v>
      </c>
      <c r="K24" s="38" t="n">
        <f aca="false">Seg!$K$13*Seg!$K$21</f>
        <v>105.104895250232</v>
      </c>
      <c r="L24" s="38" t="n">
        <f aca="false">Seg!$L$13*Seg!$L$21</f>
        <v>115.615384775256</v>
      </c>
      <c r="M24" s="38" t="n">
        <f aca="false">Seg!$M$13*Seg!$M$21</f>
        <v>127.176923252781</v>
      </c>
      <c r="N24" s="38" t="n">
        <f aca="false">Seg!$N$13*Seg!$N$21</f>
        <v>21.7087111412496</v>
      </c>
      <c r="O24" s="38" t="n">
        <f aca="false">Seg!$O$13*Seg!$O$21</f>
        <v>28.0189463642798</v>
      </c>
      <c r="P24" s="5" t="s">
        <v>688</v>
      </c>
    </row>
    <row r="25" customFormat="false" ht="15" hidden="false" customHeight="false" outlineLevel="0" collapsed="false">
      <c r="A25" s="5" t="s">
        <v>689</v>
      </c>
      <c r="B25" s="0" t="s">
        <v>86</v>
      </c>
      <c r="C25" s="38" t="n">
        <f aca="false">Seg!$C$13-Seg!$C$24</f>
        <v>15.1456871171543</v>
      </c>
      <c r="D25" s="38" t="n">
        <f aca="false">Seg!$D$13-Seg!$D$24</f>
        <v>18.8908765400825</v>
      </c>
      <c r="E25" s="38" t="n">
        <f aca="false">Seg!$E$13-Seg!$E$24</f>
        <v>10.0485775075586</v>
      </c>
      <c r="F25" s="38" t="n">
        <f aca="false">Seg!$F$13-Seg!$F$24</f>
        <v>13.0132771613635</v>
      </c>
      <c r="G25" s="38" t="n">
        <f aca="false">Seg!$G$13-Seg!$G$24</f>
        <v>23.0450381503318</v>
      </c>
      <c r="H25" s="38" t="n">
        <f aca="false">Seg!$H$13-Seg!$H$24</f>
        <v>27.6667457326347</v>
      </c>
      <c r="I25" s="38" t="n">
        <f aca="false">Seg!$I$13-Seg!$I$24</f>
        <v>32.2880346490971</v>
      </c>
      <c r="J25" s="38" t="n">
        <f aca="false">Seg!$J$13-Seg!$J$24</f>
        <v>36.5990371690132</v>
      </c>
      <c r="K25" s="38" t="n">
        <f aca="false">Seg!$K$13-Seg!$K$24</f>
        <v>40.2589408859145</v>
      </c>
      <c r="L25" s="38" t="n">
        <f aca="false">Seg!$L$13-Seg!$L$24</f>
        <v>44.2848349745059</v>
      </c>
      <c r="M25" s="38" t="n">
        <f aca="false">Seg!$M$13-Seg!$M$24</f>
        <v>48.7133184719565</v>
      </c>
      <c r="N25" s="38" t="n">
        <f aca="false">Seg!$N$13-Seg!$N$24</f>
        <v>7.90628885875037</v>
      </c>
      <c r="O25" s="38" t="n">
        <f aca="false">Seg!$O$13-Seg!$O$24</f>
        <v>11.0010536357202</v>
      </c>
    </row>
    <row r="26" customFormat="false" ht="17.15" hidden="false" customHeight="false" outlineLevel="0" collapsed="false">
      <c r="A26" s="1" t="s">
        <v>690</v>
      </c>
    </row>
    <row r="27" customFormat="false" ht="17.15" hidden="false" customHeight="false" outlineLevel="0" collapsed="false">
      <c r="A27" s="0" t="s">
        <v>691</v>
      </c>
      <c r="B27" s="0" t="s">
        <v>86</v>
      </c>
      <c r="C27" s="38" t="n">
        <f aca="false">Thesis!$C$26</f>
        <v>2.32100535697364</v>
      </c>
      <c r="D27" s="38" t="n">
        <f aca="false">Thesis!$D$26</f>
        <v>8.70377008865116</v>
      </c>
      <c r="E27" s="38" t="n">
        <f aca="false">Thesis!$E$26</f>
        <v>8.51035297557002</v>
      </c>
      <c r="F27" s="38" t="n">
        <f aca="false">Thesis!$F$26</f>
        <v>17.7706326212121</v>
      </c>
      <c r="G27" s="38" t="n">
        <f aca="false">Thesis!$G$26</f>
        <v>26.2809855967821</v>
      </c>
      <c r="H27" s="38" t="n">
        <f aca="false">Thesis!$H$26</f>
        <v>83.0838740066237</v>
      </c>
      <c r="I27" s="38" t="n">
        <f aca="false">Thesis!$I$26</f>
        <v>148.076291961995</v>
      </c>
      <c r="J27" s="38" t="n">
        <f aca="false">Thesis!$J$26</f>
        <v>213.357841875822</v>
      </c>
      <c r="K27" s="38" t="n">
        <f aca="false">Thesis!$K$26</f>
        <v>269.045375153221</v>
      </c>
      <c r="L27" s="38" t="n">
        <f aca="false">Thesis!$L$26</f>
        <v>305.631872447328</v>
      </c>
      <c r="M27" s="38" t="n">
        <f aca="false">Thesis!$M$26</f>
        <v>323.07028840797</v>
      </c>
      <c r="N27" s="38" t="n">
        <f aca="false">Thesis!$N$26</f>
        <v>3.04631953102791</v>
      </c>
      <c r="O27" s="38" t="n">
        <f aca="false">Thesis!$O$26</f>
        <v>5.65745055762326</v>
      </c>
      <c r="P27" s="8" t="s">
        <v>692</v>
      </c>
    </row>
    <row r="28" customFormat="false" ht="17.15" hidden="false" customHeight="false" outlineLevel="0" collapsed="false">
      <c r="A28" s="0" t="s">
        <v>693</v>
      </c>
      <c r="B28" s="0" t="s">
        <v>86</v>
      </c>
      <c r="C28" s="38" t="n">
        <f aca="false">Thesis!$C$30</f>
        <v>105.234994643026</v>
      </c>
      <c r="D28" s="38" t="n">
        <f aca="false">Thesis!$D$30</f>
        <v>120.021229911349</v>
      </c>
      <c r="E28" s="38" t="n">
        <f aca="false">Thesis!$E$30</f>
        <v>71.30864702443</v>
      </c>
      <c r="F28" s="38" t="n">
        <f aca="false">Thesis!$F$30</f>
        <v>71.7692997942464</v>
      </c>
      <c r="G28" s="38" t="n">
        <f aca="false">Thesis!$G$30</f>
        <v>143.077946818676</v>
      </c>
      <c r="H28" s="38" t="n">
        <f aca="false">Thesis!$H$30</f>
        <v>161.017077079203</v>
      </c>
      <c r="I28" s="38" t="n">
        <f aca="false">Thesis!$I$30</f>
        <v>178.769759521457</v>
      </c>
      <c r="J28" s="38" t="n">
        <f aca="false">Thesis!$J$30</f>
        <v>195.775538045907</v>
      </c>
      <c r="K28" s="38" t="n">
        <f aca="false">Thesis!$K$30</f>
        <v>211.43758108958</v>
      </c>
      <c r="L28" s="38" t="n">
        <f aca="false">Thesis!$L$30</f>
        <v>228.352587576746</v>
      </c>
      <c r="M28" s="38" t="n">
        <f aca="false">Thesis!$M$30</f>
        <v>246.620794582886</v>
      </c>
      <c r="N28" s="38" t="n">
        <f aca="false">Thesis!$N$30</f>
        <v>57.0936804689721</v>
      </c>
      <c r="O28" s="38" t="n">
        <f aca="false">Thesis!$O$30</f>
        <v>62.9275494423768</v>
      </c>
      <c r="P28" s="8" t="s">
        <v>692</v>
      </c>
    </row>
    <row r="29" customFormat="false" ht="17.15" hidden="false" customHeight="false" outlineLevel="0" collapsed="false">
      <c r="A29" s="1" t="s">
        <v>516</v>
      </c>
      <c r="B29" s="8" t="s">
        <v>86</v>
      </c>
      <c r="C29" s="38" t="n">
        <f aca="false">Q!$D$7</f>
        <v>107.556</v>
      </c>
      <c r="D29" s="38" t="n">
        <f aca="false">Q!$E$7</f>
        <v>128.725</v>
      </c>
      <c r="E29" s="38" t="n">
        <f aca="false">Q!$P$7</f>
        <v>79.819</v>
      </c>
      <c r="F29" s="38" t="n">
        <f aca="false">Seg!$F$27+Seg!$F$28</f>
        <v>89.5399324154585</v>
      </c>
      <c r="G29" s="38" t="n">
        <f aca="false">Seg!$G$27+Seg!$G$28</f>
        <v>169.358932415459</v>
      </c>
      <c r="H29" s="38" t="n">
        <f aca="false">Seg!$H$27+Seg!$H$28</f>
        <v>244.100951085827</v>
      </c>
      <c r="I29" s="38" t="n">
        <f aca="false">Seg!$I$27+Seg!$I$28</f>
        <v>326.846051483453</v>
      </c>
      <c r="J29" s="38" t="n">
        <f aca="false">Seg!$J$27+Seg!$J$28</f>
        <v>409.133379921729</v>
      </c>
      <c r="K29" s="38" t="n">
        <f aca="false">Seg!$K$27+Seg!$K$28</f>
        <v>480.482956242801</v>
      </c>
      <c r="L29" s="38" t="n">
        <f aca="false">Seg!$L$27+Seg!$L$28</f>
        <v>533.984460024075</v>
      </c>
      <c r="M29" s="38" t="n">
        <f aca="false">Seg!$M$27+Seg!$M$28</f>
        <v>569.691082990856</v>
      </c>
      <c r="N29" s="38" t="n">
        <f aca="false">Q!$N$7</f>
        <v>60.14</v>
      </c>
      <c r="O29" s="38" t="n">
        <f aca="false">Q!$O$7</f>
        <v>68.585</v>
      </c>
      <c r="P29" s="5" t="s">
        <v>694</v>
      </c>
    </row>
    <row r="30" customFormat="false" ht="15" hidden="false" customHeight="false" outlineLevel="0" collapsed="false">
      <c r="A30" s="3" t="s">
        <v>695</v>
      </c>
      <c r="B30" s="8" t="s">
        <v>86</v>
      </c>
      <c r="C30" s="38" t="n">
        <f aca="false">Q!$D$8</f>
        <v>637.959</v>
      </c>
      <c r="D30" s="38" t="n">
        <f aca="false">Q!$E$8</f>
        <v>716.924</v>
      </c>
      <c r="E30" s="38" t="n">
        <f aca="false">Q!$P$8</f>
        <v>382.125</v>
      </c>
      <c r="F30" s="38" t="n">
        <f aca="false">Seg!$F$20+Seg!$F$29</f>
        <v>438.588174060996</v>
      </c>
      <c r="G30" s="38" t="n">
        <f aca="false">Seg!$G$20+Seg!$G$29</f>
        <v>820.713174060996</v>
      </c>
      <c r="H30" s="38" t="n">
        <f aca="false">Seg!$H$20+Seg!$H$29</f>
        <v>965.197840607213</v>
      </c>
      <c r="I30" s="38" t="n">
        <f aca="false">Seg!$I$20+Seg!$I$29</f>
        <v>1115.37544263598</v>
      </c>
      <c r="J30" s="38" t="n">
        <f aca="false">Seg!$J$20+Seg!$J$29</f>
        <v>1260.24178566317</v>
      </c>
      <c r="K30" s="38" t="n">
        <f aca="false">Seg!$K$20+Seg!$K$29</f>
        <v>1386.65941167389</v>
      </c>
      <c r="L30" s="38" t="n">
        <f aca="false">Seg!$L$20+Seg!$L$29</f>
        <v>1499.07756649966</v>
      </c>
      <c r="M30" s="38" t="n">
        <f aca="false">Seg!$M$20+Seg!$M$29</f>
        <v>1597.83899093774</v>
      </c>
      <c r="N30" s="38" t="n">
        <f aca="false">Q!$N$8</f>
        <v>323.369</v>
      </c>
      <c r="O30" s="38" t="n">
        <f aca="false">Q!$O$8</f>
        <v>393.555</v>
      </c>
    </row>
    <row r="31" customFormat="false" ht="17.15" hidden="false" customHeight="false" outlineLevel="0" collapsed="false">
      <c r="A31" s="24" t="s">
        <v>696</v>
      </c>
      <c r="B31" s="25" t="s">
        <v>86</v>
      </c>
      <c r="C31" s="41" t="n">
        <f aca="false">Seg!$C$20-(Seg!$C$22+Seg!$C$23)</f>
        <v>0</v>
      </c>
      <c r="D31" s="41" t="n">
        <f aca="false">Seg!$D$20-(Seg!$D$22+Seg!$D$23)</f>
        <v>0</v>
      </c>
      <c r="E31" s="41" t="n">
        <f aca="false">Seg!$E$20-(Seg!$E$22+Seg!$E$23)</f>
        <v>0</v>
      </c>
      <c r="F31" s="41" t="n">
        <f aca="false">Seg!$F$20-(Seg!$F$22+Seg!$F$23)</f>
        <v>0</v>
      </c>
      <c r="G31" s="41" t="n">
        <f aca="false">Seg!$G$20-(Seg!$G$22+Seg!$G$23)</f>
        <v>0</v>
      </c>
      <c r="H31" s="41" t="n">
        <f aca="false">Seg!$H$20-(Seg!$H$22+Seg!$H$23)</f>
        <v>0</v>
      </c>
      <c r="I31" s="41" t="n">
        <f aca="false">Seg!$I$20-(Seg!$I$22+Seg!$I$23)</f>
        <v>0</v>
      </c>
      <c r="J31" s="41" t="n">
        <f aca="false">Seg!$J$20-(Seg!$J$22+Seg!$J$23)</f>
        <v>0</v>
      </c>
      <c r="K31" s="41" t="n">
        <f aca="false">Seg!$K$20-(Seg!$K$22+Seg!$K$23)</f>
        <v>0</v>
      </c>
      <c r="L31" s="41" t="n">
        <f aca="false">Seg!$L$20-(Seg!$L$22+Seg!$L$23)</f>
        <v>0</v>
      </c>
      <c r="M31" s="41" t="n">
        <f aca="false">Seg!$M$20-(Seg!$M$22+Seg!$M$23)</f>
        <v>0</v>
      </c>
      <c r="N31" s="41" t="n">
        <f aca="false">Seg!$N$20-(Seg!$N$22+Seg!$N$23)</f>
        <v>0</v>
      </c>
      <c r="O31" s="41" t="n">
        <f aca="false">Seg!$O$20-(Seg!$O$22+Seg!$O$23)</f>
        <v>0</v>
      </c>
    </row>
    <row r="32" customFormat="false" ht="17.15" hidden="false" customHeight="false" outlineLevel="0" collapsed="false">
      <c r="A32" s="24" t="s">
        <v>697</v>
      </c>
      <c r="B32" s="25" t="s">
        <v>86</v>
      </c>
      <c r="C32" s="41" t="n">
        <f aca="false">Seg!$C$27+Seg!$C$28-Seg!$C$29</f>
        <v>0</v>
      </c>
      <c r="D32" s="41" t="n">
        <f aca="false">Seg!$D$27+Seg!$D$28-Seg!$D$29</f>
        <v>0</v>
      </c>
      <c r="E32" s="41" t="n">
        <f aca="false">Seg!$E$27+Seg!$E$28-Seg!$E$29</f>
        <v>0</v>
      </c>
      <c r="F32" s="41" t="n">
        <f aca="false">Seg!$F$27+Seg!$F$28-Seg!$F$29</f>
        <v>0</v>
      </c>
      <c r="G32" s="41" t="n">
        <f aca="false">Seg!$G$27+Seg!$G$28-Seg!$G$29</f>
        <v>0</v>
      </c>
      <c r="H32" s="41" t="n">
        <f aca="false">Seg!$H$27+Seg!$H$28-Seg!$H$29</f>
        <v>0</v>
      </c>
      <c r="I32" s="41" t="n">
        <f aca="false">Seg!$I$27+Seg!$I$28-Seg!$I$29</f>
        <v>0</v>
      </c>
      <c r="J32" s="41" t="n">
        <f aca="false">Seg!$J$27+Seg!$J$28-Seg!$J$29</f>
        <v>0</v>
      </c>
      <c r="K32" s="41" t="n">
        <f aca="false">Seg!$K$27+Seg!$K$28-Seg!$K$29</f>
        <v>0</v>
      </c>
      <c r="L32" s="41" t="n">
        <f aca="false">Seg!$L$27+Seg!$L$28-Seg!$L$29</f>
        <v>0</v>
      </c>
      <c r="M32" s="41" t="n">
        <f aca="false">Seg!$M$27+Seg!$M$28-Seg!$M$29</f>
        <v>0</v>
      </c>
      <c r="N32" s="41" t="n">
        <f aca="false">Seg!$N$27+Seg!$N$28-Seg!$N$29</f>
        <v>0</v>
      </c>
      <c r="O32" s="41" t="n">
        <f aca="false">Seg!$O$27+Seg!$O$28-Seg!$O$29</f>
        <v>0</v>
      </c>
    </row>
    <row r="33" customFormat="false" ht="17.15" hidden="false" customHeight="false" outlineLevel="0" collapsed="false">
      <c r="A33" s="24" t="s">
        <v>698</v>
      </c>
      <c r="B33" s="25" t="s">
        <v>86</v>
      </c>
      <c r="C33" s="41" t="n">
        <f aca="false">Seg!$C$22+Seg!$C$23+Seg!$C$29-Seg!$C$30</f>
        <v>0</v>
      </c>
      <c r="D33" s="41" t="n">
        <f aca="false">Seg!$D$22+Seg!$D$23+Seg!$D$29-Seg!$D$30</f>
        <v>0</v>
      </c>
      <c r="E33" s="41" t="n">
        <f aca="false">Seg!$E$22+Seg!$E$23+Seg!$E$29-Seg!$E$30</f>
        <v>0</v>
      </c>
      <c r="F33" s="41" t="n">
        <f aca="false">Seg!$F$22+Seg!$F$23+Seg!$F$29-Seg!$F$30</f>
        <v>0</v>
      </c>
      <c r="G33" s="41" t="n">
        <f aca="false">Seg!$G$22+Seg!$G$23+Seg!$G$29-Seg!$G$30</f>
        <v>0</v>
      </c>
      <c r="H33" s="41" t="n">
        <f aca="false">Seg!$H$22+Seg!$H$23+Seg!$H$29-Seg!$H$30</f>
        <v>0</v>
      </c>
      <c r="I33" s="41" t="n">
        <f aca="false">Seg!$I$22+Seg!$I$23+Seg!$I$29-Seg!$I$30</f>
        <v>0</v>
      </c>
      <c r="J33" s="41" t="n">
        <f aca="false">Seg!$J$22+Seg!$J$23+Seg!$J$29-Seg!$J$30</f>
        <v>0</v>
      </c>
      <c r="K33" s="41" t="n">
        <f aca="false">Seg!$K$22+Seg!$K$23+Seg!$K$29-Seg!$K$30</f>
        <v>0</v>
      </c>
      <c r="L33" s="41" t="n">
        <f aca="false">Seg!$L$22+Seg!$L$23+Seg!$L$29-Seg!$L$30</f>
        <v>0</v>
      </c>
      <c r="M33" s="41" t="n">
        <f aca="false">Seg!$M$22+Seg!$M$23+Seg!$M$29-Seg!$M$30</f>
        <v>0</v>
      </c>
      <c r="N33" s="41" t="n">
        <f aca="false">Seg!$N$22+Seg!$N$23+Seg!$N$29-Seg!$N$30</f>
        <v>0</v>
      </c>
      <c r="O33" s="41" t="n">
        <f aca="false">Seg!$O$22+Seg!$O$23+Seg!$O$29-Seg!$O$30</f>
        <v>0</v>
      </c>
    </row>
    <row r="34" customFormat="false" ht="15" hidden="false" customHeight="false" outlineLevel="0" collapsed="false">
      <c r="A34" s="5" t="s">
        <v>699</v>
      </c>
      <c r="B34" s="0" t="s">
        <v>52</v>
      </c>
      <c r="G34" s="13" t="n">
        <f aca="false">Seg!$G$30/Seg!$D$30-1</f>
        <v>0.144770120767328</v>
      </c>
      <c r="H34" s="13" t="n">
        <f aca="false">Seg!$H$30/Seg!$G$30-1</f>
        <v>0.176047699869722</v>
      </c>
      <c r="I34" s="13" t="n">
        <f aca="false">Seg!$I$30/Seg!$H$30-1</f>
        <v>0.155592559069852</v>
      </c>
      <c r="J34" s="13" t="n">
        <f aca="false">Seg!$J$30/Seg!$I$30-1</f>
        <v>0.129881237733568</v>
      </c>
      <c r="K34" s="13" t="n">
        <f aca="false">Seg!$K$30/Seg!$J$30-1</f>
        <v>0.1003121999674</v>
      </c>
      <c r="L34" s="13" t="n">
        <f aca="false">Seg!$L$30/Seg!$K$30-1</f>
        <v>0.0810712088919303</v>
      </c>
      <c r="M34" s="13" t="n">
        <f aca="false">Seg!$M$30/Seg!$L$30-1</f>
        <v>0.0658814638048957</v>
      </c>
    </row>
    <row r="35" customFormat="false" ht="17.15" hidden="false" customHeight="false" outlineLevel="0" collapsed="false">
      <c r="A35" s="0" t="s">
        <v>700</v>
      </c>
      <c r="B35" s="0" t="s">
        <v>52</v>
      </c>
      <c r="C35" s="13" t="n">
        <f aca="false">Seg!$C$29/Seg!$C$30</f>
        <v>0.168593906504964</v>
      </c>
      <c r="D35" s="13" t="n">
        <f aca="false">Seg!$D$29/Seg!$D$30</f>
        <v>0.179551807444025</v>
      </c>
      <c r="E35" s="13" t="n">
        <f aca="false">Seg!$E$29/Seg!$E$30</f>
        <v>0.208881910369643</v>
      </c>
      <c r="F35" s="13" t="n">
        <f aca="false">Seg!$F$29/Seg!$F$30</f>
        <v>0.204154917325714</v>
      </c>
      <c r="G35" s="13" t="n">
        <f aca="false">Seg!$G$29/Seg!$G$30</f>
        <v>0.20635581073647</v>
      </c>
      <c r="H35" s="13" t="n">
        <f aca="false">Seg!$H$29/Seg!$H$30</f>
        <v>0.252902504353161</v>
      </c>
      <c r="I35" s="13" t="n">
        <f aca="false">Seg!$I$29/Seg!$I$30</f>
        <v>0.293036800873984</v>
      </c>
      <c r="J35" s="13" t="n">
        <f aca="false">Seg!$J$29/Seg!$J$30</f>
        <v>0.324646734123669</v>
      </c>
      <c r="K35" s="13" t="n">
        <f aca="false">Seg!$K$29/Seg!$K$30</f>
        <v>0.346503944802705</v>
      </c>
      <c r="L35" s="13" t="n">
        <f aca="false">Seg!$L$29/Seg!$L$30</f>
        <v>0.356208692570141</v>
      </c>
      <c r="M35" s="13" t="n">
        <f aca="false">Seg!$M$29/Seg!$M$30</f>
        <v>0.356538478671443</v>
      </c>
      <c r="N35" s="13" t="n">
        <f aca="false">Seg!$N$29/Seg!$N$30</f>
        <v>0.185979484737251</v>
      </c>
      <c r="O35" s="13" t="n">
        <f aca="false">Seg!$O$29/Seg!$O$30</f>
        <v>0.174270432341096</v>
      </c>
    </row>
    <row r="36" customFormat="false" ht="17.15" hidden="false" customHeight="false" outlineLevel="0" collapsed="false">
      <c r="A36" s="0" t="s">
        <v>701</v>
      </c>
      <c r="B36" s="0" t="s">
        <v>52</v>
      </c>
      <c r="C36" s="13" t="n">
        <f aca="false">Seg!$C$27/Seg!$C$29</f>
        <v>0.0215795060896058</v>
      </c>
      <c r="D36" s="13" t="n">
        <f aca="false">Seg!$D$27/Seg!$D$29</f>
        <v>0.0676152269462122</v>
      </c>
      <c r="E36" s="13" t="n">
        <f aca="false">Seg!$E$27/Seg!$E$29</f>
        <v>0.106620641395783</v>
      </c>
      <c r="F36" s="13" t="n">
        <f aca="false">Seg!$F$27/Seg!$F$29</f>
        <v>0.198466004405249</v>
      </c>
      <c r="G36" s="13" t="n">
        <f aca="false">Seg!$G$27/Seg!$G$29</f>
        <v>0.155179211524029</v>
      </c>
      <c r="H36" s="13" t="n">
        <f aca="false">Seg!$H$27/Seg!$H$29</f>
        <v>0.340366859027153</v>
      </c>
      <c r="I36" s="13" t="n">
        <f aca="false">Seg!$I$27/Seg!$I$29</f>
        <v>0.453045986910116</v>
      </c>
      <c r="J36" s="13" t="n">
        <f aca="false">Seg!$J$27/Seg!$J$29</f>
        <v>0.521487251704174</v>
      </c>
      <c r="K36" s="13" t="n">
        <f aca="false">Seg!$K$27/Seg!$K$29</f>
        <v>0.559947801805618</v>
      </c>
      <c r="L36" s="13" t="n">
        <f aca="false">Seg!$L$27/Seg!$L$29</f>
        <v>0.572360986747721</v>
      </c>
      <c r="M36" s="13" t="n">
        <f aca="false">Seg!$M$27/Seg!$M$29</f>
        <v>0.567097323538686</v>
      </c>
      <c r="N36" s="13" t="n">
        <f aca="false">Seg!$N$27/Seg!$N$29</f>
        <v>0.0506537999838362</v>
      </c>
      <c r="O36" s="13" t="n">
        <f aca="false">Seg!$O$27/Seg!$O$29</f>
        <v>0.0824881615167056</v>
      </c>
    </row>
    <row r="39" customFormat="false" ht="19.4" hidden="false" customHeight="false" outlineLevel="0" collapsed="false">
      <c r="A39" s="31" t="s">
        <v>702</v>
      </c>
    </row>
    <row r="40" customFormat="false" ht="17.15" hidden="false" customHeight="false" outlineLevel="0" collapsed="false">
      <c r="A40" s="6" t="s">
        <v>16</v>
      </c>
      <c r="B40" s="6" t="s">
        <v>17</v>
      </c>
      <c r="C40" s="20" t="s">
        <v>497</v>
      </c>
      <c r="D40" s="20" t="s">
        <v>498</v>
      </c>
      <c r="E40" s="20" t="s">
        <v>580</v>
      </c>
      <c r="F40" s="20" t="s">
        <v>581</v>
      </c>
      <c r="G40" s="20" t="s">
        <v>582</v>
      </c>
      <c r="H40" s="20" t="s">
        <v>583</v>
      </c>
      <c r="I40" s="20" t="s">
        <v>584</v>
      </c>
      <c r="J40" s="20" t="s">
        <v>585</v>
      </c>
      <c r="K40" s="20" t="s">
        <v>586</v>
      </c>
      <c r="L40" s="20" t="s">
        <v>587</v>
      </c>
      <c r="M40" s="20" t="s">
        <v>588</v>
      </c>
      <c r="N40" s="20" t="s">
        <v>589</v>
      </c>
      <c r="O40" s="20" t="s">
        <v>590</v>
      </c>
      <c r="P40" s="6" t="s">
        <v>23</v>
      </c>
      <c r="R40" s="20" t="n">
        <v>2023</v>
      </c>
      <c r="S40" s="20" t="n">
        <v>2024</v>
      </c>
      <c r="T40" s="20" t="n">
        <v>2025</v>
      </c>
      <c r="U40" s="20" t="n">
        <v>2026</v>
      </c>
      <c r="V40" s="20" t="n">
        <v>2027</v>
      </c>
      <c r="W40" s="20" t="n">
        <v>2028</v>
      </c>
      <c r="X40" s="20" t="n">
        <v>2029</v>
      </c>
      <c r="Y40" s="20" t="n">
        <v>2030</v>
      </c>
      <c r="Z40" s="20" t="n">
        <v>2031</v>
      </c>
      <c r="AA40" s="20" t="n">
        <v>2032</v>
      </c>
    </row>
    <row r="41" customFormat="false" ht="17.15" hidden="false" customHeight="false" outlineLevel="0" collapsed="false">
      <c r="A41" s="1" t="s">
        <v>666</v>
      </c>
    </row>
    <row r="42" customFormat="false" ht="17.15" hidden="false" customHeight="false" outlineLevel="0" collapsed="false">
      <c r="A42" s="0" t="s">
        <v>519</v>
      </c>
      <c r="B42" s="0" t="s">
        <v>86</v>
      </c>
      <c r="C42" s="38" t="n">
        <f aca="false">Q!$D$10</f>
        <v>247.029</v>
      </c>
      <c r="D42" s="38" t="n">
        <f aca="false">Q!$E$10</f>
        <v>269.287</v>
      </c>
      <c r="E42" s="38" t="n">
        <f aca="false">Q!$P$10</f>
        <v>134.686</v>
      </c>
      <c r="F42" s="38" t="n">
        <f aca="false">Seg!$O$42*(1+Seg!$F$43)*Seg!$F$54</f>
        <v>158.293876822267</v>
      </c>
      <c r="G42" s="38" t="n">
        <f aca="false">Seg!$E$42+Seg!$F$42</f>
        <v>292.979876822267</v>
      </c>
      <c r="H42" s="38" t="n">
        <f aca="false">Seg!$G$42*(1+Seg!$H$43)</f>
        <v>318.184543087396</v>
      </c>
      <c r="I42" s="38" t="n">
        <f aca="false">Seg!$H$42*(1+Seg!$I$43)</f>
        <v>341.736278761793</v>
      </c>
      <c r="J42" s="38" t="n">
        <f aca="false">Seg!$I$42*(1+Seg!$J$43)</f>
        <v>362.927192787048</v>
      </c>
      <c r="K42" s="38" t="n">
        <f aca="false">Seg!$J$42*(1+Seg!$K$43)</f>
        <v>381.0735524264</v>
      </c>
      <c r="L42" s="38" t="n">
        <f aca="false">Seg!$K$42*(1+Seg!$L$43)</f>
        <v>400.12723004772</v>
      </c>
      <c r="M42" s="38" t="n">
        <f aca="false">Seg!$L$42*(1+Seg!$M$43)</f>
        <v>420.133591550106</v>
      </c>
      <c r="N42" s="38" t="n">
        <f aca="false">Q!$N$10</f>
        <v>118.892</v>
      </c>
      <c r="O42" s="38" t="n">
        <f aca="false">Q!$O$10</f>
        <v>150.395</v>
      </c>
      <c r="P42" s="8" t="s">
        <v>667</v>
      </c>
    </row>
    <row r="43" customFormat="false" ht="17.15" hidden="false" customHeight="false" outlineLevel="0" collapsed="false">
      <c r="A43" s="0" t="s">
        <v>668</v>
      </c>
      <c r="B43" s="0" t="s">
        <v>52</v>
      </c>
      <c r="E43" s="13" t="n">
        <f aca="false">Seg!$E$42/Seg!$N$42-1</f>
        <v>0.132843252699929</v>
      </c>
      <c r="F43" s="13" t="n">
        <f aca="false">Seg!$O$42/(Q!$F$10+Q!$G$10)-1</f>
        <v>0.0980382135842941</v>
      </c>
      <c r="G43" s="13" t="n">
        <f aca="false">Seg!$G$42/Seg!$D$42-1</f>
        <v>0.0879837378791657</v>
      </c>
      <c r="H43" s="13" t="n">
        <f aca="false">Seg!$F$43+(g_os-Seg!$F$43)*1/4</f>
        <v>0.0860286601882206</v>
      </c>
      <c r="I43" s="13" t="n">
        <f aca="false">Seg!$F$43+(g_os-Seg!$F$43)*2/4</f>
        <v>0.074019106792147</v>
      </c>
      <c r="J43" s="13" t="n">
        <f aca="false">Seg!$F$43+(g_os-Seg!$F$43)*3/4</f>
        <v>0.0620095533960735</v>
      </c>
      <c r="K43" s="13" t="n">
        <f aca="false">Seg!$F$43+(g_os-Seg!$F$43)*4/4</f>
        <v>0.05</v>
      </c>
      <c r="L43" s="13" t="n">
        <f aca="false">g_os</f>
        <v>0.05</v>
      </c>
      <c r="M43" s="13" t="n">
        <f aca="false">g_os</f>
        <v>0.05</v>
      </c>
      <c r="P43" s="8" t="s">
        <v>669</v>
      </c>
    </row>
    <row r="44" customFormat="false" ht="17.15" hidden="false" customHeight="false" outlineLevel="0" collapsed="false">
      <c r="A44" s="0" t="s">
        <v>520</v>
      </c>
      <c r="B44" s="0" t="s">
        <v>86</v>
      </c>
      <c r="C44" s="38" t="n">
        <f aca="false">Q!$D$11</f>
        <v>21.215</v>
      </c>
      <c r="D44" s="38" t="n">
        <f aca="false">Q!$E$11</f>
        <v>22.561</v>
      </c>
      <c r="E44" s="38" t="n">
        <f aca="false">Q!$P$11</f>
        <v>11.579</v>
      </c>
      <c r="F44" s="38" t="n">
        <f aca="false">Seg!$O$44*(1+Seg!$F$45)*Seg!$F$54</f>
        <v>11.5938724610325</v>
      </c>
      <c r="G44" s="38" t="n">
        <f aca="false">Seg!$E$44+Seg!$F$44</f>
        <v>23.1728724610325</v>
      </c>
      <c r="H44" s="38" t="n">
        <f aca="false">Seg!$G$44*(1+Seg!$H$45)</f>
        <v>24.353392759506</v>
      </c>
      <c r="I44" s="38" t="n">
        <f aca="false">Seg!$H$44*(1+Seg!$I$45)</f>
        <v>25.4240338872015</v>
      </c>
      <c r="J44" s="38" t="n">
        <f aca="false">Seg!$I$44*(1+Seg!$J$45)</f>
        <v>26.3642491017174</v>
      </c>
      <c r="K44" s="38" t="n">
        <f aca="false">Seg!$J$44*(1+Seg!$K$45)</f>
        <v>27.155176574769</v>
      </c>
      <c r="L44" s="38" t="n">
        <f aca="false">Seg!$K$44*(1+Seg!$L$45)</f>
        <v>27.969831872012</v>
      </c>
      <c r="M44" s="38" t="n">
        <f aca="false">Seg!$L$44*(1+Seg!$M$45)</f>
        <v>28.8089268281724</v>
      </c>
      <c r="N44" s="38" t="n">
        <f aca="false">Q!$N$11</f>
        <v>11.128</v>
      </c>
      <c r="O44" s="38" t="n">
        <f aca="false">Q!$O$11</f>
        <v>11.433</v>
      </c>
      <c r="P44" s="8" t="s">
        <v>667</v>
      </c>
    </row>
    <row r="45" customFormat="false" ht="17.15" hidden="false" customHeight="false" outlineLevel="0" collapsed="false">
      <c r="A45" s="0" t="s">
        <v>670</v>
      </c>
      <c r="B45" s="0" t="s">
        <v>52</v>
      </c>
      <c r="E45" s="13" t="n">
        <f aca="false">Seg!$E$44/Seg!$N$44-1</f>
        <v>0.0405283968368082</v>
      </c>
      <c r="F45" s="13" t="n">
        <f aca="false">Seg!$O$44/(Q!$F$11+Q!$G$11)-1</f>
        <v>0.0579254187100955</v>
      </c>
      <c r="G45" s="13" t="n">
        <f aca="false">Seg!$G$44/Seg!$D$44-1</f>
        <v>0.0271208040881397</v>
      </c>
      <c r="H45" s="13" t="n">
        <f aca="false">Seg!$F$45+(g_ps-Seg!$F$45)*1/4</f>
        <v>0.0509440640325716</v>
      </c>
      <c r="I45" s="13" t="n">
        <f aca="false">Seg!$F$45+(g_ps-Seg!$F$45)*2/4</f>
        <v>0.0439627093550477</v>
      </c>
      <c r="J45" s="13" t="n">
        <f aca="false">Seg!$F$45+(g_ps-Seg!$F$45)*3/4</f>
        <v>0.0369813546775239</v>
      </c>
      <c r="K45" s="13" t="n">
        <f aca="false">Seg!$F$45+(g_ps-Seg!$F$45)*4/4</f>
        <v>0.03</v>
      </c>
      <c r="L45" s="13" t="n">
        <f aca="false">g_ps</f>
        <v>0.03</v>
      </c>
      <c r="M45" s="13" t="n">
        <f aca="false">g_ps</f>
        <v>0.03</v>
      </c>
      <c r="P45" s="8" t="s">
        <v>671</v>
      </c>
    </row>
    <row r="46" customFormat="false" ht="17.15" hidden="false" customHeight="false" outlineLevel="0" collapsed="false">
      <c r="A46" s="0" t="s">
        <v>521</v>
      </c>
      <c r="B46" s="0" t="s">
        <v>86</v>
      </c>
      <c r="C46" s="38" t="n">
        <f aca="false">Q!$D$12</f>
        <v>156.146</v>
      </c>
      <c r="D46" s="38" t="n">
        <f aca="false">Q!$E$12</f>
        <v>172.162</v>
      </c>
      <c r="E46" s="38" t="n">
        <f aca="false">Q!$P$12</f>
        <v>88.358</v>
      </c>
      <c r="F46" s="38" t="n">
        <f aca="false">Seg!$O$46*(1+Seg!$F$47)*Seg!$F$54</f>
        <v>102.004388260171</v>
      </c>
      <c r="G46" s="38" t="n">
        <f aca="false">Seg!$E$46+Seg!$F$46</f>
        <v>190.362388260171</v>
      </c>
      <c r="H46" s="38" t="n">
        <f aca="false">Seg!$G$46*(1+Seg!$H$47)</f>
        <v>210.343106588311</v>
      </c>
      <c r="I46" s="38" t="n">
        <f aca="false">Seg!$H$46*(1+Seg!$I$47)</f>
        <v>229.969728494648</v>
      </c>
      <c r="J46" s="38" t="n">
        <f aca="false">Seg!$I$46*(1+Seg!$J$47)</f>
        <v>248.747636972598</v>
      </c>
      <c r="K46" s="38" t="n">
        <f aca="false">Seg!$J$46*(1+Seg!$K$47)</f>
        <v>266.15997156068</v>
      </c>
      <c r="L46" s="38" t="n">
        <f aca="false">Seg!$K$46*(1+Seg!$L$47)</f>
        <v>284.791169569927</v>
      </c>
      <c r="M46" s="38" t="n">
        <f aca="false">Seg!$L$46*(1+Seg!$M$47)</f>
        <v>304.726551439822</v>
      </c>
      <c r="N46" s="38" t="n">
        <f aca="false">Q!$N$12</f>
        <v>76.86</v>
      </c>
      <c r="O46" s="38" t="n">
        <f aca="false">Q!$O$12</f>
        <v>95.302</v>
      </c>
      <c r="P46" s="8" t="s">
        <v>667</v>
      </c>
    </row>
    <row r="47" customFormat="false" ht="17.15" hidden="false" customHeight="false" outlineLevel="0" collapsed="false">
      <c r="A47" s="0" t="s">
        <v>672</v>
      </c>
      <c r="B47" s="0" t="s">
        <v>52</v>
      </c>
      <c r="E47" s="13" t="n">
        <f aca="false">Seg!$E$46/Seg!$N$46-1</f>
        <v>0.1495966692688</v>
      </c>
      <c r="F47" s="13" t="n">
        <f aca="false">Seg!$O$46/(Q!$F$12+Q!$G$12)-1</f>
        <v>0.11661530890813</v>
      </c>
      <c r="G47" s="13" t="n">
        <f aca="false">Seg!$G$46/Seg!$D$46-1</f>
        <v>0.105716640490767</v>
      </c>
      <c r="H47" s="13" t="n">
        <f aca="false">Seg!$F$47+(g_sp-Seg!$F$47)*1/4</f>
        <v>0.104961481681098</v>
      </c>
      <c r="I47" s="13" t="n">
        <f aca="false">Seg!$F$47+(g_sp-Seg!$F$47)*2/4</f>
        <v>0.0933076544540651</v>
      </c>
      <c r="J47" s="13" t="n">
        <f aca="false">Seg!$F$47+(g_sp-Seg!$F$47)*3/4</f>
        <v>0.0816538272270325</v>
      </c>
      <c r="K47" s="13" t="n">
        <f aca="false">Seg!$F$47+(g_sp-Seg!$F$47)*4/4</f>
        <v>0.07</v>
      </c>
      <c r="L47" s="13" t="n">
        <f aca="false">g_sp</f>
        <v>0.07</v>
      </c>
      <c r="M47" s="13" t="n">
        <f aca="false">g_sp</f>
        <v>0.07</v>
      </c>
      <c r="P47" s="8" t="s">
        <v>673</v>
      </c>
    </row>
    <row r="48" customFormat="false" ht="17.15" hidden="false" customHeight="false" outlineLevel="0" collapsed="false">
      <c r="A48" s="0" t="s">
        <v>522</v>
      </c>
      <c r="B48" s="0" t="s">
        <v>86</v>
      </c>
      <c r="C48" s="38" t="n">
        <f aca="false">Q!$D$13</f>
        <v>56.214</v>
      </c>
      <c r="D48" s="38" t="n">
        <f aca="false">Q!$E$13</f>
        <v>68.635</v>
      </c>
      <c r="E48" s="38" t="n">
        <f aca="false">Q!$P$13</f>
        <v>37.052</v>
      </c>
      <c r="F48" s="38" t="n">
        <f aca="false">Seg!$O$48*(1+Seg!$F$49)*Seg!$F$54</f>
        <v>46.1572219944148</v>
      </c>
      <c r="G48" s="38" t="n">
        <f aca="false">Seg!$E$48+Seg!$F$48</f>
        <v>83.2092219944148</v>
      </c>
      <c r="H48" s="38" t="n">
        <f aca="false">Seg!$G$48*(1+Seg!$H$49)</f>
        <v>99.8969223878976</v>
      </c>
      <c r="I48" s="38" t="n">
        <f aca="false">Seg!$H$48*(1+Seg!$I$49)</f>
        <v>116.583111095496</v>
      </c>
      <c r="J48" s="38" t="n">
        <f aca="false">Seg!$I$48*(1+Seg!$J$49)</f>
        <v>132.148941941952</v>
      </c>
      <c r="K48" s="38" t="n">
        <f aca="false">Seg!$J$48*(1+Seg!$K$49)</f>
        <v>145.363836136147</v>
      </c>
      <c r="L48" s="38" t="n">
        <f aca="false">Seg!$K$48*(1+Seg!$L$49)</f>
        <v>159.900219749762</v>
      </c>
      <c r="M48" s="38" t="n">
        <f aca="false">Seg!$L$48*(1+Seg!$M$49)</f>
        <v>175.890241724738</v>
      </c>
      <c r="N48" s="38" t="n">
        <f aca="false">Q!$N$13</f>
        <v>29.615</v>
      </c>
      <c r="O48" s="38" t="n">
        <f aca="false">Q!$O$13</f>
        <v>39.02</v>
      </c>
      <c r="P48" s="8" t="s">
        <v>667</v>
      </c>
    </row>
    <row r="49" customFormat="false" ht="17.15" hidden="false" customHeight="false" outlineLevel="0" collapsed="false">
      <c r="A49" s="0" t="s">
        <v>674</v>
      </c>
      <c r="B49" s="0" t="s">
        <v>52</v>
      </c>
      <c r="E49" s="13" t="n">
        <f aca="false">Seg!$E$48/Seg!$N$48-1</f>
        <v>0.25112274185379</v>
      </c>
      <c r="F49" s="13" t="n">
        <f aca="false">Seg!$O$48/(Q!$F$13+Q!$G$13)-1</f>
        <v>0.234068123596572</v>
      </c>
      <c r="G49" s="13" t="n">
        <f aca="false">Seg!$G$48/Seg!$D$48-1</f>
        <v>0.212343876949294</v>
      </c>
      <c r="H49" s="13" t="n">
        <f aca="false">Seg!$F$49+(g_ad-Seg!$F$49)*1/4</f>
        <v>0.200551092697429</v>
      </c>
      <c r="I49" s="13" t="n">
        <f aca="false">Seg!$F$49+(g_ad-Seg!$F$49)*2/4</f>
        <v>0.167034061798286</v>
      </c>
      <c r="J49" s="13" t="n">
        <f aca="false">Seg!$F$49+(g_ad-Seg!$F$49)*3/4</f>
        <v>0.133517030899143</v>
      </c>
      <c r="K49" s="13" t="n">
        <f aca="false">Seg!$F$49+(g_ad-Seg!$F$49)*4/4</f>
        <v>0.1</v>
      </c>
      <c r="L49" s="13" t="n">
        <f aca="false">g_ad</f>
        <v>0.1</v>
      </c>
      <c r="M49" s="13" t="n">
        <f aca="false">g_ad</f>
        <v>0.1</v>
      </c>
      <c r="P49" s="8" t="s">
        <v>675</v>
      </c>
    </row>
    <row r="50" customFormat="false" ht="17.15" hidden="false" customHeight="false" outlineLevel="0" collapsed="false">
      <c r="A50" s="0" t="s">
        <v>523</v>
      </c>
      <c r="B50" s="0" t="s">
        <v>86</v>
      </c>
      <c r="C50" s="38" t="n">
        <f aca="false">Q!$D$14</f>
        <v>44.374</v>
      </c>
      <c r="D50" s="38" t="n">
        <f aca="false">Q!$E$14</f>
        <v>49.619</v>
      </c>
      <c r="E50" s="38" t="n">
        <f aca="false">Q!$P$14</f>
        <v>27.157</v>
      </c>
      <c r="F50" s="38" t="n">
        <f aca="false">Seg!$O$50*(1+Seg!$F$51)*Seg!$F$54</f>
        <v>27.7764165988154</v>
      </c>
      <c r="G50" s="38" t="n">
        <f aca="false">Seg!$E$50+Seg!$F$50</f>
        <v>54.9334165988154</v>
      </c>
      <c r="H50" s="38" t="n">
        <f aca="false">Seg!$G$50*(1+Seg!$H$51)</f>
        <v>61.1564112561829</v>
      </c>
      <c r="I50" s="38" t="n">
        <f aca="false">Seg!$H$50*(1+Seg!$I$51)</f>
        <v>67.2020282103945</v>
      </c>
      <c r="J50" s="38" t="n">
        <f aca="false">Seg!$I$50*(1+Seg!$J$51)</f>
        <v>72.8757274028885</v>
      </c>
      <c r="K50" s="38" t="n">
        <f aca="false">Seg!$J$50*(1+Seg!$K$51)</f>
        <v>77.9770283210907</v>
      </c>
      <c r="L50" s="38" t="n">
        <f aca="false">Seg!$K$50*(1+Seg!$L$51)</f>
        <v>83.4354203035671</v>
      </c>
      <c r="M50" s="38" t="n">
        <f aca="false">Seg!$L$50*(1+Seg!$M$51)</f>
        <v>89.2758997248168</v>
      </c>
      <c r="N50" s="38" t="n">
        <f aca="false">Q!$N$14</f>
        <v>23.923</v>
      </c>
      <c r="O50" s="38" t="n">
        <f aca="false">Q!$O$14</f>
        <v>25.696</v>
      </c>
      <c r="P50" s="8" t="s">
        <v>667</v>
      </c>
    </row>
    <row r="51" customFormat="false" ht="17.15" hidden="false" customHeight="false" outlineLevel="0" collapsed="false">
      <c r="A51" s="0" t="s">
        <v>676</v>
      </c>
      <c r="B51" s="0" t="s">
        <v>52</v>
      </c>
      <c r="E51" s="13" t="n">
        <f aca="false">Seg!$E$50/Seg!$N$50-1</f>
        <v>0.135183714417088</v>
      </c>
      <c r="F51" s="13" t="n">
        <f aca="false">Seg!$O$50/(Q!$F$14+Q!$G$14)-1</f>
        <v>0.127709997366804</v>
      </c>
      <c r="G51" s="13" t="n">
        <f aca="false">Seg!$G$50/Seg!$D$50-1</f>
        <v>0.107104468022641</v>
      </c>
      <c r="H51" s="13" t="n">
        <f aca="false">Seg!$F$51+(g_sub-Seg!$F$51)*1/4</f>
        <v>0.113282498025103</v>
      </c>
      <c r="I51" s="13" t="n">
        <f aca="false">Seg!$F$51+(g_sub-Seg!$F$51)*2/4</f>
        <v>0.0988549986834021</v>
      </c>
      <c r="J51" s="13" t="n">
        <f aca="false">Seg!$F$51+(g_sub-Seg!$F$51)*3/4</f>
        <v>0.084427499341701</v>
      </c>
      <c r="K51" s="13" t="n">
        <f aca="false">Seg!$F$51+(g_sub-Seg!$F$51)*4/4</f>
        <v>0.07</v>
      </c>
      <c r="L51" s="13" t="n">
        <f aca="false">g_sub</f>
        <v>0.07</v>
      </c>
      <c r="M51" s="13" t="n">
        <f aca="false">g_sub</f>
        <v>0.07</v>
      </c>
      <c r="P51" s="8" t="s">
        <v>677</v>
      </c>
    </row>
    <row r="52" customFormat="false" ht="17.15" hidden="false" customHeight="false" outlineLevel="0" collapsed="false">
      <c r="A52" s="0" t="s">
        <v>524</v>
      </c>
      <c r="B52" s="0" t="s">
        <v>86</v>
      </c>
      <c r="C52" s="38" t="n">
        <f aca="false">Q!$D$15</f>
        <v>5.425</v>
      </c>
      <c r="D52" s="38" t="n">
        <f aca="false">Q!$E$15</f>
        <v>5.935</v>
      </c>
      <c r="E52" s="38" t="n">
        <f aca="false">Q!$P$15</f>
        <v>3.474</v>
      </c>
      <c r="F52" s="38" t="n">
        <f aca="false">Seg!$O$52*(1+Seg!$F$53)*Seg!$F$54</f>
        <v>3.22246550883619</v>
      </c>
      <c r="G52" s="38" t="n">
        <f aca="false">Seg!$E$52+Seg!$F$52</f>
        <v>6.69646550883619</v>
      </c>
      <c r="H52" s="38" t="n">
        <f aca="false">Seg!$G$52*(1+Seg!$H$53)</f>
        <v>7.16251344209196</v>
      </c>
      <c r="I52" s="38" t="n">
        <f aca="false">Seg!$H$52*(1+Seg!$I$53)</f>
        <v>7.61421070299826</v>
      </c>
      <c r="J52" s="38" t="n">
        <f aca="false">Seg!$I$52*(1+Seg!$J$53)</f>
        <v>8.04465753523932</v>
      </c>
      <c r="K52" s="38" t="n">
        <f aca="false">Seg!$J$52*(1+Seg!$K$53)</f>
        <v>8.44689041200128</v>
      </c>
      <c r="L52" s="38" t="n">
        <f aca="false">Seg!$K$52*(1+Seg!$L$53)</f>
        <v>8.86923493260135</v>
      </c>
      <c r="M52" s="38" t="n">
        <f aca="false">Seg!$L$52*(1+Seg!$M$53)</f>
        <v>9.31269667923142</v>
      </c>
      <c r="N52" s="38" t="n">
        <f aca="false">Q!$N$15</f>
        <v>2.811</v>
      </c>
      <c r="O52" s="38" t="n">
        <f aca="false">Q!$O$15</f>
        <v>3.124</v>
      </c>
      <c r="P52" s="8" t="s">
        <v>667</v>
      </c>
    </row>
    <row r="53" customFormat="false" ht="17.15" hidden="false" customHeight="false" outlineLevel="0" collapsed="false">
      <c r="A53" s="0" t="s">
        <v>678</v>
      </c>
      <c r="B53" s="0" t="s">
        <v>52</v>
      </c>
      <c r="E53" s="13" t="n">
        <f aca="false">Seg!$E$52/Seg!$N$52-1</f>
        <v>0.235859124866596</v>
      </c>
      <c r="F53" s="13" t="n">
        <f aca="false">Seg!$O$52/(Q!$F$15+Q!$G$15)-1</f>
        <v>0.0761281433000345</v>
      </c>
      <c r="G53" s="13" t="n">
        <f aca="false">Seg!$G$52/Seg!$D$52-1</f>
        <v>0.128300843948811</v>
      </c>
      <c r="H53" s="13" t="n">
        <f aca="false">Seg!$F$53+(g_ot-Seg!$F$53)*1/4</f>
        <v>0.0695961074750259</v>
      </c>
      <c r="I53" s="13" t="n">
        <f aca="false">Seg!$F$53+(g_ot-Seg!$F$53)*2/4</f>
        <v>0.0630640716500172</v>
      </c>
      <c r="J53" s="13" t="n">
        <f aca="false">Seg!$F$53+(g_ot-Seg!$F$53)*3/4</f>
        <v>0.0565320358250086</v>
      </c>
      <c r="K53" s="13" t="n">
        <f aca="false">Seg!$F$53+(g_ot-Seg!$F$53)*4/4</f>
        <v>0.05</v>
      </c>
      <c r="L53" s="13" t="n">
        <f aca="false">g_ot</f>
        <v>0.05</v>
      </c>
      <c r="M53" s="13" t="n">
        <f aca="false">g_ot</f>
        <v>0.05</v>
      </c>
      <c r="P53" s="8" t="s">
        <v>679</v>
      </c>
    </row>
    <row r="54" customFormat="false" ht="17.15" hidden="false" customHeight="false" outlineLevel="0" collapsed="false">
      <c r="A54" s="0" t="s">
        <v>680</v>
      </c>
      <c r="B54" s="0" t="s">
        <v>57</v>
      </c>
      <c r="F54" s="40" t="n">
        <f aca="false">(g26q3_mid*Q!$O$8/Q!$J$8-Thesis!$F$86-Thesis!$F$90)/(Seg!$O$42*(1+Seg!$F$43)+Seg!$O$44*(1+Seg!$F$45)+Seg!$O$46*(1+Seg!$F$47)+Seg!$O$48*(1+Seg!$F$49)+Seg!$O$50*(1+Seg!$F$51)+Seg!$O$52*(1+Seg!$F$53))</f>
        <v>0.958546670622329</v>
      </c>
      <c r="P54" s="8" t="s">
        <v>681</v>
      </c>
    </row>
    <row r="55" customFormat="false" ht="17.15" hidden="false" customHeight="false" outlineLevel="0" collapsed="false">
      <c r="A55" s="3" t="s">
        <v>682</v>
      </c>
      <c r="B55" s="8" t="s">
        <v>86</v>
      </c>
      <c r="C55" s="38" t="n">
        <f aca="false">Seg!$C$42+Seg!$C$44+Seg!$C$46+Seg!$C$48+Seg!$C$50+Seg!$C$52</f>
        <v>530.403</v>
      </c>
      <c r="D55" s="38" t="n">
        <f aca="false">Seg!$D$42+Seg!$D$44+Seg!$D$46+Seg!$D$48+Seg!$D$50+Seg!$D$52</f>
        <v>588.199</v>
      </c>
      <c r="E55" s="38" t="n">
        <f aca="false">Seg!$E$42+Seg!$E$44+Seg!$E$46+Seg!$E$48+Seg!$E$50+Seg!$E$52</f>
        <v>302.306</v>
      </c>
      <c r="F55" s="38" t="n">
        <f aca="false">Seg!$F$42+Seg!$F$44+Seg!$F$46+Seg!$F$48+Seg!$F$50+Seg!$F$52</f>
        <v>349.048241645537</v>
      </c>
      <c r="G55" s="38" t="n">
        <f aca="false">Seg!$G$42+Seg!$G$44+Seg!$G$46+Seg!$G$48+Seg!$G$50+Seg!$G$52</f>
        <v>651.354241645537</v>
      </c>
      <c r="H55" s="38" t="n">
        <f aca="false">Seg!$H$42+Seg!$H$44+Seg!$H$46+Seg!$H$48+Seg!$H$50+Seg!$H$52</f>
        <v>721.096889521386</v>
      </c>
      <c r="I55" s="38" t="n">
        <f aca="false">Seg!$I$42+Seg!$I$44+Seg!$I$46+Seg!$I$48+Seg!$I$50+Seg!$I$52</f>
        <v>788.529391152531</v>
      </c>
      <c r="J55" s="38" t="n">
        <f aca="false">Seg!$J$42+Seg!$J$44+Seg!$J$46+Seg!$J$48+Seg!$J$50+Seg!$J$52</f>
        <v>851.108405741443</v>
      </c>
      <c r="K55" s="38" t="n">
        <f aca="false">Seg!$K$42+Seg!$K$44+Seg!$K$46+Seg!$K$48+Seg!$K$50+Seg!$K$52</f>
        <v>906.176455431088</v>
      </c>
      <c r="L55" s="38" t="n">
        <f aca="false">Seg!$L$42+Seg!$L$44+Seg!$L$46+Seg!$L$48+Seg!$L$50+Seg!$L$52</f>
        <v>965.093106475589</v>
      </c>
      <c r="M55" s="38" t="n">
        <f aca="false">Seg!$M$42+Seg!$M$44+Seg!$M$46+Seg!$M$48+Seg!$M$50+Seg!$M$52</f>
        <v>1028.14790794689</v>
      </c>
      <c r="N55" s="38" t="n">
        <f aca="false">Seg!$N$42+Seg!$N$44+Seg!$N$46+Seg!$N$48+Seg!$N$50+Seg!$N$52</f>
        <v>263.229</v>
      </c>
      <c r="O55" s="38" t="n">
        <f aca="false">Seg!$O$42+Seg!$O$44+Seg!$O$46+Seg!$O$48+Seg!$O$50+Seg!$O$52</f>
        <v>324.97</v>
      </c>
    </row>
    <row r="56" customFormat="false" ht="17.15" hidden="false" customHeight="false" outlineLevel="0" collapsed="false">
      <c r="A56" s="5" t="s">
        <v>683</v>
      </c>
      <c r="B56" s="0" t="s">
        <v>52</v>
      </c>
      <c r="C56" s="13" t="n">
        <f aca="false">Q!$D$5/(Q!$D$5+Q!$D$6)</f>
        <v>0.730570905519011</v>
      </c>
      <c r="D56" s="13" t="n">
        <f aca="false">Q!$E$5/(Q!$E$5+Q!$E$6)</f>
        <v>0.724763217890544</v>
      </c>
      <c r="E56" s="13" t="n">
        <f aca="false">Q!$P$5/(Q!$P$5+Q!$P$6)</f>
        <v>0.728797972914861</v>
      </c>
      <c r="F56" s="13" t="n">
        <f aca="false">Seg!$O$56</f>
        <v>0.718066283041511</v>
      </c>
      <c r="G56" s="13" t="n">
        <f aca="false">Seg!$G$57/Seg!$G$55</f>
        <v>0.723047066202847</v>
      </c>
      <c r="H56" s="13" t="n">
        <f aca="false">Seg!$G$56</f>
        <v>0.723047066202847</v>
      </c>
      <c r="I56" s="13" t="n">
        <f aca="false">Seg!$G$56</f>
        <v>0.723047066202847</v>
      </c>
      <c r="J56" s="13" t="n">
        <f aca="false">Seg!$G$56</f>
        <v>0.723047066202847</v>
      </c>
      <c r="K56" s="13" t="n">
        <f aca="false">Seg!$G$56</f>
        <v>0.723047066202847</v>
      </c>
      <c r="L56" s="13" t="n">
        <f aca="false">Seg!$G$56</f>
        <v>0.723047066202847</v>
      </c>
      <c r="M56" s="13" t="n">
        <f aca="false">Seg!$G$56</f>
        <v>0.723047066202847</v>
      </c>
      <c r="N56" s="13" t="n">
        <f aca="false">Q!$N$5/(Q!$N$5+Q!$N$6)</f>
        <v>0.733030935041352</v>
      </c>
      <c r="O56" s="13" t="n">
        <f aca="false">Q!$O$5/(Q!$O$5+Q!$O$6)</f>
        <v>0.718066283041511</v>
      </c>
      <c r="P56" s="8" t="s">
        <v>684</v>
      </c>
    </row>
    <row r="57" customFormat="false" ht="17.15" hidden="false" customHeight="false" outlineLevel="0" collapsed="false">
      <c r="A57" s="1" t="s">
        <v>512</v>
      </c>
      <c r="B57" s="8" t="s">
        <v>86</v>
      </c>
      <c r="C57" s="38" t="n">
        <f aca="false">Q!$D$5</f>
        <v>387.497</v>
      </c>
      <c r="D57" s="38" t="n">
        <f aca="false">Q!$E$5</f>
        <v>426.305</v>
      </c>
      <c r="E57" s="38" t="n">
        <f aca="false">Q!$P$5</f>
        <v>220.32</v>
      </c>
      <c r="F57" s="38" t="n">
        <f aca="false">Seg!$F$55*Seg!$F$56</f>
        <v>250.639773480586</v>
      </c>
      <c r="G57" s="38" t="n">
        <f aca="false">Seg!$E$57+Seg!$F$57</f>
        <v>470.959773480586</v>
      </c>
      <c r="H57" s="38" t="n">
        <f aca="false">Seg!$H$55*Seg!$H$56</f>
        <v>521.386990416437</v>
      </c>
      <c r="I57" s="38" t="n">
        <f aca="false">Seg!$I$55*Seg!$I$56</f>
        <v>570.143862887555</v>
      </c>
      <c r="J57" s="38" t="n">
        <f aca="false">Seg!$J$55*Seg!$J$56</f>
        <v>615.391435791933</v>
      </c>
      <c r="K57" s="38" t="n">
        <f aca="false">Seg!$K$55*Seg!$K$56</f>
        <v>655.208227561543</v>
      </c>
      <c r="L57" s="38" t="n">
        <f aca="false">Seg!$L$55*Seg!$L$56</f>
        <v>697.807739249767</v>
      </c>
      <c r="M57" s="38" t="n">
        <f aca="false">Seg!$M$55*Seg!$M$56</f>
        <v>743.399328463592</v>
      </c>
      <c r="N57" s="38" t="n">
        <f aca="false">Q!$N$5</f>
        <v>192.955</v>
      </c>
      <c r="O57" s="38" t="n">
        <f aca="false">Q!$O$5</f>
        <v>233.35</v>
      </c>
      <c r="P57" s="5" t="s">
        <v>685</v>
      </c>
    </row>
    <row r="58" customFormat="false" ht="17.15" hidden="false" customHeight="false" outlineLevel="0" collapsed="false">
      <c r="A58" s="1" t="s">
        <v>515</v>
      </c>
      <c r="B58" s="8" t="s">
        <v>86</v>
      </c>
      <c r="C58" s="38" t="n">
        <f aca="false">Q!$D$6</f>
        <v>142.906</v>
      </c>
      <c r="D58" s="38" t="n">
        <f aca="false">Q!$E$6</f>
        <v>161.894</v>
      </c>
      <c r="E58" s="38" t="n">
        <f aca="false">Q!$P$6</f>
        <v>81.986</v>
      </c>
      <c r="F58" s="38" t="n">
        <f aca="false">Seg!$F$55*(1-Seg!$F$56)</f>
        <v>98.408468164951</v>
      </c>
      <c r="G58" s="38" t="n">
        <f aca="false">Seg!$E$58+Seg!$F$58</f>
        <v>180.394468164951</v>
      </c>
      <c r="H58" s="38" t="n">
        <f aca="false">Seg!$H$55*(1-Seg!$H$56)</f>
        <v>199.709899104949</v>
      </c>
      <c r="I58" s="38" t="n">
        <f aca="false">Seg!$I$55*(1-Seg!$I$56)</f>
        <v>218.385528264976</v>
      </c>
      <c r="J58" s="38" t="n">
        <f aca="false">Seg!$J$55*(1-Seg!$J$56)</f>
        <v>235.71696994951</v>
      </c>
      <c r="K58" s="38" t="n">
        <f aca="false">Seg!$K$55*(1-Seg!$K$56)</f>
        <v>250.968227869545</v>
      </c>
      <c r="L58" s="38" t="n">
        <f aca="false">Seg!$L$55*(1-Seg!$L$56)</f>
        <v>267.285367225822</v>
      </c>
      <c r="M58" s="38" t="n">
        <f aca="false">Seg!$M$55*(1-Seg!$M$56)</f>
        <v>284.748579483295</v>
      </c>
      <c r="N58" s="38" t="n">
        <f aca="false">Q!$N$6</f>
        <v>70.274</v>
      </c>
      <c r="O58" s="38" t="n">
        <f aca="false">Q!$O$6</f>
        <v>91.62</v>
      </c>
      <c r="P58" s="5" t="s">
        <v>686</v>
      </c>
    </row>
    <row r="59" customFormat="false" ht="17.15" hidden="false" customHeight="false" outlineLevel="0" collapsed="false">
      <c r="A59" s="5" t="s">
        <v>687</v>
      </c>
      <c r="B59" s="0" t="s">
        <v>86</v>
      </c>
      <c r="C59" s="38" t="n">
        <f aca="false">Seg!$C$48*Seg!$C$56</f>
        <v>41.0683128828457</v>
      </c>
      <c r="D59" s="38" t="n">
        <f aca="false">Seg!$D$48*Seg!$D$56</f>
        <v>49.7441234599175</v>
      </c>
      <c r="E59" s="38" t="n">
        <f aca="false">Seg!$E$48*Seg!$E$56</f>
        <v>27.0034224924414</v>
      </c>
      <c r="F59" s="38" t="n">
        <f aca="false">Seg!$F$48*Seg!$F$56</f>
        <v>33.1439448330513</v>
      </c>
      <c r="G59" s="38" t="n">
        <f aca="false">Seg!$G$48*Seg!$G$56</f>
        <v>60.164183844083</v>
      </c>
      <c r="H59" s="38" t="n">
        <f aca="false">Seg!$H$48*Seg!$H$56</f>
        <v>72.2301766552629</v>
      </c>
      <c r="I59" s="38" t="n">
        <f aca="false">Seg!$I$48*Seg!$I$56</f>
        <v>84.2950764463991</v>
      </c>
      <c r="J59" s="38" t="n">
        <f aca="false">Seg!$J$48*Seg!$J$56</f>
        <v>95.5499047729386</v>
      </c>
      <c r="K59" s="38" t="n">
        <f aca="false">Seg!$K$48*Seg!$K$56</f>
        <v>105.104895250232</v>
      </c>
      <c r="L59" s="38" t="n">
        <f aca="false">Seg!$L$48*Seg!$L$56</f>
        <v>115.615384775256</v>
      </c>
      <c r="M59" s="38" t="n">
        <f aca="false">Seg!$M$48*Seg!$M$56</f>
        <v>127.176923252781</v>
      </c>
      <c r="N59" s="38" t="n">
        <f aca="false">Seg!$N$48*Seg!$N$56</f>
        <v>21.7087111412496</v>
      </c>
      <c r="O59" s="38" t="n">
        <f aca="false">Seg!$O$48*Seg!$O$56</f>
        <v>28.0189463642798</v>
      </c>
      <c r="P59" s="5" t="s">
        <v>688</v>
      </c>
    </row>
    <row r="60" customFormat="false" ht="15" hidden="false" customHeight="false" outlineLevel="0" collapsed="false">
      <c r="A60" s="5" t="s">
        <v>689</v>
      </c>
      <c r="B60" s="0" t="s">
        <v>86</v>
      </c>
      <c r="C60" s="38" t="n">
        <f aca="false">Seg!$C$48-Seg!$C$59</f>
        <v>15.1456871171543</v>
      </c>
      <c r="D60" s="38" t="n">
        <f aca="false">Seg!$D$48-Seg!$D$59</f>
        <v>18.8908765400825</v>
      </c>
      <c r="E60" s="38" t="n">
        <f aca="false">Seg!$E$48-Seg!$E$59</f>
        <v>10.0485775075586</v>
      </c>
      <c r="F60" s="38" t="n">
        <f aca="false">Seg!$F$48-Seg!$F$59</f>
        <v>13.0132771613635</v>
      </c>
      <c r="G60" s="38" t="n">
        <f aca="false">Seg!$G$48-Seg!$G$59</f>
        <v>23.0450381503318</v>
      </c>
      <c r="H60" s="38" t="n">
        <f aca="false">Seg!$H$48-Seg!$H$59</f>
        <v>27.6667457326347</v>
      </c>
      <c r="I60" s="38" t="n">
        <f aca="false">Seg!$I$48-Seg!$I$59</f>
        <v>32.2880346490971</v>
      </c>
      <c r="J60" s="38" t="n">
        <f aca="false">Seg!$J$48-Seg!$J$59</f>
        <v>36.5990371690132</v>
      </c>
      <c r="K60" s="38" t="n">
        <f aca="false">Seg!$K$48-Seg!$K$59</f>
        <v>40.2589408859145</v>
      </c>
      <c r="L60" s="38" t="n">
        <f aca="false">Seg!$L$48-Seg!$L$59</f>
        <v>44.2848349745059</v>
      </c>
      <c r="M60" s="38" t="n">
        <f aca="false">Seg!$M$48-Seg!$M$59</f>
        <v>48.7133184719565</v>
      </c>
      <c r="N60" s="38" t="n">
        <f aca="false">Seg!$N$48-Seg!$N$59</f>
        <v>7.90628885875037</v>
      </c>
      <c r="O60" s="38" t="n">
        <f aca="false">Seg!$O$48-Seg!$O$59</f>
        <v>11.0010536357202</v>
      </c>
    </row>
    <row r="61" customFormat="false" ht="17.15" hidden="false" customHeight="false" outlineLevel="0" collapsed="false">
      <c r="A61" s="1" t="s">
        <v>690</v>
      </c>
    </row>
    <row r="62" customFormat="false" ht="17.15" hidden="false" customHeight="false" outlineLevel="0" collapsed="false">
      <c r="A62" s="0" t="s">
        <v>691</v>
      </c>
      <c r="B62" s="0" t="s">
        <v>86</v>
      </c>
      <c r="C62" s="38" t="n">
        <f aca="false">Thesis!$C$86</f>
        <v>2.32100535697364</v>
      </c>
      <c r="D62" s="38" t="n">
        <f aca="false">Thesis!$D$86</f>
        <v>8.70377008865116</v>
      </c>
      <c r="E62" s="38" t="n">
        <f aca="false">Thesis!$E$86</f>
        <v>8.51035297557002</v>
      </c>
      <c r="F62" s="38" t="n">
        <f aca="false">Thesis!$F$86</f>
        <v>14.9634336447205</v>
      </c>
      <c r="G62" s="38" t="n">
        <f aca="false">Thesis!$G$86</f>
        <v>23.4737866202905</v>
      </c>
      <c r="H62" s="38" t="n">
        <f aca="false">Thesis!$H$86</f>
        <v>60.1658907497746</v>
      </c>
      <c r="I62" s="38" t="n">
        <f aca="false">Thesis!$I$86</f>
        <v>101.503699136432</v>
      </c>
      <c r="J62" s="38" t="n">
        <f aca="false">Thesis!$J$86</f>
        <v>143.025407151278</v>
      </c>
      <c r="K62" s="38" t="n">
        <f aca="false">Thesis!$K$86</f>
        <v>178.44812038318</v>
      </c>
      <c r="L62" s="38" t="n">
        <f aca="false">Thesis!$L$86</f>
        <v>201.728101802396</v>
      </c>
      <c r="M62" s="38" t="n">
        <f aca="false">Thesis!$M$86</f>
        <v>212.835441368865</v>
      </c>
      <c r="N62" s="38" t="n">
        <f aca="false">Thesis!$N$86</f>
        <v>3.04631953102791</v>
      </c>
      <c r="O62" s="38" t="n">
        <f aca="false">Thesis!$O$86</f>
        <v>5.65745055762326</v>
      </c>
      <c r="P62" s="8" t="s">
        <v>692</v>
      </c>
    </row>
    <row r="63" customFormat="false" ht="17.15" hidden="false" customHeight="false" outlineLevel="0" collapsed="false">
      <c r="A63" s="0" t="s">
        <v>693</v>
      </c>
      <c r="B63" s="0" t="s">
        <v>86</v>
      </c>
      <c r="C63" s="38" t="n">
        <f aca="false">Thesis!$C$90</f>
        <v>105.234994643026</v>
      </c>
      <c r="D63" s="38" t="n">
        <f aca="false">Thesis!$D$90</f>
        <v>120.021229911349</v>
      </c>
      <c r="E63" s="38" t="n">
        <f aca="false">Thesis!$E$90</f>
        <v>71.30864702443</v>
      </c>
      <c r="F63" s="38" t="n">
        <f aca="false">Thesis!$F$90</f>
        <v>71.7692997942464</v>
      </c>
      <c r="G63" s="38" t="n">
        <f aca="false">Thesis!$G$90</f>
        <v>143.077946818676</v>
      </c>
      <c r="H63" s="38" t="n">
        <f aca="false">Thesis!$H$90</f>
        <v>161.017077079203</v>
      </c>
      <c r="I63" s="38" t="n">
        <f aca="false">Thesis!$I$90</f>
        <v>178.769759521457</v>
      </c>
      <c r="J63" s="38" t="n">
        <f aca="false">Thesis!$J$90</f>
        <v>195.775538045907</v>
      </c>
      <c r="K63" s="38" t="n">
        <f aca="false">Thesis!$K$90</f>
        <v>211.43758108958</v>
      </c>
      <c r="L63" s="38" t="n">
        <f aca="false">Thesis!$L$90</f>
        <v>228.352587576746</v>
      </c>
      <c r="M63" s="38" t="n">
        <f aca="false">Thesis!$M$90</f>
        <v>246.620794582886</v>
      </c>
      <c r="N63" s="38" t="n">
        <f aca="false">Thesis!$N$90</f>
        <v>57.0936804689721</v>
      </c>
      <c r="O63" s="38" t="n">
        <f aca="false">Thesis!$O$90</f>
        <v>62.9275494423768</v>
      </c>
      <c r="P63" s="8" t="s">
        <v>692</v>
      </c>
    </row>
    <row r="64" customFormat="false" ht="17.15" hidden="false" customHeight="false" outlineLevel="0" collapsed="false">
      <c r="A64" s="1" t="s">
        <v>516</v>
      </c>
      <c r="B64" s="8" t="s">
        <v>86</v>
      </c>
      <c r="C64" s="38" t="n">
        <f aca="false">Q!$D$7</f>
        <v>107.556</v>
      </c>
      <c r="D64" s="38" t="n">
        <f aca="false">Q!$E$7</f>
        <v>128.725</v>
      </c>
      <c r="E64" s="38" t="n">
        <f aca="false">Q!$P$7</f>
        <v>79.819</v>
      </c>
      <c r="F64" s="38" t="n">
        <f aca="false">Seg!$F$62+Seg!$F$63</f>
        <v>86.7327334389669</v>
      </c>
      <c r="G64" s="38" t="n">
        <f aca="false">Seg!$G$62+Seg!$G$63</f>
        <v>166.551733438967</v>
      </c>
      <c r="H64" s="38" t="n">
        <f aca="false">Seg!$H$62+Seg!$H$63</f>
        <v>221.182967828978</v>
      </c>
      <c r="I64" s="38" t="n">
        <f aca="false">Seg!$I$62+Seg!$I$63</f>
        <v>280.27345865789</v>
      </c>
      <c r="J64" s="38" t="n">
        <f aca="false">Seg!$J$62+Seg!$J$63</f>
        <v>338.800945197185</v>
      </c>
      <c r="K64" s="38" t="n">
        <f aca="false">Seg!$K$62+Seg!$K$63</f>
        <v>389.88570147276</v>
      </c>
      <c r="L64" s="38" t="n">
        <f aca="false">Seg!$L$62+Seg!$L$63</f>
        <v>430.080689379143</v>
      </c>
      <c r="M64" s="38" t="n">
        <f aca="false">Seg!$M$62+Seg!$M$63</f>
        <v>459.456235951751</v>
      </c>
      <c r="N64" s="38" t="n">
        <f aca="false">Q!$N$7</f>
        <v>60.14</v>
      </c>
      <c r="O64" s="38" t="n">
        <f aca="false">Q!$O$7</f>
        <v>68.585</v>
      </c>
      <c r="P64" s="5" t="s">
        <v>694</v>
      </c>
    </row>
    <row r="65" customFormat="false" ht="15" hidden="false" customHeight="false" outlineLevel="0" collapsed="false">
      <c r="A65" s="3" t="s">
        <v>695</v>
      </c>
      <c r="B65" s="8" t="s">
        <v>86</v>
      </c>
      <c r="C65" s="38" t="n">
        <f aca="false">Q!$D$8</f>
        <v>637.959</v>
      </c>
      <c r="D65" s="38" t="n">
        <f aca="false">Q!$E$8</f>
        <v>716.924</v>
      </c>
      <c r="E65" s="38" t="n">
        <f aca="false">Q!$P$8</f>
        <v>382.125</v>
      </c>
      <c r="F65" s="38" t="n">
        <f aca="false">Seg!$F$55+Seg!$F$64</f>
        <v>435.780975084504</v>
      </c>
      <c r="G65" s="38" t="n">
        <f aca="false">Seg!$G$55+Seg!$G$64</f>
        <v>817.905975084504</v>
      </c>
      <c r="H65" s="38" t="n">
        <f aca="false">Seg!$H$55+Seg!$H$64</f>
        <v>942.279857350364</v>
      </c>
      <c r="I65" s="38" t="n">
        <f aca="false">Seg!$I$55+Seg!$I$64</f>
        <v>1068.80284981042</v>
      </c>
      <c r="J65" s="38" t="n">
        <f aca="false">Seg!$J$55+Seg!$J$64</f>
        <v>1189.90935093863</v>
      </c>
      <c r="K65" s="38" t="n">
        <f aca="false">Seg!$K$55+Seg!$K$64</f>
        <v>1296.06215690385</v>
      </c>
      <c r="L65" s="38" t="n">
        <f aca="false">Seg!$L$55+Seg!$L$64</f>
        <v>1395.17379585473</v>
      </c>
      <c r="M65" s="38" t="n">
        <f aca="false">Seg!$M$55+Seg!$M$64</f>
        <v>1487.60414389864</v>
      </c>
      <c r="N65" s="38" t="n">
        <f aca="false">Q!$N$8</f>
        <v>323.369</v>
      </c>
      <c r="O65" s="38" t="n">
        <f aca="false">Q!$O$8</f>
        <v>393.555</v>
      </c>
    </row>
    <row r="66" customFormat="false" ht="17.15" hidden="false" customHeight="false" outlineLevel="0" collapsed="false">
      <c r="A66" s="24" t="s">
        <v>703</v>
      </c>
      <c r="B66" s="25" t="s">
        <v>86</v>
      </c>
      <c r="C66" s="41" t="n">
        <f aca="false">Seg!$C$55-(Seg!$C$57+Seg!$C$58)</f>
        <v>0</v>
      </c>
      <c r="D66" s="41" t="n">
        <f aca="false">Seg!$D$55-(Seg!$D$57+Seg!$D$58)</f>
        <v>0</v>
      </c>
      <c r="E66" s="41" t="n">
        <f aca="false">Seg!$E$55-(Seg!$E$57+Seg!$E$58)</f>
        <v>0</v>
      </c>
      <c r="F66" s="41" t="n">
        <f aca="false">Seg!$F$55-(Seg!$F$57+Seg!$F$58)</f>
        <v>0</v>
      </c>
      <c r="G66" s="41" t="n">
        <f aca="false">Seg!$G$55-(Seg!$G$57+Seg!$G$58)</f>
        <v>0</v>
      </c>
      <c r="H66" s="41" t="n">
        <f aca="false">Seg!$H$55-(Seg!$H$57+Seg!$H$58)</f>
        <v>0</v>
      </c>
      <c r="I66" s="41" t="n">
        <f aca="false">Seg!$I$55-(Seg!$I$57+Seg!$I$58)</f>
        <v>0</v>
      </c>
      <c r="J66" s="41" t="n">
        <f aca="false">Seg!$J$55-(Seg!$J$57+Seg!$J$58)</f>
        <v>0</v>
      </c>
      <c r="K66" s="41" t="n">
        <f aca="false">Seg!$K$55-(Seg!$K$57+Seg!$K$58)</f>
        <v>0</v>
      </c>
      <c r="L66" s="41" t="n">
        <f aca="false">Seg!$L$55-(Seg!$L$57+Seg!$L$58)</f>
        <v>0</v>
      </c>
      <c r="M66" s="41" t="n">
        <f aca="false">Seg!$M$55-(Seg!$M$57+Seg!$M$58)</f>
        <v>0</v>
      </c>
      <c r="N66" s="41" t="n">
        <f aca="false">Seg!$N$55-(Seg!$N$57+Seg!$N$58)</f>
        <v>0</v>
      </c>
      <c r="O66" s="41" t="n">
        <f aca="false">Seg!$O$55-(Seg!$O$57+Seg!$O$58)</f>
        <v>0</v>
      </c>
    </row>
    <row r="67" customFormat="false" ht="17.15" hidden="false" customHeight="false" outlineLevel="0" collapsed="false">
      <c r="A67" s="24" t="s">
        <v>704</v>
      </c>
      <c r="B67" s="25" t="s">
        <v>86</v>
      </c>
      <c r="C67" s="41" t="n">
        <f aca="false">Seg!$C$62+Seg!$C$63-Seg!$C$64</f>
        <v>0</v>
      </c>
      <c r="D67" s="41" t="n">
        <f aca="false">Seg!$D$62+Seg!$D$63-Seg!$D$64</f>
        <v>0</v>
      </c>
      <c r="E67" s="41" t="n">
        <f aca="false">Seg!$E$62+Seg!$E$63-Seg!$E$64</f>
        <v>0</v>
      </c>
      <c r="F67" s="41" t="n">
        <f aca="false">Seg!$F$62+Seg!$F$63-Seg!$F$64</f>
        <v>0</v>
      </c>
      <c r="G67" s="41" t="n">
        <f aca="false">Seg!$G$62+Seg!$G$63-Seg!$G$64</f>
        <v>0</v>
      </c>
      <c r="H67" s="41" t="n">
        <f aca="false">Seg!$H$62+Seg!$H$63-Seg!$H$64</f>
        <v>0</v>
      </c>
      <c r="I67" s="41" t="n">
        <f aca="false">Seg!$I$62+Seg!$I$63-Seg!$I$64</f>
        <v>0</v>
      </c>
      <c r="J67" s="41" t="n">
        <f aca="false">Seg!$J$62+Seg!$J$63-Seg!$J$64</f>
        <v>0</v>
      </c>
      <c r="K67" s="41" t="n">
        <f aca="false">Seg!$K$62+Seg!$K$63-Seg!$K$64</f>
        <v>0</v>
      </c>
      <c r="L67" s="41" t="n">
        <f aca="false">Seg!$L$62+Seg!$L$63-Seg!$L$64</f>
        <v>0</v>
      </c>
      <c r="M67" s="41" t="n">
        <f aca="false">Seg!$M$62+Seg!$M$63-Seg!$M$64</f>
        <v>0</v>
      </c>
      <c r="N67" s="41" t="n">
        <f aca="false">Seg!$N$62+Seg!$N$63-Seg!$N$64</f>
        <v>0</v>
      </c>
      <c r="O67" s="41" t="n">
        <f aca="false">Seg!$O$62+Seg!$O$63-Seg!$O$64</f>
        <v>0</v>
      </c>
    </row>
    <row r="68" customFormat="false" ht="17.15" hidden="false" customHeight="false" outlineLevel="0" collapsed="false">
      <c r="A68" s="24" t="s">
        <v>705</v>
      </c>
      <c r="B68" s="25" t="s">
        <v>86</v>
      </c>
      <c r="C68" s="41" t="n">
        <f aca="false">Seg!$C$57+Seg!$C$58+Seg!$C$64-Seg!$C$65</f>
        <v>0</v>
      </c>
      <c r="D68" s="41" t="n">
        <f aca="false">Seg!$D$57+Seg!$D$58+Seg!$D$64-Seg!$D$65</f>
        <v>0</v>
      </c>
      <c r="E68" s="41" t="n">
        <f aca="false">Seg!$E$57+Seg!$E$58+Seg!$E$64-Seg!$E$65</f>
        <v>0</v>
      </c>
      <c r="F68" s="41" t="n">
        <f aca="false">Seg!$F$57+Seg!$F$58+Seg!$F$64-Seg!$F$65</f>
        <v>0</v>
      </c>
      <c r="G68" s="41" t="n">
        <f aca="false">Seg!$G$57+Seg!$G$58+Seg!$G$64-Seg!$G$65</f>
        <v>0</v>
      </c>
      <c r="H68" s="41" t="n">
        <f aca="false">Seg!$H$57+Seg!$H$58+Seg!$H$64-Seg!$H$65</f>
        <v>0</v>
      </c>
      <c r="I68" s="41" t="n">
        <f aca="false">Seg!$I$57+Seg!$I$58+Seg!$I$64-Seg!$I$65</f>
        <v>0</v>
      </c>
      <c r="J68" s="41" t="n">
        <f aca="false">Seg!$J$57+Seg!$J$58+Seg!$J$64-Seg!$J$65</f>
        <v>0</v>
      </c>
      <c r="K68" s="41" t="n">
        <f aca="false">Seg!$K$57+Seg!$K$58+Seg!$K$64-Seg!$K$65</f>
        <v>0</v>
      </c>
      <c r="L68" s="41" t="n">
        <f aca="false">Seg!$L$57+Seg!$L$58+Seg!$L$64-Seg!$L$65</f>
        <v>0</v>
      </c>
      <c r="M68" s="41" t="n">
        <f aca="false">Seg!$M$57+Seg!$M$58+Seg!$M$64-Seg!$M$65</f>
        <v>0</v>
      </c>
      <c r="N68" s="41" t="n">
        <f aca="false">Seg!$N$57+Seg!$N$58+Seg!$N$64-Seg!$N$65</f>
        <v>0</v>
      </c>
      <c r="O68" s="41" t="n">
        <f aca="false">Seg!$O$57+Seg!$O$58+Seg!$O$64-Seg!$O$65</f>
        <v>0</v>
      </c>
    </row>
    <row r="69" customFormat="false" ht="15" hidden="false" customHeight="false" outlineLevel="0" collapsed="false">
      <c r="A69" s="5" t="s">
        <v>699</v>
      </c>
      <c r="B69" s="0" t="s">
        <v>52</v>
      </c>
      <c r="G69" s="13" t="n">
        <f aca="false">Seg!$G$65/Seg!$D$65-1</f>
        <v>0.140854504918937</v>
      </c>
      <c r="H69" s="13" t="n">
        <f aca="false">Seg!$H$65/Seg!$G$65-1</f>
        <v>0.152063789793209</v>
      </c>
      <c r="I69" s="13" t="n">
        <f aca="false">Seg!$I$65/Seg!$H$65-1</f>
        <v>0.134273264437417</v>
      </c>
      <c r="J69" s="13" t="n">
        <f aca="false">Seg!$J$65/Seg!$I$65-1</f>
        <v>0.113310421234083</v>
      </c>
      <c r="K69" s="13" t="n">
        <f aca="false">Seg!$K$65/Seg!$J$65-1</f>
        <v>0.0892108343223652</v>
      </c>
      <c r="L69" s="13" t="n">
        <f aca="false">Seg!$L$65/Seg!$K$65-1</f>
        <v>0.076471362444261</v>
      </c>
      <c r="M69" s="13" t="n">
        <f aca="false">Seg!$M$65/Seg!$L$65-1</f>
        <v>0.066250060256672</v>
      </c>
    </row>
    <row r="70" customFormat="false" ht="17.15" hidden="false" customHeight="false" outlineLevel="0" collapsed="false">
      <c r="A70" s="0" t="s">
        <v>700</v>
      </c>
      <c r="B70" s="0" t="s">
        <v>52</v>
      </c>
      <c r="C70" s="13" t="n">
        <f aca="false">Seg!$C$64/Seg!$C$65</f>
        <v>0.168593906504964</v>
      </c>
      <c r="D70" s="13" t="n">
        <f aca="false">Seg!$D$64/Seg!$D$65</f>
        <v>0.179551807444025</v>
      </c>
      <c r="E70" s="13" t="n">
        <f aca="false">Seg!$E$64/Seg!$E$65</f>
        <v>0.208881910369643</v>
      </c>
      <c r="F70" s="13" t="n">
        <f aca="false">Seg!$F$64/Seg!$F$65</f>
        <v>0.199028269699356</v>
      </c>
      <c r="G70" s="13" t="n">
        <f aca="false">Seg!$G$64/Seg!$G$65</f>
        <v>0.203631882529968</v>
      </c>
      <c r="H70" s="13" t="n">
        <f aca="false">Seg!$H$64/Seg!$H$65</f>
        <v>0.234731715958496</v>
      </c>
      <c r="I70" s="13" t="n">
        <f aca="false">Seg!$I$64/Seg!$I$65</f>
        <v>0.262231204480418</v>
      </c>
      <c r="J70" s="13" t="n">
        <f aca="false">Seg!$J$64/Seg!$J$65</f>
        <v>0.284728366013706</v>
      </c>
      <c r="K70" s="13" t="n">
        <f aca="false">Seg!$K$64/Seg!$K$65</f>
        <v>0.300823304959505</v>
      </c>
      <c r="L70" s="13" t="n">
        <f aca="false">Seg!$L$64/Seg!$L$65</f>
        <v>0.308263164529735</v>
      </c>
      <c r="M70" s="13" t="n">
        <f aca="false">Seg!$M$64/Seg!$M$65</f>
        <v>0.308856517936036</v>
      </c>
      <c r="N70" s="13" t="n">
        <f aca="false">Seg!$N$64/Seg!$N$65</f>
        <v>0.185979484737251</v>
      </c>
      <c r="O70" s="13" t="n">
        <f aca="false">Seg!$O$64/Seg!$O$65</f>
        <v>0.174270432341096</v>
      </c>
    </row>
    <row r="71" customFormat="false" ht="17.15" hidden="false" customHeight="false" outlineLevel="0" collapsed="false">
      <c r="A71" s="0" t="s">
        <v>701</v>
      </c>
      <c r="B71" s="0" t="s">
        <v>52</v>
      </c>
      <c r="C71" s="13" t="n">
        <f aca="false">Seg!$C$62/Seg!$C$64</f>
        <v>0.0215795060896058</v>
      </c>
      <c r="D71" s="13" t="n">
        <f aca="false">Seg!$D$62/Seg!$D$64</f>
        <v>0.0676152269462122</v>
      </c>
      <c r="E71" s="13" t="n">
        <f aca="false">Seg!$E$62/Seg!$E$64</f>
        <v>0.106620641395783</v>
      </c>
      <c r="F71" s="13" t="n">
        <f aca="false">Seg!$F$62/Seg!$F$64</f>
        <v>0.172523487401099</v>
      </c>
      <c r="G71" s="13" t="n">
        <f aca="false">Seg!$G$62/Seg!$G$64</f>
        <v>0.140939911795589</v>
      </c>
      <c r="H71" s="13" t="n">
        <f aca="false">Seg!$H$62/Seg!$H$64</f>
        <v>0.272018642937714</v>
      </c>
      <c r="I71" s="13" t="n">
        <f aca="false">Seg!$I$62/Seg!$I$64</f>
        <v>0.362159512436497</v>
      </c>
      <c r="J71" s="13" t="n">
        <f aca="false">Seg!$J$62/Seg!$J$64</f>
        <v>0.422151735934609</v>
      </c>
      <c r="K71" s="13" t="n">
        <f aca="false">Seg!$K$62/Seg!$K$64</f>
        <v>0.45769342068485</v>
      </c>
      <c r="L71" s="13" t="n">
        <f aca="false">Seg!$L$62/Seg!$L$64</f>
        <v>0.469047103913472</v>
      </c>
      <c r="M71" s="13" t="n">
        <f aca="false">Seg!$M$62/Seg!$M$64</f>
        <v>0.463233328258093</v>
      </c>
      <c r="N71" s="13" t="n">
        <f aca="false">Seg!$N$62/Seg!$N$64</f>
        <v>0.0506537999838362</v>
      </c>
      <c r="O71" s="13" t="n">
        <f aca="false">Seg!$O$62/Seg!$O$64</f>
        <v>0.0824881615167056</v>
      </c>
    </row>
    <row r="74" customFormat="false" ht="19.4" hidden="false" customHeight="false" outlineLevel="0" collapsed="false">
      <c r="A74" s="31" t="s">
        <v>706</v>
      </c>
    </row>
    <row r="75" customFormat="false" ht="17.15" hidden="false" customHeight="false" outlineLevel="0" collapsed="false">
      <c r="A75" s="6" t="s">
        <v>16</v>
      </c>
      <c r="B75" s="6" t="s">
        <v>17</v>
      </c>
      <c r="C75" s="20" t="s">
        <v>497</v>
      </c>
      <c r="D75" s="20" t="s">
        <v>498</v>
      </c>
      <c r="E75" s="20" t="s">
        <v>580</v>
      </c>
      <c r="F75" s="20" t="s">
        <v>581</v>
      </c>
      <c r="G75" s="20" t="s">
        <v>582</v>
      </c>
      <c r="H75" s="20" t="s">
        <v>583</v>
      </c>
      <c r="I75" s="20" t="s">
        <v>584</v>
      </c>
      <c r="J75" s="20" t="s">
        <v>585</v>
      </c>
      <c r="K75" s="20" t="s">
        <v>586</v>
      </c>
      <c r="L75" s="20" t="s">
        <v>587</v>
      </c>
      <c r="M75" s="20" t="s">
        <v>588</v>
      </c>
      <c r="N75" s="20" t="s">
        <v>589</v>
      </c>
      <c r="O75" s="20" t="s">
        <v>590</v>
      </c>
      <c r="P75" s="6" t="s">
        <v>23</v>
      </c>
      <c r="R75" s="20" t="n">
        <v>2023</v>
      </c>
      <c r="S75" s="20" t="n">
        <v>2024</v>
      </c>
      <c r="T75" s="20" t="n">
        <v>2025</v>
      </c>
      <c r="U75" s="20" t="n">
        <v>2026</v>
      </c>
      <c r="V75" s="20" t="n">
        <v>2027</v>
      </c>
      <c r="W75" s="20" t="n">
        <v>2028</v>
      </c>
      <c r="X75" s="20" t="n">
        <v>2029</v>
      </c>
      <c r="Y75" s="20" t="n">
        <v>2030</v>
      </c>
      <c r="Z75" s="20" t="n">
        <v>2031</v>
      </c>
      <c r="AA75" s="20" t="n">
        <v>2032</v>
      </c>
    </row>
    <row r="76" customFormat="false" ht="17.15" hidden="false" customHeight="false" outlineLevel="0" collapsed="false">
      <c r="A76" s="1" t="s">
        <v>666</v>
      </c>
    </row>
    <row r="77" customFormat="false" ht="17.15" hidden="false" customHeight="false" outlineLevel="0" collapsed="false">
      <c r="A77" s="0" t="s">
        <v>519</v>
      </c>
      <c r="B77" s="0" t="s">
        <v>86</v>
      </c>
      <c r="C77" s="38" t="n">
        <f aca="false">Q!$D$10</f>
        <v>247.029</v>
      </c>
      <c r="D77" s="38" t="n">
        <f aca="false">Q!$E$10</f>
        <v>269.287</v>
      </c>
      <c r="E77" s="38" t="n">
        <f aca="false">Q!$P$10</f>
        <v>134.686</v>
      </c>
      <c r="F77" s="38" t="n">
        <f aca="false">Seg!$O$77*(1+Seg!$F$78)*Seg!$F$89</f>
        <v>158.293876822267</v>
      </c>
      <c r="G77" s="38" t="n">
        <f aca="false">Seg!$E$77+Seg!$F$77</f>
        <v>292.979876822267</v>
      </c>
      <c r="H77" s="38" t="n">
        <f aca="false">Seg!$G$77*(1+Seg!$H$78)</f>
        <v>318.184543087396</v>
      </c>
      <c r="I77" s="38" t="n">
        <f aca="false">Seg!$H$77*(1+Seg!$I$78)</f>
        <v>341.736278761793</v>
      </c>
      <c r="J77" s="38" t="n">
        <f aca="false">Seg!$I$77*(1+Seg!$J$78)</f>
        <v>362.927192787048</v>
      </c>
      <c r="K77" s="38" t="n">
        <f aca="false">Seg!$J$77*(1+Seg!$K$78)</f>
        <v>381.0735524264</v>
      </c>
      <c r="L77" s="38" t="n">
        <f aca="false">Seg!$K$77*(1+Seg!$L$78)</f>
        <v>400.12723004772</v>
      </c>
      <c r="M77" s="38" t="n">
        <f aca="false">Seg!$L$77*(1+Seg!$M$78)</f>
        <v>420.133591550106</v>
      </c>
      <c r="N77" s="38" t="n">
        <f aca="false">Q!$N$10</f>
        <v>118.892</v>
      </c>
      <c r="O77" s="38" t="n">
        <f aca="false">Q!$O$10</f>
        <v>150.395</v>
      </c>
      <c r="P77" s="8" t="s">
        <v>667</v>
      </c>
    </row>
    <row r="78" customFormat="false" ht="17.15" hidden="false" customHeight="false" outlineLevel="0" collapsed="false">
      <c r="A78" s="0" t="s">
        <v>668</v>
      </c>
      <c r="B78" s="0" t="s">
        <v>52</v>
      </c>
      <c r="E78" s="13" t="n">
        <f aca="false">Seg!$E$77/Seg!$N$77-1</f>
        <v>0.132843252699929</v>
      </c>
      <c r="F78" s="13" t="n">
        <f aca="false">Seg!$O$77/(Q!$F$10+Q!$G$10)-1</f>
        <v>0.0980382135842941</v>
      </c>
      <c r="G78" s="13" t="n">
        <f aca="false">Seg!$G$77/Seg!$D$77-1</f>
        <v>0.0879837378791657</v>
      </c>
      <c r="H78" s="13" t="n">
        <f aca="false">Seg!$F$78+(g_os-Seg!$F$78)*1/4</f>
        <v>0.0860286601882206</v>
      </c>
      <c r="I78" s="13" t="n">
        <f aca="false">Seg!$F$78+(g_os-Seg!$F$78)*2/4</f>
        <v>0.074019106792147</v>
      </c>
      <c r="J78" s="13" t="n">
        <f aca="false">Seg!$F$78+(g_os-Seg!$F$78)*3/4</f>
        <v>0.0620095533960735</v>
      </c>
      <c r="K78" s="13" t="n">
        <f aca="false">Seg!$F$78+(g_os-Seg!$F$78)*4/4</f>
        <v>0.05</v>
      </c>
      <c r="L78" s="13" t="n">
        <f aca="false">g_os</f>
        <v>0.05</v>
      </c>
      <c r="M78" s="13" t="n">
        <f aca="false">g_os</f>
        <v>0.05</v>
      </c>
      <c r="P78" s="8" t="s">
        <v>669</v>
      </c>
    </row>
    <row r="79" customFormat="false" ht="17.15" hidden="false" customHeight="false" outlineLevel="0" collapsed="false">
      <c r="A79" s="0" t="s">
        <v>520</v>
      </c>
      <c r="B79" s="0" t="s">
        <v>86</v>
      </c>
      <c r="C79" s="38" t="n">
        <f aca="false">Q!$D$11</f>
        <v>21.215</v>
      </c>
      <c r="D79" s="38" t="n">
        <f aca="false">Q!$E$11</f>
        <v>22.561</v>
      </c>
      <c r="E79" s="38" t="n">
        <f aca="false">Q!$P$11</f>
        <v>11.579</v>
      </c>
      <c r="F79" s="38" t="n">
        <f aca="false">Seg!$O$79*(1+Seg!$F$80)*Seg!$F$89</f>
        <v>11.5938724610325</v>
      </c>
      <c r="G79" s="38" t="n">
        <f aca="false">Seg!$E$79+Seg!$F$79</f>
        <v>23.1728724610325</v>
      </c>
      <c r="H79" s="38" t="n">
        <f aca="false">Seg!$G$79*(1+Seg!$H$80)</f>
        <v>24.353392759506</v>
      </c>
      <c r="I79" s="38" t="n">
        <f aca="false">Seg!$H$79*(1+Seg!$I$80)</f>
        <v>25.4240338872015</v>
      </c>
      <c r="J79" s="38" t="n">
        <f aca="false">Seg!$I$79*(1+Seg!$J$80)</f>
        <v>26.3642491017174</v>
      </c>
      <c r="K79" s="38" t="n">
        <f aca="false">Seg!$J$79*(1+Seg!$K$80)</f>
        <v>27.155176574769</v>
      </c>
      <c r="L79" s="38" t="n">
        <f aca="false">Seg!$K$79*(1+Seg!$L$80)</f>
        <v>27.969831872012</v>
      </c>
      <c r="M79" s="38" t="n">
        <f aca="false">Seg!$L$79*(1+Seg!$M$80)</f>
        <v>28.8089268281724</v>
      </c>
      <c r="N79" s="38" t="n">
        <f aca="false">Q!$N$11</f>
        <v>11.128</v>
      </c>
      <c r="O79" s="38" t="n">
        <f aca="false">Q!$O$11</f>
        <v>11.433</v>
      </c>
      <c r="P79" s="8" t="s">
        <v>667</v>
      </c>
    </row>
    <row r="80" customFormat="false" ht="17.15" hidden="false" customHeight="false" outlineLevel="0" collapsed="false">
      <c r="A80" s="0" t="s">
        <v>670</v>
      </c>
      <c r="B80" s="0" t="s">
        <v>52</v>
      </c>
      <c r="E80" s="13" t="n">
        <f aca="false">Seg!$E$79/Seg!$N$79-1</f>
        <v>0.0405283968368082</v>
      </c>
      <c r="F80" s="13" t="n">
        <f aca="false">Seg!$O$79/(Q!$F$11+Q!$G$11)-1</f>
        <v>0.0579254187100955</v>
      </c>
      <c r="G80" s="13" t="n">
        <f aca="false">Seg!$G$79/Seg!$D$79-1</f>
        <v>0.0271208040881397</v>
      </c>
      <c r="H80" s="13" t="n">
        <f aca="false">Seg!$F$80+(g_ps-Seg!$F$80)*1/4</f>
        <v>0.0509440640325716</v>
      </c>
      <c r="I80" s="13" t="n">
        <f aca="false">Seg!$F$80+(g_ps-Seg!$F$80)*2/4</f>
        <v>0.0439627093550477</v>
      </c>
      <c r="J80" s="13" t="n">
        <f aca="false">Seg!$F$80+(g_ps-Seg!$F$80)*3/4</f>
        <v>0.0369813546775239</v>
      </c>
      <c r="K80" s="13" t="n">
        <f aca="false">Seg!$F$80+(g_ps-Seg!$F$80)*4/4</f>
        <v>0.03</v>
      </c>
      <c r="L80" s="13" t="n">
        <f aca="false">g_ps</f>
        <v>0.03</v>
      </c>
      <c r="M80" s="13" t="n">
        <f aca="false">g_ps</f>
        <v>0.03</v>
      </c>
      <c r="P80" s="8" t="s">
        <v>671</v>
      </c>
    </row>
    <row r="81" customFormat="false" ht="17.15" hidden="false" customHeight="false" outlineLevel="0" collapsed="false">
      <c r="A81" s="0" t="s">
        <v>521</v>
      </c>
      <c r="B81" s="0" t="s">
        <v>86</v>
      </c>
      <c r="C81" s="38" t="n">
        <f aca="false">Q!$D$12</f>
        <v>156.146</v>
      </c>
      <c r="D81" s="38" t="n">
        <f aca="false">Q!$E$12</f>
        <v>172.162</v>
      </c>
      <c r="E81" s="38" t="n">
        <f aca="false">Q!$P$12</f>
        <v>88.358</v>
      </c>
      <c r="F81" s="38" t="n">
        <f aca="false">Seg!$O$81*(1+Seg!$F$82)*Seg!$F$89</f>
        <v>102.004388260171</v>
      </c>
      <c r="G81" s="38" t="n">
        <f aca="false">Seg!$E$81+Seg!$F$81</f>
        <v>190.362388260171</v>
      </c>
      <c r="H81" s="38" t="n">
        <f aca="false">Seg!$G$81*(1+Seg!$H$82)</f>
        <v>210.343106588311</v>
      </c>
      <c r="I81" s="38" t="n">
        <f aca="false">Seg!$H$81*(1+Seg!$I$82)</f>
        <v>229.969728494648</v>
      </c>
      <c r="J81" s="38" t="n">
        <f aca="false">Seg!$I$81*(1+Seg!$J$82)</f>
        <v>248.747636972598</v>
      </c>
      <c r="K81" s="38" t="n">
        <f aca="false">Seg!$J$81*(1+Seg!$K$82)</f>
        <v>266.15997156068</v>
      </c>
      <c r="L81" s="38" t="n">
        <f aca="false">Seg!$K$81*(1+Seg!$L$82)</f>
        <v>284.791169569927</v>
      </c>
      <c r="M81" s="38" t="n">
        <f aca="false">Seg!$L$81*(1+Seg!$M$82)</f>
        <v>304.726551439822</v>
      </c>
      <c r="N81" s="38" t="n">
        <f aca="false">Q!$N$12</f>
        <v>76.86</v>
      </c>
      <c r="O81" s="38" t="n">
        <f aca="false">Q!$O$12</f>
        <v>95.302</v>
      </c>
      <c r="P81" s="8" t="s">
        <v>667</v>
      </c>
    </row>
    <row r="82" customFormat="false" ht="17.15" hidden="false" customHeight="false" outlineLevel="0" collapsed="false">
      <c r="A82" s="0" t="s">
        <v>672</v>
      </c>
      <c r="B82" s="0" t="s">
        <v>52</v>
      </c>
      <c r="E82" s="13" t="n">
        <f aca="false">Seg!$E$81/Seg!$N$81-1</f>
        <v>0.1495966692688</v>
      </c>
      <c r="F82" s="13" t="n">
        <f aca="false">Seg!$O$81/(Q!$F$12+Q!$G$12)-1</f>
        <v>0.11661530890813</v>
      </c>
      <c r="G82" s="13" t="n">
        <f aca="false">Seg!$G$81/Seg!$D$81-1</f>
        <v>0.105716640490767</v>
      </c>
      <c r="H82" s="13" t="n">
        <f aca="false">Seg!$F$82+(g_sp-Seg!$F$82)*1/4</f>
        <v>0.104961481681098</v>
      </c>
      <c r="I82" s="13" t="n">
        <f aca="false">Seg!$F$82+(g_sp-Seg!$F$82)*2/4</f>
        <v>0.0933076544540651</v>
      </c>
      <c r="J82" s="13" t="n">
        <f aca="false">Seg!$F$82+(g_sp-Seg!$F$82)*3/4</f>
        <v>0.0816538272270325</v>
      </c>
      <c r="K82" s="13" t="n">
        <f aca="false">Seg!$F$82+(g_sp-Seg!$F$82)*4/4</f>
        <v>0.07</v>
      </c>
      <c r="L82" s="13" t="n">
        <f aca="false">g_sp</f>
        <v>0.07</v>
      </c>
      <c r="M82" s="13" t="n">
        <f aca="false">g_sp</f>
        <v>0.07</v>
      </c>
      <c r="P82" s="8" t="s">
        <v>673</v>
      </c>
    </row>
    <row r="83" customFormat="false" ht="17.15" hidden="false" customHeight="false" outlineLevel="0" collapsed="false">
      <c r="A83" s="0" t="s">
        <v>522</v>
      </c>
      <c r="B83" s="0" t="s">
        <v>86</v>
      </c>
      <c r="C83" s="38" t="n">
        <f aca="false">Q!$D$13</f>
        <v>56.214</v>
      </c>
      <c r="D83" s="38" t="n">
        <f aca="false">Q!$E$13</f>
        <v>68.635</v>
      </c>
      <c r="E83" s="38" t="n">
        <f aca="false">Q!$P$13</f>
        <v>37.052</v>
      </c>
      <c r="F83" s="38" t="n">
        <f aca="false">Seg!$O$83*(1+Seg!$F$84)*Seg!$F$89</f>
        <v>46.1572219944148</v>
      </c>
      <c r="G83" s="38" t="n">
        <f aca="false">Seg!$E$83+Seg!$F$83</f>
        <v>83.2092219944148</v>
      </c>
      <c r="H83" s="38" t="n">
        <f aca="false">Seg!$G$83*(1+Seg!$H$84)</f>
        <v>99.8969223878976</v>
      </c>
      <c r="I83" s="38" t="n">
        <f aca="false">Seg!$H$83*(1+Seg!$I$84)</f>
        <v>116.583111095496</v>
      </c>
      <c r="J83" s="38" t="n">
        <f aca="false">Seg!$I$83*(1+Seg!$J$84)</f>
        <v>132.148941941952</v>
      </c>
      <c r="K83" s="38" t="n">
        <f aca="false">Seg!$J$83*(1+Seg!$K$84)</f>
        <v>145.363836136147</v>
      </c>
      <c r="L83" s="38" t="n">
        <f aca="false">Seg!$K$83*(1+Seg!$L$84)</f>
        <v>159.900219749762</v>
      </c>
      <c r="M83" s="38" t="n">
        <f aca="false">Seg!$L$83*(1+Seg!$M$84)</f>
        <v>175.890241724738</v>
      </c>
      <c r="N83" s="38" t="n">
        <f aca="false">Q!$N$13</f>
        <v>29.615</v>
      </c>
      <c r="O83" s="38" t="n">
        <f aca="false">Q!$O$13</f>
        <v>39.02</v>
      </c>
      <c r="P83" s="8" t="s">
        <v>667</v>
      </c>
    </row>
    <row r="84" customFormat="false" ht="17.15" hidden="false" customHeight="false" outlineLevel="0" collapsed="false">
      <c r="A84" s="0" t="s">
        <v>674</v>
      </c>
      <c r="B84" s="0" t="s">
        <v>52</v>
      </c>
      <c r="E84" s="13" t="n">
        <f aca="false">Seg!$E$83/Seg!$N$83-1</f>
        <v>0.25112274185379</v>
      </c>
      <c r="F84" s="13" t="n">
        <f aca="false">Seg!$O$83/(Q!$F$13+Q!$G$13)-1</f>
        <v>0.234068123596572</v>
      </c>
      <c r="G84" s="13" t="n">
        <f aca="false">Seg!$G$83/Seg!$D$83-1</f>
        <v>0.212343876949294</v>
      </c>
      <c r="H84" s="13" t="n">
        <f aca="false">Seg!$F$84+(g_ad-Seg!$F$84)*1/4</f>
        <v>0.200551092697429</v>
      </c>
      <c r="I84" s="13" t="n">
        <f aca="false">Seg!$F$84+(g_ad-Seg!$F$84)*2/4</f>
        <v>0.167034061798286</v>
      </c>
      <c r="J84" s="13" t="n">
        <f aca="false">Seg!$F$84+(g_ad-Seg!$F$84)*3/4</f>
        <v>0.133517030899143</v>
      </c>
      <c r="K84" s="13" t="n">
        <f aca="false">Seg!$F$84+(g_ad-Seg!$F$84)*4/4</f>
        <v>0.1</v>
      </c>
      <c r="L84" s="13" t="n">
        <f aca="false">g_ad</f>
        <v>0.1</v>
      </c>
      <c r="M84" s="13" t="n">
        <f aca="false">g_ad</f>
        <v>0.1</v>
      </c>
      <c r="P84" s="8" t="s">
        <v>675</v>
      </c>
    </row>
    <row r="85" customFormat="false" ht="17.15" hidden="false" customHeight="false" outlineLevel="0" collapsed="false">
      <c r="A85" s="0" t="s">
        <v>523</v>
      </c>
      <c r="B85" s="0" t="s">
        <v>86</v>
      </c>
      <c r="C85" s="38" t="n">
        <f aca="false">Q!$D$14</f>
        <v>44.374</v>
      </c>
      <c r="D85" s="38" t="n">
        <f aca="false">Q!$E$14</f>
        <v>49.619</v>
      </c>
      <c r="E85" s="38" t="n">
        <f aca="false">Q!$P$14</f>
        <v>27.157</v>
      </c>
      <c r="F85" s="38" t="n">
        <f aca="false">Seg!$O$85*(1+Seg!$F$86)*Seg!$F$89</f>
        <v>27.7764165988154</v>
      </c>
      <c r="G85" s="38" t="n">
        <f aca="false">Seg!$E$85+Seg!$F$85</f>
        <v>54.9334165988154</v>
      </c>
      <c r="H85" s="38" t="n">
        <f aca="false">Seg!$G$85*(1+Seg!$H$86)</f>
        <v>61.1564112561829</v>
      </c>
      <c r="I85" s="38" t="n">
        <f aca="false">Seg!$H$85*(1+Seg!$I$86)</f>
        <v>67.2020282103945</v>
      </c>
      <c r="J85" s="38" t="n">
        <f aca="false">Seg!$I$85*(1+Seg!$J$86)</f>
        <v>72.8757274028885</v>
      </c>
      <c r="K85" s="38" t="n">
        <f aca="false">Seg!$J$85*(1+Seg!$K$86)</f>
        <v>77.9770283210907</v>
      </c>
      <c r="L85" s="38" t="n">
        <f aca="false">Seg!$K$85*(1+Seg!$L$86)</f>
        <v>83.4354203035671</v>
      </c>
      <c r="M85" s="38" t="n">
        <f aca="false">Seg!$L$85*(1+Seg!$M$86)</f>
        <v>89.2758997248168</v>
      </c>
      <c r="N85" s="38" t="n">
        <f aca="false">Q!$N$14</f>
        <v>23.923</v>
      </c>
      <c r="O85" s="38" t="n">
        <f aca="false">Q!$O$14</f>
        <v>25.696</v>
      </c>
      <c r="P85" s="8" t="s">
        <v>667</v>
      </c>
    </row>
    <row r="86" customFormat="false" ht="17.15" hidden="false" customHeight="false" outlineLevel="0" collapsed="false">
      <c r="A86" s="0" t="s">
        <v>676</v>
      </c>
      <c r="B86" s="0" t="s">
        <v>52</v>
      </c>
      <c r="E86" s="13" t="n">
        <f aca="false">Seg!$E$85/Seg!$N$85-1</f>
        <v>0.135183714417088</v>
      </c>
      <c r="F86" s="13" t="n">
        <f aca="false">Seg!$O$85/(Q!$F$14+Q!$G$14)-1</f>
        <v>0.127709997366804</v>
      </c>
      <c r="G86" s="13" t="n">
        <f aca="false">Seg!$G$85/Seg!$D$85-1</f>
        <v>0.107104468022641</v>
      </c>
      <c r="H86" s="13" t="n">
        <f aca="false">Seg!$F$86+(g_sub-Seg!$F$86)*1/4</f>
        <v>0.113282498025103</v>
      </c>
      <c r="I86" s="13" t="n">
        <f aca="false">Seg!$F$86+(g_sub-Seg!$F$86)*2/4</f>
        <v>0.0988549986834021</v>
      </c>
      <c r="J86" s="13" t="n">
        <f aca="false">Seg!$F$86+(g_sub-Seg!$F$86)*3/4</f>
        <v>0.084427499341701</v>
      </c>
      <c r="K86" s="13" t="n">
        <f aca="false">Seg!$F$86+(g_sub-Seg!$F$86)*4/4</f>
        <v>0.07</v>
      </c>
      <c r="L86" s="13" t="n">
        <f aca="false">g_sub</f>
        <v>0.07</v>
      </c>
      <c r="M86" s="13" t="n">
        <f aca="false">g_sub</f>
        <v>0.07</v>
      </c>
      <c r="P86" s="8" t="s">
        <v>677</v>
      </c>
    </row>
    <row r="87" customFormat="false" ht="17.15" hidden="false" customHeight="false" outlineLevel="0" collapsed="false">
      <c r="A87" s="0" t="s">
        <v>524</v>
      </c>
      <c r="B87" s="0" t="s">
        <v>86</v>
      </c>
      <c r="C87" s="38" t="n">
        <f aca="false">Q!$D$15</f>
        <v>5.425</v>
      </c>
      <c r="D87" s="38" t="n">
        <f aca="false">Q!$E$15</f>
        <v>5.935</v>
      </c>
      <c r="E87" s="38" t="n">
        <f aca="false">Q!$P$15</f>
        <v>3.474</v>
      </c>
      <c r="F87" s="38" t="n">
        <f aca="false">Seg!$O$87*(1+Seg!$F$88)*Seg!$F$89</f>
        <v>3.22246550883619</v>
      </c>
      <c r="G87" s="38" t="n">
        <f aca="false">Seg!$E$87+Seg!$F$87</f>
        <v>6.69646550883619</v>
      </c>
      <c r="H87" s="38" t="n">
        <f aca="false">Seg!$G$87*(1+Seg!$H$88)</f>
        <v>7.16251344209196</v>
      </c>
      <c r="I87" s="38" t="n">
        <f aca="false">Seg!$H$87*(1+Seg!$I$88)</f>
        <v>7.61421070299826</v>
      </c>
      <c r="J87" s="38" t="n">
        <f aca="false">Seg!$I$87*(1+Seg!$J$88)</f>
        <v>8.04465753523932</v>
      </c>
      <c r="K87" s="38" t="n">
        <f aca="false">Seg!$J$87*(1+Seg!$K$88)</f>
        <v>8.44689041200128</v>
      </c>
      <c r="L87" s="38" t="n">
        <f aca="false">Seg!$K$87*(1+Seg!$L$88)</f>
        <v>8.86923493260135</v>
      </c>
      <c r="M87" s="38" t="n">
        <f aca="false">Seg!$L$87*(1+Seg!$M$88)</f>
        <v>9.31269667923142</v>
      </c>
      <c r="N87" s="38" t="n">
        <f aca="false">Q!$N$15</f>
        <v>2.811</v>
      </c>
      <c r="O87" s="38" t="n">
        <f aca="false">Q!$O$15</f>
        <v>3.124</v>
      </c>
      <c r="P87" s="8" t="s">
        <v>667</v>
      </c>
    </row>
    <row r="88" customFormat="false" ht="17.15" hidden="false" customHeight="false" outlineLevel="0" collapsed="false">
      <c r="A88" s="0" t="s">
        <v>678</v>
      </c>
      <c r="B88" s="0" t="s">
        <v>52</v>
      </c>
      <c r="E88" s="13" t="n">
        <f aca="false">Seg!$E$87/Seg!$N$87-1</f>
        <v>0.235859124866596</v>
      </c>
      <c r="F88" s="13" t="n">
        <f aca="false">Seg!$O$87/(Q!$F$15+Q!$G$15)-1</f>
        <v>0.0761281433000345</v>
      </c>
      <c r="G88" s="13" t="n">
        <f aca="false">Seg!$G$87/Seg!$D$87-1</f>
        <v>0.128300843948811</v>
      </c>
      <c r="H88" s="13" t="n">
        <f aca="false">Seg!$F$88+(g_ot-Seg!$F$88)*1/4</f>
        <v>0.0695961074750259</v>
      </c>
      <c r="I88" s="13" t="n">
        <f aca="false">Seg!$F$88+(g_ot-Seg!$F$88)*2/4</f>
        <v>0.0630640716500172</v>
      </c>
      <c r="J88" s="13" t="n">
        <f aca="false">Seg!$F$88+(g_ot-Seg!$F$88)*3/4</f>
        <v>0.0565320358250086</v>
      </c>
      <c r="K88" s="13" t="n">
        <f aca="false">Seg!$F$88+(g_ot-Seg!$F$88)*4/4</f>
        <v>0.05</v>
      </c>
      <c r="L88" s="13" t="n">
        <f aca="false">g_ot</f>
        <v>0.05</v>
      </c>
      <c r="M88" s="13" t="n">
        <f aca="false">g_ot</f>
        <v>0.05</v>
      </c>
      <c r="P88" s="8" t="s">
        <v>679</v>
      </c>
    </row>
    <row r="89" customFormat="false" ht="17.15" hidden="false" customHeight="false" outlineLevel="0" collapsed="false">
      <c r="A89" s="0" t="s">
        <v>680</v>
      </c>
      <c r="B89" s="0" t="s">
        <v>57</v>
      </c>
      <c r="F89" s="40" t="n">
        <f aca="false">(g26q3_mid*Q!$O$8/Q!$J$8-Thesis!$F$86-Thesis!$F$90)/(Seg!$O$77*(1+Seg!$F$78)+Seg!$O$79*(1+Seg!$F$80)+Seg!$O$81*(1+Seg!$F$82)+Seg!$O$83*(1+Seg!$F$84)+Seg!$O$85*(1+Seg!$F$86)+Seg!$O$87*(1+Seg!$F$88))</f>
        <v>0.958546670622329</v>
      </c>
      <c r="P89" s="8" t="s">
        <v>681</v>
      </c>
    </row>
    <row r="90" customFormat="false" ht="17.15" hidden="false" customHeight="false" outlineLevel="0" collapsed="false">
      <c r="A90" s="3" t="s">
        <v>682</v>
      </c>
      <c r="B90" s="8" t="s">
        <v>86</v>
      </c>
      <c r="C90" s="38" t="n">
        <f aca="false">Seg!$C$77+Seg!$C$79+Seg!$C$81+Seg!$C$83+Seg!$C$85+Seg!$C$87</f>
        <v>530.403</v>
      </c>
      <c r="D90" s="38" t="n">
        <f aca="false">Seg!$D$77+Seg!$D$79+Seg!$D$81+Seg!$D$83+Seg!$D$85+Seg!$D$87</f>
        <v>588.199</v>
      </c>
      <c r="E90" s="38" t="n">
        <f aca="false">Seg!$E$77+Seg!$E$79+Seg!$E$81+Seg!$E$83+Seg!$E$85+Seg!$E$87</f>
        <v>302.306</v>
      </c>
      <c r="F90" s="38" t="n">
        <f aca="false">Seg!$F$77+Seg!$F$79+Seg!$F$81+Seg!$F$83+Seg!$F$85+Seg!$F$87</f>
        <v>349.048241645537</v>
      </c>
      <c r="G90" s="38" t="n">
        <f aca="false">Seg!$G$77+Seg!$G$79+Seg!$G$81+Seg!$G$83+Seg!$G$85+Seg!$G$87</f>
        <v>651.354241645537</v>
      </c>
      <c r="H90" s="38" t="n">
        <f aca="false">Seg!$H$77+Seg!$H$79+Seg!$H$81+Seg!$H$83+Seg!$H$85+Seg!$H$87</f>
        <v>721.096889521386</v>
      </c>
      <c r="I90" s="38" t="n">
        <f aca="false">Seg!$I$77+Seg!$I$79+Seg!$I$81+Seg!$I$83+Seg!$I$85+Seg!$I$87</f>
        <v>788.529391152531</v>
      </c>
      <c r="J90" s="38" t="n">
        <f aca="false">Seg!$J$77+Seg!$J$79+Seg!$J$81+Seg!$J$83+Seg!$J$85+Seg!$J$87</f>
        <v>851.108405741443</v>
      </c>
      <c r="K90" s="38" t="n">
        <f aca="false">Seg!$K$77+Seg!$K$79+Seg!$K$81+Seg!$K$83+Seg!$K$85+Seg!$K$87</f>
        <v>906.176455431088</v>
      </c>
      <c r="L90" s="38" t="n">
        <f aca="false">Seg!$L$77+Seg!$L$79+Seg!$L$81+Seg!$L$83+Seg!$L$85+Seg!$L$87</f>
        <v>965.093106475589</v>
      </c>
      <c r="M90" s="38" t="n">
        <f aca="false">Seg!$M$77+Seg!$M$79+Seg!$M$81+Seg!$M$83+Seg!$M$85+Seg!$M$87</f>
        <v>1028.14790794689</v>
      </c>
      <c r="N90" s="38" t="n">
        <f aca="false">Seg!$N$77+Seg!$N$79+Seg!$N$81+Seg!$N$83+Seg!$N$85+Seg!$N$87</f>
        <v>263.229</v>
      </c>
      <c r="O90" s="38" t="n">
        <f aca="false">Seg!$O$77+Seg!$O$79+Seg!$O$81+Seg!$O$83+Seg!$O$85+Seg!$O$87</f>
        <v>324.97</v>
      </c>
    </row>
    <row r="91" customFormat="false" ht="17.15" hidden="false" customHeight="false" outlineLevel="0" collapsed="false">
      <c r="A91" s="5" t="s">
        <v>683</v>
      </c>
      <c r="B91" s="0" t="s">
        <v>52</v>
      </c>
      <c r="C91" s="13" t="n">
        <f aca="false">Q!$D$5/(Q!$D$5+Q!$D$6)</f>
        <v>0.730570905519011</v>
      </c>
      <c r="D91" s="13" t="n">
        <f aca="false">Q!$E$5/(Q!$E$5+Q!$E$6)</f>
        <v>0.724763217890544</v>
      </c>
      <c r="E91" s="13" t="n">
        <f aca="false">Q!$P$5/(Q!$P$5+Q!$P$6)</f>
        <v>0.728797972914861</v>
      </c>
      <c r="F91" s="13" t="n">
        <f aca="false">Seg!$O$91</f>
        <v>0.718066283041511</v>
      </c>
      <c r="G91" s="13" t="n">
        <f aca="false">Seg!$G$92/Seg!$G$90</f>
        <v>0.723047066202847</v>
      </c>
      <c r="H91" s="13" t="n">
        <f aca="false">Seg!$G$91</f>
        <v>0.723047066202847</v>
      </c>
      <c r="I91" s="13" t="n">
        <f aca="false">Seg!$G$91</f>
        <v>0.723047066202847</v>
      </c>
      <c r="J91" s="13" t="n">
        <f aca="false">Seg!$G$91</f>
        <v>0.723047066202847</v>
      </c>
      <c r="K91" s="13" t="n">
        <f aca="false">Seg!$G$91</f>
        <v>0.723047066202847</v>
      </c>
      <c r="L91" s="13" t="n">
        <f aca="false">Seg!$G$91</f>
        <v>0.723047066202847</v>
      </c>
      <c r="M91" s="13" t="n">
        <f aca="false">Seg!$G$91</f>
        <v>0.723047066202847</v>
      </c>
      <c r="N91" s="13" t="n">
        <f aca="false">Q!$N$5/(Q!$N$5+Q!$N$6)</f>
        <v>0.733030935041352</v>
      </c>
      <c r="O91" s="13" t="n">
        <f aca="false">Q!$O$5/(Q!$O$5+Q!$O$6)</f>
        <v>0.718066283041511</v>
      </c>
      <c r="P91" s="8" t="s">
        <v>684</v>
      </c>
    </row>
    <row r="92" customFormat="false" ht="17.15" hidden="false" customHeight="false" outlineLevel="0" collapsed="false">
      <c r="A92" s="1" t="s">
        <v>512</v>
      </c>
      <c r="B92" s="8" t="s">
        <v>86</v>
      </c>
      <c r="C92" s="38" t="n">
        <f aca="false">Q!$D$5</f>
        <v>387.497</v>
      </c>
      <c r="D92" s="38" t="n">
        <f aca="false">Q!$E$5</f>
        <v>426.305</v>
      </c>
      <c r="E92" s="38" t="n">
        <f aca="false">Q!$P$5</f>
        <v>220.32</v>
      </c>
      <c r="F92" s="38" t="n">
        <f aca="false">Seg!$F$90*Seg!$F$91</f>
        <v>250.639773480586</v>
      </c>
      <c r="G92" s="38" t="n">
        <f aca="false">Seg!$E$92+Seg!$F$92</f>
        <v>470.959773480586</v>
      </c>
      <c r="H92" s="38" t="n">
        <f aca="false">Seg!$H$90*Seg!$H$91</f>
        <v>521.386990416437</v>
      </c>
      <c r="I92" s="38" t="n">
        <f aca="false">Seg!$I$90*Seg!$I$91</f>
        <v>570.143862887555</v>
      </c>
      <c r="J92" s="38" t="n">
        <f aca="false">Seg!$J$90*Seg!$J$91</f>
        <v>615.391435791933</v>
      </c>
      <c r="K92" s="38" t="n">
        <f aca="false">Seg!$K$90*Seg!$K$91</f>
        <v>655.208227561543</v>
      </c>
      <c r="L92" s="38" t="n">
        <f aca="false">Seg!$L$90*Seg!$L$91</f>
        <v>697.807739249767</v>
      </c>
      <c r="M92" s="38" t="n">
        <f aca="false">Seg!$M$90*Seg!$M$91</f>
        <v>743.399328463592</v>
      </c>
      <c r="N92" s="38" t="n">
        <f aca="false">Q!$N$5</f>
        <v>192.955</v>
      </c>
      <c r="O92" s="38" t="n">
        <f aca="false">Q!$O$5</f>
        <v>233.35</v>
      </c>
      <c r="P92" s="5" t="s">
        <v>685</v>
      </c>
    </row>
    <row r="93" customFormat="false" ht="17.15" hidden="false" customHeight="false" outlineLevel="0" collapsed="false">
      <c r="A93" s="1" t="s">
        <v>515</v>
      </c>
      <c r="B93" s="8" t="s">
        <v>86</v>
      </c>
      <c r="C93" s="38" t="n">
        <f aca="false">Q!$D$6</f>
        <v>142.906</v>
      </c>
      <c r="D93" s="38" t="n">
        <f aca="false">Q!$E$6</f>
        <v>161.894</v>
      </c>
      <c r="E93" s="38" t="n">
        <f aca="false">Q!$P$6</f>
        <v>81.986</v>
      </c>
      <c r="F93" s="38" t="n">
        <f aca="false">Seg!$F$90*(1-Seg!$F$91)</f>
        <v>98.408468164951</v>
      </c>
      <c r="G93" s="38" t="n">
        <f aca="false">Seg!$E$93+Seg!$F$93</f>
        <v>180.394468164951</v>
      </c>
      <c r="H93" s="38" t="n">
        <f aca="false">Seg!$H$90*(1-Seg!$H$91)</f>
        <v>199.709899104949</v>
      </c>
      <c r="I93" s="38" t="n">
        <f aca="false">Seg!$I$90*(1-Seg!$I$91)</f>
        <v>218.385528264976</v>
      </c>
      <c r="J93" s="38" t="n">
        <f aca="false">Seg!$J$90*(1-Seg!$J$91)</f>
        <v>235.71696994951</v>
      </c>
      <c r="K93" s="38" t="n">
        <f aca="false">Seg!$K$90*(1-Seg!$K$91)</f>
        <v>250.968227869545</v>
      </c>
      <c r="L93" s="38" t="n">
        <f aca="false">Seg!$L$90*(1-Seg!$L$91)</f>
        <v>267.285367225822</v>
      </c>
      <c r="M93" s="38" t="n">
        <f aca="false">Seg!$M$90*(1-Seg!$M$91)</f>
        <v>284.748579483295</v>
      </c>
      <c r="N93" s="38" t="n">
        <f aca="false">Q!$N$6</f>
        <v>70.274</v>
      </c>
      <c r="O93" s="38" t="n">
        <f aca="false">Q!$O$6</f>
        <v>91.62</v>
      </c>
      <c r="P93" s="5" t="s">
        <v>686</v>
      </c>
    </row>
    <row r="94" customFormat="false" ht="17.15" hidden="false" customHeight="false" outlineLevel="0" collapsed="false">
      <c r="A94" s="5" t="s">
        <v>687</v>
      </c>
      <c r="B94" s="0" t="s">
        <v>86</v>
      </c>
      <c r="C94" s="38" t="n">
        <f aca="false">Seg!$C$83*Seg!$C$91</f>
        <v>41.0683128828457</v>
      </c>
      <c r="D94" s="38" t="n">
        <f aca="false">Seg!$D$83*Seg!$D$91</f>
        <v>49.7441234599175</v>
      </c>
      <c r="E94" s="38" t="n">
        <f aca="false">Seg!$E$83*Seg!$E$91</f>
        <v>27.0034224924414</v>
      </c>
      <c r="F94" s="38" t="n">
        <f aca="false">Seg!$F$83*Seg!$F$91</f>
        <v>33.1439448330513</v>
      </c>
      <c r="G94" s="38" t="n">
        <f aca="false">Seg!$G$83*Seg!$G$91</f>
        <v>60.164183844083</v>
      </c>
      <c r="H94" s="38" t="n">
        <f aca="false">Seg!$H$83*Seg!$H$91</f>
        <v>72.2301766552629</v>
      </c>
      <c r="I94" s="38" t="n">
        <f aca="false">Seg!$I$83*Seg!$I$91</f>
        <v>84.2950764463991</v>
      </c>
      <c r="J94" s="38" t="n">
        <f aca="false">Seg!$J$83*Seg!$J$91</f>
        <v>95.5499047729386</v>
      </c>
      <c r="K94" s="38" t="n">
        <f aca="false">Seg!$K$83*Seg!$K$91</f>
        <v>105.104895250232</v>
      </c>
      <c r="L94" s="38" t="n">
        <f aca="false">Seg!$L$83*Seg!$L$91</f>
        <v>115.615384775256</v>
      </c>
      <c r="M94" s="38" t="n">
        <f aca="false">Seg!$M$83*Seg!$M$91</f>
        <v>127.176923252781</v>
      </c>
      <c r="N94" s="38" t="n">
        <f aca="false">Seg!$N$83*Seg!$N$91</f>
        <v>21.7087111412496</v>
      </c>
      <c r="O94" s="38" t="n">
        <f aca="false">Seg!$O$83*Seg!$O$91</f>
        <v>28.0189463642798</v>
      </c>
      <c r="P94" s="5" t="s">
        <v>688</v>
      </c>
    </row>
    <row r="95" customFormat="false" ht="15" hidden="false" customHeight="false" outlineLevel="0" collapsed="false">
      <c r="A95" s="5" t="s">
        <v>689</v>
      </c>
      <c r="B95" s="0" t="s">
        <v>86</v>
      </c>
      <c r="C95" s="38" t="n">
        <f aca="false">Seg!$C$83-Seg!$C$94</f>
        <v>15.1456871171543</v>
      </c>
      <c r="D95" s="38" t="n">
        <f aca="false">Seg!$D$83-Seg!$D$94</f>
        <v>18.8908765400825</v>
      </c>
      <c r="E95" s="38" t="n">
        <f aca="false">Seg!$E$83-Seg!$E$94</f>
        <v>10.0485775075586</v>
      </c>
      <c r="F95" s="38" t="n">
        <f aca="false">Seg!$F$83-Seg!$F$94</f>
        <v>13.0132771613635</v>
      </c>
      <c r="G95" s="38" t="n">
        <f aca="false">Seg!$G$83-Seg!$G$94</f>
        <v>23.0450381503318</v>
      </c>
      <c r="H95" s="38" t="n">
        <f aca="false">Seg!$H$83-Seg!$H$94</f>
        <v>27.6667457326347</v>
      </c>
      <c r="I95" s="38" t="n">
        <f aca="false">Seg!$I$83-Seg!$I$94</f>
        <v>32.2880346490971</v>
      </c>
      <c r="J95" s="38" t="n">
        <f aca="false">Seg!$J$83-Seg!$J$94</f>
        <v>36.5990371690132</v>
      </c>
      <c r="K95" s="38" t="n">
        <f aca="false">Seg!$K$83-Seg!$K$94</f>
        <v>40.2589408859145</v>
      </c>
      <c r="L95" s="38" t="n">
        <f aca="false">Seg!$L$83-Seg!$L$94</f>
        <v>44.2848349745059</v>
      </c>
      <c r="M95" s="38" t="n">
        <f aca="false">Seg!$M$83-Seg!$M$94</f>
        <v>48.7133184719565</v>
      </c>
      <c r="N95" s="38" t="n">
        <f aca="false">Seg!$N$83-Seg!$N$94</f>
        <v>7.90628885875037</v>
      </c>
      <c r="O95" s="38" t="n">
        <f aca="false">Seg!$O$83-Seg!$O$94</f>
        <v>11.0010536357202</v>
      </c>
    </row>
    <row r="96" customFormat="false" ht="17.15" hidden="false" customHeight="false" outlineLevel="0" collapsed="false">
      <c r="A96" s="1" t="s">
        <v>690</v>
      </c>
    </row>
    <row r="97" customFormat="false" ht="17.15" hidden="false" customHeight="false" outlineLevel="0" collapsed="false">
      <c r="A97" s="0" t="s">
        <v>691</v>
      </c>
      <c r="B97" s="0" t="s">
        <v>86</v>
      </c>
      <c r="C97" s="38" t="n">
        <f aca="false">Thesis!$C$146</f>
        <v>2.32100535697364</v>
      </c>
      <c r="D97" s="38" t="n">
        <f aca="false">Thesis!$D$146</f>
        <v>8.70377008865116</v>
      </c>
      <c r="E97" s="38" t="n">
        <f aca="false">Thesis!$E$146</f>
        <v>8.51035297557002</v>
      </c>
      <c r="F97" s="38" t="n">
        <f aca="false">Thesis!$F$146</f>
        <v>14.1374173083338</v>
      </c>
      <c r="G97" s="38" t="n">
        <f aca="false">Thesis!$G$146</f>
        <v>22.6477702839038</v>
      </c>
      <c r="H97" s="38" t="n">
        <f aca="false">Thesis!$H$146</f>
        <v>53.4222901978634</v>
      </c>
      <c r="I97" s="38" t="n">
        <f aca="false">Thesis!$I$146</f>
        <v>87.7997462553011</v>
      </c>
      <c r="J97" s="38" t="n">
        <f aca="false">Thesis!$J$146</f>
        <v>122.330137401312</v>
      </c>
      <c r="K97" s="38" t="n">
        <f aca="false">Thesis!$K$146</f>
        <v>151.788466594157</v>
      </c>
      <c r="L97" s="38" t="n">
        <f aca="false">Thesis!$L$146</f>
        <v>171.148625477554</v>
      </c>
      <c r="M97" s="38" t="n">
        <f aca="false">Thesis!$M$146</f>
        <v>180.385740185952</v>
      </c>
      <c r="N97" s="38" t="n">
        <f aca="false">Thesis!$N$146</f>
        <v>3.04631953102791</v>
      </c>
      <c r="O97" s="38" t="n">
        <f aca="false">Thesis!$O$146</f>
        <v>5.65745055762326</v>
      </c>
      <c r="P97" s="8" t="s">
        <v>692</v>
      </c>
    </row>
    <row r="98" customFormat="false" ht="17.15" hidden="false" customHeight="false" outlineLevel="0" collapsed="false">
      <c r="A98" s="0" t="s">
        <v>693</v>
      </c>
      <c r="B98" s="0" t="s">
        <v>86</v>
      </c>
      <c r="C98" s="38" t="n">
        <f aca="false">Thesis!$C$150</f>
        <v>105.234994643026</v>
      </c>
      <c r="D98" s="38" t="n">
        <f aca="false">Thesis!$D$150</f>
        <v>120.021229911349</v>
      </c>
      <c r="E98" s="38" t="n">
        <f aca="false">Thesis!$E$150</f>
        <v>71.30864702443</v>
      </c>
      <c r="F98" s="38" t="n">
        <f aca="false">Thesis!$F$150</f>
        <v>71.7692997942464</v>
      </c>
      <c r="G98" s="38" t="n">
        <f aca="false">Thesis!$G$150</f>
        <v>143.077946818676</v>
      </c>
      <c r="H98" s="38" t="n">
        <f aca="false">Thesis!$H$150</f>
        <v>161.017077079203</v>
      </c>
      <c r="I98" s="38" t="n">
        <f aca="false">Thesis!$I$150</f>
        <v>178.769759521457</v>
      </c>
      <c r="J98" s="38" t="n">
        <f aca="false">Thesis!$J$150</f>
        <v>195.775538045907</v>
      </c>
      <c r="K98" s="38" t="n">
        <f aca="false">Thesis!$K$150</f>
        <v>211.43758108958</v>
      </c>
      <c r="L98" s="38" t="n">
        <f aca="false">Thesis!$L$150</f>
        <v>228.352587576746</v>
      </c>
      <c r="M98" s="38" t="n">
        <f aca="false">Thesis!$M$150</f>
        <v>246.620794582886</v>
      </c>
      <c r="N98" s="38" t="n">
        <f aca="false">Thesis!$N$150</f>
        <v>57.0936804689721</v>
      </c>
      <c r="O98" s="38" t="n">
        <f aca="false">Thesis!$O$150</f>
        <v>62.9275494423768</v>
      </c>
      <c r="P98" s="8" t="s">
        <v>692</v>
      </c>
    </row>
    <row r="99" customFormat="false" ht="17.15" hidden="false" customHeight="false" outlineLevel="0" collapsed="false">
      <c r="A99" s="1" t="s">
        <v>516</v>
      </c>
      <c r="B99" s="8" t="s">
        <v>86</v>
      </c>
      <c r="C99" s="38" t="n">
        <f aca="false">Q!$D$7</f>
        <v>107.556</v>
      </c>
      <c r="D99" s="38" t="n">
        <f aca="false">Q!$E$7</f>
        <v>128.725</v>
      </c>
      <c r="E99" s="38" t="n">
        <f aca="false">Q!$P$7</f>
        <v>79.819</v>
      </c>
      <c r="F99" s="38" t="n">
        <f aca="false">Seg!$F$97+Seg!$F$98</f>
        <v>85.9067171025802</v>
      </c>
      <c r="G99" s="38" t="n">
        <f aca="false">Seg!$G$97+Seg!$G$98</f>
        <v>165.72571710258</v>
      </c>
      <c r="H99" s="38" t="n">
        <f aca="false">Seg!$H$97+Seg!$H$98</f>
        <v>214.439367277066</v>
      </c>
      <c r="I99" s="38" t="n">
        <f aca="false">Seg!$I$97+Seg!$I$98</f>
        <v>266.569505776759</v>
      </c>
      <c r="J99" s="38" t="n">
        <f aca="false">Seg!$J$97+Seg!$J$98</f>
        <v>318.105675447219</v>
      </c>
      <c r="K99" s="38" t="n">
        <f aca="false">Seg!$K$97+Seg!$K$98</f>
        <v>363.226047683737</v>
      </c>
      <c r="L99" s="38" t="n">
        <f aca="false">Seg!$L$97+Seg!$L$98</f>
        <v>399.5012130543</v>
      </c>
      <c r="M99" s="38" t="n">
        <f aca="false">Seg!$M$97+Seg!$M$98</f>
        <v>427.006534768838</v>
      </c>
      <c r="N99" s="38" t="n">
        <f aca="false">Q!$N$7</f>
        <v>60.14</v>
      </c>
      <c r="O99" s="38" t="n">
        <f aca="false">Q!$O$7</f>
        <v>68.585</v>
      </c>
      <c r="P99" s="5" t="s">
        <v>694</v>
      </c>
    </row>
    <row r="100" customFormat="false" ht="15" hidden="false" customHeight="false" outlineLevel="0" collapsed="false">
      <c r="A100" s="3" t="s">
        <v>695</v>
      </c>
      <c r="B100" s="8" t="s">
        <v>86</v>
      </c>
      <c r="C100" s="38" t="n">
        <f aca="false">Q!$D$8</f>
        <v>637.959</v>
      </c>
      <c r="D100" s="38" t="n">
        <f aca="false">Q!$E$8</f>
        <v>716.924</v>
      </c>
      <c r="E100" s="38" t="n">
        <f aca="false">Q!$P$8</f>
        <v>382.125</v>
      </c>
      <c r="F100" s="38" t="n">
        <f aca="false">Seg!$F$90+Seg!$F$99</f>
        <v>434.954958748117</v>
      </c>
      <c r="G100" s="38" t="n">
        <f aca="false">Seg!$G$90+Seg!$G$99</f>
        <v>817.079958748117</v>
      </c>
      <c r="H100" s="38" t="n">
        <f aca="false">Seg!$H$90+Seg!$H$99</f>
        <v>935.536256798453</v>
      </c>
      <c r="I100" s="38" t="n">
        <f aca="false">Seg!$I$90+Seg!$I$99</f>
        <v>1055.09889692929</v>
      </c>
      <c r="J100" s="38" t="n">
        <f aca="false">Seg!$J$90+Seg!$J$99</f>
        <v>1169.21408118866</v>
      </c>
      <c r="K100" s="38" t="n">
        <f aca="false">Seg!$K$90+Seg!$K$99</f>
        <v>1269.40250311482</v>
      </c>
      <c r="L100" s="38" t="n">
        <f aca="false">Seg!$L$90+Seg!$L$99</f>
        <v>1364.59431952989</v>
      </c>
      <c r="M100" s="38" t="n">
        <f aca="false">Seg!$M$90+Seg!$M$99</f>
        <v>1455.15444271572</v>
      </c>
      <c r="N100" s="38" t="n">
        <f aca="false">Q!$N$8</f>
        <v>323.369</v>
      </c>
      <c r="O100" s="38" t="n">
        <f aca="false">Q!$O$8</f>
        <v>393.555</v>
      </c>
    </row>
    <row r="101" customFormat="false" ht="17.15" hidden="false" customHeight="false" outlineLevel="0" collapsed="false">
      <c r="A101" s="24" t="s">
        <v>707</v>
      </c>
      <c r="B101" s="25" t="s">
        <v>86</v>
      </c>
      <c r="C101" s="41" t="n">
        <f aca="false">Seg!$C$90-(Seg!$C$92+Seg!$C$93)</f>
        <v>0</v>
      </c>
      <c r="D101" s="41" t="n">
        <f aca="false">Seg!$D$90-(Seg!$D$92+Seg!$D$93)</f>
        <v>0</v>
      </c>
      <c r="E101" s="41" t="n">
        <f aca="false">Seg!$E$90-(Seg!$E$92+Seg!$E$93)</f>
        <v>0</v>
      </c>
      <c r="F101" s="41" t="n">
        <f aca="false">Seg!$F$90-(Seg!$F$92+Seg!$F$93)</f>
        <v>0</v>
      </c>
      <c r="G101" s="41" t="n">
        <f aca="false">Seg!$G$90-(Seg!$G$92+Seg!$G$93)</f>
        <v>0</v>
      </c>
      <c r="H101" s="41" t="n">
        <f aca="false">Seg!$H$90-(Seg!$H$92+Seg!$H$93)</f>
        <v>0</v>
      </c>
      <c r="I101" s="41" t="n">
        <f aca="false">Seg!$I$90-(Seg!$I$92+Seg!$I$93)</f>
        <v>0</v>
      </c>
      <c r="J101" s="41" t="n">
        <f aca="false">Seg!$J$90-(Seg!$J$92+Seg!$J$93)</f>
        <v>0</v>
      </c>
      <c r="K101" s="41" t="n">
        <f aca="false">Seg!$K$90-(Seg!$K$92+Seg!$K$93)</f>
        <v>0</v>
      </c>
      <c r="L101" s="41" t="n">
        <f aca="false">Seg!$L$90-(Seg!$L$92+Seg!$L$93)</f>
        <v>0</v>
      </c>
      <c r="M101" s="41" t="n">
        <f aca="false">Seg!$M$90-(Seg!$M$92+Seg!$M$93)</f>
        <v>0</v>
      </c>
      <c r="N101" s="41" t="n">
        <f aca="false">Seg!$N$90-(Seg!$N$92+Seg!$N$93)</f>
        <v>0</v>
      </c>
      <c r="O101" s="41" t="n">
        <f aca="false">Seg!$O$90-(Seg!$O$92+Seg!$O$93)</f>
        <v>0</v>
      </c>
    </row>
    <row r="102" customFormat="false" ht="17.15" hidden="false" customHeight="false" outlineLevel="0" collapsed="false">
      <c r="A102" s="24" t="s">
        <v>708</v>
      </c>
      <c r="B102" s="25" t="s">
        <v>86</v>
      </c>
      <c r="C102" s="41" t="n">
        <f aca="false">Seg!$C$97+Seg!$C$98-Seg!$C$99</f>
        <v>0</v>
      </c>
      <c r="D102" s="41" t="n">
        <f aca="false">Seg!$D$97+Seg!$D$98-Seg!$D$99</f>
        <v>0</v>
      </c>
      <c r="E102" s="41" t="n">
        <f aca="false">Seg!$E$97+Seg!$E$98-Seg!$E$99</f>
        <v>0</v>
      </c>
      <c r="F102" s="41" t="n">
        <f aca="false">Seg!$F$97+Seg!$F$98-Seg!$F$99</f>
        <v>0</v>
      </c>
      <c r="G102" s="41" t="n">
        <f aca="false">Seg!$G$97+Seg!$G$98-Seg!$G$99</f>
        <v>0</v>
      </c>
      <c r="H102" s="41" t="n">
        <f aca="false">Seg!$H$97+Seg!$H$98-Seg!$H$99</f>
        <v>0</v>
      </c>
      <c r="I102" s="41" t="n">
        <f aca="false">Seg!$I$97+Seg!$I$98-Seg!$I$99</f>
        <v>0</v>
      </c>
      <c r="J102" s="41" t="n">
        <f aca="false">Seg!$J$97+Seg!$J$98-Seg!$J$99</f>
        <v>0</v>
      </c>
      <c r="K102" s="41" t="n">
        <f aca="false">Seg!$K$97+Seg!$K$98-Seg!$K$99</f>
        <v>0</v>
      </c>
      <c r="L102" s="41" t="n">
        <f aca="false">Seg!$L$97+Seg!$L$98-Seg!$L$99</f>
        <v>0</v>
      </c>
      <c r="M102" s="41" t="n">
        <f aca="false">Seg!$M$97+Seg!$M$98-Seg!$M$99</f>
        <v>0</v>
      </c>
      <c r="N102" s="41" t="n">
        <f aca="false">Seg!$N$97+Seg!$N$98-Seg!$N$99</f>
        <v>0</v>
      </c>
      <c r="O102" s="41" t="n">
        <f aca="false">Seg!$O$97+Seg!$O$98-Seg!$O$99</f>
        <v>0</v>
      </c>
    </row>
    <row r="103" customFormat="false" ht="17.15" hidden="false" customHeight="false" outlineLevel="0" collapsed="false">
      <c r="A103" s="24" t="s">
        <v>709</v>
      </c>
      <c r="B103" s="25" t="s">
        <v>86</v>
      </c>
      <c r="C103" s="41" t="n">
        <f aca="false">Seg!$C$92+Seg!$C$93+Seg!$C$99-Seg!$C$100</f>
        <v>0</v>
      </c>
      <c r="D103" s="41" t="n">
        <f aca="false">Seg!$D$92+Seg!$D$93+Seg!$D$99-Seg!$D$100</f>
        <v>0</v>
      </c>
      <c r="E103" s="41" t="n">
        <f aca="false">Seg!$E$92+Seg!$E$93+Seg!$E$99-Seg!$E$100</f>
        <v>0</v>
      </c>
      <c r="F103" s="41" t="n">
        <f aca="false">Seg!$F$92+Seg!$F$93+Seg!$F$99-Seg!$F$100</f>
        <v>0</v>
      </c>
      <c r="G103" s="41" t="n">
        <f aca="false">Seg!$G$92+Seg!$G$93+Seg!$G$99-Seg!$G$100</f>
        <v>0</v>
      </c>
      <c r="H103" s="41" t="n">
        <f aca="false">Seg!$H$92+Seg!$H$93+Seg!$H$99-Seg!$H$100</f>
        <v>0</v>
      </c>
      <c r="I103" s="41" t="n">
        <f aca="false">Seg!$I$92+Seg!$I$93+Seg!$I$99-Seg!$I$100</f>
        <v>0</v>
      </c>
      <c r="J103" s="41" t="n">
        <f aca="false">Seg!$J$92+Seg!$J$93+Seg!$J$99-Seg!$J$100</f>
        <v>0</v>
      </c>
      <c r="K103" s="41" t="n">
        <f aca="false">Seg!$K$92+Seg!$K$93+Seg!$K$99-Seg!$K$100</f>
        <v>0</v>
      </c>
      <c r="L103" s="41" t="n">
        <f aca="false">Seg!$L$92+Seg!$L$93+Seg!$L$99-Seg!$L$100</f>
        <v>0</v>
      </c>
      <c r="M103" s="41" t="n">
        <f aca="false">Seg!$M$92+Seg!$M$93+Seg!$M$99-Seg!$M$100</f>
        <v>0</v>
      </c>
      <c r="N103" s="41" t="n">
        <f aca="false">Seg!$N$92+Seg!$N$93+Seg!$N$99-Seg!$N$100</f>
        <v>0</v>
      </c>
      <c r="O103" s="41" t="n">
        <f aca="false">Seg!$O$92+Seg!$O$93+Seg!$O$99-Seg!$O$100</f>
        <v>0</v>
      </c>
    </row>
    <row r="104" customFormat="false" ht="15" hidden="false" customHeight="false" outlineLevel="0" collapsed="false">
      <c r="A104" s="5" t="s">
        <v>699</v>
      </c>
      <c r="B104" s="0" t="s">
        <v>52</v>
      </c>
      <c r="G104" s="13" t="n">
        <f aca="false">Seg!$G$100/Seg!$D$100-1</f>
        <v>0.139702337692862</v>
      </c>
      <c r="H104" s="13" t="n">
        <f aca="false">Seg!$H$100/Seg!$G$100-1</f>
        <v>0.144975160364754</v>
      </c>
      <c r="I104" s="13" t="n">
        <f aca="false">Seg!$I$100/Seg!$H$100-1</f>
        <v>0.127801182756934</v>
      </c>
      <c r="J104" s="13" t="n">
        <f aca="false">Seg!$J$100/Seg!$I$100-1</f>
        <v>0.108155912769398</v>
      </c>
      <c r="K104" s="13" t="n">
        <f aca="false">Seg!$K$100/Seg!$J$100-1</f>
        <v>0.0856886891272366</v>
      </c>
      <c r="L104" s="13" t="n">
        <f aca="false">Seg!$L$100/Seg!$K$100-1</f>
        <v>0.0749894664469983</v>
      </c>
      <c r="M104" s="13" t="n">
        <f aca="false">Seg!$M$100/Seg!$L$100-1</f>
        <v>0.0663641361317064</v>
      </c>
    </row>
    <row r="105" customFormat="false" ht="17.15" hidden="false" customHeight="false" outlineLevel="0" collapsed="false">
      <c r="A105" s="0" t="s">
        <v>700</v>
      </c>
      <c r="B105" s="0" t="s">
        <v>52</v>
      </c>
      <c r="C105" s="13" t="n">
        <f aca="false">Seg!$C$99/Seg!$C$100</f>
        <v>0.168593906504964</v>
      </c>
      <c r="D105" s="13" t="n">
        <f aca="false">Seg!$D$99/Seg!$D$100</f>
        <v>0.179551807444025</v>
      </c>
      <c r="E105" s="13" t="n">
        <f aca="false">Seg!$E$99/Seg!$E$100</f>
        <v>0.208881910369643</v>
      </c>
      <c r="F105" s="13" t="n">
        <f aca="false">Seg!$F$99/Seg!$F$100</f>
        <v>0.197507156487734</v>
      </c>
      <c r="G105" s="13" t="n">
        <f aca="false">Seg!$G$99/Seg!$G$100</f>
        <v>0.202826804559612</v>
      </c>
      <c r="H105" s="13" t="n">
        <f aca="false">Seg!$H$99/Seg!$H$100</f>
        <v>0.229215453403068</v>
      </c>
      <c r="I105" s="13" t="n">
        <f aca="false">Seg!$I$99/Seg!$I$100</f>
        <v>0.252648833727881</v>
      </c>
      <c r="J105" s="13" t="n">
        <f aca="false">Seg!$J$99/Seg!$J$100</f>
        <v>0.272067947662606</v>
      </c>
      <c r="K105" s="13" t="n">
        <f aca="false">Seg!$K$99/Seg!$K$100</f>
        <v>0.286139381947383</v>
      </c>
      <c r="L105" s="13" t="n">
        <f aca="false">Seg!$L$99/Seg!$L$100</f>
        <v>0.292761890722168</v>
      </c>
      <c r="M105" s="13" t="n">
        <f aca="false">Seg!$M$99/Seg!$M$100</f>
        <v>0.293444133649432</v>
      </c>
      <c r="N105" s="13" t="n">
        <f aca="false">Seg!$N$99/Seg!$N$100</f>
        <v>0.185979484737251</v>
      </c>
      <c r="O105" s="13" t="n">
        <f aca="false">Seg!$O$99/Seg!$O$100</f>
        <v>0.174270432341096</v>
      </c>
    </row>
    <row r="106" customFormat="false" ht="17.15" hidden="false" customHeight="false" outlineLevel="0" collapsed="false">
      <c r="A106" s="0" t="s">
        <v>701</v>
      </c>
      <c r="B106" s="0" t="s">
        <v>52</v>
      </c>
      <c r="C106" s="13" t="n">
        <f aca="false">Seg!$C$97/Seg!$C$99</f>
        <v>0.0215795060896058</v>
      </c>
      <c r="D106" s="13" t="n">
        <f aca="false">Seg!$D$97/Seg!$D$99</f>
        <v>0.0676152269462122</v>
      </c>
      <c r="E106" s="13" t="n">
        <f aca="false">Seg!$E$97/Seg!$E$99</f>
        <v>0.106620641395783</v>
      </c>
      <c r="F106" s="13" t="n">
        <f aca="false">Seg!$F$97/Seg!$F$99</f>
        <v>0.16456707676831</v>
      </c>
      <c r="G106" s="13" t="n">
        <f aca="false">Seg!$G$97/Seg!$G$99</f>
        <v>0.136658152276302</v>
      </c>
      <c r="H106" s="13" t="n">
        <f aca="false">Seg!$H$97/Seg!$H$99</f>
        <v>0.249125386239547</v>
      </c>
      <c r="I106" s="13" t="n">
        <f aca="false">Seg!$I$97/Seg!$I$99</f>
        <v>0.329369055171787</v>
      </c>
      <c r="J106" s="13" t="n">
        <f aca="false">Seg!$J$97/Seg!$J$99</f>
        <v>0.384558173095561</v>
      </c>
      <c r="K106" s="13" t="n">
        <f aca="false">Seg!$K$97/Seg!$K$99</f>
        <v>0.417889816994403</v>
      </c>
      <c r="L106" s="13" t="n">
        <f aca="false">Seg!$L$97/Seg!$L$99</f>
        <v>0.428405771709863</v>
      </c>
      <c r="M106" s="13" t="n">
        <f aca="false">Seg!$M$97/Seg!$M$99</f>
        <v>0.422442575225704</v>
      </c>
      <c r="N106" s="13" t="n">
        <f aca="false">Seg!$N$97/Seg!$N$99</f>
        <v>0.0506537999838362</v>
      </c>
      <c r="O106" s="13" t="n">
        <f aca="false">Seg!$O$97/Seg!$O$99</f>
        <v>0.0824881615167056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710</v>
      </c>
    </row>
    <row r="2" customFormat="false" ht="17.15" hidden="false" customHeight="false" outlineLevel="0" collapsed="false">
      <c r="A2" s="5" t="s">
        <v>711</v>
      </c>
    </row>
    <row r="4" customFormat="false" ht="17.15" hidden="false" customHeight="false" outlineLevel="0" collapsed="false">
      <c r="A4" s="3" t="s">
        <v>712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497</v>
      </c>
      <c r="D5" s="20" t="s">
        <v>498</v>
      </c>
      <c r="E5" s="20" t="s">
        <v>580</v>
      </c>
      <c r="F5" s="20" t="s">
        <v>581</v>
      </c>
      <c r="G5" s="20" t="s">
        <v>582</v>
      </c>
      <c r="H5" s="20" t="s">
        <v>583</v>
      </c>
      <c r="I5" s="20" t="s">
        <v>584</v>
      </c>
      <c r="J5" s="20" t="s">
        <v>585</v>
      </c>
      <c r="K5" s="20" t="s">
        <v>586</v>
      </c>
      <c r="L5" s="20" t="s">
        <v>587</v>
      </c>
      <c r="M5" s="20" t="s">
        <v>588</v>
      </c>
      <c r="N5" s="20" t="s">
        <v>589</v>
      </c>
      <c r="O5" s="20" t="s">
        <v>590</v>
      </c>
      <c r="P5" s="6" t="s">
        <v>23</v>
      </c>
    </row>
    <row r="6" customFormat="false" ht="17.15" hidden="false" customHeight="false" outlineLevel="0" collapsed="false">
      <c r="A6" s="24" t="s">
        <v>527</v>
      </c>
      <c r="B6" s="25" t="s">
        <v>86</v>
      </c>
      <c r="C6" s="42" t="n">
        <f aca="false">ABS(PL!$C$28)+ABS(PL!$C$98)+ABS(PL!$C$168)</f>
        <v>0</v>
      </c>
      <c r="D6" s="42" t="n">
        <f aca="false">ABS(PL!$D$28)+ABS(PL!$D$98)+ABS(PL!$D$168)</f>
        <v>0</v>
      </c>
      <c r="E6" s="42" t="n">
        <f aca="false">ABS(PL!$E$28)+ABS(PL!$E$98)+ABS(PL!$E$168)</f>
        <v>0</v>
      </c>
      <c r="F6" s="42" t="n">
        <f aca="false">ABS(PL!$F$28)+ABS(PL!$F$98)+ABS(PL!$F$168)</f>
        <v>0</v>
      </c>
      <c r="G6" s="42" t="n">
        <f aca="false">ABS(PL!$G$28)+ABS(PL!$G$98)+ABS(PL!$G$168)</f>
        <v>0</v>
      </c>
      <c r="H6" s="42" t="n">
        <f aca="false">ABS(PL!$H$28)+ABS(PL!$H$98)+ABS(PL!$H$168)</f>
        <v>0</v>
      </c>
      <c r="I6" s="42" t="n">
        <f aca="false">ABS(PL!$I$28)+ABS(PL!$I$98)+ABS(PL!$I$168)</f>
        <v>0</v>
      </c>
      <c r="J6" s="42" t="n">
        <f aca="false">ABS(PL!$J$28)+ABS(PL!$J$98)+ABS(PL!$J$168)</f>
        <v>0</v>
      </c>
      <c r="K6" s="42" t="n">
        <f aca="false">ABS(PL!$K$28)+ABS(PL!$K$98)+ABS(PL!$K$168)</f>
        <v>0</v>
      </c>
      <c r="L6" s="42" t="n">
        <f aca="false">ABS(PL!$L$28)+ABS(PL!$L$98)+ABS(PL!$L$168)</f>
        <v>0</v>
      </c>
      <c r="M6" s="42" t="n">
        <f aca="false">ABS(PL!$M$28)+ABS(PL!$M$98)+ABS(PL!$M$168)</f>
        <v>0</v>
      </c>
      <c r="N6" s="42" t="n">
        <f aca="false">ABS(PL!$N$28)+ABS(PL!$N$98)+ABS(PL!$N$168)</f>
        <v>0</v>
      </c>
      <c r="O6" s="42" t="n">
        <f aca="false">ABS(PL!$O$28)+ABS(PL!$O$98)+ABS(PL!$O$168)</f>
        <v>0</v>
      </c>
    </row>
    <row r="7" customFormat="false" ht="17.15" hidden="false" customHeight="false" outlineLevel="0" collapsed="false">
      <c r="A7" s="24" t="s">
        <v>713</v>
      </c>
      <c r="B7" s="25" t="s">
        <v>86</v>
      </c>
      <c r="C7" s="42" t="n">
        <f aca="false">ABS(PL!$C$29)+ABS(PL!$C$99)+ABS(PL!$C$169)</f>
        <v>0</v>
      </c>
      <c r="D7" s="42" t="n">
        <f aca="false">ABS(PL!$D$29)+ABS(PL!$D$99)+ABS(PL!$D$169)</f>
        <v>0</v>
      </c>
      <c r="E7" s="42" t="n">
        <f aca="false">ABS(PL!$E$29)+ABS(PL!$E$99)+ABS(PL!$E$169)</f>
        <v>0</v>
      </c>
      <c r="F7" s="42" t="n">
        <f aca="false">ABS(PL!$F$29)+ABS(PL!$F$99)+ABS(PL!$F$169)</f>
        <v>0</v>
      </c>
      <c r="G7" s="42" t="n">
        <f aca="false">ABS(PL!$G$29)+ABS(PL!$G$99)+ABS(PL!$G$169)</f>
        <v>0</v>
      </c>
      <c r="H7" s="42" t="n">
        <f aca="false">ABS(PL!$H$29)+ABS(PL!$H$99)+ABS(PL!$H$169)</f>
        <v>0</v>
      </c>
      <c r="I7" s="42" t="n">
        <f aca="false">ABS(PL!$I$29)+ABS(PL!$I$99)+ABS(PL!$I$169)</f>
        <v>0</v>
      </c>
      <c r="J7" s="42" t="n">
        <f aca="false">ABS(PL!$J$29)+ABS(PL!$J$99)+ABS(PL!$J$169)</f>
        <v>0</v>
      </c>
      <c r="K7" s="42" t="n">
        <f aca="false">ABS(PL!$K$29)+ABS(PL!$K$99)+ABS(PL!$K$169)</f>
        <v>0</v>
      </c>
      <c r="L7" s="42" t="n">
        <f aca="false">ABS(PL!$L$29)+ABS(PL!$L$99)+ABS(PL!$L$169)</f>
        <v>0</v>
      </c>
      <c r="M7" s="42" t="n">
        <f aca="false">ABS(PL!$M$29)+ABS(PL!$M$99)+ABS(PL!$M$169)</f>
        <v>0</v>
      </c>
      <c r="N7" s="42" t="n">
        <f aca="false">ABS(PL!$N$29)+ABS(PL!$N$99)+ABS(PL!$N$169)</f>
        <v>0</v>
      </c>
      <c r="O7" s="42" t="n">
        <f aca="false">ABS(PL!$O$29)+ABS(PL!$O$99)+ABS(PL!$O$169)</f>
        <v>0</v>
      </c>
    </row>
    <row r="8" customFormat="false" ht="17.15" hidden="false" customHeight="false" outlineLevel="0" collapsed="false">
      <c r="A8" s="24" t="s">
        <v>528</v>
      </c>
      <c r="B8" s="25" t="s">
        <v>86</v>
      </c>
      <c r="C8" s="42" t="n">
        <f aca="false">ABS(PL!$C$30)+ABS(PL!$C$100)+ABS(PL!$C$170)</f>
        <v>0</v>
      </c>
      <c r="D8" s="42" t="n">
        <f aca="false">ABS(PL!$D$30)+ABS(PL!$D$100)+ABS(PL!$D$170)</f>
        <v>0</v>
      </c>
      <c r="E8" s="42" t="n">
        <f aca="false">ABS(PL!$E$30)+ABS(PL!$E$100)+ABS(PL!$E$170)</f>
        <v>0</v>
      </c>
      <c r="F8" s="42" t="n">
        <f aca="false">ABS(PL!$F$30)+ABS(PL!$F$100)+ABS(PL!$F$170)</f>
        <v>0</v>
      </c>
      <c r="G8" s="42" t="n">
        <f aca="false">ABS(PL!$G$30)+ABS(PL!$G$100)+ABS(PL!$G$170)</f>
        <v>0</v>
      </c>
      <c r="H8" s="42" t="n">
        <f aca="false">ABS(PL!$H$30)+ABS(PL!$H$100)+ABS(PL!$H$170)</f>
        <v>0</v>
      </c>
      <c r="I8" s="42" t="n">
        <f aca="false">ABS(PL!$I$30)+ABS(PL!$I$100)+ABS(PL!$I$170)</f>
        <v>0</v>
      </c>
      <c r="J8" s="42" t="n">
        <f aca="false">ABS(PL!$J$30)+ABS(PL!$J$100)+ABS(PL!$J$170)</f>
        <v>0</v>
      </c>
      <c r="K8" s="42" t="n">
        <f aca="false">ABS(PL!$K$30)+ABS(PL!$K$100)+ABS(PL!$K$170)</f>
        <v>0</v>
      </c>
      <c r="L8" s="42" t="n">
        <f aca="false">ABS(PL!$L$30)+ABS(PL!$L$100)+ABS(PL!$L$170)</f>
        <v>0</v>
      </c>
      <c r="M8" s="42" t="n">
        <f aca="false">ABS(PL!$M$30)+ABS(PL!$M$100)+ABS(PL!$M$170)</f>
        <v>0</v>
      </c>
      <c r="N8" s="42" t="n">
        <f aca="false">ABS(PL!$N$30)+ABS(PL!$N$100)+ABS(PL!$N$170)</f>
        <v>0</v>
      </c>
      <c r="O8" s="42" t="n">
        <f aca="false">ABS(PL!$O$30)+ABS(PL!$O$100)+ABS(PL!$O$170)</f>
        <v>0</v>
      </c>
    </row>
    <row r="9" customFormat="false" ht="15" hidden="false" customHeight="false" outlineLevel="0" collapsed="false">
      <c r="A9" s="24" t="s">
        <v>529</v>
      </c>
      <c r="B9" s="25" t="s">
        <v>86</v>
      </c>
      <c r="C9" s="42" t="n">
        <f aca="false">ABS(PL!$C$31)+ABS(PL!$C$101)+ABS(PL!$C$171)</f>
        <v>0</v>
      </c>
      <c r="D9" s="42" t="n">
        <f aca="false">ABS(PL!$D$31)+ABS(PL!$D$101)+ABS(PL!$D$171)</f>
        <v>0</v>
      </c>
      <c r="E9" s="42" t="n">
        <f aca="false">ABS(PL!$E$31)+ABS(PL!$E$101)+ABS(PL!$E$171)</f>
        <v>0</v>
      </c>
      <c r="F9" s="42" t="n">
        <f aca="false">ABS(PL!$F$31)+ABS(PL!$F$101)+ABS(PL!$F$171)</f>
        <v>0</v>
      </c>
      <c r="G9" s="42" t="n">
        <f aca="false">ABS(PL!$G$31)+ABS(PL!$G$101)+ABS(PL!$G$171)</f>
        <v>0</v>
      </c>
      <c r="H9" s="42" t="n">
        <f aca="false">ABS(PL!$H$31)+ABS(PL!$H$101)+ABS(PL!$H$171)</f>
        <v>0</v>
      </c>
      <c r="I9" s="42" t="n">
        <f aca="false">ABS(PL!$I$31)+ABS(PL!$I$101)+ABS(PL!$I$171)</f>
        <v>0</v>
      </c>
      <c r="J9" s="42" t="n">
        <f aca="false">ABS(PL!$J$31)+ABS(PL!$J$101)+ABS(PL!$J$171)</f>
        <v>0</v>
      </c>
      <c r="K9" s="42" t="n">
        <f aca="false">ABS(PL!$K$31)+ABS(PL!$K$101)+ABS(PL!$K$171)</f>
        <v>0</v>
      </c>
      <c r="L9" s="42" t="n">
        <f aca="false">ABS(PL!$L$31)+ABS(PL!$L$101)+ABS(PL!$L$171)</f>
        <v>0</v>
      </c>
      <c r="M9" s="42" t="n">
        <f aca="false">ABS(PL!$M$31)+ABS(PL!$M$101)+ABS(PL!$M$171)</f>
        <v>0</v>
      </c>
      <c r="N9" s="42" t="n">
        <f aca="false">ABS(PL!$N$31)+ABS(PL!$N$101)+ABS(PL!$N$171)</f>
        <v>0</v>
      </c>
      <c r="O9" s="42" t="n">
        <f aca="false">ABS(PL!$O$31)+ABS(PL!$O$101)+ABS(PL!$O$171)</f>
        <v>0</v>
      </c>
    </row>
    <row r="10" customFormat="false" ht="15" hidden="false" customHeight="false" outlineLevel="0" collapsed="false">
      <c r="A10" s="24" t="s">
        <v>714</v>
      </c>
      <c r="B10" s="25" t="s">
        <v>86</v>
      </c>
      <c r="C10" s="42" t="n">
        <f aca="false">ABS(PL!$C$48)+ABS(PL!$C$118)+ABS(PL!$C$188)</f>
        <v>0</v>
      </c>
      <c r="D10" s="42" t="n">
        <f aca="false">ABS(PL!$D$48)+ABS(PL!$D$118)+ABS(PL!$D$188)</f>
        <v>0</v>
      </c>
      <c r="E10" s="42" t="n">
        <f aca="false">ABS(PL!$E$48)+ABS(PL!$E$118)+ABS(PL!$E$188)</f>
        <v>0</v>
      </c>
      <c r="F10" s="42" t="n">
        <f aca="false">ABS(PL!$F$48)+ABS(PL!$F$118)+ABS(PL!$F$188)</f>
        <v>0</v>
      </c>
      <c r="G10" s="42" t="n">
        <f aca="false">ABS(PL!$G$48)+ABS(PL!$G$118)+ABS(PL!$G$188)</f>
        <v>0</v>
      </c>
      <c r="H10" s="42" t="n">
        <f aca="false">ABS(PL!$H$48)+ABS(PL!$H$118)+ABS(PL!$H$188)</f>
        <v>0</v>
      </c>
      <c r="I10" s="42" t="n">
        <f aca="false">ABS(PL!$I$48)+ABS(PL!$I$118)+ABS(PL!$I$188)</f>
        <v>0</v>
      </c>
      <c r="J10" s="42" t="n">
        <f aca="false">ABS(PL!$J$48)+ABS(PL!$J$118)+ABS(PL!$J$188)</f>
        <v>0</v>
      </c>
      <c r="K10" s="42" t="n">
        <f aca="false">ABS(PL!$K$48)+ABS(PL!$K$118)+ABS(PL!$K$188)</f>
        <v>0</v>
      </c>
      <c r="L10" s="42" t="n">
        <f aca="false">ABS(PL!$L$48)+ABS(PL!$L$118)+ABS(PL!$L$188)</f>
        <v>0</v>
      </c>
      <c r="M10" s="42" t="n">
        <f aca="false">ABS(PL!$M$48)+ABS(PL!$M$118)+ABS(PL!$M$188)</f>
        <v>0</v>
      </c>
      <c r="N10" s="42" t="n">
        <f aca="false">ABS(PL!$N$48)+ABS(PL!$N$118)+ABS(PL!$N$188)</f>
        <v>0</v>
      </c>
      <c r="O10" s="42" t="n">
        <f aca="false">ABS(PL!$O$48)+ABS(PL!$O$118)+ABS(PL!$O$188)</f>
        <v>0</v>
      </c>
    </row>
    <row r="12" customFormat="false" ht="19.4" hidden="false" customHeight="false" outlineLevel="0" collapsed="false">
      <c r="A12" s="31" t="s">
        <v>715</v>
      </c>
    </row>
    <row r="13" customFormat="false" ht="17.15" hidden="false" customHeight="false" outlineLevel="0" collapsed="false">
      <c r="A13" s="6" t="s">
        <v>16</v>
      </c>
      <c r="B13" s="6" t="s">
        <v>17</v>
      </c>
      <c r="C13" s="20" t="s">
        <v>497</v>
      </c>
      <c r="D13" s="20" t="s">
        <v>498</v>
      </c>
      <c r="E13" s="20" t="s">
        <v>580</v>
      </c>
      <c r="F13" s="20" t="s">
        <v>581</v>
      </c>
      <c r="G13" s="20" t="s">
        <v>582</v>
      </c>
      <c r="H13" s="20" t="s">
        <v>583</v>
      </c>
      <c r="I13" s="20" t="s">
        <v>584</v>
      </c>
      <c r="J13" s="20" t="s">
        <v>585</v>
      </c>
      <c r="K13" s="20" t="s">
        <v>586</v>
      </c>
      <c r="L13" s="20" t="s">
        <v>587</v>
      </c>
      <c r="M13" s="20" t="s">
        <v>588</v>
      </c>
      <c r="N13" s="20" t="s">
        <v>589</v>
      </c>
      <c r="O13" s="20" t="s">
        <v>590</v>
      </c>
      <c r="P13" s="6" t="s">
        <v>23</v>
      </c>
      <c r="R13" s="20" t="n">
        <v>2023</v>
      </c>
      <c r="S13" s="20" t="n">
        <v>2024</v>
      </c>
      <c r="T13" s="20" t="n">
        <v>2025</v>
      </c>
      <c r="U13" s="20" t="n">
        <v>2026</v>
      </c>
      <c r="V13" s="20" t="n">
        <v>2027</v>
      </c>
      <c r="W13" s="20" t="n">
        <v>2028</v>
      </c>
      <c r="X13" s="20" t="n">
        <v>2029</v>
      </c>
      <c r="Y13" s="20" t="n">
        <v>2030</v>
      </c>
      <c r="Z13" s="20" t="n">
        <v>2031</v>
      </c>
      <c r="AA13" s="20" t="n">
        <v>2032</v>
      </c>
    </row>
    <row r="14" customFormat="false" ht="17.15" hidden="false" customHeight="false" outlineLevel="0" collapsed="false">
      <c r="A14" s="1" t="s">
        <v>716</v>
      </c>
    </row>
    <row r="15" customFormat="false" ht="15" hidden="false" customHeight="false" outlineLevel="0" collapsed="false">
      <c r="A15" s="0" t="s">
        <v>519</v>
      </c>
      <c r="B15" s="0" t="s">
        <v>86</v>
      </c>
      <c r="C15" s="38" t="n">
        <f aca="false">Seg!$C$7</f>
        <v>247.029</v>
      </c>
      <c r="D15" s="38" t="n">
        <f aca="false">Seg!$D$7</f>
        <v>269.287</v>
      </c>
      <c r="E15" s="38" t="n">
        <f aca="false">Seg!$E$7</f>
        <v>134.686</v>
      </c>
      <c r="F15" s="38" t="n">
        <f aca="false">Seg!$F$7</f>
        <v>158.293876822267</v>
      </c>
      <c r="G15" s="38" t="n">
        <f aca="false">Seg!$G$7</f>
        <v>292.979876822267</v>
      </c>
      <c r="H15" s="38" t="n">
        <f aca="false">Seg!$H$7</f>
        <v>318.184543087396</v>
      </c>
      <c r="I15" s="38" t="n">
        <f aca="false">Seg!$I$7</f>
        <v>341.736278761793</v>
      </c>
      <c r="J15" s="38" t="n">
        <f aca="false">Seg!$J$7</f>
        <v>362.927192787048</v>
      </c>
      <c r="K15" s="38" t="n">
        <f aca="false">Seg!$K$7</f>
        <v>381.0735524264</v>
      </c>
      <c r="L15" s="38" t="n">
        <f aca="false">Seg!$L$7</f>
        <v>400.12723004772</v>
      </c>
      <c r="M15" s="38" t="n">
        <f aca="false">Seg!$M$7</f>
        <v>420.133591550106</v>
      </c>
      <c r="N15" s="38" t="n">
        <f aca="false">Seg!$N$7</f>
        <v>118.892</v>
      </c>
      <c r="O15" s="38" t="n">
        <f aca="false">Seg!$O$7</f>
        <v>150.395</v>
      </c>
    </row>
    <row r="16" customFormat="false" ht="15" hidden="false" customHeight="false" outlineLevel="0" collapsed="false">
      <c r="A16" s="0" t="s">
        <v>520</v>
      </c>
      <c r="B16" s="0" t="s">
        <v>86</v>
      </c>
      <c r="C16" s="38" t="n">
        <f aca="false">Seg!$C$9</f>
        <v>21.215</v>
      </c>
      <c r="D16" s="38" t="n">
        <f aca="false">Seg!$D$9</f>
        <v>22.561</v>
      </c>
      <c r="E16" s="38" t="n">
        <f aca="false">Seg!$E$9</f>
        <v>11.579</v>
      </c>
      <c r="F16" s="38" t="n">
        <f aca="false">Seg!$F$9</f>
        <v>11.5938724610325</v>
      </c>
      <c r="G16" s="38" t="n">
        <f aca="false">Seg!$G$9</f>
        <v>23.1728724610325</v>
      </c>
      <c r="H16" s="38" t="n">
        <f aca="false">Seg!$H$9</f>
        <v>24.353392759506</v>
      </c>
      <c r="I16" s="38" t="n">
        <f aca="false">Seg!$I$9</f>
        <v>25.4240338872015</v>
      </c>
      <c r="J16" s="38" t="n">
        <f aca="false">Seg!$J$9</f>
        <v>26.3642491017174</v>
      </c>
      <c r="K16" s="38" t="n">
        <f aca="false">Seg!$K$9</f>
        <v>27.155176574769</v>
      </c>
      <c r="L16" s="38" t="n">
        <f aca="false">Seg!$L$9</f>
        <v>27.969831872012</v>
      </c>
      <c r="M16" s="38" t="n">
        <f aca="false">Seg!$M$9</f>
        <v>28.8089268281724</v>
      </c>
      <c r="N16" s="38" t="n">
        <f aca="false">Seg!$N$9</f>
        <v>11.128</v>
      </c>
      <c r="O16" s="38" t="n">
        <f aca="false">Seg!$O$9</f>
        <v>11.433</v>
      </c>
    </row>
    <row r="17" customFormat="false" ht="15" hidden="false" customHeight="false" outlineLevel="0" collapsed="false">
      <c r="A17" s="0" t="s">
        <v>521</v>
      </c>
      <c r="B17" s="0" t="s">
        <v>86</v>
      </c>
      <c r="C17" s="38" t="n">
        <f aca="false">Seg!$C$11</f>
        <v>156.146</v>
      </c>
      <c r="D17" s="38" t="n">
        <f aca="false">Seg!$D$11</f>
        <v>172.162</v>
      </c>
      <c r="E17" s="38" t="n">
        <f aca="false">Seg!$E$11</f>
        <v>88.358</v>
      </c>
      <c r="F17" s="38" t="n">
        <f aca="false">Seg!$F$11</f>
        <v>102.004388260171</v>
      </c>
      <c r="G17" s="38" t="n">
        <f aca="false">Seg!$G$11</f>
        <v>190.362388260171</v>
      </c>
      <c r="H17" s="38" t="n">
        <f aca="false">Seg!$H$11</f>
        <v>210.343106588311</v>
      </c>
      <c r="I17" s="38" t="n">
        <f aca="false">Seg!$I$11</f>
        <v>229.969728494648</v>
      </c>
      <c r="J17" s="38" t="n">
        <f aca="false">Seg!$J$11</f>
        <v>248.747636972598</v>
      </c>
      <c r="K17" s="38" t="n">
        <f aca="false">Seg!$K$11</f>
        <v>266.15997156068</v>
      </c>
      <c r="L17" s="38" t="n">
        <f aca="false">Seg!$L$11</f>
        <v>284.791169569927</v>
      </c>
      <c r="M17" s="38" t="n">
        <f aca="false">Seg!$M$11</f>
        <v>304.726551439822</v>
      </c>
      <c r="N17" s="38" t="n">
        <f aca="false">Seg!$N$11</f>
        <v>76.86</v>
      </c>
      <c r="O17" s="38" t="n">
        <f aca="false">Seg!$O$11</f>
        <v>95.302</v>
      </c>
    </row>
    <row r="18" customFormat="false" ht="15" hidden="false" customHeight="false" outlineLevel="0" collapsed="false">
      <c r="A18" s="0" t="s">
        <v>522</v>
      </c>
      <c r="B18" s="0" t="s">
        <v>86</v>
      </c>
      <c r="C18" s="38" t="n">
        <f aca="false">Seg!$C$13</f>
        <v>56.214</v>
      </c>
      <c r="D18" s="38" t="n">
        <f aca="false">Seg!$D$13</f>
        <v>68.635</v>
      </c>
      <c r="E18" s="38" t="n">
        <f aca="false">Seg!$E$13</f>
        <v>37.052</v>
      </c>
      <c r="F18" s="38" t="n">
        <f aca="false">Seg!$F$13</f>
        <v>46.1572219944148</v>
      </c>
      <c r="G18" s="38" t="n">
        <f aca="false">Seg!$G$13</f>
        <v>83.2092219944148</v>
      </c>
      <c r="H18" s="38" t="n">
        <f aca="false">Seg!$H$13</f>
        <v>99.8969223878976</v>
      </c>
      <c r="I18" s="38" t="n">
        <f aca="false">Seg!$I$13</f>
        <v>116.583111095496</v>
      </c>
      <c r="J18" s="38" t="n">
        <f aca="false">Seg!$J$13</f>
        <v>132.148941941952</v>
      </c>
      <c r="K18" s="38" t="n">
        <f aca="false">Seg!$K$13</f>
        <v>145.363836136147</v>
      </c>
      <c r="L18" s="38" t="n">
        <f aca="false">Seg!$L$13</f>
        <v>159.900219749762</v>
      </c>
      <c r="M18" s="38" t="n">
        <f aca="false">Seg!$M$13</f>
        <v>175.890241724738</v>
      </c>
      <c r="N18" s="38" t="n">
        <f aca="false">Seg!$N$13</f>
        <v>29.615</v>
      </c>
      <c r="O18" s="38" t="n">
        <f aca="false">Seg!$O$13</f>
        <v>39.02</v>
      </c>
    </row>
    <row r="19" customFormat="false" ht="15" hidden="false" customHeight="false" outlineLevel="0" collapsed="false">
      <c r="A19" s="0" t="s">
        <v>523</v>
      </c>
      <c r="B19" s="0" t="s">
        <v>86</v>
      </c>
      <c r="C19" s="38" t="n">
        <f aca="false">Seg!$C$15</f>
        <v>44.374</v>
      </c>
      <c r="D19" s="38" t="n">
        <f aca="false">Seg!$D$15</f>
        <v>49.619</v>
      </c>
      <c r="E19" s="38" t="n">
        <f aca="false">Seg!$E$15</f>
        <v>27.157</v>
      </c>
      <c r="F19" s="38" t="n">
        <f aca="false">Seg!$F$15</f>
        <v>27.7764165988154</v>
      </c>
      <c r="G19" s="38" t="n">
        <f aca="false">Seg!$G$15</f>
        <v>54.9334165988154</v>
      </c>
      <c r="H19" s="38" t="n">
        <f aca="false">Seg!$H$15</f>
        <v>61.1564112561829</v>
      </c>
      <c r="I19" s="38" t="n">
        <f aca="false">Seg!$I$15</f>
        <v>67.2020282103945</v>
      </c>
      <c r="J19" s="38" t="n">
        <f aca="false">Seg!$J$15</f>
        <v>72.8757274028885</v>
      </c>
      <c r="K19" s="38" t="n">
        <f aca="false">Seg!$K$15</f>
        <v>77.9770283210907</v>
      </c>
      <c r="L19" s="38" t="n">
        <f aca="false">Seg!$L$15</f>
        <v>83.4354203035671</v>
      </c>
      <c r="M19" s="38" t="n">
        <f aca="false">Seg!$M$15</f>
        <v>89.2758997248168</v>
      </c>
      <c r="N19" s="38" t="n">
        <f aca="false">Seg!$N$15</f>
        <v>23.923</v>
      </c>
      <c r="O19" s="38" t="n">
        <f aca="false">Seg!$O$15</f>
        <v>25.696</v>
      </c>
    </row>
    <row r="20" customFormat="false" ht="15" hidden="false" customHeight="false" outlineLevel="0" collapsed="false">
      <c r="A20" s="0" t="s">
        <v>524</v>
      </c>
      <c r="B20" s="0" t="s">
        <v>86</v>
      </c>
      <c r="C20" s="38" t="n">
        <f aca="false">Seg!$C$17</f>
        <v>5.425</v>
      </c>
      <c r="D20" s="38" t="n">
        <f aca="false">Seg!$D$17</f>
        <v>5.935</v>
      </c>
      <c r="E20" s="38" t="n">
        <f aca="false">Seg!$E$17</f>
        <v>3.474</v>
      </c>
      <c r="F20" s="38" t="n">
        <f aca="false">Seg!$F$17</f>
        <v>3.22246550883619</v>
      </c>
      <c r="G20" s="38" t="n">
        <f aca="false">Seg!$G$17</f>
        <v>6.69646550883619</v>
      </c>
      <c r="H20" s="38" t="n">
        <f aca="false">Seg!$H$17</f>
        <v>7.16251344209196</v>
      </c>
      <c r="I20" s="38" t="n">
        <f aca="false">Seg!$I$17</f>
        <v>7.61421070299826</v>
      </c>
      <c r="J20" s="38" t="n">
        <f aca="false">Seg!$J$17</f>
        <v>8.04465753523932</v>
      </c>
      <c r="K20" s="38" t="n">
        <f aca="false">Seg!$K$17</f>
        <v>8.44689041200128</v>
      </c>
      <c r="L20" s="38" t="n">
        <f aca="false">Seg!$L$17</f>
        <v>8.86923493260135</v>
      </c>
      <c r="M20" s="38" t="n">
        <f aca="false">Seg!$M$17</f>
        <v>9.31269667923142</v>
      </c>
      <c r="N20" s="38" t="n">
        <f aca="false">Seg!$N$17</f>
        <v>2.811</v>
      </c>
      <c r="O20" s="38" t="n">
        <f aca="false">Seg!$O$17</f>
        <v>3.124</v>
      </c>
    </row>
    <row r="21" customFormat="false" ht="17.15" hidden="false" customHeight="false" outlineLevel="0" collapsed="false">
      <c r="A21" s="0" t="s">
        <v>717</v>
      </c>
      <c r="B21" s="0" t="s">
        <v>86</v>
      </c>
      <c r="C21" s="38" t="n">
        <f aca="false">Seg!$C$29</f>
        <v>107.556</v>
      </c>
      <c r="D21" s="38" t="n">
        <f aca="false">Seg!$D$29</f>
        <v>128.725</v>
      </c>
      <c r="E21" s="38" t="n">
        <f aca="false">Seg!$E$29</f>
        <v>79.819</v>
      </c>
      <c r="F21" s="38" t="n">
        <f aca="false">Seg!$F$29</f>
        <v>89.5399324154585</v>
      </c>
      <c r="G21" s="38" t="n">
        <f aca="false">Seg!$G$29</f>
        <v>169.358932415459</v>
      </c>
      <c r="H21" s="38" t="n">
        <f aca="false">Seg!$H$29</f>
        <v>244.100951085827</v>
      </c>
      <c r="I21" s="38" t="n">
        <f aca="false">Seg!$I$29</f>
        <v>326.846051483453</v>
      </c>
      <c r="J21" s="38" t="n">
        <f aca="false">Seg!$J$29</f>
        <v>409.133379921729</v>
      </c>
      <c r="K21" s="38" t="n">
        <f aca="false">Seg!$K$29</f>
        <v>480.482956242801</v>
      </c>
      <c r="L21" s="38" t="n">
        <f aca="false">Seg!$L$29</f>
        <v>533.984460024075</v>
      </c>
      <c r="M21" s="38" t="n">
        <f aca="false">Seg!$M$29</f>
        <v>569.691082990856</v>
      </c>
      <c r="N21" s="38" t="n">
        <f aca="false">Seg!$N$29</f>
        <v>60.14</v>
      </c>
      <c r="O21" s="38" t="n">
        <f aca="false">Seg!$O$29</f>
        <v>68.585</v>
      </c>
    </row>
    <row r="22" customFormat="false" ht="15" hidden="false" customHeight="false" outlineLevel="0" collapsed="false">
      <c r="A22" s="1" t="s">
        <v>512</v>
      </c>
      <c r="B22" s="8" t="s">
        <v>86</v>
      </c>
      <c r="C22" s="38" t="n">
        <f aca="false">Seg!$C$22</f>
        <v>387.497</v>
      </c>
      <c r="D22" s="38" t="n">
        <f aca="false">Seg!$D$22</f>
        <v>426.305</v>
      </c>
      <c r="E22" s="38" t="n">
        <f aca="false">Seg!$E$22</f>
        <v>220.32</v>
      </c>
      <c r="F22" s="38" t="n">
        <f aca="false">Seg!$F$22</f>
        <v>250.639773480586</v>
      </c>
      <c r="G22" s="38" t="n">
        <f aca="false">Seg!$G$22</f>
        <v>470.959773480586</v>
      </c>
      <c r="H22" s="38" t="n">
        <f aca="false">Seg!$H$22</f>
        <v>521.386990416437</v>
      </c>
      <c r="I22" s="38" t="n">
        <f aca="false">Seg!$I$22</f>
        <v>570.143862887555</v>
      </c>
      <c r="J22" s="38" t="n">
        <f aca="false">Seg!$J$22</f>
        <v>615.391435791933</v>
      </c>
      <c r="K22" s="38" t="n">
        <f aca="false">Seg!$K$22</f>
        <v>655.208227561543</v>
      </c>
      <c r="L22" s="38" t="n">
        <f aca="false">Seg!$L$22</f>
        <v>697.807739249767</v>
      </c>
      <c r="M22" s="38" t="n">
        <f aca="false">Seg!$M$22</f>
        <v>743.399328463592</v>
      </c>
      <c r="N22" s="38" t="n">
        <f aca="false">Seg!$N$22</f>
        <v>192.955</v>
      </c>
      <c r="O22" s="38" t="n">
        <f aca="false">Seg!$O$22</f>
        <v>233.35</v>
      </c>
    </row>
    <row r="23" customFormat="false" ht="15" hidden="false" customHeight="false" outlineLevel="0" collapsed="false">
      <c r="A23" s="1" t="s">
        <v>515</v>
      </c>
      <c r="B23" s="8" t="s">
        <v>86</v>
      </c>
      <c r="C23" s="38" t="n">
        <f aca="false">Seg!$C$23</f>
        <v>142.906</v>
      </c>
      <c r="D23" s="38" t="n">
        <f aca="false">Seg!$D$23</f>
        <v>161.894</v>
      </c>
      <c r="E23" s="38" t="n">
        <f aca="false">Seg!$E$23</f>
        <v>81.986</v>
      </c>
      <c r="F23" s="38" t="n">
        <f aca="false">Seg!$F$23</f>
        <v>98.408468164951</v>
      </c>
      <c r="G23" s="38" t="n">
        <f aca="false">Seg!$G$23</f>
        <v>180.394468164951</v>
      </c>
      <c r="H23" s="38" t="n">
        <f aca="false">Seg!$H$23</f>
        <v>199.709899104949</v>
      </c>
      <c r="I23" s="38" t="n">
        <f aca="false">Seg!$I$23</f>
        <v>218.385528264976</v>
      </c>
      <c r="J23" s="38" t="n">
        <f aca="false">Seg!$J$23</f>
        <v>235.71696994951</v>
      </c>
      <c r="K23" s="38" t="n">
        <f aca="false">Seg!$K$23</f>
        <v>250.968227869545</v>
      </c>
      <c r="L23" s="38" t="n">
        <f aca="false">Seg!$L$23</f>
        <v>267.285367225822</v>
      </c>
      <c r="M23" s="38" t="n">
        <f aca="false">Seg!$M$23</f>
        <v>284.748579483295</v>
      </c>
      <c r="N23" s="38" t="n">
        <f aca="false">Seg!$N$23</f>
        <v>70.274</v>
      </c>
      <c r="O23" s="38" t="n">
        <f aca="false">Seg!$O$23</f>
        <v>91.62</v>
      </c>
    </row>
    <row r="24" customFormat="false" ht="15" hidden="false" customHeight="false" outlineLevel="0" collapsed="false">
      <c r="A24" s="1" t="s">
        <v>516</v>
      </c>
      <c r="B24" s="8" t="s">
        <v>86</v>
      </c>
      <c r="C24" s="38" t="n">
        <f aca="false">Seg!$C$29</f>
        <v>107.556</v>
      </c>
      <c r="D24" s="38" t="n">
        <f aca="false">Seg!$D$29</f>
        <v>128.725</v>
      </c>
      <c r="E24" s="38" t="n">
        <f aca="false">Seg!$E$29</f>
        <v>79.819</v>
      </c>
      <c r="F24" s="38" t="n">
        <f aca="false">Seg!$F$29</f>
        <v>89.5399324154585</v>
      </c>
      <c r="G24" s="38" t="n">
        <f aca="false">Seg!$G$29</f>
        <v>169.358932415459</v>
      </c>
      <c r="H24" s="38" t="n">
        <f aca="false">Seg!$H$29</f>
        <v>244.100951085827</v>
      </c>
      <c r="I24" s="38" t="n">
        <f aca="false">Seg!$I$29</f>
        <v>326.846051483453</v>
      </c>
      <c r="J24" s="38" t="n">
        <f aca="false">Seg!$J$29</f>
        <v>409.133379921729</v>
      </c>
      <c r="K24" s="38" t="n">
        <f aca="false">Seg!$K$29</f>
        <v>480.482956242801</v>
      </c>
      <c r="L24" s="38" t="n">
        <f aca="false">Seg!$L$29</f>
        <v>533.984460024075</v>
      </c>
      <c r="M24" s="38" t="n">
        <f aca="false">Seg!$M$29</f>
        <v>569.691082990856</v>
      </c>
      <c r="N24" s="38" t="n">
        <f aca="false">Seg!$N$29</f>
        <v>60.14</v>
      </c>
      <c r="O24" s="38" t="n">
        <f aca="false">Seg!$O$29</f>
        <v>68.585</v>
      </c>
    </row>
    <row r="25" customFormat="false" ht="17.15" hidden="false" customHeight="false" outlineLevel="0" collapsed="false">
      <c r="A25" s="0" t="s">
        <v>691</v>
      </c>
      <c r="B25" s="0" t="s">
        <v>86</v>
      </c>
      <c r="C25" s="38" t="n">
        <f aca="false">Seg!$C$27</f>
        <v>2.32100535697364</v>
      </c>
      <c r="D25" s="38" t="n">
        <f aca="false">Seg!$D$27</f>
        <v>8.70377008865116</v>
      </c>
      <c r="E25" s="38" t="n">
        <f aca="false">Seg!$E$27</f>
        <v>8.51035297557002</v>
      </c>
      <c r="F25" s="38" t="n">
        <f aca="false">Seg!$F$27</f>
        <v>17.7706326212121</v>
      </c>
      <c r="G25" s="38" t="n">
        <f aca="false">Seg!$G$27</f>
        <v>26.2809855967821</v>
      </c>
      <c r="H25" s="38" t="n">
        <f aca="false">Seg!$H$27</f>
        <v>83.0838740066237</v>
      </c>
      <c r="I25" s="38" t="n">
        <f aca="false">Seg!$I$27</f>
        <v>148.076291961995</v>
      </c>
      <c r="J25" s="38" t="n">
        <f aca="false">Seg!$J$27</f>
        <v>213.357841875822</v>
      </c>
      <c r="K25" s="38" t="n">
        <f aca="false">Seg!$K$27</f>
        <v>269.045375153221</v>
      </c>
      <c r="L25" s="38" t="n">
        <f aca="false">Seg!$L$27</f>
        <v>305.631872447328</v>
      </c>
      <c r="M25" s="38" t="n">
        <f aca="false">Seg!$M$27</f>
        <v>323.07028840797</v>
      </c>
      <c r="N25" s="38" t="n">
        <f aca="false">Seg!$N$27</f>
        <v>3.04631953102791</v>
      </c>
      <c r="O25" s="38" t="n">
        <f aca="false">Seg!$O$27</f>
        <v>5.65745055762326</v>
      </c>
    </row>
    <row r="26" customFormat="false" ht="17.15" hidden="false" customHeight="false" outlineLevel="0" collapsed="false">
      <c r="A26" s="0" t="s">
        <v>693</v>
      </c>
      <c r="B26" s="0" t="s">
        <v>86</v>
      </c>
      <c r="C26" s="38" t="n">
        <f aca="false">Seg!$C$28</f>
        <v>105.234994643026</v>
      </c>
      <c r="D26" s="38" t="n">
        <f aca="false">Seg!$D$28</f>
        <v>120.021229911349</v>
      </c>
      <c r="E26" s="38" t="n">
        <f aca="false">Seg!$E$28</f>
        <v>71.30864702443</v>
      </c>
      <c r="F26" s="38" t="n">
        <f aca="false">Seg!$F$28</f>
        <v>71.7692997942464</v>
      </c>
      <c r="G26" s="38" t="n">
        <f aca="false">Seg!$G$28</f>
        <v>143.077946818676</v>
      </c>
      <c r="H26" s="38" t="n">
        <f aca="false">Seg!$H$28</f>
        <v>161.017077079203</v>
      </c>
      <c r="I26" s="38" t="n">
        <f aca="false">Seg!$I$28</f>
        <v>178.769759521457</v>
      </c>
      <c r="J26" s="38" t="n">
        <f aca="false">Seg!$J$28</f>
        <v>195.775538045907</v>
      </c>
      <c r="K26" s="38" t="n">
        <f aca="false">Seg!$K$28</f>
        <v>211.43758108958</v>
      </c>
      <c r="L26" s="38" t="n">
        <f aca="false">Seg!$L$28</f>
        <v>228.352587576746</v>
      </c>
      <c r="M26" s="38" t="n">
        <f aca="false">Seg!$M$28</f>
        <v>246.620794582886</v>
      </c>
      <c r="N26" s="38" t="n">
        <f aca="false">Seg!$N$28</f>
        <v>57.0936804689721</v>
      </c>
      <c r="O26" s="38" t="n">
        <f aca="false">Seg!$O$28</f>
        <v>62.9275494423768</v>
      </c>
    </row>
    <row r="27" customFormat="false" ht="15" hidden="false" customHeight="false" outlineLevel="0" collapsed="false">
      <c r="A27" s="3" t="s">
        <v>517</v>
      </c>
      <c r="B27" s="8" t="s">
        <v>86</v>
      </c>
      <c r="C27" s="38" t="n">
        <f aca="false">Seg!$C$30</f>
        <v>637.959</v>
      </c>
      <c r="D27" s="38" t="n">
        <f aca="false">Seg!$D$30</f>
        <v>716.924</v>
      </c>
      <c r="E27" s="38" t="n">
        <f aca="false">Seg!$E$30</f>
        <v>382.125</v>
      </c>
      <c r="F27" s="38" t="n">
        <f aca="false">Seg!$F$30</f>
        <v>438.588174060996</v>
      </c>
      <c r="G27" s="38" t="n">
        <f aca="false">Seg!$G$30</f>
        <v>820.713174060996</v>
      </c>
      <c r="H27" s="38" t="n">
        <f aca="false">Seg!$H$30</f>
        <v>965.197840607213</v>
      </c>
      <c r="I27" s="38" t="n">
        <f aca="false">Seg!$I$30</f>
        <v>1115.37544263598</v>
      </c>
      <c r="J27" s="38" t="n">
        <f aca="false">Seg!$J$30</f>
        <v>1260.24178566317</v>
      </c>
      <c r="K27" s="38" t="n">
        <f aca="false">Seg!$K$30</f>
        <v>1386.65941167389</v>
      </c>
      <c r="L27" s="38" t="n">
        <f aca="false">Seg!$L$30</f>
        <v>1499.07756649966</v>
      </c>
      <c r="M27" s="38" t="n">
        <f aca="false">Seg!$M$30</f>
        <v>1597.83899093774</v>
      </c>
      <c r="N27" s="38" t="n">
        <f aca="false">Seg!$N$30</f>
        <v>323.369</v>
      </c>
      <c r="O27" s="38" t="n">
        <f aca="false">Seg!$O$30</f>
        <v>393.555</v>
      </c>
    </row>
    <row r="28" customFormat="false" ht="17.15" hidden="false" customHeight="false" outlineLevel="0" collapsed="false">
      <c r="A28" s="24" t="s">
        <v>696</v>
      </c>
      <c r="B28" s="25" t="s">
        <v>86</v>
      </c>
      <c r="C28" s="41" t="n">
        <f aca="false">PL!$C$15+PL!$C$16+PL!$C$17+PL!$C$18+PL!$C$19+PL!$C$20-(PL!$C$22+PL!$C$23)</f>
        <v>0</v>
      </c>
      <c r="D28" s="41" t="n">
        <f aca="false">PL!$D$15+PL!$D$16+PL!$D$17+PL!$D$18+PL!$D$19+PL!$D$20-(PL!$D$22+PL!$D$23)</f>
        <v>0</v>
      </c>
      <c r="E28" s="41" t="n">
        <f aca="false">PL!$E$15+PL!$E$16+PL!$E$17+PL!$E$18+PL!$E$19+PL!$E$20-(PL!$E$22+PL!$E$23)</f>
        <v>0</v>
      </c>
      <c r="F28" s="41" t="n">
        <f aca="false">PL!$F$15+PL!$F$16+PL!$F$17+PL!$F$18+PL!$F$19+PL!$F$20-(PL!$F$22+PL!$F$23)</f>
        <v>0</v>
      </c>
      <c r="G28" s="41" t="n">
        <f aca="false">PL!$G$15+PL!$G$16+PL!$G$17+PL!$G$18+PL!$G$19+PL!$G$20-(PL!$G$22+PL!$G$23)</f>
        <v>0</v>
      </c>
      <c r="H28" s="41" t="n">
        <f aca="false">PL!$H$15+PL!$H$16+PL!$H$17+PL!$H$18+PL!$H$19+PL!$H$20-(PL!$H$22+PL!$H$23)</f>
        <v>0</v>
      </c>
      <c r="I28" s="41" t="n">
        <f aca="false">PL!$I$15+PL!$I$16+PL!$I$17+PL!$I$18+PL!$I$19+PL!$I$20-(PL!$I$22+PL!$I$23)</f>
        <v>0</v>
      </c>
      <c r="J28" s="41" t="n">
        <f aca="false">PL!$J$15+PL!$J$16+PL!$J$17+PL!$J$18+PL!$J$19+PL!$J$20-(PL!$J$22+PL!$J$23)</f>
        <v>0</v>
      </c>
      <c r="K28" s="41" t="n">
        <f aca="false">PL!$K$15+PL!$K$16+PL!$K$17+PL!$K$18+PL!$K$19+PL!$K$20-(PL!$K$22+PL!$K$23)</f>
        <v>0</v>
      </c>
      <c r="L28" s="41" t="n">
        <f aca="false">PL!$L$15+PL!$L$16+PL!$L$17+PL!$L$18+PL!$L$19+PL!$L$20-(PL!$L$22+PL!$L$23)</f>
        <v>0</v>
      </c>
      <c r="M28" s="41" t="n">
        <f aca="false">PL!$M$15+PL!$M$16+PL!$M$17+PL!$M$18+PL!$M$19+PL!$M$20-(PL!$M$22+PL!$M$23)</f>
        <v>0</v>
      </c>
      <c r="N28" s="41" t="n">
        <f aca="false">PL!$N$15+PL!$N$16+PL!$N$17+PL!$N$18+PL!$N$19+PL!$N$20-(PL!$N$22+PL!$N$23)</f>
        <v>0</v>
      </c>
      <c r="O28" s="41" t="n">
        <f aca="false">PL!$O$15+PL!$O$16+PL!$O$17+PL!$O$18+PL!$O$19+PL!$O$20-(PL!$O$22+PL!$O$23)</f>
        <v>0</v>
      </c>
    </row>
    <row r="29" customFormat="false" ht="17.15" hidden="false" customHeight="false" outlineLevel="0" collapsed="false">
      <c r="A29" s="24" t="s">
        <v>697</v>
      </c>
      <c r="B29" s="25" t="s">
        <v>86</v>
      </c>
      <c r="C29" s="41" t="n">
        <f aca="false">PL!$C$25+PL!$C$26-PL!$C$24</f>
        <v>0</v>
      </c>
      <c r="D29" s="41" t="n">
        <f aca="false">PL!$D$25+PL!$D$26-PL!$D$24</f>
        <v>0</v>
      </c>
      <c r="E29" s="41" t="n">
        <f aca="false">PL!$E$25+PL!$E$26-PL!$E$24</f>
        <v>0</v>
      </c>
      <c r="F29" s="41" t="n">
        <f aca="false">PL!$F$25+PL!$F$26-PL!$F$24</f>
        <v>0</v>
      </c>
      <c r="G29" s="41" t="n">
        <f aca="false">PL!$G$25+PL!$G$26-PL!$G$24</f>
        <v>0</v>
      </c>
      <c r="H29" s="41" t="n">
        <f aca="false">PL!$H$25+PL!$H$26-PL!$H$24</f>
        <v>0</v>
      </c>
      <c r="I29" s="41" t="n">
        <f aca="false">PL!$I$25+PL!$I$26-PL!$I$24</f>
        <v>0</v>
      </c>
      <c r="J29" s="41" t="n">
        <f aca="false">PL!$J$25+PL!$J$26-PL!$J$24</f>
        <v>0</v>
      </c>
      <c r="K29" s="41" t="n">
        <f aca="false">PL!$K$25+PL!$K$26-PL!$K$24</f>
        <v>0</v>
      </c>
      <c r="L29" s="41" t="n">
        <f aca="false">PL!$L$25+PL!$L$26-PL!$L$24</f>
        <v>0</v>
      </c>
      <c r="M29" s="41" t="n">
        <f aca="false">PL!$M$25+PL!$M$26-PL!$M$24</f>
        <v>0</v>
      </c>
      <c r="N29" s="41" t="n">
        <f aca="false">PL!$N$25+PL!$N$26-PL!$N$24</f>
        <v>0</v>
      </c>
      <c r="O29" s="41" t="n">
        <f aca="false">PL!$O$25+PL!$O$26-PL!$O$24</f>
        <v>0</v>
      </c>
    </row>
    <row r="30" customFormat="false" ht="17.15" hidden="false" customHeight="false" outlineLevel="0" collapsed="false">
      <c r="A30" s="24" t="s">
        <v>718</v>
      </c>
      <c r="B30" s="25" t="s">
        <v>86</v>
      </c>
      <c r="C30" s="41" t="n">
        <f aca="false">PL!$C$15+PL!$C$16+PL!$C$17+PL!$C$18+PL!$C$19+PL!$C$20+PL!$C$21-PL!$C$27</f>
        <v>0</v>
      </c>
      <c r="D30" s="41" t="n">
        <f aca="false">PL!$D$15+PL!$D$16+PL!$D$17+PL!$D$18+PL!$D$19+PL!$D$20+PL!$D$21-PL!$D$27</f>
        <v>0</v>
      </c>
      <c r="E30" s="41" t="n">
        <f aca="false">PL!$E$15+PL!$E$16+PL!$E$17+PL!$E$18+PL!$E$19+PL!$E$20+PL!$E$21-PL!$E$27</f>
        <v>0</v>
      </c>
      <c r="F30" s="41" t="n">
        <f aca="false">PL!$F$15+PL!$F$16+PL!$F$17+PL!$F$18+PL!$F$19+PL!$F$20+PL!$F$21-PL!$F$27</f>
        <v>0</v>
      </c>
      <c r="G30" s="41" t="n">
        <f aca="false">PL!$G$15+PL!$G$16+PL!$G$17+PL!$G$18+PL!$G$19+PL!$G$20+PL!$G$21-PL!$G$27</f>
        <v>0</v>
      </c>
      <c r="H30" s="41" t="n">
        <f aca="false">PL!$H$15+PL!$H$16+PL!$H$17+PL!$H$18+PL!$H$19+PL!$H$20+PL!$H$21-PL!$H$27</f>
        <v>0</v>
      </c>
      <c r="I30" s="41" t="n">
        <f aca="false">PL!$I$15+PL!$I$16+PL!$I$17+PL!$I$18+PL!$I$19+PL!$I$20+PL!$I$21-PL!$I$27</f>
        <v>0</v>
      </c>
      <c r="J30" s="41" t="n">
        <f aca="false">PL!$J$15+PL!$J$16+PL!$J$17+PL!$J$18+PL!$J$19+PL!$J$20+PL!$J$21-PL!$J$27</f>
        <v>0</v>
      </c>
      <c r="K30" s="41" t="n">
        <f aca="false">PL!$K$15+PL!$K$16+PL!$K$17+PL!$K$18+PL!$K$19+PL!$K$20+PL!$K$21-PL!$K$27</f>
        <v>0</v>
      </c>
      <c r="L30" s="41" t="n">
        <f aca="false">PL!$L$15+PL!$L$16+PL!$L$17+PL!$L$18+PL!$L$19+PL!$L$20+PL!$L$21-PL!$L$27</f>
        <v>0</v>
      </c>
      <c r="M30" s="41" t="n">
        <f aca="false">PL!$M$15+PL!$M$16+PL!$M$17+PL!$M$18+PL!$M$19+PL!$M$20+PL!$M$21-PL!$M$27</f>
        <v>0</v>
      </c>
      <c r="N30" s="41" t="n">
        <f aca="false">PL!$N$15+PL!$N$16+PL!$N$17+PL!$N$18+PL!$N$19+PL!$N$20+PL!$N$21-PL!$N$27</f>
        <v>0</v>
      </c>
      <c r="O30" s="41" t="n">
        <f aca="false">PL!$O$15+PL!$O$16+PL!$O$17+PL!$O$18+PL!$O$19+PL!$O$20+PL!$O$21-PL!$O$27</f>
        <v>0</v>
      </c>
    </row>
    <row r="31" customFormat="false" ht="17.15" hidden="false" customHeight="false" outlineLevel="0" collapsed="false">
      <c r="A31" s="24" t="s">
        <v>698</v>
      </c>
      <c r="B31" s="25" t="s">
        <v>86</v>
      </c>
      <c r="C31" s="41" t="n">
        <f aca="false">PL!$C$22+PL!$C$23+PL!$C$24-PL!$C$27</f>
        <v>0</v>
      </c>
      <c r="D31" s="41" t="n">
        <f aca="false">PL!$D$22+PL!$D$23+PL!$D$24-PL!$D$27</f>
        <v>0</v>
      </c>
      <c r="E31" s="41" t="n">
        <f aca="false">PL!$E$22+PL!$E$23+PL!$E$24-PL!$E$27</f>
        <v>0</v>
      </c>
      <c r="F31" s="41" t="n">
        <f aca="false">PL!$F$22+PL!$F$23+PL!$F$24-PL!$F$27</f>
        <v>0</v>
      </c>
      <c r="G31" s="41" t="n">
        <f aca="false">PL!$G$22+PL!$G$23+PL!$G$24-PL!$G$27</f>
        <v>0</v>
      </c>
      <c r="H31" s="41" t="n">
        <f aca="false">PL!$H$22+PL!$H$23+PL!$H$24-PL!$H$27</f>
        <v>0</v>
      </c>
      <c r="I31" s="41" t="n">
        <f aca="false">PL!$I$22+PL!$I$23+PL!$I$24-PL!$I$27</f>
        <v>0</v>
      </c>
      <c r="J31" s="41" t="n">
        <f aca="false">PL!$J$22+PL!$J$23+PL!$J$24-PL!$J$27</f>
        <v>0</v>
      </c>
      <c r="K31" s="41" t="n">
        <f aca="false">PL!$K$22+PL!$K$23+PL!$K$24-PL!$K$27</f>
        <v>0</v>
      </c>
      <c r="L31" s="41" t="n">
        <f aca="false">PL!$L$22+PL!$L$23+PL!$L$24-PL!$L$27</f>
        <v>0</v>
      </c>
      <c r="M31" s="41" t="n">
        <f aca="false">PL!$M$22+PL!$M$23+PL!$M$24-PL!$M$27</f>
        <v>0</v>
      </c>
      <c r="N31" s="41" t="n">
        <f aca="false">PL!$N$22+PL!$N$23+PL!$N$24-PL!$N$27</f>
        <v>0</v>
      </c>
      <c r="O31" s="41" t="n">
        <f aca="false">PL!$O$22+PL!$O$23+PL!$O$24-PL!$O$27</f>
        <v>0</v>
      </c>
    </row>
    <row r="32" customFormat="false" ht="17.15" hidden="false" customHeight="false" outlineLevel="0" collapsed="false">
      <c r="A32" s="1" t="s">
        <v>719</v>
      </c>
    </row>
    <row r="33" customFormat="false" ht="17.15" hidden="false" customHeight="false" outlineLevel="0" collapsed="false">
      <c r="A33" s="0" t="s">
        <v>720</v>
      </c>
      <c r="B33" s="0" t="s">
        <v>86</v>
      </c>
      <c r="C33" s="38" t="n">
        <f aca="false">Seg!$C$24*m_ad</f>
        <v>20.5341564414228</v>
      </c>
      <c r="D33" s="38" t="n">
        <f aca="false">Seg!$D$24*m_ad</f>
        <v>24.8720617299587</v>
      </c>
      <c r="E33" s="38" t="n">
        <f aca="false">Seg!$E$24*m_ad</f>
        <v>13.5017112462207</v>
      </c>
      <c r="F33" s="38" t="n">
        <f aca="false">Seg!$F$24*m_ad</f>
        <v>16.5719724165257</v>
      </c>
      <c r="G33" s="38" t="n">
        <f aca="false">Seg!$G$24*m_ad</f>
        <v>30.0820919220415</v>
      </c>
      <c r="H33" s="38" t="n">
        <f aca="false">Seg!$H$24*m_ad</f>
        <v>36.1150883276314</v>
      </c>
      <c r="I33" s="38" t="n">
        <f aca="false">Seg!$I$24*m_ad</f>
        <v>42.1475382231996</v>
      </c>
      <c r="J33" s="38" t="n">
        <f aca="false">Seg!$J$24*m_ad</f>
        <v>47.7749523864693</v>
      </c>
      <c r="K33" s="38" t="n">
        <f aca="false">Seg!$K$24*m_ad</f>
        <v>52.5524476251162</v>
      </c>
      <c r="L33" s="38" t="n">
        <f aca="false">Seg!$L$24*m_ad</f>
        <v>57.8076923876279</v>
      </c>
      <c r="M33" s="38" t="n">
        <f aca="false">Seg!$M$24*m_ad</f>
        <v>63.5884616263907</v>
      </c>
      <c r="N33" s="38" t="n">
        <f aca="false">Seg!$N$24*m_ad</f>
        <v>10.8543555706248</v>
      </c>
      <c r="O33" s="38" t="n">
        <f aca="false">Seg!$O$24*m_ad</f>
        <v>14.0094731821399</v>
      </c>
    </row>
    <row r="34" customFormat="false" ht="17.15" hidden="false" customHeight="false" outlineLevel="0" collapsed="false">
      <c r="A34" s="0" t="s">
        <v>721</v>
      </c>
      <c r="B34" s="0" t="s">
        <v>86</v>
      </c>
      <c r="C34" s="38" t="n">
        <f aca="false">Seg!$C$22-Seg!$C$24</f>
        <v>346.428687117154</v>
      </c>
      <c r="D34" s="38" t="n">
        <f aca="false">Seg!$D$22-Seg!$D$24</f>
        <v>376.560876540083</v>
      </c>
      <c r="E34" s="38" t="n">
        <f aca="false">Seg!$E$22-Seg!$E$24</f>
        <v>193.316577507559</v>
      </c>
      <c r="F34" s="38" t="n">
        <f aca="false">Seg!$F$22-Seg!$F$24</f>
        <v>217.495828647535</v>
      </c>
      <c r="G34" s="38" t="n">
        <f aca="false">Seg!$G$22-Seg!$G$24</f>
        <v>410.795589636503</v>
      </c>
      <c r="H34" s="38" t="n">
        <f aca="false">Seg!$H$22-Seg!$H$24</f>
        <v>449.156813761174</v>
      </c>
      <c r="I34" s="38" t="n">
        <f aca="false">Seg!$I$22-Seg!$I$24</f>
        <v>485.848786441156</v>
      </c>
      <c r="J34" s="38" t="n">
        <f aca="false">Seg!$J$22-Seg!$J$24</f>
        <v>519.841531018994</v>
      </c>
      <c r="K34" s="38" t="n">
        <f aca="false">Seg!$K$22-Seg!$K$24</f>
        <v>550.103332311311</v>
      </c>
      <c r="L34" s="38" t="n">
        <f aca="false">Seg!$L$22-Seg!$L$24</f>
        <v>582.192354474511</v>
      </c>
      <c r="M34" s="38" t="n">
        <f aca="false">Seg!$M$22-Seg!$M$24</f>
        <v>616.22240521081</v>
      </c>
      <c r="N34" s="38" t="n">
        <f aca="false">Seg!$N$22-Seg!$N$24</f>
        <v>171.24628885875</v>
      </c>
      <c r="O34" s="38" t="n">
        <f aca="false">Seg!$O$22-Seg!$O$24</f>
        <v>205.33105363572</v>
      </c>
    </row>
    <row r="35" customFormat="false" ht="17.15" hidden="false" customHeight="false" outlineLevel="0" collapsed="false">
      <c r="A35" s="0" t="s">
        <v>722</v>
      </c>
      <c r="B35" s="0" t="s">
        <v>86</v>
      </c>
      <c r="C35" s="38" t="n">
        <f aca="false">Thesis!$C$51*Seg!$C$21</f>
        <v>0.123617442257179</v>
      </c>
      <c r="D35" s="38" t="n">
        <f aca="false">Thesis!$D$51*Seg!$D$21</f>
        <v>0.600198046024689</v>
      </c>
      <c r="E35" s="38" t="n">
        <f aca="false">Thesis!$E$51*Seg!$E$21</f>
        <v>0.970552432202993</v>
      </c>
      <c r="F35" s="38" t="n">
        <f aca="false">Thesis!$F$51*Seg!$F$21</f>
        <v>1.20508758179477</v>
      </c>
      <c r="G35" s="38" t="n">
        <f aca="false">Thesis!$G$51*Seg!$G$21</f>
        <v>2.17634038517516</v>
      </c>
      <c r="H35" s="38" t="n">
        <f aca="false">Thesis!$H$51*Seg!$H$21</f>
        <v>6.23494820825366</v>
      </c>
      <c r="I35" s="38" t="n">
        <f aca="false">Thesis!$I$51*Seg!$I$21</f>
        <v>11.8941061564998</v>
      </c>
      <c r="J35" s="38" t="n">
        <f aca="false">Thesis!$J$51*Seg!$J$21</f>
        <v>17.7065099060726</v>
      </c>
      <c r="K35" s="38" t="n">
        <f aca="false">Thesis!$K$51*Seg!$K$21</f>
        <v>23.3922312661646</v>
      </c>
      <c r="L35" s="38" t="n">
        <f aca="false">Thesis!$L$51*Seg!$L$21</f>
        <v>27.3302092157187</v>
      </c>
      <c r="M35" s="38" t="n">
        <f aca="false">Thesis!$M$51*Seg!$M$21</f>
        <v>29.7534922517711</v>
      </c>
      <c r="N35" s="38" t="n">
        <f aca="false">Thesis!$N$51*Seg!$N$21</f>
        <v>0.25053229484398</v>
      </c>
      <c r="O35" s="38" t="n">
        <f aca="false">Thesis!$O$51*Seg!$O$21</f>
        <v>0.349234376756897</v>
      </c>
    </row>
    <row r="36" customFormat="false" ht="17.15" hidden="false" customHeight="false" outlineLevel="0" collapsed="false">
      <c r="A36" s="0" t="s">
        <v>723</v>
      </c>
      <c r="B36" s="0" t="s">
        <v>52</v>
      </c>
      <c r="C36" s="28" t="n">
        <f aca="false">(PL!$C$37-PL!$C$33+PL!$C$35)/PL!$C$34</f>
        <v>0.0131526665379575</v>
      </c>
      <c r="D36" s="28" t="n">
        <f aca="false">(PL!$D$37-PL!$D$33+PL!$D$35)/PL!$D$34</f>
        <v>0.0141999252954702</v>
      </c>
      <c r="E36" s="28" t="n">
        <f aca="false">(PL!$E$37-PL!$E$33+PL!$E$35)/PL!$E$34</f>
        <v>0.0251341154940129</v>
      </c>
      <c r="F36" s="28" t="n">
        <f aca="false">PL!$O$36+(PL!$E$36-PL!$N$36)</f>
        <v>0.0217171685713677</v>
      </c>
      <c r="G36" s="28" t="n">
        <f aca="false">(PL!$G$37-PL!$G$33+PL!$G$35)/PL!$G$34</f>
        <v>0.0233072776673296</v>
      </c>
      <c r="H36" s="28" t="n">
        <f aca="false">PL!$G$36+step_na</f>
        <v>0.0263072776673296</v>
      </c>
      <c r="I36" s="28" t="n">
        <f aca="false">PL!$H$36+step_na</f>
        <v>0.0293072776673296</v>
      </c>
      <c r="J36" s="28" t="n">
        <f aca="false">PL!$I$36+step_na</f>
        <v>0.0323072776673296</v>
      </c>
      <c r="K36" s="28" t="n">
        <f aca="false">PL!$J$36+step_na</f>
        <v>0.0353072776673296</v>
      </c>
      <c r="L36" s="28" t="n">
        <f aca="false">PL!$K$36</f>
        <v>0.0353072776673296</v>
      </c>
      <c r="M36" s="28" t="n">
        <f aca="false">PL!$L$36</f>
        <v>0.0353072776673296</v>
      </c>
      <c r="N36" s="28" t="n">
        <f aca="false">(PL!$N$37-PL!$N$33+PL!$N$35)/PL!$N$34</f>
        <v>0.0160831323269779</v>
      </c>
      <c r="O36" s="28" t="n">
        <f aca="false">(PL!$O$37-PL!$O$33+PL!$O$35)/PL!$O$34</f>
        <v>0.0126661854043327</v>
      </c>
      <c r="P36" s="8" t="s">
        <v>724</v>
      </c>
    </row>
    <row r="37" customFormat="false" ht="17.15" hidden="false" customHeight="false" outlineLevel="0" collapsed="false">
      <c r="A37" s="1" t="s">
        <v>725</v>
      </c>
      <c r="B37" s="8" t="s">
        <v>86</v>
      </c>
      <c r="C37" s="38" t="n">
        <f aca="false">Q!$D$22</f>
        <v>24.967</v>
      </c>
      <c r="D37" s="38" t="n">
        <f aca="false">Q!$E$22</f>
        <v>29.619</v>
      </c>
      <c r="E37" s="38" t="n">
        <f aca="false">Q!$P$22</f>
        <v>17.39</v>
      </c>
      <c r="F37" s="38" t="n">
        <f aca="false">PL!$F$33+PL!$F$34*PL!$F$36-PL!$F$35</f>
        <v>20.0902784090387</v>
      </c>
      <c r="G37" s="38" t="n">
        <f aca="false">PL!$E$37+PL!$F$37</f>
        <v>37.4802784090387</v>
      </c>
      <c r="H37" s="38" t="n">
        <f aca="false">PL!$H$33+PL!$H$34*PL!$H$36-PL!$H$35</f>
        <v>41.696233135166</v>
      </c>
      <c r="I37" s="38" t="n">
        <f aca="false">PL!$I$33+PL!$I$34*PL!$I$36-PL!$I$35</f>
        <v>44.4923373552658</v>
      </c>
      <c r="J37" s="38" t="n">
        <f aca="false">PL!$J$33+PL!$J$34*PL!$J$36-PL!$J$35</f>
        <v>46.8631071660371</v>
      </c>
      <c r="K37" s="38" t="n">
        <f aca="false">PL!$K$33+PL!$K$34*PL!$K$36-PL!$K$35</f>
        <v>48.5828674585903</v>
      </c>
      <c r="L37" s="38" t="n">
        <f aca="false">PL!$L$33+PL!$L$34*PL!$L$36-PL!$L$35</f>
        <v>51.0331102871372</v>
      </c>
      <c r="M37" s="38" t="n">
        <f aca="false">PL!$M$33+PL!$M$34*PL!$M$36-PL!$M$35</f>
        <v>55.5921049402273</v>
      </c>
      <c r="N37" s="38" t="n">
        <f aca="false">Q!$N$22</f>
        <v>13.358</v>
      </c>
      <c r="O37" s="38" t="n">
        <f aca="false">Q!$O$22</f>
        <v>16.261</v>
      </c>
    </row>
    <row r="38" customFormat="false" ht="17.15" hidden="false" customHeight="false" outlineLevel="0" collapsed="false">
      <c r="A38" s="0" t="s">
        <v>726</v>
      </c>
      <c r="B38" s="0" t="s">
        <v>86</v>
      </c>
      <c r="C38" s="38" t="n">
        <f aca="false">Seg!$C$25*m_ad</f>
        <v>7.57284355857716</v>
      </c>
      <c r="D38" s="38" t="n">
        <f aca="false">Seg!$D$25*m_ad</f>
        <v>9.44543827004127</v>
      </c>
      <c r="E38" s="38" t="n">
        <f aca="false">Seg!$E$25*m_ad</f>
        <v>5.02428875377928</v>
      </c>
      <c r="F38" s="38" t="n">
        <f aca="false">Seg!$F$25*m_ad</f>
        <v>6.50663858068173</v>
      </c>
      <c r="G38" s="38" t="n">
        <f aca="false">Seg!$G$25*m_ad</f>
        <v>11.5225190751659</v>
      </c>
      <c r="H38" s="38" t="n">
        <f aca="false">Seg!$H$25*m_ad</f>
        <v>13.8333728663174</v>
      </c>
      <c r="I38" s="38" t="n">
        <f aca="false">Seg!$I$25*m_ad</f>
        <v>16.1440173245485</v>
      </c>
      <c r="J38" s="38" t="n">
        <f aca="false">Seg!$J$25*m_ad</f>
        <v>18.2995185845066</v>
      </c>
      <c r="K38" s="38" t="n">
        <f aca="false">Seg!$K$25*m_ad</f>
        <v>20.1294704429572</v>
      </c>
      <c r="L38" s="38" t="n">
        <f aca="false">Seg!$L$25*m_ad</f>
        <v>22.142417487253</v>
      </c>
      <c r="M38" s="38" t="n">
        <f aca="false">Seg!$M$25*m_ad</f>
        <v>24.3566592359783</v>
      </c>
      <c r="N38" s="38" t="n">
        <f aca="false">Seg!$N$25*m_ad</f>
        <v>3.95314442937518</v>
      </c>
      <c r="O38" s="38" t="n">
        <f aca="false">Seg!$O$25*m_ad</f>
        <v>5.50052681786011</v>
      </c>
    </row>
    <row r="39" customFormat="false" ht="17.15" hidden="false" customHeight="false" outlineLevel="0" collapsed="false">
      <c r="A39" s="0" t="s">
        <v>727</v>
      </c>
      <c r="B39" s="0" t="s">
        <v>86</v>
      </c>
      <c r="C39" s="38" t="n">
        <f aca="false">Seg!$C$23-Seg!$C$25</f>
        <v>127.760312882846</v>
      </c>
      <c r="D39" s="38" t="n">
        <f aca="false">Seg!$D$23-Seg!$D$25</f>
        <v>143.003123459917</v>
      </c>
      <c r="E39" s="38" t="n">
        <f aca="false">Seg!$E$23-Seg!$E$25</f>
        <v>71.9374224924414</v>
      </c>
      <c r="F39" s="38" t="n">
        <f aca="false">Seg!$F$23-Seg!$F$25</f>
        <v>85.3951910035875</v>
      </c>
      <c r="G39" s="38" t="n">
        <f aca="false">Seg!$G$23-Seg!$G$25</f>
        <v>157.349430014619</v>
      </c>
      <c r="H39" s="38" t="n">
        <f aca="false">Seg!$H$23-Seg!$H$25</f>
        <v>172.043153372315</v>
      </c>
      <c r="I39" s="38" t="n">
        <f aca="false">Seg!$I$23-Seg!$I$25</f>
        <v>186.097493615879</v>
      </c>
      <c r="J39" s="38" t="n">
        <f aca="false">Seg!$J$23-Seg!$J$25</f>
        <v>199.117932780497</v>
      </c>
      <c r="K39" s="38" t="n">
        <f aca="false">Seg!$K$23-Seg!$K$25</f>
        <v>210.70928698363</v>
      </c>
      <c r="L39" s="38" t="n">
        <f aca="false">Seg!$L$23-Seg!$L$25</f>
        <v>223.000532251316</v>
      </c>
      <c r="M39" s="38" t="n">
        <f aca="false">Seg!$M$23-Seg!$M$25</f>
        <v>236.035261011339</v>
      </c>
      <c r="N39" s="38" t="n">
        <f aca="false">Seg!$N$23-Seg!$N$25</f>
        <v>62.3677111412496</v>
      </c>
      <c r="O39" s="38" t="n">
        <f aca="false">Seg!$O$23-Seg!$O$25</f>
        <v>80.6189463642798</v>
      </c>
    </row>
    <row r="40" customFormat="false" ht="17.15" hidden="false" customHeight="false" outlineLevel="0" collapsed="false">
      <c r="A40" s="0" t="s">
        <v>728</v>
      </c>
      <c r="B40" s="0" t="s">
        <v>86</v>
      </c>
      <c r="C40" s="38" t="n">
        <f aca="false">Thesis!$C$51*(1-Seg!$C$21)</f>
        <v>0.0455891896019953</v>
      </c>
      <c r="D40" s="38" t="n">
        <f aca="false">Thesis!$D$51*(1-Seg!$D$21)</f>
        <v>0.227931791705753</v>
      </c>
      <c r="E40" s="38" t="n">
        <f aca="false">Thesis!$E$51*(1-Seg!$E$21)</f>
        <v>0.361164268820781</v>
      </c>
      <c r="F40" s="38" t="n">
        <f aca="false">Thesis!$F$51*(1-Seg!$F$21)</f>
        <v>0.473152450156574</v>
      </c>
      <c r="G40" s="38" t="n">
        <f aca="false">Thesis!$G$51*(1-Seg!$G$21)</f>
        <v>0.833616347799951</v>
      </c>
      <c r="H40" s="38" t="n">
        <f aca="false">Thesis!$H$51*(1-Seg!$H$21)</f>
        <v>2.38820856769055</v>
      </c>
      <c r="I40" s="38" t="n">
        <f aca="false">Thesis!$I$51*(1-Seg!$I$21)</f>
        <v>4.55586883470357</v>
      </c>
      <c r="J40" s="38" t="n">
        <f aca="false">Thesis!$J$51*(1-Seg!$J$21)</f>
        <v>6.7822277345627</v>
      </c>
      <c r="K40" s="38" t="n">
        <f aca="false">Thesis!$K$51*(1-Seg!$K$21)</f>
        <v>8.96006274010419</v>
      </c>
      <c r="L40" s="38" t="n">
        <f aca="false">Thesis!$L$51*(1-Seg!$L$21)</f>
        <v>10.4684493961556</v>
      </c>
      <c r="M40" s="38" t="n">
        <f aca="false">Thesis!$M$51*(1-Seg!$M$21)</f>
        <v>11.3966536274239</v>
      </c>
      <c r="N40" s="38" t="n">
        <f aca="false">Thesis!$N$51*(1-Seg!$N$21)</f>
        <v>0.0912435878202994</v>
      </c>
      <c r="O40" s="38" t="n">
        <f aca="false">Thesis!$O$51*(1-Seg!$O$21)</f>
        <v>0.137119578309265</v>
      </c>
    </row>
    <row r="41" customFormat="false" ht="17.15" hidden="false" customHeight="false" outlineLevel="0" collapsed="false">
      <c r="A41" s="0" t="s">
        <v>729</v>
      </c>
      <c r="B41" s="0" t="s">
        <v>52</v>
      </c>
      <c r="C41" s="28" t="n">
        <f aca="false">(PL!$C$42-PL!$C$38+PL!$C$40)/PL!$C$39</f>
        <v>-0.0292364215826579</v>
      </c>
      <c r="D41" s="28" t="n">
        <f aca="false">(PL!$D$42-PL!$D$38+PL!$D$40)/PL!$D$39</f>
        <v>-0.0312406216748665</v>
      </c>
      <c r="E41" s="28" t="n">
        <f aca="false">(PL!$E$42-PL!$E$38+PL!$E$40)/PL!$E$39</f>
        <v>-0.0211590078184749</v>
      </c>
      <c r="F41" s="28" t="n">
        <f aca="false">PL!$O$41+(PL!$E$41-PL!$N$41)</f>
        <v>-0.0382539955245511</v>
      </c>
      <c r="G41" s="28" t="n">
        <f aca="false">(PL!$G$42-PL!$G$38+PL!$G$40)/PL!$G$39</f>
        <v>-0.0303853903434285</v>
      </c>
      <c r="H41" s="28" t="n">
        <f aca="false">PL!$G$41+step_in</f>
        <v>-0.0303853903434285</v>
      </c>
      <c r="I41" s="28" t="n">
        <f aca="false">PL!$H$41+step_in</f>
        <v>-0.0303853903434285</v>
      </c>
      <c r="J41" s="28" t="n">
        <f aca="false">PL!$I$41+step_in</f>
        <v>-0.0303853903434285</v>
      </c>
      <c r="K41" s="28" t="n">
        <f aca="false">PL!$J$41+step_in</f>
        <v>-0.0303853903434285</v>
      </c>
      <c r="L41" s="28" t="n">
        <f aca="false">PL!$K$41</f>
        <v>-0.0303853903434285</v>
      </c>
      <c r="M41" s="28" t="n">
        <f aca="false">PL!$L$41</f>
        <v>-0.0303853903434285</v>
      </c>
      <c r="N41" s="28" t="n">
        <f aca="false">(PL!$N$42-PL!$N$38+PL!$N$40)/PL!$N$39</f>
        <v>-0.0216602600421776</v>
      </c>
      <c r="O41" s="28" t="n">
        <f aca="false">(PL!$O$42-PL!$O$38+PL!$O$40)/PL!$O$39</f>
        <v>-0.0387552477482538</v>
      </c>
      <c r="P41" s="8" t="s">
        <v>724</v>
      </c>
    </row>
    <row r="42" customFormat="false" ht="17.15" hidden="false" customHeight="false" outlineLevel="0" collapsed="false">
      <c r="A42" s="1" t="s">
        <v>730</v>
      </c>
      <c r="B42" s="8" t="s">
        <v>86</v>
      </c>
      <c r="C42" s="38" t="n">
        <f aca="false">Q!$D$23</f>
        <v>3.792</v>
      </c>
      <c r="D42" s="38" t="n">
        <f aca="false">Q!$E$23</f>
        <v>4.75</v>
      </c>
      <c r="E42" s="38" t="n">
        <f aca="false">Q!$P$23</f>
        <v>3.141</v>
      </c>
      <c r="F42" s="38" t="n">
        <f aca="false">PL!$F$38+PL!$F$39*PL!$F$41-PL!$F$40</f>
        <v>2.76677887605573</v>
      </c>
      <c r="G42" s="38" t="n">
        <f aca="false">PL!$E$42+PL!$F$42</f>
        <v>5.90777887605573</v>
      </c>
      <c r="H42" s="38" t="n">
        <f aca="false">PL!$H$38+PL!$H$39*PL!$H$41-PL!$H$40</f>
        <v>6.21756592749469</v>
      </c>
      <c r="I42" s="38" t="n">
        <f aca="false">PL!$I$38+PL!$I$39*PL!$I$41-PL!$I$40</f>
        <v>5.93350350439279</v>
      </c>
      <c r="J42" s="38" t="n">
        <f aca="false">PL!$J$38+PL!$J$39*PL!$J$41-PL!$J$40</f>
        <v>5.46701473803192</v>
      </c>
      <c r="K42" s="38" t="n">
        <f aca="false">PL!$K$38+PL!$K$39*PL!$K$41-PL!$K$40</f>
        <v>4.76692376886995</v>
      </c>
      <c r="L42" s="38" t="n">
        <f aca="false">PL!$L$38+PL!$L$39*PL!$L$41-PL!$L$40</f>
        <v>4.89800987184881</v>
      </c>
      <c r="M42" s="38" t="n">
        <f aca="false">PL!$M$38+PL!$M$39*PL!$M$41-PL!$M$40</f>
        <v>5.78798206791183</v>
      </c>
      <c r="N42" s="38" t="n">
        <f aca="false">Q!$N$23</f>
        <v>2.511</v>
      </c>
      <c r="O42" s="38" t="n">
        <f aca="false">Q!$O$23</f>
        <v>2.239</v>
      </c>
    </row>
    <row r="43" customFormat="false" ht="17.15" hidden="false" customHeight="false" outlineLevel="0" collapsed="false">
      <c r="A43" s="0" t="s">
        <v>731</v>
      </c>
      <c r="B43" s="0" t="s">
        <v>86</v>
      </c>
      <c r="C43" s="38" t="n">
        <f aca="false">Thesis!$C$48</f>
        <v>1.64417882953695</v>
      </c>
      <c r="D43" s="38" t="n">
        <f aca="false">Thesis!$D$48</f>
        <v>5.39125073772939</v>
      </c>
      <c r="E43" s="38" t="n">
        <f aca="false">Thesis!$E$48</f>
        <v>3.18348617147493</v>
      </c>
      <c r="F43" s="38" t="n">
        <f aca="false">Thesis!$F$48</f>
        <v>11.0576724934068</v>
      </c>
      <c r="G43" s="38" t="n">
        <f aca="false">Thesis!$G$48</f>
        <v>14.2411586648817</v>
      </c>
      <c r="H43" s="38" t="n">
        <f aca="false">Thesis!$H$48</f>
        <v>48.5912469028468</v>
      </c>
      <c r="I43" s="38" t="n">
        <f aca="false">Thesis!$I$48</f>
        <v>82.2763919971818</v>
      </c>
      <c r="J43" s="38" t="n">
        <f aca="false">Thesis!$J$48</f>
        <v>115.402891313281</v>
      </c>
      <c r="K43" s="38" t="n">
        <f aca="false">Thesis!$K$48</f>
        <v>139.636199128146</v>
      </c>
      <c r="L43" s="38" t="n">
        <f aca="false">Thesis!$L$48</f>
        <v>154.437237999831</v>
      </c>
      <c r="M43" s="38" t="n">
        <f aca="false">Thesis!$M$48</f>
        <v>158.46970489119</v>
      </c>
      <c r="N43" s="38" t="n">
        <f aca="false">Thesis!$N$48</f>
        <v>1.67921600037079</v>
      </c>
      <c r="O43" s="38" t="n">
        <f aca="false">Thesis!$O$48</f>
        <v>3.71203473735861</v>
      </c>
    </row>
    <row r="44" customFormat="false" ht="17.15" hidden="false" customHeight="false" outlineLevel="0" collapsed="false">
      <c r="A44" s="0" t="s">
        <v>649</v>
      </c>
      <c r="B44" s="0" t="s">
        <v>86</v>
      </c>
      <c r="C44" s="38" t="n">
        <f aca="false">Thesis!$C$53</f>
        <v>38.1898211704631</v>
      </c>
      <c r="D44" s="38" t="n">
        <f aca="false">Thesis!$D$53</f>
        <v>40.2147492622706</v>
      </c>
      <c r="E44" s="38" t="n">
        <f aca="false">Thesis!$E$53</f>
        <v>27.5985138285251</v>
      </c>
      <c r="F44" s="38" t="n">
        <f aca="false">Thesis!$F$53</f>
        <v>25.5484769754606</v>
      </c>
      <c r="G44" s="38" t="n">
        <f aca="false">Thesis!$G$53</f>
        <v>53.1469908039857</v>
      </c>
      <c r="H44" s="38" t="n">
        <f aca="false">Thesis!$H$53</f>
        <v>57.3189525076539</v>
      </c>
      <c r="I44" s="38" t="n">
        <f aca="false">Thesis!$I$53</f>
        <v>63.6385627021087</v>
      </c>
      <c r="J44" s="38" t="n">
        <f aca="false">Thesis!$J$53</f>
        <v>69.6922896066105</v>
      </c>
      <c r="K44" s="38" t="n">
        <f aca="false">Thesis!$K$53</f>
        <v>75.2676727751394</v>
      </c>
      <c r="L44" s="38" t="n">
        <f aca="false">Thesis!$L$53</f>
        <v>81.2890865971505</v>
      </c>
      <c r="M44" s="38" t="n">
        <f aca="false">Thesis!$M$53</f>
        <v>87.7922135249226</v>
      </c>
      <c r="N44" s="38" t="n">
        <f aca="false">Thesis!$N$53</f>
        <v>20.0277839996292</v>
      </c>
      <c r="O44" s="38" t="n">
        <f aca="false">Thesis!$O$53</f>
        <v>20.1869652626414</v>
      </c>
    </row>
    <row r="45" customFormat="false" ht="17.15" hidden="false" customHeight="false" outlineLevel="0" collapsed="false">
      <c r="A45" s="1" t="s">
        <v>732</v>
      </c>
      <c r="B45" s="8" t="s">
        <v>86</v>
      </c>
      <c r="C45" s="38" t="n">
        <f aca="false">Q!$D$24</f>
        <v>39.834</v>
      </c>
      <c r="D45" s="38" t="n">
        <f aca="false">Q!$E$24</f>
        <v>45.606</v>
      </c>
      <c r="E45" s="38" t="n">
        <f aca="false">Q!$P$24</f>
        <v>30.782</v>
      </c>
      <c r="F45" s="38" t="n">
        <f aca="false">PL!$F$43+PL!$F$44</f>
        <v>36.6061494688674</v>
      </c>
      <c r="G45" s="38" t="n">
        <f aca="false">PL!$G$43+PL!$G$44</f>
        <v>67.3881494688674</v>
      </c>
      <c r="H45" s="38" t="n">
        <f aca="false">PL!$H$43+PL!$H$44</f>
        <v>105.910199410501</v>
      </c>
      <c r="I45" s="38" t="n">
        <f aca="false">PL!$I$43+PL!$I$44</f>
        <v>145.914954699291</v>
      </c>
      <c r="J45" s="38" t="n">
        <f aca="false">PL!$J$43+PL!$J$44</f>
        <v>185.095180919892</v>
      </c>
      <c r="K45" s="38" t="n">
        <f aca="false">PL!$K$43+PL!$K$44</f>
        <v>214.903871903286</v>
      </c>
      <c r="L45" s="38" t="n">
        <f aca="false">PL!$L$43+PL!$L$44</f>
        <v>235.726324596982</v>
      </c>
      <c r="M45" s="38" t="n">
        <f aca="false">PL!$M$43+PL!$M$44</f>
        <v>246.261918416113</v>
      </c>
      <c r="N45" s="38" t="n">
        <f aca="false">Q!$N$24</f>
        <v>21.707</v>
      </c>
      <c r="O45" s="38" t="n">
        <f aca="false">Q!$O$24</f>
        <v>23.899</v>
      </c>
    </row>
    <row r="46" customFormat="false" ht="17.15" hidden="false" customHeight="false" outlineLevel="0" collapsed="false">
      <c r="A46" s="5" t="s">
        <v>733</v>
      </c>
      <c r="B46" s="0" t="s">
        <v>86</v>
      </c>
      <c r="C46" s="38" t="n">
        <f aca="false">Q!$D$26</f>
        <v>0</v>
      </c>
      <c r="D46" s="38" t="n">
        <f aca="false">Q!$E$26</f>
        <v>0</v>
      </c>
      <c r="E46" s="38" t="n">
        <f aca="false">Q!$P$26</f>
        <v>0</v>
      </c>
      <c r="F46" s="39" t="n">
        <v>0</v>
      </c>
      <c r="G46" s="38" t="n">
        <f aca="false">PL!$E$46+PL!$F$46</f>
        <v>0</v>
      </c>
      <c r="H46" s="39" t="n">
        <v>0</v>
      </c>
      <c r="I46" s="39" t="n">
        <v>0</v>
      </c>
      <c r="J46" s="39" t="n">
        <v>0</v>
      </c>
      <c r="K46" s="39" t="n">
        <v>0</v>
      </c>
      <c r="L46" s="39" t="n">
        <v>0</v>
      </c>
      <c r="M46" s="39" t="n">
        <v>0</v>
      </c>
      <c r="N46" s="38" t="n">
        <f aca="false">Q!$N$26</f>
        <v>0</v>
      </c>
      <c r="O46" s="38" t="n">
        <f aca="false">Q!$O$26</f>
        <v>0</v>
      </c>
    </row>
    <row r="47" customFormat="false" ht="15" hidden="false" customHeight="false" outlineLevel="0" collapsed="false">
      <c r="A47" s="3" t="s">
        <v>534</v>
      </c>
      <c r="B47" s="8" t="s">
        <v>86</v>
      </c>
      <c r="C47" s="38" t="n">
        <f aca="false">Q!$D$25</f>
        <v>68.593</v>
      </c>
      <c r="D47" s="38" t="n">
        <f aca="false">Q!$E$25</f>
        <v>79.975</v>
      </c>
      <c r="E47" s="38" t="n">
        <f aca="false">Q!$P$25</f>
        <v>51.313</v>
      </c>
      <c r="F47" s="38" t="n">
        <f aca="false">PL!$F$37+PL!$F$42+PL!$F$45+PL!$F$46</f>
        <v>59.4632067539618</v>
      </c>
      <c r="G47" s="38" t="n">
        <f aca="false">PL!$G$37+PL!$G$42+PL!$G$45+PL!$G$46</f>
        <v>110.776206753962</v>
      </c>
      <c r="H47" s="38" t="n">
        <f aca="false">PL!$H$37+PL!$H$42+PL!$H$45+PL!$H$46</f>
        <v>153.823998473161</v>
      </c>
      <c r="I47" s="38" t="n">
        <f aca="false">PL!$I$37+PL!$I$42+PL!$I$45+PL!$I$46</f>
        <v>196.340795558949</v>
      </c>
      <c r="J47" s="38" t="n">
        <f aca="false">PL!$J$37+PL!$J$42+PL!$J$45+PL!$J$46</f>
        <v>237.425302823961</v>
      </c>
      <c r="K47" s="38" t="n">
        <f aca="false">PL!$K$37+PL!$K$42+PL!$K$45+PL!$K$46</f>
        <v>268.253663130746</v>
      </c>
      <c r="L47" s="38" t="n">
        <f aca="false">PL!$L$37+PL!$L$42+PL!$L$45+PL!$L$46</f>
        <v>291.657444755968</v>
      </c>
      <c r="M47" s="38" t="n">
        <f aca="false">PL!$M$37+PL!$M$42+PL!$M$45+PL!$M$46</f>
        <v>307.642005424252</v>
      </c>
      <c r="N47" s="38" t="n">
        <f aca="false">Q!$N$25</f>
        <v>37.576</v>
      </c>
      <c r="O47" s="38" t="n">
        <f aca="false">Q!$O$25</f>
        <v>42.399</v>
      </c>
    </row>
    <row r="48" customFormat="false" ht="17.15" hidden="false" customHeight="false" outlineLevel="0" collapsed="false">
      <c r="A48" s="24" t="s">
        <v>734</v>
      </c>
      <c r="B48" s="25" t="s">
        <v>86</v>
      </c>
      <c r="C48" s="41" t="n">
        <f aca="false">PL!$C$37+PL!$C$42+PL!$C$45+PL!$C$46-PL!$C$47</f>
        <v>0</v>
      </c>
      <c r="D48" s="41" t="n">
        <f aca="false">PL!$D$37+PL!$D$42+PL!$D$45+PL!$D$46-PL!$D$47</f>
        <v>0</v>
      </c>
      <c r="E48" s="41" t="n">
        <f aca="false">PL!$E$37+PL!$E$42+PL!$E$45+PL!$E$46-PL!$E$47</f>
        <v>0</v>
      </c>
      <c r="F48" s="41" t="n">
        <f aca="false">PL!$F$37+PL!$F$42+PL!$F$45+PL!$F$46-PL!$F$47</f>
        <v>0</v>
      </c>
      <c r="G48" s="41" t="n">
        <f aca="false">PL!$G$37+PL!$G$42+PL!$G$45+PL!$G$46-PL!$G$47</f>
        <v>0</v>
      </c>
      <c r="H48" s="41" t="n">
        <f aca="false">PL!$H$37+PL!$H$42+PL!$H$45+PL!$H$46-PL!$H$47</f>
        <v>0</v>
      </c>
      <c r="I48" s="41" t="n">
        <f aca="false">PL!$I$37+PL!$I$42+PL!$I$45+PL!$I$46-PL!$I$47</f>
        <v>0</v>
      </c>
      <c r="J48" s="41" t="n">
        <f aca="false">PL!$J$37+PL!$J$42+PL!$J$45+PL!$J$46-PL!$J$47</f>
        <v>0</v>
      </c>
      <c r="K48" s="41" t="n">
        <f aca="false">PL!$K$37+PL!$K$42+PL!$K$45+PL!$K$46-PL!$K$47</f>
        <v>0</v>
      </c>
      <c r="L48" s="41" t="n">
        <f aca="false">PL!$L$37+PL!$L$42+PL!$L$45+PL!$L$46-PL!$L$47</f>
        <v>0</v>
      </c>
      <c r="M48" s="41" t="n">
        <f aca="false">PL!$M$37+PL!$M$42+PL!$M$45+PL!$M$46-PL!$M$47</f>
        <v>0</v>
      </c>
      <c r="N48" s="41" t="n">
        <f aca="false">PL!$N$37+PL!$N$42+PL!$N$45+PL!$N$46-PL!$N$47</f>
        <v>0</v>
      </c>
      <c r="O48" s="41" t="n">
        <f aca="false">PL!$O$37+PL!$O$42+PL!$O$45+PL!$O$46-PL!$O$47</f>
        <v>0</v>
      </c>
    </row>
    <row r="49" customFormat="false" ht="17.15" hidden="false" customHeight="false" outlineLevel="0" collapsed="false">
      <c r="A49" s="5" t="s">
        <v>735</v>
      </c>
      <c r="B49" s="0" t="s">
        <v>86</v>
      </c>
      <c r="C49" s="38" t="n">
        <f aca="false">Thesis!$C$50</f>
        <v>0</v>
      </c>
      <c r="D49" s="38" t="n">
        <f aca="false">Thesis!$D$50</f>
        <v>0</v>
      </c>
      <c r="E49" s="38" t="n">
        <f aca="false">Thesis!$E$50</f>
        <v>0</v>
      </c>
      <c r="F49" s="38" t="n">
        <f aca="false">Thesis!$F$50</f>
        <v>3.80479825569281</v>
      </c>
      <c r="G49" s="38" t="n">
        <f aca="false">Thesis!$G$50</f>
        <v>3.80479825569281</v>
      </c>
      <c r="H49" s="38" t="n">
        <f aca="false">Thesis!$H$50</f>
        <v>15.4376834367265</v>
      </c>
      <c r="I49" s="38" t="n">
        <f aca="false">Thesis!$I$50</f>
        <v>26.1389535282796</v>
      </c>
      <c r="J49" s="38" t="n">
        <f aca="false">Thesis!$J$50</f>
        <v>36.8878303911588</v>
      </c>
      <c r="K49" s="38" t="n">
        <f aca="false">Thesis!$K$50</f>
        <v>46.0570127832188</v>
      </c>
      <c r="L49" s="38" t="n">
        <f aca="false">Thesis!$L$50</f>
        <v>52.0811306967416</v>
      </c>
      <c r="M49" s="38" t="n">
        <f aca="false">Thesis!$M$50</f>
        <v>54.9524379204829</v>
      </c>
      <c r="N49" s="38" t="n">
        <f aca="false">Thesis!$N$50</f>
        <v>0</v>
      </c>
      <c r="O49" s="38" t="n">
        <f aca="false">Thesis!$O$50</f>
        <v>0</v>
      </c>
      <c r="P49" s="5" t="s">
        <v>736</v>
      </c>
    </row>
    <row r="50" customFormat="false" ht="17.15" hidden="false" customHeight="false" outlineLevel="0" collapsed="false">
      <c r="A50" s="5" t="s">
        <v>737</v>
      </c>
      <c r="B50" s="0" t="s">
        <v>86</v>
      </c>
      <c r="C50" s="38" t="n">
        <f aca="false">PL!$C$47+PL!$C$49</f>
        <v>68.593</v>
      </c>
      <c r="D50" s="38" t="n">
        <f aca="false">PL!$D$47+PL!$D$49</f>
        <v>79.975</v>
      </c>
      <c r="E50" s="38" t="n">
        <f aca="false">PL!$E$47+PL!$E$49</f>
        <v>51.313</v>
      </c>
      <c r="F50" s="38" t="n">
        <f aca="false">PL!$F$47+PL!$F$49</f>
        <v>63.2680050096546</v>
      </c>
      <c r="G50" s="38" t="n">
        <f aca="false">PL!$G$47+PL!$G$49</f>
        <v>114.581005009655</v>
      </c>
      <c r="H50" s="38" t="n">
        <f aca="false">PL!$H$47+PL!$H$49</f>
        <v>169.261681909888</v>
      </c>
      <c r="I50" s="38" t="n">
        <f aca="false">PL!$I$47+PL!$I$49</f>
        <v>222.479749087229</v>
      </c>
      <c r="J50" s="38" t="n">
        <f aca="false">PL!$J$47+PL!$J$49</f>
        <v>274.313133215119</v>
      </c>
      <c r="K50" s="38" t="n">
        <f aca="false">PL!$K$47+PL!$K$49</f>
        <v>314.310675913965</v>
      </c>
      <c r="L50" s="38" t="n">
        <f aca="false">PL!$L$47+PL!$L$49</f>
        <v>343.738575452709</v>
      </c>
      <c r="M50" s="38" t="n">
        <f aca="false">PL!$M$47+PL!$M$49</f>
        <v>362.594443344735</v>
      </c>
      <c r="N50" s="38" t="n">
        <f aca="false">PL!$N$47+PL!$N$49</f>
        <v>37.576</v>
      </c>
      <c r="O50" s="38" t="n">
        <f aca="false">PL!$O$47+PL!$O$49</f>
        <v>42.399</v>
      </c>
    </row>
    <row r="51" customFormat="false" ht="17.15" hidden="false" customHeight="false" outlineLevel="0" collapsed="false">
      <c r="A51" s="0" t="s">
        <v>738</v>
      </c>
      <c r="B51" s="0" t="s">
        <v>52</v>
      </c>
      <c r="C51" s="13" t="n">
        <f aca="false">PL!$C$37/PL!$C$22</f>
        <v>0.0644314665661928</v>
      </c>
      <c r="D51" s="13" t="n">
        <f aca="false">PL!$D$37/PL!$D$22</f>
        <v>0.0694784250712518</v>
      </c>
      <c r="E51" s="13" t="n">
        <f aca="false">PL!$E$37/PL!$E$22</f>
        <v>0.0789306463326071</v>
      </c>
      <c r="F51" s="13" t="n">
        <f aca="false">PL!$F$37/PL!$F$22</f>
        <v>0.0801559869371444</v>
      </c>
      <c r="G51" s="13" t="n">
        <f aca="false">PL!$G$37/PL!$G$22</f>
        <v>0.0795827595466255</v>
      </c>
      <c r="H51" s="13" t="n">
        <f aca="false">PL!$H$37/PL!$H$22</f>
        <v>0.0799717559156258</v>
      </c>
      <c r="I51" s="13" t="n">
        <f aca="false">PL!$I$37/PL!$I$22</f>
        <v>0.0780370363541749</v>
      </c>
      <c r="J51" s="13" t="n">
        <f aca="false">PL!$J$37/PL!$J$22</f>
        <v>0.076151705143134</v>
      </c>
      <c r="K51" s="13" t="n">
        <f aca="false">PL!$K$37/PL!$K$22</f>
        <v>0.0741487444982168</v>
      </c>
      <c r="L51" s="13" t="n">
        <f aca="false">PL!$L$37/PL!$L$22</f>
        <v>0.0731334827871131</v>
      </c>
      <c r="M51" s="13" t="n">
        <f aca="false">PL!$M$37/PL!$M$22</f>
        <v>0.0747809458681129</v>
      </c>
      <c r="N51" s="13" t="n">
        <f aca="false">PL!$N$37/PL!$N$22</f>
        <v>0.069228576611127</v>
      </c>
      <c r="O51" s="13" t="n">
        <f aca="false">PL!$O$37/PL!$O$22</f>
        <v>0.069685022498393</v>
      </c>
    </row>
    <row r="52" customFormat="false" ht="17.15" hidden="false" customHeight="false" outlineLevel="0" collapsed="false">
      <c r="A52" s="0" t="s">
        <v>739</v>
      </c>
      <c r="B52" s="0" t="s">
        <v>52</v>
      </c>
      <c r="C52" s="13" t="n">
        <f aca="false">PL!$C$42/PL!$C$23</f>
        <v>0.026534925055631</v>
      </c>
      <c r="D52" s="13" t="n">
        <f aca="false">PL!$D$42/PL!$D$23</f>
        <v>0.0293401855535103</v>
      </c>
      <c r="E52" s="13" t="n">
        <f aca="false">PL!$E$42/PL!$E$23</f>
        <v>0.03831141902276</v>
      </c>
      <c r="F52" s="13" t="n">
        <f aca="false">PL!$F$42/PL!$F$23</f>
        <v>0.0281152519457786</v>
      </c>
      <c r="G52" s="13" t="n">
        <f aca="false">PL!$G$42/PL!$G$23</f>
        <v>0.0327492241649767</v>
      </c>
      <c r="H52" s="13" t="n">
        <f aca="false">PL!$H$42/PL!$H$23</f>
        <v>0.031132988176151</v>
      </c>
      <c r="I52" s="13" t="n">
        <f aca="false">PL!$I$42/PL!$I$23</f>
        <v>0.0271698566820482</v>
      </c>
      <c r="J52" s="13" t="n">
        <f aca="false">PL!$J$42/PL!$J$23</f>
        <v>0.0231931317427122</v>
      </c>
      <c r="K52" s="13" t="n">
        <f aca="false">PL!$K$42/PL!$K$23</f>
        <v>0.0189941324817731</v>
      </c>
      <c r="L52" s="13" t="n">
        <f aca="false">PL!$L$42/PL!$L$23</f>
        <v>0.0183250206424903</v>
      </c>
      <c r="M52" s="13" t="n">
        <f aca="false">PL!$M$42/PL!$M$23</f>
        <v>0.0203266407102529</v>
      </c>
      <c r="N52" s="13" t="n">
        <f aca="false">PL!$N$42/PL!$N$23</f>
        <v>0.0357315650169337</v>
      </c>
      <c r="O52" s="13" t="n">
        <f aca="false">PL!$O$42/PL!$O$23</f>
        <v>0.0244378956559703</v>
      </c>
    </row>
    <row r="53" customFormat="false" ht="17.15" hidden="false" customHeight="false" outlineLevel="0" collapsed="false">
      <c r="A53" s="14" t="s">
        <v>740</v>
      </c>
      <c r="B53" s="14" t="s">
        <v>52</v>
      </c>
      <c r="C53" s="17" t="n">
        <f aca="false">PL!$C$45/PL!$C$24</f>
        <v>0.370355907620217</v>
      </c>
      <c r="D53" s="17" t="n">
        <f aca="false">PL!$D$45/PL!$D$24</f>
        <v>0.35429015342785</v>
      </c>
      <c r="E53" s="17" t="n">
        <f aca="false">PL!$E$45/PL!$E$24</f>
        <v>0.385647527531039</v>
      </c>
      <c r="F53" s="17" t="n">
        <f aca="false">PL!$F$45/PL!$F$24</f>
        <v>0.408824850336246</v>
      </c>
      <c r="G53" s="17" t="n">
        <f aca="false">PL!$G$45/PL!$G$24</f>
        <v>0.397901359602078</v>
      </c>
      <c r="H53" s="17" t="n">
        <f aca="false">PL!$H$45/PL!$H$24</f>
        <v>0.433878683959991</v>
      </c>
      <c r="I53" s="17" t="n">
        <f aca="false">PL!$I$45/PL!$I$24</f>
        <v>0.446433279634335</v>
      </c>
      <c r="J53" s="17" t="n">
        <f aca="false">PL!$J$45/PL!$J$24</f>
        <v>0.452407918794848</v>
      </c>
      <c r="K53" s="17" t="n">
        <f aca="false">PL!$K$45/PL!$K$24</f>
        <v>0.447266378778041</v>
      </c>
      <c r="L53" s="17" t="n">
        <f aca="false">PL!$L$45/PL!$L$24</f>
        <v>0.441447911398684</v>
      </c>
      <c r="M53" s="17" t="n">
        <f aca="false">PL!$M$45/PL!$M$24</f>
        <v>0.432272727744389</v>
      </c>
      <c r="N53" s="17" t="n">
        <f aca="false">PL!$N$45/PL!$N$24</f>
        <v>0.360941137346192</v>
      </c>
      <c r="O53" s="17" t="n">
        <f aca="false">PL!$O$45/PL!$O$24</f>
        <v>0.348458117664212</v>
      </c>
    </row>
    <row r="54" customFormat="false" ht="17.15" hidden="false" customHeight="false" outlineLevel="0" collapsed="false">
      <c r="A54" s="0" t="s">
        <v>741</v>
      </c>
      <c r="B54" s="0" t="s">
        <v>52</v>
      </c>
      <c r="C54" s="13" t="n">
        <f aca="false">PL!$C$43/PL!$C$25</f>
        <v>0.708390794789371</v>
      </c>
      <c r="D54" s="13" t="n">
        <f aca="false">PL!$D$43/PL!$D$25</f>
        <v>0.619415573115729</v>
      </c>
      <c r="E54" s="13" t="n">
        <f aca="false">PL!$E$43/PL!$E$25</f>
        <v>0.374072166056273</v>
      </c>
      <c r="F54" s="13" t="n">
        <f aca="false">PL!$F$43/PL!$F$25</f>
        <v>0.622244167053886</v>
      </c>
      <c r="G54" s="13" t="n">
        <f aca="false">PL!$G$43/PL!$G$25</f>
        <v>0.541880692123867</v>
      </c>
      <c r="H54" s="13" t="n">
        <f aca="false">PL!$H$43/PL!$H$25</f>
        <v>0.584845705425014</v>
      </c>
      <c r="I54" s="13" t="n">
        <f aca="false">PL!$I$43/PL!$I$25</f>
        <v>0.555635145282397</v>
      </c>
      <c r="J54" s="13" t="n">
        <f aca="false">PL!$J$43/PL!$J$25</f>
        <v>0.540888913661057</v>
      </c>
      <c r="K54" s="13" t="n">
        <f aca="false">PL!$K$43/PL!$K$25</f>
        <v>0.519006130652212</v>
      </c>
      <c r="L54" s="13" t="n">
        <f aca="false">PL!$L$43/PL!$L$25</f>
        <v>0.505304753601726</v>
      </c>
      <c r="M54" s="13" t="n">
        <f aca="false">PL!$M$43/PL!$M$25</f>
        <v>0.490511540606532</v>
      </c>
      <c r="N54" s="13" t="n">
        <f aca="false">PL!$N$43/PL!$N$25</f>
        <v>0.551227795793364</v>
      </c>
      <c r="O54" s="13" t="n">
        <f aca="false">PL!$O$43/PL!$O$25</f>
        <v>0.656132068597002</v>
      </c>
    </row>
    <row r="55" customFormat="false" ht="15" hidden="false" customHeight="false" outlineLevel="0" collapsed="false">
      <c r="A55" s="5" t="s">
        <v>742</v>
      </c>
      <c r="B55" s="0" t="s">
        <v>52</v>
      </c>
      <c r="C55" s="13" t="n">
        <f aca="false">PL!$C$47/PL!$C$27</f>
        <v>0.107519448742004</v>
      </c>
      <c r="D55" s="13" t="n">
        <f aca="false">PL!$D$47/PL!$D$27</f>
        <v>0.111552967957552</v>
      </c>
      <c r="E55" s="13" t="n">
        <f aca="false">PL!$E$47/PL!$E$27</f>
        <v>0.13428328426562</v>
      </c>
      <c r="F55" s="13" t="n">
        <f aca="false">PL!$F$47/PL!$F$27</f>
        <v>0.135578682396694</v>
      </c>
      <c r="G55" s="13" t="n">
        <f aca="false">PL!$G$47/PL!$G$27</f>
        <v>0.134975543533469</v>
      </c>
      <c r="H55" s="13" t="n">
        <f aca="false">PL!$H$47/PL!$H$27</f>
        <v>0.159370433709621</v>
      </c>
      <c r="I55" s="13" t="n">
        <f aca="false">PL!$I$47/PL!$I$27</f>
        <v>0.176031126429442</v>
      </c>
      <c r="J55" s="13" t="n">
        <f aca="false">PL!$J$47/PL!$J$27</f>
        <v>0.188396627952644</v>
      </c>
      <c r="K55" s="13" t="n">
        <f aca="false">PL!$K$47/PL!$K$27</f>
        <v>0.193453173052009</v>
      </c>
      <c r="L55" s="13" t="n">
        <f aca="false">PL!$L$47/PL!$L$27</f>
        <v>0.194557941012343</v>
      </c>
      <c r="M55" s="13" t="n">
        <f aca="false">PL!$M$47/PL!$M$27</f>
        <v>0.192536298819258</v>
      </c>
      <c r="N55" s="13" t="n">
        <f aca="false">PL!$N$47/PL!$N$27</f>
        <v>0.116201614873411</v>
      </c>
      <c r="O55" s="13" t="n">
        <f aca="false">PL!$O$47/PL!$O$27</f>
        <v>0.107733353660861</v>
      </c>
    </row>
    <row r="56" customFormat="false" ht="17.15" hidden="false" customHeight="false" outlineLevel="0" collapsed="false">
      <c r="A56" s="1" t="s">
        <v>743</v>
      </c>
    </row>
    <row r="57" customFormat="false" ht="17.15" hidden="false" customHeight="false" outlineLevel="0" collapsed="false">
      <c r="A57" s="5" t="s">
        <v>744</v>
      </c>
      <c r="B57" s="0" t="s">
        <v>52</v>
      </c>
      <c r="D57" s="28" t="n">
        <f aca="false">(Q!$E$29+Q!$E$30-(1-ext_sh)*Thesis!$D$44)/Seg!$D$20</f>
        <v>0.0341105596409988</v>
      </c>
    </row>
    <row r="58" customFormat="false" ht="17.15" hidden="false" customHeight="false" outlineLevel="0" collapsed="false">
      <c r="A58" s="0" t="s">
        <v>538</v>
      </c>
      <c r="B58" s="0" t="s">
        <v>86</v>
      </c>
      <c r="C58" s="38" t="n">
        <f aca="false">Q!$D$29</f>
        <v>14.285</v>
      </c>
      <c r="D58" s="38" t="n">
        <f aca="false">Q!$E$29</f>
        <v>15.503</v>
      </c>
      <c r="E58" s="38" t="n">
        <f aca="false">Q!$P$29</f>
        <v>8.78</v>
      </c>
      <c r="F58" s="38" t="n">
        <f aca="false">(PL!$D$57*Seg!$F$20+(1-ext_sh)*Thesis!$F$44)*Seg!$F$21</f>
        <v>9.16735846116642</v>
      </c>
      <c r="G58" s="38" t="n">
        <f aca="false">PL!$E$58+PL!$F$58</f>
        <v>17.9473584611664</v>
      </c>
      <c r="H58" s="38" t="n">
        <f aca="false">(PL!$D$57*Seg!$H$20+(1-ext_sh)*Thesis!$H$44)*Seg!$H$21</f>
        <v>21.6931224610632</v>
      </c>
      <c r="I58" s="38" t="n">
        <f aca="false">(PL!$D$57*Seg!$I$20+(1-ext_sh)*Thesis!$I$44)*Seg!$I$21</f>
        <v>27.4741484552078</v>
      </c>
      <c r="J58" s="38" t="n">
        <f aca="false">(PL!$D$57*Seg!$J$20+(1-ext_sh)*Thesis!$J$44)*Seg!$J$21</f>
        <v>33.2858662874909</v>
      </c>
      <c r="K58" s="38" t="n">
        <f aca="false">(PL!$D$57*Seg!$K$20+(1-ext_sh)*Thesis!$K$44)*Seg!$K$21</f>
        <v>39.0120571701561</v>
      </c>
      <c r="L58" s="38" t="n">
        <f aca="false">(PL!$D$57*Seg!$L$20+(1-ext_sh)*Thesis!$L$44)*Seg!$L$21</f>
        <v>43.5373721460344</v>
      </c>
      <c r="M58" s="38" t="n">
        <f aca="false">(PL!$D$57*Seg!$M$20+(1-ext_sh)*Thesis!$M$44)*Seg!$M$21</f>
        <v>47.1024647135915</v>
      </c>
      <c r="N58" s="38" t="n">
        <f aca="false">Q!$N$29</f>
        <v>7.272</v>
      </c>
      <c r="O58" s="38" t="n">
        <f aca="false">Q!$O$29</f>
        <v>8.231</v>
      </c>
    </row>
    <row r="59" customFormat="false" ht="17.15" hidden="false" customHeight="false" outlineLevel="0" collapsed="false">
      <c r="A59" s="0" t="s">
        <v>540</v>
      </c>
      <c r="B59" s="0" t="s">
        <v>86</v>
      </c>
      <c r="C59" s="38" t="n">
        <f aca="false">Q!$D$30</f>
        <v>4.462</v>
      </c>
      <c r="D59" s="38" t="n">
        <f aca="false">Q!$E$30</f>
        <v>4.907</v>
      </c>
      <c r="E59" s="38" t="n">
        <f aca="false">Q!$P$30</f>
        <v>2.57</v>
      </c>
      <c r="F59" s="38" t="n">
        <f aca="false">(PL!$D$57*Seg!$F$20+(1-ext_sh)*Thesis!$F$44)*(1-Seg!$F$21)</f>
        <v>3.59937168293151</v>
      </c>
      <c r="G59" s="38" t="n">
        <f aca="false">PL!$E$59+PL!$F$59</f>
        <v>6.16937168293151</v>
      </c>
      <c r="H59" s="38" t="n">
        <f aca="false">(PL!$D$57*Seg!$H$20+(1-ext_sh)*Thesis!$H$44)*(1-Seg!$H$21)</f>
        <v>8.30924318711895</v>
      </c>
      <c r="I59" s="38" t="n">
        <f aca="false">(PL!$D$57*Seg!$I$20+(1-ext_sh)*Thesis!$I$44)*(1-Seg!$I$21)</f>
        <v>10.5235832823553</v>
      </c>
      <c r="J59" s="38" t="n">
        <f aca="false">(PL!$D$57*Seg!$J$20+(1-ext_sh)*Thesis!$J$44)*(1-Seg!$J$21)</f>
        <v>12.7496794513154</v>
      </c>
      <c r="K59" s="38" t="n">
        <f aca="false">(PL!$D$57*Seg!$K$20+(1-ext_sh)*Thesis!$K$44)*(1-Seg!$K$21)</f>
        <v>14.9430157340626</v>
      </c>
      <c r="L59" s="38" t="n">
        <f aca="false">(PL!$D$57*Seg!$L$20+(1-ext_sh)*Thesis!$L$44)*(1-Seg!$L$21)</f>
        <v>16.6763735160221</v>
      </c>
      <c r="M59" s="38" t="n">
        <f aca="false">(PL!$D$57*Seg!$M$20+(1-ext_sh)*Thesis!$M$44)*(1-Seg!$M$21)</f>
        <v>18.0419317099425</v>
      </c>
      <c r="N59" s="38" t="n">
        <f aca="false">Q!$N$30</f>
        <v>2.316</v>
      </c>
      <c r="O59" s="38" t="n">
        <f aca="false">Q!$O$30</f>
        <v>2.591</v>
      </c>
    </row>
    <row r="60" customFormat="false" ht="17.15" hidden="false" customHeight="false" outlineLevel="0" collapsed="false">
      <c r="A60" s="0" t="s">
        <v>541</v>
      </c>
      <c r="B60" s="0" t="s">
        <v>86</v>
      </c>
      <c r="C60" s="38" t="n">
        <f aca="false">Thesis!$C$56</f>
        <v>13.32</v>
      </c>
      <c r="D60" s="38" t="n">
        <f aca="false">Thesis!$D$56</f>
        <v>21.45</v>
      </c>
      <c r="E60" s="38" t="n">
        <f aca="false">Thesis!$E$56</f>
        <v>15.353</v>
      </c>
      <c r="F60" s="38" t="n">
        <f aca="false">Thesis!$F$56</f>
        <v>15.4404120185306</v>
      </c>
      <c r="G60" s="38" t="n">
        <f aca="false">Thesis!$G$56</f>
        <v>30.7934120185306</v>
      </c>
      <c r="H60" s="38" t="n">
        <f aca="false">Thesis!$H$56</f>
        <v>48.540276118855</v>
      </c>
      <c r="I60" s="38" t="n">
        <f aca="false">Thesis!$I$56</f>
        <v>74.2889982306963</v>
      </c>
      <c r="J60" s="38" t="n">
        <f aca="false">Thesis!$J$56</f>
        <v>100.74486498679</v>
      </c>
      <c r="K60" s="38" t="n">
        <f aca="false">Thesis!$K$56</f>
        <v>127.527751129156</v>
      </c>
      <c r="L60" s="38" t="n">
        <f aca="false">Thesis!$L$56</f>
        <v>147.351578693324</v>
      </c>
      <c r="M60" s="38" t="n">
        <f aca="false">Thesis!$M$56</f>
        <v>161.524928267506</v>
      </c>
      <c r="N60" s="38" t="n">
        <f aca="false">Thesis!$N$56</f>
        <v>9.234</v>
      </c>
      <c r="O60" s="38" t="n">
        <f aca="false">Thesis!$O$56</f>
        <v>12.216</v>
      </c>
    </row>
    <row r="61" customFormat="false" ht="17.15" hidden="false" customHeight="false" outlineLevel="0" collapsed="false">
      <c r="A61" s="5" t="s">
        <v>745</v>
      </c>
      <c r="B61" s="0" t="s">
        <v>86</v>
      </c>
      <c r="C61" s="38" t="n">
        <f aca="false">PL!$C$58+PL!$C$59+PL!$C$60</f>
        <v>32.067</v>
      </c>
      <c r="D61" s="38" t="n">
        <f aca="false">PL!$D$58+PL!$D$59+PL!$D$60</f>
        <v>41.86</v>
      </c>
      <c r="E61" s="38" t="n">
        <f aca="false">PL!$E$58+PL!$E$59+PL!$E$60</f>
        <v>26.703</v>
      </c>
      <c r="F61" s="38" t="n">
        <f aca="false">PL!$F$58+PL!$F$59+PL!$F$60</f>
        <v>28.2071421626285</v>
      </c>
      <c r="G61" s="38" t="n">
        <f aca="false">PL!$G$58+PL!$G$59+PL!$G$60</f>
        <v>54.9101421626285</v>
      </c>
      <c r="H61" s="38" t="n">
        <f aca="false">PL!$H$58+PL!$H$59+PL!$H$60</f>
        <v>78.5426417670371</v>
      </c>
      <c r="I61" s="38" t="n">
        <f aca="false">PL!$I$58+PL!$I$59+PL!$I$60</f>
        <v>112.286729968259</v>
      </c>
      <c r="J61" s="38" t="n">
        <f aca="false">PL!$J$58+PL!$J$59+PL!$J$60</f>
        <v>146.780410725596</v>
      </c>
      <c r="K61" s="38" t="n">
        <f aca="false">PL!$K$58+PL!$K$59+PL!$K$60</f>
        <v>181.482824033374</v>
      </c>
      <c r="L61" s="38" t="n">
        <f aca="false">PL!$L$58+PL!$L$59+PL!$L$60</f>
        <v>207.56532435538</v>
      </c>
      <c r="M61" s="38" t="n">
        <f aca="false">PL!$M$58+PL!$M$59+PL!$M$60</f>
        <v>226.66932469104</v>
      </c>
      <c r="N61" s="38" t="n">
        <f aca="false">PL!$N$58+PL!$N$59+PL!$N$60</f>
        <v>18.822</v>
      </c>
      <c r="O61" s="38" t="n">
        <f aca="false">PL!$O$58+PL!$O$59+PL!$O$60</f>
        <v>23.038</v>
      </c>
    </row>
    <row r="62" customFormat="false" ht="17.15" hidden="false" customHeight="false" outlineLevel="0" collapsed="false">
      <c r="A62" s="0" t="s">
        <v>746</v>
      </c>
      <c r="B62" s="0" t="s">
        <v>86</v>
      </c>
      <c r="C62" s="38" t="n">
        <f aca="false">PL!$C$33+PL!$C$38</f>
        <v>28.107</v>
      </c>
      <c r="D62" s="38" t="n">
        <f aca="false">PL!$D$33+PL!$D$38</f>
        <v>34.3175</v>
      </c>
      <c r="E62" s="38" t="n">
        <f aca="false">PL!$E$33+PL!$E$38</f>
        <v>18.526</v>
      </c>
      <c r="F62" s="38" t="n">
        <f aca="false">PL!$F$33+PL!$F$38</f>
        <v>23.0786109972074</v>
      </c>
      <c r="G62" s="38" t="n">
        <f aca="false">PL!$G$33+PL!$G$38</f>
        <v>41.6046109972074</v>
      </c>
      <c r="H62" s="38" t="n">
        <f aca="false">PL!$H$33+PL!$H$38</f>
        <v>49.9484611939488</v>
      </c>
      <c r="I62" s="38" t="n">
        <f aca="false">PL!$I$33+PL!$I$38</f>
        <v>58.2915555477481</v>
      </c>
      <c r="J62" s="38" t="n">
        <f aca="false">PL!$J$33+PL!$J$38</f>
        <v>66.0744709709759</v>
      </c>
      <c r="K62" s="38" t="n">
        <f aca="false">PL!$K$33+PL!$K$38</f>
        <v>72.6819180680735</v>
      </c>
      <c r="L62" s="38" t="n">
        <f aca="false">PL!$L$33+PL!$L$38</f>
        <v>79.9501098748808</v>
      </c>
      <c r="M62" s="38" t="n">
        <f aca="false">PL!$M$33+PL!$M$38</f>
        <v>87.9451208623689</v>
      </c>
      <c r="N62" s="38" t="n">
        <f aca="false">PL!$N$33+PL!$N$38</f>
        <v>14.8075</v>
      </c>
      <c r="O62" s="38" t="n">
        <f aca="false">PL!$O$33+PL!$O$38</f>
        <v>19.51</v>
      </c>
    </row>
    <row r="63" customFormat="false" ht="17.15" hidden="false" customHeight="false" outlineLevel="0" collapsed="false">
      <c r="A63" s="0" t="s">
        <v>747</v>
      </c>
      <c r="B63" s="0" t="s">
        <v>86</v>
      </c>
      <c r="C63" s="38" t="n">
        <f aca="false">PL!$C$37+PL!$C$42+PL!$C$58+PL!$C$59-PL!$C$62</f>
        <v>19.399</v>
      </c>
      <c r="D63" s="38" t="n">
        <f aca="false">PL!$D$37+PL!$D$42+PL!$D$58+PL!$D$59-PL!$D$62</f>
        <v>20.4615</v>
      </c>
      <c r="E63" s="38" t="n">
        <f aca="false">PL!$E$37+PL!$E$42+PL!$E$58+PL!$E$59-PL!$E$62</f>
        <v>13.355</v>
      </c>
      <c r="F63" s="38" t="n">
        <f aca="false">PL!$F$37+PL!$F$42+PL!$F$58+PL!$F$59-PL!$F$62</f>
        <v>12.545176431985</v>
      </c>
      <c r="G63" s="38" t="n">
        <f aca="false">PL!$G$37+PL!$G$42+PL!$G$58+PL!$G$59-PL!$G$62</f>
        <v>25.900176431985</v>
      </c>
      <c r="H63" s="38" t="n">
        <f aca="false">PL!$H$37+PL!$H$42+PL!$H$58+PL!$H$59-PL!$H$62</f>
        <v>27.967703516894</v>
      </c>
      <c r="I63" s="38" t="n">
        <f aca="false">PL!$I$37+PL!$I$42+PL!$I$58+PL!$I$59-PL!$I$62</f>
        <v>30.1320170494735</v>
      </c>
      <c r="J63" s="38" t="n">
        <f aca="false">PL!$J$37+PL!$J$42+PL!$J$58+PL!$J$59-PL!$J$62</f>
        <v>32.2911966718995</v>
      </c>
      <c r="K63" s="38" t="n">
        <f aca="false">PL!$K$37+PL!$K$42+PL!$K$58+PL!$K$59-PL!$K$62</f>
        <v>34.6229460636055</v>
      </c>
      <c r="L63" s="38" t="n">
        <f aca="false">PL!$L$37+PL!$L$42+PL!$L$58+PL!$L$59-PL!$L$62</f>
        <v>36.1947559461616</v>
      </c>
      <c r="M63" s="38" t="n">
        <f aca="false">PL!$M$37+PL!$M$42+PL!$M$58+PL!$M$59-PL!$M$62</f>
        <v>38.5793625693042</v>
      </c>
      <c r="N63" s="38" t="n">
        <f aca="false">PL!$N$37+PL!$N$42+PL!$N$58+PL!$N$59-PL!$N$62</f>
        <v>10.6495</v>
      </c>
      <c r="O63" s="38" t="n">
        <f aca="false">PL!$O$37+PL!$O$42+PL!$O$58+PL!$O$59-PL!$O$62</f>
        <v>9.81200000000001</v>
      </c>
    </row>
    <row r="64" customFormat="false" ht="17.15" hidden="false" customHeight="false" outlineLevel="0" collapsed="false">
      <c r="A64" s="0" t="s">
        <v>748</v>
      </c>
      <c r="B64" s="0" t="s">
        <v>86</v>
      </c>
      <c r="C64" s="38" t="n">
        <f aca="false">PL!$C$44+PL!$C$60-ext_sh*Thesis!$C$44</f>
        <v>51.3470500115664</v>
      </c>
      <c r="D64" s="38" t="n">
        <f aca="false">PL!$D$44+PL!$D$60-ext_sh*Thesis!$D$44</f>
        <v>60.2799375433739</v>
      </c>
      <c r="E64" s="38" t="n">
        <f aca="false">PL!$E$44+PL!$E$60-ext_sh*Thesis!$E$44</f>
        <v>39.5095167090767</v>
      </c>
      <c r="F64" s="38" t="n">
        <f aca="false">PL!$F$44+PL!$F$60-ext_sh*Thesis!$F$44</f>
        <v>37.5468918745429</v>
      </c>
      <c r="G64" s="38" t="n">
        <f aca="false">PL!$G$44+PL!$G$60-ext_sh*Thesis!$G$44</f>
        <v>77.0564085836196</v>
      </c>
      <c r="H64" s="38" t="n">
        <f aca="false">PL!$H$44+PL!$H$60-ext_sh*Thesis!$H$44</f>
        <v>84.2378398616123</v>
      </c>
      <c r="I64" s="38" t="n">
        <f aca="false">PL!$I$44+PL!$I$60-ext_sh*Thesis!$I$44</f>
        <v>93.5253492849083</v>
      </c>
      <c r="J64" s="38" t="n">
        <f aca="false">PL!$J$44+PL!$J$60-ext_sh*Thesis!$J$44</f>
        <v>102.42210777817</v>
      </c>
      <c r="K64" s="38" t="n">
        <f aca="false">PL!$K$44+PL!$K$60-ext_sh*Thesis!$K$44</f>
        <v>110.615876400424</v>
      </c>
      <c r="L64" s="38" t="n">
        <f aca="false">PL!$L$44+PL!$L$60-ext_sh*Thesis!$L$44</f>
        <v>119.465146512458</v>
      </c>
      <c r="M64" s="38" t="n">
        <f aca="false">PL!$M$44+PL!$M$60-ext_sh*Thesis!$M$44</f>
        <v>129.022358233455</v>
      </c>
      <c r="N64" s="38" t="n">
        <f aca="false">PL!$N$44+PL!$N$60-ext_sh*Thesis!$N$44</f>
        <v>28.5693781401809</v>
      </c>
      <c r="O64" s="38" t="n">
        <f aca="false">PL!$O$44+PL!$O$60-ext_sh*Thesis!$O$44</f>
        <v>31.7105594031931</v>
      </c>
    </row>
    <row r="65" customFormat="false" ht="17.15" hidden="false" customHeight="false" outlineLevel="0" collapsed="false">
      <c r="A65" s="0" t="s">
        <v>749</v>
      </c>
      <c r="B65" s="0" t="s">
        <v>86</v>
      </c>
      <c r="C65" s="38" t="n">
        <f aca="false">Thesis!$C$47</f>
        <v>1.80694998843362</v>
      </c>
      <c r="D65" s="38" t="n">
        <f aca="false">Thesis!$D$47</f>
        <v>6.77606245662607</v>
      </c>
      <c r="E65" s="38" t="n">
        <f aca="false">Thesis!$E$47</f>
        <v>6.62548329092326</v>
      </c>
      <c r="F65" s="38" t="n">
        <f aca="false">Thesis!$F$47</f>
        <v>14.4996696128551</v>
      </c>
      <c r="G65" s="38" t="n">
        <f aca="false">Thesis!$G$47</f>
        <v>21.1251529037784</v>
      </c>
      <c r="H65" s="38" t="n">
        <f aca="false">Thesis!$H$47</f>
        <v>70.2126356677435</v>
      </c>
      <c r="I65" s="38" t="n">
        <f aca="false">Thesis!$I$47</f>
        <v>126.678603645079</v>
      </c>
      <c r="J65" s="38" t="n">
        <f aca="false">Thesis!$J$47</f>
        <v>183.417938128511</v>
      </c>
      <c r="K65" s="38" t="n">
        <f aca="false">Thesis!$K$47</f>
        <v>231.815746632017</v>
      </c>
      <c r="L65" s="38" t="n">
        <f aca="false">Thesis!$L$47</f>
        <v>263.612756777848</v>
      </c>
      <c r="M65" s="38" t="n">
        <f aca="false">Thesis!$M$47</f>
        <v>278.764488450164</v>
      </c>
      <c r="N65" s="38" t="n">
        <f aca="false">Thesis!$N$47</f>
        <v>2.37162185981912</v>
      </c>
      <c r="O65" s="38" t="n">
        <f aca="false">Thesis!$O$47</f>
        <v>4.40444059680694</v>
      </c>
    </row>
    <row r="66" customFormat="false" ht="17.15" hidden="false" customHeight="false" outlineLevel="0" collapsed="false">
      <c r="A66" s="0" t="s">
        <v>750</v>
      </c>
      <c r="B66" s="0" t="s">
        <v>86</v>
      </c>
      <c r="C66" s="38" t="n">
        <f aca="false">PL!$C$47+PL!$C$61</f>
        <v>100.66</v>
      </c>
      <c r="D66" s="38" t="n">
        <f aca="false">PL!$D$47+PL!$D$61</f>
        <v>121.835</v>
      </c>
      <c r="E66" s="38" t="n">
        <f aca="false">PL!$E$47+PL!$E$61</f>
        <v>78.016</v>
      </c>
      <c r="F66" s="38" t="n">
        <f aca="false">PL!$F$47+PL!$F$61</f>
        <v>87.6703489165903</v>
      </c>
      <c r="G66" s="38" t="n">
        <f aca="false">PL!$G$47+PL!$G$61</f>
        <v>165.68634891659</v>
      </c>
      <c r="H66" s="38" t="n">
        <f aca="false">PL!$H$47+PL!$H$61</f>
        <v>232.366640240199</v>
      </c>
      <c r="I66" s="38" t="n">
        <f aca="false">PL!$I$47+PL!$I$61</f>
        <v>308.627525527209</v>
      </c>
      <c r="J66" s="38" t="n">
        <f aca="false">PL!$J$47+PL!$J$61</f>
        <v>384.205713549557</v>
      </c>
      <c r="K66" s="38" t="n">
        <f aca="false">PL!$K$47+PL!$K$61</f>
        <v>449.73648716412</v>
      </c>
      <c r="L66" s="38" t="n">
        <f aca="false">PL!$L$47+PL!$L$61</f>
        <v>499.222769111348</v>
      </c>
      <c r="M66" s="38" t="n">
        <f aca="false">PL!$M$47+PL!$M$61</f>
        <v>534.311330115292</v>
      </c>
      <c r="N66" s="38" t="n">
        <f aca="false">PL!$N$47+PL!$N$61</f>
        <v>56.398</v>
      </c>
      <c r="O66" s="38" t="n">
        <f aca="false">PL!$O$47+PL!$O$61</f>
        <v>65.437</v>
      </c>
    </row>
    <row r="67" customFormat="false" ht="17.15" hidden="false" customHeight="false" outlineLevel="0" collapsed="false">
      <c r="A67" s="1" t="s">
        <v>751</v>
      </c>
    </row>
    <row r="68" customFormat="false" ht="15" hidden="false" customHeight="false" outlineLevel="0" collapsed="false">
      <c r="A68" s="5" t="s">
        <v>544</v>
      </c>
      <c r="B68" s="0" t="s">
        <v>86</v>
      </c>
      <c r="C68" s="38" t="n">
        <f aca="false">Q!$D$34</f>
        <v>2.406</v>
      </c>
      <c r="D68" s="38" t="n">
        <f aca="false">Q!$E$34</f>
        <v>2.274</v>
      </c>
      <c r="E68" s="38" t="n">
        <f aca="false">Q!$P$34</f>
        <v>2.114</v>
      </c>
      <c r="F68" s="38" t="n">
        <f aca="false">CF!$F$38</f>
        <v>3.24888962733561</v>
      </c>
      <c r="G68" s="38" t="n">
        <f aca="false">PL!$E$68+PL!$F$68</f>
        <v>5.36288962733561</v>
      </c>
      <c r="H68" s="38" t="n">
        <f aca="false">CF!$H$38</f>
        <v>7.42354172302123</v>
      </c>
      <c r="I68" s="38" t="n">
        <f aca="false">CF!$I$38</f>
        <v>7.60355443800906</v>
      </c>
      <c r="J68" s="38" t="n">
        <f aca="false">CF!$J$38</f>
        <v>7.60355443800906</v>
      </c>
      <c r="K68" s="38" t="n">
        <f aca="false">CF!$K$38</f>
        <v>7.60355443800906</v>
      </c>
      <c r="L68" s="38" t="n">
        <f aca="false">CF!$L$38</f>
        <v>7.60355443800906</v>
      </c>
      <c r="M68" s="38" t="n">
        <f aca="false">CF!$M$38</f>
        <v>7.60355443800906</v>
      </c>
      <c r="N68" s="38" t="n">
        <f aca="false">Q!$N$34</f>
        <v>1.057</v>
      </c>
      <c r="O68" s="38" t="n">
        <f aca="false">Q!$O$34</f>
        <v>1.217</v>
      </c>
    </row>
    <row r="69" customFormat="false" ht="15" hidden="false" customHeight="false" outlineLevel="0" collapsed="false">
      <c r="A69" s="5" t="s">
        <v>752</v>
      </c>
      <c r="B69" s="0" t="s">
        <v>86</v>
      </c>
      <c r="F69" s="38" t="n">
        <f aca="false">CF!$F$39</f>
        <v>2.59</v>
      </c>
      <c r="H69" s="38" t="n">
        <f aca="false">CF!$H$39</f>
        <v>3.76043023390542</v>
      </c>
      <c r="I69" s="38" t="n">
        <f aca="false">CF!$I$39</f>
        <v>2.10589651022864</v>
      </c>
      <c r="J69" s="38" t="n">
        <f aca="false">CF!$J$39</f>
        <v>2.82200256644315</v>
      </c>
      <c r="K69" s="38" t="n">
        <f aca="false">CF!$K$39</f>
        <v>6.15139592001776</v>
      </c>
      <c r="L69" s="38" t="n">
        <f aca="false">CF!$L$39</f>
        <v>14.4301151160472</v>
      </c>
      <c r="M69" s="38" t="n">
        <f aca="false">CF!$M$39</f>
        <v>25.8437024410649</v>
      </c>
    </row>
    <row r="70" customFormat="false" ht="17.15" hidden="false" customHeight="false" outlineLevel="0" collapsed="false">
      <c r="A70" s="5" t="s">
        <v>753</v>
      </c>
      <c r="B70" s="0" t="s">
        <v>86</v>
      </c>
      <c r="C70" s="38" t="n">
        <f aca="false">Q!$D$39</f>
        <v>2.427</v>
      </c>
      <c r="D70" s="38" t="n">
        <f aca="false">Q!$E$39</f>
        <v>19.61</v>
      </c>
      <c r="E70" s="38" t="n">
        <f aca="false">Q!$P$39</f>
        <v>71.492</v>
      </c>
      <c r="F70" s="39" t="n">
        <v>0</v>
      </c>
      <c r="G70" s="38" t="n">
        <f aca="false">PL!$E$70+PL!$F$70</f>
        <v>71.492</v>
      </c>
      <c r="H70" s="39" t="n">
        <v>0</v>
      </c>
      <c r="I70" s="39" t="n">
        <v>0</v>
      </c>
      <c r="J70" s="39" t="n">
        <v>0</v>
      </c>
      <c r="K70" s="39" t="n">
        <v>0</v>
      </c>
      <c r="L70" s="39" t="n">
        <v>0</v>
      </c>
      <c r="M70" s="39" t="n">
        <v>0</v>
      </c>
      <c r="N70" s="38" t="n">
        <f aca="false">Q!$N$39</f>
        <v>6.017</v>
      </c>
      <c r="O70" s="38" t="n">
        <f aca="false">Q!$O$39</f>
        <v>13.593</v>
      </c>
      <c r="P70" s="5" t="s">
        <v>754</v>
      </c>
    </row>
    <row r="71" customFormat="false" ht="15" hidden="false" customHeight="false" outlineLevel="0" collapsed="false">
      <c r="A71" s="5" t="s">
        <v>547</v>
      </c>
      <c r="B71" s="0" t="s">
        <v>86</v>
      </c>
      <c r="C71" s="38" t="n">
        <f aca="false">Q!$D$36</f>
        <v>68.614</v>
      </c>
      <c r="D71" s="38" t="n">
        <f aca="false">Q!$E$36</f>
        <v>97.311</v>
      </c>
      <c r="E71" s="38" t="n">
        <f aca="false">Q!$P$36</f>
        <v>120.691</v>
      </c>
      <c r="F71" s="38" t="n">
        <f aca="false">PL!$F$47-PL!$F$68+PL!$F$69+PL!$F$70</f>
        <v>58.8043171266262</v>
      </c>
      <c r="G71" s="38" t="n">
        <f aca="false">PL!$E$71+PL!$F$71</f>
        <v>179.495317126626</v>
      </c>
      <c r="H71" s="38" t="n">
        <f aca="false">PL!$H$47-PL!$H$68+PL!$H$69+PL!$H$70</f>
        <v>150.160886984046</v>
      </c>
      <c r="I71" s="38" t="n">
        <f aca="false">PL!$I$47-PL!$I$68+PL!$I$69+PL!$I$70</f>
        <v>190.843137631169</v>
      </c>
      <c r="J71" s="38" t="n">
        <f aca="false">PL!$J$47-PL!$J$68+PL!$J$69+PL!$J$70</f>
        <v>232.643750952395</v>
      </c>
      <c r="K71" s="38" t="n">
        <f aca="false">PL!$K$47-PL!$K$68+PL!$K$69+PL!$K$70</f>
        <v>266.801504612755</v>
      </c>
      <c r="L71" s="38" t="n">
        <f aca="false">PL!$L$47-PL!$L$68+PL!$L$69+PL!$L$70</f>
        <v>298.484005434006</v>
      </c>
      <c r="M71" s="38" t="n">
        <f aca="false">PL!$M$47-PL!$M$68+PL!$M$69+PL!$M$70</f>
        <v>325.882153427308</v>
      </c>
      <c r="N71" s="38" t="n">
        <f aca="false">Q!$N$36</f>
        <v>42.536</v>
      </c>
      <c r="O71" s="38" t="n">
        <f aca="false">Q!$O$36</f>
        <v>54.775</v>
      </c>
    </row>
    <row r="72" customFormat="false" ht="15" hidden="false" customHeight="false" outlineLevel="0" collapsed="false">
      <c r="A72" s="5" t="s">
        <v>548</v>
      </c>
      <c r="B72" s="0" t="s">
        <v>86</v>
      </c>
      <c r="C72" s="38" t="n">
        <f aca="false">Q!$D$37</f>
        <v>9.265</v>
      </c>
      <c r="D72" s="38" t="n">
        <f aca="false">Q!$E$37</f>
        <v>19.087</v>
      </c>
      <c r="E72" s="38" t="n">
        <f aca="false">Q!$P$37</f>
        <v>27.759</v>
      </c>
      <c r="F72" s="38" t="n">
        <f aca="false">PL!$F$71*tax</f>
        <v>10.2075195516981</v>
      </c>
      <c r="G72" s="38" t="n">
        <f aca="false">PL!$E$72+PL!$F$72</f>
        <v>37.9665195516981</v>
      </c>
      <c r="H72" s="38" t="n">
        <f aca="false">PL!$H$71*tax</f>
        <v>26.0656064841189</v>
      </c>
      <c r="I72" s="38" t="n">
        <f aca="false">PL!$I$71*tax</f>
        <v>33.1274157045777</v>
      </c>
      <c r="J72" s="38" t="n">
        <f aca="false">PL!$J$71*tax</f>
        <v>40.3833553804113</v>
      </c>
      <c r="K72" s="38" t="n">
        <f aca="false">PL!$K$71*tax</f>
        <v>46.3126128799824</v>
      </c>
      <c r="L72" s="38" t="n">
        <f aca="false">PL!$L$71*tax</f>
        <v>51.8122047872096</v>
      </c>
      <c r="M72" s="38" t="n">
        <f aca="false">PL!$M$71*tax</f>
        <v>56.5680993369197</v>
      </c>
      <c r="N72" s="38" t="n">
        <f aca="false">Q!$N$37</f>
        <v>7.231</v>
      </c>
      <c r="O72" s="38" t="n">
        <f aca="false">Q!$O$37</f>
        <v>11.856</v>
      </c>
    </row>
    <row r="73" customFormat="false" ht="15" hidden="false" customHeight="false" outlineLevel="0" collapsed="false">
      <c r="A73" s="3" t="s">
        <v>549</v>
      </c>
      <c r="B73" s="8" t="s">
        <v>86</v>
      </c>
      <c r="C73" s="38" t="n">
        <f aca="false">Q!$D$38</f>
        <v>59.248</v>
      </c>
      <c r="D73" s="38" t="n">
        <f aca="false">Q!$E$38</f>
        <v>77.67</v>
      </c>
      <c r="E73" s="38" t="n">
        <f aca="false">Q!$P$38</f>
        <v>92.902</v>
      </c>
      <c r="F73" s="38" t="n">
        <f aca="false">PL!$F$71-PL!$F$72</f>
        <v>48.5967975749281</v>
      </c>
      <c r="G73" s="38" t="n">
        <f aca="false">PL!$E$73+PL!$F$73</f>
        <v>141.498797574928</v>
      </c>
      <c r="H73" s="38" t="n">
        <f aca="false">PL!$H$71-PL!$H$72</f>
        <v>124.095280499927</v>
      </c>
      <c r="I73" s="38" t="n">
        <f aca="false">PL!$I$71-PL!$I$72</f>
        <v>157.715721926591</v>
      </c>
      <c r="J73" s="38" t="n">
        <f aca="false">PL!$J$71-PL!$J$72</f>
        <v>192.260395571983</v>
      </c>
      <c r="K73" s="38" t="n">
        <f aca="false">PL!$K$71-PL!$K$72</f>
        <v>220.488891732772</v>
      </c>
      <c r="L73" s="38" t="n">
        <f aca="false">PL!$L$71-PL!$L$72</f>
        <v>246.671800646796</v>
      </c>
      <c r="M73" s="38" t="n">
        <f aca="false">PL!$M$71-PL!$M$72</f>
        <v>269.314054090388</v>
      </c>
      <c r="N73" s="38" t="n">
        <f aca="false">Q!$N$38</f>
        <v>35.291</v>
      </c>
      <c r="O73" s="38" t="n">
        <f aca="false">Q!$O$38</f>
        <v>42.379</v>
      </c>
    </row>
    <row r="74" customFormat="false" ht="17.15" hidden="false" customHeight="false" outlineLevel="0" collapsed="false">
      <c r="A74" s="5" t="s">
        <v>552</v>
      </c>
      <c r="B74" s="5" t="s">
        <v>33</v>
      </c>
      <c r="C74" s="22" t="n">
        <f aca="false">Q!$D$41</f>
        <v>10.721</v>
      </c>
      <c r="D74" s="22" t="n">
        <f aca="false">Q!$E$41</f>
        <v>10.827</v>
      </c>
      <c r="E74" s="22" t="n">
        <f aca="false">(Q!$L$41+Q!$M$41)/2</f>
        <v>10.8885</v>
      </c>
      <c r="F74" s="22" t="n">
        <f aca="false">PL!$G$74</f>
        <v>10.924806</v>
      </c>
      <c r="G74" s="22" t="n">
        <f aca="false">Q!$M$41*(1+sh_g*0.25)</f>
        <v>10.924806</v>
      </c>
      <c r="H74" s="22" t="n">
        <f aca="false">PL!$G$74*(1+sh_g)</f>
        <v>11.012204448</v>
      </c>
      <c r="I74" s="22" t="n">
        <f aca="false">PL!$H$74*(1+sh_g)</f>
        <v>11.100302083584</v>
      </c>
      <c r="J74" s="22" t="n">
        <f aca="false">PL!$I$74*(1+sh_g)</f>
        <v>11.1891045002527</v>
      </c>
      <c r="K74" s="22" t="n">
        <f aca="false">PL!$J$74*(1+sh_g)</f>
        <v>11.2786173362547</v>
      </c>
      <c r="L74" s="22" t="n">
        <f aca="false">PL!$K$74*(1+sh_g)</f>
        <v>11.3688462749447</v>
      </c>
      <c r="M74" s="22" t="n">
        <f aca="false">PL!$L$74*(1+sh_g)</f>
        <v>11.4597970451443</v>
      </c>
      <c r="P74" s="5" t="s">
        <v>755</v>
      </c>
    </row>
    <row r="75" customFormat="false" ht="17.15" hidden="false" customHeight="false" outlineLevel="0" collapsed="false">
      <c r="A75" s="5" t="s">
        <v>756</v>
      </c>
      <c r="B75" s="0" t="s">
        <v>86</v>
      </c>
      <c r="C75" s="38" t="n">
        <f aca="false">PL!$C$73+PL!$C$49*(1-tax)</f>
        <v>59.248</v>
      </c>
      <c r="D75" s="38" t="n">
        <f aca="false">PL!$D$73+PL!$D$49*(1-tax)</f>
        <v>77.67</v>
      </c>
      <c r="E75" s="38" t="n">
        <f aca="false">PL!$E$73+PL!$E$49*(1-tax)</f>
        <v>92.902</v>
      </c>
      <c r="F75" s="38" t="n">
        <f aca="false">PL!$F$73+PL!$F$49*(1-tax)</f>
        <v>51.741141726518</v>
      </c>
      <c r="G75" s="38" t="n">
        <f aca="false">PL!$G$73+PL!$G$49*(1-tax)</f>
        <v>144.643141726518</v>
      </c>
      <c r="H75" s="38" t="n">
        <f aca="false">PL!$H$73+PL!$H$49*(1-tax)</f>
        <v>136.853220965164</v>
      </c>
      <c r="I75" s="38" t="n">
        <f aca="false">PL!$I$73+PL!$I$49*(1-tax)</f>
        <v>179.317357580295</v>
      </c>
      <c r="J75" s="38" t="n">
        <f aca="false">PL!$J$73+PL!$J$49*(1-tax)</f>
        <v>222.745069386616</v>
      </c>
      <c r="K75" s="38" t="n">
        <f aca="false">PL!$K$73+PL!$K$49*(1-tax)</f>
        <v>258.551119754437</v>
      </c>
      <c r="L75" s="38" t="n">
        <f aca="false">PL!$L$73+PL!$L$49*(1-tax)</f>
        <v>289.712452925656</v>
      </c>
      <c r="M75" s="38" t="n">
        <f aca="false">PL!$M$73+PL!$M$49*(1-tax)</f>
        <v>314.727599087772</v>
      </c>
      <c r="N75" s="38" t="n">
        <f aca="false">PL!$N$73+PL!$N$49*(1-tax)</f>
        <v>35.291</v>
      </c>
      <c r="O75" s="38" t="n">
        <f aca="false">PL!$O$73+PL!$O$49*(1-tax)</f>
        <v>42.379</v>
      </c>
    </row>
    <row r="76" customFormat="false" ht="17.15" hidden="false" customHeight="false" outlineLevel="0" collapsed="false">
      <c r="A76" s="43" t="s">
        <v>757</v>
      </c>
      <c r="B76" s="14" t="s">
        <v>27</v>
      </c>
      <c r="C76" s="44" t="n">
        <f aca="false">PL!$C$75/PL!$C$74</f>
        <v>5.52635015390355</v>
      </c>
      <c r="D76" s="44" t="n">
        <f aca="false">PL!$D$75/PL!$D$74</f>
        <v>7.1737323358271</v>
      </c>
      <c r="E76" s="44" t="n">
        <f aca="false">PL!$E$75/PL!$E$74</f>
        <v>8.53212104513937</v>
      </c>
      <c r="F76" s="14"/>
      <c r="G76" s="44" t="n">
        <f aca="false">PL!$G$75/PL!$G$74</f>
        <v>13.2398819463264</v>
      </c>
      <c r="H76" s="44" t="n">
        <f aca="false">PL!$H$75/PL!$H$74</f>
        <v>12.4274137491171</v>
      </c>
      <c r="I76" s="44" t="n">
        <f aca="false">PL!$I$75/PL!$I$74</f>
        <v>16.1542772647137</v>
      </c>
      <c r="J76" s="44" t="n">
        <f aca="false">PL!$J$75/PL!$J$74</f>
        <v>19.9073187118403</v>
      </c>
      <c r="K76" s="44" t="n">
        <f aca="false">PL!$K$75/PL!$K$74</f>
        <v>22.9240085061964</v>
      </c>
      <c r="L76" s="44" t="n">
        <f aca="false">PL!$L$75/PL!$L$74</f>
        <v>25.4830126047302</v>
      </c>
      <c r="M76" s="44" t="n">
        <f aca="false">PL!$M$75/PL!$M$74</f>
        <v>27.4636276583212</v>
      </c>
      <c r="N76" s="14"/>
      <c r="O76" s="14"/>
    </row>
    <row r="77" customFormat="false" ht="17.15" hidden="false" customHeight="false" outlineLevel="0" collapsed="false">
      <c r="A77" s="0" t="s">
        <v>758</v>
      </c>
      <c r="B77" s="0" t="s">
        <v>27</v>
      </c>
      <c r="C77" s="30" t="n">
        <f aca="false">PL!$C$73/PL!$C$74</f>
        <v>5.52635015390355</v>
      </c>
      <c r="D77" s="30" t="n">
        <f aca="false">PL!$D$73/PL!$D$74</f>
        <v>7.1737323358271</v>
      </c>
      <c r="E77" s="30" t="n">
        <f aca="false">PL!$E$73/PL!$E$74</f>
        <v>8.53212104513937</v>
      </c>
      <c r="G77" s="30" t="n">
        <f aca="false">PL!$G$73/PL!$G$74</f>
        <v>12.9520650137795</v>
      </c>
      <c r="H77" s="30" t="n">
        <f aca="false">PL!$H$73/PL!$H$74</f>
        <v>11.2688863602114</v>
      </c>
      <c r="I77" s="30" t="n">
        <f aca="false">PL!$I$73/PL!$I$74</f>
        <v>14.2082369235548</v>
      </c>
      <c r="J77" s="30" t="n">
        <f aca="false">PL!$J$73/PL!$J$74</f>
        <v>17.1828224115381</v>
      </c>
      <c r="K77" s="30" t="n">
        <f aca="false">PL!$K$73/PL!$K$74</f>
        <v>19.5492838491841</v>
      </c>
      <c r="L77" s="30" t="n">
        <f aca="false">PL!$L$73/PL!$L$74</f>
        <v>21.6971709073439</v>
      </c>
      <c r="M77" s="30" t="n">
        <f aca="false">PL!$M$73/PL!$M$74</f>
        <v>23.5007699551277</v>
      </c>
    </row>
    <row r="78" customFormat="false" ht="17.15" hidden="false" customHeight="false" outlineLevel="0" collapsed="false">
      <c r="A78" s="0" t="s">
        <v>759</v>
      </c>
      <c r="B78" s="0" t="s">
        <v>27</v>
      </c>
      <c r="C78" s="30" t="n">
        <f aca="false">(PL!$C$73-PL!$C$70*(1-tax))/PL!$C$74</f>
        <v>5.33926775917445</v>
      </c>
      <c r="D78" s="30" t="n">
        <f aca="false">(PL!$D$73-PL!$D$70*(1-tax))/PL!$D$74</f>
        <v>5.67691812755503</v>
      </c>
      <c r="E78" s="30" t="n">
        <f aca="false">(PL!$E$73-PL!$E$70*(1-tax))/PL!$E$74</f>
        <v>3.10602057006846</v>
      </c>
      <c r="G78" s="30" t="n">
        <f aca="false">(PL!$G$73-PL!$G$70*(1-tax))/PL!$G$74</f>
        <v>7.5439968958825</v>
      </c>
      <c r="H78" s="30" t="n">
        <f aca="false">(PL!$H$73-PL!$H$70*(1-tax))/PL!$H$74</f>
        <v>11.2688863602114</v>
      </c>
      <c r="I78" s="30" t="n">
        <f aca="false">(PL!$I$73-PL!$I$70*(1-tax))/PL!$I$74</f>
        <v>14.2082369235548</v>
      </c>
      <c r="J78" s="30" t="n">
        <f aca="false">(PL!$J$73-PL!$J$70*(1-tax))/PL!$J$74</f>
        <v>17.1828224115381</v>
      </c>
      <c r="K78" s="30" t="n">
        <f aca="false">(PL!$K$73-PL!$K$70*(1-tax))/PL!$K$74</f>
        <v>19.5492838491841</v>
      </c>
      <c r="L78" s="30" t="n">
        <f aca="false">(PL!$L$73-PL!$L$70*(1-tax))/PL!$L$74</f>
        <v>21.6971709073439</v>
      </c>
      <c r="M78" s="30" t="n">
        <f aca="false">(PL!$M$73-PL!$M$70*(1-tax))/PL!$M$74</f>
        <v>23.5007699551277</v>
      </c>
      <c r="P78" s="5" t="s">
        <v>760</v>
      </c>
    </row>
    <row r="79" customFormat="false" ht="17.15" hidden="false" customHeight="false" outlineLevel="0" collapsed="false">
      <c r="A79" s="0" t="s">
        <v>761</v>
      </c>
      <c r="B79" s="0" t="s">
        <v>52</v>
      </c>
      <c r="H79" s="13" t="n">
        <f aca="false">PL!$H$76/PL!$G$76-1</f>
        <v>-0.061365214622226</v>
      </c>
      <c r="I79" s="13" t="n">
        <f aca="false">PL!$I$76/PL!$H$76-1</f>
        <v>0.299890515503386</v>
      </c>
      <c r="J79" s="13" t="n">
        <f aca="false">PL!$J$76/PL!$I$76-1</f>
        <v>0.232324936957994</v>
      </c>
      <c r="K79" s="13" t="n">
        <f aca="false">PL!$K$76/PL!$J$76-1</f>
        <v>0.151536720641436</v>
      </c>
      <c r="L79" s="13" t="n">
        <f aca="false">PL!$L$76/PL!$K$76-1</f>
        <v>0.111629870397318</v>
      </c>
      <c r="M79" s="13" t="n">
        <f aca="false">PL!$M$76/PL!$L$76-1</f>
        <v>0.0777229554571346</v>
      </c>
    </row>
    <row r="82" customFormat="false" ht="19.4" hidden="false" customHeight="false" outlineLevel="0" collapsed="false">
      <c r="A82" s="31" t="s">
        <v>762</v>
      </c>
    </row>
    <row r="83" customFormat="false" ht="17.15" hidden="false" customHeight="false" outlineLevel="0" collapsed="false">
      <c r="A83" s="6" t="s">
        <v>16</v>
      </c>
      <c r="B83" s="6" t="s">
        <v>17</v>
      </c>
      <c r="C83" s="20" t="s">
        <v>497</v>
      </c>
      <c r="D83" s="20" t="s">
        <v>498</v>
      </c>
      <c r="E83" s="20" t="s">
        <v>580</v>
      </c>
      <c r="F83" s="20" t="s">
        <v>581</v>
      </c>
      <c r="G83" s="20" t="s">
        <v>582</v>
      </c>
      <c r="H83" s="20" t="s">
        <v>583</v>
      </c>
      <c r="I83" s="20" t="s">
        <v>584</v>
      </c>
      <c r="J83" s="20" t="s">
        <v>585</v>
      </c>
      <c r="K83" s="20" t="s">
        <v>586</v>
      </c>
      <c r="L83" s="20" t="s">
        <v>587</v>
      </c>
      <c r="M83" s="20" t="s">
        <v>588</v>
      </c>
      <c r="N83" s="20" t="s">
        <v>589</v>
      </c>
      <c r="O83" s="20" t="s">
        <v>590</v>
      </c>
      <c r="P83" s="6" t="s">
        <v>23</v>
      </c>
      <c r="R83" s="20" t="n">
        <v>2023</v>
      </c>
      <c r="S83" s="20" t="n">
        <v>2024</v>
      </c>
      <c r="T83" s="20" t="n">
        <v>2025</v>
      </c>
      <c r="U83" s="20" t="n">
        <v>2026</v>
      </c>
      <c r="V83" s="20" t="n">
        <v>2027</v>
      </c>
      <c r="W83" s="20" t="n">
        <v>2028</v>
      </c>
      <c r="X83" s="20" t="n">
        <v>2029</v>
      </c>
      <c r="Y83" s="20" t="n">
        <v>2030</v>
      </c>
      <c r="Z83" s="20" t="n">
        <v>2031</v>
      </c>
      <c r="AA83" s="20" t="n">
        <v>2032</v>
      </c>
    </row>
    <row r="84" customFormat="false" ht="17.15" hidden="false" customHeight="false" outlineLevel="0" collapsed="false">
      <c r="A84" s="1" t="s">
        <v>716</v>
      </c>
    </row>
    <row r="85" customFormat="false" ht="15" hidden="false" customHeight="false" outlineLevel="0" collapsed="false">
      <c r="A85" s="0" t="s">
        <v>519</v>
      </c>
      <c r="B85" s="0" t="s">
        <v>86</v>
      </c>
      <c r="C85" s="38" t="n">
        <f aca="false">Seg!$C$42</f>
        <v>247.029</v>
      </c>
      <c r="D85" s="38" t="n">
        <f aca="false">Seg!$D$42</f>
        <v>269.287</v>
      </c>
      <c r="E85" s="38" t="n">
        <f aca="false">Seg!$E$42</f>
        <v>134.686</v>
      </c>
      <c r="F85" s="38" t="n">
        <f aca="false">Seg!$F$42</f>
        <v>158.293876822267</v>
      </c>
      <c r="G85" s="38" t="n">
        <f aca="false">Seg!$G$42</f>
        <v>292.979876822267</v>
      </c>
      <c r="H85" s="38" t="n">
        <f aca="false">Seg!$H$42</f>
        <v>318.184543087396</v>
      </c>
      <c r="I85" s="38" t="n">
        <f aca="false">Seg!$I$42</f>
        <v>341.736278761793</v>
      </c>
      <c r="J85" s="38" t="n">
        <f aca="false">Seg!$J$42</f>
        <v>362.927192787048</v>
      </c>
      <c r="K85" s="38" t="n">
        <f aca="false">Seg!$K$42</f>
        <v>381.0735524264</v>
      </c>
      <c r="L85" s="38" t="n">
        <f aca="false">Seg!$L$42</f>
        <v>400.12723004772</v>
      </c>
      <c r="M85" s="38" t="n">
        <f aca="false">Seg!$M$42</f>
        <v>420.133591550106</v>
      </c>
      <c r="N85" s="38" t="n">
        <f aca="false">Seg!$N$42</f>
        <v>118.892</v>
      </c>
      <c r="O85" s="38" t="n">
        <f aca="false">Seg!$O$42</f>
        <v>150.395</v>
      </c>
    </row>
    <row r="86" customFormat="false" ht="15" hidden="false" customHeight="false" outlineLevel="0" collapsed="false">
      <c r="A86" s="0" t="s">
        <v>520</v>
      </c>
      <c r="B86" s="0" t="s">
        <v>86</v>
      </c>
      <c r="C86" s="38" t="n">
        <f aca="false">Seg!$C$44</f>
        <v>21.215</v>
      </c>
      <c r="D86" s="38" t="n">
        <f aca="false">Seg!$D$44</f>
        <v>22.561</v>
      </c>
      <c r="E86" s="38" t="n">
        <f aca="false">Seg!$E$44</f>
        <v>11.579</v>
      </c>
      <c r="F86" s="38" t="n">
        <f aca="false">Seg!$F$44</f>
        <v>11.5938724610325</v>
      </c>
      <c r="G86" s="38" t="n">
        <f aca="false">Seg!$G$44</f>
        <v>23.1728724610325</v>
      </c>
      <c r="H86" s="38" t="n">
        <f aca="false">Seg!$H$44</f>
        <v>24.353392759506</v>
      </c>
      <c r="I86" s="38" t="n">
        <f aca="false">Seg!$I$44</f>
        <v>25.4240338872015</v>
      </c>
      <c r="J86" s="38" t="n">
        <f aca="false">Seg!$J$44</f>
        <v>26.3642491017174</v>
      </c>
      <c r="K86" s="38" t="n">
        <f aca="false">Seg!$K$44</f>
        <v>27.155176574769</v>
      </c>
      <c r="L86" s="38" t="n">
        <f aca="false">Seg!$L$44</f>
        <v>27.969831872012</v>
      </c>
      <c r="M86" s="38" t="n">
        <f aca="false">Seg!$M$44</f>
        <v>28.8089268281724</v>
      </c>
      <c r="N86" s="38" t="n">
        <f aca="false">Seg!$N$44</f>
        <v>11.128</v>
      </c>
      <c r="O86" s="38" t="n">
        <f aca="false">Seg!$O$44</f>
        <v>11.433</v>
      </c>
    </row>
    <row r="87" customFormat="false" ht="15" hidden="false" customHeight="false" outlineLevel="0" collapsed="false">
      <c r="A87" s="0" t="s">
        <v>521</v>
      </c>
      <c r="B87" s="0" t="s">
        <v>86</v>
      </c>
      <c r="C87" s="38" t="n">
        <f aca="false">Seg!$C$46</f>
        <v>156.146</v>
      </c>
      <c r="D87" s="38" t="n">
        <f aca="false">Seg!$D$46</f>
        <v>172.162</v>
      </c>
      <c r="E87" s="38" t="n">
        <f aca="false">Seg!$E$46</f>
        <v>88.358</v>
      </c>
      <c r="F87" s="38" t="n">
        <f aca="false">Seg!$F$46</f>
        <v>102.004388260171</v>
      </c>
      <c r="G87" s="38" t="n">
        <f aca="false">Seg!$G$46</f>
        <v>190.362388260171</v>
      </c>
      <c r="H87" s="38" t="n">
        <f aca="false">Seg!$H$46</f>
        <v>210.343106588311</v>
      </c>
      <c r="I87" s="38" t="n">
        <f aca="false">Seg!$I$46</f>
        <v>229.969728494648</v>
      </c>
      <c r="J87" s="38" t="n">
        <f aca="false">Seg!$J$46</f>
        <v>248.747636972598</v>
      </c>
      <c r="K87" s="38" t="n">
        <f aca="false">Seg!$K$46</f>
        <v>266.15997156068</v>
      </c>
      <c r="L87" s="38" t="n">
        <f aca="false">Seg!$L$46</f>
        <v>284.791169569927</v>
      </c>
      <c r="M87" s="38" t="n">
        <f aca="false">Seg!$M$46</f>
        <v>304.726551439822</v>
      </c>
      <c r="N87" s="38" t="n">
        <f aca="false">Seg!$N$46</f>
        <v>76.86</v>
      </c>
      <c r="O87" s="38" t="n">
        <f aca="false">Seg!$O$46</f>
        <v>95.302</v>
      </c>
    </row>
    <row r="88" customFormat="false" ht="15" hidden="false" customHeight="false" outlineLevel="0" collapsed="false">
      <c r="A88" s="0" t="s">
        <v>522</v>
      </c>
      <c r="B88" s="0" t="s">
        <v>86</v>
      </c>
      <c r="C88" s="38" t="n">
        <f aca="false">Seg!$C$48</f>
        <v>56.214</v>
      </c>
      <c r="D88" s="38" t="n">
        <f aca="false">Seg!$D$48</f>
        <v>68.635</v>
      </c>
      <c r="E88" s="38" t="n">
        <f aca="false">Seg!$E$48</f>
        <v>37.052</v>
      </c>
      <c r="F88" s="38" t="n">
        <f aca="false">Seg!$F$48</f>
        <v>46.1572219944148</v>
      </c>
      <c r="G88" s="38" t="n">
        <f aca="false">Seg!$G$48</f>
        <v>83.2092219944148</v>
      </c>
      <c r="H88" s="38" t="n">
        <f aca="false">Seg!$H$48</f>
        <v>99.8969223878976</v>
      </c>
      <c r="I88" s="38" t="n">
        <f aca="false">Seg!$I$48</f>
        <v>116.583111095496</v>
      </c>
      <c r="J88" s="38" t="n">
        <f aca="false">Seg!$J$48</f>
        <v>132.148941941952</v>
      </c>
      <c r="K88" s="38" t="n">
        <f aca="false">Seg!$K$48</f>
        <v>145.363836136147</v>
      </c>
      <c r="L88" s="38" t="n">
        <f aca="false">Seg!$L$48</f>
        <v>159.900219749762</v>
      </c>
      <c r="M88" s="38" t="n">
        <f aca="false">Seg!$M$48</f>
        <v>175.890241724738</v>
      </c>
      <c r="N88" s="38" t="n">
        <f aca="false">Seg!$N$48</f>
        <v>29.615</v>
      </c>
      <c r="O88" s="38" t="n">
        <f aca="false">Seg!$O$48</f>
        <v>39.02</v>
      </c>
    </row>
    <row r="89" customFormat="false" ht="15" hidden="false" customHeight="false" outlineLevel="0" collapsed="false">
      <c r="A89" s="0" t="s">
        <v>523</v>
      </c>
      <c r="B89" s="0" t="s">
        <v>86</v>
      </c>
      <c r="C89" s="38" t="n">
        <f aca="false">Seg!$C$50</f>
        <v>44.374</v>
      </c>
      <c r="D89" s="38" t="n">
        <f aca="false">Seg!$D$50</f>
        <v>49.619</v>
      </c>
      <c r="E89" s="38" t="n">
        <f aca="false">Seg!$E$50</f>
        <v>27.157</v>
      </c>
      <c r="F89" s="38" t="n">
        <f aca="false">Seg!$F$50</f>
        <v>27.7764165988154</v>
      </c>
      <c r="G89" s="38" t="n">
        <f aca="false">Seg!$G$50</f>
        <v>54.9334165988154</v>
      </c>
      <c r="H89" s="38" t="n">
        <f aca="false">Seg!$H$50</f>
        <v>61.1564112561829</v>
      </c>
      <c r="I89" s="38" t="n">
        <f aca="false">Seg!$I$50</f>
        <v>67.2020282103945</v>
      </c>
      <c r="J89" s="38" t="n">
        <f aca="false">Seg!$J$50</f>
        <v>72.8757274028885</v>
      </c>
      <c r="K89" s="38" t="n">
        <f aca="false">Seg!$K$50</f>
        <v>77.9770283210907</v>
      </c>
      <c r="L89" s="38" t="n">
        <f aca="false">Seg!$L$50</f>
        <v>83.4354203035671</v>
      </c>
      <c r="M89" s="38" t="n">
        <f aca="false">Seg!$M$50</f>
        <v>89.2758997248168</v>
      </c>
      <c r="N89" s="38" t="n">
        <f aca="false">Seg!$N$50</f>
        <v>23.923</v>
      </c>
      <c r="O89" s="38" t="n">
        <f aca="false">Seg!$O$50</f>
        <v>25.696</v>
      </c>
    </row>
    <row r="90" customFormat="false" ht="15" hidden="false" customHeight="false" outlineLevel="0" collapsed="false">
      <c r="A90" s="0" t="s">
        <v>524</v>
      </c>
      <c r="B90" s="0" t="s">
        <v>86</v>
      </c>
      <c r="C90" s="38" t="n">
        <f aca="false">Seg!$C$52</f>
        <v>5.425</v>
      </c>
      <c r="D90" s="38" t="n">
        <f aca="false">Seg!$D$52</f>
        <v>5.935</v>
      </c>
      <c r="E90" s="38" t="n">
        <f aca="false">Seg!$E$52</f>
        <v>3.474</v>
      </c>
      <c r="F90" s="38" t="n">
        <f aca="false">Seg!$F$52</f>
        <v>3.22246550883619</v>
      </c>
      <c r="G90" s="38" t="n">
        <f aca="false">Seg!$G$52</f>
        <v>6.69646550883619</v>
      </c>
      <c r="H90" s="38" t="n">
        <f aca="false">Seg!$H$52</f>
        <v>7.16251344209196</v>
      </c>
      <c r="I90" s="38" t="n">
        <f aca="false">Seg!$I$52</f>
        <v>7.61421070299826</v>
      </c>
      <c r="J90" s="38" t="n">
        <f aca="false">Seg!$J$52</f>
        <v>8.04465753523932</v>
      </c>
      <c r="K90" s="38" t="n">
        <f aca="false">Seg!$K$52</f>
        <v>8.44689041200128</v>
      </c>
      <c r="L90" s="38" t="n">
        <f aca="false">Seg!$L$52</f>
        <v>8.86923493260135</v>
      </c>
      <c r="M90" s="38" t="n">
        <f aca="false">Seg!$M$52</f>
        <v>9.31269667923142</v>
      </c>
      <c r="N90" s="38" t="n">
        <f aca="false">Seg!$N$52</f>
        <v>2.811</v>
      </c>
      <c r="O90" s="38" t="n">
        <f aca="false">Seg!$O$52</f>
        <v>3.124</v>
      </c>
    </row>
    <row r="91" customFormat="false" ht="17.15" hidden="false" customHeight="false" outlineLevel="0" collapsed="false">
      <c r="A91" s="0" t="s">
        <v>717</v>
      </c>
      <c r="B91" s="0" t="s">
        <v>86</v>
      </c>
      <c r="C91" s="38" t="n">
        <f aca="false">Seg!$C$64</f>
        <v>107.556</v>
      </c>
      <c r="D91" s="38" t="n">
        <f aca="false">Seg!$D$64</f>
        <v>128.725</v>
      </c>
      <c r="E91" s="38" t="n">
        <f aca="false">Seg!$E$64</f>
        <v>79.819</v>
      </c>
      <c r="F91" s="38" t="n">
        <f aca="false">Seg!$F$64</f>
        <v>86.7327334389669</v>
      </c>
      <c r="G91" s="38" t="n">
        <f aca="false">Seg!$G$64</f>
        <v>166.551733438967</v>
      </c>
      <c r="H91" s="38" t="n">
        <f aca="false">Seg!$H$64</f>
        <v>221.182967828978</v>
      </c>
      <c r="I91" s="38" t="n">
        <f aca="false">Seg!$I$64</f>
        <v>280.27345865789</v>
      </c>
      <c r="J91" s="38" t="n">
        <f aca="false">Seg!$J$64</f>
        <v>338.800945197185</v>
      </c>
      <c r="K91" s="38" t="n">
        <f aca="false">Seg!$K$64</f>
        <v>389.88570147276</v>
      </c>
      <c r="L91" s="38" t="n">
        <f aca="false">Seg!$L$64</f>
        <v>430.080689379143</v>
      </c>
      <c r="M91" s="38" t="n">
        <f aca="false">Seg!$M$64</f>
        <v>459.456235951751</v>
      </c>
      <c r="N91" s="38" t="n">
        <f aca="false">Seg!$N$64</f>
        <v>60.14</v>
      </c>
      <c r="O91" s="38" t="n">
        <f aca="false">Seg!$O$64</f>
        <v>68.585</v>
      </c>
    </row>
    <row r="92" customFormat="false" ht="15" hidden="false" customHeight="false" outlineLevel="0" collapsed="false">
      <c r="A92" s="1" t="s">
        <v>512</v>
      </c>
      <c r="B92" s="8" t="s">
        <v>86</v>
      </c>
      <c r="C92" s="38" t="n">
        <f aca="false">Seg!$C$57</f>
        <v>387.497</v>
      </c>
      <c r="D92" s="38" t="n">
        <f aca="false">Seg!$D$57</f>
        <v>426.305</v>
      </c>
      <c r="E92" s="38" t="n">
        <f aca="false">Seg!$E$57</f>
        <v>220.32</v>
      </c>
      <c r="F92" s="38" t="n">
        <f aca="false">Seg!$F$57</f>
        <v>250.639773480586</v>
      </c>
      <c r="G92" s="38" t="n">
        <f aca="false">Seg!$G$57</f>
        <v>470.959773480586</v>
      </c>
      <c r="H92" s="38" t="n">
        <f aca="false">Seg!$H$57</f>
        <v>521.386990416437</v>
      </c>
      <c r="I92" s="38" t="n">
        <f aca="false">Seg!$I$57</f>
        <v>570.143862887555</v>
      </c>
      <c r="J92" s="38" t="n">
        <f aca="false">Seg!$J$57</f>
        <v>615.391435791933</v>
      </c>
      <c r="K92" s="38" t="n">
        <f aca="false">Seg!$K$57</f>
        <v>655.208227561543</v>
      </c>
      <c r="L92" s="38" t="n">
        <f aca="false">Seg!$L$57</f>
        <v>697.807739249767</v>
      </c>
      <c r="M92" s="38" t="n">
        <f aca="false">Seg!$M$57</f>
        <v>743.399328463592</v>
      </c>
      <c r="N92" s="38" t="n">
        <f aca="false">Seg!$N$57</f>
        <v>192.955</v>
      </c>
      <c r="O92" s="38" t="n">
        <f aca="false">Seg!$O$57</f>
        <v>233.35</v>
      </c>
    </row>
    <row r="93" customFormat="false" ht="15" hidden="false" customHeight="false" outlineLevel="0" collapsed="false">
      <c r="A93" s="1" t="s">
        <v>515</v>
      </c>
      <c r="B93" s="8" t="s">
        <v>86</v>
      </c>
      <c r="C93" s="38" t="n">
        <f aca="false">Seg!$C$58</f>
        <v>142.906</v>
      </c>
      <c r="D93" s="38" t="n">
        <f aca="false">Seg!$D$58</f>
        <v>161.894</v>
      </c>
      <c r="E93" s="38" t="n">
        <f aca="false">Seg!$E$58</f>
        <v>81.986</v>
      </c>
      <c r="F93" s="38" t="n">
        <f aca="false">Seg!$F$58</f>
        <v>98.408468164951</v>
      </c>
      <c r="G93" s="38" t="n">
        <f aca="false">Seg!$G$58</f>
        <v>180.394468164951</v>
      </c>
      <c r="H93" s="38" t="n">
        <f aca="false">Seg!$H$58</f>
        <v>199.709899104949</v>
      </c>
      <c r="I93" s="38" t="n">
        <f aca="false">Seg!$I$58</f>
        <v>218.385528264976</v>
      </c>
      <c r="J93" s="38" t="n">
        <f aca="false">Seg!$J$58</f>
        <v>235.71696994951</v>
      </c>
      <c r="K93" s="38" t="n">
        <f aca="false">Seg!$K$58</f>
        <v>250.968227869545</v>
      </c>
      <c r="L93" s="38" t="n">
        <f aca="false">Seg!$L$58</f>
        <v>267.285367225822</v>
      </c>
      <c r="M93" s="38" t="n">
        <f aca="false">Seg!$M$58</f>
        <v>284.748579483295</v>
      </c>
      <c r="N93" s="38" t="n">
        <f aca="false">Seg!$N$58</f>
        <v>70.274</v>
      </c>
      <c r="O93" s="38" t="n">
        <f aca="false">Seg!$O$58</f>
        <v>91.62</v>
      </c>
    </row>
    <row r="94" customFormat="false" ht="15" hidden="false" customHeight="false" outlineLevel="0" collapsed="false">
      <c r="A94" s="1" t="s">
        <v>516</v>
      </c>
      <c r="B94" s="8" t="s">
        <v>86</v>
      </c>
      <c r="C94" s="38" t="n">
        <f aca="false">Seg!$C$64</f>
        <v>107.556</v>
      </c>
      <c r="D94" s="38" t="n">
        <f aca="false">Seg!$D$64</f>
        <v>128.725</v>
      </c>
      <c r="E94" s="38" t="n">
        <f aca="false">Seg!$E$64</f>
        <v>79.819</v>
      </c>
      <c r="F94" s="38" t="n">
        <f aca="false">Seg!$F$64</f>
        <v>86.7327334389669</v>
      </c>
      <c r="G94" s="38" t="n">
        <f aca="false">Seg!$G$64</f>
        <v>166.551733438967</v>
      </c>
      <c r="H94" s="38" t="n">
        <f aca="false">Seg!$H$64</f>
        <v>221.182967828978</v>
      </c>
      <c r="I94" s="38" t="n">
        <f aca="false">Seg!$I$64</f>
        <v>280.27345865789</v>
      </c>
      <c r="J94" s="38" t="n">
        <f aca="false">Seg!$J$64</f>
        <v>338.800945197185</v>
      </c>
      <c r="K94" s="38" t="n">
        <f aca="false">Seg!$K$64</f>
        <v>389.88570147276</v>
      </c>
      <c r="L94" s="38" t="n">
        <f aca="false">Seg!$L$64</f>
        <v>430.080689379143</v>
      </c>
      <c r="M94" s="38" t="n">
        <f aca="false">Seg!$M$64</f>
        <v>459.456235951751</v>
      </c>
      <c r="N94" s="38" t="n">
        <f aca="false">Seg!$N$64</f>
        <v>60.14</v>
      </c>
      <c r="O94" s="38" t="n">
        <f aca="false">Seg!$O$64</f>
        <v>68.585</v>
      </c>
    </row>
    <row r="95" customFormat="false" ht="17.15" hidden="false" customHeight="false" outlineLevel="0" collapsed="false">
      <c r="A95" s="0" t="s">
        <v>691</v>
      </c>
      <c r="B95" s="0" t="s">
        <v>86</v>
      </c>
      <c r="C95" s="38" t="n">
        <f aca="false">Seg!$C$62</f>
        <v>2.32100535697364</v>
      </c>
      <c r="D95" s="38" t="n">
        <f aca="false">Seg!$D$62</f>
        <v>8.70377008865116</v>
      </c>
      <c r="E95" s="38" t="n">
        <f aca="false">Seg!$E$62</f>
        <v>8.51035297557002</v>
      </c>
      <c r="F95" s="38" t="n">
        <f aca="false">Seg!$F$62</f>
        <v>14.9634336447205</v>
      </c>
      <c r="G95" s="38" t="n">
        <f aca="false">Seg!$G$62</f>
        <v>23.4737866202905</v>
      </c>
      <c r="H95" s="38" t="n">
        <f aca="false">Seg!$H$62</f>
        <v>60.1658907497746</v>
      </c>
      <c r="I95" s="38" t="n">
        <f aca="false">Seg!$I$62</f>
        <v>101.503699136432</v>
      </c>
      <c r="J95" s="38" t="n">
        <f aca="false">Seg!$J$62</f>
        <v>143.025407151278</v>
      </c>
      <c r="K95" s="38" t="n">
        <f aca="false">Seg!$K$62</f>
        <v>178.44812038318</v>
      </c>
      <c r="L95" s="38" t="n">
        <f aca="false">Seg!$L$62</f>
        <v>201.728101802396</v>
      </c>
      <c r="M95" s="38" t="n">
        <f aca="false">Seg!$M$62</f>
        <v>212.835441368865</v>
      </c>
      <c r="N95" s="38" t="n">
        <f aca="false">Seg!$N$62</f>
        <v>3.04631953102791</v>
      </c>
      <c r="O95" s="38" t="n">
        <f aca="false">Seg!$O$62</f>
        <v>5.65745055762326</v>
      </c>
    </row>
    <row r="96" customFormat="false" ht="17.15" hidden="false" customHeight="false" outlineLevel="0" collapsed="false">
      <c r="A96" s="0" t="s">
        <v>693</v>
      </c>
      <c r="B96" s="0" t="s">
        <v>86</v>
      </c>
      <c r="C96" s="38" t="n">
        <f aca="false">Seg!$C$63</f>
        <v>105.234994643026</v>
      </c>
      <c r="D96" s="38" t="n">
        <f aca="false">Seg!$D$63</f>
        <v>120.021229911349</v>
      </c>
      <c r="E96" s="38" t="n">
        <f aca="false">Seg!$E$63</f>
        <v>71.30864702443</v>
      </c>
      <c r="F96" s="38" t="n">
        <f aca="false">Seg!$F$63</f>
        <v>71.7692997942464</v>
      </c>
      <c r="G96" s="38" t="n">
        <f aca="false">Seg!$G$63</f>
        <v>143.077946818676</v>
      </c>
      <c r="H96" s="38" t="n">
        <f aca="false">Seg!$H$63</f>
        <v>161.017077079203</v>
      </c>
      <c r="I96" s="38" t="n">
        <f aca="false">Seg!$I$63</f>
        <v>178.769759521457</v>
      </c>
      <c r="J96" s="38" t="n">
        <f aca="false">Seg!$J$63</f>
        <v>195.775538045907</v>
      </c>
      <c r="K96" s="38" t="n">
        <f aca="false">Seg!$K$63</f>
        <v>211.43758108958</v>
      </c>
      <c r="L96" s="38" t="n">
        <f aca="false">Seg!$L$63</f>
        <v>228.352587576746</v>
      </c>
      <c r="M96" s="38" t="n">
        <f aca="false">Seg!$M$63</f>
        <v>246.620794582886</v>
      </c>
      <c r="N96" s="38" t="n">
        <f aca="false">Seg!$N$63</f>
        <v>57.0936804689721</v>
      </c>
      <c r="O96" s="38" t="n">
        <f aca="false">Seg!$O$63</f>
        <v>62.9275494423768</v>
      </c>
    </row>
    <row r="97" customFormat="false" ht="15" hidden="false" customHeight="false" outlineLevel="0" collapsed="false">
      <c r="A97" s="3" t="s">
        <v>517</v>
      </c>
      <c r="B97" s="8" t="s">
        <v>86</v>
      </c>
      <c r="C97" s="38" t="n">
        <f aca="false">Seg!$C$65</f>
        <v>637.959</v>
      </c>
      <c r="D97" s="38" t="n">
        <f aca="false">Seg!$D$65</f>
        <v>716.924</v>
      </c>
      <c r="E97" s="38" t="n">
        <f aca="false">Seg!$E$65</f>
        <v>382.125</v>
      </c>
      <c r="F97" s="38" t="n">
        <f aca="false">Seg!$F$65</f>
        <v>435.780975084504</v>
      </c>
      <c r="G97" s="38" t="n">
        <f aca="false">Seg!$G$65</f>
        <v>817.905975084504</v>
      </c>
      <c r="H97" s="38" t="n">
        <f aca="false">Seg!$H$65</f>
        <v>942.279857350364</v>
      </c>
      <c r="I97" s="38" t="n">
        <f aca="false">Seg!$I$65</f>
        <v>1068.80284981042</v>
      </c>
      <c r="J97" s="38" t="n">
        <f aca="false">Seg!$J$65</f>
        <v>1189.90935093863</v>
      </c>
      <c r="K97" s="38" t="n">
        <f aca="false">Seg!$K$65</f>
        <v>1296.06215690385</v>
      </c>
      <c r="L97" s="38" t="n">
        <f aca="false">Seg!$L$65</f>
        <v>1395.17379585473</v>
      </c>
      <c r="M97" s="38" t="n">
        <f aca="false">Seg!$M$65</f>
        <v>1487.60414389864</v>
      </c>
      <c r="N97" s="38" t="n">
        <f aca="false">Seg!$N$65</f>
        <v>323.369</v>
      </c>
      <c r="O97" s="38" t="n">
        <f aca="false">Seg!$O$65</f>
        <v>393.555</v>
      </c>
    </row>
    <row r="98" customFormat="false" ht="17.15" hidden="false" customHeight="false" outlineLevel="0" collapsed="false">
      <c r="A98" s="24" t="s">
        <v>703</v>
      </c>
      <c r="B98" s="25" t="s">
        <v>86</v>
      </c>
      <c r="C98" s="41" t="n">
        <f aca="false">PL!$C$85+PL!$C$86+PL!$C$87+PL!$C$88+PL!$C$89+PL!$C$90-(PL!$C$92+PL!$C$93)</f>
        <v>0</v>
      </c>
      <c r="D98" s="41" t="n">
        <f aca="false">PL!$D$85+PL!$D$86+PL!$D$87+PL!$D$88+PL!$D$89+PL!$D$90-(PL!$D$92+PL!$D$93)</f>
        <v>0</v>
      </c>
      <c r="E98" s="41" t="n">
        <f aca="false">PL!$E$85+PL!$E$86+PL!$E$87+PL!$E$88+PL!$E$89+PL!$E$90-(PL!$E$92+PL!$E$93)</f>
        <v>0</v>
      </c>
      <c r="F98" s="41" t="n">
        <f aca="false">PL!$F$85+PL!$F$86+PL!$F$87+PL!$F$88+PL!$F$89+PL!$F$90-(PL!$F$92+PL!$F$93)</f>
        <v>0</v>
      </c>
      <c r="G98" s="41" t="n">
        <f aca="false">PL!$G$85+PL!$G$86+PL!$G$87+PL!$G$88+PL!$G$89+PL!$G$90-(PL!$G$92+PL!$G$93)</f>
        <v>0</v>
      </c>
      <c r="H98" s="41" t="n">
        <f aca="false">PL!$H$85+PL!$H$86+PL!$H$87+PL!$H$88+PL!$H$89+PL!$H$90-(PL!$H$92+PL!$H$93)</f>
        <v>0</v>
      </c>
      <c r="I98" s="41" t="n">
        <f aca="false">PL!$I$85+PL!$I$86+PL!$I$87+PL!$I$88+PL!$I$89+PL!$I$90-(PL!$I$92+PL!$I$93)</f>
        <v>0</v>
      </c>
      <c r="J98" s="41" t="n">
        <f aca="false">PL!$J$85+PL!$J$86+PL!$J$87+PL!$J$88+PL!$J$89+PL!$J$90-(PL!$J$92+PL!$J$93)</f>
        <v>0</v>
      </c>
      <c r="K98" s="41" t="n">
        <f aca="false">PL!$K$85+PL!$K$86+PL!$K$87+PL!$K$88+PL!$K$89+PL!$K$90-(PL!$K$92+PL!$K$93)</f>
        <v>0</v>
      </c>
      <c r="L98" s="41" t="n">
        <f aca="false">PL!$L$85+PL!$L$86+PL!$L$87+PL!$L$88+PL!$L$89+PL!$L$90-(PL!$L$92+PL!$L$93)</f>
        <v>0</v>
      </c>
      <c r="M98" s="41" t="n">
        <f aca="false">PL!$M$85+PL!$M$86+PL!$M$87+PL!$M$88+PL!$M$89+PL!$M$90-(PL!$M$92+PL!$M$93)</f>
        <v>0</v>
      </c>
      <c r="N98" s="41" t="n">
        <f aca="false">PL!$N$85+PL!$N$86+PL!$N$87+PL!$N$88+PL!$N$89+PL!$N$90-(PL!$N$92+PL!$N$93)</f>
        <v>0</v>
      </c>
      <c r="O98" s="41" t="n">
        <f aca="false">PL!$O$85+PL!$O$86+PL!$O$87+PL!$O$88+PL!$O$89+PL!$O$90-(PL!$O$92+PL!$O$93)</f>
        <v>0</v>
      </c>
    </row>
    <row r="99" customFormat="false" ht="17.15" hidden="false" customHeight="false" outlineLevel="0" collapsed="false">
      <c r="A99" s="24" t="s">
        <v>704</v>
      </c>
      <c r="B99" s="25" t="s">
        <v>86</v>
      </c>
      <c r="C99" s="41" t="n">
        <f aca="false">PL!$C$95+PL!$C$96-PL!$C$94</f>
        <v>0</v>
      </c>
      <c r="D99" s="41" t="n">
        <f aca="false">PL!$D$95+PL!$D$96-PL!$D$94</f>
        <v>0</v>
      </c>
      <c r="E99" s="41" t="n">
        <f aca="false">PL!$E$95+PL!$E$96-PL!$E$94</f>
        <v>0</v>
      </c>
      <c r="F99" s="41" t="n">
        <f aca="false">PL!$F$95+PL!$F$96-PL!$F$94</f>
        <v>0</v>
      </c>
      <c r="G99" s="41" t="n">
        <f aca="false">PL!$G$95+PL!$G$96-PL!$G$94</f>
        <v>0</v>
      </c>
      <c r="H99" s="41" t="n">
        <f aca="false">PL!$H$95+PL!$H$96-PL!$H$94</f>
        <v>0</v>
      </c>
      <c r="I99" s="41" t="n">
        <f aca="false">PL!$I$95+PL!$I$96-PL!$I$94</f>
        <v>0</v>
      </c>
      <c r="J99" s="41" t="n">
        <f aca="false">PL!$J$95+PL!$J$96-PL!$J$94</f>
        <v>0</v>
      </c>
      <c r="K99" s="41" t="n">
        <f aca="false">PL!$K$95+PL!$K$96-PL!$K$94</f>
        <v>0</v>
      </c>
      <c r="L99" s="41" t="n">
        <f aca="false">PL!$L$95+PL!$L$96-PL!$L$94</f>
        <v>0</v>
      </c>
      <c r="M99" s="41" t="n">
        <f aca="false">PL!$M$95+PL!$M$96-PL!$M$94</f>
        <v>0</v>
      </c>
      <c r="N99" s="41" t="n">
        <f aca="false">PL!$N$95+PL!$N$96-PL!$N$94</f>
        <v>0</v>
      </c>
      <c r="O99" s="41" t="n">
        <f aca="false">PL!$O$95+PL!$O$96-PL!$O$94</f>
        <v>0</v>
      </c>
    </row>
    <row r="100" customFormat="false" ht="17.15" hidden="false" customHeight="false" outlineLevel="0" collapsed="false">
      <c r="A100" s="24" t="s">
        <v>763</v>
      </c>
      <c r="B100" s="25" t="s">
        <v>86</v>
      </c>
      <c r="C100" s="41" t="n">
        <f aca="false">PL!$C$85+PL!$C$86+PL!$C$87+PL!$C$88+PL!$C$89+PL!$C$90+PL!$C$91-PL!$C$97</f>
        <v>0</v>
      </c>
      <c r="D100" s="41" t="n">
        <f aca="false">PL!$D$85+PL!$D$86+PL!$D$87+PL!$D$88+PL!$D$89+PL!$D$90+PL!$D$91-PL!$D$97</f>
        <v>0</v>
      </c>
      <c r="E100" s="41" t="n">
        <f aca="false">PL!$E$85+PL!$E$86+PL!$E$87+PL!$E$88+PL!$E$89+PL!$E$90+PL!$E$91-PL!$E$97</f>
        <v>0</v>
      </c>
      <c r="F100" s="41" t="n">
        <f aca="false">PL!$F$85+PL!$F$86+PL!$F$87+PL!$F$88+PL!$F$89+PL!$F$90+PL!$F$91-PL!$F$97</f>
        <v>0</v>
      </c>
      <c r="G100" s="41" t="n">
        <f aca="false">PL!$G$85+PL!$G$86+PL!$G$87+PL!$G$88+PL!$G$89+PL!$G$90+PL!$G$91-PL!$G$97</f>
        <v>0</v>
      </c>
      <c r="H100" s="41" t="n">
        <f aca="false">PL!$H$85+PL!$H$86+PL!$H$87+PL!$H$88+PL!$H$89+PL!$H$90+PL!$H$91-PL!$H$97</f>
        <v>0</v>
      </c>
      <c r="I100" s="41" t="n">
        <f aca="false">PL!$I$85+PL!$I$86+PL!$I$87+PL!$I$88+PL!$I$89+PL!$I$90+PL!$I$91-PL!$I$97</f>
        <v>0</v>
      </c>
      <c r="J100" s="41" t="n">
        <f aca="false">PL!$J$85+PL!$J$86+PL!$J$87+PL!$J$88+PL!$J$89+PL!$J$90+PL!$J$91-PL!$J$97</f>
        <v>0</v>
      </c>
      <c r="K100" s="41" t="n">
        <f aca="false">PL!$K$85+PL!$K$86+PL!$K$87+PL!$K$88+PL!$K$89+PL!$K$90+PL!$K$91-PL!$K$97</f>
        <v>0</v>
      </c>
      <c r="L100" s="41" t="n">
        <f aca="false">PL!$L$85+PL!$L$86+PL!$L$87+PL!$L$88+PL!$L$89+PL!$L$90+PL!$L$91-PL!$L$97</f>
        <v>0</v>
      </c>
      <c r="M100" s="41" t="n">
        <f aca="false">PL!$M$85+PL!$M$86+PL!$M$87+PL!$M$88+PL!$M$89+PL!$M$90+PL!$M$91-PL!$M$97</f>
        <v>0</v>
      </c>
      <c r="N100" s="41" t="n">
        <f aca="false">PL!$N$85+PL!$N$86+PL!$N$87+PL!$N$88+PL!$N$89+PL!$N$90+PL!$N$91-PL!$N$97</f>
        <v>0</v>
      </c>
      <c r="O100" s="41" t="n">
        <f aca="false">PL!$O$85+PL!$O$86+PL!$O$87+PL!$O$88+PL!$O$89+PL!$O$90+PL!$O$91-PL!$O$97</f>
        <v>0</v>
      </c>
    </row>
    <row r="101" customFormat="false" ht="17.15" hidden="false" customHeight="false" outlineLevel="0" collapsed="false">
      <c r="A101" s="24" t="s">
        <v>705</v>
      </c>
      <c r="B101" s="25" t="s">
        <v>86</v>
      </c>
      <c r="C101" s="41" t="n">
        <f aca="false">PL!$C$92+PL!$C$93+PL!$C$94-PL!$C$97</f>
        <v>0</v>
      </c>
      <c r="D101" s="41" t="n">
        <f aca="false">PL!$D$92+PL!$D$93+PL!$D$94-PL!$D$97</f>
        <v>0</v>
      </c>
      <c r="E101" s="41" t="n">
        <f aca="false">PL!$E$92+PL!$E$93+PL!$E$94-PL!$E$97</f>
        <v>0</v>
      </c>
      <c r="F101" s="41" t="n">
        <f aca="false">PL!$F$92+PL!$F$93+PL!$F$94-PL!$F$97</f>
        <v>0</v>
      </c>
      <c r="G101" s="41" t="n">
        <f aca="false">PL!$G$92+PL!$G$93+PL!$G$94-PL!$G$97</f>
        <v>0</v>
      </c>
      <c r="H101" s="41" t="n">
        <f aca="false">PL!$H$92+PL!$H$93+PL!$H$94-PL!$H$97</f>
        <v>0</v>
      </c>
      <c r="I101" s="41" t="n">
        <f aca="false">PL!$I$92+PL!$I$93+PL!$I$94-PL!$I$97</f>
        <v>0</v>
      </c>
      <c r="J101" s="41" t="n">
        <f aca="false">PL!$J$92+PL!$J$93+PL!$J$94-PL!$J$97</f>
        <v>0</v>
      </c>
      <c r="K101" s="41" t="n">
        <f aca="false">PL!$K$92+PL!$K$93+PL!$K$94-PL!$K$97</f>
        <v>0</v>
      </c>
      <c r="L101" s="41" t="n">
        <f aca="false">PL!$L$92+PL!$L$93+PL!$L$94-PL!$L$97</f>
        <v>0</v>
      </c>
      <c r="M101" s="41" t="n">
        <f aca="false">PL!$M$92+PL!$M$93+PL!$M$94-PL!$M$97</f>
        <v>0</v>
      </c>
      <c r="N101" s="41" t="n">
        <f aca="false">PL!$N$92+PL!$N$93+PL!$N$94-PL!$N$97</f>
        <v>0</v>
      </c>
      <c r="O101" s="41" t="n">
        <f aca="false">PL!$O$92+PL!$O$93+PL!$O$94-PL!$O$97</f>
        <v>0</v>
      </c>
    </row>
    <row r="102" customFormat="false" ht="17.15" hidden="false" customHeight="false" outlineLevel="0" collapsed="false">
      <c r="A102" s="1" t="s">
        <v>719</v>
      </c>
    </row>
    <row r="103" customFormat="false" ht="17.15" hidden="false" customHeight="false" outlineLevel="0" collapsed="false">
      <c r="A103" s="0" t="s">
        <v>720</v>
      </c>
      <c r="B103" s="0" t="s">
        <v>86</v>
      </c>
      <c r="C103" s="38" t="n">
        <f aca="false">Seg!$C$59*m_ad</f>
        <v>20.5341564414228</v>
      </c>
      <c r="D103" s="38" t="n">
        <f aca="false">Seg!$D$59*m_ad</f>
        <v>24.8720617299587</v>
      </c>
      <c r="E103" s="38" t="n">
        <f aca="false">Seg!$E$59*m_ad</f>
        <v>13.5017112462207</v>
      </c>
      <c r="F103" s="38" t="n">
        <f aca="false">Seg!$F$59*m_ad</f>
        <v>16.5719724165257</v>
      </c>
      <c r="G103" s="38" t="n">
        <f aca="false">Seg!$G$59*m_ad</f>
        <v>30.0820919220415</v>
      </c>
      <c r="H103" s="38" t="n">
        <f aca="false">Seg!$H$59*m_ad</f>
        <v>36.1150883276314</v>
      </c>
      <c r="I103" s="38" t="n">
        <f aca="false">Seg!$I$59*m_ad</f>
        <v>42.1475382231996</v>
      </c>
      <c r="J103" s="38" t="n">
        <f aca="false">Seg!$J$59*m_ad</f>
        <v>47.7749523864693</v>
      </c>
      <c r="K103" s="38" t="n">
        <f aca="false">Seg!$K$59*m_ad</f>
        <v>52.5524476251162</v>
      </c>
      <c r="L103" s="38" t="n">
        <f aca="false">Seg!$L$59*m_ad</f>
        <v>57.8076923876279</v>
      </c>
      <c r="M103" s="38" t="n">
        <f aca="false">Seg!$M$59*m_ad</f>
        <v>63.5884616263907</v>
      </c>
      <c r="N103" s="38" t="n">
        <f aca="false">Seg!$N$59*m_ad</f>
        <v>10.8543555706248</v>
      </c>
      <c r="O103" s="38" t="n">
        <f aca="false">Seg!$O$59*m_ad</f>
        <v>14.0094731821399</v>
      </c>
    </row>
    <row r="104" customFormat="false" ht="17.15" hidden="false" customHeight="false" outlineLevel="0" collapsed="false">
      <c r="A104" s="0" t="s">
        <v>721</v>
      </c>
      <c r="B104" s="0" t="s">
        <v>86</v>
      </c>
      <c r="C104" s="38" t="n">
        <f aca="false">Seg!$C$57-Seg!$C$59</f>
        <v>346.428687117154</v>
      </c>
      <c r="D104" s="38" t="n">
        <f aca="false">Seg!$D$57-Seg!$D$59</f>
        <v>376.560876540083</v>
      </c>
      <c r="E104" s="38" t="n">
        <f aca="false">Seg!$E$57-Seg!$E$59</f>
        <v>193.316577507559</v>
      </c>
      <c r="F104" s="38" t="n">
        <f aca="false">Seg!$F$57-Seg!$F$59</f>
        <v>217.495828647535</v>
      </c>
      <c r="G104" s="38" t="n">
        <f aca="false">Seg!$G$57-Seg!$G$59</f>
        <v>410.795589636503</v>
      </c>
      <c r="H104" s="38" t="n">
        <f aca="false">Seg!$H$57-Seg!$H$59</f>
        <v>449.156813761174</v>
      </c>
      <c r="I104" s="38" t="n">
        <f aca="false">Seg!$I$57-Seg!$I$59</f>
        <v>485.848786441156</v>
      </c>
      <c r="J104" s="38" t="n">
        <f aca="false">Seg!$J$57-Seg!$J$59</f>
        <v>519.841531018994</v>
      </c>
      <c r="K104" s="38" t="n">
        <f aca="false">Seg!$K$57-Seg!$K$59</f>
        <v>550.103332311311</v>
      </c>
      <c r="L104" s="38" t="n">
        <f aca="false">Seg!$L$57-Seg!$L$59</f>
        <v>582.192354474511</v>
      </c>
      <c r="M104" s="38" t="n">
        <f aca="false">Seg!$M$57-Seg!$M$59</f>
        <v>616.22240521081</v>
      </c>
      <c r="N104" s="38" t="n">
        <f aca="false">Seg!$N$57-Seg!$N$59</f>
        <v>171.24628885875</v>
      </c>
      <c r="O104" s="38" t="n">
        <f aca="false">Seg!$O$57-Seg!$O$59</f>
        <v>205.33105363572</v>
      </c>
    </row>
    <row r="105" customFormat="false" ht="17.15" hidden="false" customHeight="false" outlineLevel="0" collapsed="false">
      <c r="A105" s="0" t="s">
        <v>722</v>
      </c>
      <c r="B105" s="0" t="s">
        <v>86</v>
      </c>
      <c r="C105" s="38" t="n">
        <f aca="false">Thesis!$C$111*Seg!$C$56</f>
        <v>0.123617442257179</v>
      </c>
      <c r="D105" s="38" t="n">
        <f aca="false">Thesis!$D$111*Seg!$D$56</f>
        <v>0.600198046024689</v>
      </c>
      <c r="E105" s="38" t="n">
        <f aca="false">Thesis!$E$111*Seg!$E$56</f>
        <v>0.970552432202993</v>
      </c>
      <c r="F105" s="38" t="n">
        <f aca="false">Thesis!$F$111*Seg!$F$56</f>
        <v>1.20013524388435</v>
      </c>
      <c r="G105" s="38" t="n">
        <f aca="false">Thesis!$G$111*Seg!$G$56</f>
        <v>2.17135369594947</v>
      </c>
      <c r="H105" s="38" t="n">
        <f aca="false">Thesis!$H$111*Seg!$H$56</f>
        <v>6.14227489656333</v>
      </c>
      <c r="I105" s="38" t="n">
        <f aca="false">Thesis!$I$111*Seg!$I$56</f>
        <v>11.6518054969681</v>
      </c>
      <c r="J105" s="38" t="n">
        <f aca="false">Thesis!$J$111*Seg!$J$56</f>
        <v>17.3105301010592</v>
      </c>
      <c r="K105" s="38" t="n">
        <f aca="false">Thesis!$K$111*Seg!$K$56</f>
        <v>22.8486728059883</v>
      </c>
      <c r="L105" s="38" t="n">
        <f aca="false">Thesis!$L$111*Seg!$L$56</f>
        <v>26.6849171332777</v>
      </c>
      <c r="M105" s="38" t="n">
        <f aca="false">Thesis!$M$111*Seg!$M$56</f>
        <v>29.0523240317336</v>
      </c>
      <c r="N105" s="38" t="n">
        <f aca="false">Thesis!$N$111*Seg!$N$56</f>
        <v>0.25053229484398</v>
      </c>
      <c r="O105" s="38" t="n">
        <f aca="false">Thesis!$O$111*Seg!$O$56</f>
        <v>0.349234376756897</v>
      </c>
    </row>
    <row r="106" customFormat="false" ht="17.15" hidden="false" customHeight="false" outlineLevel="0" collapsed="false">
      <c r="A106" s="0" t="s">
        <v>723</v>
      </c>
      <c r="B106" s="0" t="s">
        <v>52</v>
      </c>
      <c r="C106" s="28" t="n">
        <f aca="false">(PL!$C$107-PL!$C$103+PL!$C$105)/PL!$C$104</f>
        <v>0.0131526665379575</v>
      </c>
      <c r="D106" s="28" t="n">
        <f aca="false">(PL!$D$107-PL!$D$103+PL!$D$105)/PL!$D$104</f>
        <v>0.0141999252954702</v>
      </c>
      <c r="E106" s="28" t="n">
        <f aca="false">(PL!$E$107-PL!$E$103+PL!$E$105)/PL!$E$104</f>
        <v>0.0251341154940129</v>
      </c>
      <c r="F106" s="28" t="n">
        <f aca="false">PL!$O$106+(PL!$E$106-PL!$N$106)</f>
        <v>0.0217171685713677</v>
      </c>
      <c r="G106" s="28" t="n">
        <f aca="false">(PL!$G$107-PL!$G$103+PL!$G$105)/PL!$G$104</f>
        <v>0.0233071940458981</v>
      </c>
      <c r="H106" s="28" t="n">
        <f aca="false">PL!$G$106+step_na</f>
        <v>0.0263071940458981</v>
      </c>
      <c r="I106" s="28" t="n">
        <f aca="false">PL!$H$106+step_na</f>
        <v>0.0293071940458981</v>
      </c>
      <c r="J106" s="28" t="n">
        <f aca="false">PL!$I$106+step_na</f>
        <v>0.0323071940458981</v>
      </c>
      <c r="K106" s="28" t="n">
        <f aca="false">PL!$J$106+step_na</f>
        <v>0.0353071940458981</v>
      </c>
      <c r="L106" s="28" t="n">
        <f aca="false">PL!$K$106</f>
        <v>0.0353071940458981</v>
      </c>
      <c r="M106" s="28" t="n">
        <f aca="false">PL!$L$106</f>
        <v>0.0353071940458981</v>
      </c>
      <c r="N106" s="28" t="n">
        <f aca="false">(PL!$N$107-PL!$N$103+PL!$N$105)/PL!$N$104</f>
        <v>0.0160831323269779</v>
      </c>
      <c r="O106" s="28" t="n">
        <f aca="false">(PL!$O$107-PL!$O$103+PL!$O$105)/PL!$O$104</f>
        <v>0.0126661854043327</v>
      </c>
      <c r="P106" s="8" t="s">
        <v>724</v>
      </c>
    </row>
    <row r="107" customFormat="false" ht="17.15" hidden="false" customHeight="false" outlineLevel="0" collapsed="false">
      <c r="A107" s="1" t="s">
        <v>725</v>
      </c>
      <c r="B107" s="8" t="s">
        <v>86</v>
      </c>
      <c r="C107" s="38" t="n">
        <f aca="false">Q!$D$22</f>
        <v>24.967</v>
      </c>
      <c r="D107" s="38" t="n">
        <f aca="false">Q!$E$22</f>
        <v>29.619</v>
      </c>
      <c r="E107" s="38" t="n">
        <f aca="false">Q!$P$22</f>
        <v>17.39</v>
      </c>
      <c r="F107" s="38" t="n">
        <f aca="false">PL!$F$103+PL!$F$104*PL!$F$106-PL!$F$105</f>
        <v>20.0952307469491</v>
      </c>
      <c r="G107" s="38" t="n">
        <f aca="false">PL!$E$107+PL!$F$107</f>
        <v>37.4852307469491</v>
      </c>
      <c r="H107" s="38" t="n">
        <f aca="false">PL!$H$103+PL!$H$104*PL!$H$106-PL!$H$105</f>
        <v>41.7888688877206</v>
      </c>
      <c r="I107" s="38" t="n">
        <f aca="false">PL!$I$103+PL!$I$104*PL!$I$106-PL!$I$105</f>
        <v>44.7345973874265</v>
      </c>
      <c r="J107" s="38" t="n">
        <f aca="false">PL!$J$103+PL!$J$104*PL!$J$106-PL!$J$105</f>
        <v>47.2590435011574</v>
      </c>
      <c r="K107" s="38" t="n">
        <f aca="false">PL!$K$103+PL!$K$104*PL!$K$106-PL!$K$105</f>
        <v>49.1263799183386</v>
      </c>
      <c r="L107" s="38" t="n">
        <f aca="false">PL!$L$103+PL!$L$104*PL!$L$106-PL!$L$105</f>
        <v>51.67835368582</v>
      </c>
      <c r="M107" s="38" t="n">
        <f aca="false">PL!$M$103+PL!$M$104*PL!$M$106-PL!$M$105</f>
        <v>56.2932216308652</v>
      </c>
      <c r="N107" s="38" t="n">
        <f aca="false">Q!$N$22</f>
        <v>13.358</v>
      </c>
      <c r="O107" s="38" t="n">
        <f aca="false">Q!$O$22</f>
        <v>16.261</v>
      </c>
    </row>
    <row r="108" customFormat="false" ht="17.15" hidden="false" customHeight="false" outlineLevel="0" collapsed="false">
      <c r="A108" s="0" t="s">
        <v>726</v>
      </c>
      <c r="B108" s="0" t="s">
        <v>86</v>
      </c>
      <c r="C108" s="38" t="n">
        <f aca="false">Seg!$C$60*m_ad</f>
        <v>7.57284355857716</v>
      </c>
      <c r="D108" s="38" t="n">
        <f aca="false">Seg!$D$60*m_ad</f>
        <v>9.44543827004127</v>
      </c>
      <c r="E108" s="38" t="n">
        <f aca="false">Seg!$E$60*m_ad</f>
        <v>5.02428875377928</v>
      </c>
      <c r="F108" s="38" t="n">
        <f aca="false">Seg!$F$60*m_ad</f>
        <v>6.50663858068173</v>
      </c>
      <c r="G108" s="38" t="n">
        <f aca="false">Seg!$G$60*m_ad</f>
        <v>11.5225190751659</v>
      </c>
      <c r="H108" s="38" t="n">
        <f aca="false">Seg!$H$60*m_ad</f>
        <v>13.8333728663174</v>
      </c>
      <c r="I108" s="38" t="n">
        <f aca="false">Seg!$I$60*m_ad</f>
        <v>16.1440173245485</v>
      </c>
      <c r="J108" s="38" t="n">
        <f aca="false">Seg!$J$60*m_ad</f>
        <v>18.2995185845066</v>
      </c>
      <c r="K108" s="38" t="n">
        <f aca="false">Seg!$K$60*m_ad</f>
        <v>20.1294704429572</v>
      </c>
      <c r="L108" s="38" t="n">
        <f aca="false">Seg!$L$60*m_ad</f>
        <v>22.142417487253</v>
      </c>
      <c r="M108" s="38" t="n">
        <f aca="false">Seg!$M$60*m_ad</f>
        <v>24.3566592359783</v>
      </c>
      <c r="N108" s="38" t="n">
        <f aca="false">Seg!$N$60*m_ad</f>
        <v>3.95314442937518</v>
      </c>
      <c r="O108" s="38" t="n">
        <f aca="false">Seg!$O$60*m_ad</f>
        <v>5.50052681786011</v>
      </c>
    </row>
    <row r="109" customFormat="false" ht="17.15" hidden="false" customHeight="false" outlineLevel="0" collapsed="false">
      <c r="A109" s="0" t="s">
        <v>727</v>
      </c>
      <c r="B109" s="0" t="s">
        <v>86</v>
      </c>
      <c r="C109" s="38" t="n">
        <f aca="false">Seg!$C$58-Seg!$C$60</f>
        <v>127.760312882846</v>
      </c>
      <c r="D109" s="38" t="n">
        <f aca="false">Seg!$D$58-Seg!$D$60</f>
        <v>143.003123459917</v>
      </c>
      <c r="E109" s="38" t="n">
        <f aca="false">Seg!$E$58-Seg!$E$60</f>
        <v>71.9374224924414</v>
      </c>
      <c r="F109" s="38" t="n">
        <f aca="false">Seg!$F$58-Seg!$F$60</f>
        <v>85.3951910035875</v>
      </c>
      <c r="G109" s="38" t="n">
        <f aca="false">Seg!$G$58-Seg!$G$60</f>
        <v>157.349430014619</v>
      </c>
      <c r="H109" s="38" t="n">
        <f aca="false">Seg!$H$58-Seg!$H$60</f>
        <v>172.043153372315</v>
      </c>
      <c r="I109" s="38" t="n">
        <f aca="false">Seg!$I$58-Seg!$I$60</f>
        <v>186.097493615879</v>
      </c>
      <c r="J109" s="38" t="n">
        <f aca="false">Seg!$J$58-Seg!$J$60</f>
        <v>199.117932780497</v>
      </c>
      <c r="K109" s="38" t="n">
        <f aca="false">Seg!$K$58-Seg!$K$60</f>
        <v>210.70928698363</v>
      </c>
      <c r="L109" s="38" t="n">
        <f aca="false">Seg!$L$58-Seg!$L$60</f>
        <v>223.000532251316</v>
      </c>
      <c r="M109" s="38" t="n">
        <f aca="false">Seg!$M$58-Seg!$M$60</f>
        <v>236.035261011339</v>
      </c>
      <c r="N109" s="38" t="n">
        <f aca="false">Seg!$N$58-Seg!$N$60</f>
        <v>62.3677111412496</v>
      </c>
      <c r="O109" s="38" t="n">
        <f aca="false">Seg!$O$58-Seg!$O$60</f>
        <v>80.6189463642798</v>
      </c>
    </row>
    <row r="110" customFormat="false" ht="17.15" hidden="false" customHeight="false" outlineLevel="0" collapsed="false">
      <c r="A110" s="0" t="s">
        <v>728</v>
      </c>
      <c r="B110" s="0" t="s">
        <v>86</v>
      </c>
      <c r="C110" s="38" t="n">
        <f aca="false">Thesis!$C$111*(1-Seg!$C$56)</f>
        <v>0.0455891896019953</v>
      </c>
      <c r="D110" s="38" t="n">
        <f aca="false">Thesis!$D$111*(1-Seg!$D$56)</f>
        <v>0.227931791705753</v>
      </c>
      <c r="E110" s="38" t="n">
        <f aca="false">Thesis!$E$111*(1-Seg!$E$56)</f>
        <v>0.361164268820781</v>
      </c>
      <c r="F110" s="38" t="n">
        <f aca="false">Thesis!$F$111*(1-Seg!$F$56)</f>
        <v>0.471208018190203</v>
      </c>
      <c r="G110" s="38" t="n">
        <f aca="false">Thesis!$G$111*(1-Seg!$G$56)</f>
        <v>0.83170626714885</v>
      </c>
      <c r="H110" s="38" t="n">
        <f aca="false">Thesis!$H$111*(1-Seg!$H$56)</f>
        <v>2.35271136874315</v>
      </c>
      <c r="I110" s="38" t="n">
        <f aca="false">Thesis!$I$111*(1-Seg!$I$56)</f>
        <v>4.46305900024741</v>
      </c>
      <c r="J110" s="38" t="n">
        <f aca="false">Thesis!$J$111*(1-Seg!$J$56)</f>
        <v>6.63055328092195</v>
      </c>
      <c r="K110" s="38" t="n">
        <f aca="false">Thesis!$K$111*(1-Seg!$K$56)</f>
        <v>8.75186037365703</v>
      </c>
      <c r="L110" s="38" t="n">
        <f aca="false">Thesis!$L$111*(1-Seg!$L$56)</f>
        <v>10.2212794071718</v>
      </c>
      <c r="M110" s="38" t="n">
        <f aca="false">Thesis!$M$111*(1-Seg!$M$56)</f>
        <v>11.1280810756472</v>
      </c>
      <c r="N110" s="38" t="n">
        <f aca="false">Thesis!$N$111*(1-Seg!$N$56)</f>
        <v>0.0912435878202994</v>
      </c>
      <c r="O110" s="38" t="n">
        <f aca="false">Thesis!$O$111*(1-Seg!$O$56)</f>
        <v>0.137119578309265</v>
      </c>
    </row>
    <row r="111" customFormat="false" ht="17.15" hidden="false" customHeight="false" outlineLevel="0" collapsed="false">
      <c r="A111" s="0" t="s">
        <v>729</v>
      </c>
      <c r="B111" s="0" t="s">
        <v>52</v>
      </c>
      <c r="C111" s="28" t="n">
        <f aca="false">(PL!$C$112-PL!$C$108+PL!$C$110)/PL!$C$109</f>
        <v>-0.0292364215826579</v>
      </c>
      <c r="D111" s="28" t="n">
        <f aca="false">(PL!$D$112-PL!$D$108+PL!$D$110)/PL!$D$109</f>
        <v>-0.0312406216748665</v>
      </c>
      <c r="E111" s="28" t="n">
        <f aca="false">(PL!$E$112-PL!$E$108+PL!$E$110)/PL!$E$109</f>
        <v>-0.0211590078184749</v>
      </c>
      <c r="F111" s="28" t="n">
        <f aca="false">PL!$O$111+(PL!$E$111-PL!$N$111)</f>
        <v>-0.0382539955245511</v>
      </c>
      <c r="G111" s="28" t="n">
        <f aca="false">(PL!$G$112-PL!$G$108+PL!$G$110)/PL!$G$109</f>
        <v>-0.030385172031133</v>
      </c>
      <c r="H111" s="28" t="n">
        <f aca="false">PL!$G$111+step_in</f>
        <v>-0.030385172031133</v>
      </c>
      <c r="I111" s="28" t="n">
        <f aca="false">PL!$H$111+step_in</f>
        <v>-0.030385172031133</v>
      </c>
      <c r="J111" s="28" t="n">
        <f aca="false">PL!$I$111+step_in</f>
        <v>-0.030385172031133</v>
      </c>
      <c r="K111" s="28" t="n">
        <f aca="false">PL!$J$111+step_in</f>
        <v>-0.030385172031133</v>
      </c>
      <c r="L111" s="28" t="n">
        <f aca="false">PL!$K$111</f>
        <v>-0.030385172031133</v>
      </c>
      <c r="M111" s="28" t="n">
        <f aca="false">PL!$L$111</f>
        <v>-0.030385172031133</v>
      </c>
      <c r="N111" s="28" t="n">
        <f aca="false">(PL!$N$112-PL!$N$108+PL!$N$110)/PL!$N$109</f>
        <v>-0.0216602600421776</v>
      </c>
      <c r="O111" s="28" t="n">
        <f aca="false">(PL!$O$112-PL!$O$108+PL!$O$110)/PL!$O$109</f>
        <v>-0.0387552477482538</v>
      </c>
      <c r="P111" s="8" t="s">
        <v>724</v>
      </c>
    </row>
    <row r="112" customFormat="false" ht="17.15" hidden="false" customHeight="false" outlineLevel="0" collapsed="false">
      <c r="A112" s="1" t="s">
        <v>730</v>
      </c>
      <c r="B112" s="8" t="s">
        <v>86</v>
      </c>
      <c r="C112" s="38" t="n">
        <f aca="false">Q!$D$23</f>
        <v>3.792</v>
      </c>
      <c r="D112" s="38" t="n">
        <f aca="false">Q!$E$23</f>
        <v>4.75</v>
      </c>
      <c r="E112" s="38" t="n">
        <f aca="false">Q!$P$23</f>
        <v>3.141</v>
      </c>
      <c r="F112" s="38" t="n">
        <f aca="false">PL!$F$108+PL!$F$109*PL!$F$111-PL!$F$110</f>
        <v>2.7687233080221</v>
      </c>
      <c r="G112" s="38" t="n">
        <f aca="false">PL!$E$112+PL!$F$112</f>
        <v>5.9097233080221</v>
      </c>
      <c r="H112" s="38" t="n">
        <f aca="false">PL!$H$108+PL!$H$109*PL!$H$111-PL!$H$110</f>
        <v>6.25310068557783</v>
      </c>
      <c r="I112" s="38" t="n">
        <f aca="false">PL!$I$108+PL!$I$109*PL!$I$111-PL!$I$110</f>
        <v>6.02635396621997</v>
      </c>
      <c r="J112" s="38" t="n">
        <f aca="false">PL!$J$108+PL!$J$109*PL!$J$111-PL!$J$110</f>
        <v>5.61873266156566</v>
      </c>
      <c r="K112" s="38" t="n">
        <f aca="false">PL!$K$108+PL!$K$109*PL!$K$111-PL!$K$110</f>
        <v>4.97517213574524</v>
      </c>
      <c r="L112" s="38" t="n">
        <f aca="false">PL!$L$108+PL!$L$109*PL!$L$111-PL!$L$110</f>
        <v>5.14522854459066</v>
      </c>
      <c r="M112" s="38" t="n">
        <f aca="false">PL!$M$108+PL!$M$109*PL!$M$111-PL!$M$110</f>
        <v>6.05660614908815</v>
      </c>
      <c r="N112" s="38" t="n">
        <f aca="false">Q!$N$23</f>
        <v>2.511</v>
      </c>
      <c r="O112" s="38" t="n">
        <f aca="false">Q!$O$23</f>
        <v>2.239</v>
      </c>
    </row>
    <row r="113" customFormat="false" ht="17.15" hidden="false" customHeight="false" outlineLevel="0" collapsed="false">
      <c r="A113" s="0" t="s">
        <v>731</v>
      </c>
      <c r="B113" s="0" t="s">
        <v>86</v>
      </c>
      <c r="C113" s="38" t="n">
        <f aca="false">Thesis!$C$108</f>
        <v>1.64417882953695</v>
      </c>
      <c r="D113" s="38" t="n">
        <f aca="false">Thesis!$D$108</f>
        <v>5.39125073772939</v>
      </c>
      <c r="E113" s="38" t="n">
        <f aca="false">Thesis!$E$108</f>
        <v>3.18348617147493</v>
      </c>
      <c r="F113" s="38" t="n">
        <f aca="false">Thesis!$F$108</f>
        <v>8.27806059642226</v>
      </c>
      <c r="G113" s="38" t="n">
        <f aca="false">Thesis!$G$108</f>
        <v>11.4615467678972</v>
      </c>
      <c r="H113" s="38" t="n">
        <f aca="false">Thesis!$H$108</f>
        <v>26.1859456885487</v>
      </c>
      <c r="I113" s="38" t="n">
        <f aca="false">Thesis!$I$108</f>
        <v>37.04424114757</v>
      </c>
      <c r="J113" s="38" t="n">
        <f aca="false">Thesis!$J$108</f>
        <v>47.2610736233534</v>
      </c>
      <c r="K113" s="38" t="n">
        <f aca="false">Thesis!$K$108</f>
        <v>52.0459876645985</v>
      </c>
      <c r="L113" s="38" t="n">
        <f aca="false">Thesis!$L$108</f>
        <v>54.1033156405981</v>
      </c>
      <c r="M113" s="38" t="n">
        <f aca="false">Thesis!$M$108</f>
        <v>52.1138209393421</v>
      </c>
      <c r="N113" s="38" t="n">
        <f aca="false">Thesis!$N$108</f>
        <v>1.67921600037079</v>
      </c>
      <c r="O113" s="38" t="n">
        <f aca="false">Thesis!$O$108</f>
        <v>3.71203473735861</v>
      </c>
    </row>
    <row r="114" customFormat="false" ht="17.15" hidden="false" customHeight="false" outlineLevel="0" collapsed="false">
      <c r="A114" s="0" t="s">
        <v>649</v>
      </c>
      <c r="B114" s="0" t="s">
        <v>86</v>
      </c>
      <c r="C114" s="38" t="n">
        <f aca="false">Thesis!$C$113</f>
        <v>38.1898211704631</v>
      </c>
      <c r="D114" s="38" t="n">
        <f aca="false">Thesis!$D$113</f>
        <v>40.2147492622706</v>
      </c>
      <c r="E114" s="38" t="n">
        <f aca="false">Thesis!$E$113</f>
        <v>27.5985138285251</v>
      </c>
      <c r="F114" s="38" t="n">
        <f aca="false">Thesis!$F$113</f>
        <v>25.5484769754606</v>
      </c>
      <c r="G114" s="38" t="n">
        <f aca="false">Thesis!$G$113</f>
        <v>53.1469908039857</v>
      </c>
      <c r="H114" s="38" t="n">
        <f aca="false">Thesis!$H$113</f>
        <v>57.3189525076539</v>
      </c>
      <c r="I114" s="38" t="n">
        <f aca="false">Thesis!$I$113</f>
        <v>63.6385627021087</v>
      </c>
      <c r="J114" s="38" t="n">
        <f aca="false">Thesis!$J$113</f>
        <v>69.6922896066105</v>
      </c>
      <c r="K114" s="38" t="n">
        <f aca="false">Thesis!$K$113</f>
        <v>75.2676727751394</v>
      </c>
      <c r="L114" s="38" t="n">
        <f aca="false">Thesis!$L$113</f>
        <v>81.2890865971505</v>
      </c>
      <c r="M114" s="38" t="n">
        <f aca="false">Thesis!$M$113</f>
        <v>87.7922135249226</v>
      </c>
      <c r="N114" s="38" t="n">
        <f aca="false">Thesis!$N$113</f>
        <v>20.0277839996292</v>
      </c>
      <c r="O114" s="38" t="n">
        <f aca="false">Thesis!$O$113</f>
        <v>20.1869652626414</v>
      </c>
    </row>
    <row r="115" customFormat="false" ht="17.15" hidden="false" customHeight="false" outlineLevel="0" collapsed="false">
      <c r="A115" s="1" t="s">
        <v>732</v>
      </c>
      <c r="B115" s="8" t="s">
        <v>86</v>
      </c>
      <c r="C115" s="38" t="n">
        <f aca="false">Q!$D$24</f>
        <v>39.834</v>
      </c>
      <c r="D115" s="38" t="n">
        <f aca="false">Q!$E$24</f>
        <v>45.606</v>
      </c>
      <c r="E115" s="38" t="n">
        <f aca="false">Q!$P$24</f>
        <v>30.782</v>
      </c>
      <c r="F115" s="38" t="n">
        <f aca="false">PL!$F$113+PL!$F$114</f>
        <v>33.8265375718829</v>
      </c>
      <c r="G115" s="38" t="n">
        <f aca="false">PL!$G$113+PL!$G$114</f>
        <v>64.6085375718829</v>
      </c>
      <c r="H115" s="38" t="n">
        <f aca="false">PL!$H$113+PL!$H$114</f>
        <v>83.5048981962026</v>
      </c>
      <c r="I115" s="38" t="n">
        <f aca="false">PL!$I$113+PL!$I$114</f>
        <v>100.682803849679</v>
      </c>
      <c r="J115" s="38" t="n">
        <f aca="false">PL!$J$113+PL!$J$114</f>
        <v>116.953363229964</v>
      </c>
      <c r="K115" s="38" t="n">
        <f aca="false">PL!$K$113+PL!$K$114</f>
        <v>127.313660439738</v>
      </c>
      <c r="L115" s="38" t="n">
        <f aca="false">PL!$L$113+PL!$L$114</f>
        <v>135.392402237749</v>
      </c>
      <c r="M115" s="38" t="n">
        <f aca="false">PL!$M$113+PL!$M$114</f>
        <v>139.906034464265</v>
      </c>
      <c r="N115" s="38" t="n">
        <f aca="false">Q!$N$24</f>
        <v>21.707</v>
      </c>
      <c r="O115" s="38" t="n">
        <f aca="false">Q!$O$24</f>
        <v>23.899</v>
      </c>
    </row>
    <row r="116" customFormat="false" ht="17.15" hidden="false" customHeight="false" outlineLevel="0" collapsed="false">
      <c r="A116" s="5" t="s">
        <v>733</v>
      </c>
      <c r="B116" s="0" t="s">
        <v>86</v>
      </c>
      <c r="C116" s="38" t="n">
        <f aca="false">Q!$D$26</f>
        <v>0</v>
      </c>
      <c r="D116" s="38" t="n">
        <f aca="false">Q!$E$26</f>
        <v>0</v>
      </c>
      <c r="E116" s="38" t="n">
        <f aca="false">Q!$P$26</f>
        <v>0</v>
      </c>
      <c r="F116" s="39" t="n">
        <v>0</v>
      </c>
      <c r="G116" s="38" t="n">
        <f aca="false">PL!$E$116+PL!$F$116</f>
        <v>0</v>
      </c>
      <c r="H116" s="39" t="n">
        <v>0</v>
      </c>
      <c r="I116" s="39" t="n">
        <v>0</v>
      </c>
      <c r="J116" s="39" t="n">
        <v>0</v>
      </c>
      <c r="K116" s="39" t="n">
        <v>0</v>
      </c>
      <c r="L116" s="39" t="n">
        <v>0</v>
      </c>
      <c r="M116" s="39" t="n">
        <v>0</v>
      </c>
      <c r="N116" s="38" t="n">
        <f aca="false">Q!$N$26</f>
        <v>0</v>
      </c>
      <c r="O116" s="38" t="n">
        <f aca="false">Q!$O$26</f>
        <v>0</v>
      </c>
    </row>
    <row r="117" customFormat="false" ht="15" hidden="false" customHeight="false" outlineLevel="0" collapsed="false">
      <c r="A117" s="3" t="s">
        <v>534</v>
      </c>
      <c r="B117" s="8" t="s">
        <v>86</v>
      </c>
      <c r="C117" s="38" t="n">
        <f aca="false">Q!$D$25</f>
        <v>68.593</v>
      </c>
      <c r="D117" s="38" t="n">
        <f aca="false">Q!$E$25</f>
        <v>79.975</v>
      </c>
      <c r="E117" s="38" t="n">
        <f aca="false">Q!$P$25</f>
        <v>51.313</v>
      </c>
      <c r="F117" s="38" t="n">
        <f aca="false">PL!$F$107+PL!$F$112+PL!$F$115+PL!$F$116</f>
        <v>56.6904916268541</v>
      </c>
      <c r="G117" s="38" t="n">
        <f aca="false">PL!$G$107+PL!$G$112+PL!$G$115+PL!$G$116</f>
        <v>108.003491626854</v>
      </c>
      <c r="H117" s="38" t="n">
        <f aca="false">PL!$H$107+PL!$H$112+PL!$H$115+PL!$H$116</f>
        <v>131.546867769501</v>
      </c>
      <c r="I117" s="38" t="n">
        <f aca="false">PL!$I$107+PL!$I$112+PL!$I$115+PL!$I$116</f>
        <v>151.443755203325</v>
      </c>
      <c r="J117" s="38" t="n">
        <f aca="false">PL!$J$107+PL!$J$112+PL!$J$115+PL!$J$116</f>
        <v>169.831139392687</v>
      </c>
      <c r="K117" s="38" t="n">
        <f aca="false">PL!$K$107+PL!$K$112+PL!$K$115+PL!$K$116</f>
        <v>181.415212493822</v>
      </c>
      <c r="L117" s="38" t="n">
        <f aca="false">PL!$L$107+PL!$L$112+PL!$L$115+PL!$L$116</f>
        <v>192.215984468159</v>
      </c>
      <c r="M117" s="38" t="n">
        <f aca="false">PL!$M$107+PL!$M$112+PL!$M$115+PL!$M$116</f>
        <v>202.255862244218</v>
      </c>
      <c r="N117" s="38" t="n">
        <f aca="false">Q!$N$25</f>
        <v>37.576</v>
      </c>
      <c r="O117" s="38" t="n">
        <f aca="false">Q!$O$25</f>
        <v>42.399</v>
      </c>
    </row>
    <row r="118" customFormat="false" ht="17.15" hidden="false" customHeight="false" outlineLevel="0" collapsed="false">
      <c r="A118" s="24" t="s">
        <v>764</v>
      </c>
      <c r="B118" s="25" t="s">
        <v>86</v>
      </c>
      <c r="C118" s="41" t="n">
        <f aca="false">PL!$C$107+PL!$C$112+PL!$C$115+PL!$C$116-PL!$C$117</f>
        <v>0</v>
      </c>
      <c r="D118" s="41" t="n">
        <f aca="false">PL!$D$107+PL!$D$112+PL!$D$115+PL!$D$116-PL!$D$117</f>
        <v>0</v>
      </c>
      <c r="E118" s="41" t="n">
        <f aca="false">PL!$E$107+PL!$E$112+PL!$E$115+PL!$E$116-PL!$E$117</f>
        <v>0</v>
      </c>
      <c r="F118" s="41" t="n">
        <f aca="false">PL!$F$107+PL!$F$112+PL!$F$115+PL!$F$116-PL!$F$117</f>
        <v>0</v>
      </c>
      <c r="G118" s="41" t="n">
        <f aca="false">PL!$G$107+PL!$G$112+PL!$G$115+PL!$G$116-PL!$G$117</f>
        <v>0</v>
      </c>
      <c r="H118" s="41" t="n">
        <f aca="false">PL!$H$107+PL!$H$112+PL!$H$115+PL!$H$116-PL!$H$117</f>
        <v>0</v>
      </c>
      <c r="I118" s="41" t="n">
        <f aca="false">PL!$I$107+PL!$I$112+PL!$I$115+PL!$I$116-PL!$I$117</f>
        <v>0</v>
      </c>
      <c r="J118" s="41" t="n">
        <f aca="false">PL!$J$107+PL!$J$112+PL!$J$115+PL!$J$116-PL!$J$117</f>
        <v>0</v>
      </c>
      <c r="K118" s="41" t="n">
        <f aca="false">PL!$K$107+PL!$K$112+PL!$K$115+PL!$K$116-PL!$K$117</f>
        <v>0</v>
      </c>
      <c r="L118" s="41" t="n">
        <f aca="false">PL!$L$107+PL!$L$112+PL!$L$115+PL!$L$116-PL!$L$117</f>
        <v>0</v>
      </c>
      <c r="M118" s="41" t="n">
        <f aca="false">PL!$M$107+PL!$M$112+PL!$M$115+PL!$M$116-PL!$M$117</f>
        <v>0</v>
      </c>
      <c r="N118" s="41" t="n">
        <f aca="false">PL!$N$107+PL!$N$112+PL!$N$115+PL!$N$116-PL!$N$117</f>
        <v>0</v>
      </c>
      <c r="O118" s="41" t="n">
        <f aca="false">PL!$O$107+PL!$O$112+PL!$O$115+PL!$O$116-PL!$O$117</f>
        <v>0</v>
      </c>
    </row>
    <row r="119" customFormat="false" ht="17.15" hidden="false" customHeight="false" outlineLevel="0" collapsed="false">
      <c r="A119" s="5" t="s">
        <v>735</v>
      </c>
      <c r="B119" s="0" t="s">
        <v>86</v>
      </c>
      <c r="C119" s="38" t="n">
        <f aca="false">Thesis!$C$110</f>
        <v>0</v>
      </c>
      <c r="D119" s="38" t="n">
        <f aca="false">Thesis!$D$110</f>
        <v>0</v>
      </c>
      <c r="E119" s="38" t="n">
        <f aca="false">Thesis!$E$110</f>
        <v>0</v>
      </c>
      <c r="F119" s="38" t="n">
        <f aca="false">Thesis!$F$110</f>
        <v>3.77122048175818</v>
      </c>
      <c r="G119" s="38" t="n">
        <f aca="false">Thesis!$G$110</f>
        <v>3.77122048175818</v>
      </c>
      <c r="H119" s="38" t="n">
        <f aca="false">Thesis!$H$110</f>
        <v>15.1635543609893</v>
      </c>
      <c r="I119" s="38" t="n">
        <f aca="false">Thesis!$I$110</f>
        <v>25.5818843619889</v>
      </c>
      <c r="J119" s="38" t="n">
        <f aca="false">Thesis!$J$110</f>
        <v>36.0465624179122</v>
      </c>
      <c r="K119" s="38" t="n">
        <f aca="false">Thesis!$K$110</f>
        <v>44.9741164026038</v>
      </c>
      <c r="L119" s="38" t="n">
        <f aca="false">Thesis!$L$110</f>
        <v>50.8413488057813</v>
      </c>
      <c r="M119" s="38" t="n">
        <f aca="false">Thesis!$M$110</f>
        <v>53.6407214274315</v>
      </c>
      <c r="N119" s="38" t="n">
        <f aca="false">Thesis!$N$110</f>
        <v>0</v>
      </c>
      <c r="O119" s="38" t="n">
        <f aca="false">Thesis!$O$110</f>
        <v>0</v>
      </c>
      <c r="P119" s="5" t="s">
        <v>736</v>
      </c>
    </row>
    <row r="120" customFormat="false" ht="17.15" hidden="false" customHeight="false" outlineLevel="0" collapsed="false">
      <c r="A120" s="5" t="s">
        <v>737</v>
      </c>
      <c r="B120" s="0" t="s">
        <v>86</v>
      </c>
      <c r="C120" s="38" t="n">
        <f aca="false">PL!$C$117+PL!$C$119</f>
        <v>68.593</v>
      </c>
      <c r="D120" s="38" t="n">
        <f aca="false">PL!$D$117+PL!$D$119</f>
        <v>79.975</v>
      </c>
      <c r="E120" s="38" t="n">
        <f aca="false">PL!$E$117+PL!$E$119</f>
        <v>51.313</v>
      </c>
      <c r="F120" s="38" t="n">
        <f aca="false">PL!$F$117+PL!$F$119</f>
        <v>60.4617121086123</v>
      </c>
      <c r="G120" s="38" t="n">
        <f aca="false">PL!$G$117+PL!$G$119</f>
        <v>111.774712108612</v>
      </c>
      <c r="H120" s="38" t="n">
        <f aca="false">PL!$H$117+PL!$H$119</f>
        <v>146.71042213049</v>
      </c>
      <c r="I120" s="38" t="n">
        <f aca="false">PL!$I$117+PL!$I$119</f>
        <v>177.025639565314</v>
      </c>
      <c r="J120" s="38" t="n">
        <f aca="false">PL!$J$117+PL!$J$119</f>
        <v>205.877701810599</v>
      </c>
      <c r="K120" s="38" t="n">
        <f aca="false">PL!$K$117+PL!$K$119</f>
        <v>226.389328896426</v>
      </c>
      <c r="L120" s="38" t="n">
        <f aca="false">PL!$L$117+PL!$L$119</f>
        <v>243.057333273941</v>
      </c>
      <c r="M120" s="38" t="n">
        <f aca="false">PL!$M$117+PL!$M$119</f>
        <v>255.896583671649</v>
      </c>
      <c r="N120" s="38" t="n">
        <f aca="false">PL!$N$117+PL!$N$119</f>
        <v>37.576</v>
      </c>
      <c r="O120" s="38" t="n">
        <f aca="false">PL!$O$117+PL!$O$119</f>
        <v>42.399</v>
      </c>
    </row>
    <row r="121" customFormat="false" ht="17.15" hidden="false" customHeight="false" outlineLevel="0" collapsed="false">
      <c r="A121" s="0" t="s">
        <v>738</v>
      </c>
      <c r="B121" s="0" t="s">
        <v>52</v>
      </c>
      <c r="C121" s="13" t="n">
        <f aca="false">PL!$C$107/PL!$C$92</f>
        <v>0.0644314665661928</v>
      </c>
      <c r="D121" s="13" t="n">
        <f aca="false">PL!$D$107/PL!$D$92</f>
        <v>0.0694784250712518</v>
      </c>
      <c r="E121" s="13" t="n">
        <f aca="false">PL!$E$107/PL!$E$92</f>
        <v>0.0789306463326071</v>
      </c>
      <c r="F121" s="13" t="n">
        <f aca="false">PL!$F$107/PL!$F$92</f>
        <v>0.0801757457241943</v>
      </c>
      <c r="G121" s="13" t="n">
        <f aca="false">PL!$G$107/PL!$G$92</f>
        <v>0.0795932749625682</v>
      </c>
      <c r="H121" s="13" t="n">
        <f aca="false">PL!$H$107/PL!$H$92</f>
        <v>0.0801494276915951</v>
      </c>
      <c r="I121" s="13" t="n">
        <f aca="false">PL!$I$107/PL!$I$92</f>
        <v>0.0784619467108939</v>
      </c>
      <c r="J121" s="13" t="n">
        <f aca="false">PL!$J$107/PL!$J$92</f>
        <v>0.0767950945569155</v>
      </c>
      <c r="K121" s="13" t="n">
        <f aca="false">PL!$K$107/PL!$K$92</f>
        <v>0.0749782708028101</v>
      </c>
      <c r="L121" s="13" t="n">
        <f aca="false">PL!$L$107/PL!$L$92</f>
        <v>0.0740581549602486</v>
      </c>
      <c r="M121" s="13" t="n">
        <f aca="false">PL!$M$107/PL!$M$92</f>
        <v>0.075724068445432</v>
      </c>
      <c r="N121" s="13" t="n">
        <f aca="false">PL!$N$107/PL!$N$92</f>
        <v>0.069228576611127</v>
      </c>
      <c r="O121" s="13" t="n">
        <f aca="false">PL!$O$107/PL!$O$92</f>
        <v>0.069685022498393</v>
      </c>
    </row>
    <row r="122" customFormat="false" ht="17.15" hidden="false" customHeight="false" outlineLevel="0" collapsed="false">
      <c r="A122" s="0" t="s">
        <v>739</v>
      </c>
      <c r="B122" s="0" t="s">
        <v>52</v>
      </c>
      <c r="C122" s="13" t="n">
        <f aca="false">PL!$C$112/PL!$C$93</f>
        <v>0.026534925055631</v>
      </c>
      <c r="D122" s="13" t="n">
        <f aca="false">PL!$D$112/PL!$D$93</f>
        <v>0.0293401855535103</v>
      </c>
      <c r="E122" s="13" t="n">
        <f aca="false">PL!$E$112/PL!$E$93</f>
        <v>0.03831141902276</v>
      </c>
      <c r="F122" s="13" t="n">
        <f aca="false">PL!$F$112/PL!$F$93</f>
        <v>0.0281350107328284</v>
      </c>
      <c r="G122" s="13" t="n">
        <f aca="false">PL!$G$112/PL!$G$93</f>
        <v>0.0327600029432073</v>
      </c>
      <c r="H122" s="13" t="n">
        <f aca="false">PL!$H$112/PL!$H$93</f>
        <v>0.031310920057557</v>
      </c>
      <c r="I122" s="13" t="n">
        <f aca="false">PL!$I$112/PL!$I$93</f>
        <v>0.0275950243319601</v>
      </c>
      <c r="J122" s="13" t="n">
        <f aca="false">PL!$J$112/PL!$J$93</f>
        <v>0.0238367762099147</v>
      </c>
      <c r="K122" s="13" t="n">
        <f aca="false">PL!$K$112/PL!$K$93</f>
        <v>0.0198239122855479</v>
      </c>
      <c r="L122" s="13" t="n">
        <f aca="false">PL!$L$112/PL!$L$93</f>
        <v>0.0192499447238486</v>
      </c>
      <c r="M122" s="13" t="n">
        <f aca="false">PL!$M$112/PL!$M$93</f>
        <v>0.0212700135680342</v>
      </c>
      <c r="N122" s="13" t="n">
        <f aca="false">PL!$N$112/PL!$N$93</f>
        <v>0.0357315650169337</v>
      </c>
      <c r="O122" s="13" t="n">
        <f aca="false">PL!$O$112/PL!$O$93</f>
        <v>0.0244378956559703</v>
      </c>
    </row>
    <row r="123" customFormat="false" ht="17.15" hidden="false" customHeight="false" outlineLevel="0" collapsed="false">
      <c r="A123" s="14" t="s">
        <v>740</v>
      </c>
      <c r="B123" s="14" t="s">
        <v>52</v>
      </c>
      <c r="C123" s="17" t="n">
        <f aca="false">PL!$C$115/PL!$C$94</f>
        <v>0.370355907620217</v>
      </c>
      <c r="D123" s="17" t="n">
        <f aca="false">PL!$D$115/PL!$D$94</f>
        <v>0.35429015342785</v>
      </c>
      <c r="E123" s="17" t="n">
        <f aca="false">PL!$E$115/PL!$E$94</f>
        <v>0.385647527531039</v>
      </c>
      <c r="F123" s="17" t="n">
        <f aca="false">PL!$F$115/PL!$F$94</f>
        <v>0.390008895496028</v>
      </c>
      <c r="G123" s="17" t="n">
        <f aca="false">PL!$G$115/PL!$G$94</f>
        <v>0.387918733944362</v>
      </c>
      <c r="H123" s="17" t="n">
        <f aca="false">PL!$H$115/PL!$H$94</f>
        <v>0.377537651365497</v>
      </c>
      <c r="I123" s="17" t="n">
        <f aca="false">PL!$I$115/PL!$I$94</f>
        <v>0.359230604038662</v>
      </c>
      <c r="J123" s="17" t="n">
        <f aca="false">PL!$J$115/PL!$J$94</f>
        <v>0.345197865849801</v>
      </c>
      <c r="K123" s="17" t="n">
        <f aca="false">PL!$K$115/PL!$K$94</f>
        <v>0.32654098357242</v>
      </c>
      <c r="L123" s="17" t="n">
        <f aca="false">PL!$L$115/PL!$L$94</f>
        <v>0.314806978274702</v>
      </c>
      <c r="M123" s="17" t="n">
        <f aca="false">PL!$M$115/PL!$M$94</f>
        <v>0.304503505485029</v>
      </c>
      <c r="N123" s="17" t="n">
        <f aca="false">PL!$N$115/PL!$N$94</f>
        <v>0.360941137346192</v>
      </c>
      <c r="O123" s="17" t="n">
        <f aca="false">PL!$O$115/PL!$O$94</f>
        <v>0.348458117664212</v>
      </c>
    </row>
    <row r="124" customFormat="false" ht="17.15" hidden="false" customHeight="false" outlineLevel="0" collapsed="false">
      <c r="A124" s="0" t="s">
        <v>741</v>
      </c>
      <c r="B124" s="0" t="s">
        <v>52</v>
      </c>
      <c r="C124" s="13" t="n">
        <f aca="false">PL!$C$113/PL!$C$95</f>
        <v>0.708390794789371</v>
      </c>
      <c r="D124" s="13" t="n">
        <f aca="false">PL!$D$113/PL!$D$95</f>
        <v>0.619415573115729</v>
      </c>
      <c r="E124" s="13" t="n">
        <f aca="false">PL!$E$113/PL!$E$95</f>
        <v>0.374072166056273</v>
      </c>
      <c r="F124" s="13" t="n">
        <f aca="false">PL!$F$113/PL!$F$95</f>
        <v>0.553219320710057</v>
      </c>
      <c r="G124" s="13" t="n">
        <f aca="false">PL!$G$113/PL!$G$95</f>
        <v>0.488270041527512</v>
      </c>
      <c r="H124" s="13" t="n">
        <f aca="false">PL!$H$113/PL!$H$95</f>
        <v>0.435229086816882</v>
      </c>
      <c r="I124" s="13" t="n">
        <f aca="false">PL!$I$113/PL!$I$95</f>
        <v>0.364954592421095</v>
      </c>
      <c r="J124" s="13" t="n">
        <f aca="false">PL!$J$113/PL!$J$95</f>
        <v>0.330438308582232</v>
      </c>
      <c r="K124" s="13" t="n">
        <f aca="false">PL!$K$113/PL!$K$95</f>
        <v>0.2916589289528</v>
      </c>
      <c r="L124" s="13" t="n">
        <f aca="false">PL!$L$113/PL!$L$95</f>
        <v>0.268199200593258</v>
      </c>
      <c r="M124" s="13" t="n">
        <f aca="false">PL!$M$113/PL!$M$95</f>
        <v>0.244854995033574</v>
      </c>
      <c r="N124" s="13" t="n">
        <f aca="false">PL!$N$113/PL!$N$95</f>
        <v>0.551227795793364</v>
      </c>
      <c r="O124" s="13" t="n">
        <f aca="false">PL!$O$113/PL!$O$95</f>
        <v>0.656132068597002</v>
      </c>
    </row>
    <row r="125" customFormat="false" ht="15" hidden="false" customHeight="false" outlineLevel="0" collapsed="false">
      <c r="A125" s="5" t="s">
        <v>742</v>
      </c>
      <c r="B125" s="0" t="s">
        <v>52</v>
      </c>
      <c r="C125" s="13" t="n">
        <f aca="false">PL!$C$117/PL!$C$97</f>
        <v>0.107519448742004</v>
      </c>
      <c r="D125" s="13" t="n">
        <f aca="false">PL!$D$117/PL!$D$97</f>
        <v>0.111552967957552</v>
      </c>
      <c r="E125" s="13" t="n">
        <f aca="false">PL!$E$117/PL!$E$97</f>
        <v>0.13428328426562</v>
      </c>
      <c r="F125" s="13" t="n">
        <f aca="false">PL!$F$117/PL!$F$97</f>
        <v>0.130089413875539</v>
      </c>
      <c r="G125" s="13" t="n">
        <f aca="false">PL!$G$117/PL!$G$97</f>
        <v>0.132048786678316</v>
      </c>
      <c r="H125" s="13" t="n">
        <f aca="false">PL!$H$117/PL!$H$97</f>
        <v>0.139604881440853</v>
      </c>
      <c r="I125" s="13" t="n">
        <f aca="false">PL!$I$117/PL!$I$97</f>
        <v>0.141694752432769</v>
      </c>
      <c r="J125" s="13" t="n">
        <f aca="false">PL!$J$117/PL!$J$97</f>
        <v>0.14272611544629</v>
      </c>
      <c r="K125" s="13" t="n">
        <f aca="false">PL!$K$117/PL!$K$97</f>
        <v>0.139974160596744</v>
      </c>
      <c r="L125" s="13" t="n">
        <f aca="false">PL!$L$117/PL!$L$97</f>
        <v>0.137772071866073</v>
      </c>
      <c r="M125" s="13" t="n">
        <f aca="false">PL!$M$117/PL!$M$97</f>
        <v>0.13596080857516</v>
      </c>
      <c r="N125" s="13" t="n">
        <f aca="false">PL!$N$117/PL!$N$97</f>
        <v>0.116201614873411</v>
      </c>
      <c r="O125" s="13" t="n">
        <f aca="false">PL!$O$117/PL!$O$97</f>
        <v>0.107733353660861</v>
      </c>
    </row>
    <row r="126" customFormat="false" ht="17.15" hidden="false" customHeight="false" outlineLevel="0" collapsed="false">
      <c r="A126" s="1" t="s">
        <v>743</v>
      </c>
    </row>
    <row r="127" customFormat="false" ht="17.15" hidden="false" customHeight="false" outlineLevel="0" collapsed="false">
      <c r="A127" s="5" t="s">
        <v>744</v>
      </c>
      <c r="B127" s="0" t="s">
        <v>52</v>
      </c>
      <c r="D127" s="28" t="n">
        <f aca="false">(Q!$E$29+Q!$E$30-(1-ext_sh)*Thesis!$D$104)/Seg!$D$55</f>
        <v>0.0341105596409988</v>
      </c>
    </row>
    <row r="128" customFormat="false" ht="17.15" hidden="false" customHeight="false" outlineLevel="0" collapsed="false">
      <c r="A128" s="0" t="s">
        <v>538</v>
      </c>
      <c r="B128" s="0" t="s">
        <v>86</v>
      </c>
      <c r="C128" s="38" t="n">
        <f aca="false">Q!$D$29</f>
        <v>14.285</v>
      </c>
      <c r="D128" s="38" t="n">
        <f aca="false">Q!$E$29</f>
        <v>15.503</v>
      </c>
      <c r="E128" s="38" t="n">
        <f aca="false">Q!$P$29</f>
        <v>8.78</v>
      </c>
      <c r="F128" s="38" t="n">
        <f aca="false">(PL!$D$127*Seg!$F$55+(1-ext_sh)*Thesis!$F$104)*Seg!$F$56</f>
        <v>9.16735846116642</v>
      </c>
      <c r="G128" s="38" t="n">
        <f aca="false">PL!$E$128+PL!$F$128</f>
        <v>17.9473584611664</v>
      </c>
      <c r="H128" s="38" t="n">
        <f aca="false">(PL!$D$127*Seg!$H$55+(1-ext_sh)*Thesis!$H$104)*Seg!$H$56</f>
        <v>21.6406723110177</v>
      </c>
      <c r="I128" s="38" t="n">
        <f aca="false">(PL!$D$127*Seg!$I$55+(1-ext_sh)*Thesis!$I$104)*Seg!$I$56</f>
        <v>27.3128215555087</v>
      </c>
      <c r="J128" s="38" t="n">
        <f aca="false">(PL!$D$127*Seg!$J$55+(1-ext_sh)*Thesis!$J$104)*Seg!$J$56</f>
        <v>33.0116861885756</v>
      </c>
      <c r="K128" s="38" t="n">
        <f aca="false">(PL!$D$127*Seg!$K$55+(1-ext_sh)*Thesis!$K$104)*Seg!$K$56</f>
        <v>38.6250238720245</v>
      </c>
      <c r="L128" s="38" t="n">
        <f aca="false">(PL!$D$127*Seg!$L$55+(1-ext_sh)*Thesis!$L$104)*Seg!$L$56</f>
        <v>43.0711535197861</v>
      </c>
      <c r="M128" s="38" t="n">
        <f aca="false">(PL!$D$127*Seg!$M$55+(1-ext_sh)*Thesis!$M$104)*Seg!$M$56</f>
        <v>46.590728630326</v>
      </c>
      <c r="N128" s="38" t="n">
        <f aca="false">Q!$N$29</f>
        <v>7.272</v>
      </c>
      <c r="O128" s="38" t="n">
        <f aca="false">Q!$O$29</f>
        <v>8.231</v>
      </c>
    </row>
    <row r="129" customFormat="false" ht="17.15" hidden="false" customHeight="false" outlineLevel="0" collapsed="false">
      <c r="A129" s="0" t="s">
        <v>540</v>
      </c>
      <c r="B129" s="0" t="s">
        <v>86</v>
      </c>
      <c r="C129" s="38" t="n">
        <f aca="false">Q!$D$30</f>
        <v>4.462</v>
      </c>
      <c r="D129" s="38" t="n">
        <f aca="false">Q!$E$30</f>
        <v>4.907</v>
      </c>
      <c r="E129" s="38" t="n">
        <f aca="false">Q!$P$30</f>
        <v>2.57</v>
      </c>
      <c r="F129" s="38" t="n">
        <f aca="false">(PL!$D$127*Seg!$F$55+(1-ext_sh)*Thesis!$F$104)*(1-Seg!$F$56)</f>
        <v>3.59937168293151</v>
      </c>
      <c r="G129" s="38" t="n">
        <f aca="false">PL!$E$129+PL!$F$129</f>
        <v>6.16937168293151</v>
      </c>
      <c r="H129" s="38" t="n">
        <f aca="false">(PL!$D$127*Seg!$H$55+(1-ext_sh)*Thesis!$H$104)*(1-Seg!$H$56)</f>
        <v>8.28915290031442</v>
      </c>
      <c r="I129" s="38" t="n">
        <f aca="false">(PL!$D$127*Seg!$I$55+(1-ext_sh)*Thesis!$I$104)*(1-Seg!$I$56)</f>
        <v>10.4617892992793</v>
      </c>
      <c r="J129" s="38" t="n">
        <f aca="false">(PL!$D$127*Seg!$J$55+(1-ext_sh)*Thesis!$J$104)*(1-Seg!$J$56)</f>
        <v>12.6446586493057</v>
      </c>
      <c r="K129" s="38" t="n">
        <f aca="false">(PL!$D$127*Seg!$K$55+(1-ext_sh)*Thesis!$K$104)*(1-Seg!$K$56)</f>
        <v>14.7947681131192</v>
      </c>
      <c r="L129" s="38" t="n">
        <f aca="false">(PL!$D$127*Seg!$L$55+(1-ext_sh)*Thesis!$L$104)*(1-Seg!$L$56)</f>
        <v>16.4977950771268</v>
      </c>
      <c r="M129" s="38" t="n">
        <f aca="false">(PL!$D$127*Seg!$M$55+(1-ext_sh)*Thesis!$M$104)*(1-Seg!$M$56)</f>
        <v>17.8459184540772</v>
      </c>
      <c r="N129" s="38" t="n">
        <f aca="false">Q!$N$30</f>
        <v>2.316</v>
      </c>
      <c r="O129" s="38" t="n">
        <f aca="false">Q!$O$30</f>
        <v>2.591</v>
      </c>
    </row>
    <row r="130" customFormat="false" ht="17.15" hidden="false" customHeight="false" outlineLevel="0" collapsed="false">
      <c r="A130" s="0" t="s">
        <v>541</v>
      </c>
      <c r="B130" s="0" t="s">
        <v>86</v>
      </c>
      <c r="C130" s="38" t="n">
        <f aca="false">Thesis!$C$116</f>
        <v>13.32</v>
      </c>
      <c r="D130" s="38" t="n">
        <f aca="false">Thesis!$D$116</f>
        <v>21.45</v>
      </c>
      <c r="E130" s="38" t="n">
        <f aca="false">Thesis!$E$116</f>
        <v>15.353</v>
      </c>
      <c r="F130" s="38" t="n">
        <f aca="false">Thesis!$F$116</f>
        <v>15.4404120185306</v>
      </c>
      <c r="G130" s="38" t="n">
        <f aca="false">Thesis!$G$116</f>
        <v>30.7934120185306</v>
      </c>
      <c r="H130" s="38" t="n">
        <f aca="false">Thesis!$H$116</f>
        <v>48.250114371455</v>
      </c>
      <c r="I130" s="38" t="n">
        <f aca="false">Thesis!$I$116</f>
        <v>73.3965146995963</v>
      </c>
      <c r="J130" s="38" t="n">
        <f aca="false">Thesis!$J$116</f>
        <v>99.22806138309</v>
      </c>
      <c r="K130" s="38" t="n">
        <f aca="false">Thesis!$K$116</f>
        <v>125.386627452856</v>
      </c>
      <c r="L130" s="38" t="n">
        <f aca="false">Thesis!$L$116</f>
        <v>144.77239043275</v>
      </c>
      <c r="M130" s="38" t="n">
        <f aca="false">Thesis!$M$116</f>
        <v>158.693930910983</v>
      </c>
      <c r="N130" s="38" t="n">
        <f aca="false">Thesis!$N$116</f>
        <v>9.234</v>
      </c>
      <c r="O130" s="38" t="n">
        <f aca="false">Thesis!$O$116</f>
        <v>12.216</v>
      </c>
    </row>
    <row r="131" customFormat="false" ht="17.15" hidden="false" customHeight="false" outlineLevel="0" collapsed="false">
      <c r="A131" s="5" t="s">
        <v>745</v>
      </c>
      <c r="B131" s="0" t="s">
        <v>86</v>
      </c>
      <c r="C131" s="38" t="n">
        <f aca="false">PL!$C$128+PL!$C$129+PL!$C$130</f>
        <v>32.067</v>
      </c>
      <c r="D131" s="38" t="n">
        <f aca="false">PL!$D$128+PL!$D$129+PL!$D$130</f>
        <v>41.86</v>
      </c>
      <c r="E131" s="38" t="n">
        <f aca="false">PL!$E$128+PL!$E$129+PL!$E$130</f>
        <v>26.703</v>
      </c>
      <c r="F131" s="38" t="n">
        <f aca="false">PL!$F$128+PL!$F$129+PL!$F$130</f>
        <v>28.2071421626285</v>
      </c>
      <c r="G131" s="38" t="n">
        <f aca="false">PL!$G$128+PL!$G$129+PL!$G$130</f>
        <v>54.9101421626285</v>
      </c>
      <c r="H131" s="38" t="n">
        <f aca="false">PL!$H$128+PL!$H$129+PL!$H$130</f>
        <v>78.1799395827871</v>
      </c>
      <c r="I131" s="38" t="n">
        <f aca="false">PL!$I$128+PL!$I$129+PL!$I$130</f>
        <v>111.171125554384</v>
      </c>
      <c r="J131" s="38" t="n">
        <f aca="false">PL!$J$128+PL!$J$129+PL!$J$130</f>
        <v>144.884406220971</v>
      </c>
      <c r="K131" s="38" t="n">
        <f aca="false">PL!$K$128+PL!$K$129+PL!$K$130</f>
        <v>178.806419437999</v>
      </c>
      <c r="L131" s="38" t="n">
        <f aca="false">PL!$L$128+PL!$L$129+PL!$L$130</f>
        <v>204.341339029663</v>
      </c>
      <c r="M131" s="38" t="n">
        <f aca="false">PL!$M$128+PL!$M$129+PL!$M$130</f>
        <v>223.130577995387</v>
      </c>
      <c r="N131" s="38" t="n">
        <f aca="false">PL!$N$128+PL!$N$129+PL!$N$130</f>
        <v>18.822</v>
      </c>
      <c r="O131" s="38" t="n">
        <f aca="false">PL!$O$128+PL!$O$129+PL!$O$130</f>
        <v>23.038</v>
      </c>
    </row>
    <row r="132" customFormat="false" ht="17.15" hidden="false" customHeight="false" outlineLevel="0" collapsed="false">
      <c r="A132" s="0" t="s">
        <v>746</v>
      </c>
      <c r="B132" s="0" t="s">
        <v>86</v>
      </c>
      <c r="C132" s="38" t="n">
        <f aca="false">PL!$C$103+PL!$C$108</f>
        <v>28.107</v>
      </c>
      <c r="D132" s="38" t="n">
        <f aca="false">PL!$D$103+PL!$D$108</f>
        <v>34.3175</v>
      </c>
      <c r="E132" s="38" t="n">
        <f aca="false">PL!$E$103+PL!$E$108</f>
        <v>18.526</v>
      </c>
      <c r="F132" s="38" t="n">
        <f aca="false">PL!$F$103+PL!$F$108</f>
        <v>23.0786109972074</v>
      </c>
      <c r="G132" s="38" t="n">
        <f aca="false">PL!$G$103+PL!$G$108</f>
        <v>41.6046109972074</v>
      </c>
      <c r="H132" s="38" t="n">
        <f aca="false">PL!$H$103+PL!$H$108</f>
        <v>49.9484611939488</v>
      </c>
      <c r="I132" s="38" t="n">
        <f aca="false">PL!$I$103+PL!$I$108</f>
        <v>58.2915555477481</v>
      </c>
      <c r="J132" s="38" t="n">
        <f aca="false">PL!$J$103+PL!$J$108</f>
        <v>66.0744709709759</v>
      </c>
      <c r="K132" s="38" t="n">
        <f aca="false">PL!$K$103+PL!$K$108</f>
        <v>72.6819180680735</v>
      </c>
      <c r="L132" s="38" t="n">
        <f aca="false">PL!$L$103+PL!$L$108</f>
        <v>79.9501098748808</v>
      </c>
      <c r="M132" s="38" t="n">
        <f aca="false">PL!$M$103+PL!$M$108</f>
        <v>87.9451208623689</v>
      </c>
      <c r="N132" s="38" t="n">
        <f aca="false">PL!$N$103+PL!$N$108</f>
        <v>14.8075</v>
      </c>
      <c r="O132" s="38" t="n">
        <f aca="false">PL!$O$103+PL!$O$108</f>
        <v>19.51</v>
      </c>
    </row>
    <row r="133" customFormat="false" ht="17.15" hidden="false" customHeight="false" outlineLevel="0" collapsed="false">
      <c r="A133" s="0" t="s">
        <v>747</v>
      </c>
      <c r="B133" s="0" t="s">
        <v>86</v>
      </c>
      <c r="C133" s="38" t="n">
        <f aca="false">PL!$C$107+PL!$C$112+PL!$C$128+PL!$C$129-PL!$C$132</f>
        <v>19.399</v>
      </c>
      <c r="D133" s="38" t="n">
        <f aca="false">PL!$D$107+PL!$D$112+PL!$D$128+PL!$D$129-PL!$D$132</f>
        <v>20.4615</v>
      </c>
      <c r="E133" s="38" t="n">
        <f aca="false">PL!$E$107+PL!$E$112+PL!$E$128+PL!$E$129-PL!$E$132</f>
        <v>13.355</v>
      </c>
      <c r="F133" s="38" t="n">
        <f aca="false">PL!$F$107+PL!$F$112+PL!$F$128+PL!$F$129-PL!$F$132</f>
        <v>12.5520732018618</v>
      </c>
      <c r="G133" s="38" t="n">
        <f aca="false">PL!$G$107+PL!$G$112+PL!$G$128+PL!$G$129-PL!$G$132</f>
        <v>25.9070732018618</v>
      </c>
      <c r="H133" s="38" t="n">
        <f aca="false">PL!$H$107+PL!$H$112+PL!$H$128+PL!$H$129-PL!$H$132</f>
        <v>28.0233335906818</v>
      </c>
      <c r="I133" s="38" t="n">
        <f aca="false">PL!$I$107+PL!$I$112+PL!$I$128+PL!$I$129-PL!$I$132</f>
        <v>30.2440066606864</v>
      </c>
      <c r="J133" s="38" t="n">
        <f aca="false">PL!$J$107+PL!$J$112+PL!$J$128+PL!$J$129-PL!$J$132</f>
        <v>32.4596500296286</v>
      </c>
      <c r="K133" s="38" t="n">
        <f aca="false">PL!$K$107+PL!$K$112+PL!$K$128+PL!$K$129-PL!$K$132</f>
        <v>34.839425971154</v>
      </c>
      <c r="L133" s="38" t="n">
        <f aca="false">PL!$L$107+PL!$L$112+PL!$L$128+PL!$L$129-PL!$L$132</f>
        <v>36.4424209524427</v>
      </c>
      <c r="M133" s="38" t="n">
        <f aca="false">PL!$M$107+PL!$M$112+PL!$M$128+PL!$M$129-PL!$M$132</f>
        <v>38.8413540019876</v>
      </c>
      <c r="N133" s="38" t="n">
        <f aca="false">PL!$N$107+PL!$N$112+PL!$N$128+PL!$N$129-PL!$N$132</f>
        <v>10.6495</v>
      </c>
      <c r="O133" s="38" t="n">
        <f aca="false">PL!$O$107+PL!$O$112+PL!$O$128+PL!$O$129-PL!$O$132</f>
        <v>9.81200000000001</v>
      </c>
    </row>
    <row r="134" customFormat="false" ht="17.15" hidden="false" customHeight="false" outlineLevel="0" collapsed="false">
      <c r="A134" s="0" t="s">
        <v>748</v>
      </c>
      <c r="B134" s="0" t="s">
        <v>86</v>
      </c>
      <c r="C134" s="38" t="n">
        <f aca="false">PL!$C$114+PL!$C$130-ext_sh*Thesis!$C$104</f>
        <v>51.3470500115664</v>
      </c>
      <c r="D134" s="38" t="n">
        <f aca="false">PL!$D$114+PL!$D$130-ext_sh*Thesis!$D$104</f>
        <v>60.2799375433739</v>
      </c>
      <c r="E134" s="38" t="n">
        <f aca="false">PL!$E$114+PL!$E$130-ext_sh*Thesis!$E$104</f>
        <v>39.5095167090767</v>
      </c>
      <c r="F134" s="38" t="n">
        <f aca="false">PL!$F$114+PL!$F$130-ext_sh*Thesis!$F$104</f>
        <v>37.5468918745429</v>
      </c>
      <c r="G134" s="38" t="n">
        <f aca="false">PL!$G$114+PL!$G$130-ext_sh*Thesis!$G$104</f>
        <v>77.0564085836196</v>
      </c>
      <c r="H134" s="38" t="n">
        <f aca="false">PL!$H$114+PL!$H$130-ext_sh*Thesis!$H$104</f>
        <v>84.2378398616123</v>
      </c>
      <c r="I134" s="38" t="n">
        <f aca="false">PL!$I$114+PL!$I$130-ext_sh*Thesis!$I$104</f>
        <v>93.5253492849083</v>
      </c>
      <c r="J134" s="38" t="n">
        <f aca="false">PL!$J$114+PL!$J$130-ext_sh*Thesis!$J$104</f>
        <v>102.42210777817</v>
      </c>
      <c r="K134" s="38" t="n">
        <f aca="false">PL!$K$114+PL!$K$130-ext_sh*Thesis!$K$104</f>
        <v>110.615876400424</v>
      </c>
      <c r="L134" s="38" t="n">
        <f aca="false">PL!$L$114+PL!$L$130-ext_sh*Thesis!$L$104</f>
        <v>119.465146512458</v>
      </c>
      <c r="M134" s="38" t="n">
        <f aca="false">PL!$M$114+PL!$M$130-ext_sh*Thesis!$M$104</f>
        <v>129.022358233455</v>
      </c>
      <c r="N134" s="38" t="n">
        <f aca="false">PL!$N$114+PL!$N$130-ext_sh*Thesis!$N$104</f>
        <v>28.5693781401809</v>
      </c>
      <c r="O134" s="38" t="n">
        <f aca="false">PL!$O$114+PL!$O$130-ext_sh*Thesis!$O$104</f>
        <v>31.7105594031931</v>
      </c>
    </row>
    <row r="135" customFormat="false" ht="17.15" hidden="false" customHeight="false" outlineLevel="0" collapsed="false">
      <c r="A135" s="0" t="s">
        <v>749</v>
      </c>
      <c r="B135" s="0" t="s">
        <v>86</v>
      </c>
      <c r="C135" s="38" t="n">
        <f aca="false">Thesis!$C$107</f>
        <v>1.80694998843362</v>
      </c>
      <c r="D135" s="38" t="n">
        <f aca="false">Thesis!$D$107</f>
        <v>6.77606245662607</v>
      </c>
      <c r="E135" s="38" t="n">
        <f aca="false">Thesis!$E$107</f>
        <v>6.62548329092326</v>
      </c>
      <c r="F135" s="38" t="n">
        <f aca="false">Thesis!$F$107</f>
        <v>11.7200577158706</v>
      </c>
      <c r="G135" s="38" t="n">
        <f aca="false">Thesis!$G$107</f>
        <v>18.3455410067939</v>
      </c>
      <c r="H135" s="38" t="n">
        <f aca="false">Thesis!$H$107</f>
        <v>47.5171727060453</v>
      </c>
      <c r="I135" s="38" t="n">
        <f aca="false">Thesis!$I$107</f>
        <v>80.5539692643667</v>
      </c>
      <c r="J135" s="38" t="n">
        <f aca="false">Thesis!$J$107</f>
        <v>113.759316834883</v>
      </c>
      <c r="K135" s="38" t="n">
        <f aca="false">Thesis!$K$107</f>
        <v>142.084411492169</v>
      </c>
      <c r="L135" s="38" t="n">
        <f aca="false">Thesis!$L$107</f>
        <v>160.69964615804</v>
      </c>
      <c r="M135" s="38" t="n">
        <f aca="false">Thesis!$M$107</f>
        <v>169.577607141793</v>
      </c>
      <c r="N135" s="38" t="n">
        <f aca="false">Thesis!$N$107</f>
        <v>2.37162185981912</v>
      </c>
      <c r="O135" s="38" t="n">
        <f aca="false">Thesis!$O$107</f>
        <v>4.40444059680694</v>
      </c>
    </row>
    <row r="136" customFormat="false" ht="17.15" hidden="false" customHeight="false" outlineLevel="0" collapsed="false">
      <c r="A136" s="0" t="s">
        <v>750</v>
      </c>
      <c r="B136" s="0" t="s">
        <v>86</v>
      </c>
      <c r="C136" s="38" t="n">
        <f aca="false">PL!$C$117+PL!$C$131</f>
        <v>100.66</v>
      </c>
      <c r="D136" s="38" t="n">
        <f aca="false">PL!$D$117+PL!$D$131</f>
        <v>121.835</v>
      </c>
      <c r="E136" s="38" t="n">
        <f aca="false">PL!$E$117+PL!$E$131</f>
        <v>78.016</v>
      </c>
      <c r="F136" s="38" t="n">
        <f aca="false">PL!$F$117+PL!$F$131</f>
        <v>84.8976337894826</v>
      </c>
      <c r="G136" s="38" t="n">
        <f aca="false">PL!$G$117+PL!$G$131</f>
        <v>162.913633789483</v>
      </c>
      <c r="H136" s="38" t="n">
        <f aca="false">PL!$H$117+PL!$H$131</f>
        <v>209.726807352288</v>
      </c>
      <c r="I136" s="38" t="n">
        <f aca="false">PL!$I$117+PL!$I$131</f>
        <v>262.61488075771</v>
      </c>
      <c r="J136" s="38" t="n">
        <f aca="false">PL!$J$117+PL!$J$131</f>
        <v>314.715545613658</v>
      </c>
      <c r="K136" s="38" t="n">
        <f aca="false">PL!$K$117+PL!$K$131</f>
        <v>360.221631931821</v>
      </c>
      <c r="L136" s="38" t="n">
        <f aca="false">PL!$L$117+PL!$L$131</f>
        <v>396.557323497822</v>
      </c>
      <c r="M136" s="38" t="n">
        <f aca="false">PL!$M$117+PL!$M$131</f>
        <v>425.386440239605</v>
      </c>
      <c r="N136" s="38" t="n">
        <f aca="false">PL!$N$117+PL!$N$131</f>
        <v>56.398</v>
      </c>
      <c r="O136" s="38" t="n">
        <f aca="false">PL!$O$117+PL!$O$131</f>
        <v>65.437</v>
      </c>
    </row>
    <row r="137" customFormat="false" ht="17.15" hidden="false" customHeight="false" outlineLevel="0" collapsed="false">
      <c r="A137" s="1" t="s">
        <v>751</v>
      </c>
    </row>
    <row r="138" customFormat="false" ht="15" hidden="false" customHeight="false" outlineLevel="0" collapsed="false">
      <c r="A138" s="5" t="s">
        <v>544</v>
      </c>
      <c r="B138" s="0" t="s">
        <v>86</v>
      </c>
      <c r="C138" s="38" t="n">
        <f aca="false">Q!$D$34</f>
        <v>2.406</v>
      </c>
      <c r="D138" s="38" t="n">
        <f aca="false">Q!$E$34</f>
        <v>2.274</v>
      </c>
      <c r="E138" s="38" t="n">
        <f aca="false">Q!$P$34</f>
        <v>2.114</v>
      </c>
      <c r="F138" s="38" t="n">
        <f aca="false">CF!$F$69</f>
        <v>3.24888962733561</v>
      </c>
      <c r="G138" s="38" t="n">
        <f aca="false">PL!$E$138+PL!$F$138</f>
        <v>5.36288962733561</v>
      </c>
      <c r="H138" s="38" t="n">
        <f aca="false">CF!$H$69</f>
        <v>7.42354172302123</v>
      </c>
      <c r="I138" s="38" t="n">
        <f aca="false">CF!$I$69</f>
        <v>8.48968024898619</v>
      </c>
      <c r="J138" s="38" t="n">
        <f aca="false">CF!$J$69</f>
        <v>9.63598826439483</v>
      </c>
      <c r="K138" s="38" t="n">
        <f aca="false">CF!$K$69</f>
        <v>9.63598826439483</v>
      </c>
      <c r="L138" s="38" t="n">
        <f aca="false">CF!$L$69</f>
        <v>9.63598826439483</v>
      </c>
      <c r="M138" s="38" t="n">
        <f aca="false">CF!$M$69</f>
        <v>9.63598826439483</v>
      </c>
      <c r="N138" s="38" t="n">
        <f aca="false">Q!$N$34</f>
        <v>1.057</v>
      </c>
      <c r="O138" s="38" t="n">
        <f aca="false">Q!$O$34</f>
        <v>1.217</v>
      </c>
    </row>
    <row r="139" customFormat="false" ht="15" hidden="false" customHeight="false" outlineLevel="0" collapsed="false">
      <c r="A139" s="5" t="s">
        <v>752</v>
      </c>
      <c r="B139" s="0" t="s">
        <v>86</v>
      </c>
      <c r="F139" s="38" t="n">
        <f aca="false">CF!$F$70</f>
        <v>2.59</v>
      </c>
      <c r="H139" s="38" t="n">
        <f aca="false">CF!$H$70</f>
        <v>3.76965165045626</v>
      </c>
      <c r="I139" s="38" t="n">
        <f aca="false">CF!$I$70</f>
        <v>2.10589651022864</v>
      </c>
      <c r="J139" s="38" t="n">
        <f aca="false">CF!$J$70</f>
        <v>2.10589651022864</v>
      </c>
      <c r="K139" s="38" t="n">
        <f aca="false">CF!$K$70</f>
        <v>3.03184385018094</v>
      </c>
      <c r="L139" s="38" t="n">
        <f aca="false">CF!$L$70</f>
        <v>8.01944213829919</v>
      </c>
      <c r="M139" s="38" t="n">
        <f aca="false">CF!$M$70</f>
        <v>15.4751142339777</v>
      </c>
    </row>
    <row r="140" customFormat="false" ht="17.15" hidden="false" customHeight="false" outlineLevel="0" collapsed="false">
      <c r="A140" s="5" t="s">
        <v>753</v>
      </c>
      <c r="B140" s="0" t="s">
        <v>86</v>
      </c>
      <c r="C140" s="38" t="n">
        <f aca="false">Q!$D$39</f>
        <v>2.427</v>
      </c>
      <c r="D140" s="38" t="n">
        <f aca="false">Q!$E$39</f>
        <v>19.61</v>
      </c>
      <c r="E140" s="38" t="n">
        <f aca="false">Q!$P$39</f>
        <v>71.492</v>
      </c>
      <c r="F140" s="39" t="n">
        <v>0</v>
      </c>
      <c r="G140" s="38" t="n">
        <f aca="false">PL!$E$140+PL!$F$140</f>
        <v>71.492</v>
      </c>
      <c r="H140" s="39" t="n">
        <v>0</v>
      </c>
      <c r="I140" s="39" t="n">
        <v>0</v>
      </c>
      <c r="J140" s="39" t="n">
        <v>0</v>
      </c>
      <c r="K140" s="39" t="n">
        <v>0</v>
      </c>
      <c r="L140" s="39" t="n">
        <v>0</v>
      </c>
      <c r="M140" s="39" t="n">
        <v>0</v>
      </c>
      <c r="N140" s="38" t="n">
        <f aca="false">Q!$N$39</f>
        <v>6.017</v>
      </c>
      <c r="O140" s="38" t="n">
        <f aca="false">Q!$O$39</f>
        <v>13.593</v>
      </c>
      <c r="P140" s="5" t="s">
        <v>754</v>
      </c>
    </row>
    <row r="141" customFormat="false" ht="15" hidden="false" customHeight="false" outlineLevel="0" collapsed="false">
      <c r="A141" s="5" t="s">
        <v>547</v>
      </c>
      <c r="B141" s="0" t="s">
        <v>86</v>
      </c>
      <c r="C141" s="38" t="n">
        <f aca="false">Q!$D$36</f>
        <v>68.614</v>
      </c>
      <c r="D141" s="38" t="n">
        <f aca="false">Q!$E$36</f>
        <v>97.311</v>
      </c>
      <c r="E141" s="38" t="n">
        <f aca="false">Q!$P$36</f>
        <v>120.691</v>
      </c>
      <c r="F141" s="38" t="n">
        <f aca="false">PL!$F$117-PL!$F$138+PL!$F$139+PL!$F$140</f>
        <v>56.0316019995185</v>
      </c>
      <c r="G141" s="38" t="n">
        <f aca="false">PL!$E$141+PL!$F$141</f>
        <v>176.722601999518</v>
      </c>
      <c r="H141" s="38" t="n">
        <f aca="false">PL!$H$117-PL!$H$138+PL!$H$139+PL!$H$140</f>
        <v>127.892977696936</v>
      </c>
      <c r="I141" s="38" t="n">
        <f aca="false">PL!$I$117-PL!$I$138+PL!$I$139+PL!$I$140</f>
        <v>145.059971464568</v>
      </c>
      <c r="J141" s="38" t="n">
        <f aca="false">PL!$J$117-PL!$J$138+PL!$J$139+PL!$J$140</f>
        <v>162.301047638521</v>
      </c>
      <c r="K141" s="38" t="n">
        <f aca="false">PL!$K$117-PL!$K$138+PL!$K$139+PL!$K$140</f>
        <v>174.811068079608</v>
      </c>
      <c r="L141" s="38" t="n">
        <f aca="false">PL!$L$117-PL!$L$138+PL!$L$139+PL!$L$140</f>
        <v>190.599438342064</v>
      </c>
      <c r="M141" s="38" t="n">
        <f aca="false">PL!$M$117-PL!$M$138+PL!$M$139+PL!$M$140</f>
        <v>208.094988213801</v>
      </c>
      <c r="N141" s="38" t="n">
        <f aca="false">Q!$N$36</f>
        <v>42.536</v>
      </c>
      <c r="O141" s="38" t="n">
        <f aca="false">Q!$O$36</f>
        <v>54.775</v>
      </c>
    </row>
    <row r="142" customFormat="false" ht="15" hidden="false" customHeight="false" outlineLevel="0" collapsed="false">
      <c r="A142" s="5" t="s">
        <v>548</v>
      </c>
      <c r="B142" s="0" t="s">
        <v>86</v>
      </c>
      <c r="C142" s="38" t="n">
        <f aca="false">Q!$D$37</f>
        <v>9.265</v>
      </c>
      <c r="D142" s="38" t="n">
        <f aca="false">Q!$E$37</f>
        <v>19.087</v>
      </c>
      <c r="E142" s="38" t="n">
        <f aca="false">Q!$P$37</f>
        <v>27.759</v>
      </c>
      <c r="F142" s="38" t="n">
        <f aca="false">PL!$F$141*tax</f>
        <v>9.72621910890414</v>
      </c>
      <c r="G142" s="38" t="n">
        <f aca="false">PL!$E$142+PL!$F$142</f>
        <v>37.4852191089041</v>
      </c>
      <c r="H142" s="38" t="n">
        <f aca="false">PL!$H$141*tax</f>
        <v>22.2002419916761</v>
      </c>
      <c r="I142" s="38" t="n">
        <f aca="false">PL!$I$141*tax</f>
        <v>25.1801664783365</v>
      </c>
      <c r="J142" s="38" t="n">
        <f aca="false">PL!$J$141*tax</f>
        <v>28.1729505244292</v>
      </c>
      <c r="K142" s="38" t="n">
        <f aca="false">PL!$K$141*tax</f>
        <v>30.3444965007146</v>
      </c>
      <c r="L142" s="38" t="n">
        <f aca="false">PL!$L$141*tax</f>
        <v>33.0851132788405</v>
      </c>
      <c r="M142" s="38" t="n">
        <f aca="false">PL!$M$141*tax</f>
        <v>36.1220700213006</v>
      </c>
      <c r="N142" s="38" t="n">
        <f aca="false">Q!$N$37</f>
        <v>7.231</v>
      </c>
      <c r="O142" s="38" t="n">
        <f aca="false">Q!$O$37</f>
        <v>11.856</v>
      </c>
    </row>
    <row r="143" customFormat="false" ht="15" hidden="false" customHeight="false" outlineLevel="0" collapsed="false">
      <c r="A143" s="3" t="s">
        <v>549</v>
      </c>
      <c r="B143" s="8" t="s">
        <v>86</v>
      </c>
      <c r="C143" s="38" t="n">
        <f aca="false">Q!$D$38</f>
        <v>59.248</v>
      </c>
      <c r="D143" s="38" t="n">
        <f aca="false">Q!$E$38</f>
        <v>77.67</v>
      </c>
      <c r="E143" s="38" t="n">
        <f aca="false">Q!$P$38</f>
        <v>92.902</v>
      </c>
      <c r="F143" s="38" t="n">
        <f aca="false">PL!$F$141-PL!$F$142</f>
        <v>46.3053828906144</v>
      </c>
      <c r="G143" s="38" t="n">
        <f aca="false">PL!$E$143+PL!$F$143</f>
        <v>139.207382890614</v>
      </c>
      <c r="H143" s="38" t="n">
        <f aca="false">PL!$H$141-PL!$H$142</f>
        <v>105.69273570526</v>
      </c>
      <c r="I143" s="38" t="n">
        <f aca="false">PL!$I$141-PL!$I$142</f>
        <v>119.879804986231</v>
      </c>
      <c r="J143" s="38" t="n">
        <f aca="false">PL!$J$141-PL!$J$142</f>
        <v>134.128097114092</v>
      </c>
      <c r="K143" s="38" t="n">
        <f aca="false">PL!$K$141-PL!$K$142</f>
        <v>144.466571578893</v>
      </c>
      <c r="L143" s="38" t="n">
        <f aca="false">PL!$L$141-PL!$L$142</f>
        <v>157.514325063223</v>
      </c>
      <c r="M143" s="38" t="n">
        <f aca="false">PL!$M$141-PL!$M$142</f>
        <v>171.9729181925</v>
      </c>
      <c r="N143" s="38" t="n">
        <f aca="false">Q!$N$38</f>
        <v>35.291</v>
      </c>
      <c r="O143" s="38" t="n">
        <f aca="false">Q!$O$38</f>
        <v>42.379</v>
      </c>
    </row>
    <row r="144" customFormat="false" ht="17.15" hidden="false" customHeight="false" outlineLevel="0" collapsed="false">
      <c r="A144" s="5" t="s">
        <v>552</v>
      </c>
      <c r="B144" s="5" t="s">
        <v>33</v>
      </c>
      <c r="C144" s="22" t="n">
        <f aca="false">Q!$D$41</f>
        <v>10.721</v>
      </c>
      <c r="D144" s="22" t="n">
        <f aca="false">Q!$E$41</f>
        <v>10.827</v>
      </c>
      <c r="E144" s="22" t="n">
        <f aca="false">(Q!$L$41+Q!$M$41)/2</f>
        <v>10.8885</v>
      </c>
      <c r="F144" s="22" t="n">
        <f aca="false">PL!$G$144</f>
        <v>10.924806</v>
      </c>
      <c r="G144" s="22" t="n">
        <f aca="false">Q!$M$41*(1+sh_g*0.25)</f>
        <v>10.924806</v>
      </c>
      <c r="H144" s="22" t="n">
        <f aca="false">PL!$G$144*(1+sh_g)</f>
        <v>11.012204448</v>
      </c>
      <c r="I144" s="22" t="n">
        <f aca="false">PL!$H$144*(1+sh_g)</f>
        <v>11.100302083584</v>
      </c>
      <c r="J144" s="22" t="n">
        <f aca="false">PL!$I$144*(1+sh_g)</f>
        <v>11.1891045002527</v>
      </c>
      <c r="K144" s="22" t="n">
        <f aca="false">PL!$J$144*(1+sh_g)</f>
        <v>11.2786173362547</v>
      </c>
      <c r="L144" s="22" t="n">
        <f aca="false">PL!$K$144*(1+sh_g)</f>
        <v>11.3688462749447</v>
      </c>
      <c r="M144" s="22" t="n">
        <f aca="false">PL!$L$144*(1+sh_g)</f>
        <v>11.4597970451443</v>
      </c>
      <c r="P144" s="5" t="s">
        <v>755</v>
      </c>
    </row>
    <row r="145" customFormat="false" ht="17.15" hidden="false" customHeight="false" outlineLevel="0" collapsed="false">
      <c r="A145" s="5" t="s">
        <v>756</v>
      </c>
      <c r="B145" s="0" t="s">
        <v>86</v>
      </c>
      <c r="C145" s="38" t="n">
        <f aca="false">PL!$C$143+PL!$C$119*(1-tax)</f>
        <v>59.248</v>
      </c>
      <c r="D145" s="38" t="n">
        <f aca="false">PL!$D$143+PL!$D$119*(1-tax)</f>
        <v>77.67</v>
      </c>
      <c r="E145" s="38" t="n">
        <f aca="false">PL!$E$143+PL!$E$119*(1-tax)</f>
        <v>92.902</v>
      </c>
      <c r="F145" s="38" t="n">
        <f aca="false">PL!$F$143+PL!$F$119*(1-tax)</f>
        <v>49.421977850263</v>
      </c>
      <c r="G145" s="38" t="n">
        <f aca="false">PL!$G$143+PL!$G$119*(1-tax)</f>
        <v>142.323977850263</v>
      </c>
      <c r="H145" s="38" t="n">
        <f aca="false">PL!$H$143+PL!$H$119*(1-tax)</f>
        <v>118.224131660605</v>
      </c>
      <c r="I145" s="38" t="n">
        <f aca="false">PL!$I$143+PL!$I$119*(1-tax)</f>
        <v>141.02107006117</v>
      </c>
      <c r="J145" s="38" t="n">
        <f aca="false">PL!$J$143+PL!$J$119*(1-tax)</f>
        <v>163.917534058375</v>
      </c>
      <c r="K145" s="38" t="n">
        <f aca="false">PL!$K$143+PL!$K$119*(1-tax)</f>
        <v>181.633877275552</v>
      </c>
      <c r="L145" s="38" t="n">
        <f aca="false">PL!$L$143+PL!$L$119*(1-tax)</f>
        <v>199.530402403778</v>
      </c>
      <c r="M145" s="38" t="n">
        <f aca="false">PL!$M$143+PL!$M$119*(1-tax)</f>
        <v>216.302440383341</v>
      </c>
      <c r="N145" s="38" t="n">
        <f aca="false">PL!$N$143+PL!$N$119*(1-tax)</f>
        <v>35.291</v>
      </c>
      <c r="O145" s="38" t="n">
        <f aca="false">PL!$O$143+PL!$O$119*(1-tax)</f>
        <v>42.379</v>
      </c>
    </row>
    <row r="146" customFormat="false" ht="17.15" hidden="false" customHeight="false" outlineLevel="0" collapsed="false">
      <c r="A146" s="43" t="s">
        <v>757</v>
      </c>
      <c r="B146" s="14" t="s">
        <v>27</v>
      </c>
      <c r="C146" s="44" t="n">
        <f aca="false">PL!$C$145/PL!$C$144</f>
        <v>5.52635015390355</v>
      </c>
      <c r="D146" s="44" t="n">
        <f aca="false">PL!$D$145/PL!$D$144</f>
        <v>7.1737323358271</v>
      </c>
      <c r="E146" s="44" t="n">
        <f aca="false">PL!$E$145/PL!$E$144</f>
        <v>8.53212104513937</v>
      </c>
      <c r="F146" s="14"/>
      <c r="G146" s="44" t="n">
        <f aca="false">PL!$G$145/PL!$G$144</f>
        <v>13.0275977303636</v>
      </c>
      <c r="H146" s="44" t="n">
        <f aca="false">PL!$H$145/PL!$H$144</f>
        <v>10.7357370832392</v>
      </c>
      <c r="I146" s="44" t="n">
        <f aca="false">PL!$I$145/PL!$I$144</f>
        <v>12.7042551634449</v>
      </c>
      <c r="J146" s="44" t="n">
        <f aca="false">PL!$J$145/PL!$J$144</f>
        <v>14.6497455676344</v>
      </c>
      <c r="K146" s="44" t="n">
        <f aca="false">PL!$K$145/PL!$K$144</f>
        <v>16.104268090708</v>
      </c>
      <c r="L146" s="44" t="n">
        <f aca="false">PL!$L$145/PL!$L$144</f>
        <v>17.5506289361581</v>
      </c>
      <c r="M146" s="44" t="n">
        <f aca="false">PL!$M$145/PL!$M$144</f>
        <v>18.8748927691518</v>
      </c>
      <c r="N146" s="14"/>
      <c r="O146" s="14"/>
    </row>
    <row r="147" customFormat="false" ht="17.15" hidden="false" customHeight="false" outlineLevel="0" collapsed="false">
      <c r="A147" s="0" t="s">
        <v>758</v>
      </c>
      <c r="B147" s="0" t="s">
        <v>27</v>
      </c>
      <c r="C147" s="30" t="n">
        <f aca="false">PL!$C$143/PL!$C$144</f>
        <v>5.52635015390355</v>
      </c>
      <c r="D147" s="30" t="n">
        <f aca="false">PL!$D$143/PL!$D$144</f>
        <v>7.1737323358271</v>
      </c>
      <c r="E147" s="30" t="n">
        <f aca="false">PL!$E$143/PL!$E$144</f>
        <v>8.53212104513937</v>
      </c>
      <c r="G147" s="30" t="n">
        <f aca="false">PL!$G$143/PL!$G$144</f>
        <v>12.7423208147233</v>
      </c>
      <c r="H147" s="30" t="n">
        <f aca="false">PL!$H$143/PL!$H$144</f>
        <v>9.59778182509639</v>
      </c>
      <c r="I147" s="30" t="n">
        <f aca="false">PL!$I$143/PL!$I$144</f>
        <v>10.799688520506</v>
      </c>
      <c r="J147" s="30" t="n">
        <f aca="false">PL!$J$143/PL!$J$144</f>
        <v>11.9873844337644</v>
      </c>
      <c r="K147" s="30" t="n">
        <f aca="false">PL!$K$143/PL!$K$144</f>
        <v>12.8088902453061</v>
      </c>
      <c r="L147" s="30" t="n">
        <f aca="false">PL!$L$143/PL!$L$144</f>
        <v>13.8549085152432</v>
      </c>
      <c r="M147" s="30" t="n">
        <f aca="false">PL!$M$143/PL!$M$144</f>
        <v>15.0066286091313</v>
      </c>
    </row>
    <row r="148" customFormat="false" ht="17.15" hidden="false" customHeight="false" outlineLevel="0" collapsed="false">
      <c r="A148" s="0" t="s">
        <v>759</v>
      </c>
      <c r="B148" s="0" t="s">
        <v>27</v>
      </c>
      <c r="C148" s="30" t="n">
        <f aca="false">(PL!$C$143-PL!$C$140*(1-tax))/PL!$C$144</f>
        <v>5.33926775917445</v>
      </c>
      <c r="D148" s="30" t="n">
        <f aca="false">(PL!$D$143-PL!$D$140*(1-tax))/PL!$D$144</f>
        <v>5.67691812755503</v>
      </c>
      <c r="E148" s="30" t="n">
        <f aca="false">(PL!$E$143-PL!$E$140*(1-tax))/PL!$E$144</f>
        <v>3.10602057006846</v>
      </c>
      <c r="G148" s="30" t="n">
        <f aca="false">(PL!$G$143-PL!$G$140*(1-tax))/PL!$G$144</f>
        <v>7.33425269682635</v>
      </c>
      <c r="H148" s="30" t="n">
        <f aca="false">(PL!$H$143-PL!$H$140*(1-tax))/PL!$H$144</f>
        <v>9.59778182509639</v>
      </c>
      <c r="I148" s="30" t="n">
        <f aca="false">(PL!$I$143-PL!$I$140*(1-tax))/PL!$I$144</f>
        <v>10.799688520506</v>
      </c>
      <c r="J148" s="30" t="n">
        <f aca="false">(PL!$J$143-PL!$J$140*(1-tax))/PL!$J$144</f>
        <v>11.9873844337644</v>
      </c>
      <c r="K148" s="30" t="n">
        <f aca="false">(PL!$K$143-PL!$K$140*(1-tax))/PL!$K$144</f>
        <v>12.8088902453061</v>
      </c>
      <c r="L148" s="30" t="n">
        <f aca="false">(PL!$L$143-PL!$L$140*(1-tax))/PL!$L$144</f>
        <v>13.8549085152432</v>
      </c>
      <c r="M148" s="30" t="n">
        <f aca="false">(PL!$M$143-PL!$M$140*(1-tax))/PL!$M$144</f>
        <v>15.0066286091313</v>
      </c>
      <c r="P148" s="5" t="s">
        <v>760</v>
      </c>
    </row>
    <row r="149" customFormat="false" ht="17.15" hidden="false" customHeight="false" outlineLevel="0" collapsed="false">
      <c r="A149" s="0" t="s">
        <v>761</v>
      </c>
      <c r="B149" s="0" t="s">
        <v>52</v>
      </c>
      <c r="H149" s="13" t="n">
        <f aca="false">PL!$H$146/PL!$G$146-1</f>
        <v>-0.175923504437261</v>
      </c>
      <c r="I149" s="13" t="n">
        <f aca="false">PL!$I$146/PL!$H$146-1</f>
        <v>0.183361241519136</v>
      </c>
      <c r="J149" s="13" t="n">
        <f aca="false">PL!$J$146/PL!$I$146-1</f>
        <v>0.153136911936991</v>
      </c>
      <c r="K149" s="13" t="n">
        <f aca="false">PL!$K$146/PL!$J$146-1</f>
        <v>0.0992865382103958</v>
      </c>
      <c r="L149" s="13" t="n">
        <f aca="false">PL!$L$146/PL!$K$146-1</f>
        <v>0.0898122682324627</v>
      </c>
      <c r="M149" s="13" t="n">
        <f aca="false">PL!$M$146/PL!$L$146-1</f>
        <v>0.0754539246320329</v>
      </c>
    </row>
    <row r="152" customFormat="false" ht="19.4" hidden="false" customHeight="false" outlineLevel="0" collapsed="false">
      <c r="A152" s="31" t="s">
        <v>765</v>
      </c>
    </row>
    <row r="153" customFormat="false" ht="17.15" hidden="false" customHeight="false" outlineLevel="0" collapsed="false">
      <c r="A153" s="6" t="s">
        <v>16</v>
      </c>
      <c r="B153" s="6" t="s">
        <v>17</v>
      </c>
      <c r="C153" s="20" t="s">
        <v>497</v>
      </c>
      <c r="D153" s="20" t="s">
        <v>498</v>
      </c>
      <c r="E153" s="20" t="s">
        <v>580</v>
      </c>
      <c r="F153" s="20" t="s">
        <v>581</v>
      </c>
      <c r="G153" s="20" t="s">
        <v>582</v>
      </c>
      <c r="H153" s="20" t="s">
        <v>583</v>
      </c>
      <c r="I153" s="20" t="s">
        <v>584</v>
      </c>
      <c r="J153" s="20" t="s">
        <v>585</v>
      </c>
      <c r="K153" s="20" t="s">
        <v>586</v>
      </c>
      <c r="L153" s="20" t="s">
        <v>587</v>
      </c>
      <c r="M153" s="20" t="s">
        <v>588</v>
      </c>
      <c r="N153" s="20" t="s">
        <v>589</v>
      </c>
      <c r="O153" s="20" t="s">
        <v>590</v>
      </c>
      <c r="P153" s="6" t="s">
        <v>23</v>
      </c>
      <c r="R153" s="20" t="n">
        <v>2023</v>
      </c>
      <c r="S153" s="20" t="n">
        <v>2024</v>
      </c>
      <c r="T153" s="20" t="n">
        <v>2025</v>
      </c>
      <c r="U153" s="20" t="n">
        <v>2026</v>
      </c>
      <c r="V153" s="20" t="n">
        <v>2027</v>
      </c>
      <c r="W153" s="20" t="n">
        <v>2028</v>
      </c>
      <c r="X153" s="20" t="n">
        <v>2029</v>
      </c>
      <c r="Y153" s="20" t="n">
        <v>2030</v>
      </c>
      <c r="Z153" s="20" t="n">
        <v>2031</v>
      </c>
      <c r="AA153" s="20" t="n">
        <v>2032</v>
      </c>
    </row>
    <row r="154" customFormat="false" ht="17.15" hidden="false" customHeight="false" outlineLevel="0" collapsed="false">
      <c r="A154" s="1" t="s">
        <v>716</v>
      </c>
    </row>
    <row r="155" customFormat="false" ht="15" hidden="false" customHeight="false" outlineLevel="0" collapsed="false">
      <c r="A155" s="0" t="s">
        <v>519</v>
      </c>
      <c r="B155" s="0" t="s">
        <v>86</v>
      </c>
      <c r="C155" s="38" t="n">
        <f aca="false">Seg!$C$77</f>
        <v>247.029</v>
      </c>
      <c r="D155" s="38" t="n">
        <f aca="false">Seg!$D$77</f>
        <v>269.287</v>
      </c>
      <c r="E155" s="38" t="n">
        <f aca="false">Seg!$E$77</f>
        <v>134.686</v>
      </c>
      <c r="F155" s="38" t="n">
        <f aca="false">Seg!$F$77</f>
        <v>158.293876822267</v>
      </c>
      <c r="G155" s="38" t="n">
        <f aca="false">Seg!$G$77</f>
        <v>292.979876822267</v>
      </c>
      <c r="H155" s="38" t="n">
        <f aca="false">Seg!$H$77</f>
        <v>318.184543087396</v>
      </c>
      <c r="I155" s="38" t="n">
        <f aca="false">Seg!$I$77</f>
        <v>341.736278761793</v>
      </c>
      <c r="J155" s="38" t="n">
        <f aca="false">Seg!$J$77</f>
        <v>362.927192787048</v>
      </c>
      <c r="K155" s="38" t="n">
        <f aca="false">Seg!$K$77</f>
        <v>381.0735524264</v>
      </c>
      <c r="L155" s="38" t="n">
        <f aca="false">Seg!$L$77</f>
        <v>400.12723004772</v>
      </c>
      <c r="M155" s="38" t="n">
        <f aca="false">Seg!$M$77</f>
        <v>420.133591550106</v>
      </c>
      <c r="N155" s="38" t="n">
        <f aca="false">Seg!$N$77</f>
        <v>118.892</v>
      </c>
      <c r="O155" s="38" t="n">
        <f aca="false">Seg!$O$77</f>
        <v>150.395</v>
      </c>
    </row>
    <row r="156" customFormat="false" ht="15" hidden="false" customHeight="false" outlineLevel="0" collapsed="false">
      <c r="A156" s="0" t="s">
        <v>520</v>
      </c>
      <c r="B156" s="0" t="s">
        <v>86</v>
      </c>
      <c r="C156" s="38" t="n">
        <f aca="false">Seg!$C$79</f>
        <v>21.215</v>
      </c>
      <c r="D156" s="38" t="n">
        <f aca="false">Seg!$D$79</f>
        <v>22.561</v>
      </c>
      <c r="E156" s="38" t="n">
        <f aca="false">Seg!$E$79</f>
        <v>11.579</v>
      </c>
      <c r="F156" s="38" t="n">
        <f aca="false">Seg!$F$79</f>
        <v>11.5938724610325</v>
      </c>
      <c r="G156" s="38" t="n">
        <f aca="false">Seg!$G$79</f>
        <v>23.1728724610325</v>
      </c>
      <c r="H156" s="38" t="n">
        <f aca="false">Seg!$H$79</f>
        <v>24.353392759506</v>
      </c>
      <c r="I156" s="38" t="n">
        <f aca="false">Seg!$I$79</f>
        <v>25.4240338872015</v>
      </c>
      <c r="J156" s="38" t="n">
        <f aca="false">Seg!$J$79</f>
        <v>26.3642491017174</v>
      </c>
      <c r="K156" s="38" t="n">
        <f aca="false">Seg!$K$79</f>
        <v>27.155176574769</v>
      </c>
      <c r="L156" s="38" t="n">
        <f aca="false">Seg!$L$79</f>
        <v>27.969831872012</v>
      </c>
      <c r="M156" s="38" t="n">
        <f aca="false">Seg!$M$79</f>
        <v>28.8089268281724</v>
      </c>
      <c r="N156" s="38" t="n">
        <f aca="false">Seg!$N$79</f>
        <v>11.128</v>
      </c>
      <c r="O156" s="38" t="n">
        <f aca="false">Seg!$O$79</f>
        <v>11.433</v>
      </c>
    </row>
    <row r="157" customFormat="false" ht="15" hidden="false" customHeight="false" outlineLevel="0" collapsed="false">
      <c r="A157" s="0" t="s">
        <v>521</v>
      </c>
      <c r="B157" s="0" t="s">
        <v>86</v>
      </c>
      <c r="C157" s="38" t="n">
        <f aca="false">Seg!$C$81</f>
        <v>156.146</v>
      </c>
      <c r="D157" s="38" t="n">
        <f aca="false">Seg!$D$81</f>
        <v>172.162</v>
      </c>
      <c r="E157" s="38" t="n">
        <f aca="false">Seg!$E$81</f>
        <v>88.358</v>
      </c>
      <c r="F157" s="38" t="n">
        <f aca="false">Seg!$F$81</f>
        <v>102.004388260171</v>
      </c>
      <c r="G157" s="38" t="n">
        <f aca="false">Seg!$G$81</f>
        <v>190.362388260171</v>
      </c>
      <c r="H157" s="38" t="n">
        <f aca="false">Seg!$H$81</f>
        <v>210.343106588311</v>
      </c>
      <c r="I157" s="38" t="n">
        <f aca="false">Seg!$I$81</f>
        <v>229.969728494648</v>
      </c>
      <c r="J157" s="38" t="n">
        <f aca="false">Seg!$J$81</f>
        <v>248.747636972598</v>
      </c>
      <c r="K157" s="38" t="n">
        <f aca="false">Seg!$K$81</f>
        <v>266.15997156068</v>
      </c>
      <c r="L157" s="38" t="n">
        <f aca="false">Seg!$L$81</f>
        <v>284.791169569927</v>
      </c>
      <c r="M157" s="38" t="n">
        <f aca="false">Seg!$M$81</f>
        <v>304.726551439822</v>
      </c>
      <c r="N157" s="38" t="n">
        <f aca="false">Seg!$N$81</f>
        <v>76.86</v>
      </c>
      <c r="O157" s="38" t="n">
        <f aca="false">Seg!$O$81</f>
        <v>95.302</v>
      </c>
    </row>
    <row r="158" customFormat="false" ht="15" hidden="false" customHeight="false" outlineLevel="0" collapsed="false">
      <c r="A158" s="0" t="s">
        <v>522</v>
      </c>
      <c r="B158" s="0" t="s">
        <v>86</v>
      </c>
      <c r="C158" s="38" t="n">
        <f aca="false">Seg!$C$83</f>
        <v>56.214</v>
      </c>
      <c r="D158" s="38" t="n">
        <f aca="false">Seg!$D$83</f>
        <v>68.635</v>
      </c>
      <c r="E158" s="38" t="n">
        <f aca="false">Seg!$E$83</f>
        <v>37.052</v>
      </c>
      <c r="F158" s="38" t="n">
        <f aca="false">Seg!$F$83</f>
        <v>46.1572219944148</v>
      </c>
      <c r="G158" s="38" t="n">
        <f aca="false">Seg!$G$83</f>
        <v>83.2092219944148</v>
      </c>
      <c r="H158" s="38" t="n">
        <f aca="false">Seg!$H$83</f>
        <v>99.8969223878976</v>
      </c>
      <c r="I158" s="38" t="n">
        <f aca="false">Seg!$I$83</f>
        <v>116.583111095496</v>
      </c>
      <c r="J158" s="38" t="n">
        <f aca="false">Seg!$J$83</f>
        <v>132.148941941952</v>
      </c>
      <c r="K158" s="38" t="n">
        <f aca="false">Seg!$K$83</f>
        <v>145.363836136147</v>
      </c>
      <c r="L158" s="38" t="n">
        <f aca="false">Seg!$L$83</f>
        <v>159.900219749762</v>
      </c>
      <c r="M158" s="38" t="n">
        <f aca="false">Seg!$M$83</f>
        <v>175.890241724738</v>
      </c>
      <c r="N158" s="38" t="n">
        <f aca="false">Seg!$N$83</f>
        <v>29.615</v>
      </c>
      <c r="O158" s="38" t="n">
        <f aca="false">Seg!$O$83</f>
        <v>39.02</v>
      </c>
    </row>
    <row r="159" customFormat="false" ht="15" hidden="false" customHeight="false" outlineLevel="0" collapsed="false">
      <c r="A159" s="0" t="s">
        <v>523</v>
      </c>
      <c r="B159" s="0" t="s">
        <v>86</v>
      </c>
      <c r="C159" s="38" t="n">
        <f aca="false">Seg!$C$85</f>
        <v>44.374</v>
      </c>
      <c r="D159" s="38" t="n">
        <f aca="false">Seg!$D$85</f>
        <v>49.619</v>
      </c>
      <c r="E159" s="38" t="n">
        <f aca="false">Seg!$E$85</f>
        <v>27.157</v>
      </c>
      <c r="F159" s="38" t="n">
        <f aca="false">Seg!$F$85</f>
        <v>27.7764165988154</v>
      </c>
      <c r="G159" s="38" t="n">
        <f aca="false">Seg!$G$85</f>
        <v>54.9334165988154</v>
      </c>
      <c r="H159" s="38" t="n">
        <f aca="false">Seg!$H$85</f>
        <v>61.1564112561829</v>
      </c>
      <c r="I159" s="38" t="n">
        <f aca="false">Seg!$I$85</f>
        <v>67.2020282103945</v>
      </c>
      <c r="J159" s="38" t="n">
        <f aca="false">Seg!$J$85</f>
        <v>72.8757274028885</v>
      </c>
      <c r="K159" s="38" t="n">
        <f aca="false">Seg!$K$85</f>
        <v>77.9770283210907</v>
      </c>
      <c r="L159" s="38" t="n">
        <f aca="false">Seg!$L$85</f>
        <v>83.4354203035671</v>
      </c>
      <c r="M159" s="38" t="n">
        <f aca="false">Seg!$M$85</f>
        <v>89.2758997248168</v>
      </c>
      <c r="N159" s="38" t="n">
        <f aca="false">Seg!$N$85</f>
        <v>23.923</v>
      </c>
      <c r="O159" s="38" t="n">
        <f aca="false">Seg!$O$85</f>
        <v>25.696</v>
      </c>
    </row>
    <row r="160" customFormat="false" ht="15" hidden="false" customHeight="false" outlineLevel="0" collapsed="false">
      <c r="A160" s="0" t="s">
        <v>524</v>
      </c>
      <c r="B160" s="0" t="s">
        <v>86</v>
      </c>
      <c r="C160" s="38" t="n">
        <f aca="false">Seg!$C$87</f>
        <v>5.425</v>
      </c>
      <c r="D160" s="38" t="n">
        <f aca="false">Seg!$D$87</f>
        <v>5.935</v>
      </c>
      <c r="E160" s="38" t="n">
        <f aca="false">Seg!$E$87</f>
        <v>3.474</v>
      </c>
      <c r="F160" s="38" t="n">
        <f aca="false">Seg!$F$87</f>
        <v>3.22246550883619</v>
      </c>
      <c r="G160" s="38" t="n">
        <f aca="false">Seg!$G$87</f>
        <v>6.69646550883619</v>
      </c>
      <c r="H160" s="38" t="n">
        <f aca="false">Seg!$H$87</f>
        <v>7.16251344209196</v>
      </c>
      <c r="I160" s="38" t="n">
        <f aca="false">Seg!$I$87</f>
        <v>7.61421070299826</v>
      </c>
      <c r="J160" s="38" t="n">
        <f aca="false">Seg!$J$87</f>
        <v>8.04465753523932</v>
      </c>
      <c r="K160" s="38" t="n">
        <f aca="false">Seg!$K$87</f>
        <v>8.44689041200128</v>
      </c>
      <c r="L160" s="38" t="n">
        <f aca="false">Seg!$L$87</f>
        <v>8.86923493260135</v>
      </c>
      <c r="M160" s="38" t="n">
        <f aca="false">Seg!$M$87</f>
        <v>9.31269667923142</v>
      </c>
      <c r="N160" s="38" t="n">
        <f aca="false">Seg!$N$87</f>
        <v>2.811</v>
      </c>
      <c r="O160" s="38" t="n">
        <f aca="false">Seg!$O$87</f>
        <v>3.124</v>
      </c>
    </row>
    <row r="161" customFormat="false" ht="17.15" hidden="false" customHeight="false" outlineLevel="0" collapsed="false">
      <c r="A161" s="0" t="s">
        <v>717</v>
      </c>
      <c r="B161" s="0" t="s">
        <v>86</v>
      </c>
      <c r="C161" s="38" t="n">
        <f aca="false">Seg!$C$99</f>
        <v>107.556</v>
      </c>
      <c r="D161" s="38" t="n">
        <f aca="false">Seg!$D$99</f>
        <v>128.725</v>
      </c>
      <c r="E161" s="38" t="n">
        <f aca="false">Seg!$E$99</f>
        <v>79.819</v>
      </c>
      <c r="F161" s="38" t="n">
        <f aca="false">Seg!$F$99</f>
        <v>85.9067171025802</v>
      </c>
      <c r="G161" s="38" t="n">
        <f aca="false">Seg!$G$99</f>
        <v>165.72571710258</v>
      </c>
      <c r="H161" s="38" t="n">
        <f aca="false">Seg!$H$99</f>
        <v>214.439367277066</v>
      </c>
      <c r="I161" s="38" t="n">
        <f aca="false">Seg!$I$99</f>
        <v>266.569505776759</v>
      </c>
      <c r="J161" s="38" t="n">
        <f aca="false">Seg!$J$99</f>
        <v>318.105675447219</v>
      </c>
      <c r="K161" s="38" t="n">
        <f aca="false">Seg!$K$99</f>
        <v>363.226047683737</v>
      </c>
      <c r="L161" s="38" t="n">
        <f aca="false">Seg!$L$99</f>
        <v>399.5012130543</v>
      </c>
      <c r="M161" s="38" t="n">
        <f aca="false">Seg!$M$99</f>
        <v>427.006534768838</v>
      </c>
      <c r="N161" s="38" t="n">
        <f aca="false">Seg!$N$99</f>
        <v>60.14</v>
      </c>
      <c r="O161" s="38" t="n">
        <f aca="false">Seg!$O$99</f>
        <v>68.585</v>
      </c>
    </row>
    <row r="162" customFormat="false" ht="15" hidden="false" customHeight="false" outlineLevel="0" collapsed="false">
      <c r="A162" s="1" t="s">
        <v>512</v>
      </c>
      <c r="B162" s="8" t="s">
        <v>86</v>
      </c>
      <c r="C162" s="38" t="n">
        <f aca="false">Seg!$C$92</f>
        <v>387.497</v>
      </c>
      <c r="D162" s="38" t="n">
        <f aca="false">Seg!$D$92</f>
        <v>426.305</v>
      </c>
      <c r="E162" s="38" t="n">
        <f aca="false">Seg!$E$92</f>
        <v>220.32</v>
      </c>
      <c r="F162" s="38" t="n">
        <f aca="false">Seg!$F$92</f>
        <v>250.639773480586</v>
      </c>
      <c r="G162" s="38" t="n">
        <f aca="false">Seg!$G$92</f>
        <v>470.959773480586</v>
      </c>
      <c r="H162" s="38" t="n">
        <f aca="false">Seg!$H$92</f>
        <v>521.386990416437</v>
      </c>
      <c r="I162" s="38" t="n">
        <f aca="false">Seg!$I$92</f>
        <v>570.143862887555</v>
      </c>
      <c r="J162" s="38" t="n">
        <f aca="false">Seg!$J$92</f>
        <v>615.391435791933</v>
      </c>
      <c r="K162" s="38" t="n">
        <f aca="false">Seg!$K$92</f>
        <v>655.208227561543</v>
      </c>
      <c r="L162" s="38" t="n">
        <f aca="false">Seg!$L$92</f>
        <v>697.807739249767</v>
      </c>
      <c r="M162" s="38" t="n">
        <f aca="false">Seg!$M$92</f>
        <v>743.399328463592</v>
      </c>
      <c r="N162" s="38" t="n">
        <f aca="false">Seg!$N$92</f>
        <v>192.955</v>
      </c>
      <c r="O162" s="38" t="n">
        <f aca="false">Seg!$O$92</f>
        <v>233.35</v>
      </c>
    </row>
    <row r="163" customFormat="false" ht="15" hidden="false" customHeight="false" outlineLevel="0" collapsed="false">
      <c r="A163" s="1" t="s">
        <v>515</v>
      </c>
      <c r="B163" s="8" t="s">
        <v>86</v>
      </c>
      <c r="C163" s="38" t="n">
        <f aca="false">Seg!$C$93</f>
        <v>142.906</v>
      </c>
      <c r="D163" s="38" t="n">
        <f aca="false">Seg!$D$93</f>
        <v>161.894</v>
      </c>
      <c r="E163" s="38" t="n">
        <f aca="false">Seg!$E$93</f>
        <v>81.986</v>
      </c>
      <c r="F163" s="38" t="n">
        <f aca="false">Seg!$F$93</f>
        <v>98.408468164951</v>
      </c>
      <c r="G163" s="38" t="n">
        <f aca="false">Seg!$G$93</f>
        <v>180.394468164951</v>
      </c>
      <c r="H163" s="38" t="n">
        <f aca="false">Seg!$H$93</f>
        <v>199.709899104949</v>
      </c>
      <c r="I163" s="38" t="n">
        <f aca="false">Seg!$I$93</f>
        <v>218.385528264976</v>
      </c>
      <c r="J163" s="38" t="n">
        <f aca="false">Seg!$J$93</f>
        <v>235.71696994951</v>
      </c>
      <c r="K163" s="38" t="n">
        <f aca="false">Seg!$K$93</f>
        <v>250.968227869545</v>
      </c>
      <c r="L163" s="38" t="n">
        <f aca="false">Seg!$L$93</f>
        <v>267.285367225822</v>
      </c>
      <c r="M163" s="38" t="n">
        <f aca="false">Seg!$M$93</f>
        <v>284.748579483295</v>
      </c>
      <c r="N163" s="38" t="n">
        <f aca="false">Seg!$N$93</f>
        <v>70.274</v>
      </c>
      <c r="O163" s="38" t="n">
        <f aca="false">Seg!$O$93</f>
        <v>91.62</v>
      </c>
    </row>
    <row r="164" customFormat="false" ht="15" hidden="false" customHeight="false" outlineLevel="0" collapsed="false">
      <c r="A164" s="1" t="s">
        <v>516</v>
      </c>
      <c r="B164" s="8" t="s">
        <v>86</v>
      </c>
      <c r="C164" s="38" t="n">
        <f aca="false">Seg!$C$99</f>
        <v>107.556</v>
      </c>
      <c r="D164" s="38" t="n">
        <f aca="false">Seg!$D$99</f>
        <v>128.725</v>
      </c>
      <c r="E164" s="38" t="n">
        <f aca="false">Seg!$E$99</f>
        <v>79.819</v>
      </c>
      <c r="F164" s="38" t="n">
        <f aca="false">Seg!$F$99</f>
        <v>85.9067171025802</v>
      </c>
      <c r="G164" s="38" t="n">
        <f aca="false">Seg!$G$99</f>
        <v>165.72571710258</v>
      </c>
      <c r="H164" s="38" t="n">
        <f aca="false">Seg!$H$99</f>
        <v>214.439367277066</v>
      </c>
      <c r="I164" s="38" t="n">
        <f aca="false">Seg!$I$99</f>
        <v>266.569505776759</v>
      </c>
      <c r="J164" s="38" t="n">
        <f aca="false">Seg!$J$99</f>
        <v>318.105675447219</v>
      </c>
      <c r="K164" s="38" t="n">
        <f aca="false">Seg!$K$99</f>
        <v>363.226047683737</v>
      </c>
      <c r="L164" s="38" t="n">
        <f aca="false">Seg!$L$99</f>
        <v>399.5012130543</v>
      </c>
      <c r="M164" s="38" t="n">
        <f aca="false">Seg!$M$99</f>
        <v>427.006534768838</v>
      </c>
      <c r="N164" s="38" t="n">
        <f aca="false">Seg!$N$99</f>
        <v>60.14</v>
      </c>
      <c r="O164" s="38" t="n">
        <f aca="false">Seg!$O$99</f>
        <v>68.585</v>
      </c>
    </row>
    <row r="165" customFormat="false" ht="17.15" hidden="false" customHeight="false" outlineLevel="0" collapsed="false">
      <c r="A165" s="0" t="s">
        <v>691</v>
      </c>
      <c r="B165" s="0" t="s">
        <v>86</v>
      </c>
      <c r="C165" s="38" t="n">
        <f aca="false">Seg!$C$97</f>
        <v>2.32100535697364</v>
      </c>
      <c r="D165" s="38" t="n">
        <f aca="false">Seg!$D$97</f>
        <v>8.70377008865116</v>
      </c>
      <c r="E165" s="38" t="n">
        <f aca="false">Seg!$E$97</f>
        <v>8.51035297557002</v>
      </c>
      <c r="F165" s="38" t="n">
        <f aca="false">Seg!$F$97</f>
        <v>14.1374173083338</v>
      </c>
      <c r="G165" s="38" t="n">
        <f aca="false">Seg!$G$97</f>
        <v>22.6477702839038</v>
      </c>
      <c r="H165" s="38" t="n">
        <f aca="false">Seg!$H$97</f>
        <v>53.4222901978634</v>
      </c>
      <c r="I165" s="38" t="n">
        <f aca="false">Seg!$I$97</f>
        <v>87.7997462553011</v>
      </c>
      <c r="J165" s="38" t="n">
        <f aca="false">Seg!$J$97</f>
        <v>122.330137401312</v>
      </c>
      <c r="K165" s="38" t="n">
        <f aca="false">Seg!$K$97</f>
        <v>151.788466594157</v>
      </c>
      <c r="L165" s="38" t="n">
        <f aca="false">Seg!$L$97</f>
        <v>171.148625477554</v>
      </c>
      <c r="M165" s="38" t="n">
        <f aca="false">Seg!$M$97</f>
        <v>180.385740185952</v>
      </c>
      <c r="N165" s="38" t="n">
        <f aca="false">Seg!$N$97</f>
        <v>3.04631953102791</v>
      </c>
      <c r="O165" s="38" t="n">
        <f aca="false">Seg!$O$97</f>
        <v>5.65745055762326</v>
      </c>
    </row>
    <row r="166" customFormat="false" ht="17.15" hidden="false" customHeight="false" outlineLevel="0" collapsed="false">
      <c r="A166" s="0" t="s">
        <v>693</v>
      </c>
      <c r="B166" s="0" t="s">
        <v>86</v>
      </c>
      <c r="C166" s="38" t="n">
        <f aca="false">Seg!$C$98</f>
        <v>105.234994643026</v>
      </c>
      <c r="D166" s="38" t="n">
        <f aca="false">Seg!$D$98</f>
        <v>120.021229911349</v>
      </c>
      <c r="E166" s="38" t="n">
        <f aca="false">Seg!$E$98</f>
        <v>71.30864702443</v>
      </c>
      <c r="F166" s="38" t="n">
        <f aca="false">Seg!$F$98</f>
        <v>71.7692997942464</v>
      </c>
      <c r="G166" s="38" t="n">
        <f aca="false">Seg!$G$98</f>
        <v>143.077946818676</v>
      </c>
      <c r="H166" s="38" t="n">
        <f aca="false">Seg!$H$98</f>
        <v>161.017077079203</v>
      </c>
      <c r="I166" s="38" t="n">
        <f aca="false">Seg!$I$98</f>
        <v>178.769759521457</v>
      </c>
      <c r="J166" s="38" t="n">
        <f aca="false">Seg!$J$98</f>
        <v>195.775538045907</v>
      </c>
      <c r="K166" s="38" t="n">
        <f aca="false">Seg!$K$98</f>
        <v>211.43758108958</v>
      </c>
      <c r="L166" s="38" t="n">
        <f aca="false">Seg!$L$98</f>
        <v>228.352587576746</v>
      </c>
      <c r="M166" s="38" t="n">
        <f aca="false">Seg!$M$98</f>
        <v>246.620794582886</v>
      </c>
      <c r="N166" s="38" t="n">
        <f aca="false">Seg!$N$98</f>
        <v>57.0936804689721</v>
      </c>
      <c r="O166" s="38" t="n">
        <f aca="false">Seg!$O$98</f>
        <v>62.9275494423768</v>
      </c>
    </row>
    <row r="167" customFormat="false" ht="15" hidden="false" customHeight="false" outlineLevel="0" collapsed="false">
      <c r="A167" s="3" t="s">
        <v>517</v>
      </c>
      <c r="B167" s="8" t="s">
        <v>86</v>
      </c>
      <c r="C167" s="38" t="n">
        <f aca="false">Seg!$C$100</f>
        <v>637.959</v>
      </c>
      <c r="D167" s="38" t="n">
        <f aca="false">Seg!$D$100</f>
        <v>716.924</v>
      </c>
      <c r="E167" s="38" t="n">
        <f aca="false">Seg!$E$100</f>
        <v>382.125</v>
      </c>
      <c r="F167" s="38" t="n">
        <f aca="false">Seg!$F$100</f>
        <v>434.954958748117</v>
      </c>
      <c r="G167" s="38" t="n">
        <f aca="false">Seg!$G$100</f>
        <v>817.079958748117</v>
      </c>
      <c r="H167" s="38" t="n">
        <f aca="false">Seg!$H$100</f>
        <v>935.536256798453</v>
      </c>
      <c r="I167" s="38" t="n">
        <f aca="false">Seg!$I$100</f>
        <v>1055.09889692929</v>
      </c>
      <c r="J167" s="38" t="n">
        <f aca="false">Seg!$J$100</f>
        <v>1169.21408118866</v>
      </c>
      <c r="K167" s="38" t="n">
        <f aca="false">Seg!$K$100</f>
        <v>1269.40250311482</v>
      </c>
      <c r="L167" s="38" t="n">
        <f aca="false">Seg!$L$100</f>
        <v>1364.59431952989</v>
      </c>
      <c r="M167" s="38" t="n">
        <f aca="false">Seg!$M$100</f>
        <v>1455.15444271572</v>
      </c>
      <c r="N167" s="38" t="n">
        <f aca="false">Seg!$N$100</f>
        <v>323.369</v>
      </c>
      <c r="O167" s="38" t="n">
        <f aca="false">Seg!$O$100</f>
        <v>393.555</v>
      </c>
    </row>
    <row r="168" customFormat="false" ht="17.15" hidden="false" customHeight="false" outlineLevel="0" collapsed="false">
      <c r="A168" s="24" t="s">
        <v>707</v>
      </c>
      <c r="B168" s="25" t="s">
        <v>86</v>
      </c>
      <c r="C168" s="41" t="n">
        <f aca="false">PL!$C$155+PL!$C$156+PL!$C$157+PL!$C$158+PL!$C$159+PL!$C$160-(PL!$C$162+PL!$C$163)</f>
        <v>0</v>
      </c>
      <c r="D168" s="41" t="n">
        <f aca="false">PL!$D$155+PL!$D$156+PL!$D$157+PL!$D$158+PL!$D$159+PL!$D$160-(PL!$D$162+PL!$D$163)</f>
        <v>0</v>
      </c>
      <c r="E168" s="41" t="n">
        <f aca="false">PL!$E$155+PL!$E$156+PL!$E$157+PL!$E$158+PL!$E$159+PL!$E$160-(PL!$E$162+PL!$E$163)</f>
        <v>0</v>
      </c>
      <c r="F168" s="41" t="n">
        <f aca="false">PL!$F$155+PL!$F$156+PL!$F$157+PL!$F$158+PL!$F$159+PL!$F$160-(PL!$F$162+PL!$F$163)</f>
        <v>0</v>
      </c>
      <c r="G168" s="41" t="n">
        <f aca="false">PL!$G$155+PL!$G$156+PL!$G$157+PL!$G$158+PL!$G$159+PL!$G$160-(PL!$G$162+PL!$G$163)</f>
        <v>0</v>
      </c>
      <c r="H168" s="41" t="n">
        <f aca="false">PL!$H$155+PL!$H$156+PL!$H$157+PL!$H$158+PL!$H$159+PL!$H$160-(PL!$H$162+PL!$H$163)</f>
        <v>0</v>
      </c>
      <c r="I168" s="41" t="n">
        <f aca="false">PL!$I$155+PL!$I$156+PL!$I$157+PL!$I$158+PL!$I$159+PL!$I$160-(PL!$I$162+PL!$I$163)</f>
        <v>0</v>
      </c>
      <c r="J168" s="41" t="n">
        <f aca="false">PL!$J$155+PL!$J$156+PL!$J$157+PL!$J$158+PL!$J$159+PL!$J$160-(PL!$J$162+PL!$J$163)</f>
        <v>0</v>
      </c>
      <c r="K168" s="41" t="n">
        <f aca="false">PL!$K$155+PL!$K$156+PL!$K$157+PL!$K$158+PL!$K$159+PL!$K$160-(PL!$K$162+PL!$K$163)</f>
        <v>0</v>
      </c>
      <c r="L168" s="41" t="n">
        <f aca="false">PL!$L$155+PL!$L$156+PL!$L$157+PL!$L$158+PL!$L$159+PL!$L$160-(PL!$L$162+PL!$L$163)</f>
        <v>0</v>
      </c>
      <c r="M168" s="41" t="n">
        <f aca="false">PL!$M$155+PL!$M$156+PL!$M$157+PL!$M$158+PL!$M$159+PL!$M$160-(PL!$M$162+PL!$M$163)</f>
        <v>0</v>
      </c>
      <c r="N168" s="41" t="n">
        <f aca="false">PL!$N$155+PL!$N$156+PL!$N$157+PL!$N$158+PL!$N$159+PL!$N$160-(PL!$N$162+PL!$N$163)</f>
        <v>0</v>
      </c>
      <c r="O168" s="41" t="n">
        <f aca="false">PL!$O$155+PL!$O$156+PL!$O$157+PL!$O$158+PL!$O$159+PL!$O$160-(PL!$O$162+PL!$O$163)</f>
        <v>0</v>
      </c>
    </row>
    <row r="169" customFormat="false" ht="17.15" hidden="false" customHeight="false" outlineLevel="0" collapsed="false">
      <c r="A169" s="24" t="s">
        <v>708</v>
      </c>
      <c r="B169" s="25" t="s">
        <v>86</v>
      </c>
      <c r="C169" s="41" t="n">
        <f aca="false">PL!$C$165+PL!$C$166-PL!$C$164</f>
        <v>0</v>
      </c>
      <c r="D169" s="41" t="n">
        <f aca="false">PL!$D$165+PL!$D$166-PL!$D$164</f>
        <v>0</v>
      </c>
      <c r="E169" s="41" t="n">
        <f aca="false">PL!$E$165+PL!$E$166-PL!$E$164</f>
        <v>0</v>
      </c>
      <c r="F169" s="41" t="n">
        <f aca="false">PL!$F$165+PL!$F$166-PL!$F$164</f>
        <v>0</v>
      </c>
      <c r="G169" s="41" t="n">
        <f aca="false">PL!$G$165+PL!$G$166-PL!$G$164</f>
        <v>0</v>
      </c>
      <c r="H169" s="41" t="n">
        <f aca="false">PL!$H$165+PL!$H$166-PL!$H$164</f>
        <v>0</v>
      </c>
      <c r="I169" s="41" t="n">
        <f aca="false">PL!$I$165+PL!$I$166-PL!$I$164</f>
        <v>0</v>
      </c>
      <c r="J169" s="41" t="n">
        <f aca="false">PL!$J$165+PL!$J$166-PL!$J$164</f>
        <v>0</v>
      </c>
      <c r="K169" s="41" t="n">
        <f aca="false">PL!$K$165+PL!$K$166-PL!$K$164</f>
        <v>0</v>
      </c>
      <c r="L169" s="41" t="n">
        <f aca="false">PL!$L$165+PL!$L$166-PL!$L$164</f>
        <v>0</v>
      </c>
      <c r="M169" s="41" t="n">
        <f aca="false">PL!$M$165+PL!$M$166-PL!$M$164</f>
        <v>0</v>
      </c>
      <c r="N169" s="41" t="n">
        <f aca="false">PL!$N$165+PL!$N$166-PL!$N$164</f>
        <v>0</v>
      </c>
      <c r="O169" s="41" t="n">
        <f aca="false">PL!$O$165+PL!$O$166-PL!$O$164</f>
        <v>0</v>
      </c>
    </row>
    <row r="170" customFormat="false" ht="17.15" hidden="false" customHeight="false" outlineLevel="0" collapsed="false">
      <c r="A170" s="24" t="s">
        <v>766</v>
      </c>
      <c r="B170" s="25" t="s">
        <v>86</v>
      </c>
      <c r="C170" s="41" t="n">
        <f aca="false">PL!$C$155+PL!$C$156+PL!$C$157+PL!$C$158+PL!$C$159+PL!$C$160+PL!$C$161-PL!$C$167</f>
        <v>0</v>
      </c>
      <c r="D170" s="41" t="n">
        <f aca="false">PL!$D$155+PL!$D$156+PL!$D$157+PL!$D$158+PL!$D$159+PL!$D$160+PL!$D$161-PL!$D$167</f>
        <v>0</v>
      </c>
      <c r="E170" s="41" t="n">
        <f aca="false">PL!$E$155+PL!$E$156+PL!$E$157+PL!$E$158+PL!$E$159+PL!$E$160+PL!$E$161-PL!$E$167</f>
        <v>0</v>
      </c>
      <c r="F170" s="41" t="n">
        <f aca="false">PL!$F$155+PL!$F$156+PL!$F$157+PL!$F$158+PL!$F$159+PL!$F$160+PL!$F$161-PL!$F$167</f>
        <v>0</v>
      </c>
      <c r="G170" s="41" t="n">
        <f aca="false">PL!$G$155+PL!$G$156+PL!$G$157+PL!$G$158+PL!$G$159+PL!$G$160+PL!$G$161-PL!$G$167</f>
        <v>0</v>
      </c>
      <c r="H170" s="41" t="n">
        <f aca="false">PL!$H$155+PL!$H$156+PL!$H$157+PL!$H$158+PL!$H$159+PL!$H$160+PL!$H$161-PL!$H$167</f>
        <v>0</v>
      </c>
      <c r="I170" s="41" t="n">
        <f aca="false">PL!$I$155+PL!$I$156+PL!$I$157+PL!$I$158+PL!$I$159+PL!$I$160+PL!$I$161-PL!$I$167</f>
        <v>0</v>
      </c>
      <c r="J170" s="41" t="n">
        <f aca="false">PL!$J$155+PL!$J$156+PL!$J$157+PL!$J$158+PL!$J$159+PL!$J$160+PL!$J$161-PL!$J$167</f>
        <v>0</v>
      </c>
      <c r="K170" s="41" t="n">
        <f aca="false">PL!$K$155+PL!$K$156+PL!$K$157+PL!$K$158+PL!$K$159+PL!$K$160+PL!$K$161-PL!$K$167</f>
        <v>0</v>
      </c>
      <c r="L170" s="41" t="n">
        <f aca="false">PL!$L$155+PL!$L$156+PL!$L$157+PL!$L$158+PL!$L$159+PL!$L$160+PL!$L$161-PL!$L$167</f>
        <v>0</v>
      </c>
      <c r="M170" s="41" t="n">
        <f aca="false">PL!$M$155+PL!$M$156+PL!$M$157+PL!$M$158+PL!$M$159+PL!$M$160+PL!$M$161-PL!$M$167</f>
        <v>0</v>
      </c>
      <c r="N170" s="41" t="n">
        <f aca="false">PL!$N$155+PL!$N$156+PL!$N$157+PL!$N$158+PL!$N$159+PL!$N$160+PL!$N$161-PL!$N$167</f>
        <v>0</v>
      </c>
      <c r="O170" s="41" t="n">
        <f aca="false">PL!$O$155+PL!$O$156+PL!$O$157+PL!$O$158+PL!$O$159+PL!$O$160+PL!$O$161-PL!$O$167</f>
        <v>0</v>
      </c>
    </row>
    <row r="171" customFormat="false" ht="17.15" hidden="false" customHeight="false" outlineLevel="0" collapsed="false">
      <c r="A171" s="24" t="s">
        <v>709</v>
      </c>
      <c r="B171" s="25" t="s">
        <v>86</v>
      </c>
      <c r="C171" s="41" t="n">
        <f aca="false">PL!$C$162+PL!$C$163+PL!$C$164-PL!$C$167</f>
        <v>0</v>
      </c>
      <c r="D171" s="41" t="n">
        <f aca="false">PL!$D$162+PL!$D$163+PL!$D$164-PL!$D$167</f>
        <v>0</v>
      </c>
      <c r="E171" s="41" t="n">
        <f aca="false">PL!$E$162+PL!$E$163+PL!$E$164-PL!$E$167</f>
        <v>0</v>
      </c>
      <c r="F171" s="41" t="n">
        <f aca="false">PL!$F$162+PL!$F$163+PL!$F$164-PL!$F$167</f>
        <v>0</v>
      </c>
      <c r="G171" s="41" t="n">
        <f aca="false">PL!$G$162+PL!$G$163+PL!$G$164-PL!$G$167</f>
        <v>0</v>
      </c>
      <c r="H171" s="41" t="n">
        <f aca="false">PL!$H$162+PL!$H$163+PL!$H$164-PL!$H$167</f>
        <v>0</v>
      </c>
      <c r="I171" s="41" t="n">
        <f aca="false">PL!$I$162+PL!$I$163+PL!$I$164-PL!$I$167</f>
        <v>0</v>
      </c>
      <c r="J171" s="41" t="n">
        <f aca="false">PL!$J$162+PL!$J$163+PL!$J$164-PL!$J$167</f>
        <v>0</v>
      </c>
      <c r="K171" s="41" t="n">
        <f aca="false">PL!$K$162+PL!$K$163+PL!$K$164-PL!$K$167</f>
        <v>0</v>
      </c>
      <c r="L171" s="41" t="n">
        <f aca="false">PL!$L$162+PL!$L$163+PL!$L$164-PL!$L$167</f>
        <v>0</v>
      </c>
      <c r="M171" s="41" t="n">
        <f aca="false">PL!$M$162+PL!$M$163+PL!$M$164-PL!$M$167</f>
        <v>0</v>
      </c>
      <c r="N171" s="41" t="n">
        <f aca="false">PL!$N$162+PL!$N$163+PL!$N$164-PL!$N$167</f>
        <v>0</v>
      </c>
      <c r="O171" s="41" t="n">
        <f aca="false">PL!$O$162+PL!$O$163+PL!$O$164-PL!$O$167</f>
        <v>0</v>
      </c>
    </row>
    <row r="172" customFormat="false" ht="17.15" hidden="false" customHeight="false" outlineLevel="0" collapsed="false">
      <c r="A172" s="1" t="s">
        <v>719</v>
      </c>
    </row>
    <row r="173" customFormat="false" ht="17.15" hidden="false" customHeight="false" outlineLevel="0" collapsed="false">
      <c r="A173" s="0" t="s">
        <v>720</v>
      </c>
      <c r="B173" s="0" t="s">
        <v>86</v>
      </c>
      <c r="C173" s="38" t="n">
        <f aca="false">Seg!$C$94*m_ad</f>
        <v>20.5341564414228</v>
      </c>
      <c r="D173" s="38" t="n">
        <f aca="false">Seg!$D$94*m_ad</f>
        <v>24.8720617299587</v>
      </c>
      <c r="E173" s="38" t="n">
        <f aca="false">Seg!$E$94*m_ad</f>
        <v>13.5017112462207</v>
      </c>
      <c r="F173" s="38" t="n">
        <f aca="false">Seg!$F$94*m_ad</f>
        <v>16.5719724165257</v>
      </c>
      <c r="G173" s="38" t="n">
        <f aca="false">Seg!$G$94*m_ad</f>
        <v>30.0820919220415</v>
      </c>
      <c r="H173" s="38" t="n">
        <f aca="false">Seg!$H$94*m_ad</f>
        <v>36.1150883276314</v>
      </c>
      <c r="I173" s="38" t="n">
        <f aca="false">Seg!$I$94*m_ad</f>
        <v>42.1475382231996</v>
      </c>
      <c r="J173" s="38" t="n">
        <f aca="false">Seg!$J$94*m_ad</f>
        <v>47.7749523864693</v>
      </c>
      <c r="K173" s="38" t="n">
        <f aca="false">Seg!$K$94*m_ad</f>
        <v>52.5524476251162</v>
      </c>
      <c r="L173" s="38" t="n">
        <f aca="false">Seg!$L$94*m_ad</f>
        <v>57.8076923876279</v>
      </c>
      <c r="M173" s="38" t="n">
        <f aca="false">Seg!$M$94*m_ad</f>
        <v>63.5884616263907</v>
      </c>
      <c r="N173" s="38" t="n">
        <f aca="false">Seg!$N$94*m_ad</f>
        <v>10.8543555706248</v>
      </c>
      <c r="O173" s="38" t="n">
        <f aca="false">Seg!$O$94*m_ad</f>
        <v>14.0094731821399</v>
      </c>
    </row>
    <row r="174" customFormat="false" ht="17.15" hidden="false" customHeight="false" outlineLevel="0" collapsed="false">
      <c r="A174" s="0" t="s">
        <v>721</v>
      </c>
      <c r="B174" s="0" t="s">
        <v>86</v>
      </c>
      <c r="C174" s="38" t="n">
        <f aca="false">Seg!$C$92-Seg!$C$94</f>
        <v>346.428687117154</v>
      </c>
      <c r="D174" s="38" t="n">
        <f aca="false">Seg!$D$92-Seg!$D$94</f>
        <v>376.560876540083</v>
      </c>
      <c r="E174" s="38" t="n">
        <f aca="false">Seg!$E$92-Seg!$E$94</f>
        <v>193.316577507559</v>
      </c>
      <c r="F174" s="38" t="n">
        <f aca="false">Seg!$F$92-Seg!$F$94</f>
        <v>217.495828647535</v>
      </c>
      <c r="G174" s="38" t="n">
        <f aca="false">Seg!$G$92-Seg!$G$94</f>
        <v>410.795589636503</v>
      </c>
      <c r="H174" s="38" t="n">
        <f aca="false">Seg!$H$92-Seg!$H$94</f>
        <v>449.156813761174</v>
      </c>
      <c r="I174" s="38" t="n">
        <f aca="false">Seg!$I$92-Seg!$I$94</f>
        <v>485.848786441156</v>
      </c>
      <c r="J174" s="38" t="n">
        <f aca="false">Seg!$J$92-Seg!$J$94</f>
        <v>519.841531018994</v>
      </c>
      <c r="K174" s="38" t="n">
        <f aca="false">Seg!$K$92-Seg!$K$94</f>
        <v>550.103332311311</v>
      </c>
      <c r="L174" s="38" t="n">
        <f aca="false">Seg!$L$92-Seg!$L$94</f>
        <v>582.192354474511</v>
      </c>
      <c r="M174" s="38" t="n">
        <f aca="false">Seg!$M$92-Seg!$M$94</f>
        <v>616.22240521081</v>
      </c>
      <c r="N174" s="38" t="n">
        <f aca="false">Seg!$N$92-Seg!$N$94</f>
        <v>171.24628885875</v>
      </c>
      <c r="O174" s="38" t="n">
        <f aca="false">Seg!$O$92-Seg!$O$94</f>
        <v>205.33105363572</v>
      </c>
    </row>
    <row r="175" customFormat="false" ht="17.15" hidden="false" customHeight="false" outlineLevel="0" collapsed="false">
      <c r="A175" s="0" t="s">
        <v>722</v>
      </c>
      <c r="B175" s="0" t="s">
        <v>86</v>
      </c>
      <c r="C175" s="38" t="n">
        <f aca="false">Thesis!$C$171*Seg!$C$91</f>
        <v>0.123617442257179</v>
      </c>
      <c r="D175" s="38" t="n">
        <f aca="false">Thesis!$D$171*Seg!$D$91</f>
        <v>0.600198046024689</v>
      </c>
      <c r="E175" s="38" t="n">
        <f aca="false">Thesis!$E$171*Seg!$E$91</f>
        <v>0.970552432202993</v>
      </c>
      <c r="F175" s="38" t="n">
        <f aca="false">Thesis!$F$171*Seg!$F$91</f>
        <v>1.20013524388435</v>
      </c>
      <c r="G175" s="38" t="n">
        <f aca="false">Thesis!$G$171*Seg!$G$91</f>
        <v>2.17135369594947</v>
      </c>
      <c r="H175" s="38" t="n">
        <f aca="false">Thesis!$H$171*Seg!$H$91</f>
        <v>6.14227489656333</v>
      </c>
      <c r="I175" s="38" t="n">
        <f aca="false">Thesis!$I$171*Seg!$I$91</f>
        <v>11.6518054969681</v>
      </c>
      <c r="J175" s="38" t="n">
        <f aca="false">Thesis!$J$171*Seg!$J$91</f>
        <v>17.3105301010592</v>
      </c>
      <c r="K175" s="38" t="n">
        <f aca="false">Thesis!$K$171*Seg!$K$91</f>
        <v>22.8486728059883</v>
      </c>
      <c r="L175" s="38" t="n">
        <f aca="false">Thesis!$L$171*Seg!$L$91</f>
        <v>26.6849171332777</v>
      </c>
      <c r="M175" s="38" t="n">
        <f aca="false">Thesis!$M$171*Seg!$M$91</f>
        <v>29.0523240317336</v>
      </c>
      <c r="N175" s="38" t="n">
        <f aca="false">Thesis!$N$171*Seg!$N$91</f>
        <v>0.25053229484398</v>
      </c>
      <c r="O175" s="38" t="n">
        <f aca="false">Thesis!$O$171*Seg!$O$91</f>
        <v>0.349234376756897</v>
      </c>
    </row>
    <row r="176" customFormat="false" ht="17.15" hidden="false" customHeight="false" outlineLevel="0" collapsed="false">
      <c r="A176" s="0" t="s">
        <v>723</v>
      </c>
      <c r="B176" s="0" t="s">
        <v>52</v>
      </c>
      <c r="C176" s="28" t="n">
        <f aca="false">(PL!$C$177-PL!$C$173+PL!$C$175)/PL!$C$174</f>
        <v>0.0131526665379575</v>
      </c>
      <c r="D176" s="28" t="n">
        <f aca="false">(PL!$D$177-PL!$D$173+PL!$D$175)/PL!$D$174</f>
        <v>0.0141999252954702</v>
      </c>
      <c r="E176" s="28" t="n">
        <f aca="false">(PL!$E$177-PL!$E$173+PL!$E$175)/PL!$E$174</f>
        <v>0.0251341154940129</v>
      </c>
      <c r="F176" s="28" t="n">
        <f aca="false">PL!$O$176+(PL!$E$176-PL!$N$176)</f>
        <v>0.0217171685713677</v>
      </c>
      <c r="G176" s="28" t="n">
        <f aca="false">(PL!$G$177-PL!$G$173+PL!$G$175)/PL!$G$174</f>
        <v>0.0233071940458981</v>
      </c>
      <c r="H176" s="28" t="n">
        <f aca="false">PL!$G$176+step_na</f>
        <v>0.0263071940458981</v>
      </c>
      <c r="I176" s="28" t="n">
        <f aca="false">PL!$H$176+step_na</f>
        <v>0.0293071940458981</v>
      </c>
      <c r="J176" s="28" t="n">
        <f aca="false">PL!$I$176+step_na</f>
        <v>0.0323071940458981</v>
      </c>
      <c r="K176" s="28" t="n">
        <f aca="false">PL!$J$176+step_na</f>
        <v>0.0353071940458981</v>
      </c>
      <c r="L176" s="28" t="n">
        <f aca="false">PL!$K$176</f>
        <v>0.0353071940458981</v>
      </c>
      <c r="M176" s="28" t="n">
        <f aca="false">PL!$L$176</f>
        <v>0.0353071940458981</v>
      </c>
      <c r="N176" s="28" t="n">
        <f aca="false">(PL!$N$177-PL!$N$173+PL!$N$175)/PL!$N$174</f>
        <v>0.0160831323269779</v>
      </c>
      <c r="O176" s="28" t="n">
        <f aca="false">(PL!$O$177-PL!$O$173+PL!$O$175)/PL!$O$174</f>
        <v>0.0126661854043327</v>
      </c>
      <c r="P176" s="8" t="s">
        <v>724</v>
      </c>
    </row>
    <row r="177" customFormat="false" ht="17.15" hidden="false" customHeight="false" outlineLevel="0" collapsed="false">
      <c r="A177" s="1" t="s">
        <v>725</v>
      </c>
      <c r="B177" s="8" t="s">
        <v>86</v>
      </c>
      <c r="C177" s="38" t="n">
        <f aca="false">Q!$D$22</f>
        <v>24.967</v>
      </c>
      <c r="D177" s="38" t="n">
        <f aca="false">Q!$E$22</f>
        <v>29.619</v>
      </c>
      <c r="E177" s="38" t="n">
        <f aca="false">Q!$P$22</f>
        <v>17.39</v>
      </c>
      <c r="F177" s="38" t="n">
        <f aca="false">PL!$F$173+PL!$F$174*PL!$F$176-PL!$F$175</f>
        <v>20.0952307469491</v>
      </c>
      <c r="G177" s="38" t="n">
        <f aca="false">PL!$E$177+PL!$F$177</f>
        <v>37.4852307469491</v>
      </c>
      <c r="H177" s="38" t="n">
        <f aca="false">PL!$H$173+PL!$H$174*PL!$H$176-PL!$H$175</f>
        <v>41.7888688877206</v>
      </c>
      <c r="I177" s="38" t="n">
        <f aca="false">PL!$I$173+PL!$I$174*PL!$I$176-PL!$I$175</f>
        <v>44.7345973874265</v>
      </c>
      <c r="J177" s="38" t="n">
        <f aca="false">PL!$J$173+PL!$J$174*PL!$J$176-PL!$J$175</f>
        <v>47.2590435011574</v>
      </c>
      <c r="K177" s="38" t="n">
        <f aca="false">PL!$K$173+PL!$K$174*PL!$K$176-PL!$K$175</f>
        <v>49.1263799183386</v>
      </c>
      <c r="L177" s="38" t="n">
        <f aca="false">PL!$L$173+PL!$L$174*PL!$L$176-PL!$L$175</f>
        <v>51.67835368582</v>
      </c>
      <c r="M177" s="38" t="n">
        <f aca="false">PL!$M$173+PL!$M$174*PL!$M$176-PL!$M$175</f>
        <v>56.2932216308652</v>
      </c>
      <c r="N177" s="38" t="n">
        <f aca="false">Q!$N$22</f>
        <v>13.358</v>
      </c>
      <c r="O177" s="38" t="n">
        <f aca="false">Q!$O$22</f>
        <v>16.261</v>
      </c>
    </row>
    <row r="178" customFormat="false" ht="17.15" hidden="false" customHeight="false" outlineLevel="0" collapsed="false">
      <c r="A178" s="0" t="s">
        <v>726</v>
      </c>
      <c r="B178" s="0" t="s">
        <v>86</v>
      </c>
      <c r="C178" s="38" t="n">
        <f aca="false">Seg!$C$95*m_ad</f>
        <v>7.57284355857716</v>
      </c>
      <c r="D178" s="38" t="n">
        <f aca="false">Seg!$D$95*m_ad</f>
        <v>9.44543827004127</v>
      </c>
      <c r="E178" s="38" t="n">
        <f aca="false">Seg!$E$95*m_ad</f>
        <v>5.02428875377928</v>
      </c>
      <c r="F178" s="38" t="n">
        <f aca="false">Seg!$F$95*m_ad</f>
        <v>6.50663858068173</v>
      </c>
      <c r="G178" s="38" t="n">
        <f aca="false">Seg!$G$95*m_ad</f>
        <v>11.5225190751659</v>
      </c>
      <c r="H178" s="38" t="n">
        <f aca="false">Seg!$H$95*m_ad</f>
        <v>13.8333728663174</v>
      </c>
      <c r="I178" s="38" t="n">
        <f aca="false">Seg!$I$95*m_ad</f>
        <v>16.1440173245485</v>
      </c>
      <c r="J178" s="38" t="n">
        <f aca="false">Seg!$J$95*m_ad</f>
        <v>18.2995185845066</v>
      </c>
      <c r="K178" s="38" t="n">
        <f aca="false">Seg!$K$95*m_ad</f>
        <v>20.1294704429572</v>
      </c>
      <c r="L178" s="38" t="n">
        <f aca="false">Seg!$L$95*m_ad</f>
        <v>22.142417487253</v>
      </c>
      <c r="M178" s="38" t="n">
        <f aca="false">Seg!$M$95*m_ad</f>
        <v>24.3566592359783</v>
      </c>
      <c r="N178" s="38" t="n">
        <f aca="false">Seg!$N$95*m_ad</f>
        <v>3.95314442937518</v>
      </c>
      <c r="O178" s="38" t="n">
        <f aca="false">Seg!$O$95*m_ad</f>
        <v>5.50052681786011</v>
      </c>
    </row>
    <row r="179" customFormat="false" ht="17.15" hidden="false" customHeight="false" outlineLevel="0" collapsed="false">
      <c r="A179" s="0" t="s">
        <v>727</v>
      </c>
      <c r="B179" s="0" t="s">
        <v>86</v>
      </c>
      <c r="C179" s="38" t="n">
        <f aca="false">Seg!$C$93-Seg!$C$95</f>
        <v>127.760312882846</v>
      </c>
      <c r="D179" s="38" t="n">
        <f aca="false">Seg!$D$93-Seg!$D$95</f>
        <v>143.003123459917</v>
      </c>
      <c r="E179" s="38" t="n">
        <f aca="false">Seg!$E$93-Seg!$E$95</f>
        <v>71.9374224924414</v>
      </c>
      <c r="F179" s="38" t="n">
        <f aca="false">Seg!$F$93-Seg!$F$95</f>
        <v>85.3951910035875</v>
      </c>
      <c r="G179" s="38" t="n">
        <f aca="false">Seg!$G$93-Seg!$G$95</f>
        <v>157.349430014619</v>
      </c>
      <c r="H179" s="38" t="n">
        <f aca="false">Seg!$H$93-Seg!$H$95</f>
        <v>172.043153372315</v>
      </c>
      <c r="I179" s="38" t="n">
        <f aca="false">Seg!$I$93-Seg!$I$95</f>
        <v>186.097493615879</v>
      </c>
      <c r="J179" s="38" t="n">
        <f aca="false">Seg!$J$93-Seg!$J$95</f>
        <v>199.117932780497</v>
      </c>
      <c r="K179" s="38" t="n">
        <f aca="false">Seg!$K$93-Seg!$K$95</f>
        <v>210.70928698363</v>
      </c>
      <c r="L179" s="38" t="n">
        <f aca="false">Seg!$L$93-Seg!$L$95</f>
        <v>223.000532251316</v>
      </c>
      <c r="M179" s="38" t="n">
        <f aca="false">Seg!$M$93-Seg!$M$95</f>
        <v>236.035261011339</v>
      </c>
      <c r="N179" s="38" t="n">
        <f aca="false">Seg!$N$93-Seg!$N$95</f>
        <v>62.3677111412496</v>
      </c>
      <c r="O179" s="38" t="n">
        <f aca="false">Seg!$O$93-Seg!$O$95</f>
        <v>80.6189463642798</v>
      </c>
    </row>
    <row r="180" customFormat="false" ht="17.15" hidden="false" customHeight="false" outlineLevel="0" collapsed="false">
      <c r="A180" s="0" t="s">
        <v>728</v>
      </c>
      <c r="B180" s="0" t="s">
        <v>86</v>
      </c>
      <c r="C180" s="38" t="n">
        <f aca="false">Thesis!$C$171*(1-Seg!$C$91)</f>
        <v>0.0455891896019953</v>
      </c>
      <c r="D180" s="38" t="n">
        <f aca="false">Thesis!$D$171*(1-Seg!$D$91)</f>
        <v>0.227931791705753</v>
      </c>
      <c r="E180" s="38" t="n">
        <f aca="false">Thesis!$E$171*(1-Seg!$E$91)</f>
        <v>0.361164268820781</v>
      </c>
      <c r="F180" s="38" t="n">
        <f aca="false">Thesis!$F$171*(1-Seg!$F$91)</f>
        <v>0.471208018190203</v>
      </c>
      <c r="G180" s="38" t="n">
        <f aca="false">Thesis!$G$171*(1-Seg!$G$91)</f>
        <v>0.83170626714885</v>
      </c>
      <c r="H180" s="38" t="n">
        <f aca="false">Thesis!$H$171*(1-Seg!$H$91)</f>
        <v>2.35271136874315</v>
      </c>
      <c r="I180" s="38" t="n">
        <f aca="false">Thesis!$I$171*(1-Seg!$I$91)</f>
        <v>4.46305900024741</v>
      </c>
      <c r="J180" s="38" t="n">
        <f aca="false">Thesis!$J$171*(1-Seg!$J$91)</f>
        <v>6.63055328092195</v>
      </c>
      <c r="K180" s="38" t="n">
        <f aca="false">Thesis!$K$171*(1-Seg!$K$91)</f>
        <v>8.75186037365703</v>
      </c>
      <c r="L180" s="38" t="n">
        <f aca="false">Thesis!$L$171*(1-Seg!$L$91)</f>
        <v>10.2212794071718</v>
      </c>
      <c r="M180" s="38" t="n">
        <f aca="false">Thesis!$M$171*(1-Seg!$M$91)</f>
        <v>11.1280810756472</v>
      </c>
      <c r="N180" s="38" t="n">
        <f aca="false">Thesis!$N$171*(1-Seg!$N$91)</f>
        <v>0.0912435878202994</v>
      </c>
      <c r="O180" s="38" t="n">
        <f aca="false">Thesis!$O$171*(1-Seg!$O$91)</f>
        <v>0.137119578309265</v>
      </c>
    </row>
    <row r="181" customFormat="false" ht="17.15" hidden="false" customHeight="false" outlineLevel="0" collapsed="false">
      <c r="A181" s="0" t="s">
        <v>729</v>
      </c>
      <c r="B181" s="0" t="s">
        <v>52</v>
      </c>
      <c r="C181" s="28" t="n">
        <f aca="false">(PL!$C$182-PL!$C$178+PL!$C$180)/PL!$C$179</f>
        <v>-0.0292364215826579</v>
      </c>
      <c r="D181" s="28" t="n">
        <f aca="false">(PL!$D$182-PL!$D$178+PL!$D$180)/PL!$D$179</f>
        <v>-0.0312406216748665</v>
      </c>
      <c r="E181" s="28" t="n">
        <f aca="false">(PL!$E$182-PL!$E$178+PL!$E$180)/PL!$E$179</f>
        <v>-0.0211590078184749</v>
      </c>
      <c r="F181" s="28" t="n">
        <f aca="false">PL!$O$181+(PL!$E$181-PL!$N$181)</f>
        <v>-0.0382539955245511</v>
      </c>
      <c r="G181" s="28" t="n">
        <f aca="false">(PL!$G$182-PL!$G$178+PL!$G$180)/PL!$G$179</f>
        <v>-0.030385172031133</v>
      </c>
      <c r="H181" s="28" t="n">
        <f aca="false">PL!$G$181+step_in</f>
        <v>-0.030385172031133</v>
      </c>
      <c r="I181" s="28" t="n">
        <f aca="false">PL!$H$181+step_in</f>
        <v>-0.030385172031133</v>
      </c>
      <c r="J181" s="28" t="n">
        <f aca="false">PL!$I$181+step_in</f>
        <v>-0.030385172031133</v>
      </c>
      <c r="K181" s="28" t="n">
        <f aca="false">PL!$J$181+step_in</f>
        <v>-0.030385172031133</v>
      </c>
      <c r="L181" s="28" t="n">
        <f aca="false">PL!$K$181</f>
        <v>-0.030385172031133</v>
      </c>
      <c r="M181" s="28" t="n">
        <f aca="false">PL!$L$181</f>
        <v>-0.030385172031133</v>
      </c>
      <c r="N181" s="28" t="n">
        <f aca="false">(PL!$N$182-PL!$N$178+PL!$N$180)/PL!$N$179</f>
        <v>-0.0216602600421776</v>
      </c>
      <c r="O181" s="28" t="n">
        <f aca="false">(PL!$O$182-PL!$O$178+PL!$O$180)/PL!$O$179</f>
        <v>-0.0387552477482538</v>
      </c>
      <c r="P181" s="8" t="s">
        <v>724</v>
      </c>
    </row>
    <row r="182" customFormat="false" ht="17.15" hidden="false" customHeight="false" outlineLevel="0" collapsed="false">
      <c r="A182" s="1" t="s">
        <v>730</v>
      </c>
      <c r="B182" s="8" t="s">
        <v>86</v>
      </c>
      <c r="C182" s="38" t="n">
        <f aca="false">Q!$D$23</f>
        <v>3.792</v>
      </c>
      <c r="D182" s="38" t="n">
        <f aca="false">Q!$E$23</f>
        <v>4.75</v>
      </c>
      <c r="E182" s="38" t="n">
        <f aca="false">Q!$P$23</f>
        <v>3.141</v>
      </c>
      <c r="F182" s="38" t="n">
        <f aca="false">PL!$F$178+PL!$F$179*PL!$F$181-PL!$F$180</f>
        <v>2.7687233080221</v>
      </c>
      <c r="G182" s="38" t="n">
        <f aca="false">PL!$E$182+PL!$F$182</f>
        <v>5.9097233080221</v>
      </c>
      <c r="H182" s="38" t="n">
        <f aca="false">PL!$H$178+PL!$H$179*PL!$H$181-PL!$H$180</f>
        <v>6.25310068557783</v>
      </c>
      <c r="I182" s="38" t="n">
        <f aca="false">PL!$I$178+PL!$I$179*PL!$I$181-PL!$I$180</f>
        <v>6.02635396621997</v>
      </c>
      <c r="J182" s="38" t="n">
        <f aca="false">PL!$J$178+PL!$J$179*PL!$J$181-PL!$J$180</f>
        <v>5.61873266156566</v>
      </c>
      <c r="K182" s="38" t="n">
        <f aca="false">PL!$K$178+PL!$K$179*PL!$K$181-PL!$K$180</f>
        <v>4.97517213574524</v>
      </c>
      <c r="L182" s="38" t="n">
        <f aca="false">PL!$L$178+PL!$L$179*PL!$L$181-PL!$L$180</f>
        <v>5.14522854459066</v>
      </c>
      <c r="M182" s="38" t="n">
        <f aca="false">PL!$M$178+PL!$M$179*PL!$M$181-PL!$M$180</f>
        <v>6.05660614908815</v>
      </c>
      <c r="N182" s="38" t="n">
        <f aca="false">Q!$N$23</f>
        <v>2.511</v>
      </c>
      <c r="O182" s="38" t="n">
        <f aca="false">Q!$O$23</f>
        <v>2.239</v>
      </c>
    </row>
    <row r="183" customFormat="false" ht="17.15" hidden="false" customHeight="false" outlineLevel="0" collapsed="false">
      <c r="A183" s="0" t="s">
        <v>731</v>
      </c>
      <c r="B183" s="0" t="s">
        <v>86</v>
      </c>
      <c r="C183" s="38" t="n">
        <f aca="false">Thesis!$C$168</f>
        <v>1.64417882953695</v>
      </c>
      <c r="D183" s="38" t="n">
        <f aca="false">Thesis!$D$168</f>
        <v>5.39125073772939</v>
      </c>
      <c r="E183" s="38" t="n">
        <f aca="false">Thesis!$E$168</f>
        <v>3.18348617147493</v>
      </c>
      <c r="F183" s="38" t="n">
        <f aca="false">Thesis!$F$168</f>
        <v>7.45204426003557</v>
      </c>
      <c r="G183" s="38" t="n">
        <f aca="false">Thesis!$G$168</f>
        <v>10.6355304315105</v>
      </c>
      <c r="H183" s="38" t="n">
        <f aca="false">Thesis!$H$168</f>
        <v>19.4423451366374</v>
      </c>
      <c r="I183" s="38" t="n">
        <f aca="false">Thesis!$I$168</f>
        <v>23.3402882664391</v>
      </c>
      <c r="J183" s="38" t="n">
        <f aca="false">Thesis!$J$168</f>
        <v>26.5658038733873</v>
      </c>
      <c r="K183" s="38" t="n">
        <f aca="false">Thesis!$K$168</f>
        <v>25.3863338755762</v>
      </c>
      <c r="L183" s="38" t="n">
        <f aca="false">Thesis!$L$168</f>
        <v>23.5238393157556</v>
      </c>
      <c r="M183" s="38" t="n">
        <f aca="false">Thesis!$M$168</f>
        <v>19.6641197564286</v>
      </c>
      <c r="N183" s="38" t="n">
        <f aca="false">Thesis!$N$168</f>
        <v>1.67921600037079</v>
      </c>
      <c r="O183" s="38" t="n">
        <f aca="false">Thesis!$O$168</f>
        <v>3.71203473735861</v>
      </c>
    </row>
    <row r="184" customFormat="false" ht="17.15" hidden="false" customHeight="false" outlineLevel="0" collapsed="false">
      <c r="A184" s="0" t="s">
        <v>649</v>
      </c>
      <c r="B184" s="0" t="s">
        <v>86</v>
      </c>
      <c r="C184" s="38" t="n">
        <f aca="false">Thesis!$C$173</f>
        <v>38.1898211704631</v>
      </c>
      <c r="D184" s="38" t="n">
        <f aca="false">Thesis!$D$173</f>
        <v>40.2147492622706</v>
      </c>
      <c r="E184" s="38" t="n">
        <f aca="false">Thesis!$E$173</f>
        <v>27.5985138285251</v>
      </c>
      <c r="F184" s="38" t="n">
        <f aca="false">Thesis!$F$173</f>
        <v>25.5484769754606</v>
      </c>
      <c r="G184" s="38" t="n">
        <f aca="false">Thesis!$G$173</f>
        <v>53.1469908039857</v>
      </c>
      <c r="H184" s="38" t="n">
        <f aca="false">Thesis!$H$173</f>
        <v>57.3189525076539</v>
      </c>
      <c r="I184" s="38" t="n">
        <f aca="false">Thesis!$I$173</f>
        <v>63.6385627021087</v>
      </c>
      <c r="J184" s="38" t="n">
        <f aca="false">Thesis!$J$173</f>
        <v>69.6922896066105</v>
      </c>
      <c r="K184" s="38" t="n">
        <f aca="false">Thesis!$K$173</f>
        <v>75.2676727751394</v>
      </c>
      <c r="L184" s="38" t="n">
        <f aca="false">Thesis!$L$173</f>
        <v>81.2890865971505</v>
      </c>
      <c r="M184" s="38" t="n">
        <f aca="false">Thesis!$M$173</f>
        <v>87.7922135249226</v>
      </c>
      <c r="N184" s="38" t="n">
        <f aca="false">Thesis!$N$173</f>
        <v>20.0277839996292</v>
      </c>
      <c r="O184" s="38" t="n">
        <f aca="false">Thesis!$O$173</f>
        <v>20.1869652626414</v>
      </c>
    </row>
    <row r="185" customFormat="false" ht="17.15" hidden="false" customHeight="false" outlineLevel="0" collapsed="false">
      <c r="A185" s="1" t="s">
        <v>732</v>
      </c>
      <c r="B185" s="8" t="s">
        <v>86</v>
      </c>
      <c r="C185" s="38" t="n">
        <f aca="false">Q!$D$24</f>
        <v>39.834</v>
      </c>
      <c r="D185" s="38" t="n">
        <f aca="false">Q!$E$24</f>
        <v>45.606</v>
      </c>
      <c r="E185" s="38" t="n">
        <f aca="false">Q!$P$24</f>
        <v>30.782</v>
      </c>
      <c r="F185" s="38" t="n">
        <f aca="false">PL!$F$183+PL!$F$184</f>
        <v>33.0005212354962</v>
      </c>
      <c r="G185" s="38" t="n">
        <f aca="false">PL!$G$183+PL!$G$184</f>
        <v>63.7825212354962</v>
      </c>
      <c r="H185" s="38" t="n">
        <f aca="false">PL!$H$183+PL!$H$184</f>
        <v>76.7612976442914</v>
      </c>
      <c r="I185" s="38" t="n">
        <f aca="false">PL!$I$183+PL!$I$184</f>
        <v>86.9788509685478</v>
      </c>
      <c r="J185" s="38" t="n">
        <f aca="false">PL!$J$183+PL!$J$184</f>
        <v>96.2580934799979</v>
      </c>
      <c r="K185" s="38" t="n">
        <f aca="false">PL!$K$183+PL!$K$184</f>
        <v>100.654006650716</v>
      </c>
      <c r="L185" s="38" t="n">
        <f aca="false">PL!$L$183+PL!$L$184</f>
        <v>104.812925912906</v>
      </c>
      <c r="M185" s="38" t="n">
        <f aca="false">PL!$M$183+PL!$M$184</f>
        <v>107.456333281351</v>
      </c>
      <c r="N185" s="38" t="n">
        <f aca="false">Q!$N$24</f>
        <v>21.707</v>
      </c>
      <c r="O185" s="38" t="n">
        <f aca="false">Q!$O$24</f>
        <v>23.899</v>
      </c>
    </row>
    <row r="186" customFormat="false" ht="17.15" hidden="false" customHeight="false" outlineLevel="0" collapsed="false">
      <c r="A186" s="5" t="s">
        <v>733</v>
      </c>
      <c r="B186" s="0" t="s">
        <v>86</v>
      </c>
      <c r="C186" s="38" t="n">
        <f aca="false">Q!$D$26</f>
        <v>0</v>
      </c>
      <c r="D186" s="38" t="n">
        <f aca="false">Q!$E$26</f>
        <v>0</v>
      </c>
      <c r="E186" s="38" t="n">
        <f aca="false">Q!$P$26</f>
        <v>0</v>
      </c>
      <c r="F186" s="39" t="n">
        <v>0</v>
      </c>
      <c r="G186" s="38" t="n">
        <f aca="false">PL!$E$186+PL!$F$186</f>
        <v>0</v>
      </c>
      <c r="H186" s="39" t="n">
        <v>0</v>
      </c>
      <c r="I186" s="39" t="n">
        <v>0</v>
      </c>
      <c r="J186" s="39" t="n">
        <v>0</v>
      </c>
      <c r="K186" s="39" t="n">
        <v>0</v>
      </c>
      <c r="L186" s="39" t="n">
        <v>0</v>
      </c>
      <c r="M186" s="39" t="n">
        <v>0</v>
      </c>
      <c r="N186" s="38" t="n">
        <f aca="false">Q!$N$26</f>
        <v>0</v>
      </c>
      <c r="O186" s="38" t="n">
        <f aca="false">Q!$O$26</f>
        <v>0</v>
      </c>
    </row>
    <row r="187" customFormat="false" ht="15" hidden="false" customHeight="false" outlineLevel="0" collapsed="false">
      <c r="A187" s="3" t="s">
        <v>534</v>
      </c>
      <c r="B187" s="8" t="s">
        <v>86</v>
      </c>
      <c r="C187" s="38" t="n">
        <f aca="false">Q!$D$25</f>
        <v>68.593</v>
      </c>
      <c r="D187" s="38" t="n">
        <f aca="false">Q!$E$25</f>
        <v>79.975</v>
      </c>
      <c r="E187" s="38" t="n">
        <f aca="false">Q!$P$25</f>
        <v>51.313</v>
      </c>
      <c r="F187" s="38" t="n">
        <f aca="false">PL!$F$177+PL!$F$182+PL!$F$185+PL!$F$186</f>
        <v>55.8644752904674</v>
      </c>
      <c r="G187" s="38" t="n">
        <f aca="false">PL!$G$177+PL!$G$182+PL!$G$185+PL!$G$186</f>
        <v>107.177475290467</v>
      </c>
      <c r="H187" s="38" t="n">
        <f aca="false">PL!$H$177+PL!$H$182+PL!$H$185+PL!$H$186</f>
        <v>124.80326721759</v>
      </c>
      <c r="I187" s="38" t="n">
        <f aca="false">PL!$I$177+PL!$I$182+PL!$I$185+PL!$I$186</f>
        <v>137.739802322194</v>
      </c>
      <c r="J187" s="38" t="n">
        <f aca="false">PL!$J$177+PL!$J$182+PL!$J$185+PL!$J$186</f>
        <v>149.135869642721</v>
      </c>
      <c r="K187" s="38" t="n">
        <f aca="false">PL!$K$177+PL!$K$182+PL!$K$185+PL!$K$186</f>
        <v>154.755558704799</v>
      </c>
      <c r="L187" s="38" t="n">
        <f aca="false">PL!$L$177+PL!$L$182+PL!$L$185+PL!$L$186</f>
        <v>161.636508143317</v>
      </c>
      <c r="M187" s="38" t="n">
        <f aca="false">PL!$M$177+PL!$M$182+PL!$M$185+PL!$M$186</f>
        <v>169.806161061305</v>
      </c>
      <c r="N187" s="38" t="n">
        <f aca="false">Q!$N$25</f>
        <v>37.576</v>
      </c>
      <c r="O187" s="38" t="n">
        <f aca="false">Q!$O$25</f>
        <v>42.399</v>
      </c>
    </row>
    <row r="188" customFormat="false" ht="17.15" hidden="false" customHeight="false" outlineLevel="0" collapsed="false">
      <c r="A188" s="24" t="s">
        <v>767</v>
      </c>
      <c r="B188" s="25" t="s">
        <v>86</v>
      </c>
      <c r="C188" s="41" t="n">
        <f aca="false">PL!$C$177+PL!$C$182+PL!$C$185+PL!$C$186-PL!$C$187</f>
        <v>0</v>
      </c>
      <c r="D188" s="41" t="n">
        <f aca="false">PL!$D$177+PL!$D$182+PL!$D$185+PL!$D$186-PL!$D$187</f>
        <v>0</v>
      </c>
      <c r="E188" s="41" t="n">
        <f aca="false">PL!$E$177+PL!$E$182+PL!$E$185+PL!$E$186-PL!$E$187</f>
        <v>0</v>
      </c>
      <c r="F188" s="41" t="n">
        <f aca="false">PL!$F$177+PL!$F$182+PL!$F$185+PL!$F$186-PL!$F$187</f>
        <v>0</v>
      </c>
      <c r="G188" s="41" t="n">
        <f aca="false">PL!$G$177+PL!$G$182+PL!$G$185+PL!$G$186-PL!$G$187</f>
        <v>0</v>
      </c>
      <c r="H188" s="41" t="n">
        <f aca="false">PL!$H$177+PL!$H$182+PL!$H$185+PL!$H$186-PL!$H$187</f>
        <v>0</v>
      </c>
      <c r="I188" s="41" t="n">
        <f aca="false">PL!$I$177+PL!$I$182+PL!$I$185+PL!$I$186-PL!$I$187</f>
        <v>0</v>
      </c>
      <c r="J188" s="41" t="n">
        <f aca="false">PL!$J$177+PL!$J$182+PL!$J$185+PL!$J$186-PL!$J$187</f>
        <v>0</v>
      </c>
      <c r="K188" s="41" t="n">
        <f aca="false">PL!$K$177+PL!$K$182+PL!$K$185+PL!$K$186-PL!$K$187</f>
        <v>0</v>
      </c>
      <c r="L188" s="41" t="n">
        <f aca="false">PL!$L$177+PL!$L$182+PL!$L$185+PL!$L$186-PL!$L$187</f>
        <v>0</v>
      </c>
      <c r="M188" s="41" t="n">
        <f aca="false">PL!$M$177+PL!$M$182+PL!$M$185+PL!$M$186-PL!$M$187</f>
        <v>0</v>
      </c>
      <c r="N188" s="41" t="n">
        <f aca="false">PL!$N$177+PL!$N$182+PL!$N$185+PL!$N$186-PL!$N$187</f>
        <v>0</v>
      </c>
      <c r="O188" s="41" t="n">
        <f aca="false">PL!$O$177+PL!$O$182+PL!$O$185+PL!$O$186-PL!$O$187</f>
        <v>0</v>
      </c>
    </row>
    <row r="189" customFormat="false" ht="17.15" hidden="false" customHeight="false" outlineLevel="0" collapsed="false">
      <c r="A189" s="5" t="s">
        <v>735</v>
      </c>
      <c r="B189" s="0" t="s">
        <v>86</v>
      </c>
      <c r="C189" s="38" t="n">
        <f aca="false">Thesis!$C$170</f>
        <v>0</v>
      </c>
      <c r="D189" s="38" t="n">
        <f aca="false">Thesis!$D$170</f>
        <v>0</v>
      </c>
      <c r="E189" s="38" t="n">
        <f aca="false">Thesis!$E$170</f>
        <v>0</v>
      </c>
      <c r="F189" s="38" t="n">
        <f aca="false">Thesis!$F$170</f>
        <v>3.77122048175818</v>
      </c>
      <c r="G189" s="38" t="n">
        <f aca="false">Thesis!$G$170</f>
        <v>3.77122048175818</v>
      </c>
      <c r="H189" s="38" t="n">
        <f aca="false">Thesis!$H$170</f>
        <v>15.1635543609893</v>
      </c>
      <c r="I189" s="38" t="n">
        <f aca="false">Thesis!$I$170</f>
        <v>25.5818843619889</v>
      </c>
      <c r="J189" s="38" t="n">
        <f aca="false">Thesis!$J$170</f>
        <v>36.0465624179122</v>
      </c>
      <c r="K189" s="38" t="n">
        <f aca="false">Thesis!$K$170</f>
        <v>44.9741164026038</v>
      </c>
      <c r="L189" s="38" t="n">
        <f aca="false">Thesis!$L$170</f>
        <v>50.8413488057813</v>
      </c>
      <c r="M189" s="38" t="n">
        <f aca="false">Thesis!$M$170</f>
        <v>53.6407214274315</v>
      </c>
      <c r="N189" s="38" t="n">
        <f aca="false">Thesis!$N$170</f>
        <v>0</v>
      </c>
      <c r="O189" s="38" t="n">
        <f aca="false">Thesis!$O$170</f>
        <v>0</v>
      </c>
      <c r="P189" s="5" t="s">
        <v>736</v>
      </c>
    </row>
    <row r="190" customFormat="false" ht="17.15" hidden="false" customHeight="false" outlineLevel="0" collapsed="false">
      <c r="A190" s="5" t="s">
        <v>737</v>
      </c>
      <c r="B190" s="0" t="s">
        <v>86</v>
      </c>
      <c r="C190" s="38" t="n">
        <f aca="false">PL!$C$187+PL!$C$189</f>
        <v>68.593</v>
      </c>
      <c r="D190" s="38" t="n">
        <f aca="false">PL!$D$187+PL!$D$189</f>
        <v>79.975</v>
      </c>
      <c r="E190" s="38" t="n">
        <f aca="false">PL!$E$187+PL!$E$189</f>
        <v>51.313</v>
      </c>
      <c r="F190" s="38" t="n">
        <f aca="false">PL!$F$187+PL!$F$189</f>
        <v>59.6356957722256</v>
      </c>
      <c r="G190" s="38" t="n">
        <f aca="false">PL!$G$187+PL!$G$189</f>
        <v>110.948695772226</v>
      </c>
      <c r="H190" s="38" t="n">
        <f aca="false">PL!$H$187+PL!$H$189</f>
        <v>139.966821578579</v>
      </c>
      <c r="I190" s="38" t="n">
        <f aca="false">PL!$I$187+PL!$I$189</f>
        <v>163.321686684183</v>
      </c>
      <c r="J190" s="38" t="n">
        <f aca="false">PL!$J$187+PL!$J$189</f>
        <v>185.182432060633</v>
      </c>
      <c r="K190" s="38" t="n">
        <f aca="false">PL!$K$187+PL!$K$189</f>
        <v>199.729675107403</v>
      </c>
      <c r="L190" s="38" t="n">
        <f aca="false">PL!$L$187+PL!$L$189</f>
        <v>212.477856949098</v>
      </c>
      <c r="M190" s="38" t="n">
        <f aca="false">PL!$M$187+PL!$M$189</f>
        <v>223.446882488736</v>
      </c>
      <c r="N190" s="38" t="n">
        <f aca="false">PL!$N$187+PL!$N$189</f>
        <v>37.576</v>
      </c>
      <c r="O190" s="38" t="n">
        <f aca="false">PL!$O$187+PL!$O$189</f>
        <v>42.399</v>
      </c>
    </row>
    <row r="191" customFormat="false" ht="17.15" hidden="false" customHeight="false" outlineLevel="0" collapsed="false">
      <c r="A191" s="0" t="s">
        <v>738</v>
      </c>
      <c r="B191" s="0" t="s">
        <v>52</v>
      </c>
      <c r="C191" s="13" t="n">
        <f aca="false">PL!$C$177/PL!$C$162</f>
        <v>0.0644314665661928</v>
      </c>
      <c r="D191" s="13" t="n">
        <f aca="false">PL!$D$177/PL!$D$162</f>
        <v>0.0694784250712518</v>
      </c>
      <c r="E191" s="13" t="n">
        <f aca="false">PL!$E$177/PL!$E$162</f>
        <v>0.0789306463326071</v>
      </c>
      <c r="F191" s="13" t="n">
        <f aca="false">PL!$F$177/PL!$F$162</f>
        <v>0.0801757457241943</v>
      </c>
      <c r="G191" s="13" t="n">
        <f aca="false">PL!$G$177/PL!$G$162</f>
        <v>0.0795932749625682</v>
      </c>
      <c r="H191" s="13" t="n">
        <f aca="false">PL!$H$177/PL!$H$162</f>
        <v>0.0801494276915951</v>
      </c>
      <c r="I191" s="13" t="n">
        <f aca="false">PL!$I$177/PL!$I$162</f>
        <v>0.0784619467108939</v>
      </c>
      <c r="J191" s="13" t="n">
        <f aca="false">PL!$J$177/PL!$J$162</f>
        <v>0.0767950945569155</v>
      </c>
      <c r="K191" s="13" t="n">
        <f aca="false">PL!$K$177/PL!$K$162</f>
        <v>0.0749782708028101</v>
      </c>
      <c r="L191" s="13" t="n">
        <f aca="false">PL!$L$177/PL!$L$162</f>
        <v>0.0740581549602486</v>
      </c>
      <c r="M191" s="13" t="n">
        <f aca="false">PL!$M$177/PL!$M$162</f>
        <v>0.075724068445432</v>
      </c>
      <c r="N191" s="13" t="n">
        <f aca="false">PL!$N$177/PL!$N$162</f>
        <v>0.069228576611127</v>
      </c>
      <c r="O191" s="13" t="n">
        <f aca="false">PL!$O$177/PL!$O$162</f>
        <v>0.069685022498393</v>
      </c>
    </row>
    <row r="192" customFormat="false" ht="17.15" hidden="false" customHeight="false" outlineLevel="0" collapsed="false">
      <c r="A192" s="0" t="s">
        <v>739</v>
      </c>
      <c r="B192" s="0" t="s">
        <v>52</v>
      </c>
      <c r="C192" s="13" t="n">
        <f aca="false">PL!$C$182/PL!$C$163</f>
        <v>0.026534925055631</v>
      </c>
      <c r="D192" s="13" t="n">
        <f aca="false">PL!$D$182/PL!$D$163</f>
        <v>0.0293401855535103</v>
      </c>
      <c r="E192" s="13" t="n">
        <f aca="false">PL!$E$182/PL!$E$163</f>
        <v>0.03831141902276</v>
      </c>
      <c r="F192" s="13" t="n">
        <f aca="false">PL!$F$182/PL!$F$163</f>
        <v>0.0281350107328284</v>
      </c>
      <c r="G192" s="13" t="n">
        <f aca="false">PL!$G$182/PL!$G$163</f>
        <v>0.0327600029432073</v>
      </c>
      <c r="H192" s="13" t="n">
        <f aca="false">PL!$H$182/PL!$H$163</f>
        <v>0.031310920057557</v>
      </c>
      <c r="I192" s="13" t="n">
        <f aca="false">PL!$I$182/PL!$I$163</f>
        <v>0.0275950243319601</v>
      </c>
      <c r="J192" s="13" t="n">
        <f aca="false">PL!$J$182/PL!$J$163</f>
        <v>0.0238367762099147</v>
      </c>
      <c r="K192" s="13" t="n">
        <f aca="false">PL!$K$182/PL!$K$163</f>
        <v>0.0198239122855479</v>
      </c>
      <c r="L192" s="13" t="n">
        <f aca="false">PL!$L$182/PL!$L$163</f>
        <v>0.0192499447238486</v>
      </c>
      <c r="M192" s="13" t="n">
        <f aca="false">PL!$M$182/PL!$M$163</f>
        <v>0.0212700135680342</v>
      </c>
      <c r="N192" s="13" t="n">
        <f aca="false">PL!$N$182/PL!$N$163</f>
        <v>0.0357315650169337</v>
      </c>
      <c r="O192" s="13" t="n">
        <f aca="false">PL!$O$182/PL!$O$163</f>
        <v>0.0244378956559703</v>
      </c>
    </row>
    <row r="193" customFormat="false" ht="17.15" hidden="false" customHeight="false" outlineLevel="0" collapsed="false">
      <c r="A193" s="14" t="s">
        <v>740</v>
      </c>
      <c r="B193" s="14" t="s">
        <v>52</v>
      </c>
      <c r="C193" s="17" t="n">
        <f aca="false">PL!$C$185/PL!$C$164</f>
        <v>0.370355907620217</v>
      </c>
      <c r="D193" s="17" t="n">
        <f aca="false">PL!$D$185/PL!$D$164</f>
        <v>0.35429015342785</v>
      </c>
      <c r="E193" s="17" t="n">
        <f aca="false">PL!$E$185/PL!$E$164</f>
        <v>0.385647527531039</v>
      </c>
      <c r="F193" s="17" t="n">
        <f aca="false">PL!$F$185/PL!$F$164</f>
        <v>0.384143665926503</v>
      </c>
      <c r="G193" s="17" t="n">
        <f aca="false">PL!$G$185/PL!$G$164</f>
        <v>0.384867975535845</v>
      </c>
      <c r="H193" s="17" t="n">
        <f aca="false">PL!$H$185/PL!$H$164</f>
        <v>0.357962712812484</v>
      </c>
      <c r="I193" s="17" t="n">
        <f aca="false">PL!$I$185/PL!$I$164</f>
        <v>0.326289575827886</v>
      </c>
      <c r="J193" s="17" t="n">
        <f aca="false">PL!$J$185/PL!$J$164</f>
        <v>0.302597850053037</v>
      </c>
      <c r="K193" s="17" t="n">
        <f aca="false">PL!$K$185/PL!$K$164</f>
        <v>0.277111201943192</v>
      </c>
      <c r="L193" s="17" t="n">
        <f aca="false">PL!$L$185/PL!$L$164</f>
        <v>0.262359468477158</v>
      </c>
      <c r="M193" s="17" t="n">
        <f aca="false">PL!$M$185/PL!$M$164</f>
        <v>0.251650325069435</v>
      </c>
      <c r="N193" s="17" t="n">
        <f aca="false">PL!$N$185/PL!$N$164</f>
        <v>0.360941137346192</v>
      </c>
      <c r="O193" s="17" t="n">
        <f aca="false">PL!$O$185/PL!$O$164</f>
        <v>0.348458117664212</v>
      </c>
    </row>
    <row r="194" customFormat="false" ht="17.15" hidden="false" customHeight="false" outlineLevel="0" collapsed="false">
      <c r="A194" s="0" t="s">
        <v>741</v>
      </c>
      <c r="B194" s="0" t="s">
        <v>52</v>
      </c>
      <c r="C194" s="13" t="n">
        <f aca="false">PL!$C$183/PL!$C$165</f>
        <v>0.708390794789371</v>
      </c>
      <c r="D194" s="13" t="n">
        <f aca="false">PL!$D$183/PL!$D$165</f>
        <v>0.619415573115729</v>
      </c>
      <c r="E194" s="13" t="n">
        <f aca="false">PL!$E$183/PL!$E$165</f>
        <v>0.374072166056273</v>
      </c>
      <c r="F194" s="13" t="n">
        <f aca="false">PL!$F$183/PL!$F$165</f>
        <v>0.527114967147693</v>
      </c>
      <c r="G194" s="13" t="n">
        <f aca="false">PL!$G$183/PL!$G$165</f>
        <v>0.469606071511127</v>
      </c>
      <c r="H194" s="13" t="n">
        <f aca="false">PL!$H$183/PL!$H$165</f>
        <v>0.363936945882096</v>
      </c>
      <c r="I194" s="13" t="n">
        <f aca="false">PL!$I$183/PL!$I$165</f>
        <v>0.265835486569301</v>
      </c>
      <c r="J194" s="13" t="n">
        <f aca="false">PL!$J$183/PL!$J$165</f>
        <v>0.217164833112518</v>
      </c>
      <c r="K194" s="13" t="n">
        <f aca="false">PL!$K$183/PL!$K$165</f>
        <v>0.167248108141527</v>
      </c>
      <c r="L194" s="13" t="n">
        <f aca="false">PL!$L$183/PL!$L$165</f>
        <v>0.137446849193894</v>
      </c>
      <c r="M194" s="13" t="n">
        <f aca="false">PL!$M$183/PL!$M$165</f>
        <v>0.109011498005096</v>
      </c>
      <c r="N194" s="13" t="n">
        <f aca="false">PL!$N$183/PL!$N$165</f>
        <v>0.551227795793364</v>
      </c>
      <c r="O194" s="13" t="n">
        <f aca="false">PL!$O$183/PL!$O$165</f>
        <v>0.656132068597002</v>
      </c>
    </row>
    <row r="195" customFormat="false" ht="15" hidden="false" customHeight="false" outlineLevel="0" collapsed="false">
      <c r="A195" s="5" t="s">
        <v>742</v>
      </c>
      <c r="B195" s="0" t="s">
        <v>52</v>
      </c>
      <c r="C195" s="13" t="n">
        <f aca="false">PL!$C$187/PL!$C$167</f>
        <v>0.107519448742004</v>
      </c>
      <c r="D195" s="13" t="n">
        <f aca="false">PL!$D$187/PL!$D$167</f>
        <v>0.111552967957552</v>
      </c>
      <c r="E195" s="13" t="n">
        <f aca="false">PL!$E$187/PL!$E$167</f>
        <v>0.13428328426562</v>
      </c>
      <c r="F195" s="13" t="n">
        <f aca="false">PL!$F$187/PL!$F$167</f>
        <v>0.128437379932984</v>
      </c>
      <c r="G195" s="13" t="n">
        <f aca="false">PL!$G$187/PL!$G$167</f>
        <v>0.131171342710056</v>
      </c>
      <c r="H195" s="13" t="n">
        <f aca="false">PL!$H$187/PL!$H$167</f>
        <v>0.133402918711762</v>
      </c>
      <c r="I195" s="13" t="n">
        <f aca="false">PL!$I$187/PL!$I$167</f>
        <v>0.13054681672312</v>
      </c>
      <c r="J195" s="13" t="n">
        <f aca="false">PL!$J$187/PL!$J$167</f>
        <v>0.127552235336667</v>
      </c>
      <c r="K195" s="13" t="n">
        <f aca="false">PL!$K$187/PL!$K$167</f>
        <v>0.121912126630493</v>
      </c>
      <c r="L195" s="13" t="n">
        <f aca="false">PL!$L$187/PL!$L$167</f>
        <v>0.118450227902899</v>
      </c>
      <c r="M195" s="13" t="n">
        <f aca="false">PL!$M$187/PL!$M$167</f>
        <v>0.116692878828998</v>
      </c>
      <c r="N195" s="13" t="n">
        <f aca="false">PL!$N$187/PL!$N$167</f>
        <v>0.116201614873411</v>
      </c>
      <c r="O195" s="13" t="n">
        <f aca="false">PL!$O$187/PL!$O$167</f>
        <v>0.107733353660861</v>
      </c>
    </row>
    <row r="196" customFormat="false" ht="17.15" hidden="false" customHeight="false" outlineLevel="0" collapsed="false">
      <c r="A196" s="1" t="s">
        <v>743</v>
      </c>
    </row>
    <row r="197" customFormat="false" ht="17.15" hidden="false" customHeight="false" outlineLevel="0" collapsed="false">
      <c r="A197" s="5" t="s">
        <v>744</v>
      </c>
      <c r="B197" s="0" t="s">
        <v>52</v>
      </c>
      <c r="D197" s="28" t="n">
        <f aca="false">(Q!$E$29+Q!$E$30-(1-ext_sh)*Thesis!$D$164)/Seg!$D$90</f>
        <v>0.0341105596409988</v>
      </c>
    </row>
    <row r="198" customFormat="false" ht="17.15" hidden="false" customHeight="false" outlineLevel="0" collapsed="false">
      <c r="A198" s="0" t="s">
        <v>538</v>
      </c>
      <c r="B198" s="0" t="s">
        <v>86</v>
      </c>
      <c r="C198" s="38" t="n">
        <f aca="false">Q!$D$29</f>
        <v>14.285</v>
      </c>
      <c r="D198" s="38" t="n">
        <f aca="false">Q!$E$29</f>
        <v>15.503</v>
      </c>
      <c r="E198" s="38" t="n">
        <f aca="false">Q!$P$29</f>
        <v>8.78</v>
      </c>
      <c r="F198" s="38" t="n">
        <f aca="false">(PL!$D$197*Seg!$F$90+(1-ext_sh)*Thesis!$F$164)*Seg!$F$91</f>
        <v>9.16735846116642</v>
      </c>
      <c r="G198" s="38" t="n">
        <f aca="false">PL!$E$198+PL!$F$198</f>
        <v>17.9473584611664</v>
      </c>
      <c r="H198" s="38" t="n">
        <f aca="false">(PL!$D$197*Seg!$H$90+(1-ext_sh)*Thesis!$H$164)*Seg!$H$91</f>
        <v>21.6406723110177</v>
      </c>
      <c r="I198" s="38" t="n">
        <f aca="false">(PL!$D$197*Seg!$I$90+(1-ext_sh)*Thesis!$I$164)*Seg!$I$91</f>
        <v>27.3128215555087</v>
      </c>
      <c r="J198" s="38" t="n">
        <f aca="false">(PL!$D$197*Seg!$J$90+(1-ext_sh)*Thesis!$J$164)*Seg!$J$91</f>
        <v>33.0116861885756</v>
      </c>
      <c r="K198" s="38" t="n">
        <f aca="false">(PL!$D$197*Seg!$K$90+(1-ext_sh)*Thesis!$K$164)*Seg!$K$91</f>
        <v>38.6250238720245</v>
      </c>
      <c r="L198" s="38" t="n">
        <f aca="false">(PL!$D$197*Seg!$L$90+(1-ext_sh)*Thesis!$L$164)*Seg!$L$91</f>
        <v>43.0711535197861</v>
      </c>
      <c r="M198" s="38" t="n">
        <f aca="false">(PL!$D$197*Seg!$M$90+(1-ext_sh)*Thesis!$M$164)*Seg!$M$91</f>
        <v>46.590728630326</v>
      </c>
      <c r="N198" s="38" t="n">
        <f aca="false">Q!$N$29</f>
        <v>7.272</v>
      </c>
      <c r="O198" s="38" t="n">
        <f aca="false">Q!$O$29</f>
        <v>8.231</v>
      </c>
    </row>
    <row r="199" customFormat="false" ht="17.15" hidden="false" customHeight="false" outlineLevel="0" collapsed="false">
      <c r="A199" s="0" t="s">
        <v>540</v>
      </c>
      <c r="B199" s="0" t="s">
        <v>86</v>
      </c>
      <c r="C199" s="38" t="n">
        <f aca="false">Q!$D$30</f>
        <v>4.462</v>
      </c>
      <c r="D199" s="38" t="n">
        <f aca="false">Q!$E$30</f>
        <v>4.907</v>
      </c>
      <c r="E199" s="38" t="n">
        <f aca="false">Q!$P$30</f>
        <v>2.57</v>
      </c>
      <c r="F199" s="38" t="n">
        <f aca="false">(PL!$D$197*Seg!$F$90+(1-ext_sh)*Thesis!$F$164)*(1-Seg!$F$91)</f>
        <v>3.59937168293151</v>
      </c>
      <c r="G199" s="38" t="n">
        <f aca="false">PL!$E$199+PL!$F$199</f>
        <v>6.16937168293151</v>
      </c>
      <c r="H199" s="38" t="n">
        <f aca="false">(PL!$D$197*Seg!$H$90+(1-ext_sh)*Thesis!$H$164)*(1-Seg!$H$91)</f>
        <v>8.28915290031442</v>
      </c>
      <c r="I199" s="38" t="n">
        <f aca="false">(PL!$D$197*Seg!$I$90+(1-ext_sh)*Thesis!$I$164)*(1-Seg!$I$91)</f>
        <v>10.4617892992793</v>
      </c>
      <c r="J199" s="38" t="n">
        <f aca="false">(PL!$D$197*Seg!$J$90+(1-ext_sh)*Thesis!$J$164)*(1-Seg!$J$91)</f>
        <v>12.6446586493057</v>
      </c>
      <c r="K199" s="38" t="n">
        <f aca="false">(PL!$D$197*Seg!$K$90+(1-ext_sh)*Thesis!$K$164)*(1-Seg!$K$91)</f>
        <v>14.7947681131192</v>
      </c>
      <c r="L199" s="38" t="n">
        <f aca="false">(PL!$D$197*Seg!$L$90+(1-ext_sh)*Thesis!$L$164)*(1-Seg!$L$91)</f>
        <v>16.4977950771268</v>
      </c>
      <c r="M199" s="38" t="n">
        <f aca="false">(PL!$D$197*Seg!$M$90+(1-ext_sh)*Thesis!$M$164)*(1-Seg!$M$91)</f>
        <v>17.8459184540772</v>
      </c>
      <c r="N199" s="38" t="n">
        <f aca="false">Q!$N$30</f>
        <v>2.316</v>
      </c>
      <c r="O199" s="38" t="n">
        <f aca="false">Q!$O$30</f>
        <v>2.591</v>
      </c>
    </row>
    <row r="200" customFormat="false" ht="17.15" hidden="false" customHeight="false" outlineLevel="0" collapsed="false">
      <c r="A200" s="0" t="s">
        <v>541</v>
      </c>
      <c r="B200" s="0" t="s">
        <v>86</v>
      </c>
      <c r="C200" s="38" t="n">
        <f aca="false">Thesis!$C$176</f>
        <v>13.32</v>
      </c>
      <c r="D200" s="38" t="n">
        <f aca="false">Thesis!$D$176</f>
        <v>21.45</v>
      </c>
      <c r="E200" s="38" t="n">
        <f aca="false">Thesis!$E$176</f>
        <v>15.353</v>
      </c>
      <c r="F200" s="38" t="n">
        <f aca="false">Thesis!$F$176</f>
        <v>15.4404120185306</v>
      </c>
      <c r="G200" s="38" t="n">
        <f aca="false">Thesis!$G$176</f>
        <v>30.7934120185306</v>
      </c>
      <c r="H200" s="38" t="n">
        <f aca="false">Thesis!$H$176</f>
        <v>48.250114371455</v>
      </c>
      <c r="I200" s="38" t="n">
        <f aca="false">Thesis!$I$176</f>
        <v>73.3965146995963</v>
      </c>
      <c r="J200" s="38" t="n">
        <f aca="false">Thesis!$J$176</f>
        <v>99.22806138309</v>
      </c>
      <c r="K200" s="38" t="n">
        <f aca="false">Thesis!$K$176</f>
        <v>125.386627452856</v>
      </c>
      <c r="L200" s="38" t="n">
        <f aca="false">Thesis!$L$176</f>
        <v>144.77239043275</v>
      </c>
      <c r="M200" s="38" t="n">
        <f aca="false">Thesis!$M$176</f>
        <v>158.693930910983</v>
      </c>
      <c r="N200" s="38" t="n">
        <f aca="false">Thesis!$N$176</f>
        <v>9.234</v>
      </c>
      <c r="O200" s="38" t="n">
        <f aca="false">Thesis!$O$176</f>
        <v>12.216</v>
      </c>
    </row>
    <row r="201" customFormat="false" ht="17.15" hidden="false" customHeight="false" outlineLevel="0" collapsed="false">
      <c r="A201" s="5" t="s">
        <v>745</v>
      </c>
      <c r="B201" s="0" t="s">
        <v>86</v>
      </c>
      <c r="C201" s="38" t="n">
        <f aca="false">PL!$C$198+PL!$C$199+PL!$C$200</f>
        <v>32.067</v>
      </c>
      <c r="D201" s="38" t="n">
        <f aca="false">PL!$D$198+PL!$D$199+PL!$D$200</f>
        <v>41.86</v>
      </c>
      <c r="E201" s="38" t="n">
        <f aca="false">PL!$E$198+PL!$E$199+PL!$E$200</f>
        <v>26.703</v>
      </c>
      <c r="F201" s="38" t="n">
        <f aca="false">PL!$F$198+PL!$F$199+PL!$F$200</f>
        <v>28.2071421626285</v>
      </c>
      <c r="G201" s="38" t="n">
        <f aca="false">PL!$G$198+PL!$G$199+PL!$G$200</f>
        <v>54.9101421626285</v>
      </c>
      <c r="H201" s="38" t="n">
        <f aca="false">PL!$H$198+PL!$H$199+PL!$H$200</f>
        <v>78.1799395827871</v>
      </c>
      <c r="I201" s="38" t="n">
        <f aca="false">PL!$I$198+PL!$I$199+PL!$I$200</f>
        <v>111.171125554384</v>
      </c>
      <c r="J201" s="38" t="n">
        <f aca="false">PL!$J$198+PL!$J$199+PL!$J$200</f>
        <v>144.884406220971</v>
      </c>
      <c r="K201" s="38" t="n">
        <f aca="false">PL!$K$198+PL!$K$199+PL!$K$200</f>
        <v>178.806419437999</v>
      </c>
      <c r="L201" s="38" t="n">
        <f aca="false">PL!$L$198+PL!$L$199+PL!$L$200</f>
        <v>204.341339029663</v>
      </c>
      <c r="M201" s="38" t="n">
        <f aca="false">PL!$M$198+PL!$M$199+PL!$M$200</f>
        <v>223.130577995387</v>
      </c>
      <c r="N201" s="38" t="n">
        <f aca="false">PL!$N$198+PL!$N$199+PL!$N$200</f>
        <v>18.822</v>
      </c>
      <c r="O201" s="38" t="n">
        <f aca="false">PL!$O$198+PL!$O$199+PL!$O$200</f>
        <v>23.038</v>
      </c>
    </row>
    <row r="202" customFormat="false" ht="17.15" hidden="false" customHeight="false" outlineLevel="0" collapsed="false">
      <c r="A202" s="0" t="s">
        <v>746</v>
      </c>
      <c r="B202" s="0" t="s">
        <v>86</v>
      </c>
      <c r="C202" s="38" t="n">
        <f aca="false">PL!$C$173+PL!$C$178</f>
        <v>28.107</v>
      </c>
      <c r="D202" s="38" t="n">
        <f aca="false">PL!$D$173+PL!$D$178</f>
        <v>34.3175</v>
      </c>
      <c r="E202" s="38" t="n">
        <f aca="false">PL!$E$173+PL!$E$178</f>
        <v>18.526</v>
      </c>
      <c r="F202" s="38" t="n">
        <f aca="false">PL!$F$173+PL!$F$178</f>
        <v>23.0786109972074</v>
      </c>
      <c r="G202" s="38" t="n">
        <f aca="false">PL!$G$173+PL!$G$178</f>
        <v>41.6046109972074</v>
      </c>
      <c r="H202" s="38" t="n">
        <f aca="false">PL!$H$173+PL!$H$178</f>
        <v>49.9484611939488</v>
      </c>
      <c r="I202" s="38" t="n">
        <f aca="false">PL!$I$173+PL!$I$178</f>
        <v>58.2915555477481</v>
      </c>
      <c r="J202" s="38" t="n">
        <f aca="false">PL!$J$173+PL!$J$178</f>
        <v>66.0744709709759</v>
      </c>
      <c r="K202" s="38" t="n">
        <f aca="false">PL!$K$173+PL!$K$178</f>
        <v>72.6819180680735</v>
      </c>
      <c r="L202" s="38" t="n">
        <f aca="false">PL!$L$173+PL!$L$178</f>
        <v>79.9501098748808</v>
      </c>
      <c r="M202" s="38" t="n">
        <f aca="false">PL!$M$173+PL!$M$178</f>
        <v>87.9451208623689</v>
      </c>
      <c r="N202" s="38" t="n">
        <f aca="false">PL!$N$173+PL!$N$178</f>
        <v>14.8075</v>
      </c>
      <c r="O202" s="38" t="n">
        <f aca="false">PL!$O$173+PL!$O$178</f>
        <v>19.51</v>
      </c>
    </row>
    <row r="203" customFormat="false" ht="17.15" hidden="false" customHeight="false" outlineLevel="0" collapsed="false">
      <c r="A203" s="0" t="s">
        <v>747</v>
      </c>
      <c r="B203" s="0" t="s">
        <v>86</v>
      </c>
      <c r="C203" s="38" t="n">
        <f aca="false">PL!$C$177+PL!$C$182+PL!$C$198+PL!$C$199-PL!$C$202</f>
        <v>19.399</v>
      </c>
      <c r="D203" s="38" t="n">
        <f aca="false">PL!$D$177+PL!$D$182+PL!$D$198+PL!$D$199-PL!$D$202</f>
        <v>20.4615</v>
      </c>
      <c r="E203" s="38" t="n">
        <f aca="false">PL!$E$177+PL!$E$182+PL!$E$198+PL!$E$199-PL!$E$202</f>
        <v>13.355</v>
      </c>
      <c r="F203" s="38" t="n">
        <f aca="false">PL!$F$177+PL!$F$182+PL!$F$198+PL!$F$199-PL!$F$202</f>
        <v>12.5520732018618</v>
      </c>
      <c r="G203" s="38" t="n">
        <f aca="false">PL!$G$177+PL!$G$182+PL!$G$198+PL!$G$199-PL!$G$202</f>
        <v>25.9070732018618</v>
      </c>
      <c r="H203" s="38" t="n">
        <f aca="false">PL!$H$177+PL!$H$182+PL!$H$198+PL!$H$199-PL!$H$202</f>
        <v>28.0233335906818</v>
      </c>
      <c r="I203" s="38" t="n">
        <f aca="false">PL!$I$177+PL!$I$182+PL!$I$198+PL!$I$199-PL!$I$202</f>
        <v>30.2440066606864</v>
      </c>
      <c r="J203" s="38" t="n">
        <f aca="false">PL!$J$177+PL!$J$182+PL!$J$198+PL!$J$199-PL!$J$202</f>
        <v>32.4596500296286</v>
      </c>
      <c r="K203" s="38" t="n">
        <f aca="false">PL!$K$177+PL!$K$182+PL!$K$198+PL!$K$199-PL!$K$202</f>
        <v>34.839425971154</v>
      </c>
      <c r="L203" s="38" t="n">
        <f aca="false">PL!$L$177+PL!$L$182+PL!$L$198+PL!$L$199-PL!$L$202</f>
        <v>36.4424209524427</v>
      </c>
      <c r="M203" s="38" t="n">
        <f aca="false">PL!$M$177+PL!$M$182+PL!$M$198+PL!$M$199-PL!$M$202</f>
        <v>38.8413540019876</v>
      </c>
      <c r="N203" s="38" t="n">
        <f aca="false">PL!$N$177+PL!$N$182+PL!$N$198+PL!$N$199-PL!$N$202</f>
        <v>10.6495</v>
      </c>
      <c r="O203" s="38" t="n">
        <f aca="false">PL!$O$177+PL!$O$182+PL!$O$198+PL!$O$199-PL!$O$202</f>
        <v>9.81200000000001</v>
      </c>
    </row>
    <row r="204" customFormat="false" ht="17.15" hidden="false" customHeight="false" outlineLevel="0" collapsed="false">
      <c r="A204" s="0" t="s">
        <v>748</v>
      </c>
      <c r="B204" s="0" t="s">
        <v>86</v>
      </c>
      <c r="C204" s="38" t="n">
        <f aca="false">PL!$C$184+PL!$C$200-ext_sh*Thesis!$C$164</f>
        <v>51.3470500115664</v>
      </c>
      <c r="D204" s="38" t="n">
        <f aca="false">PL!$D$184+PL!$D$200-ext_sh*Thesis!$D$164</f>
        <v>60.2799375433739</v>
      </c>
      <c r="E204" s="38" t="n">
        <f aca="false">PL!$E$184+PL!$E$200-ext_sh*Thesis!$E$164</f>
        <v>39.5095167090767</v>
      </c>
      <c r="F204" s="38" t="n">
        <f aca="false">PL!$F$184+PL!$F$200-ext_sh*Thesis!$F$164</f>
        <v>37.5468918745429</v>
      </c>
      <c r="G204" s="38" t="n">
        <f aca="false">PL!$G$184+PL!$G$200-ext_sh*Thesis!$G$164</f>
        <v>77.0564085836196</v>
      </c>
      <c r="H204" s="38" t="n">
        <f aca="false">PL!$H$184+PL!$H$200-ext_sh*Thesis!$H$164</f>
        <v>84.2378398616123</v>
      </c>
      <c r="I204" s="38" t="n">
        <f aca="false">PL!$I$184+PL!$I$200-ext_sh*Thesis!$I$164</f>
        <v>93.5253492849083</v>
      </c>
      <c r="J204" s="38" t="n">
        <f aca="false">PL!$J$184+PL!$J$200-ext_sh*Thesis!$J$164</f>
        <v>102.42210777817</v>
      </c>
      <c r="K204" s="38" t="n">
        <f aca="false">PL!$K$184+PL!$K$200-ext_sh*Thesis!$K$164</f>
        <v>110.615876400424</v>
      </c>
      <c r="L204" s="38" t="n">
        <f aca="false">PL!$L$184+PL!$L$200-ext_sh*Thesis!$L$164</f>
        <v>119.465146512458</v>
      </c>
      <c r="M204" s="38" t="n">
        <f aca="false">PL!$M$184+PL!$M$200-ext_sh*Thesis!$M$164</f>
        <v>129.022358233455</v>
      </c>
      <c r="N204" s="38" t="n">
        <f aca="false">PL!$N$184+PL!$N$200-ext_sh*Thesis!$N$164</f>
        <v>28.5693781401809</v>
      </c>
      <c r="O204" s="38" t="n">
        <f aca="false">PL!$O$184+PL!$O$200-ext_sh*Thesis!$O$164</f>
        <v>31.7105594031931</v>
      </c>
    </row>
    <row r="205" customFormat="false" ht="17.15" hidden="false" customHeight="false" outlineLevel="0" collapsed="false">
      <c r="A205" s="0" t="s">
        <v>749</v>
      </c>
      <c r="B205" s="0" t="s">
        <v>86</v>
      </c>
      <c r="C205" s="38" t="n">
        <f aca="false">Thesis!$C$167</f>
        <v>1.80694998843362</v>
      </c>
      <c r="D205" s="38" t="n">
        <f aca="false">Thesis!$D$167</f>
        <v>6.77606245662607</v>
      </c>
      <c r="E205" s="38" t="n">
        <f aca="false">Thesis!$E$167</f>
        <v>6.62548329092326</v>
      </c>
      <c r="F205" s="38" t="n">
        <f aca="false">Thesis!$F$167</f>
        <v>10.8940413794839</v>
      </c>
      <c r="G205" s="38" t="n">
        <f aca="false">Thesis!$G$167</f>
        <v>17.5195246704072</v>
      </c>
      <c r="H205" s="38" t="n">
        <f aca="false">Thesis!$H$167</f>
        <v>40.7735721541341</v>
      </c>
      <c r="I205" s="38" t="n">
        <f aca="false">Thesis!$I$167</f>
        <v>66.8500163832358</v>
      </c>
      <c r="J205" s="38" t="n">
        <f aca="false">Thesis!$J$167</f>
        <v>93.0640470849174</v>
      </c>
      <c r="K205" s="38" t="n">
        <f aca="false">Thesis!$K$167</f>
        <v>115.424757703147</v>
      </c>
      <c r="L205" s="38" t="n">
        <f aca="false">Thesis!$L$167</f>
        <v>130.120169833198</v>
      </c>
      <c r="M205" s="38" t="n">
        <f aca="false">Thesis!$M$167</f>
        <v>137.12790595888</v>
      </c>
      <c r="N205" s="38" t="n">
        <f aca="false">Thesis!$N$167</f>
        <v>2.37162185981912</v>
      </c>
      <c r="O205" s="38" t="n">
        <f aca="false">Thesis!$O$167</f>
        <v>4.40444059680694</v>
      </c>
    </row>
    <row r="206" customFormat="false" ht="17.15" hidden="false" customHeight="false" outlineLevel="0" collapsed="false">
      <c r="A206" s="0" t="s">
        <v>750</v>
      </c>
      <c r="B206" s="0" t="s">
        <v>86</v>
      </c>
      <c r="C206" s="38" t="n">
        <f aca="false">PL!$C$187+PL!$C$201</f>
        <v>100.66</v>
      </c>
      <c r="D206" s="38" t="n">
        <f aca="false">PL!$D$187+PL!$D$201</f>
        <v>121.835</v>
      </c>
      <c r="E206" s="38" t="n">
        <f aca="false">PL!$E$187+PL!$E$201</f>
        <v>78.016</v>
      </c>
      <c r="F206" s="38" t="n">
        <f aca="false">PL!$F$187+PL!$F$201</f>
        <v>84.0716174530959</v>
      </c>
      <c r="G206" s="38" t="n">
        <f aca="false">PL!$G$187+PL!$G$201</f>
        <v>162.087617453096</v>
      </c>
      <c r="H206" s="38" t="n">
        <f aca="false">PL!$H$187+PL!$H$201</f>
        <v>202.983206800377</v>
      </c>
      <c r="I206" s="38" t="n">
        <f aca="false">PL!$I$187+PL!$I$201</f>
        <v>248.910927876579</v>
      </c>
      <c r="J206" s="38" t="n">
        <f aca="false">PL!$J$187+PL!$J$201</f>
        <v>294.020275863692</v>
      </c>
      <c r="K206" s="38" t="n">
        <f aca="false">PL!$K$187+PL!$K$201</f>
        <v>333.561978142799</v>
      </c>
      <c r="L206" s="38" t="n">
        <f aca="false">PL!$L$187+PL!$L$201</f>
        <v>365.977847172979</v>
      </c>
      <c r="M206" s="38" t="n">
        <f aca="false">PL!$M$187+PL!$M$201</f>
        <v>392.936739056691</v>
      </c>
      <c r="N206" s="38" t="n">
        <f aca="false">PL!$N$187+PL!$N$201</f>
        <v>56.398</v>
      </c>
      <c r="O206" s="38" t="n">
        <f aca="false">PL!$O$187+PL!$O$201</f>
        <v>65.437</v>
      </c>
    </row>
    <row r="207" customFormat="false" ht="17.15" hidden="false" customHeight="false" outlineLevel="0" collapsed="false">
      <c r="A207" s="1" t="s">
        <v>751</v>
      </c>
    </row>
    <row r="208" customFormat="false" ht="15" hidden="false" customHeight="false" outlineLevel="0" collapsed="false">
      <c r="A208" s="5" t="s">
        <v>544</v>
      </c>
      <c r="B208" s="0" t="s">
        <v>86</v>
      </c>
      <c r="C208" s="38" t="n">
        <f aca="false">Q!$D$34</f>
        <v>2.406</v>
      </c>
      <c r="D208" s="38" t="n">
        <f aca="false">Q!$E$34</f>
        <v>2.274</v>
      </c>
      <c r="E208" s="38" t="n">
        <f aca="false">Q!$P$34</f>
        <v>2.114</v>
      </c>
      <c r="F208" s="38" t="n">
        <f aca="false">CF!$F$100</f>
        <v>3.24888962733561</v>
      </c>
      <c r="G208" s="38" t="n">
        <f aca="false">PL!$E$208+PL!$F$208</f>
        <v>5.36288962733561</v>
      </c>
      <c r="H208" s="38" t="n">
        <f aca="false">CF!$H$100</f>
        <v>7.42354172302123</v>
      </c>
      <c r="I208" s="38" t="n">
        <f aca="false">CF!$I$100</f>
        <v>8.90490718570369</v>
      </c>
      <c r="J208" s="38" t="n">
        <f aca="false">CF!$J$100</f>
        <v>10.8218145638744</v>
      </c>
      <c r="K208" s="38" t="n">
        <f aca="false">CF!$K$100</f>
        <v>10.8218145638744</v>
      </c>
      <c r="L208" s="38" t="n">
        <f aca="false">CF!$L$100</f>
        <v>10.8218145638744</v>
      </c>
      <c r="M208" s="38" t="n">
        <f aca="false">CF!$M$100</f>
        <v>10.8218145638744</v>
      </c>
      <c r="N208" s="38" t="n">
        <f aca="false">Q!$N$34</f>
        <v>1.057</v>
      </c>
      <c r="O208" s="38" t="n">
        <f aca="false">Q!$O$34</f>
        <v>1.217</v>
      </c>
    </row>
    <row r="209" customFormat="false" ht="15" hidden="false" customHeight="false" outlineLevel="0" collapsed="false">
      <c r="A209" s="5" t="s">
        <v>752</v>
      </c>
      <c r="B209" s="0" t="s">
        <v>86</v>
      </c>
      <c r="F209" s="38" t="n">
        <f aca="false">CF!$F$101</f>
        <v>2.59</v>
      </c>
      <c r="H209" s="38" t="n">
        <f aca="false">CF!$H$101</f>
        <v>3.73961737597883</v>
      </c>
      <c r="I209" s="38" t="n">
        <f aca="false">CF!$I$101</f>
        <v>2.10589651022864</v>
      </c>
      <c r="J209" s="38" t="n">
        <f aca="false">CF!$J$101</f>
        <v>2.10589651022864</v>
      </c>
      <c r="K209" s="38" t="n">
        <f aca="false">CF!$K$101</f>
        <v>2.23808086414032</v>
      </c>
      <c r="L209" s="38" t="n">
        <f aca="false">CF!$L$101</f>
        <v>6.18742041223063</v>
      </c>
      <c r="M209" s="38" t="n">
        <f aca="false">CF!$M$101</f>
        <v>12.4261689219062</v>
      </c>
    </row>
    <row r="210" customFormat="false" ht="17.15" hidden="false" customHeight="false" outlineLevel="0" collapsed="false">
      <c r="A210" s="5" t="s">
        <v>753</v>
      </c>
      <c r="B210" s="0" t="s">
        <v>86</v>
      </c>
      <c r="C210" s="38" t="n">
        <f aca="false">Q!$D$39</f>
        <v>2.427</v>
      </c>
      <c r="D210" s="38" t="n">
        <f aca="false">Q!$E$39</f>
        <v>19.61</v>
      </c>
      <c r="E210" s="38" t="n">
        <f aca="false">Q!$P$39</f>
        <v>71.492</v>
      </c>
      <c r="F210" s="39" t="n">
        <v>0</v>
      </c>
      <c r="G210" s="38" t="n">
        <f aca="false">PL!$E$210+PL!$F$210</f>
        <v>71.492</v>
      </c>
      <c r="H210" s="39" t="n">
        <v>0</v>
      </c>
      <c r="I210" s="39" t="n">
        <v>0</v>
      </c>
      <c r="J210" s="39" t="n">
        <v>0</v>
      </c>
      <c r="K210" s="39" t="n">
        <v>0</v>
      </c>
      <c r="L210" s="39" t="n">
        <v>0</v>
      </c>
      <c r="M210" s="39" t="n">
        <v>0</v>
      </c>
      <c r="N210" s="38" t="n">
        <f aca="false">Q!$N$39</f>
        <v>6.017</v>
      </c>
      <c r="O210" s="38" t="n">
        <f aca="false">Q!$O$39</f>
        <v>13.593</v>
      </c>
      <c r="P210" s="5" t="s">
        <v>754</v>
      </c>
    </row>
    <row r="211" customFormat="false" ht="15" hidden="false" customHeight="false" outlineLevel="0" collapsed="false">
      <c r="A211" s="5" t="s">
        <v>547</v>
      </c>
      <c r="B211" s="0" t="s">
        <v>86</v>
      </c>
      <c r="C211" s="38" t="n">
        <f aca="false">Q!$D$36</f>
        <v>68.614</v>
      </c>
      <c r="D211" s="38" t="n">
        <f aca="false">Q!$E$36</f>
        <v>97.311</v>
      </c>
      <c r="E211" s="38" t="n">
        <f aca="false">Q!$P$36</f>
        <v>120.691</v>
      </c>
      <c r="F211" s="38" t="n">
        <f aca="false">PL!$F$187-PL!$F$208+PL!$F$209+PL!$F$210</f>
        <v>55.2055856631318</v>
      </c>
      <c r="G211" s="38" t="n">
        <f aca="false">PL!$E$211+PL!$F$211</f>
        <v>175.896585663132</v>
      </c>
      <c r="H211" s="38" t="n">
        <f aca="false">PL!$H$187-PL!$H$208+PL!$H$209+PL!$H$210</f>
        <v>121.119342870547</v>
      </c>
      <c r="I211" s="38" t="n">
        <f aca="false">PL!$I$187-PL!$I$208+PL!$I$209+PL!$I$210</f>
        <v>130.940791646719</v>
      </c>
      <c r="J211" s="38" t="n">
        <f aca="false">PL!$J$187-PL!$J$208+PL!$J$209+PL!$J$210</f>
        <v>140.419951589075</v>
      </c>
      <c r="K211" s="38" t="n">
        <f aca="false">PL!$K$187-PL!$K$208+PL!$K$209+PL!$K$210</f>
        <v>146.171825005065</v>
      </c>
      <c r="L211" s="38" t="n">
        <f aca="false">PL!$L$187-PL!$L$208+PL!$L$209+PL!$L$210</f>
        <v>157.002113991673</v>
      </c>
      <c r="M211" s="38" t="n">
        <f aca="false">PL!$M$187-PL!$M$208+PL!$M$209+PL!$M$210</f>
        <v>171.410515419336</v>
      </c>
      <c r="N211" s="38" t="n">
        <f aca="false">Q!$N$36</f>
        <v>42.536</v>
      </c>
      <c r="O211" s="38" t="n">
        <f aca="false">Q!$O$36</f>
        <v>54.775</v>
      </c>
    </row>
    <row r="212" customFormat="false" ht="15" hidden="false" customHeight="false" outlineLevel="0" collapsed="false">
      <c r="A212" s="5" t="s">
        <v>548</v>
      </c>
      <c r="B212" s="0" t="s">
        <v>86</v>
      </c>
      <c r="C212" s="38" t="n">
        <f aca="false">Q!$D$37</f>
        <v>9.265</v>
      </c>
      <c r="D212" s="38" t="n">
        <f aca="false">Q!$E$37</f>
        <v>19.087</v>
      </c>
      <c r="E212" s="38" t="n">
        <f aca="false">Q!$P$37</f>
        <v>27.759</v>
      </c>
      <c r="F212" s="38" t="n">
        <f aca="false">PL!$F$211*tax</f>
        <v>9.58283545417122</v>
      </c>
      <c r="G212" s="38" t="n">
        <f aca="false">PL!$E$212+PL!$F$212</f>
        <v>37.3418354541712</v>
      </c>
      <c r="H212" s="38" t="n">
        <f aca="false">PL!$H$211*tax</f>
        <v>21.0244437968337</v>
      </c>
      <c r="I212" s="38" t="n">
        <f aca="false">PL!$I$211*tax</f>
        <v>22.7292953333781</v>
      </c>
      <c r="J212" s="38" t="n">
        <f aca="false">PL!$J$211*tax</f>
        <v>24.374730824737</v>
      </c>
      <c r="K212" s="38" t="n">
        <f aca="false">PL!$K$211*tax</f>
        <v>25.3731670488357</v>
      </c>
      <c r="L212" s="38" t="n">
        <f aca="false">PL!$L$211*tax</f>
        <v>27.2531376357449</v>
      </c>
      <c r="M212" s="38" t="n">
        <f aca="false">PL!$M$211*tax</f>
        <v>29.7542131769315</v>
      </c>
      <c r="N212" s="38" t="n">
        <f aca="false">Q!$N$37</f>
        <v>7.231</v>
      </c>
      <c r="O212" s="38" t="n">
        <f aca="false">Q!$O$37</f>
        <v>11.856</v>
      </c>
    </row>
    <row r="213" customFormat="false" ht="15" hidden="false" customHeight="false" outlineLevel="0" collapsed="false">
      <c r="A213" s="3" t="s">
        <v>549</v>
      </c>
      <c r="B213" s="8" t="s">
        <v>86</v>
      </c>
      <c r="C213" s="38" t="n">
        <f aca="false">Q!$D$38</f>
        <v>59.248</v>
      </c>
      <c r="D213" s="38" t="n">
        <f aca="false">Q!$E$38</f>
        <v>77.67</v>
      </c>
      <c r="E213" s="38" t="n">
        <f aca="false">Q!$P$38</f>
        <v>92.902</v>
      </c>
      <c r="F213" s="38" t="n">
        <f aca="false">PL!$F$211-PL!$F$212</f>
        <v>45.6227502089606</v>
      </c>
      <c r="G213" s="38" t="n">
        <f aca="false">PL!$E$213+PL!$F$213</f>
        <v>138.524750208961</v>
      </c>
      <c r="H213" s="38" t="n">
        <f aca="false">PL!$H$211-PL!$H$212</f>
        <v>100.094899073714</v>
      </c>
      <c r="I213" s="38" t="n">
        <f aca="false">PL!$I$211-PL!$I$212</f>
        <v>108.211496313341</v>
      </c>
      <c r="J213" s="38" t="n">
        <f aca="false">PL!$J$211-PL!$J$212</f>
        <v>116.045220764338</v>
      </c>
      <c r="K213" s="38" t="n">
        <f aca="false">PL!$K$211-PL!$K$212</f>
        <v>120.79865795623</v>
      </c>
      <c r="L213" s="38" t="n">
        <f aca="false">PL!$L$211-PL!$L$212</f>
        <v>129.748976355928</v>
      </c>
      <c r="M213" s="38" t="n">
        <f aca="false">PL!$M$211-PL!$M$212</f>
        <v>141.656302242405</v>
      </c>
      <c r="N213" s="38" t="n">
        <f aca="false">Q!$N$38</f>
        <v>35.291</v>
      </c>
      <c r="O213" s="38" t="n">
        <f aca="false">Q!$O$38</f>
        <v>42.379</v>
      </c>
    </row>
    <row r="214" customFormat="false" ht="17.15" hidden="false" customHeight="false" outlineLevel="0" collapsed="false">
      <c r="A214" s="5" t="s">
        <v>552</v>
      </c>
      <c r="B214" s="5" t="s">
        <v>33</v>
      </c>
      <c r="C214" s="22" t="n">
        <f aca="false">Q!$D$41</f>
        <v>10.721</v>
      </c>
      <c r="D214" s="22" t="n">
        <f aca="false">Q!$E$41</f>
        <v>10.827</v>
      </c>
      <c r="E214" s="22" t="n">
        <f aca="false">(Q!$L$41+Q!$M$41)/2</f>
        <v>10.8885</v>
      </c>
      <c r="F214" s="22" t="n">
        <f aca="false">PL!$G$214</f>
        <v>10.924806</v>
      </c>
      <c r="G214" s="22" t="n">
        <f aca="false">Q!$M$41*(1+sh_g*0.25)</f>
        <v>10.924806</v>
      </c>
      <c r="H214" s="22" t="n">
        <f aca="false">PL!$G$214*(1+sh_g)</f>
        <v>11.012204448</v>
      </c>
      <c r="I214" s="22" t="n">
        <f aca="false">PL!$H$214*(1+sh_g)</f>
        <v>11.100302083584</v>
      </c>
      <c r="J214" s="22" t="n">
        <f aca="false">PL!$I$214*(1+sh_g)</f>
        <v>11.1891045002527</v>
      </c>
      <c r="K214" s="22" t="n">
        <f aca="false">PL!$J$214*(1+sh_g)</f>
        <v>11.2786173362547</v>
      </c>
      <c r="L214" s="22" t="n">
        <f aca="false">PL!$K$214*(1+sh_g)</f>
        <v>11.3688462749447</v>
      </c>
      <c r="M214" s="22" t="n">
        <f aca="false">PL!$L$214*(1+sh_g)</f>
        <v>11.4597970451443</v>
      </c>
      <c r="P214" s="5" t="s">
        <v>755</v>
      </c>
    </row>
    <row r="215" customFormat="false" ht="17.15" hidden="false" customHeight="false" outlineLevel="0" collapsed="false">
      <c r="A215" s="5" t="s">
        <v>756</v>
      </c>
      <c r="B215" s="0" t="s">
        <v>86</v>
      </c>
      <c r="C215" s="38" t="n">
        <f aca="false">PL!$C$213+PL!$C$189*(1-tax)</f>
        <v>59.248</v>
      </c>
      <c r="D215" s="38" t="n">
        <f aca="false">PL!$D$213+PL!$D$189*(1-tax)</f>
        <v>77.67</v>
      </c>
      <c r="E215" s="38" t="n">
        <f aca="false">PL!$E$213+PL!$E$189*(1-tax)</f>
        <v>92.902</v>
      </c>
      <c r="F215" s="38" t="n">
        <f aca="false">PL!$F$213+PL!$F$189*(1-tax)</f>
        <v>48.7393451686092</v>
      </c>
      <c r="G215" s="38" t="n">
        <f aca="false">PL!$G$213+PL!$G$189*(1-tax)</f>
        <v>141.641345168609</v>
      </c>
      <c r="H215" s="38" t="n">
        <f aca="false">PL!$H$213+PL!$H$189*(1-tax)</f>
        <v>112.626295029058</v>
      </c>
      <c r="I215" s="38" t="n">
        <f aca="false">PL!$I$213+PL!$I$189*(1-tax)</f>
        <v>129.35276138828</v>
      </c>
      <c r="J215" s="38" t="n">
        <f aca="false">PL!$J$213+PL!$J$189*(1-tax)</f>
        <v>145.834657708622</v>
      </c>
      <c r="K215" s="38" t="n">
        <f aca="false">PL!$K$213+PL!$K$189*(1-tax)</f>
        <v>157.965963652889</v>
      </c>
      <c r="L215" s="38" t="n">
        <f aca="false">PL!$L$213+PL!$L$189*(1-tax)</f>
        <v>171.765053696483</v>
      </c>
      <c r="M215" s="38" t="n">
        <f aca="false">PL!$M$213+PL!$M$189*(1-tax)</f>
        <v>185.985824433245</v>
      </c>
      <c r="N215" s="38" t="n">
        <f aca="false">PL!$N$213+PL!$N$189*(1-tax)</f>
        <v>35.291</v>
      </c>
      <c r="O215" s="38" t="n">
        <f aca="false">PL!$O$213+PL!$O$189*(1-tax)</f>
        <v>42.379</v>
      </c>
    </row>
    <row r="216" customFormat="false" ht="17.15" hidden="false" customHeight="false" outlineLevel="0" collapsed="false">
      <c r="A216" s="43" t="s">
        <v>757</v>
      </c>
      <c r="B216" s="14" t="s">
        <v>27</v>
      </c>
      <c r="C216" s="44" t="n">
        <f aca="false">PL!$C$215/PL!$C$214</f>
        <v>5.52635015390355</v>
      </c>
      <c r="D216" s="44" t="n">
        <f aca="false">PL!$D$215/PL!$D$214</f>
        <v>7.1737323358271</v>
      </c>
      <c r="E216" s="44" t="n">
        <f aca="false">PL!$E$215/PL!$E$214</f>
        <v>8.53212104513937</v>
      </c>
      <c r="F216" s="14"/>
      <c r="G216" s="44" t="n">
        <f aca="false">PL!$G$215/PL!$G$214</f>
        <v>12.9651130801416</v>
      </c>
      <c r="H216" s="44" t="n">
        <f aca="false">PL!$H$215/PL!$H$214</f>
        <v>10.2274068340162</v>
      </c>
      <c r="I216" s="44" t="n">
        <f aca="false">PL!$I$215/PL!$I$214</f>
        <v>11.6530847912308</v>
      </c>
      <c r="J216" s="44" t="n">
        <f aca="false">PL!$J$215/PL!$J$214</f>
        <v>13.0336308598538</v>
      </c>
      <c r="K216" s="44" t="n">
        <f aca="false">PL!$K$215/PL!$K$214</f>
        <v>14.0057915738583</v>
      </c>
      <c r="L216" s="44" t="n">
        <f aca="false">PL!$L$215/PL!$L$214</f>
        <v>15.1083979449197</v>
      </c>
      <c r="M216" s="44" t="n">
        <f aca="false">PL!$M$215/PL!$M$214</f>
        <v>16.2294169522008</v>
      </c>
      <c r="N216" s="14"/>
      <c r="O216" s="14"/>
    </row>
    <row r="217" customFormat="false" ht="17.15" hidden="false" customHeight="false" outlineLevel="0" collapsed="false">
      <c r="A217" s="0" t="s">
        <v>758</v>
      </c>
      <c r="B217" s="0" t="s">
        <v>27</v>
      </c>
      <c r="C217" s="30" t="n">
        <f aca="false">PL!$C$213/PL!$C$214</f>
        <v>5.52635015390355</v>
      </c>
      <c r="D217" s="30" t="n">
        <f aca="false">PL!$D$213/PL!$D$214</f>
        <v>7.1737323358271</v>
      </c>
      <c r="E217" s="30" t="n">
        <f aca="false">PL!$E$213/PL!$E$214</f>
        <v>8.53212104513937</v>
      </c>
      <c r="G217" s="30" t="n">
        <f aca="false">PL!$G$213/PL!$G$214</f>
        <v>12.6798361645013</v>
      </c>
      <c r="H217" s="30" t="n">
        <f aca="false">PL!$H$213/PL!$H$214</f>
        <v>9.0894515758734</v>
      </c>
      <c r="I217" s="30" t="n">
        <f aca="false">PL!$I$213/PL!$I$214</f>
        <v>9.74851814829191</v>
      </c>
      <c r="J217" s="30" t="n">
        <f aca="false">PL!$J$213/PL!$J$214</f>
        <v>10.3712697259837</v>
      </c>
      <c r="K217" s="30" t="n">
        <f aca="false">PL!$K$213/PL!$K$214</f>
        <v>10.7104137284565</v>
      </c>
      <c r="L217" s="30" t="n">
        <f aca="false">PL!$L$213/PL!$L$214</f>
        <v>11.4126775240049</v>
      </c>
      <c r="M217" s="30" t="n">
        <f aca="false">PL!$M$213/PL!$M$214</f>
        <v>12.3611527921803</v>
      </c>
    </row>
    <row r="218" customFormat="false" ht="17.15" hidden="false" customHeight="false" outlineLevel="0" collapsed="false">
      <c r="A218" s="0" t="s">
        <v>759</v>
      </c>
      <c r="B218" s="0" t="s">
        <v>27</v>
      </c>
      <c r="C218" s="30" t="n">
        <f aca="false">(PL!$C$213-PL!$C$210*(1-tax))/PL!$C$214</f>
        <v>5.33926775917445</v>
      </c>
      <c r="D218" s="30" t="n">
        <f aca="false">(PL!$D$213-PL!$D$210*(1-tax))/PL!$D$214</f>
        <v>5.67691812755503</v>
      </c>
      <c r="E218" s="30" t="n">
        <f aca="false">(PL!$E$213-PL!$E$210*(1-tax))/PL!$E$214</f>
        <v>3.10602057006846</v>
      </c>
      <c r="G218" s="30" t="n">
        <f aca="false">(PL!$G$213-PL!$G$210*(1-tax))/PL!$G$214</f>
        <v>7.2717680466043</v>
      </c>
      <c r="H218" s="30" t="n">
        <f aca="false">(PL!$H$213-PL!$H$210*(1-tax))/PL!$H$214</f>
        <v>9.0894515758734</v>
      </c>
      <c r="I218" s="30" t="n">
        <f aca="false">(PL!$I$213-PL!$I$210*(1-tax))/PL!$I$214</f>
        <v>9.74851814829191</v>
      </c>
      <c r="J218" s="30" t="n">
        <f aca="false">(PL!$J$213-PL!$J$210*(1-tax))/PL!$J$214</f>
        <v>10.3712697259837</v>
      </c>
      <c r="K218" s="30" t="n">
        <f aca="false">(PL!$K$213-PL!$K$210*(1-tax))/PL!$K$214</f>
        <v>10.7104137284565</v>
      </c>
      <c r="L218" s="30" t="n">
        <f aca="false">(PL!$L$213-PL!$L$210*(1-tax))/PL!$L$214</f>
        <v>11.4126775240049</v>
      </c>
      <c r="M218" s="30" t="n">
        <f aca="false">(PL!$M$213-PL!$M$210*(1-tax))/PL!$M$214</f>
        <v>12.3611527921803</v>
      </c>
      <c r="P218" s="5" t="s">
        <v>760</v>
      </c>
    </row>
    <row r="219" customFormat="false" ht="17.15" hidden="false" customHeight="false" outlineLevel="0" collapsed="false">
      <c r="A219" s="0" t="s">
        <v>761</v>
      </c>
      <c r="B219" s="0" t="s">
        <v>52</v>
      </c>
      <c r="H219" s="13" t="n">
        <f aca="false">PL!$H$216/PL!$G$216-1</f>
        <v>-0.211159457630856</v>
      </c>
      <c r="I219" s="13" t="n">
        <f aca="false">PL!$I$216/PL!$H$216-1</f>
        <v>0.139397794607413</v>
      </c>
      <c r="J219" s="13" t="n">
        <f aca="false">PL!$J$216/PL!$I$216-1</f>
        <v>0.118470438802766</v>
      </c>
      <c r="K219" s="13" t="n">
        <f aca="false">PL!$K$216/PL!$J$216-1</f>
        <v>0.0745886333944772</v>
      </c>
      <c r="L219" s="13" t="n">
        <f aca="false">PL!$L$216/PL!$K$216-1</f>
        <v>0.0787250306594169</v>
      </c>
      <c r="M219" s="13" t="n">
        <f aca="false">PL!$M$216/PL!$L$216-1</f>
        <v>0.0741984035215326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768</v>
      </c>
    </row>
    <row r="4" customFormat="false" ht="15" hidden="false" customHeight="false" outlineLevel="0" collapsed="false">
      <c r="A4" s="3" t="s">
        <v>769</v>
      </c>
    </row>
    <row r="5" customFormat="false" ht="17.15" hidden="false" customHeight="false" outlineLevel="0" collapsed="false">
      <c r="A5" s="6" t="s">
        <v>16</v>
      </c>
      <c r="B5" s="20" t="s">
        <v>770</v>
      </c>
      <c r="C5" s="20" t="s">
        <v>771</v>
      </c>
      <c r="D5" s="20" t="s">
        <v>772</v>
      </c>
      <c r="E5" s="6" t="s">
        <v>773</v>
      </c>
      <c r="F5" s="6" t="s">
        <v>23</v>
      </c>
    </row>
    <row r="6" customFormat="false" ht="17.15" hidden="false" customHeight="false" outlineLevel="0" collapsed="false">
      <c r="A6" s="15" t="s">
        <v>774</v>
      </c>
      <c r="B6" s="45" t="n">
        <f aca="false">CF!$G$40</f>
        <v>183.139359990871</v>
      </c>
      <c r="C6" s="45" t="n">
        <f aca="false">CF!$G$71</f>
        <v>-1.17629205196147</v>
      </c>
      <c r="D6" s="45" t="n">
        <f aca="false">CF!$G$102</f>
        <v>-63.4071550277961</v>
      </c>
      <c r="E6" s="45" t="n">
        <f aca="false">w_A*B6+w_B*C6+w_C*D6</f>
        <v>29.344905214788</v>
      </c>
      <c r="F6" s="14" t="s">
        <v>775</v>
      </c>
    </row>
    <row r="7" customFormat="false" ht="17.15" hidden="false" customHeight="false" outlineLevel="0" collapsed="false">
      <c r="A7" s="0" t="s">
        <v>776</v>
      </c>
      <c r="B7" s="46" t="n">
        <f aca="false">CF!$G$41</f>
        <v>2.84380276442064</v>
      </c>
      <c r="C7" s="46" t="n">
        <f aca="false">CF!$G$72</f>
        <v>34.9517621070079</v>
      </c>
      <c r="D7" s="46" t="n">
        <f aca="false">CF!$G$103</f>
        <v>53.6851949581862</v>
      </c>
    </row>
    <row r="8" customFormat="false" ht="17.15" hidden="false" customHeight="false" outlineLevel="0" collapsed="false">
      <c r="A8" s="5" t="s">
        <v>777</v>
      </c>
      <c r="B8" s="0" t="str">
        <f aca="false">IF(B7&gt;=1,"需要舉債",IF(B7&gt;0,"幾乎不需要（新增借款少於 1）","不需要（現金足以支應）"))</f>
        <v>需要舉債</v>
      </c>
      <c r="C8" s="0" t="str">
        <f aca="false">IF(C7&gt;=1,"需要舉債",IF(C7&gt;0,"幾乎不需要（新增借款少於 1）","不需要（現金足以支應）"))</f>
        <v>需要舉債</v>
      </c>
      <c r="D8" s="0" t="str">
        <f aca="false">IF(D7&gt;=1,"需要舉債",IF(D7&gt;0,"幾乎不需要（新增借款少於 1）","不需要（現金足以支應）"))</f>
        <v>需要舉債</v>
      </c>
      <c r="F8" s="5" t="s">
        <v>778</v>
      </c>
    </row>
    <row r="9" customFormat="false" ht="17.15" hidden="false" customHeight="false" outlineLevel="0" collapsed="false">
      <c r="A9" s="5" t="s">
        <v>779</v>
      </c>
      <c r="B9" s="5" t="s">
        <v>780</v>
      </c>
      <c r="C9" s="5" t="s">
        <v>780</v>
      </c>
      <c r="D9" s="5" t="s">
        <v>780</v>
      </c>
    </row>
    <row r="10" customFormat="false" ht="17.15" hidden="false" customHeight="false" outlineLevel="0" collapsed="false">
      <c r="A10" s="0" t="s">
        <v>781</v>
      </c>
      <c r="B10" s="46" t="n">
        <f aca="false">CF!$I$29</f>
        <v>17.002403791836</v>
      </c>
      <c r="C10" s="46" t="n">
        <f aca="false">CF!$I$60</f>
        <v>-18.1091313650653</v>
      </c>
      <c r="D10" s="46" t="n">
        <f aca="false">CF!$I$91</f>
        <v>-30.2828969695217</v>
      </c>
    </row>
    <row r="11" customFormat="false" ht="15" hidden="false" customHeight="false" outlineLevel="0" collapsed="false">
      <c r="A11" s="24" t="s">
        <v>782</v>
      </c>
      <c r="B11" s="42" t="n">
        <f aca="false">ABS(CF!$G$42)+ABS(CF!$G$73)+ABS(CF!$G$104)</f>
        <v>2.8421709430404E-014</v>
      </c>
      <c r="C11" s="25"/>
      <c r="D11" s="25"/>
      <c r="E11" s="25"/>
      <c r="F11" s="25"/>
    </row>
    <row r="14" customFormat="false" ht="19.4" hidden="false" customHeight="false" outlineLevel="0" collapsed="false">
      <c r="A14" s="31" t="s">
        <v>783</v>
      </c>
    </row>
    <row r="15" customFormat="false" ht="17.15" hidden="false" customHeight="false" outlineLevel="0" collapsed="false">
      <c r="A15" s="6" t="s">
        <v>16</v>
      </c>
      <c r="B15" s="6" t="s">
        <v>17</v>
      </c>
      <c r="C15" s="20" t="s">
        <v>497</v>
      </c>
      <c r="D15" s="20" t="s">
        <v>498</v>
      </c>
      <c r="E15" s="20" t="s">
        <v>580</v>
      </c>
      <c r="F15" s="20" t="s">
        <v>581</v>
      </c>
      <c r="G15" s="20" t="s">
        <v>582</v>
      </c>
      <c r="H15" s="20" t="s">
        <v>583</v>
      </c>
      <c r="I15" s="20" t="s">
        <v>584</v>
      </c>
      <c r="J15" s="20" t="s">
        <v>585</v>
      </c>
      <c r="K15" s="20" t="s">
        <v>586</v>
      </c>
      <c r="L15" s="20" t="s">
        <v>587</v>
      </c>
      <c r="M15" s="20" t="s">
        <v>588</v>
      </c>
      <c r="N15" s="20" t="s">
        <v>589</v>
      </c>
      <c r="O15" s="20" t="s">
        <v>590</v>
      </c>
      <c r="P15" s="6" t="s">
        <v>23</v>
      </c>
      <c r="R15" s="20" t="n">
        <v>2023</v>
      </c>
      <c r="S15" s="20" t="n">
        <v>2024</v>
      </c>
      <c r="T15" s="20" t="n">
        <v>2025</v>
      </c>
      <c r="U15" s="20" t="n">
        <v>2026</v>
      </c>
      <c r="V15" s="20" t="n">
        <v>2027</v>
      </c>
      <c r="W15" s="20" t="n">
        <v>2028</v>
      </c>
      <c r="X15" s="20" t="n">
        <v>2029</v>
      </c>
      <c r="Y15" s="20" t="n">
        <v>2030</v>
      </c>
      <c r="Z15" s="20" t="n">
        <v>2031</v>
      </c>
      <c r="AA15" s="20" t="n">
        <v>2032</v>
      </c>
    </row>
    <row r="16" customFormat="false" ht="15" hidden="false" customHeight="false" outlineLevel="0" collapsed="false">
      <c r="A16" s="5" t="s">
        <v>549</v>
      </c>
      <c r="B16" s="0" t="s">
        <v>86</v>
      </c>
      <c r="C16" s="38" t="n">
        <f aca="false">PL!$C$73</f>
        <v>59.248</v>
      </c>
      <c r="D16" s="38" t="n">
        <f aca="false">PL!$D$73</f>
        <v>77.67</v>
      </c>
      <c r="E16" s="38" t="n">
        <f aca="false">PL!$E$73</f>
        <v>92.902</v>
      </c>
      <c r="F16" s="38" t="n">
        <f aca="false">PL!$F$73</f>
        <v>48.5967975749281</v>
      </c>
      <c r="G16" s="38" t="n">
        <f aca="false">PL!$G$73</f>
        <v>141.498797574928</v>
      </c>
      <c r="H16" s="38" t="n">
        <f aca="false">PL!$H$73</f>
        <v>124.095280499927</v>
      </c>
      <c r="I16" s="38" t="n">
        <f aca="false">PL!$I$73</f>
        <v>157.715721926591</v>
      </c>
      <c r="J16" s="38" t="n">
        <f aca="false">PL!$J$73</f>
        <v>192.260395571983</v>
      </c>
      <c r="K16" s="38" t="n">
        <f aca="false">PL!$K$73</f>
        <v>220.488891732772</v>
      </c>
      <c r="L16" s="38" t="n">
        <f aca="false">PL!$L$73</f>
        <v>246.671800646796</v>
      </c>
      <c r="M16" s="38" t="n">
        <f aca="false">PL!$M$73</f>
        <v>269.314054090388</v>
      </c>
    </row>
    <row r="17" customFormat="false" ht="17.15" hidden="false" customHeight="false" outlineLevel="0" collapsed="false">
      <c r="A17" s="5" t="s">
        <v>784</v>
      </c>
      <c r="B17" s="0" t="s">
        <v>86</v>
      </c>
      <c r="C17" s="38" t="n">
        <f aca="false">PL!$C$61</f>
        <v>32.067</v>
      </c>
      <c r="D17" s="38" t="n">
        <f aca="false">PL!$D$61</f>
        <v>41.86</v>
      </c>
      <c r="E17" s="38" t="n">
        <f aca="false">PL!$E$61</f>
        <v>26.703</v>
      </c>
      <c r="F17" s="38" t="n">
        <f aca="false">PL!$F$61</f>
        <v>28.2071421626285</v>
      </c>
      <c r="G17" s="38" t="n">
        <f aca="false">PL!$G$61</f>
        <v>54.9101421626285</v>
      </c>
      <c r="H17" s="38" t="n">
        <f aca="false">PL!$H$61</f>
        <v>78.5426417670371</v>
      </c>
      <c r="I17" s="38" t="n">
        <f aca="false">PL!$I$61</f>
        <v>112.286729968259</v>
      </c>
      <c r="J17" s="38" t="n">
        <f aca="false">PL!$J$61</f>
        <v>146.780410725596</v>
      </c>
      <c r="K17" s="38" t="n">
        <f aca="false">PL!$K$61</f>
        <v>181.482824033374</v>
      </c>
      <c r="L17" s="38" t="n">
        <f aca="false">PL!$L$61</f>
        <v>207.56532435538</v>
      </c>
      <c r="M17" s="38" t="n">
        <f aca="false">PL!$M$61</f>
        <v>226.66932469104</v>
      </c>
    </row>
    <row r="18" customFormat="false" ht="15" hidden="false" customHeight="false" outlineLevel="0" collapsed="false">
      <c r="A18" s="5" t="s">
        <v>785</v>
      </c>
      <c r="B18" s="0" t="s">
        <v>86</v>
      </c>
      <c r="C18" s="38" t="n">
        <f aca="false">Q!$D$48</f>
        <v>22.011</v>
      </c>
      <c r="D18" s="38" t="n">
        <f aca="false">Q!$E$48</f>
        <v>19.467</v>
      </c>
      <c r="E18" s="38" t="n">
        <f aca="false">Q!$P$48</f>
        <v>10.07</v>
      </c>
      <c r="F18" s="38" t="n">
        <f aca="false">sbc_r*Seg!$F$30</f>
        <v>10.920601270903</v>
      </c>
      <c r="G18" s="38" t="n">
        <f aca="false">CF!$E$18+CF!$F$18</f>
        <v>20.990601270903</v>
      </c>
      <c r="H18" s="38" t="n">
        <f aca="false">sbc_r*Seg!$H$30</f>
        <v>24.0328886828173</v>
      </c>
      <c r="I18" s="38" t="n">
        <f aca="false">sbc_r*Seg!$I$30</f>
        <v>27.7722273348177</v>
      </c>
      <c r="J18" s="38" t="n">
        <f aca="false">sbc_r*Seg!$J$30</f>
        <v>31.3793185956819</v>
      </c>
      <c r="K18" s="38" t="n">
        <f aca="false">sbc_r*Seg!$K$30</f>
        <v>34.5270470774926</v>
      </c>
      <c r="L18" s="38" t="n">
        <f aca="false">sbc_r*Seg!$L$30</f>
        <v>37.3261965235336</v>
      </c>
      <c r="M18" s="38" t="n">
        <f aca="false">sbc_r*Seg!$M$30</f>
        <v>39.7853009887732</v>
      </c>
    </row>
    <row r="19" customFormat="false" ht="17.15" hidden="false" customHeight="false" outlineLevel="0" collapsed="false">
      <c r="A19" s="5" t="s">
        <v>786</v>
      </c>
      <c r="B19" s="0" t="s">
        <v>86</v>
      </c>
      <c r="C19" s="38" t="n">
        <f aca="false">Q!$D$44-CF!$C$16-CF!$C$17-CF!$C$18</f>
        <v>2.551</v>
      </c>
      <c r="D19" s="38" t="n">
        <f aca="false">Q!$E$44-CF!$D$16-CF!$D$17-CF!$D$18</f>
        <v>0.51700000000001</v>
      </c>
      <c r="E19" s="38" t="n">
        <f aca="false">Q!$P$44-CF!$E$16-CF!$E$17-CF!$E$18</f>
        <v>-58.256</v>
      </c>
      <c r="F19" s="38" t="n">
        <f aca="false">oth_r*Seg!$F$30</f>
        <v>5.2562956146242</v>
      </c>
      <c r="G19" s="38" t="n">
        <f aca="false">CF!$E$19+CF!$F$19</f>
        <v>-52.9997043853758</v>
      </c>
      <c r="H19" s="38" t="n">
        <f aca="false">oth_r*Seg!$H$30</f>
        <v>11.5674919591491</v>
      </c>
      <c r="I19" s="38" t="n">
        <f aca="false">oth_r*Seg!$I$30</f>
        <v>13.367307635093</v>
      </c>
      <c r="J19" s="38" t="n">
        <f aca="false">oth_r*Seg!$J$30</f>
        <v>15.1034700959042</v>
      </c>
      <c r="K19" s="38" t="n">
        <f aca="false">oth_r*Seg!$K$30</f>
        <v>16.6185324083662</v>
      </c>
      <c r="L19" s="38" t="n">
        <f aca="false">oth_r*Seg!$L$30</f>
        <v>17.9658169207222</v>
      </c>
      <c r="M19" s="38" t="n">
        <f aca="false">oth_r*Seg!$M$30</f>
        <v>19.1494312379102</v>
      </c>
      <c r="P19" s="8" t="s">
        <v>787</v>
      </c>
    </row>
    <row r="20" customFormat="false" ht="15" hidden="false" customHeight="false" outlineLevel="0" collapsed="false">
      <c r="A20" s="3" t="s">
        <v>555</v>
      </c>
      <c r="B20" s="8" t="s">
        <v>86</v>
      </c>
      <c r="C20" s="38" t="n">
        <f aca="false">Q!$D$44</f>
        <v>115.877</v>
      </c>
      <c r="D20" s="38" t="n">
        <f aca="false">Q!$E$44</f>
        <v>139.514</v>
      </c>
      <c r="E20" s="38" t="n">
        <f aca="false">Q!$P$44</f>
        <v>71.419</v>
      </c>
      <c r="F20" s="38" t="n">
        <f aca="false">CF!$F$16+CF!$F$17+CF!$F$18+CF!$F$19</f>
        <v>92.9808366230839</v>
      </c>
      <c r="G20" s="38" t="n">
        <f aca="false">CF!$E$20+CF!$F$20</f>
        <v>164.399836623084</v>
      </c>
      <c r="H20" s="38" t="n">
        <f aca="false">CF!$H$16+CF!$H$17+CF!$H$18+CF!$H$19</f>
        <v>238.23830290893</v>
      </c>
      <c r="I20" s="38" t="n">
        <f aca="false">CF!$I$16+CF!$I$17+CF!$I$18+CF!$I$19</f>
        <v>311.141986864761</v>
      </c>
      <c r="J20" s="38" t="n">
        <f aca="false">CF!$J$16+CF!$J$17+CF!$J$18+CF!$J$19</f>
        <v>385.523594989166</v>
      </c>
      <c r="K20" s="38" t="n">
        <f aca="false">CF!$K$16+CF!$K$17+CF!$K$18+CF!$K$19</f>
        <v>453.117295252005</v>
      </c>
      <c r="L20" s="38" t="n">
        <f aca="false">CF!$L$16+CF!$L$17+CF!$L$18+CF!$L$19</f>
        <v>509.529138446433</v>
      </c>
      <c r="M20" s="38" t="n">
        <f aca="false">CF!$M$16+CF!$M$17+CF!$M$18+CF!$M$19</f>
        <v>554.918111008111</v>
      </c>
    </row>
    <row r="21" customFormat="false" ht="17.15" hidden="false" customHeight="false" outlineLevel="0" collapsed="false">
      <c r="A21" s="5" t="s">
        <v>788</v>
      </c>
      <c r="B21" s="0" t="s">
        <v>86</v>
      </c>
      <c r="C21" s="38" t="n">
        <f aca="false">Thesis!$C$35</f>
        <v>25.2781053077374</v>
      </c>
      <c r="D21" s="38" t="n">
        <f aca="false">Thesis!$D$35</f>
        <v>69.5686316310026</v>
      </c>
      <c r="E21" s="38" t="n">
        <f aca="false">Thesis!$E$35</f>
        <v>64.1899206485108</v>
      </c>
      <c r="F21" s="38" t="n">
        <f aca="false">Thesis!$F$35</f>
        <v>98.862028245</v>
      </c>
      <c r="G21" s="38" t="n">
        <f aca="false">Thesis!$G$35</f>
        <v>163.051948893511</v>
      </c>
      <c r="H21" s="38" t="n">
        <f aca="false">Thesis!$H$35</f>
        <v>203.9641486225</v>
      </c>
      <c r="I21" s="38" t="n">
        <f aca="false">Thesis!$I$35</f>
        <v>210.204240755</v>
      </c>
      <c r="J21" s="38" t="n">
        <f aca="false">Thesis!$J$35</f>
        <v>215.441008955</v>
      </c>
      <c r="K21" s="38" t="n">
        <f aca="false">Thesis!$K$35</f>
        <v>159.138087817758</v>
      </c>
      <c r="L21" s="38" t="n">
        <f aca="false">Thesis!$L$35</f>
        <v>134.255775880517</v>
      </c>
      <c r="M21" s="38" t="n">
        <f aca="false">Thesis!$M$35</f>
        <v>134.968168520775</v>
      </c>
    </row>
    <row r="22" customFormat="false" ht="17.15" hidden="false" customHeight="false" outlineLevel="0" collapsed="false">
      <c r="A22" s="5" t="s">
        <v>789</v>
      </c>
      <c r="B22" s="0" t="s">
        <v>86</v>
      </c>
      <c r="C22" s="38" t="n">
        <f aca="false">cx_awso*Seg!$C$28</f>
        <v>21.0469989286053</v>
      </c>
      <c r="D22" s="38" t="n">
        <f aca="false">cx_awso*Seg!$D$28</f>
        <v>24.0042459822698</v>
      </c>
      <c r="E22" s="38" t="n">
        <f aca="false">cx_awso*Seg!$E$28</f>
        <v>14.261729404886</v>
      </c>
      <c r="F22" s="38" t="n">
        <f aca="false">cx_awso*Seg!$F$28</f>
        <v>14.3538599588493</v>
      </c>
      <c r="G22" s="38" t="n">
        <f aca="false">CF!$E$22+CF!$F$22</f>
        <v>28.6155893637353</v>
      </c>
      <c r="H22" s="38" t="n">
        <f aca="false">cx_awso*Seg!$H$28</f>
        <v>32.2034154158406</v>
      </c>
      <c r="I22" s="38" t="n">
        <f aca="false">cx_awso*Seg!$I$28</f>
        <v>35.7539519042915</v>
      </c>
      <c r="J22" s="38" t="n">
        <f aca="false">cx_awso*Seg!$J$28</f>
        <v>39.1551076091815</v>
      </c>
      <c r="K22" s="38" t="n">
        <f aca="false">cx_awso*Seg!$K$28</f>
        <v>42.287516217916</v>
      </c>
      <c r="L22" s="38" t="n">
        <f aca="false">cx_awso*Seg!$L$28</f>
        <v>45.6705175153492</v>
      </c>
      <c r="M22" s="38" t="n">
        <f aca="false">cx_awso*Seg!$M$28</f>
        <v>49.3241589165772</v>
      </c>
    </row>
    <row r="23" customFormat="false" ht="17.15" hidden="false" customHeight="false" outlineLevel="0" collapsed="false">
      <c r="A23" s="5" t="s">
        <v>790</v>
      </c>
      <c r="B23" s="0" t="s">
        <v>86</v>
      </c>
      <c r="C23" s="38" t="n">
        <f aca="false">Q!$D$46-CF!$C$21-CF!$C$22</f>
        <v>31.3328957636573</v>
      </c>
      <c r="D23" s="38" t="n">
        <f aca="false">Q!$E$46-CF!$D$21-CF!$D$22</f>
        <v>34.7471223867276</v>
      </c>
      <c r="E23" s="38" t="n">
        <f aca="false">Q!$P$46-CF!$E$21-CF!$E$22</f>
        <v>17.8583499466032</v>
      </c>
      <c r="F23" s="38" t="n">
        <f aca="false">cx_rt*Seg!$F$20</f>
        <v>20.6195895799373</v>
      </c>
      <c r="G23" s="38" t="n">
        <f aca="false">CF!$E$23+CF!$F$23</f>
        <v>38.4779395265405</v>
      </c>
      <c r="H23" s="38" t="n">
        <f aca="false">cx_rt*Seg!$H$20</f>
        <v>42.5978994743075</v>
      </c>
      <c r="I23" s="38" t="n">
        <f aca="false">cx_rt*Seg!$I$20</f>
        <v>46.5813904136335</v>
      </c>
      <c r="J23" s="38" t="n">
        <f aca="false">cx_rt*Seg!$J$20</f>
        <v>50.2781676586844</v>
      </c>
      <c r="K23" s="38" t="n">
        <f aca="false">cx_rt*Seg!$K$20</f>
        <v>53.5312440191755</v>
      </c>
      <c r="L23" s="38" t="n">
        <f aca="false">cx_rt*Seg!$L$20</f>
        <v>57.0116717051447</v>
      </c>
      <c r="M23" s="38" t="n">
        <f aca="false">cx_rt*Seg!$M$20</f>
        <v>60.7365554669226</v>
      </c>
    </row>
    <row r="24" customFormat="false" ht="15" hidden="false" customHeight="false" outlineLevel="0" collapsed="false">
      <c r="A24" s="3" t="s">
        <v>791</v>
      </c>
      <c r="B24" s="8" t="s">
        <v>86</v>
      </c>
      <c r="C24" s="38" t="n">
        <f aca="false">Q!$D$46</f>
        <v>77.658</v>
      </c>
      <c r="D24" s="38" t="n">
        <f aca="false">Q!$E$46</f>
        <v>128.32</v>
      </c>
      <c r="E24" s="38" t="n">
        <f aca="false">Q!$P$46</f>
        <v>96.31</v>
      </c>
      <c r="F24" s="38" t="n">
        <f aca="false">CF!$F$21+CF!$F$22+CF!$F$23</f>
        <v>133.835477783787</v>
      </c>
      <c r="G24" s="38" t="n">
        <f aca="false">CF!$E$24+CF!$F$24</f>
        <v>230.145477783787</v>
      </c>
      <c r="H24" s="38" t="n">
        <f aca="false">CF!$H$21+CF!$H$22+CF!$H$23</f>
        <v>278.765463512648</v>
      </c>
      <c r="I24" s="38" t="n">
        <f aca="false">CF!$I$21+CF!$I$22+CF!$I$23</f>
        <v>292.539583072925</v>
      </c>
      <c r="J24" s="38" t="n">
        <f aca="false">CF!$J$21+CF!$J$22+CF!$J$23</f>
        <v>304.874284222866</v>
      </c>
      <c r="K24" s="38" t="n">
        <f aca="false">CF!$K$21+CF!$K$22+CF!$K$23</f>
        <v>254.95684805485</v>
      </c>
      <c r="L24" s="38" t="n">
        <f aca="false">CF!$L$21+CF!$L$22+CF!$L$23</f>
        <v>236.937965101011</v>
      </c>
      <c r="M24" s="38" t="n">
        <f aca="false">CF!$M$21+CF!$M$22+CF!$M$23</f>
        <v>245.028882904275</v>
      </c>
    </row>
    <row r="25" customFormat="false" ht="17.15" hidden="false" customHeight="false" outlineLevel="0" collapsed="false">
      <c r="A25" s="5" t="s">
        <v>563</v>
      </c>
      <c r="B25" s="0" t="s">
        <v>86</v>
      </c>
      <c r="C25" s="38" t="n">
        <f aca="false">Q!$D$50</f>
        <v>2.043</v>
      </c>
      <c r="D25" s="38" t="n">
        <f aca="false">Q!$E$50</f>
        <v>1.557</v>
      </c>
      <c r="E25" s="38" t="n">
        <f aca="false">lease_pr/2</f>
        <v>0.8</v>
      </c>
      <c r="F25" s="38" t="n">
        <f aca="false">lease_pr/2</f>
        <v>0.8</v>
      </c>
      <c r="G25" s="38" t="n">
        <f aca="false">CF!$E$25+CF!$F$25</f>
        <v>1.6</v>
      </c>
      <c r="H25" s="38" t="n">
        <f aca="false">lease_pr</f>
        <v>1.6</v>
      </c>
      <c r="I25" s="38" t="n">
        <f aca="false">lease_pr</f>
        <v>1.6</v>
      </c>
      <c r="J25" s="38" t="n">
        <f aca="false">lease_pr</f>
        <v>1.6</v>
      </c>
      <c r="K25" s="38" t="n">
        <f aca="false">lease_pr</f>
        <v>1.6</v>
      </c>
      <c r="L25" s="38" t="n">
        <f aca="false">lease_pr</f>
        <v>1.6</v>
      </c>
      <c r="M25" s="38" t="n">
        <f aca="false">lease_pr</f>
        <v>1.6</v>
      </c>
      <c r="P25" s="8" t="s">
        <v>792</v>
      </c>
    </row>
    <row r="26" customFormat="false" ht="15" hidden="false" customHeight="false" outlineLevel="0" collapsed="false">
      <c r="A26" s="47" t="s">
        <v>793</v>
      </c>
      <c r="B26" s="14" t="s">
        <v>86</v>
      </c>
      <c r="C26" s="48" t="n">
        <f aca="false">CF!$C$20-CF!$C$24-CF!$C$25</f>
        <v>36.176</v>
      </c>
      <c r="D26" s="48" t="n">
        <f aca="false">CF!$D$20-CF!$D$24-CF!$D$25</f>
        <v>9.63700000000002</v>
      </c>
      <c r="E26" s="48" t="n">
        <f aca="false">CF!$E$20-CF!$E$24-CF!$E$25</f>
        <v>-25.691</v>
      </c>
      <c r="F26" s="48" t="n">
        <f aca="false">CF!$F$20-CF!$F$24-CF!$F$25</f>
        <v>-41.6546411607027</v>
      </c>
      <c r="G26" s="48" t="n">
        <f aca="false">CF!$G$20-CF!$G$24-CF!$G$25</f>
        <v>-67.3456411607027</v>
      </c>
      <c r="H26" s="48" t="n">
        <f aca="false">CF!$H$20-CF!$H$24-CF!$H$25</f>
        <v>-42.1271606037179</v>
      </c>
      <c r="I26" s="48" t="n">
        <f aca="false">CF!$I$20-CF!$I$24-CF!$I$25</f>
        <v>17.002403791836</v>
      </c>
      <c r="J26" s="48" t="n">
        <f aca="false">CF!$J$20-CF!$J$24-CF!$J$25</f>
        <v>79.0493107663</v>
      </c>
      <c r="K26" s="48" t="n">
        <f aca="false">CF!$K$20-CF!$K$24-CF!$K$25</f>
        <v>196.560447197156</v>
      </c>
      <c r="L26" s="48" t="n">
        <f aca="false">CF!$L$20-CF!$L$24-CF!$L$25</f>
        <v>270.991173345422</v>
      </c>
      <c r="M26" s="48" t="n">
        <f aca="false">CF!$M$20-CF!$M$24-CF!$M$25</f>
        <v>308.289228103837</v>
      </c>
      <c r="N26" s="14"/>
      <c r="O26" s="14"/>
    </row>
    <row r="27" customFormat="false" ht="17.15" hidden="false" customHeight="false" outlineLevel="0" collapsed="false">
      <c r="A27" s="5" t="s">
        <v>794</v>
      </c>
      <c r="B27" s="0" t="s">
        <v>86</v>
      </c>
      <c r="C27" s="38" t="n">
        <f aca="false">dps*PL!$C$74</f>
        <v>0</v>
      </c>
      <c r="D27" s="38" t="n">
        <f aca="false">dps*PL!$D$74</f>
        <v>0</v>
      </c>
      <c r="E27" s="38" t="n">
        <f aca="false">dps*PL!$E$74</f>
        <v>0</v>
      </c>
      <c r="F27" s="38" t="n">
        <f aca="false">0</f>
        <v>0</v>
      </c>
      <c r="G27" s="38" t="n">
        <f aca="false">dps*PL!$G$74</f>
        <v>0</v>
      </c>
      <c r="H27" s="38" t="n">
        <f aca="false">dps*PL!$H$74</f>
        <v>0</v>
      </c>
      <c r="I27" s="38" t="n">
        <f aca="false">dps*PL!$I$74</f>
        <v>0</v>
      </c>
      <c r="J27" s="38" t="n">
        <f aca="false">dps*PL!$J$74</f>
        <v>0</v>
      </c>
      <c r="K27" s="38" t="n">
        <f aca="false">dps*PL!$K$74</f>
        <v>0</v>
      </c>
      <c r="L27" s="38" t="n">
        <f aca="false">dps*PL!$L$74</f>
        <v>0</v>
      </c>
      <c r="M27" s="38" t="n">
        <f aca="false">dps*PL!$M$74</f>
        <v>0</v>
      </c>
      <c r="P27" s="8" t="s">
        <v>795</v>
      </c>
    </row>
    <row r="28" customFormat="false" ht="17.15" hidden="false" customHeight="false" outlineLevel="0" collapsed="false">
      <c r="A28" s="5" t="s">
        <v>796</v>
      </c>
      <c r="B28" s="0" t="s">
        <v>86</v>
      </c>
      <c r="C28" s="38" t="n">
        <f aca="false">0</f>
        <v>0</v>
      </c>
      <c r="D28" s="38" t="n">
        <f aca="false">0</f>
        <v>0</v>
      </c>
      <c r="E28" s="38" t="n">
        <f aca="false">0</f>
        <v>0</v>
      </c>
      <c r="F28" s="38" t="n">
        <f aca="false">0</f>
        <v>0</v>
      </c>
      <c r="G28" s="38" t="n">
        <f aca="false">0</f>
        <v>0</v>
      </c>
      <c r="H28" s="38" t="n">
        <f aca="false">0</f>
        <v>0</v>
      </c>
      <c r="I28" s="38" t="n">
        <f aca="false">0</f>
        <v>0</v>
      </c>
      <c r="J28" s="38" t="n">
        <f aca="false">0</f>
        <v>0</v>
      </c>
      <c r="K28" s="38" t="n">
        <f aca="false">0</f>
        <v>0</v>
      </c>
      <c r="L28" s="38" t="n">
        <f aca="false">0</f>
        <v>0</v>
      </c>
      <c r="M28" s="38" t="n">
        <f aca="false">0</f>
        <v>0</v>
      </c>
      <c r="P28" s="8" t="s">
        <v>797</v>
      </c>
    </row>
    <row r="29" customFormat="false" ht="15" hidden="false" customHeight="false" outlineLevel="0" collapsed="false">
      <c r="A29" s="3" t="s">
        <v>798</v>
      </c>
      <c r="B29" s="8" t="s">
        <v>86</v>
      </c>
      <c r="C29" s="38" t="n">
        <f aca="false">CF!$C$26-CF!$C$27</f>
        <v>36.176</v>
      </c>
      <c r="D29" s="38" t="n">
        <f aca="false">CF!$D$26-CF!$D$27</f>
        <v>9.63700000000002</v>
      </c>
      <c r="E29" s="38" t="n">
        <f aca="false">CF!$E$26-CF!$E$27</f>
        <v>-25.691</v>
      </c>
      <c r="F29" s="38" t="n">
        <f aca="false">CF!$F$26-CF!$F$27</f>
        <v>-41.6546411607027</v>
      </c>
      <c r="G29" s="38" t="n">
        <f aca="false">CF!$G$26-CF!$G$27</f>
        <v>-67.3456411607027</v>
      </c>
      <c r="H29" s="38" t="n">
        <f aca="false">CF!$H$26-CF!$H$27</f>
        <v>-42.1271606037179</v>
      </c>
      <c r="I29" s="38" t="n">
        <f aca="false">CF!$I$26-CF!$I$27</f>
        <v>17.002403791836</v>
      </c>
      <c r="J29" s="38" t="n">
        <f aca="false">CF!$J$26-CF!$J$27</f>
        <v>79.0493107663</v>
      </c>
      <c r="K29" s="38" t="n">
        <f aca="false">CF!$K$26-CF!$K$27</f>
        <v>196.560447197156</v>
      </c>
      <c r="L29" s="38" t="n">
        <f aca="false">CF!$L$26-CF!$L$27</f>
        <v>270.991173345422</v>
      </c>
      <c r="M29" s="38" t="n">
        <f aca="false">CF!$M$26-CF!$M$27</f>
        <v>308.289228103837</v>
      </c>
    </row>
    <row r="30" customFormat="false" ht="17.15" hidden="false" customHeight="false" outlineLevel="0" collapsed="false">
      <c r="A30" s="5" t="s">
        <v>799</v>
      </c>
      <c r="B30" s="0" t="s">
        <v>86</v>
      </c>
      <c r="E30" s="38" t="n">
        <f aca="false">Q!$P$53</f>
        <v>39.767</v>
      </c>
      <c r="F30" s="38" t="n">
        <f aca="false">inv_2h26</f>
        <v>21.3</v>
      </c>
      <c r="G30" s="38" t="n">
        <f aca="false">CF!$E$30+CF!$F$30</f>
        <v>61.067</v>
      </c>
      <c r="H30" s="39" t="n">
        <v>0</v>
      </c>
      <c r="I30" s="39" t="n">
        <v>0</v>
      </c>
      <c r="J30" s="39" t="n">
        <v>0</v>
      </c>
      <c r="K30" s="39" t="n">
        <v>0</v>
      </c>
      <c r="L30" s="39" t="n">
        <v>0</v>
      </c>
      <c r="M30" s="39" t="n">
        <v>0</v>
      </c>
    </row>
    <row r="31" customFormat="false" ht="17.15" hidden="false" customHeight="false" outlineLevel="0" collapsed="false">
      <c r="A31" s="5" t="s">
        <v>800</v>
      </c>
      <c r="B31" s="0" t="s">
        <v>86</v>
      </c>
      <c r="F31" s="38" t="n">
        <f aca="false">iss_2h26</f>
        <v>29.249999</v>
      </c>
      <c r="G31" s="38" t="n">
        <f aca="false">CF!$F$31</f>
        <v>29.249999</v>
      </c>
      <c r="H31" s="39" t="n">
        <v>0</v>
      </c>
      <c r="I31" s="39" t="n">
        <v>0</v>
      </c>
      <c r="J31" s="39" t="n">
        <v>0</v>
      </c>
      <c r="K31" s="39" t="n">
        <v>0</v>
      </c>
      <c r="L31" s="39" t="n">
        <v>0</v>
      </c>
      <c r="M31" s="39" t="n">
        <v>0</v>
      </c>
    </row>
    <row r="32" customFormat="false" ht="17.15" hidden="false" customHeight="false" outlineLevel="0" collapsed="false">
      <c r="A32" s="5" t="s">
        <v>801</v>
      </c>
      <c r="B32" s="0" t="s">
        <v>86</v>
      </c>
      <c r="F32" s="38" t="n">
        <f aca="false">cash_q2</f>
        <v>122.988</v>
      </c>
      <c r="G32" s="38" t="n">
        <f aca="false">cash_q2</f>
        <v>122.988</v>
      </c>
      <c r="H32" s="38" t="n">
        <f aca="false">CF!$G$35</f>
        <v>89.2833578392973</v>
      </c>
      <c r="I32" s="38" t="n">
        <f aca="false">CF!$H$35</f>
        <v>50</v>
      </c>
      <c r="J32" s="38" t="n">
        <f aca="false">CF!$I$35</f>
        <v>67.002403791836</v>
      </c>
      <c r="K32" s="38" t="n">
        <f aca="false">CF!$J$35</f>
        <v>146.051714558136</v>
      </c>
      <c r="L32" s="38" t="n">
        <f aca="false">CF!$K$35</f>
        <v>342.612161755292</v>
      </c>
      <c r="M32" s="38" t="n">
        <f aca="false">CF!$L$35</f>
        <v>613.603335100714</v>
      </c>
    </row>
    <row r="33" customFormat="false" ht="15" hidden="false" customHeight="false" outlineLevel="0" collapsed="false">
      <c r="A33" s="5" t="s">
        <v>802</v>
      </c>
      <c r="B33" s="0" t="s">
        <v>86</v>
      </c>
      <c r="F33" s="38" t="n">
        <f aca="false">CF!$F$32+CF!$F$29-CF!$F$28-CF!$F$30+CF!$F$31</f>
        <v>89.2833578392973</v>
      </c>
      <c r="H33" s="38" t="n">
        <f aca="false">CF!$H$32+CF!$H$29-CF!$H$28-CF!$H$30+CF!$H$31</f>
        <v>47.1561972355794</v>
      </c>
      <c r="I33" s="38" t="n">
        <f aca="false">CF!$I$32+CF!$I$29-CF!$I$28-CF!$I$30+CF!$I$31</f>
        <v>67.002403791836</v>
      </c>
      <c r="J33" s="38" t="n">
        <f aca="false">CF!$J$32+CF!$J$29-CF!$J$28-CF!$J$30+CF!$J$31</f>
        <v>146.051714558136</v>
      </c>
      <c r="K33" s="38" t="n">
        <f aca="false">CF!$K$32+CF!$K$29-CF!$K$28-CF!$K$30+CF!$K$31</f>
        <v>342.612161755292</v>
      </c>
      <c r="L33" s="38" t="n">
        <f aca="false">CF!$L$32+CF!$L$29-CF!$L$28-CF!$L$30+CF!$L$31</f>
        <v>613.603335100714</v>
      </c>
      <c r="M33" s="38" t="n">
        <f aca="false">CF!$M$32+CF!$M$29-CF!$M$28-CF!$M$30+CF!$M$31</f>
        <v>921.89256320455</v>
      </c>
    </row>
    <row r="34" customFormat="false" ht="17.15" hidden="false" customHeight="false" outlineLevel="0" collapsed="false">
      <c r="A34" s="5" t="s">
        <v>803</v>
      </c>
      <c r="B34" s="0" t="s">
        <v>86</v>
      </c>
      <c r="F34" s="38" t="n">
        <f aca="false">MAX(0,min_cash-CF!$F$33)</f>
        <v>0</v>
      </c>
      <c r="G34" s="38" t="n">
        <f aca="false">CF!$F$34</f>
        <v>0</v>
      </c>
      <c r="H34" s="38" t="n">
        <f aca="false">MAX(0,min_cash-CF!$H$33)</f>
        <v>2.84380276442064</v>
      </c>
      <c r="I34" s="38" t="n">
        <f aca="false">MAX(0,min_cash-CF!$I$33)</f>
        <v>0</v>
      </c>
      <c r="J34" s="38" t="n">
        <f aca="false">MAX(0,min_cash-CF!$J$33)</f>
        <v>0</v>
      </c>
      <c r="K34" s="38" t="n">
        <f aca="false">MAX(0,min_cash-CF!$K$33)</f>
        <v>0</v>
      </c>
      <c r="L34" s="38" t="n">
        <f aca="false">MAX(0,min_cash-CF!$L$33)</f>
        <v>0</v>
      </c>
      <c r="M34" s="38" t="n">
        <f aca="false">MAX(0,min_cash-CF!$M$33)</f>
        <v>0</v>
      </c>
      <c r="P34" s="5" t="s">
        <v>804</v>
      </c>
    </row>
    <row r="35" customFormat="false" ht="15" hidden="false" customHeight="false" outlineLevel="0" collapsed="false">
      <c r="A35" s="5" t="s">
        <v>805</v>
      </c>
      <c r="B35" s="0" t="s">
        <v>86</v>
      </c>
      <c r="D35" s="38" t="n">
        <f aca="false">Q!$E$61</f>
        <v>123.029</v>
      </c>
      <c r="E35" s="38" t="n">
        <f aca="false">Q!$M$61</f>
        <v>122.988</v>
      </c>
      <c r="F35" s="38" t="n">
        <f aca="false">CF!$F$33+CF!$F$34</f>
        <v>89.2833578392973</v>
      </c>
      <c r="G35" s="38" t="n">
        <f aca="false">CF!$F$35</f>
        <v>89.2833578392973</v>
      </c>
      <c r="H35" s="38" t="n">
        <f aca="false">CF!$H$33+CF!$H$34</f>
        <v>50</v>
      </c>
      <c r="I35" s="38" t="n">
        <f aca="false">CF!$I$33+CF!$I$34</f>
        <v>67.002403791836</v>
      </c>
      <c r="J35" s="38" t="n">
        <f aca="false">CF!$J$33+CF!$J$34</f>
        <v>146.051714558136</v>
      </c>
      <c r="K35" s="38" t="n">
        <f aca="false">CF!$K$33+CF!$K$34</f>
        <v>342.612161755292</v>
      </c>
      <c r="L35" s="38" t="n">
        <f aca="false">CF!$L$33+CF!$L$34</f>
        <v>613.603335100714</v>
      </c>
      <c r="M35" s="38" t="n">
        <f aca="false">CF!$M$33+CF!$M$34</f>
        <v>921.89256320455</v>
      </c>
    </row>
    <row r="36" customFormat="false" ht="15" hidden="false" customHeight="false" outlineLevel="0" collapsed="false">
      <c r="A36" s="5" t="s">
        <v>806</v>
      </c>
      <c r="B36" s="0" t="s">
        <v>86</v>
      </c>
      <c r="D36" s="38" t="n">
        <f aca="false">Q!$E$62</f>
        <v>68.836</v>
      </c>
      <c r="E36" s="38" t="n">
        <f aca="false">Q!$M$62</f>
        <v>132.995</v>
      </c>
      <c r="F36" s="38" t="n">
        <f aca="false">debt_q2+CF!$F$31+CF!$F$34</f>
        <v>162.244999</v>
      </c>
      <c r="G36" s="38" t="n">
        <f aca="false">CF!$F$36</f>
        <v>162.244999</v>
      </c>
      <c r="H36" s="38" t="n">
        <f aca="false">CF!$G$36+CF!$H$34</f>
        <v>165.088801764421</v>
      </c>
      <c r="I36" s="38" t="n">
        <f aca="false">CF!$H$36+CF!$I$34</f>
        <v>165.088801764421</v>
      </c>
      <c r="J36" s="38" t="n">
        <f aca="false">CF!$I$36+CF!$J$34</f>
        <v>165.088801764421</v>
      </c>
      <c r="K36" s="38" t="n">
        <f aca="false">CF!$J$36+CF!$K$34</f>
        <v>165.088801764421</v>
      </c>
      <c r="L36" s="38" t="n">
        <f aca="false">CF!$K$36+CF!$L$34</f>
        <v>165.088801764421</v>
      </c>
      <c r="M36" s="38" t="n">
        <f aca="false">CF!$L$36+CF!$M$34</f>
        <v>165.088801764421</v>
      </c>
    </row>
    <row r="37" customFormat="false" ht="15" hidden="false" customHeight="false" outlineLevel="0" collapsed="false">
      <c r="A37" s="5" t="s">
        <v>807</v>
      </c>
      <c r="B37" s="0" t="s">
        <v>86</v>
      </c>
      <c r="D37" s="38" t="n">
        <f aca="false">CF!$D$36-CF!$D$35</f>
        <v>-54.193</v>
      </c>
      <c r="E37" s="38" t="n">
        <f aca="false">CF!$E$36-CF!$E$35</f>
        <v>10.007</v>
      </c>
      <c r="F37" s="38" t="n">
        <f aca="false">CF!$F$36-CF!$F$35</f>
        <v>72.9616411607027</v>
      </c>
      <c r="G37" s="38" t="n">
        <f aca="false">CF!$G$36-CF!$G$35</f>
        <v>72.9616411607027</v>
      </c>
      <c r="H37" s="38" t="n">
        <f aca="false">CF!$H$36-CF!$H$35</f>
        <v>115.088801764421</v>
      </c>
      <c r="I37" s="38" t="n">
        <f aca="false">CF!$I$36-CF!$I$35</f>
        <v>98.0863979725847</v>
      </c>
      <c r="J37" s="38" t="n">
        <f aca="false">CF!$J$36-CF!$J$35</f>
        <v>19.0370872062847</v>
      </c>
      <c r="K37" s="38" t="n">
        <f aca="false">CF!$K$36-CF!$K$35</f>
        <v>-177.523359990871</v>
      </c>
      <c r="L37" s="38" t="n">
        <f aca="false">CF!$L$36-CF!$L$35</f>
        <v>-448.514533336293</v>
      </c>
      <c r="M37" s="38" t="n">
        <f aca="false">CF!$M$36-CF!$M$35</f>
        <v>-756.80376144013</v>
      </c>
    </row>
    <row r="38" customFormat="false" ht="17.15" hidden="false" customHeight="false" outlineLevel="0" collapsed="false">
      <c r="A38" s="5" t="s">
        <v>808</v>
      </c>
      <c r="B38" s="0" t="s">
        <v>86</v>
      </c>
      <c r="F38" s="38" t="n">
        <f aca="false">debt_q2*kd_book*0.5+iss_2h26*kd_new*iss_t</f>
        <v>3.24888962733561</v>
      </c>
      <c r="H38" s="38" t="n">
        <f aca="false">debt_q2*kd_book+(CF!$G$36-debt_q2)*kd_new</f>
        <v>7.42354172302123</v>
      </c>
      <c r="I38" s="38" t="n">
        <f aca="false">debt_q2*kd_book+(CF!$H$36-debt_q2)*kd_new</f>
        <v>7.60355443800906</v>
      </c>
      <c r="J38" s="38" t="n">
        <f aca="false">debt_q2*kd_book+(CF!$I$36-debt_q2)*kd_new</f>
        <v>7.60355443800906</v>
      </c>
      <c r="K38" s="38" t="n">
        <f aca="false">debt_q2*kd_book+(CF!$J$36-debt_q2)*kd_new</f>
        <v>7.60355443800906</v>
      </c>
      <c r="L38" s="38" t="n">
        <f aca="false">debt_q2*kd_book+(CF!$K$36-debt_q2)*kd_new</f>
        <v>7.60355443800906</v>
      </c>
      <c r="M38" s="38" t="n">
        <f aca="false">debt_q2*kd_book+(CF!$L$36-debt_q2)*kd_new</f>
        <v>7.60355443800906</v>
      </c>
    </row>
    <row r="39" customFormat="false" ht="17.15" hidden="false" customHeight="false" outlineLevel="0" collapsed="false">
      <c r="A39" s="5" t="s">
        <v>809</v>
      </c>
      <c r="B39" s="0" t="s">
        <v>86</v>
      </c>
      <c r="F39" s="38" t="n">
        <f aca="false">cash_q2*y_cash*0.5</f>
        <v>2.59</v>
      </c>
      <c r="H39" s="38" t="n">
        <f aca="false">CF!$G$35*y_cash</f>
        <v>3.76043023390542</v>
      </c>
      <c r="I39" s="38" t="n">
        <f aca="false">CF!$H$35*y_cash</f>
        <v>2.10589651022864</v>
      </c>
      <c r="J39" s="38" t="n">
        <f aca="false">CF!$I$35*y_cash</f>
        <v>2.82200256644315</v>
      </c>
      <c r="K39" s="38" t="n">
        <f aca="false">CF!$J$35*y_cash</f>
        <v>6.15139592001776</v>
      </c>
      <c r="L39" s="38" t="n">
        <f aca="false">CF!$K$35*y_cash</f>
        <v>14.4301151160472</v>
      </c>
      <c r="M39" s="38" t="n">
        <f aca="false">CF!$L$35*y_cash</f>
        <v>25.8437024410649</v>
      </c>
    </row>
    <row r="40" customFormat="false" ht="17.15" hidden="false" customHeight="false" outlineLevel="0" collapsed="false">
      <c r="A40" s="47" t="s">
        <v>810</v>
      </c>
      <c r="B40" s="14" t="s">
        <v>86</v>
      </c>
      <c r="C40" s="14"/>
      <c r="D40" s="14"/>
      <c r="E40" s="14"/>
      <c r="F40" s="14"/>
      <c r="G40" s="48" t="n">
        <f aca="false">SUM(CF!$G$29:$K$29)</f>
        <v>183.139359990871</v>
      </c>
      <c r="H40" s="14"/>
      <c r="I40" s="14"/>
      <c r="J40" s="14"/>
      <c r="K40" s="14"/>
      <c r="L40" s="14"/>
      <c r="M40" s="14"/>
      <c r="N40" s="14"/>
      <c r="O40" s="14"/>
    </row>
    <row r="41" customFormat="false" ht="17.15" hidden="false" customHeight="false" outlineLevel="0" collapsed="false">
      <c r="A41" s="0" t="s">
        <v>776</v>
      </c>
      <c r="B41" s="0" t="s">
        <v>86</v>
      </c>
      <c r="G41" s="38" t="n">
        <f aca="false">SUM(CF!$G$34:$K$34)</f>
        <v>2.84380276442064</v>
      </c>
    </row>
    <row r="42" customFormat="false" ht="17.15" hidden="false" customHeight="false" outlineLevel="0" collapsed="false">
      <c r="A42" s="24" t="s">
        <v>811</v>
      </c>
      <c r="B42" s="25" t="s">
        <v>86</v>
      </c>
      <c r="C42" s="25"/>
      <c r="D42" s="25"/>
      <c r="E42" s="25"/>
      <c r="F42" s="25"/>
      <c r="G42" s="41" t="n">
        <f aca="false">CF!$G$40-(CF!$G$29+CF!$H$29+CF!$I$29+CF!$J$29+CF!$K$29)</f>
        <v>0</v>
      </c>
      <c r="H42" s="25"/>
      <c r="I42" s="25"/>
      <c r="J42" s="25"/>
      <c r="K42" s="25"/>
      <c r="L42" s="25"/>
      <c r="M42" s="25"/>
      <c r="N42" s="25"/>
      <c r="O42" s="25"/>
    </row>
    <row r="45" customFormat="false" ht="19.4" hidden="false" customHeight="false" outlineLevel="0" collapsed="false">
      <c r="A45" s="31" t="s">
        <v>812</v>
      </c>
    </row>
    <row r="46" customFormat="false" ht="17.15" hidden="false" customHeight="false" outlineLevel="0" collapsed="false">
      <c r="A46" s="6" t="s">
        <v>16</v>
      </c>
      <c r="B46" s="6" t="s">
        <v>17</v>
      </c>
      <c r="C46" s="20" t="s">
        <v>497</v>
      </c>
      <c r="D46" s="20" t="s">
        <v>498</v>
      </c>
      <c r="E46" s="20" t="s">
        <v>580</v>
      </c>
      <c r="F46" s="20" t="s">
        <v>581</v>
      </c>
      <c r="G46" s="20" t="s">
        <v>582</v>
      </c>
      <c r="H46" s="20" t="s">
        <v>583</v>
      </c>
      <c r="I46" s="20" t="s">
        <v>584</v>
      </c>
      <c r="J46" s="20" t="s">
        <v>585</v>
      </c>
      <c r="K46" s="20" t="s">
        <v>586</v>
      </c>
      <c r="L46" s="20" t="s">
        <v>587</v>
      </c>
      <c r="M46" s="20" t="s">
        <v>588</v>
      </c>
      <c r="N46" s="20" t="s">
        <v>589</v>
      </c>
      <c r="O46" s="20" t="s">
        <v>590</v>
      </c>
      <c r="P46" s="6" t="s">
        <v>23</v>
      </c>
      <c r="R46" s="20" t="n">
        <v>2023</v>
      </c>
      <c r="S46" s="20" t="n">
        <v>2024</v>
      </c>
      <c r="T46" s="20" t="n">
        <v>2025</v>
      </c>
      <c r="U46" s="20" t="n">
        <v>2026</v>
      </c>
      <c r="V46" s="20" t="n">
        <v>2027</v>
      </c>
      <c r="W46" s="20" t="n">
        <v>2028</v>
      </c>
      <c r="X46" s="20" t="n">
        <v>2029</v>
      </c>
      <c r="Y46" s="20" t="n">
        <v>2030</v>
      </c>
      <c r="Z46" s="20" t="n">
        <v>2031</v>
      </c>
      <c r="AA46" s="20" t="n">
        <v>2032</v>
      </c>
    </row>
    <row r="47" customFormat="false" ht="15" hidden="false" customHeight="false" outlineLevel="0" collapsed="false">
      <c r="A47" s="5" t="s">
        <v>549</v>
      </c>
      <c r="B47" s="0" t="s">
        <v>86</v>
      </c>
      <c r="C47" s="38" t="n">
        <f aca="false">PL!$C$143</f>
        <v>59.248</v>
      </c>
      <c r="D47" s="38" t="n">
        <f aca="false">PL!$D$143</f>
        <v>77.67</v>
      </c>
      <c r="E47" s="38" t="n">
        <f aca="false">PL!$E$143</f>
        <v>92.902</v>
      </c>
      <c r="F47" s="38" t="n">
        <f aca="false">PL!$F$143</f>
        <v>46.3053828906144</v>
      </c>
      <c r="G47" s="38" t="n">
        <f aca="false">PL!$G$143</f>
        <v>139.207382890614</v>
      </c>
      <c r="H47" s="38" t="n">
        <f aca="false">PL!$H$143</f>
        <v>105.69273570526</v>
      </c>
      <c r="I47" s="38" t="n">
        <f aca="false">PL!$I$143</f>
        <v>119.879804986231</v>
      </c>
      <c r="J47" s="38" t="n">
        <f aca="false">PL!$J$143</f>
        <v>134.128097114092</v>
      </c>
      <c r="K47" s="38" t="n">
        <f aca="false">PL!$K$143</f>
        <v>144.466571578893</v>
      </c>
      <c r="L47" s="38" t="n">
        <f aca="false">PL!$L$143</f>
        <v>157.514325063223</v>
      </c>
      <c r="M47" s="38" t="n">
        <f aca="false">PL!$M$143</f>
        <v>171.9729181925</v>
      </c>
    </row>
    <row r="48" customFormat="false" ht="17.15" hidden="false" customHeight="false" outlineLevel="0" collapsed="false">
      <c r="A48" s="5" t="s">
        <v>784</v>
      </c>
      <c r="B48" s="0" t="s">
        <v>86</v>
      </c>
      <c r="C48" s="38" t="n">
        <f aca="false">PL!$C$131</f>
        <v>32.067</v>
      </c>
      <c r="D48" s="38" t="n">
        <f aca="false">PL!$D$131</f>
        <v>41.86</v>
      </c>
      <c r="E48" s="38" t="n">
        <f aca="false">PL!$E$131</f>
        <v>26.703</v>
      </c>
      <c r="F48" s="38" t="n">
        <f aca="false">PL!$F$131</f>
        <v>28.2071421626285</v>
      </c>
      <c r="G48" s="38" t="n">
        <f aca="false">PL!$G$131</f>
        <v>54.9101421626285</v>
      </c>
      <c r="H48" s="38" t="n">
        <f aca="false">PL!$H$131</f>
        <v>78.1799395827871</v>
      </c>
      <c r="I48" s="38" t="n">
        <f aca="false">PL!$I$131</f>
        <v>111.171125554384</v>
      </c>
      <c r="J48" s="38" t="n">
        <f aca="false">PL!$J$131</f>
        <v>144.884406220971</v>
      </c>
      <c r="K48" s="38" t="n">
        <f aca="false">PL!$K$131</f>
        <v>178.806419437999</v>
      </c>
      <c r="L48" s="38" t="n">
        <f aca="false">PL!$L$131</f>
        <v>204.341339029663</v>
      </c>
      <c r="M48" s="38" t="n">
        <f aca="false">PL!$M$131</f>
        <v>223.130577995387</v>
      </c>
    </row>
    <row r="49" customFormat="false" ht="15" hidden="false" customHeight="false" outlineLevel="0" collapsed="false">
      <c r="A49" s="5" t="s">
        <v>785</v>
      </c>
      <c r="B49" s="0" t="s">
        <v>86</v>
      </c>
      <c r="C49" s="38" t="n">
        <f aca="false">Q!$D$48</f>
        <v>22.011</v>
      </c>
      <c r="D49" s="38" t="n">
        <f aca="false">Q!$E$48</f>
        <v>19.467</v>
      </c>
      <c r="E49" s="38" t="n">
        <f aca="false">Q!$P$48</f>
        <v>10.07</v>
      </c>
      <c r="F49" s="38" t="n">
        <f aca="false">sbc_r*Seg!$F$65</f>
        <v>10.8507035798037</v>
      </c>
      <c r="G49" s="38" t="n">
        <f aca="false">CF!$E$49+CF!$F$49</f>
        <v>20.9207035798037</v>
      </c>
      <c r="H49" s="38" t="n">
        <f aca="false">sbc_r*Seg!$H$65</f>
        <v>23.46224366345</v>
      </c>
      <c r="I49" s="38" t="n">
        <f aca="false">sbc_r*Seg!$I$65</f>
        <v>26.6125957111676</v>
      </c>
      <c r="J49" s="38" t="n">
        <f aca="false">sbc_r*Seg!$J$65</f>
        <v>29.6280801413323</v>
      </c>
      <c r="K49" s="38" t="n">
        <f aca="false">sbc_r*Seg!$K$65</f>
        <v>32.2712258901105</v>
      </c>
      <c r="L49" s="38" t="n">
        <f aca="false">sbc_r*Seg!$L$65</f>
        <v>34.7390505016737</v>
      </c>
      <c r="M49" s="38" t="n">
        <f aca="false">sbc_r*Seg!$M$65</f>
        <v>37.0405146906692</v>
      </c>
    </row>
    <row r="50" customFormat="false" ht="17.15" hidden="false" customHeight="false" outlineLevel="0" collapsed="false">
      <c r="A50" s="5" t="s">
        <v>786</v>
      </c>
      <c r="B50" s="0" t="s">
        <v>86</v>
      </c>
      <c r="C50" s="38" t="n">
        <f aca="false">Q!$D$44-CF!$C$47-CF!$C$48-CF!$C$49</f>
        <v>2.551</v>
      </c>
      <c r="D50" s="38" t="n">
        <f aca="false">Q!$E$44-CF!$D$47-CF!$D$48-CF!$D$49</f>
        <v>0.51700000000001</v>
      </c>
      <c r="E50" s="38" t="n">
        <f aca="false">Q!$P$44-CF!$E$47-CF!$E$48-CF!$E$49</f>
        <v>-58.256</v>
      </c>
      <c r="F50" s="38" t="n">
        <f aca="false">oth_r*Seg!$F$65</f>
        <v>5.22265251035878</v>
      </c>
      <c r="G50" s="38" t="n">
        <f aca="false">CF!$E$50+CF!$F$50</f>
        <v>-53.0333474896412</v>
      </c>
      <c r="H50" s="38" t="n">
        <f aca="false">oth_r*Seg!$H$65</f>
        <v>11.2928295263397</v>
      </c>
      <c r="I50" s="38" t="n">
        <f aca="false">oth_r*Seg!$I$65</f>
        <v>12.8091546115766</v>
      </c>
      <c r="J50" s="38" t="n">
        <f aca="false">oth_r*Seg!$J$65</f>
        <v>14.2605653162668</v>
      </c>
      <c r="K50" s="38" t="n">
        <f aca="false">oth_r*Seg!$K$65</f>
        <v>15.5327622460396</v>
      </c>
      <c r="L50" s="38" t="n">
        <f aca="false">oth_r*Seg!$L$65</f>
        <v>16.720573737517</v>
      </c>
      <c r="M50" s="38" t="n">
        <f aca="false">oth_r*Seg!$M$65</f>
        <v>17.8283127551536</v>
      </c>
      <c r="P50" s="8" t="s">
        <v>787</v>
      </c>
    </row>
    <row r="51" customFormat="false" ht="15" hidden="false" customHeight="false" outlineLevel="0" collapsed="false">
      <c r="A51" s="3" t="s">
        <v>555</v>
      </c>
      <c r="B51" s="8" t="s">
        <v>86</v>
      </c>
      <c r="C51" s="38" t="n">
        <f aca="false">Q!$D$44</f>
        <v>115.877</v>
      </c>
      <c r="D51" s="38" t="n">
        <f aca="false">Q!$E$44</f>
        <v>139.514</v>
      </c>
      <c r="E51" s="38" t="n">
        <f aca="false">Q!$P$44</f>
        <v>71.419</v>
      </c>
      <c r="F51" s="38" t="n">
        <f aca="false">CF!$F$47+CF!$F$48+CF!$F$49+CF!$F$50</f>
        <v>90.5858811434053</v>
      </c>
      <c r="G51" s="38" t="n">
        <f aca="false">CF!$E$51+CF!$F$51</f>
        <v>162.004881143405</v>
      </c>
      <c r="H51" s="38" t="n">
        <f aca="false">CF!$H$47+CF!$H$48+CF!$H$49+CF!$H$50</f>
        <v>218.627748477837</v>
      </c>
      <c r="I51" s="38" t="n">
        <f aca="false">CF!$I$47+CF!$I$48+CF!$I$49+CF!$I$50</f>
        <v>270.47268086336</v>
      </c>
      <c r="J51" s="38" t="n">
        <f aca="false">CF!$J$47+CF!$J$48+CF!$J$49+CF!$J$50</f>
        <v>322.901148792662</v>
      </c>
      <c r="K51" s="38" t="n">
        <f aca="false">CF!$K$47+CF!$K$48+CF!$K$49+CF!$K$50</f>
        <v>371.076979153043</v>
      </c>
      <c r="L51" s="38" t="n">
        <f aca="false">CF!$L$47+CF!$L$48+CF!$L$49+CF!$L$50</f>
        <v>413.315288332076</v>
      </c>
      <c r="M51" s="38" t="n">
        <f aca="false">CF!$M$47+CF!$M$48+CF!$M$49+CF!$M$50</f>
        <v>449.97232363371</v>
      </c>
    </row>
    <row r="52" customFormat="false" ht="17.15" hidden="false" customHeight="false" outlineLevel="0" collapsed="false">
      <c r="A52" s="5" t="s">
        <v>788</v>
      </c>
      <c r="B52" s="0" t="s">
        <v>86</v>
      </c>
      <c r="C52" s="38" t="n">
        <f aca="false">Thesis!$C$95</f>
        <v>25.2781053077374</v>
      </c>
      <c r="D52" s="38" t="n">
        <f aca="false">Thesis!$D$95</f>
        <v>69.5686316310026</v>
      </c>
      <c r="E52" s="38" t="n">
        <f aca="false">Thesis!$E$95</f>
        <v>64.1899206485108</v>
      </c>
      <c r="F52" s="38" t="n">
        <f aca="false">Thesis!$F$95</f>
        <v>96.2481299895</v>
      </c>
      <c r="G52" s="38" t="n">
        <f aca="false">Thesis!$G$95</f>
        <v>160.438050638011</v>
      </c>
      <c r="H52" s="38" t="n">
        <f aca="false">Thesis!$H$95</f>
        <v>198.57136494475</v>
      </c>
      <c r="I52" s="38" t="n">
        <f aca="false">Thesis!$I$95</f>
        <v>204.6464699105</v>
      </c>
      <c r="J52" s="38" t="n">
        <f aca="false">Thesis!$J$95</f>
        <v>209.8832381105</v>
      </c>
      <c r="K52" s="38" t="n">
        <f aca="false">Thesis!$K$95</f>
        <v>155.238385275201</v>
      </c>
      <c r="L52" s="38" t="n">
        <f aca="false">Thesis!$L$95</f>
        <v>132.014141639902</v>
      </c>
      <c r="M52" s="38" t="n">
        <f aca="false">Thesis!$M$95</f>
        <v>132.230981659852</v>
      </c>
    </row>
    <row r="53" customFormat="false" ht="17.15" hidden="false" customHeight="false" outlineLevel="0" collapsed="false">
      <c r="A53" s="5" t="s">
        <v>789</v>
      </c>
      <c r="B53" s="0" t="s">
        <v>86</v>
      </c>
      <c r="C53" s="38" t="n">
        <f aca="false">cx_awso*Seg!$C$63</f>
        <v>21.0469989286053</v>
      </c>
      <c r="D53" s="38" t="n">
        <f aca="false">cx_awso*Seg!$D$63</f>
        <v>24.0042459822698</v>
      </c>
      <c r="E53" s="38" t="n">
        <f aca="false">cx_awso*Seg!$E$63</f>
        <v>14.261729404886</v>
      </c>
      <c r="F53" s="38" t="n">
        <f aca="false">cx_awso*Seg!$F$63</f>
        <v>14.3538599588493</v>
      </c>
      <c r="G53" s="38" t="n">
        <f aca="false">CF!$E$53+CF!$F$53</f>
        <v>28.6155893637353</v>
      </c>
      <c r="H53" s="38" t="n">
        <f aca="false">cx_awso*Seg!$H$63</f>
        <v>32.2034154158406</v>
      </c>
      <c r="I53" s="38" t="n">
        <f aca="false">cx_awso*Seg!$I$63</f>
        <v>35.7539519042915</v>
      </c>
      <c r="J53" s="38" t="n">
        <f aca="false">cx_awso*Seg!$J$63</f>
        <v>39.1551076091815</v>
      </c>
      <c r="K53" s="38" t="n">
        <f aca="false">cx_awso*Seg!$K$63</f>
        <v>42.287516217916</v>
      </c>
      <c r="L53" s="38" t="n">
        <f aca="false">cx_awso*Seg!$L$63</f>
        <v>45.6705175153492</v>
      </c>
      <c r="M53" s="38" t="n">
        <f aca="false">cx_awso*Seg!$M$63</f>
        <v>49.3241589165772</v>
      </c>
    </row>
    <row r="54" customFormat="false" ht="17.15" hidden="false" customHeight="false" outlineLevel="0" collapsed="false">
      <c r="A54" s="5" t="s">
        <v>790</v>
      </c>
      <c r="B54" s="0" t="s">
        <v>86</v>
      </c>
      <c r="C54" s="38" t="n">
        <f aca="false">Q!$D$46-CF!$C$52-CF!$C$53</f>
        <v>31.3328957636573</v>
      </c>
      <c r="D54" s="38" t="n">
        <f aca="false">Q!$E$46-CF!$D$52-CF!$D$53</f>
        <v>34.7471223867276</v>
      </c>
      <c r="E54" s="38" t="n">
        <f aca="false">Q!$P$46-CF!$E$52-CF!$E$53</f>
        <v>17.8583499466032</v>
      </c>
      <c r="F54" s="38" t="n">
        <f aca="false">cx_rt*Seg!$F$55</f>
        <v>20.6195895799373</v>
      </c>
      <c r="G54" s="38" t="n">
        <f aca="false">CF!$E$54+CF!$F$54</f>
        <v>38.4779395265405</v>
      </c>
      <c r="H54" s="38" t="n">
        <f aca="false">cx_rt*Seg!$H$55</f>
        <v>42.5978994743075</v>
      </c>
      <c r="I54" s="38" t="n">
        <f aca="false">cx_rt*Seg!$I$55</f>
        <v>46.5813904136335</v>
      </c>
      <c r="J54" s="38" t="n">
        <f aca="false">cx_rt*Seg!$J$55</f>
        <v>50.2781676586844</v>
      </c>
      <c r="K54" s="38" t="n">
        <f aca="false">cx_rt*Seg!$K$55</f>
        <v>53.5312440191755</v>
      </c>
      <c r="L54" s="38" t="n">
        <f aca="false">cx_rt*Seg!$L$55</f>
        <v>57.0116717051447</v>
      </c>
      <c r="M54" s="38" t="n">
        <f aca="false">cx_rt*Seg!$M$55</f>
        <v>60.7365554669226</v>
      </c>
    </row>
    <row r="55" customFormat="false" ht="15" hidden="false" customHeight="false" outlineLevel="0" collapsed="false">
      <c r="A55" s="3" t="s">
        <v>791</v>
      </c>
      <c r="B55" s="8" t="s">
        <v>86</v>
      </c>
      <c r="C55" s="38" t="n">
        <f aca="false">Q!$D$46</f>
        <v>77.658</v>
      </c>
      <c r="D55" s="38" t="n">
        <f aca="false">Q!$E$46</f>
        <v>128.32</v>
      </c>
      <c r="E55" s="38" t="n">
        <f aca="false">Q!$P$46</f>
        <v>96.31</v>
      </c>
      <c r="F55" s="38" t="n">
        <f aca="false">CF!$F$52+CF!$F$53+CF!$F$54</f>
        <v>131.221579528287</v>
      </c>
      <c r="G55" s="38" t="n">
        <f aca="false">CF!$E$55+CF!$F$55</f>
        <v>227.531579528287</v>
      </c>
      <c r="H55" s="38" t="n">
        <f aca="false">CF!$H$52+CF!$H$53+CF!$H$54</f>
        <v>273.372679834898</v>
      </c>
      <c r="I55" s="38" t="n">
        <f aca="false">CF!$I$52+CF!$I$53+CF!$I$54</f>
        <v>286.981812228425</v>
      </c>
      <c r="J55" s="38" t="n">
        <f aca="false">CF!$J$52+CF!$J$53+CF!$J$54</f>
        <v>299.316513378366</v>
      </c>
      <c r="K55" s="38" t="n">
        <f aca="false">CF!$K$52+CF!$K$53+CF!$K$54</f>
        <v>251.057145512292</v>
      </c>
      <c r="L55" s="38" t="n">
        <f aca="false">CF!$L$52+CF!$L$53+CF!$L$54</f>
        <v>234.696330860396</v>
      </c>
      <c r="M55" s="38" t="n">
        <f aca="false">CF!$M$52+CF!$M$53+CF!$M$54</f>
        <v>242.291696043352</v>
      </c>
    </row>
    <row r="56" customFormat="false" ht="17.15" hidden="false" customHeight="false" outlineLevel="0" collapsed="false">
      <c r="A56" s="5" t="s">
        <v>563</v>
      </c>
      <c r="B56" s="0" t="s">
        <v>86</v>
      </c>
      <c r="C56" s="38" t="n">
        <f aca="false">Q!$D$50</f>
        <v>2.043</v>
      </c>
      <c r="D56" s="38" t="n">
        <f aca="false">Q!$E$50</f>
        <v>1.557</v>
      </c>
      <c r="E56" s="38" t="n">
        <f aca="false">lease_pr/2</f>
        <v>0.8</v>
      </c>
      <c r="F56" s="38" t="n">
        <f aca="false">lease_pr/2</f>
        <v>0.8</v>
      </c>
      <c r="G56" s="38" t="n">
        <f aca="false">CF!$E$56+CF!$F$56</f>
        <v>1.6</v>
      </c>
      <c r="H56" s="38" t="n">
        <f aca="false">lease_pr</f>
        <v>1.6</v>
      </c>
      <c r="I56" s="38" t="n">
        <f aca="false">lease_pr</f>
        <v>1.6</v>
      </c>
      <c r="J56" s="38" t="n">
        <f aca="false">lease_pr</f>
        <v>1.6</v>
      </c>
      <c r="K56" s="38" t="n">
        <f aca="false">lease_pr</f>
        <v>1.6</v>
      </c>
      <c r="L56" s="38" t="n">
        <f aca="false">lease_pr</f>
        <v>1.6</v>
      </c>
      <c r="M56" s="38" t="n">
        <f aca="false">lease_pr</f>
        <v>1.6</v>
      </c>
      <c r="P56" s="8" t="s">
        <v>792</v>
      </c>
    </row>
    <row r="57" customFormat="false" ht="15" hidden="false" customHeight="false" outlineLevel="0" collapsed="false">
      <c r="A57" s="47" t="s">
        <v>793</v>
      </c>
      <c r="B57" s="14" t="s">
        <v>86</v>
      </c>
      <c r="C57" s="48" t="n">
        <f aca="false">CF!$C$51-CF!$C$55-CF!$C$56</f>
        <v>36.176</v>
      </c>
      <c r="D57" s="48" t="n">
        <f aca="false">CF!$D$51-CF!$D$55-CF!$D$56</f>
        <v>9.63700000000002</v>
      </c>
      <c r="E57" s="48" t="n">
        <f aca="false">CF!$E$51-CF!$E$55-CF!$E$56</f>
        <v>-25.691</v>
      </c>
      <c r="F57" s="48" t="n">
        <f aca="false">CF!$F$51-CF!$F$55-CF!$F$56</f>
        <v>-41.4356983848813</v>
      </c>
      <c r="G57" s="48" t="n">
        <f aca="false">CF!$G$51-CF!$G$55-CF!$G$56</f>
        <v>-67.1266983848813</v>
      </c>
      <c r="H57" s="48" t="n">
        <f aca="false">CF!$H$51-CF!$H$55-CF!$H$56</f>
        <v>-56.3449313570613</v>
      </c>
      <c r="I57" s="48" t="n">
        <f aca="false">CF!$I$51-CF!$I$55-CF!$I$56</f>
        <v>-18.1091313650653</v>
      </c>
      <c r="J57" s="48" t="n">
        <f aca="false">CF!$J$51-CF!$J$55-CF!$J$56</f>
        <v>21.9846354142961</v>
      </c>
      <c r="K57" s="48" t="n">
        <f aca="false">CF!$K$51-CF!$K$55-CF!$K$56</f>
        <v>118.41983364075</v>
      </c>
      <c r="L57" s="48" t="n">
        <f aca="false">CF!$L$51-CF!$L$55-CF!$L$56</f>
        <v>177.018957471681</v>
      </c>
      <c r="M57" s="48" t="n">
        <f aca="false">CF!$M$51-CF!$M$55-CF!$M$56</f>
        <v>206.080627590357</v>
      </c>
      <c r="N57" s="14"/>
      <c r="O57" s="14"/>
    </row>
    <row r="58" customFormat="false" ht="17.15" hidden="false" customHeight="false" outlineLevel="0" collapsed="false">
      <c r="A58" s="5" t="s">
        <v>794</v>
      </c>
      <c r="B58" s="0" t="s">
        <v>86</v>
      </c>
      <c r="C58" s="38" t="n">
        <f aca="false">dps*PL!$C$144</f>
        <v>0</v>
      </c>
      <c r="D58" s="38" t="n">
        <f aca="false">dps*PL!$D$144</f>
        <v>0</v>
      </c>
      <c r="E58" s="38" t="n">
        <f aca="false">dps*PL!$E$144</f>
        <v>0</v>
      </c>
      <c r="F58" s="38" t="n">
        <f aca="false">0</f>
        <v>0</v>
      </c>
      <c r="G58" s="38" t="n">
        <f aca="false">dps*PL!$G$144</f>
        <v>0</v>
      </c>
      <c r="H58" s="38" t="n">
        <f aca="false">dps*PL!$H$144</f>
        <v>0</v>
      </c>
      <c r="I58" s="38" t="n">
        <f aca="false">dps*PL!$I$144</f>
        <v>0</v>
      </c>
      <c r="J58" s="38" t="n">
        <f aca="false">dps*PL!$J$144</f>
        <v>0</v>
      </c>
      <c r="K58" s="38" t="n">
        <f aca="false">dps*PL!$K$144</f>
        <v>0</v>
      </c>
      <c r="L58" s="38" t="n">
        <f aca="false">dps*PL!$L$144</f>
        <v>0</v>
      </c>
      <c r="M58" s="38" t="n">
        <f aca="false">dps*PL!$M$144</f>
        <v>0</v>
      </c>
      <c r="P58" s="8" t="s">
        <v>795</v>
      </c>
    </row>
    <row r="59" customFormat="false" ht="17.15" hidden="false" customHeight="false" outlineLevel="0" collapsed="false">
      <c r="A59" s="5" t="s">
        <v>796</v>
      </c>
      <c r="B59" s="0" t="s">
        <v>86</v>
      </c>
      <c r="C59" s="38" t="n">
        <f aca="false">0</f>
        <v>0</v>
      </c>
      <c r="D59" s="38" t="n">
        <f aca="false">0</f>
        <v>0</v>
      </c>
      <c r="E59" s="38" t="n">
        <f aca="false">0</f>
        <v>0</v>
      </c>
      <c r="F59" s="38" t="n">
        <f aca="false">0</f>
        <v>0</v>
      </c>
      <c r="G59" s="38" t="n">
        <f aca="false">0</f>
        <v>0</v>
      </c>
      <c r="H59" s="38" t="n">
        <f aca="false">0</f>
        <v>0</v>
      </c>
      <c r="I59" s="38" t="n">
        <f aca="false">0</f>
        <v>0</v>
      </c>
      <c r="J59" s="38" t="n">
        <f aca="false">0</f>
        <v>0</v>
      </c>
      <c r="K59" s="38" t="n">
        <f aca="false">0</f>
        <v>0</v>
      </c>
      <c r="L59" s="38" t="n">
        <f aca="false">0</f>
        <v>0</v>
      </c>
      <c r="M59" s="38" t="n">
        <f aca="false">0</f>
        <v>0</v>
      </c>
      <c r="P59" s="8" t="s">
        <v>797</v>
      </c>
    </row>
    <row r="60" customFormat="false" ht="15" hidden="false" customHeight="false" outlineLevel="0" collapsed="false">
      <c r="A60" s="3" t="s">
        <v>798</v>
      </c>
      <c r="B60" s="8" t="s">
        <v>86</v>
      </c>
      <c r="C60" s="38" t="n">
        <f aca="false">CF!$C$57-CF!$C$58</f>
        <v>36.176</v>
      </c>
      <c r="D60" s="38" t="n">
        <f aca="false">CF!$D$57-CF!$D$58</f>
        <v>9.63700000000002</v>
      </c>
      <c r="E60" s="38" t="n">
        <f aca="false">CF!$E$57-CF!$E$58</f>
        <v>-25.691</v>
      </c>
      <c r="F60" s="38" t="n">
        <f aca="false">CF!$F$57-CF!$F$58</f>
        <v>-41.4356983848813</v>
      </c>
      <c r="G60" s="38" t="n">
        <f aca="false">CF!$G$57-CF!$G$58</f>
        <v>-67.1266983848813</v>
      </c>
      <c r="H60" s="38" t="n">
        <f aca="false">CF!$H$57-CF!$H$58</f>
        <v>-56.3449313570613</v>
      </c>
      <c r="I60" s="38" t="n">
        <f aca="false">CF!$I$57-CF!$I$58</f>
        <v>-18.1091313650653</v>
      </c>
      <c r="J60" s="38" t="n">
        <f aca="false">CF!$J$57-CF!$J$58</f>
        <v>21.9846354142961</v>
      </c>
      <c r="K60" s="38" t="n">
        <f aca="false">CF!$K$57-CF!$K$58</f>
        <v>118.41983364075</v>
      </c>
      <c r="L60" s="38" t="n">
        <f aca="false">CF!$L$57-CF!$L$58</f>
        <v>177.018957471681</v>
      </c>
      <c r="M60" s="38" t="n">
        <f aca="false">CF!$M$57-CF!$M$58</f>
        <v>206.080627590357</v>
      </c>
    </row>
    <row r="61" customFormat="false" ht="17.15" hidden="false" customHeight="false" outlineLevel="0" collapsed="false">
      <c r="A61" s="5" t="s">
        <v>799</v>
      </c>
      <c r="B61" s="0" t="s">
        <v>86</v>
      </c>
      <c r="E61" s="38" t="n">
        <f aca="false">Q!$P$53</f>
        <v>39.767</v>
      </c>
      <c r="F61" s="38" t="n">
        <f aca="false">inv_2h26</f>
        <v>21.3</v>
      </c>
      <c r="G61" s="38" t="n">
        <f aca="false">CF!$E$61+CF!$F$61</f>
        <v>61.067</v>
      </c>
      <c r="H61" s="39" t="n">
        <v>0</v>
      </c>
      <c r="I61" s="39" t="n">
        <v>0</v>
      </c>
      <c r="J61" s="39" t="n">
        <v>0</v>
      </c>
      <c r="K61" s="39" t="n">
        <v>0</v>
      </c>
      <c r="L61" s="39" t="n">
        <v>0</v>
      </c>
      <c r="M61" s="39" t="n">
        <v>0</v>
      </c>
    </row>
    <row r="62" customFormat="false" ht="17.15" hidden="false" customHeight="false" outlineLevel="0" collapsed="false">
      <c r="A62" s="5" t="s">
        <v>800</v>
      </c>
      <c r="B62" s="0" t="s">
        <v>86</v>
      </c>
      <c r="F62" s="38" t="n">
        <f aca="false">iss_2h26</f>
        <v>29.249999</v>
      </c>
      <c r="G62" s="38" t="n">
        <f aca="false">CF!$F$62</f>
        <v>29.249999</v>
      </c>
      <c r="H62" s="39" t="n">
        <v>0</v>
      </c>
      <c r="I62" s="39" t="n">
        <v>0</v>
      </c>
      <c r="J62" s="39" t="n">
        <v>0</v>
      </c>
      <c r="K62" s="39" t="n">
        <v>0</v>
      </c>
      <c r="L62" s="39" t="n">
        <v>0</v>
      </c>
      <c r="M62" s="39" t="n">
        <v>0</v>
      </c>
    </row>
    <row r="63" customFormat="false" ht="17.15" hidden="false" customHeight="false" outlineLevel="0" collapsed="false">
      <c r="A63" s="5" t="s">
        <v>801</v>
      </c>
      <c r="B63" s="0" t="s">
        <v>86</v>
      </c>
      <c r="F63" s="38" t="n">
        <f aca="false">cash_q2</f>
        <v>122.988</v>
      </c>
      <c r="G63" s="38" t="n">
        <f aca="false">cash_q2</f>
        <v>122.988</v>
      </c>
      <c r="H63" s="38" t="n">
        <f aca="false">CF!$G$66</f>
        <v>89.5023006151187</v>
      </c>
      <c r="I63" s="38" t="n">
        <f aca="false">CF!$H$66</f>
        <v>50</v>
      </c>
      <c r="J63" s="38" t="n">
        <f aca="false">CF!$I$66</f>
        <v>50</v>
      </c>
      <c r="K63" s="38" t="n">
        <f aca="false">CF!$J$66</f>
        <v>71.9846354142962</v>
      </c>
      <c r="L63" s="38" t="n">
        <f aca="false">CF!$K$66</f>
        <v>190.404469055046</v>
      </c>
      <c r="M63" s="38" t="n">
        <f aca="false">CF!$L$66</f>
        <v>367.423426526727</v>
      </c>
    </row>
    <row r="64" customFormat="false" ht="15" hidden="false" customHeight="false" outlineLevel="0" collapsed="false">
      <c r="A64" s="5" t="s">
        <v>802</v>
      </c>
      <c r="B64" s="0" t="s">
        <v>86</v>
      </c>
      <c r="F64" s="38" t="n">
        <f aca="false">CF!$F$63+CF!$F$60-CF!$F$59-CF!$F$61+CF!$F$62</f>
        <v>89.5023006151187</v>
      </c>
      <c r="H64" s="38" t="n">
        <f aca="false">CF!$H$63+CF!$H$60-CF!$H$59-CF!$H$61+CF!$H$62</f>
        <v>33.1573692580575</v>
      </c>
      <c r="I64" s="38" t="n">
        <f aca="false">CF!$I$63+CF!$I$60-CF!$I$59-CF!$I$61+CF!$I$62</f>
        <v>31.8908686349347</v>
      </c>
      <c r="J64" s="38" t="n">
        <f aca="false">CF!$J$63+CF!$J$60-CF!$J$59-CF!$J$61+CF!$J$62</f>
        <v>71.9846354142962</v>
      </c>
      <c r="K64" s="38" t="n">
        <f aca="false">CF!$K$63+CF!$K$60-CF!$K$59-CF!$K$61+CF!$K$62</f>
        <v>190.404469055046</v>
      </c>
      <c r="L64" s="38" t="n">
        <f aca="false">CF!$L$63+CF!$L$60-CF!$L$59-CF!$L$61+CF!$L$62</f>
        <v>367.423426526727</v>
      </c>
      <c r="M64" s="38" t="n">
        <f aca="false">CF!$M$63+CF!$M$60-CF!$M$59-CF!$M$61+CF!$M$62</f>
        <v>573.504054117085</v>
      </c>
    </row>
    <row r="65" customFormat="false" ht="17.15" hidden="false" customHeight="false" outlineLevel="0" collapsed="false">
      <c r="A65" s="5" t="s">
        <v>803</v>
      </c>
      <c r="B65" s="0" t="s">
        <v>86</v>
      </c>
      <c r="F65" s="38" t="n">
        <f aca="false">MAX(0,min_cash-CF!$F$64)</f>
        <v>0</v>
      </c>
      <c r="G65" s="38" t="n">
        <f aca="false">CF!$F$65</f>
        <v>0</v>
      </c>
      <c r="H65" s="38" t="n">
        <f aca="false">MAX(0,min_cash-CF!$H$64)</f>
        <v>16.8426307419426</v>
      </c>
      <c r="I65" s="38" t="n">
        <f aca="false">MAX(0,min_cash-CF!$I$64)</f>
        <v>18.1091313650653</v>
      </c>
      <c r="J65" s="38" t="n">
        <f aca="false">MAX(0,min_cash-CF!$J$64)</f>
        <v>0</v>
      </c>
      <c r="K65" s="38" t="n">
        <f aca="false">MAX(0,min_cash-CF!$K$64)</f>
        <v>0</v>
      </c>
      <c r="L65" s="38" t="n">
        <f aca="false">MAX(0,min_cash-CF!$L$64)</f>
        <v>0</v>
      </c>
      <c r="M65" s="38" t="n">
        <f aca="false">MAX(0,min_cash-CF!$M$64)</f>
        <v>0</v>
      </c>
      <c r="P65" s="5" t="s">
        <v>804</v>
      </c>
    </row>
    <row r="66" customFormat="false" ht="15" hidden="false" customHeight="false" outlineLevel="0" collapsed="false">
      <c r="A66" s="5" t="s">
        <v>805</v>
      </c>
      <c r="B66" s="0" t="s">
        <v>86</v>
      </c>
      <c r="D66" s="38" t="n">
        <f aca="false">Q!$E$61</f>
        <v>123.029</v>
      </c>
      <c r="E66" s="38" t="n">
        <f aca="false">Q!$M$61</f>
        <v>122.988</v>
      </c>
      <c r="F66" s="38" t="n">
        <f aca="false">CF!$F$64+CF!$F$65</f>
        <v>89.5023006151187</v>
      </c>
      <c r="G66" s="38" t="n">
        <f aca="false">CF!$F$66</f>
        <v>89.5023006151187</v>
      </c>
      <c r="H66" s="38" t="n">
        <f aca="false">CF!$H$64+CF!$H$65</f>
        <v>50</v>
      </c>
      <c r="I66" s="38" t="n">
        <f aca="false">CF!$I$64+CF!$I$65</f>
        <v>50</v>
      </c>
      <c r="J66" s="38" t="n">
        <f aca="false">CF!$J$64+CF!$J$65</f>
        <v>71.9846354142962</v>
      </c>
      <c r="K66" s="38" t="n">
        <f aca="false">CF!$K$64+CF!$K$65</f>
        <v>190.404469055046</v>
      </c>
      <c r="L66" s="38" t="n">
        <f aca="false">CF!$L$64+CF!$L$65</f>
        <v>367.423426526727</v>
      </c>
      <c r="M66" s="38" t="n">
        <f aca="false">CF!$M$64+CF!$M$65</f>
        <v>573.504054117085</v>
      </c>
    </row>
    <row r="67" customFormat="false" ht="15" hidden="false" customHeight="false" outlineLevel="0" collapsed="false">
      <c r="A67" s="5" t="s">
        <v>806</v>
      </c>
      <c r="B67" s="0" t="s">
        <v>86</v>
      </c>
      <c r="D67" s="38" t="n">
        <f aca="false">Q!$E$62</f>
        <v>68.836</v>
      </c>
      <c r="E67" s="38" t="n">
        <f aca="false">Q!$M$62</f>
        <v>132.995</v>
      </c>
      <c r="F67" s="38" t="n">
        <f aca="false">debt_q2+CF!$F$62+CF!$F$65</f>
        <v>162.244999</v>
      </c>
      <c r="G67" s="38" t="n">
        <f aca="false">CF!$F$67</f>
        <v>162.244999</v>
      </c>
      <c r="H67" s="38" t="n">
        <f aca="false">CF!$G$67+CF!$H$65</f>
        <v>179.087629741943</v>
      </c>
      <c r="I67" s="38" t="n">
        <f aca="false">CF!$H$67+CF!$I$65</f>
        <v>197.196761107008</v>
      </c>
      <c r="J67" s="38" t="n">
        <f aca="false">CF!$I$67+CF!$J$65</f>
        <v>197.196761107008</v>
      </c>
      <c r="K67" s="38" t="n">
        <f aca="false">CF!$J$67+CF!$K$65</f>
        <v>197.196761107008</v>
      </c>
      <c r="L67" s="38" t="n">
        <f aca="false">CF!$K$67+CF!$L$65</f>
        <v>197.196761107008</v>
      </c>
      <c r="M67" s="38" t="n">
        <f aca="false">CF!$L$67+CF!$M$65</f>
        <v>197.196761107008</v>
      </c>
    </row>
    <row r="68" customFormat="false" ht="15" hidden="false" customHeight="false" outlineLevel="0" collapsed="false">
      <c r="A68" s="5" t="s">
        <v>807</v>
      </c>
      <c r="B68" s="0" t="s">
        <v>86</v>
      </c>
      <c r="D68" s="38" t="n">
        <f aca="false">CF!$D$67-CF!$D$66</f>
        <v>-54.193</v>
      </c>
      <c r="E68" s="38" t="n">
        <f aca="false">CF!$E$67-CF!$E$66</f>
        <v>10.007</v>
      </c>
      <c r="F68" s="38" t="n">
        <f aca="false">CF!$F$67-CF!$F$66</f>
        <v>72.7426983848813</v>
      </c>
      <c r="G68" s="38" t="n">
        <f aca="false">CF!$G$67-CF!$G$66</f>
        <v>72.7426983848813</v>
      </c>
      <c r="H68" s="38" t="n">
        <f aca="false">CF!$H$67-CF!$H$66</f>
        <v>129.087629741943</v>
      </c>
      <c r="I68" s="38" t="n">
        <f aca="false">CF!$I$67-CF!$I$66</f>
        <v>147.196761107008</v>
      </c>
      <c r="J68" s="38" t="n">
        <f aca="false">CF!$J$67-CF!$J$66</f>
        <v>125.212125692712</v>
      </c>
      <c r="K68" s="38" t="n">
        <f aca="false">CF!$K$67-CF!$K$66</f>
        <v>6.79229205196145</v>
      </c>
      <c r="L68" s="38" t="n">
        <f aca="false">CF!$L$67-CF!$L$66</f>
        <v>-170.226665419719</v>
      </c>
      <c r="M68" s="38" t="n">
        <f aca="false">CF!$M$67-CF!$M$66</f>
        <v>-376.307293010077</v>
      </c>
    </row>
    <row r="69" customFormat="false" ht="17.15" hidden="false" customHeight="false" outlineLevel="0" collapsed="false">
      <c r="A69" s="5" t="s">
        <v>808</v>
      </c>
      <c r="B69" s="0" t="s">
        <v>86</v>
      </c>
      <c r="F69" s="38" t="n">
        <f aca="false">debt_q2*kd_book*0.5+iss_2h26*kd_new*iss_t</f>
        <v>3.24888962733561</v>
      </c>
      <c r="H69" s="38" t="n">
        <f aca="false">debt_q2*kd_book+(CF!$G$67-debt_q2)*kd_new</f>
        <v>7.42354172302123</v>
      </c>
      <c r="I69" s="38" t="n">
        <f aca="false">debt_q2*kd_book+(CF!$H$67-debt_q2)*kd_new</f>
        <v>8.48968024898619</v>
      </c>
      <c r="J69" s="38" t="n">
        <f aca="false">debt_q2*kd_book+(CF!$I$67-debt_q2)*kd_new</f>
        <v>9.63598826439483</v>
      </c>
      <c r="K69" s="38" t="n">
        <f aca="false">debt_q2*kd_book+(CF!$J$67-debt_q2)*kd_new</f>
        <v>9.63598826439483</v>
      </c>
      <c r="L69" s="38" t="n">
        <f aca="false">debt_q2*kd_book+(CF!$K$67-debt_q2)*kd_new</f>
        <v>9.63598826439483</v>
      </c>
      <c r="M69" s="38" t="n">
        <f aca="false">debt_q2*kd_book+(CF!$L$67-debt_q2)*kd_new</f>
        <v>9.63598826439483</v>
      </c>
    </row>
    <row r="70" customFormat="false" ht="17.15" hidden="false" customHeight="false" outlineLevel="0" collapsed="false">
      <c r="A70" s="5" t="s">
        <v>809</v>
      </c>
      <c r="B70" s="0" t="s">
        <v>86</v>
      </c>
      <c r="F70" s="38" t="n">
        <f aca="false">cash_q2*y_cash*0.5</f>
        <v>2.59</v>
      </c>
      <c r="H70" s="38" t="n">
        <f aca="false">CF!$G$66*y_cash</f>
        <v>3.76965165045626</v>
      </c>
      <c r="I70" s="38" t="n">
        <f aca="false">CF!$H$66*y_cash</f>
        <v>2.10589651022864</v>
      </c>
      <c r="J70" s="38" t="n">
        <f aca="false">CF!$I$66*y_cash</f>
        <v>2.10589651022864</v>
      </c>
      <c r="K70" s="38" t="n">
        <f aca="false">CF!$J$66*y_cash</f>
        <v>3.03184385018094</v>
      </c>
      <c r="L70" s="38" t="n">
        <f aca="false">CF!$K$66*y_cash</f>
        <v>8.01944213829919</v>
      </c>
      <c r="M70" s="38" t="n">
        <f aca="false">CF!$L$66*y_cash</f>
        <v>15.4751142339777</v>
      </c>
    </row>
    <row r="71" customFormat="false" ht="17.15" hidden="false" customHeight="false" outlineLevel="0" collapsed="false">
      <c r="A71" s="47" t="s">
        <v>810</v>
      </c>
      <c r="B71" s="14" t="s">
        <v>86</v>
      </c>
      <c r="C71" s="14"/>
      <c r="D71" s="14"/>
      <c r="E71" s="14"/>
      <c r="F71" s="14"/>
      <c r="G71" s="48" t="n">
        <f aca="false">SUM(CF!$G$60:$K$60)</f>
        <v>-1.17629205196147</v>
      </c>
      <c r="H71" s="14"/>
      <c r="I71" s="14"/>
      <c r="J71" s="14"/>
      <c r="K71" s="14"/>
      <c r="L71" s="14"/>
      <c r="M71" s="14"/>
      <c r="N71" s="14"/>
      <c r="O71" s="14"/>
    </row>
    <row r="72" customFormat="false" ht="17.15" hidden="false" customHeight="false" outlineLevel="0" collapsed="false">
      <c r="A72" s="0" t="s">
        <v>776</v>
      </c>
      <c r="B72" s="0" t="s">
        <v>86</v>
      </c>
      <c r="G72" s="38" t="n">
        <f aca="false">SUM(CF!$G$65:$K$65)</f>
        <v>34.9517621070079</v>
      </c>
    </row>
    <row r="73" customFormat="false" ht="17.15" hidden="false" customHeight="false" outlineLevel="0" collapsed="false">
      <c r="A73" s="24" t="s">
        <v>813</v>
      </c>
      <c r="B73" s="25" t="s">
        <v>86</v>
      </c>
      <c r="C73" s="25"/>
      <c r="D73" s="25"/>
      <c r="E73" s="25"/>
      <c r="F73" s="25"/>
      <c r="G73" s="41" t="n">
        <f aca="false">CF!$G$71-(CF!$G$60+CF!$H$60+CF!$I$60+CF!$J$60+CF!$K$60)</f>
        <v>-2.8421709430404E-014</v>
      </c>
      <c r="H73" s="25"/>
      <c r="I73" s="25"/>
      <c r="J73" s="25"/>
      <c r="K73" s="25"/>
      <c r="L73" s="25"/>
      <c r="M73" s="25"/>
      <c r="N73" s="25"/>
      <c r="O73" s="25"/>
    </row>
    <row r="76" customFormat="false" ht="19.4" hidden="false" customHeight="false" outlineLevel="0" collapsed="false">
      <c r="A76" s="31" t="s">
        <v>814</v>
      </c>
    </row>
    <row r="77" customFormat="false" ht="17.15" hidden="false" customHeight="false" outlineLevel="0" collapsed="false">
      <c r="A77" s="6" t="s">
        <v>16</v>
      </c>
      <c r="B77" s="6" t="s">
        <v>17</v>
      </c>
      <c r="C77" s="20" t="s">
        <v>497</v>
      </c>
      <c r="D77" s="20" t="s">
        <v>498</v>
      </c>
      <c r="E77" s="20" t="s">
        <v>580</v>
      </c>
      <c r="F77" s="20" t="s">
        <v>581</v>
      </c>
      <c r="G77" s="20" t="s">
        <v>582</v>
      </c>
      <c r="H77" s="20" t="s">
        <v>583</v>
      </c>
      <c r="I77" s="20" t="s">
        <v>584</v>
      </c>
      <c r="J77" s="20" t="s">
        <v>585</v>
      </c>
      <c r="K77" s="20" t="s">
        <v>586</v>
      </c>
      <c r="L77" s="20" t="s">
        <v>587</v>
      </c>
      <c r="M77" s="20" t="s">
        <v>588</v>
      </c>
      <c r="N77" s="20" t="s">
        <v>589</v>
      </c>
      <c r="O77" s="20" t="s">
        <v>590</v>
      </c>
      <c r="P77" s="6" t="s">
        <v>23</v>
      </c>
      <c r="R77" s="20" t="n">
        <v>2023</v>
      </c>
      <c r="S77" s="20" t="n">
        <v>2024</v>
      </c>
      <c r="T77" s="20" t="n">
        <v>2025</v>
      </c>
      <c r="U77" s="20" t="n">
        <v>2026</v>
      </c>
      <c r="V77" s="20" t="n">
        <v>2027</v>
      </c>
      <c r="W77" s="20" t="n">
        <v>2028</v>
      </c>
      <c r="X77" s="20" t="n">
        <v>2029</v>
      </c>
      <c r="Y77" s="20" t="n">
        <v>2030</v>
      </c>
      <c r="Z77" s="20" t="n">
        <v>2031</v>
      </c>
      <c r="AA77" s="20" t="n">
        <v>2032</v>
      </c>
    </row>
    <row r="78" customFormat="false" ht="15" hidden="false" customHeight="false" outlineLevel="0" collapsed="false">
      <c r="A78" s="5" t="s">
        <v>549</v>
      </c>
      <c r="B78" s="0" t="s">
        <v>86</v>
      </c>
      <c r="C78" s="38" t="n">
        <f aca="false">PL!$C$213</f>
        <v>59.248</v>
      </c>
      <c r="D78" s="38" t="n">
        <f aca="false">PL!$D$213</f>
        <v>77.67</v>
      </c>
      <c r="E78" s="38" t="n">
        <f aca="false">PL!$E$213</f>
        <v>92.902</v>
      </c>
      <c r="F78" s="38" t="n">
        <f aca="false">PL!$F$213</f>
        <v>45.6227502089606</v>
      </c>
      <c r="G78" s="38" t="n">
        <f aca="false">PL!$G$213</f>
        <v>138.524750208961</v>
      </c>
      <c r="H78" s="38" t="n">
        <f aca="false">PL!$H$213</f>
        <v>100.094899073714</v>
      </c>
      <c r="I78" s="38" t="n">
        <f aca="false">PL!$I$213</f>
        <v>108.211496313341</v>
      </c>
      <c r="J78" s="38" t="n">
        <f aca="false">PL!$J$213</f>
        <v>116.045220764338</v>
      </c>
      <c r="K78" s="38" t="n">
        <f aca="false">PL!$K$213</f>
        <v>120.79865795623</v>
      </c>
      <c r="L78" s="38" t="n">
        <f aca="false">PL!$L$213</f>
        <v>129.748976355928</v>
      </c>
      <c r="M78" s="38" t="n">
        <f aca="false">PL!$M$213</f>
        <v>141.656302242405</v>
      </c>
    </row>
    <row r="79" customFormat="false" ht="17.15" hidden="false" customHeight="false" outlineLevel="0" collapsed="false">
      <c r="A79" s="5" t="s">
        <v>784</v>
      </c>
      <c r="B79" s="0" t="s">
        <v>86</v>
      </c>
      <c r="C79" s="38" t="n">
        <f aca="false">PL!$C$201</f>
        <v>32.067</v>
      </c>
      <c r="D79" s="38" t="n">
        <f aca="false">PL!$D$201</f>
        <v>41.86</v>
      </c>
      <c r="E79" s="38" t="n">
        <f aca="false">PL!$E$201</f>
        <v>26.703</v>
      </c>
      <c r="F79" s="38" t="n">
        <f aca="false">PL!$F$201</f>
        <v>28.2071421626285</v>
      </c>
      <c r="G79" s="38" t="n">
        <f aca="false">PL!$G$201</f>
        <v>54.9101421626285</v>
      </c>
      <c r="H79" s="38" t="n">
        <f aca="false">PL!$H$201</f>
        <v>78.1799395827871</v>
      </c>
      <c r="I79" s="38" t="n">
        <f aca="false">PL!$I$201</f>
        <v>111.171125554384</v>
      </c>
      <c r="J79" s="38" t="n">
        <f aca="false">PL!$J$201</f>
        <v>144.884406220971</v>
      </c>
      <c r="K79" s="38" t="n">
        <f aca="false">PL!$K$201</f>
        <v>178.806419437999</v>
      </c>
      <c r="L79" s="38" t="n">
        <f aca="false">PL!$L$201</f>
        <v>204.341339029663</v>
      </c>
      <c r="M79" s="38" t="n">
        <f aca="false">PL!$M$201</f>
        <v>223.130577995387</v>
      </c>
    </row>
    <row r="80" customFormat="false" ht="15" hidden="false" customHeight="false" outlineLevel="0" collapsed="false">
      <c r="A80" s="5" t="s">
        <v>785</v>
      </c>
      <c r="B80" s="0" t="s">
        <v>86</v>
      </c>
      <c r="C80" s="38" t="n">
        <f aca="false">Q!$D$48</f>
        <v>22.011</v>
      </c>
      <c r="D80" s="38" t="n">
        <f aca="false">Q!$E$48</f>
        <v>19.467</v>
      </c>
      <c r="E80" s="38" t="n">
        <f aca="false">Q!$P$48</f>
        <v>10.07</v>
      </c>
      <c r="F80" s="38" t="n">
        <f aca="false">sbc_r*Seg!$F$100</f>
        <v>10.8301362330615</v>
      </c>
      <c r="G80" s="38" t="n">
        <f aca="false">CF!$E$80+CF!$F$80</f>
        <v>20.9001362330615</v>
      </c>
      <c r="H80" s="38" t="n">
        <f aca="false">sbc_r*Seg!$H$100</f>
        <v>23.2943317654256</v>
      </c>
      <c r="I80" s="38" t="n">
        <f aca="false">sbc_r*Seg!$I$100</f>
        <v>26.2713749165794</v>
      </c>
      <c r="J80" s="38" t="n">
        <f aca="false">sbc_r*Seg!$J$100</f>
        <v>29.1127794503891</v>
      </c>
      <c r="K80" s="38" t="n">
        <f aca="false">sbc_r*Seg!$K$100</f>
        <v>31.6074153583433</v>
      </c>
      <c r="L80" s="38" t="n">
        <f aca="false">sbc_r*Seg!$L$100</f>
        <v>33.9776385718341</v>
      </c>
      <c r="M80" s="38" t="n">
        <f aca="false">sbc_r*Seg!$M$100</f>
        <v>36.2325352034492</v>
      </c>
    </row>
    <row r="81" customFormat="false" ht="17.15" hidden="false" customHeight="false" outlineLevel="0" collapsed="false">
      <c r="A81" s="5" t="s">
        <v>786</v>
      </c>
      <c r="B81" s="0" t="s">
        <v>86</v>
      </c>
      <c r="C81" s="38" t="n">
        <f aca="false">Q!$D$44-CF!$C$78-CF!$C$79-CF!$C$80</f>
        <v>2.551</v>
      </c>
      <c r="D81" s="38" t="n">
        <f aca="false">Q!$E$44-CF!$D$78-CF!$D$79-CF!$D$80</f>
        <v>0.51700000000001</v>
      </c>
      <c r="E81" s="38" t="n">
        <f aca="false">Q!$P$44-CF!$E$78-CF!$E$79-CF!$E$80</f>
        <v>-58.256</v>
      </c>
      <c r="F81" s="38" t="n">
        <f aca="false">oth_r*Seg!$F$100</f>
        <v>5.21275305044778</v>
      </c>
      <c r="G81" s="38" t="n">
        <f aca="false">CF!$E$81+CF!$F$81</f>
        <v>-53.0432469495522</v>
      </c>
      <c r="H81" s="38" t="n">
        <f aca="false">oth_r*Seg!$H$100</f>
        <v>11.2120102974955</v>
      </c>
      <c r="I81" s="38" t="n">
        <f aca="false">oth_r*Seg!$I$100</f>
        <v>12.6449184745984</v>
      </c>
      <c r="J81" s="38" t="n">
        <f aca="false">oth_r*Seg!$J$100</f>
        <v>14.0125411741132</v>
      </c>
      <c r="K81" s="38" t="n">
        <f aca="false">oth_r*Seg!$K$100</f>
        <v>15.2132574586644</v>
      </c>
      <c r="L81" s="38" t="n">
        <f aca="false">oth_r*Seg!$L$100</f>
        <v>16.3540915184104</v>
      </c>
      <c r="M81" s="38" t="n">
        <f aca="false">oth_r*Seg!$M$100</f>
        <v>17.4394166742486</v>
      </c>
      <c r="P81" s="8" t="s">
        <v>787</v>
      </c>
    </row>
    <row r="82" customFormat="false" ht="15" hidden="false" customHeight="false" outlineLevel="0" collapsed="false">
      <c r="A82" s="3" t="s">
        <v>555</v>
      </c>
      <c r="B82" s="8" t="s">
        <v>86</v>
      </c>
      <c r="C82" s="38" t="n">
        <f aca="false">Q!$D$44</f>
        <v>115.877</v>
      </c>
      <c r="D82" s="38" t="n">
        <f aca="false">Q!$E$44</f>
        <v>139.514</v>
      </c>
      <c r="E82" s="38" t="n">
        <f aca="false">Q!$P$44</f>
        <v>71.419</v>
      </c>
      <c r="F82" s="38" t="n">
        <f aca="false">CF!$F$78+CF!$F$79+CF!$F$80+CF!$F$81</f>
        <v>89.8727816550984</v>
      </c>
      <c r="G82" s="38" t="n">
        <f aca="false">CF!$E$82+CF!$F$82</f>
        <v>161.291781655098</v>
      </c>
      <c r="H82" s="38" t="n">
        <f aca="false">CF!$H$78+CF!$H$79+CF!$H$80+CF!$H$81</f>
        <v>212.781180719422</v>
      </c>
      <c r="I82" s="38" t="n">
        <f aca="false">CF!$I$78+CF!$I$79+CF!$I$80+CF!$I$81</f>
        <v>258.298915258903</v>
      </c>
      <c r="J82" s="38" t="n">
        <f aca="false">CF!$J$78+CF!$J$79+CF!$J$80+CF!$J$81</f>
        <v>304.054947609812</v>
      </c>
      <c r="K82" s="38" t="n">
        <f aca="false">CF!$K$78+CF!$K$79+CF!$K$80+CF!$K$81</f>
        <v>346.425750211237</v>
      </c>
      <c r="L82" s="38" t="n">
        <f aca="false">CF!$L$78+CF!$L$79+CF!$L$80+CF!$L$81</f>
        <v>384.422045475835</v>
      </c>
      <c r="M82" s="38" t="n">
        <f aca="false">CF!$M$78+CF!$M$79+CF!$M$80+CF!$M$81</f>
        <v>418.458832115489</v>
      </c>
    </row>
    <row r="83" customFormat="false" ht="17.15" hidden="false" customHeight="false" outlineLevel="0" collapsed="false">
      <c r="A83" s="5" t="s">
        <v>788</v>
      </c>
      <c r="B83" s="0" t="s">
        <v>86</v>
      </c>
      <c r="C83" s="38" t="n">
        <f aca="false">Thesis!$C$155</f>
        <v>25.2781053077374</v>
      </c>
      <c r="D83" s="38" t="n">
        <f aca="false">Thesis!$D$155</f>
        <v>69.5686316310026</v>
      </c>
      <c r="E83" s="38" t="n">
        <f aca="false">Thesis!$E$155</f>
        <v>64.1899206485108</v>
      </c>
      <c r="F83" s="38" t="n">
        <f aca="false">Thesis!$F$155</f>
        <v>96.2481299895</v>
      </c>
      <c r="G83" s="38" t="n">
        <f aca="false">Thesis!$G$155</f>
        <v>160.438050638011</v>
      </c>
      <c r="H83" s="38" t="n">
        <f aca="false">Thesis!$H$155</f>
        <v>198.57136494475</v>
      </c>
      <c r="I83" s="38" t="n">
        <f aca="false">Thesis!$I$155</f>
        <v>204.6464699105</v>
      </c>
      <c r="J83" s="38" t="n">
        <f aca="false">Thesis!$J$155</f>
        <v>209.8832381105</v>
      </c>
      <c r="K83" s="38" t="n">
        <f aca="false">Thesis!$K$155</f>
        <v>155.238385275201</v>
      </c>
      <c r="L83" s="38" t="n">
        <f aca="false">Thesis!$L$155</f>
        <v>132.014141639902</v>
      </c>
      <c r="M83" s="38" t="n">
        <f aca="false">Thesis!$M$155</f>
        <v>132.230981659852</v>
      </c>
    </row>
    <row r="84" customFormat="false" ht="17.15" hidden="false" customHeight="false" outlineLevel="0" collapsed="false">
      <c r="A84" s="5" t="s">
        <v>789</v>
      </c>
      <c r="B84" s="0" t="s">
        <v>86</v>
      </c>
      <c r="C84" s="38" t="n">
        <f aca="false">cx_awso*Seg!$C$98</f>
        <v>21.0469989286053</v>
      </c>
      <c r="D84" s="38" t="n">
        <f aca="false">cx_awso*Seg!$D$98</f>
        <v>24.0042459822698</v>
      </c>
      <c r="E84" s="38" t="n">
        <f aca="false">cx_awso*Seg!$E$98</f>
        <v>14.261729404886</v>
      </c>
      <c r="F84" s="38" t="n">
        <f aca="false">cx_awso*Seg!$F$98</f>
        <v>14.3538599588493</v>
      </c>
      <c r="G84" s="38" t="n">
        <f aca="false">CF!$E$84+CF!$F$84</f>
        <v>28.6155893637353</v>
      </c>
      <c r="H84" s="38" t="n">
        <f aca="false">cx_awso*Seg!$H$98</f>
        <v>32.2034154158406</v>
      </c>
      <c r="I84" s="38" t="n">
        <f aca="false">cx_awso*Seg!$I$98</f>
        <v>35.7539519042915</v>
      </c>
      <c r="J84" s="38" t="n">
        <f aca="false">cx_awso*Seg!$J$98</f>
        <v>39.1551076091815</v>
      </c>
      <c r="K84" s="38" t="n">
        <f aca="false">cx_awso*Seg!$K$98</f>
        <v>42.287516217916</v>
      </c>
      <c r="L84" s="38" t="n">
        <f aca="false">cx_awso*Seg!$L$98</f>
        <v>45.6705175153492</v>
      </c>
      <c r="M84" s="38" t="n">
        <f aca="false">cx_awso*Seg!$M$98</f>
        <v>49.3241589165772</v>
      </c>
    </row>
    <row r="85" customFormat="false" ht="17.15" hidden="false" customHeight="false" outlineLevel="0" collapsed="false">
      <c r="A85" s="5" t="s">
        <v>790</v>
      </c>
      <c r="B85" s="0" t="s">
        <v>86</v>
      </c>
      <c r="C85" s="38" t="n">
        <f aca="false">Q!$D$46-CF!$C$83-CF!$C$84</f>
        <v>31.3328957636573</v>
      </c>
      <c r="D85" s="38" t="n">
        <f aca="false">Q!$E$46-CF!$D$83-CF!$D$84</f>
        <v>34.7471223867276</v>
      </c>
      <c r="E85" s="38" t="n">
        <f aca="false">Q!$P$46-CF!$E$83-CF!$E$84</f>
        <v>17.8583499466032</v>
      </c>
      <c r="F85" s="38" t="n">
        <f aca="false">cx_rt*Seg!$F$90</f>
        <v>20.6195895799373</v>
      </c>
      <c r="G85" s="38" t="n">
        <f aca="false">CF!$E$85+CF!$F$85</f>
        <v>38.4779395265405</v>
      </c>
      <c r="H85" s="38" t="n">
        <f aca="false">cx_rt*Seg!$H$90</f>
        <v>42.5978994743075</v>
      </c>
      <c r="I85" s="38" t="n">
        <f aca="false">cx_rt*Seg!$I$90</f>
        <v>46.5813904136335</v>
      </c>
      <c r="J85" s="38" t="n">
        <f aca="false">cx_rt*Seg!$J$90</f>
        <v>50.2781676586844</v>
      </c>
      <c r="K85" s="38" t="n">
        <f aca="false">cx_rt*Seg!$K$90</f>
        <v>53.5312440191755</v>
      </c>
      <c r="L85" s="38" t="n">
        <f aca="false">cx_rt*Seg!$L$90</f>
        <v>57.0116717051447</v>
      </c>
      <c r="M85" s="38" t="n">
        <f aca="false">cx_rt*Seg!$M$90</f>
        <v>60.7365554669226</v>
      </c>
    </row>
    <row r="86" customFormat="false" ht="15" hidden="false" customHeight="false" outlineLevel="0" collapsed="false">
      <c r="A86" s="3" t="s">
        <v>791</v>
      </c>
      <c r="B86" s="8" t="s">
        <v>86</v>
      </c>
      <c r="C86" s="38" t="n">
        <f aca="false">Q!$D$46</f>
        <v>77.658</v>
      </c>
      <c r="D86" s="38" t="n">
        <f aca="false">Q!$E$46</f>
        <v>128.32</v>
      </c>
      <c r="E86" s="38" t="n">
        <f aca="false">Q!$P$46</f>
        <v>96.31</v>
      </c>
      <c r="F86" s="38" t="n">
        <f aca="false">CF!$F$83+CF!$F$84+CF!$F$85</f>
        <v>131.221579528287</v>
      </c>
      <c r="G86" s="38" t="n">
        <f aca="false">CF!$E$86+CF!$F$86</f>
        <v>227.531579528287</v>
      </c>
      <c r="H86" s="38" t="n">
        <f aca="false">CF!$H$83+CF!$H$84+CF!$H$85</f>
        <v>273.372679834898</v>
      </c>
      <c r="I86" s="38" t="n">
        <f aca="false">CF!$I$83+CF!$I$84+CF!$I$85</f>
        <v>286.981812228425</v>
      </c>
      <c r="J86" s="38" t="n">
        <f aca="false">CF!$J$83+CF!$J$84+CF!$J$85</f>
        <v>299.316513378366</v>
      </c>
      <c r="K86" s="38" t="n">
        <f aca="false">CF!$K$83+CF!$K$84+CF!$K$85</f>
        <v>251.057145512292</v>
      </c>
      <c r="L86" s="38" t="n">
        <f aca="false">CF!$L$83+CF!$L$84+CF!$L$85</f>
        <v>234.696330860396</v>
      </c>
      <c r="M86" s="38" t="n">
        <f aca="false">CF!$M$83+CF!$M$84+CF!$M$85</f>
        <v>242.291696043352</v>
      </c>
    </row>
    <row r="87" customFormat="false" ht="17.15" hidden="false" customHeight="false" outlineLevel="0" collapsed="false">
      <c r="A87" s="5" t="s">
        <v>563</v>
      </c>
      <c r="B87" s="0" t="s">
        <v>86</v>
      </c>
      <c r="C87" s="38" t="n">
        <f aca="false">Q!$D$50</f>
        <v>2.043</v>
      </c>
      <c r="D87" s="38" t="n">
        <f aca="false">Q!$E$50</f>
        <v>1.557</v>
      </c>
      <c r="E87" s="38" t="n">
        <f aca="false">lease_pr/2</f>
        <v>0.8</v>
      </c>
      <c r="F87" s="38" t="n">
        <f aca="false">lease_pr/2</f>
        <v>0.8</v>
      </c>
      <c r="G87" s="38" t="n">
        <f aca="false">CF!$E$87+CF!$F$87</f>
        <v>1.6</v>
      </c>
      <c r="H87" s="38" t="n">
        <f aca="false">lease_pr</f>
        <v>1.6</v>
      </c>
      <c r="I87" s="38" t="n">
        <f aca="false">lease_pr</f>
        <v>1.6</v>
      </c>
      <c r="J87" s="38" t="n">
        <f aca="false">lease_pr</f>
        <v>1.6</v>
      </c>
      <c r="K87" s="38" t="n">
        <f aca="false">lease_pr</f>
        <v>1.6</v>
      </c>
      <c r="L87" s="38" t="n">
        <f aca="false">lease_pr</f>
        <v>1.6</v>
      </c>
      <c r="M87" s="38" t="n">
        <f aca="false">lease_pr</f>
        <v>1.6</v>
      </c>
      <c r="P87" s="8" t="s">
        <v>792</v>
      </c>
    </row>
    <row r="88" customFormat="false" ht="15" hidden="false" customHeight="false" outlineLevel="0" collapsed="false">
      <c r="A88" s="47" t="s">
        <v>793</v>
      </c>
      <c r="B88" s="14" t="s">
        <v>86</v>
      </c>
      <c r="C88" s="48" t="n">
        <f aca="false">CF!$C$82-CF!$C$86-CF!$C$87</f>
        <v>36.176</v>
      </c>
      <c r="D88" s="48" t="n">
        <f aca="false">CF!$D$82-CF!$D$86-CF!$D$87</f>
        <v>9.63700000000002</v>
      </c>
      <c r="E88" s="48" t="n">
        <f aca="false">CF!$E$82-CF!$E$86-CF!$E$87</f>
        <v>-25.691</v>
      </c>
      <c r="F88" s="48" t="n">
        <f aca="false">CF!$F$82-CF!$F$86-CF!$F$87</f>
        <v>-42.1487978731882</v>
      </c>
      <c r="G88" s="48" t="n">
        <f aca="false">CF!$G$82-CF!$G$86-CF!$G$87</f>
        <v>-67.8397978731883</v>
      </c>
      <c r="H88" s="48" t="n">
        <f aca="false">CF!$H$82-CF!$H$86-CF!$H$87</f>
        <v>-62.1914991154763</v>
      </c>
      <c r="I88" s="48" t="n">
        <f aca="false">CF!$I$82-CF!$I$86-CF!$I$87</f>
        <v>-30.2828969695217</v>
      </c>
      <c r="J88" s="48" t="n">
        <f aca="false">CF!$J$82-CF!$J$86-CF!$J$87</f>
        <v>3.13843423144587</v>
      </c>
      <c r="K88" s="48" t="n">
        <f aca="false">CF!$K$82-CF!$K$86-CF!$K$87</f>
        <v>93.7686046989443</v>
      </c>
      <c r="L88" s="48" t="n">
        <f aca="false">CF!$L$82-CF!$L$86-CF!$L$87</f>
        <v>148.125714615439</v>
      </c>
      <c r="M88" s="48" t="n">
        <f aca="false">CF!$M$82-CF!$M$86-CF!$M$87</f>
        <v>174.567136072137</v>
      </c>
      <c r="N88" s="14"/>
      <c r="O88" s="14"/>
    </row>
    <row r="89" customFormat="false" ht="17.15" hidden="false" customHeight="false" outlineLevel="0" collapsed="false">
      <c r="A89" s="5" t="s">
        <v>794</v>
      </c>
      <c r="B89" s="0" t="s">
        <v>86</v>
      </c>
      <c r="C89" s="38" t="n">
        <f aca="false">dps*PL!$C$214</f>
        <v>0</v>
      </c>
      <c r="D89" s="38" t="n">
        <f aca="false">dps*PL!$D$214</f>
        <v>0</v>
      </c>
      <c r="E89" s="38" t="n">
        <f aca="false">dps*PL!$E$214</f>
        <v>0</v>
      </c>
      <c r="F89" s="38" t="n">
        <f aca="false">0</f>
        <v>0</v>
      </c>
      <c r="G89" s="38" t="n">
        <f aca="false">dps*PL!$G$214</f>
        <v>0</v>
      </c>
      <c r="H89" s="38" t="n">
        <f aca="false">dps*PL!$H$214</f>
        <v>0</v>
      </c>
      <c r="I89" s="38" t="n">
        <f aca="false">dps*PL!$I$214</f>
        <v>0</v>
      </c>
      <c r="J89" s="38" t="n">
        <f aca="false">dps*PL!$J$214</f>
        <v>0</v>
      </c>
      <c r="K89" s="38" t="n">
        <f aca="false">dps*PL!$K$214</f>
        <v>0</v>
      </c>
      <c r="L89" s="38" t="n">
        <f aca="false">dps*PL!$L$214</f>
        <v>0</v>
      </c>
      <c r="M89" s="38" t="n">
        <f aca="false">dps*PL!$M$214</f>
        <v>0</v>
      </c>
      <c r="P89" s="8" t="s">
        <v>795</v>
      </c>
    </row>
    <row r="90" customFormat="false" ht="17.15" hidden="false" customHeight="false" outlineLevel="0" collapsed="false">
      <c r="A90" s="5" t="s">
        <v>796</v>
      </c>
      <c r="B90" s="0" t="s">
        <v>86</v>
      </c>
      <c r="C90" s="38" t="n">
        <f aca="false">0</f>
        <v>0</v>
      </c>
      <c r="D90" s="38" t="n">
        <f aca="false">0</f>
        <v>0</v>
      </c>
      <c r="E90" s="38" t="n">
        <f aca="false">0</f>
        <v>0</v>
      </c>
      <c r="F90" s="38" t="n">
        <f aca="false">0</f>
        <v>0</v>
      </c>
      <c r="G90" s="38" t="n">
        <f aca="false">0</f>
        <v>0</v>
      </c>
      <c r="H90" s="38" t="n">
        <f aca="false">0</f>
        <v>0</v>
      </c>
      <c r="I90" s="38" t="n">
        <f aca="false">0</f>
        <v>0</v>
      </c>
      <c r="J90" s="38" t="n">
        <f aca="false">0</f>
        <v>0</v>
      </c>
      <c r="K90" s="38" t="n">
        <f aca="false">0</f>
        <v>0</v>
      </c>
      <c r="L90" s="38" t="n">
        <f aca="false">0</f>
        <v>0</v>
      </c>
      <c r="M90" s="38" t="n">
        <f aca="false">0</f>
        <v>0</v>
      </c>
      <c r="P90" s="8" t="s">
        <v>797</v>
      </c>
    </row>
    <row r="91" customFormat="false" ht="15" hidden="false" customHeight="false" outlineLevel="0" collapsed="false">
      <c r="A91" s="3" t="s">
        <v>798</v>
      </c>
      <c r="B91" s="8" t="s">
        <v>86</v>
      </c>
      <c r="C91" s="38" t="n">
        <f aca="false">CF!$C$88-CF!$C$89</f>
        <v>36.176</v>
      </c>
      <c r="D91" s="38" t="n">
        <f aca="false">CF!$D$88-CF!$D$89</f>
        <v>9.63700000000002</v>
      </c>
      <c r="E91" s="38" t="n">
        <f aca="false">CF!$E$88-CF!$E$89</f>
        <v>-25.691</v>
      </c>
      <c r="F91" s="38" t="n">
        <f aca="false">CF!$F$88-CF!$F$89</f>
        <v>-42.1487978731882</v>
      </c>
      <c r="G91" s="38" t="n">
        <f aca="false">CF!$G$88-CF!$G$89</f>
        <v>-67.8397978731883</v>
      </c>
      <c r="H91" s="38" t="n">
        <f aca="false">CF!$H$88-CF!$H$89</f>
        <v>-62.1914991154763</v>
      </c>
      <c r="I91" s="38" t="n">
        <f aca="false">CF!$I$88-CF!$I$89</f>
        <v>-30.2828969695217</v>
      </c>
      <c r="J91" s="38" t="n">
        <f aca="false">CF!$J$88-CF!$J$89</f>
        <v>3.13843423144587</v>
      </c>
      <c r="K91" s="38" t="n">
        <f aca="false">CF!$K$88-CF!$K$89</f>
        <v>93.7686046989443</v>
      </c>
      <c r="L91" s="38" t="n">
        <f aca="false">CF!$L$88-CF!$L$89</f>
        <v>148.125714615439</v>
      </c>
      <c r="M91" s="38" t="n">
        <f aca="false">CF!$M$88-CF!$M$89</f>
        <v>174.567136072137</v>
      </c>
    </row>
    <row r="92" customFormat="false" ht="17.15" hidden="false" customHeight="false" outlineLevel="0" collapsed="false">
      <c r="A92" s="5" t="s">
        <v>799</v>
      </c>
      <c r="B92" s="0" t="s">
        <v>86</v>
      </c>
      <c r="E92" s="38" t="n">
        <f aca="false">Q!$P$53</f>
        <v>39.767</v>
      </c>
      <c r="F92" s="38" t="n">
        <f aca="false">inv_2h26</f>
        <v>21.3</v>
      </c>
      <c r="G92" s="38" t="n">
        <f aca="false">CF!$E$92+CF!$F$92</f>
        <v>61.067</v>
      </c>
      <c r="H92" s="39" t="n">
        <v>0</v>
      </c>
      <c r="I92" s="39" t="n">
        <v>0</v>
      </c>
      <c r="J92" s="39" t="n">
        <v>0</v>
      </c>
      <c r="K92" s="39" t="n">
        <v>0</v>
      </c>
      <c r="L92" s="39" t="n">
        <v>0</v>
      </c>
      <c r="M92" s="39" t="n">
        <v>0</v>
      </c>
    </row>
    <row r="93" customFormat="false" ht="17.15" hidden="false" customHeight="false" outlineLevel="0" collapsed="false">
      <c r="A93" s="5" t="s">
        <v>800</v>
      </c>
      <c r="B93" s="0" t="s">
        <v>86</v>
      </c>
      <c r="F93" s="38" t="n">
        <f aca="false">iss_2h26</f>
        <v>29.249999</v>
      </c>
      <c r="G93" s="38" t="n">
        <f aca="false">CF!$F$93</f>
        <v>29.249999</v>
      </c>
      <c r="H93" s="39" t="n">
        <v>0</v>
      </c>
      <c r="I93" s="39" t="n">
        <v>0</v>
      </c>
      <c r="J93" s="39" t="n">
        <v>0</v>
      </c>
      <c r="K93" s="39" t="n">
        <v>0</v>
      </c>
      <c r="L93" s="39" t="n">
        <v>0</v>
      </c>
      <c r="M93" s="39" t="n">
        <v>0</v>
      </c>
    </row>
    <row r="94" customFormat="false" ht="17.15" hidden="false" customHeight="false" outlineLevel="0" collapsed="false">
      <c r="A94" s="5" t="s">
        <v>801</v>
      </c>
      <c r="B94" s="0" t="s">
        <v>86</v>
      </c>
      <c r="F94" s="38" t="n">
        <f aca="false">cash_q2</f>
        <v>122.988</v>
      </c>
      <c r="G94" s="38" t="n">
        <f aca="false">cash_q2</f>
        <v>122.988</v>
      </c>
      <c r="H94" s="38" t="n">
        <f aca="false">CF!$G$97</f>
        <v>88.7892011268118</v>
      </c>
      <c r="I94" s="38" t="n">
        <f aca="false">CF!$H$97</f>
        <v>50</v>
      </c>
      <c r="J94" s="38" t="n">
        <f aca="false">CF!$I$97</f>
        <v>50</v>
      </c>
      <c r="K94" s="38" t="n">
        <f aca="false">CF!$J$97</f>
        <v>53.1384342314459</v>
      </c>
      <c r="L94" s="38" t="n">
        <f aca="false">CF!$K$97</f>
        <v>146.90703893039</v>
      </c>
      <c r="M94" s="38" t="n">
        <f aca="false">CF!$L$97</f>
        <v>295.03275354583</v>
      </c>
    </row>
    <row r="95" customFormat="false" ht="15" hidden="false" customHeight="false" outlineLevel="0" collapsed="false">
      <c r="A95" s="5" t="s">
        <v>802</v>
      </c>
      <c r="B95" s="0" t="s">
        <v>86</v>
      </c>
      <c r="F95" s="38" t="n">
        <f aca="false">CF!$F$94+CF!$F$91-CF!$F$90-CF!$F$92+CF!$F$93</f>
        <v>88.7892011268118</v>
      </c>
      <c r="H95" s="38" t="n">
        <f aca="false">CF!$H$94+CF!$H$91-CF!$H$90-CF!$H$92+CF!$H$93</f>
        <v>26.5977020113355</v>
      </c>
      <c r="I95" s="38" t="n">
        <f aca="false">CF!$I$94+CF!$I$91-CF!$I$90-CF!$I$92+CF!$I$93</f>
        <v>19.7171030304783</v>
      </c>
      <c r="J95" s="38" t="n">
        <f aca="false">CF!$J$94+CF!$J$91-CF!$J$90-CF!$J$92+CF!$J$93</f>
        <v>53.1384342314459</v>
      </c>
      <c r="K95" s="38" t="n">
        <f aca="false">CF!$K$94+CF!$K$91-CF!$K$90-CF!$K$92+CF!$K$93</f>
        <v>146.90703893039</v>
      </c>
      <c r="L95" s="38" t="n">
        <f aca="false">CF!$L$94+CF!$L$91-CF!$L$90-CF!$L$92+CF!$L$93</f>
        <v>295.03275354583</v>
      </c>
      <c r="M95" s="38" t="n">
        <f aca="false">CF!$M$94+CF!$M$91-CF!$M$90-CF!$M$92+CF!$M$93</f>
        <v>469.599889617967</v>
      </c>
    </row>
    <row r="96" customFormat="false" ht="17.15" hidden="false" customHeight="false" outlineLevel="0" collapsed="false">
      <c r="A96" s="5" t="s">
        <v>803</v>
      </c>
      <c r="B96" s="0" t="s">
        <v>86</v>
      </c>
      <c r="F96" s="38" t="n">
        <f aca="false">MAX(0,min_cash-CF!$F$95)</f>
        <v>0</v>
      </c>
      <c r="G96" s="38" t="n">
        <f aca="false">CF!$F$96</f>
        <v>0</v>
      </c>
      <c r="H96" s="38" t="n">
        <f aca="false">MAX(0,min_cash-CF!$H$95)</f>
        <v>23.4022979886645</v>
      </c>
      <c r="I96" s="38" t="n">
        <f aca="false">MAX(0,min_cash-CF!$I$95)</f>
        <v>30.2828969695217</v>
      </c>
      <c r="J96" s="38" t="n">
        <f aca="false">MAX(0,min_cash-CF!$J$95)</f>
        <v>0</v>
      </c>
      <c r="K96" s="38" t="n">
        <f aca="false">MAX(0,min_cash-CF!$K$95)</f>
        <v>0</v>
      </c>
      <c r="L96" s="38" t="n">
        <f aca="false">MAX(0,min_cash-CF!$L$95)</f>
        <v>0</v>
      </c>
      <c r="M96" s="38" t="n">
        <f aca="false">MAX(0,min_cash-CF!$M$95)</f>
        <v>0</v>
      </c>
      <c r="P96" s="5" t="s">
        <v>804</v>
      </c>
    </row>
    <row r="97" customFormat="false" ht="15" hidden="false" customHeight="false" outlineLevel="0" collapsed="false">
      <c r="A97" s="5" t="s">
        <v>805</v>
      </c>
      <c r="B97" s="0" t="s">
        <v>86</v>
      </c>
      <c r="D97" s="38" t="n">
        <f aca="false">Q!$E$61</f>
        <v>123.029</v>
      </c>
      <c r="E97" s="38" t="n">
        <f aca="false">Q!$M$61</f>
        <v>122.988</v>
      </c>
      <c r="F97" s="38" t="n">
        <f aca="false">CF!$F$95+CF!$F$96</f>
        <v>88.7892011268118</v>
      </c>
      <c r="G97" s="38" t="n">
        <f aca="false">CF!$F$97</f>
        <v>88.7892011268118</v>
      </c>
      <c r="H97" s="38" t="n">
        <f aca="false">CF!$H$95+CF!$H$96</f>
        <v>50</v>
      </c>
      <c r="I97" s="38" t="n">
        <f aca="false">CF!$I$95+CF!$I$96</f>
        <v>50</v>
      </c>
      <c r="J97" s="38" t="n">
        <f aca="false">CF!$J$95+CF!$J$96</f>
        <v>53.1384342314459</v>
      </c>
      <c r="K97" s="38" t="n">
        <f aca="false">CF!$K$95+CF!$K$96</f>
        <v>146.90703893039</v>
      </c>
      <c r="L97" s="38" t="n">
        <f aca="false">CF!$L$95+CF!$L$96</f>
        <v>295.03275354583</v>
      </c>
      <c r="M97" s="38" t="n">
        <f aca="false">CF!$M$95+CF!$M$96</f>
        <v>469.599889617967</v>
      </c>
    </row>
    <row r="98" customFormat="false" ht="15" hidden="false" customHeight="false" outlineLevel="0" collapsed="false">
      <c r="A98" s="5" t="s">
        <v>806</v>
      </c>
      <c r="B98" s="0" t="s">
        <v>86</v>
      </c>
      <c r="D98" s="38" t="n">
        <f aca="false">Q!$E$62</f>
        <v>68.836</v>
      </c>
      <c r="E98" s="38" t="n">
        <f aca="false">Q!$M$62</f>
        <v>132.995</v>
      </c>
      <c r="F98" s="38" t="n">
        <f aca="false">debt_q2+CF!$F$93+CF!$F$96</f>
        <v>162.244999</v>
      </c>
      <c r="G98" s="38" t="n">
        <f aca="false">CF!$F$98</f>
        <v>162.244999</v>
      </c>
      <c r="H98" s="38" t="n">
        <f aca="false">CF!$G$98+CF!$H$96</f>
        <v>185.647296988665</v>
      </c>
      <c r="I98" s="38" t="n">
        <f aca="false">CF!$H$98+CF!$I$96</f>
        <v>215.930193958186</v>
      </c>
      <c r="J98" s="38" t="n">
        <f aca="false">CF!$I$98+CF!$J$96</f>
        <v>215.930193958186</v>
      </c>
      <c r="K98" s="38" t="n">
        <f aca="false">CF!$J$98+CF!$K$96</f>
        <v>215.930193958186</v>
      </c>
      <c r="L98" s="38" t="n">
        <f aca="false">CF!$K$98+CF!$L$96</f>
        <v>215.930193958186</v>
      </c>
      <c r="M98" s="38" t="n">
        <f aca="false">CF!$L$98+CF!$M$96</f>
        <v>215.930193958186</v>
      </c>
    </row>
    <row r="99" customFormat="false" ht="15" hidden="false" customHeight="false" outlineLevel="0" collapsed="false">
      <c r="A99" s="5" t="s">
        <v>807</v>
      </c>
      <c r="B99" s="0" t="s">
        <v>86</v>
      </c>
      <c r="D99" s="38" t="n">
        <f aca="false">CF!$D$98-CF!$D$97</f>
        <v>-54.193</v>
      </c>
      <c r="E99" s="38" t="n">
        <f aca="false">CF!$E$98-CF!$E$97</f>
        <v>10.007</v>
      </c>
      <c r="F99" s="38" t="n">
        <f aca="false">CF!$F$98-CF!$F$97</f>
        <v>73.4557978731883</v>
      </c>
      <c r="G99" s="38" t="n">
        <f aca="false">CF!$G$98-CF!$G$97</f>
        <v>73.4557978731883</v>
      </c>
      <c r="H99" s="38" t="n">
        <f aca="false">CF!$H$98-CF!$H$97</f>
        <v>135.647296988665</v>
      </c>
      <c r="I99" s="38" t="n">
        <f aca="false">CF!$I$98-CF!$I$97</f>
        <v>165.930193958186</v>
      </c>
      <c r="J99" s="38" t="n">
        <f aca="false">CF!$J$98-CF!$J$97</f>
        <v>162.79175972674</v>
      </c>
      <c r="K99" s="38" t="n">
        <f aca="false">CF!$K$98-CF!$K$97</f>
        <v>69.0231550277961</v>
      </c>
      <c r="L99" s="38" t="n">
        <f aca="false">CF!$L$98-CF!$L$97</f>
        <v>-79.1025595876434</v>
      </c>
      <c r="M99" s="38" t="n">
        <f aca="false">CF!$M$98-CF!$M$97</f>
        <v>-253.66969565978</v>
      </c>
    </row>
    <row r="100" customFormat="false" ht="17.15" hidden="false" customHeight="false" outlineLevel="0" collapsed="false">
      <c r="A100" s="5" t="s">
        <v>808</v>
      </c>
      <c r="B100" s="0" t="s">
        <v>86</v>
      </c>
      <c r="F100" s="38" t="n">
        <f aca="false">debt_q2*kd_book*0.5+iss_2h26*kd_new*iss_t</f>
        <v>3.24888962733561</v>
      </c>
      <c r="H100" s="38" t="n">
        <f aca="false">debt_q2*kd_book+(CF!$G$98-debt_q2)*kd_new</f>
        <v>7.42354172302123</v>
      </c>
      <c r="I100" s="38" t="n">
        <f aca="false">debt_q2*kd_book+(CF!$H$98-debt_q2)*kd_new</f>
        <v>8.90490718570369</v>
      </c>
      <c r="J100" s="38" t="n">
        <f aca="false">debt_q2*kd_book+(CF!$I$98-debt_q2)*kd_new</f>
        <v>10.8218145638744</v>
      </c>
      <c r="K100" s="38" t="n">
        <f aca="false">debt_q2*kd_book+(CF!$J$98-debt_q2)*kd_new</f>
        <v>10.8218145638744</v>
      </c>
      <c r="L100" s="38" t="n">
        <f aca="false">debt_q2*kd_book+(CF!$K$98-debt_q2)*kd_new</f>
        <v>10.8218145638744</v>
      </c>
      <c r="M100" s="38" t="n">
        <f aca="false">debt_q2*kd_book+(CF!$L$98-debt_q2)*kd_new</f>
        <v>10.8218145638744</v>
      </c>
    </row>
    <row r="101" customFormat="false" ht="17.15" hidden="false" customHeight="false" outlineLevel="0" collapsed="false">
      <c r="A101" s="5" t="s">
        <v>809</v>
      </c>
      <c r="B101" s="0" t="s">
        <v>86</v>
      </c>
      <c r="F101" s="38" t="n">
        <f aca="false">cash_q2*y_cash*0.5</f>
        <v>2.59</v>
      </c>
      <c r="H101" s="38" t="n">
        <f aca="false">CF!$G$97*y_cash</f>
        <v>3.73961737597883</v>
      </c>
      <c r="I101" s="38" t="n">
        <f aca="false">CF!$H$97*y_cash</f>
        <v>2.10589651022864</v>
      </c>
      <c r="J101" s="38" t="n">
        <f aca="false">CF!$I$97*y_cash</f>
        <v>2.10589651022864</v>
      </c>
      <c r="K101" s="38" t="n">
        <f aca="false">CF!$J$97*y_cash</f>
        <v>2.23808086414032</v>
      </c>
      <c r="L101" s="38" t="n">
        <f aca="false">CF!$K$97*y_cash</f>
        <v>6.18742041223063</v>
      </c>
      <c r="M101" s="38" t="n">
        <f aca="false">CF!$L$97*y_cash</f>
        <v>12.4261689219062</v>
      </c>
    </row>
    <row r="102" customFormat="false" ht="17.15" hidden="false" customHeight="false" outlineLevel="0" collapsed="false">
      <c r="A102" s="47" t="s">
        <v>810</v>
      </c>
      <c r="B102" s="14" t="s">
        <v>86</v>
      </c>
      <c r="C102" s="14"/>
      <c r="D102" s="14"/>
      <c r="E102" s="14"/>
      <c r="F102" s="14"/>
      <c r="G102" s="48" t="n">
        <f aca="false">SUM(CF!$G$91:$K$91)</f>
        <v>-63.4071550277961</v>
      </c>
      <c r="H102" s="14"/>
      <c r="I102" s="14"/>
      <c r="J102" s="14"/>
      <c r="K102" s="14"/>
      <c r="L102" s="14"/>
      <c r="M102" s="14"/>
      <c r="N102" s="14"/>
      <c r="O102" s="14"/>
    </row>
    <row r="103" customFormat="false" ht="17.15" hidden="false" customHeight="false" outlineLevel="0" collapsed="false">
      <c r="A103" s="0" t="s">
        <v>776</v>
      </c>
      <c r="B103" s="0" t="s">
        <v>86</v>
      </c>
      <c r="G103" s="38" t="n">
        <f aca="false">SUM(CF!$G$96:$K$96)</f>
        <v>53.6851949581862</v>
      </c>
    </row>
    <row r="104" customFormat="false" ht="17.15" hidden="false" customHeight="false" outlineLevel="0" collapsed="false">
      <c r="A104" s="24" t="s">
        <v>815</v>
      </c>
      <c r="B104" s="25" t="s">
        <v>86</v>
      </c>
      <c r="C104" s="25"/>
      <c r="D104" s="25"/>
      <c r="E104" s="25"/>
      <c r="F104" s="25"/>
      <c r="G104" s="41" t="n">
        <f aca="false">CF!$G$102-(CF!$G$91+CF!$H$91+CF!$I$91+CF!$J$91+CF!$K$91)</f>
        <v>0</v>
      </c>
      <c r="H104" s="25"/>
      <c r="I104" s="25"/>
      <c r="J104" s="25"/>
      <c r="K104" s="25"/>
      <c r="L104" s="25"/>
      <c r="M104" s="25"/>
      <c r="N104" s="25"/>
      <c r="O10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15" hidden="false" customHeight="false" outlineLevel="0" collapsed="false">
      <c r="A1" s="0" t="s">
        <v>816</v>
      </c>
    </row>
    <row r="3" customFormat="false" ht="19.4" hidden="false" customHeight="false" outlineLevel="0" collapsed="false">
      <c r="A3" s="31" t="s">
        <v>817</v>
      </c>
    </row>
    <row r="4" customFormat="false" ht="17.15" hidden="false" customHeight="false" outlineLevel="0" collapsed="false">
      <c r="A4" s="6" t="s">
        <v>16</v>
      </c>
      <c r="B4" s="20" t="s">
        <v>770</v>
      </c>
      <c r="C4" s="20" t="s">
        <v>771</v>
      </c>
      <c r="D4" s="20" t="s">
        <v>772</v>
      </c>
      <c r="E4" s="6" t="s">
        <v>23</v>
      </c>
    </row>
    <row r="5" customFormat="false" ht="17.15" hidden="false" customHeight="false" outlineLevel="0" collapsed="false">
      <c r="A5" s="0" t="s">
        <v>818</v>
      </c>
      <c r="B5" s="38" t="n">
        <f aca="false">Val!$C$110</f>
        <v>204.985808093872</v>
      </c>
      <c r="C5" s="38" t="n">
        <f aca="false">Val!$C$157</f>
        <v>138.339345929154</v>
      </c>
      <c r="D5" s="38" t="n">
        <f aca="false">Val!$C$204</f>
        <v>117.682719692674</v>
      </c>
      <c r="E5" s="8" t="s">
        <v>819</v>
      </c>
    </row>
    <row r="6" customFormat="false" ht="17.15" hidden="false" customHeight="false" outlineLevel="0" collapsed="false">
      <c r="A6" s="0" t="s">
        <v>820</v>
      </c>
      <c r="B6" s="38" t="n">
        <f aca="false">Val!$C$131</f>
        <v>333.456445542868</v>
      </c>
      <c r="C6" s="38" t="n">
        <f aca="false">Val!$C$178</f>
        <v>268.90965525111</v>
      </c>
      <c r="D6" s="38" t="n">
        <f aca="false">Val!$C$225</f>
        <v>248.872608785095</v>
      </c>
      <c r="E6" s="5" t="s">
        <v>821</v>
      </c>
    </row>
    <row r="7" customFormat="false" ht="17.15" hidden="false" customHeight="false" outlineLevel="0" collapsed="false">
      <c r="A7" s="5" t="s">
        <v>822</v>
      </c>
      <c r="B7" s="48" t="n">
        <f aca="false">Val!$C$132</f>
        <v>269.22112681837</v>
      </c>
      <c r="C7" s="48" t="n">
        <f aca="false">Val!$C$179</f>
        <v>203.624500590132</v>
      </c>
      <c r="D7" s="48" t="n">
        <f aca="false">Val!$C$226</f>
        <v>183.277664238884</v>
      </c>
    </row>
    <row r="8" customFormat="false" ht="17.15" hidden="false" customHeight="false" outlineLevel="0" collapsed="false">
      <c r="A8" s="5" t="s">
        <v>823</v>
      </c>
      <c r="B8" s="13" t="n">
        <f aca="false">Val!$C$105</f>
        <v>0.73862368986436</v>
      </c>
      <c r="C8" s="13" t="n">
        <f aca="false">Val!$C$152</f>
        <v>0.788511447229778</v>
      </c>
      <c r="D8" s="13" t="n">
        <f aca="false">Val!$C$199</f>
        <v>0.817999737541847</v>
      </c>
    </row>
    <row r="9" customFormat="false" ht="15" hidden="false" customHeight="false" outlineLevel="0" collapsed="false">
      <c r="A9" s="5" t="s">
        <v>824</v>
      </c>
      <c r="B9" s="35" t="n">
        <f aca="false">w_A</f>
        <v>0.25</v>
      </c>
      <c r="C9" s="35" t="n">
        <f aca="false">w_B</f>
        <v>0.5</v>
      </c>
      <c r="D9" s="35" t="n">
        <f aca="false">w_C</f>
        <v>0.25</v>
      </c>
    </row>
    <row r="10" customFormat="false" ht="17.15" hidden="false" customHeight="false" outlineLevel="0" collapsed="false">
      <c r="A10" s="0" t="s">
        <v>825</v>
      </c>
      <c r="B10" s="13" t="n">
        <f aca="false">PL!$I$53</f>
        <v>0.446433279634335</v>
      </c>
      <c r="C10" s="13" t="n">
        <f aca="false">PL!$I$123</f>
        <v>0.359230604038662</v>
      </c>
      <c r="D10" s="13" t="n">
        <f aca="false">PL!$I$193</f>
        <v>0.326289575827886</v>
      </c>
      <c r="E10" s="5" t="s">
        <v>826</v>
      </c>
    </row>
    <row r="11" customFormat="false" ht="17.15" hidden="false" customHeight="false" outlineLevel="0" collapsed="false">
      <c r="A11" s="0" t="s">
        <v>827</v>
      </c>
      <c r="B11" s="46" t="n">
        <f aca="false">CF!$I$29</f>
        <v>17.002403791836</v>
      </c>
      <c r="C11" s="46" t="n">
        <f aca="false">CF!$I$60</f>
        <v>-18.1091313650653</v>
      </c>
      <c r="D11" s="46" t="n">
        <f aca="false">CF!$I$91</f>
        <v>-30.2828969695217</v>
      </c>
      <c r="E11" s="5" t="s">
        <v>828</v>
      </c>
    </row>
    <row r="12" customFormat="false" ht="17.15" hidden="false" customHeight="false" outlineLevel="0" collapsed="false">
      <c r="A12" s="0" t="s">
        <v>829</v>
      </c>
      <c r="B12" s="13" t="n">
        <f aca="false">Thesis!$I$58</f>
        <v>0.193109161507081</v>
      </c>
      <c r="C12" s="13" t="n">
        <f aca="false">Thesis!$I$118</f>
        <v>0.0889392292218236</v>
      </c>
      <c r="D12" s="13" t="n">
        <f aca="false">Thesis!$I$178</f>
        <v>0.0560375157899122</v>
      </c>
      <c r="E12" s="5" t="s">
        <v>830</v>
      </c>
    </row>
    <row r="13" customFormat="false" ht="15" hidden="false" customHeight="false" outlineLevel="0" collapsed="false">
      <c r="A13" s="0" t="s">
        <v>831</v>
      </c>
      <c r="B13" s="30" t="n">
        <f aca="false">PL!$I$76</f>
        <v>16.1542772647137</v>
      </c>
      <c r="C13" s="30" t="n">
        <f aca="false">PL!$I$146</f>
        <v>12.7042551634449</v>
      </c>
      <c r="D13" s="30" t="n">
        <f aca="false">PL!$I$216</f>
        <v>11.6530847912308</v>
      </c>
    </row>
    <row r="14" customFormat="false" ht="17.15" hidden="false" customHeight="false" outlineLevel="0" collapsed="false">
      <c r="A14" s="5" t="s">
        <v>832</v>
      </c>
      <c r="B14" s="46" t="n">
        <f aca="false">CF!$G$40</f>
        <v>183.139359990871</v>
      </c>
      <c r="C14" s="46" t="n">
        <f aca="false">CF!$G$71</f>
        <v>-1.17629205196147</v>
      </c>
      <c r="D14" s="46" t="n">
        <f aca="false">CF!$G$102</f>
        <v>-63.4071550277961</v>
      </c>
      <c r="E14" s="8" t="s">
        <v>833</v>
      </c>
    </row>
    <row r="16" customFormat="false" ht="15" hidden="false" customHeight="false" outlineLevel="0" collapsed="false">
      <c r="A16" s="6" t="s">
        <v>16</v>
      </c>
      <c r="B16" s="6" t="s">
        <v>834</v>
      </c>
      <c r="E16" s="6" t="s">
        <v>23</v>
      </c>
    </row>
    <row r="17" customFormat="false" ht="17.15" hidden="false" customHeight="false" outlineLevel="0" collapsed="false">
      <c r="A17" s="0" t="s">
        <v>835</v>
      </c>
      <c r="B17" s="38" t="n">
        <f aca="false">w_A*B5+w_B*C5+w_C*D5</f>
        <v>149.836804911213</v>
      </c>
    </row>
    <row r="18" customFormat="false" ht="17.15" hidden="false" customHeight="false" outlineLevel="0" collapsed="false">
      <c r="A18" s="0" t="s">
        <v>836</v>
      </c>
      <c r="B18" s="38" t="n">
        <f aca="false">w_A*B6+w_B*C6+w_C*D6</f>
        <v>280.037091207546</v>
      </c>
      <c r="E18" s="5" t="s">
        <v>837</v>
      </c>
    </row>
    <row r="19" customFormat="false" ht="17.15" hidden="false" customHeight="false" outlineLevel="0" collapsed="false">
      <c r="A19" s="15" t="s">
        <v>838</v>
      </c>
      <c r="B19" s="48" t="n">
        <f aca="false">w_dcf*B17+(1-w_dcf)*B18</f>
        <v>214.93694805938</v>
      </c>
      <c r="E19" s="5" t="s">
        <v>839</v>
      </c>
    </row>
    <row r="20" customFormat="false" ht="17.15" hidden="false" customHeight="false" outlineLevel="0" collapsed="false">
      <c r="A20" s="5" t="s">
        <v>840</v>
      </c>
      <c r="B20" s="38" t="n">
        <f aca="false">px</f>
        <v>249.09</v>
      </c>
      <c r="E20" s="8" t="s">
        <v>841</v>
      </c>
    </row>
    <row r="21" customFormat="false" ht="15" hidden="false" customHeight="false" outlineLevel="0" collapsed="false">
      <c r="A21" s="15" t="s">
        <v>842</v>
      </c>
      <c r="B21" s="17" t="n">
        <f aca="false">B19/px-1</f>
        <v>-0.137111292868523</v>
      </c>
    </row>
    <row r="22" customFormat="false" ht="17.15" hidden="false" customHeight="false" outlineLevel="0" collapsed="false">
      <c r="A22" s="5" t="s">
        <v>843</v>
      </c>
      <c r="B22" s="13" t="n">
        <f aca="false">B18/px-1</f>
        <v>0.124240600616427</v>
      </c>
    </row>
    <row r="23" customFormat="false" ht="17.15" hidden="false" customHeight="false" outlineLevel="0" collapsed="false">
      <c r="A23" s="5" t="s">
        <v>844</v>
      </c>
      <c r="B23" s="49" t="str">
        <f aca="false">IF(B21&gt;=0.5,"大於 50%",IF(B21&gt;=0.25,"25%–50%",IF(B21&gt;=0,"0%–25%",IF(B21&gt;-0.25,"0%～−25%",IF(B21&gt;-0.5,"−25%～−50%","小於 −50%")))))</f>
        <v>0%～−25%</v>
      </c>
    </row>
    <row r="24" customFormat="false" ht="17.15" hidden="false" customHeight="false" outlineLevel="0" collapsed="false">
      <c r="A24" s="15" t="s">
        <v>845</v>
      </c>
      <c r="B24" s="50" t="str">
        <f aca="false">IF(B21&gt;=0.5,"強力買進",IF(B21&gt;=0.25,"買進",IF(B21&gt;-0.25,"中立",IF(B21&gt;-0.5,"放空","強力放空"))))</f>
        <v>中立</v>
      </c>
      <c r="E24" s="5" t="s">
        <v>846</v>
      </c>
    </row>
    <row r="25" customFormat="false" ht="17.15" hidden="false" customHeight="false" outlineLevel="0" collapsed="false">
      <c r="A25" s="5" t="s">
        <v>847</v>
      </c>
      <c r="B25" s="38" t="n">
        <f aca="false">cons_tp</f>
        <v>332.24</v>
      </c>
      <c r="E25" s="8" t="s">
        <v>848</v>
      </c>
    </row>
    <row r="26" customFormat="false" ht="15" hidden="false" customHeight="false" outlineLevel="0" collapsed="false">
      <c r="A26" s="5" t="s">
        <v>849</v>
      </c>
      <c r="B26" s="13" t="n">
        <f aca="false">B25/px-1</f>
        <v>0.333815086916376</v>
      </c>
    </row>
    <row r="27" customFormat="false" ht="17.15" hidden="false" customHeight="false" outlineLevel="0" collapsed="false">
      <c r="A27" s="5" t="s">
        <v>850</v>
      </c>
      <c r="B27" s="38" t="n">
        <f aca="false">D5</f>
        <v>117.682719692674</v>
      </c>
    </row>
    <row r="28" customFormat="false" ht="17.15" hidden="false" customHeight="false" outlineLevel="0" collapsed="false">
      <c r="A28" s="5" t="s">
        <v>851</v>
      </c>
      <c r="B28" s="49" t="str">
        <f aca="false">TEXT(D5,"#,##0")&amp;"～"&amp;TEXT(B5,"#,##0")</f>
        <v>118～205</v>
      </c>
      <c r="E28" s="8" t="s">
        <v>852</v>
      </c>
    </row>
    <row r="29" customFormat="false" ht="17.15" hidden="false" customHeight="false" outlineLevel="0" collapsed="false">
      <c r="A29" s="5" t="s">
        <v>853</v>
      </c>
      <c r="B29" s="46" t="n">
        <f aca="false">CF!E6</f>
        <v>29.344905214788</v>
      </c>
    </row>
    <row r="30" customFormat="false" ht="17.15" hidden="false" customHeight="false" outlineLevel="0" collapsed="false">
      <c r="A30" s="0" t="s">
        <v>854</v>
      </c>
      <c r="B30" s="28" t="n">
        <f aca="false">wacc</f>
        <v>0.113297422795535</v>
      </c>
      <c r="C30" s="28" t="n">
        <f aca="false">ke</f>
        <v>0.11720225</v>
      </c>
      <c r="D30" s="28" t="n">
        <f aca="false">tg</f>
        <v>0.03</v>
      </c>
    </row>
    <row r="31" customFormat="false" ht="17.15" hidden="false" customHeight="false" outlineLevel="0" collapsed="false">
      <c r="A31" s="5" t="s">
        <v>855</v>
      </c>
      <c r="B31" s="0" t="s">
        <v>856</v>
      </c>
    </row>
    <row r="32" customFormat="false" ht="17.15" hidden="false" customHeight="false" outlineLevel="0" collapsed="false">
      <c r="A32" s="5" t="s">
        <v>857</v>
      </c>
      <c r="B32" s="30" t="n">
        <f aca="false">Sens!B51</f>
        <v>247.534136310779</v>
      </c>
      <c r="C32" s="30" t="n">
        <f aca="false">Sens!B52</f>
        <v>182.433819728463</v>
      </c>
      <c r="D32" s="30" t="n">
        <f aca="false">Sens!B53</f>
        <v>162.086983377216</v>
      </c>
      <c r="E32" s="8" t="s">
        <v>858</v>
      </c>
    </row>
    <row r="33" customFormat="false" ht="17.15" hidden="false" customHeight="false" outlineLevel="0" collapsed="false">
      <c r="A33" s="5" t="s">
        <v>859</v>
      </c>
      <c r="B33" s="30" t="n">
        <f aca="false">w_A*B32+w_B*C32+w_C*D32</f>
        <v>193.62218978623</v>
      </c>
    </row>
    <row r="34" customFormat="false" ht="17.15" hidden="false" customHeight="false" outlineLevel="0" collapsed="false">
      <c r="A34" s="5" t="s">
        <v>860</v>
      </c>
      <c r="B34" s="13" t="n">
        <f aca="false">B33/px-1</f>
        <v>-0.222681802616604</v>
      </c>
    </row>
    <row r="35" customFormat="false" ht="17.15" hidden="false" customHeight="false" outlineLevel="0" collapsed="false">
      <c r="A35" s="5" t="s">
        <v>861</v>
      </c>
      <c r="B35" s="0" t="str">
        <f aca="false">IF(B34&gt;=0.5,"強力買進",IF(B34&gt;=0.25,"買進",IF(B34&gt;-0.25,"中立",IF(B34&gt;-0.5,"放空","強力放空"))))</f>
        <v>中立</v>
      </c>
    </row>
    <row r="36" customFormat="false" ht="17.15" hidden="false" customHeight="false" outlineLevel="0" collapsed="false">
      <c r="A36" s="5" t="s">
        <v>862</v>
      </c>
      <c r="B36" s="51" t="n">
        <f aca="false">internal_ai_reading</f>
        <v>2</v>
      </c>
      <c r="E36" s="8" t="s">
        <v>863</v>
      </c>
    </row>
    <row r="40" customFormat="false" ht="17.15" hidden="false" customHeight="false" outlineLevel="0" collapsed="false">
      <c r="A40" s="3" t="s">
        <v>864</v>
      </c>
    </row>
    <row r="41" customFormat="false" ht="15" hidden="false" customHeight="false" outlineLevel="0" collapsed="false">
      <c r="A41" s="6" t="s">
        <v>865</v>
      </c>
      <c r="B41" s="6" t="s">
        <v>866</v>
      </c>
      <c r="C41" s="20" t="s">
        <v>867</v>
      </c>
      <c r="D41" s="6" t="s">
        <v>868</v>
      </c>
      <c r="E41" s="6" t="s">
        <v>22</v>
      </c>
      <c r="F41" s="6" t="s">
        <v>21</v>
      </c>
    </row>
    <row r="42" customFormat="false" ht="15" hidden="false" customHeight="false" outlineLevel="0" collapsed="false">
      <c r="A42" s="0" t="s">
        <v>869</v>
      </c>
      <c r="B42" s="0" t="s">
        <v>870</v>
      </c>
      <c r="C42" s="52" t="n">
        <v>17.72</v>
      </c>
      <c r="D42" s="5" t="s">
        <v>871</v>
      </c>
      <c r="E42" s="8" t="s">
        <v>872</v>
      </c>
      <c r="F42" s="8" t="s">
        <v>41</v>
      </c>
    </row>
    <row r="43" customFormat="false" ht="15" hidden="false" customHeight="false" outlineLevel="0" collapsed="false">
      <c r="A43" s="0" t="s">
        <v>873</v>
      </c>
      <c r="B43" s="0" t="s">
        <v>874</v>
      </c>
      <c r="C43" s="52" t="n">
        <v>25.33</v>
      </c>
      <c r="D43" s="5" t="s">
        <v>871</v>
      </c>
      <c r="E43" s="8" t="s">
        <v>872</v>
      </c>
      <c r="F43" s="8" t="s">
        <v>41</v>
      </c>
    </row>
    <row r="44" customFormat="false" ht="15" hidden="false" customHeight="false" outlineLevel="0" collapsed="false">
      <c r="A44" s="0" t="s">
        <v>875</v>
      </c>
      <c r="B44" s="0" t="s">
        <v>876</v>
      </c>
      <c r="C44" s="52" t="n">
        <v>8.77</v>
      </c>
      <c r="D44" s="5" t="s">
        <v>871</v>
      </c>
      <c r="E44" s="8" t="s">
        <v>872</v>
      </c>
      <c r="F44" s="8" t="s">
        <v>41</v>
      </c>
    </row>
    <row r="45" customFormat="false" ht="17.15" hidden="false" customHeight="false" outlineLevel="0" collapsed="false">
      <c r="A45" s="0" t="s">
        <v>877</v>
      </c>
      <c r="B45" s="0" t="s">
        <v>878</v>
      </c>
      <c r="C45" s="52" t="n">
        <v>10.79</v>
      </c>
      <c r="D45" s="5" t="s">
        <v>879</v>
      </c>
      <c r="E45" s="8" t="s">
        <v>880</v>
      </c>
      <c r="F45" s="8" t="s">
        <v>41</v>
      </c>
    </row>
    <row r="46" customFormat="false" ht="17.15" hidden="false" customHeight="false" outlineLevel="0" collapsed="false">
      <c r="A46" s="0" t="s">
        <v>881</v>
      </c>
      <c r="B46" s="0" t="s">
        <v>882</v>
      </c>
      <c r="C46" s="52" t="n">
        <v>6.91</v>
      </c>
      <c r="D46" s="5" t="s">
        <v>879</v>
      </c>
      <c r="E46" s="8" t="s">
        <v>880</v>
      </c>
      <c r="F46" s="8" t="s">
        <v>41</v>
      </c>
    </row>
    <row r="47" customFormat="false" ht="17.15" hidden="false" customHeight="false" outlineLevel="0" collapsed="false">
      <c r="A47" s="0" t="s">
        <v>883</v>
      </c>
      <c r="B47" s="0" t="s">
        <v>884</v>
      </c>
      <c r="C47" s="52" t="n">
        <v>6.53</v>
      </c>
      <c r="D47" s="5" t="s">
        <v>879</v>
      </c>
      <c r="E47" s="8" t="s">
        <v>880</v>
      </c>
      <c r="F47" s="8" t="s">
        <v>41</v>
      </c>
    </row>
    <row r="48" customFormat="false" ht="17.15" hidden="false" customHeight="false" outlineLevel="0" collapsed="false">
      <c r="A48" s="0" t="s">
        <v>885</v>
      </c>
      <c r="B48" s="0" t="s">
        <v>886</v>
      </c>
      <c r="C48" s="52" t="n">
        <v>11.38</v>
      </c>
      <c r="D48" s="5" t="s">
        <v>879</v>
      </c>
      <c r="E48" s="8" t="s">
        <v>880</v>
      </c>
      <c r="F48" s="8" t="s">
        <v>41</v>
      </c>
    </row>
    <row r="49" customFormat="false" ht="17.15" hidden="false" customHeight="false" outlineLevel="0" collapsed="false">
      <c r="A49" s="0" t="s">
        <v>887</v>
      </c>
      <c r="B49" s="0" t="s">
        <v>888</v>
      </c>
      <c r="C49" s="52" t="n">
        <v>13.63</v>
      </c>
      <c r="D49" s="5" t="s">
        <v>879</v>
      </c>
      <c r="E49" s="8" t="s">
        <v>880</v>
      </c>
      <c r="F49" s="8" t="s">
        <v>41</v>
      </c>
    </row>
    <row r="50" customFormat="false" ht="17.15" hidden="false" customHeight="false" outlineLevel="0" collapsed="false">
      <c r="A50" s="0" t="s">
        <v>889</v>
      </c>
      <c r="B50" s="0" t="s">
        <v>890</v>
      </c>
      <c r="C50" s="52" t="n">
        <v>7.43</v>
      </c>
      <c r="D50" s="5" t="s">
        <v>879</v>
      </c>
      <c r="E50" s="8" t="s">
        <v>880</v>
      </c>
      <c r="F50" s="8" t="s">
        <v>41</v>
      </c>
    </row>
    <row r="51" customFormat="false" ht="17.15" hidden="false" customHeight="false" outlineLevel="0" collapsed="false">
      <c r="A51" s="0" t="s">
        <v>891</v>
      </c>
      <c r="B51" s="0" t="s">
        <v>892</v>
      </c>
      <c r="C51" s="52" t="n">
        <v>9.49</v>
      </c>
      <c r="D51" s="5" t="s">
        <v>893</v>
      </c>
      <c r="E51" s="8" t="s">
        <v>894</v>
      </c>
      <c r="F51" s="8" t="s">
        <v>41</v>
      </c>
    </row>
    <row r="52" customFormat="false" ht="17.15" hidden="false" customHeight="false" outlineLevel="0" collapsed="false">
      <c r="A52" s="0" t="s">
        <v>895</v>
      </c>
      <c r="B52" s="0" t="s">
        <v>895</v>
      </c>
      <c r="C52" s="52" t="n">
        <v>12.51</v>
      </c>
      <c r="D52" s="5" t="s">
        <v>893</v>
      </c>
      <c r="E52" s="8" t="s">
        <v>894</v>
      </c>
      <c r="F52" s="8" t="s">
        <v>41</v>
      </c>
    </row>
    <row r="53" customFormat="false" ht="17.15" hidden="false" customHeight="false" outlineLevel="0" collapsed="false">
      <c r="A53" s="0" t="s">
        <v>896</v>
      </c>
      <c r="B53" s="0" t="s">
        <v>896</v>
      </c>
      <c r="C53" s="52" t="n">
        <v>15.13</v>
      </c>
      <c r="D53" s="5" t="s">
        <v>893</v>
      </c>
      <c r="E53" s="8" t="s">
        <v>894</v>
      </c>
      <c r="F53" s="8" t="s">
        <v>41</v>
      </c>
    </row>
    <row r="54" customFormat="false" ht="17.15" hidden="false" customHeight="false" outlineLevel="0" collapsed="false">
      <c r="A54" s="0" t="s">
        <v>897</v>
      </c>
      <c r="B54" s="0" t="s">
        <v>898</v>
      </c>
      <c r="C54" s="52" t="n">
        <v>10.81</v>
      </c>
      <c r="D54" s="5" t="s">
        <v>893</v>
      </c>
      <c r="E54" s="8" t="s">
        <v>894</v>
      </c>
      <c r="F54" s="8" t="s">
        <v>41</v>
      </c>
    </row>
    <row r="55" customFormat="false" ht="17.15" hidden="false" customHeight="false" outlineLevel="0" collapsed="false">
      <c r="A55" s="0" t="s">
        <v>899</v>
      </c>
      <c r="B55" s="0" t="s">
        <v>900</v>
      </c>
      <c r="C55" s="52" t="n">
        <v>20.63</v>
      </c>
      <c r="D55" s="5" t="s">
        <v>893</v>
      </c>
      <c r="E55" s="8" t="s">
        <v>894</v>
      </c>
      <c r="F55" s="8" t="s">
        <v>41</v>
      </c>
    </row>
    <row r="56" customFormat="false" ht="17.15" hidden="false" customHeight="false" outlineLevel="0" collapsed="false">
      <c r="A56" s="0" t="s">
        <v>901</v>
      </c>
      <c r="B56" s="0" t="s">
        <v>902</v>
      </c>
      <c r="C56" s="52" t="n">
        <v>9.7</v>
      </c>
      <c r="D56" s="5" t="s">
        <v>893</v>
      </c>
      <c r="E56" s="8" t="s">
        <v>894</v>
      </c>
      <c r="F56" s="8" t="s">
        <v>41</v>
      </c>
    </row>
    <row r="57" customFormat="false" ht="17.15" hidden="false" customHeight="false" outlineLevel="0" collapsed="false">
      <c r="A57" s="0" t="s">
        <v>903</v>
      </c>
      <c r="B57" s="0" t="s">
        <v>904</v>
      </c>
      <c r="C57" s="52" t="n">
        <v>21.2</v>
      </c>
      <c r="D57" s="5" t="s">
        <v>893</v>
      </c>
      <c r="E57" s="8" t="s">
        <v>894</v>
      </c>
      <c r="F57" s="8" t="s">
        <v>41</v>
      </c>
    </row>
    <row r="58" customFormat="false" ht="17.15" hidden="false" customHeight="false" outlineLevel="0" collapsed="false">
      <c r="A58" s="0" t="s">
        <v>905</v>
      </c>
      <c r="B58" s="0" t="s">
        <v>906</v>
      </c>
      <c r="C58" s="52" t="n">
        <v>24.49</v>
      </c>
      <c r="D58" s="5" t="s">
        <v>893</v>
      </c>
      <c r="E58" s="8" t="s">
        <v>894</v>
      </c>
      <c r="F58" s="8" t="s">
        <v>41</v>
      </c>
    </row>
    <row r="59" customFormat="false" ht="17.15" hidden="false" customHeight="false" outlineLevel="0" collapsed="false">
      <c r="A59" s="3" t="s">
        <v>907</v>
      </c>
      <c r="C59" s="30" t="n">
        <f aca="false">MEDIAN(C42:C44)</f>
        <v>17.72</v>
      </c>
      <c r="D59" s="8" t="s">
        <v>908</v>
      </c>
    </row>
    <row r="60" customFormat="false" ht="17.15" hidden="false" customHeight="false" outlineLevel="0" collapsed="false">
      <c r="A60" s="3" t="s">
        <v>909</v>
      </c>
      <c r="C60" s="30" t="n">
        <f aca="false">MEDIAN(C45:C50)</f>
        <v>9.11</v>
      </c>
      <c r="D60" s="8" t="s">
        <v>910</v>
      </c>
    </row>
    <row r="61" customFormat="false" ht="17.15" hidden="false" customHeight="false" outlineLevel="0" collapsed="false">
      <c r="A61" s="3" t="s">
        <v>911</v>
      </c>
      <c r="C61" s="30" t="n">
        <f aca="false">MEDIAN(C51:C58)</f>
        <v>13.82</v>
      </c>
      <c r="D61" s="8" t="s">
        <v>912</v>
      </c>
    </row>
    <row r="62" customFormat="false" ht="17.15" hidden="false" customHeight="false" outlineLevel="0" collapsed="false">
      <c r="A62" s="0" t="s">
        <v>913</v>
      </c>
    </row>
    <row r="90" customFormat="false" ht="19.4" hidden="false" customHeight="false" outlineLevel="0" collapsed="false">
      <c r="A90" s="31" t="s">
        <v>914</v>
      </c>
    </row>
    <row r="91" customFormat="false" ht="17.15" hidden="false" customHeight="false" outlineLevel="0" collapsed="false">
      <c r="A91" s="6" t="s">
        <v>16</v>
      </c>
      <c r="B91" s="6" t="s">
        <v>17</v>
      </c>
      <c r="C91" s="20" t="s">
        <v>497</v>
      </c>
      <c r="D91" s="20" t="s">
        <v>498</v>
      </c>
      <c r="E91" s="20" t="s">
        <v>580</v>
      </c>
      <c r="F91" s="20" t="s">
        <v>581</v>
      </c>
      <c r="G91" s="20" t="s">
        <v>582</v>
      </c>
      <c r="H91" s="20" t="s">
        <v>583</v>
      </c>
      <c r="I91" s="20" t="s">
        <v>584</v>
      </c>
      <c r="J91" s="20" t="s">
        <v>585</v>
      </c>
      <c r="K91" s="20" t="s">
        <v>586</v>
      </c>
      <c r="L91" s="20" t="s">
        <v>587</v>
      </c>
      <c r="M91" s="20" t="s">
        <v>588</v>
      </c>
      <c r="N91" s="20" t="s">
        <v>589</v>
      </c>
      <c r="O91" s="20" t="s">
        <v>590</v>
      </c>
      <c r="P91" s="6" t="s">
        <v>23</v>
      </c>
      <c r="R91" s="20" t="n">
        <v>2023</v>
      </c>
      <c r="S91" s="20" t="n">
        <v>2024</v>
      </c>
      <c r="T91" s="20" t="n">
        <v>2025</v>
      </c>
      <c r="U91" s="20" t="n">
        <v>2026</v>
      </c>
      <c r="V91" s="20" t="n">
        <v>2027</v>
      </c>
      <c r="W91" s="20" t="n">
        <v>2028</v>
      </c>
      <c r="X91" s="20" t="n">
        <v>2029</v>
      </c>
      <c r="Y91" s="20" t="n">
        <v>2030</v>
      </c>
      <c r="Z91" s="20" t="n">
        <v>2031</v>
      </c>
      <c r="AA91" s="20" t="n">
        <v>2032</v>
      </c>
    </row>
    <row r="92" customFormat="false" ht="17.15" hidden="false" customHeight="false" outlineLevel="0" collapsed="false">
      <c r="A92" s="1" t="s">
        <v>915</v>
      </c>
    </row>
    <row r="93" customFormat="false" ht="17.15" hidden="false" customHeight="false" outlineLevel="0" collapsed="false">
      <c r="A93" s="0" t="s">
        <v>916</v>
      </c>
      <c r="B93" s="0" t="s">
        <v>86</v>
      </c>
      <c r="H93" s="38" t="n">
        <f aca="false">PL!$H$50*(1-tax)</f>
        <v>139.880472980481</v>
      </c>
      <c r="I93" s="38" t="n">
        <f aca="false">PL!$I$50*(1-tax)</f>
        <v>183.860707159158</v>
      </c>
      <c r="J93" s="38" t="n">
        <f aca="false">PL!$J$50*(1-tax)</f>
        <v>226.696617840043</v>
      </c>
      <c r="K93" s="38" t="n">
        <f aca="false">PL!$K$50*(1-tax)</f>
        <v>259.751206023504</v>
      </c>
      <c r="L93" s="38" t="n">
        <f aca="false">PL!$L$50*(1-tax)</f>
        <v>284.070877551365</v>
      </c>
      <c r="M93" s="38" t="n">
        <f aca="false">PL!$M$50*(1-tax)</f>
        <v>299.653658541325</v>
      </c>
    </row>
    <row r="94" customFormat="false" ht="15" hidden="false" customHeight="false" outlineLevel="0" collapsed="false">
      <c r="A94" s="5" t="s">
        <v>917</v>
      </c>
      <c r="B94" s="0" t="s">
        <v>86</v>
      </c>
      <c r="H94" s="38" t="n">
        <f aca="false">PL!$H$61</f>
        <v>78.5426417670371</v>
      </c>
      <c r="I94" s="38" t="n">
        <f aca="false">PL!$I$61</f>
        <v>112.286729968259</v>
      </c>
      <c r="J94" s="38" t="n">
        <f aca="false">PL!$J$61</f>
        <v>146.780410725596</v>
      </c>
      <c r="K94" s="38" t="n">
        <f aca="false">PL!$K$61</f>
        <v>181.482824033374</v>
      </c>
      <c r="L94" s="38" t="n">
        <f aca="false">PL!$L$61</f>
        <v>207.56532435538</v>
      </c>
      <c r="M94" s="38" t="n">
        <f aca="false">PL!$M$61</f>
        <v>226.66932469104</v>
      </c>
    </row>
    <row r="95" customFormat="false" ht="15" hidden="false" customHeight="false" outlineLevel="0" collapsed="false">
      <c r="A95" s="5" t="s">
        <v>918</v>
      </c>
      <c r="B95" s="0" t="s">
        <v>86</v>
      </c>
      <c r="H95" s="38" t="n">
        <f aca="false">CF!$H$24</f>
        <v>278.765463512648</v>
      </c>
      <c r="I95" s="38" t="n">
        <f aca="false">CF!$I$24</f>
        <v>292.539583072925</v>
      </c>
      <c r="J95" s="38" t="n">
        <f aca="false">CF!$J$24</f>
        <v>304.874284222866</v>
      </c>
      <c r="K95" s="38" t="n">
        <f aca="false">CF!$K$24</f>
        <v>254.95684805485</v>
      </c>
      <c r="L95" s="38" t="n">
        <f aca="false">CF!$L$24</f>
        <v>236.937965101011</v>
      </c>
      <c r="M95" s="38" t="n">
        <f aca="false">CF!$M$24</f>
        <v>245.028882904275</v>
      </c>
    </row>
    <row r="96" customFormat="false" ht="15" hidden="false" customHeight="false" outlineLevel="0" collapsed="false">
      <c r="A96" s="5" t="s">
        <v>919</v>
      </c>
      <c r="B96" s="0" t="s">
        <v>86</v>
      </c>
      <c r="H96" s="38" t="n">
        <f aca="false">CF!$H$25</f>
        <v>1.6</v>
      </c>
      <c r="I96" s="38" t="n">
        <f aca="false">CF!$I$25</f>
        <v>1.6</v>
      </c>
      <c r="J96" s="38" t="n">
        <f aca="false">CF!$J$25</f>
        <v>1.6</v>
      </c>
      <c r="K96" s="38" t="n">
        <f aca="false">CF!$K$25</f>
        <v>1.6</v>
      </c>
      <c r="L96" s="38" t="n">
        <f aca="false">CF!$L$25</f>
        <v>1.6</v>
      </c>
      <c r="M96" s="38" t="n">
        <f aca="false">CF!$M$25</f>
        <v>1.6</v>
      </c>
    </row>
    <row r="97" customFormat="false" ht="15" hidden="false" customHeight="false" outlineLevel="0" collapsed="false">
      <c r="A97" s="5" t="s">
        <v>920</v>
      </c>
      <c r="B97" s="0" t="s">
        <v>86</v>
      </c>
      <c r="H97" s="38" t="n">
        <f aca="false">CF!$H$19</f>
        <v>11.5674919591491</v>
      </c>
      <c r="I97" s="38" t="n">
        <f aca="false">CF!$I$19</f>
        <v>13.367307635093</v>
      </c>
      <c r="J97" s="38" t="n">
        <f aca="false">CF!$J$19</f>
        <v>15.1034700959042</v>
      </c>
      <c r="K97" s="38" t="n">
        <f aca="false">CF!$K$19</f>
        <v>16.6185324083662</v>
      </c>
      <c r="L97" s="38" t="n">
        <f aca="false">CF!$L$19</f>
        <v>17.9658169207222</v>
      </c>
      <c r="M97" s="38" t="n">
        <f aca="false">CF!$M$19</f>
        <v>19.1494312379102</v>
      </c>
    </row>
    <row r="98" customFormat="false" ht="17.15" hidden="false" customHeight="false" outlineLevel="0" collapsed="false">
      <c r="A98" s="1" t="s">
        <v>921</v>
      </c>
      <c r="B98" s="8" t="s">
        <v>86</v>
      </c>
      <c r="H98" s="38" t="n">
        <f aca="false">Val!$H$93+Val!$H$94-Val!$H$95+Val!$H$97</f>
        <v>-48.7748568059805</v>
      </c>
      <c r="I98" s="38" t="n">
        <f aca="false">Val!$I$93+Val!$I$94-Val!$I$95+Val!$I$97</f>
        <v>16.9751616895849</v>
      </c>
      <c r="J98" s="38" t="n">
        <f aca="false">Val!$J$93+Val!$J$94-Val!$J$95+Val!$J$97</f>
        <v>83.7062144386771</v>
      </c>
      <c r="K98" s="38" t="n">
        <f aca="false">Val!$K$93+Val!$K$94-Val!$K$95+Val!$K$97</f>
        <v>202.895714410395</v>
      </c>
      <c r="L98" s="38" t="n">
        <f aca="false">Val!$L$93+Val!$L$94-Val!$L$95+Val!$L$97</f>
        <v>272.664053726457</v>
      </c>
      <c r="M98" s="38" t="n">
        <f aca="false">Val!$M$93+Val!$M$94-Val!$M$95+Val!$M$97</f>
        <v>300.443531566</v>
      </c>
    </row>
    <row r="99" customFormat="false" ht="15" hidden="false" customHeight="false" outlineLevel="0" collapsed="false">
      <c r="A99" s="5" t="s">
        <v>922</v>
      </c>
      <c r="B99" s="0" t="s">
        <v>57</v>
      </c>
      <c r="H99" s="40" t="n">
        <f aca="false">1/(1+wacc)^(2027-2026-0.5)</f>
        <v>0.947751320380232</v>
      </c>
      <c r="I99" s="40" t="n">
        <f aca="false">1/(1+wacc)^(2028-2026-0.5)</f>
        <v>0.851301099754987</v>
      </c>
      <c r="J99" s="40" t="n">
        <f aca="false">1/(1+wacc)^(2029-2026-0.5)</f>
        <v>0.764666370660713</v>
      </c>
      <c r="K99" s="40" t="n">
        <f aca="false">1/(1+wacc)^(2030-2026-0.5)</f>
        <v>0.686848235703811</v>
      </c>
      <c r="L99" s="40" t="n">
        <f aca="false">1/(1+wacc)^(2031-2026-0.5)</f>
        <v>0.616949452715975</v>
      </c>
      <c r="M99" s="40" t="n">
        <f aca="false">1/(1+wacc)^(2032-2026-0.5)</f>
        <v>0.554164089562688</v>
      </c>
    </row>
    <row r="100" customFormat="false" ht="15" hidden="false" customHeight="false" outlineLevel="0" collapsed="false">
      <c r="A100" s="5" t="s">
        <v>923</v>
      </c>
      <c r="B100" s="0" t="s">
        <v>86</v>
      </c>
      <c r="H100" s="38" t="n">
        <f aca="false">Val!$H$98*Val!$H$99</f>
        <v>-46.2264349392248</v>
      </c>
      <c r="I100" s="38" t="n">
        <f aca="false">Val!$I$98*Val!$I$99</f>
        <v>14.4509738148623</v>
      </c>
      <c r="J100" s="38" t="n">
        <f aca="false">Val!$J$98*Val!$J$99</f>
        <v>64.0073271965706</v>
      </c>
      <c r="K100" s="38" t="n">
        <f aca="false">Val!$K$98*Val!$K$99</f>
        <v>139.358563474644</v>
      </c>
      <c r="L100" s="38" t="n">
        <f aca="false">Val!$L$98*Val!$L$99</f>
        <v>168.219938721857</v>
      </c>
      <c r="M100" s="38" t="n">
        <f aca="false">Val!$M$98*Val!$M$99</f>
        <v>166.495016135271</v>
      </c>
    </row>
    <row r="101" customFormat="false" ht="15" hidden="false" customHeight="false" outlineLevel="0" collapsed="false">
      <c r="A101" s="5" t="s">
        <v>924</v>
      </c>
      <c r="B101" s="0" t="s">
        <v>86</v>
      </c>
      <c r="C101" s="38" t="n">
        <f aca="false">SUM(Val!$H$100:$M$100)</f>
        <v>506.305384403981</v>
      </c>
    </row>
    <row r="102" customFormat="false" ht="17.15" hidden="false" customHeight="false" outlineLevel="0" collapsed="false">
      <c r="A102" s="5" t="s">
        <v>925</v>
      </c>
      <c r="B102" s="0" t="s">
        <v>86</v>
      </c>
      <c r="C102" s="38" t="n">
        <f aca="false">Val!$M$93*(1+tg)*(1-tg/ronic)/(wacc-tg)</f>
        <v>2724.18613488291</v>
      </c>
    </row>
    <row r="103" customFormat="false" ht="15" hidden="false" customHeight="false" outlineLevel="0" collapsed="false">
      <c r="A103" s="5" t="s">
        <v>926</v>
      </c>
      <c r="B103" s="0" t="s">
        <v>86</v>
      </c>
      <c r="C103" s="38" t="n">
        <f aca="false">Val!$C$102/(1+wacc)^6</f>
        <v>1430.76911229098</v>
      </c>
    </row>
    <row r="104" customFormat="false" ht="17.15" hidden="false" customHeight="false" outlineLevel="0" collapsed="false">
      <c r="A104" s="5" t="s">
        <v>927</v>
      </c>
      <c r="B104" s="0" t="s">
        <v>86</v>
      </c>
      <c r="C104" s="38" t="n">
        <f aca="false">Val!$C$101+Val!$C$103</f>
        <v>1937.07449669496</v>
      </c>
    </row>
    <row r="105" customFormat="false" ht="17.15" hidden="false" customHeight="false" outlineLevel="0" collapsed="false">
      <c r="A105" s="5" t="s">
        <v>928</v>
      </c>
      <c r="B105" s="0" t="s">
        <v>52</v>
      </c>
      <c r="C105" s="13" t="n">
        <f aca="false">Val!$C$103/Val!$C$104</f>
        <v>0.73862368986436</v>
      </c>
    </row>
    <row r="106" customFormat="false" ht="17.15" hidden="false" customHeight="false" outlineLevel="0" collapsed="false">
      <c r="A106" s="5" t="s">
        <v>929</v>
      </c>
      <c r="B106" s="0" t="s">
        <v>86</v>
      </c>
      <c r="C106" s="38" t="n">
        <f aca="false">CF!$G$37+fin_debt</f>
        <v>97.4826411607027</v>
      </c>
    </row>
    <row r="107" customFormat="false" ht="17.15" hidden="false" customHeight="false" outlineLevel="0" collapsed="false">
      <c r="A107" s="5" t="s">
        <v>930</v>
      </c>
      <c r="B107" s="0" t="s">
        <v>86</v>
      </c>
      <c r="C107" s="38" t="n">
        <f aca="false">(ant_val*ant_sh+oai_val*oai_sh)*(1-liq_disc)</f>
        <v>178.944</v>
      </c>
    </row>
    <row r="108" customFormat="false" ht="15" hidden="false" customHeight="false" outlineLevel="0" collapsed="false">
      <c r="A108" s="5" t="s">
        <v>931</v>
      </c>
      <c r="B108" s="0" t="s">
        <v>86</v>
      </c>
      <c r="C108" s="38" t="n">
        <f aca="false">Val!$C$104-Val!$C$106+Val!$C$107</f>
        <v>2018.53585553425</v>
      </c>
    </row>
    <row r="109" customFormat="false" ht="17.15" hidden="false" customHeight="false" outlineLevel="0" collapsed="false">
      <c r="A109" s="5" t="s">
        <v>932</v>
      </c>
      <c r="B109" s="0" t="s">
        <v>27</v>
      </c>
      <c r="C109" s="30" t="n">
        <f aca="false">Val!$C$108/sh_out</f>
        <v>187.13861431572</v>
      </c>
    </row>
    <row r="110" customFormat="false" ht="17.15" hidden="false" customHeight="false" outlineLevel="0" collapsed="false">
      <c r="A110" s="1" t="s">
        <v>933</v>
      </c>
      <c r="B110" s="8" t="s">
        <v>27</v>
      </c>
      <c r="C110" s="30" t="n">
        <f aca="false">Val!$C$109*(1+ke)^tp_yf-dps*tp_yf</f>
        <v>204.985808093872</v>
      </c>
    </row>
    <row r="111" customFormat="false" ht="17.15" hidden="false" customHeight="false" outlineLevel="0" collapsed="false">
      <c r="A111" s="3" t="s">
        <v>934</v>
      </c>
    </row>
    <row r="112" customFormat="false" ht="17.15" hidden="false" customHeight="false" outlineLevel="0" collapsed="false">
      <c r="A112" s="5" t="s">
        <v>935</v>
      </c>
      <c r="B112" s="0" t="s">
        <v>86</v>
      </c>
      <c r="C112" s="38" t="n">
        <f aca="false">(1-tp_yf)*(PL!$H$62+sbc_ab*CF!$H$18*Seg!$H$13/Seg!$H$30)+tp_yf*(PL!$I$62+sbc_ab*CF!$I$18*Seg!$I$13/Seg!$I$30)</f>
        <v>59.634664536349</v>
      </c>
    </row>
    <row r="113" customFormat="false" ht="15" hidden="false" customHeight="false" outlineLevel="0" collapsed="false">
      <c r="A113" s="5" t="s">
        <v>936</v>
      </c>
      <c r="B113" s="0" t="s">
        <v>57</v>
      </c>
      <c r="C113" s="30" t="n">
        <f aca="false">m_ads*m_x</f>
        <v>9.11</v>
      </c>
    </row>
    <row r="114" customFormat="false" ht="17.15" hidden="false" customHeight="false" outlineLevel="0" collapsed="false">
      <c r="A114" s="5" t="s">
        <v>937</v>
      </c>
      <c r="B114" s="0" t="s">
        <v>86</v>
      </c>
      <c r="C114" s="38" t="n">
        <f aca="false">Val!$C$112*Val!$C$113</f>
        <v>543.271793926139</v>
      </c>
    </row>
    <row r="115" customFormat="false" ht="17.15" hidden="false" customHeight="false" outlineLevel="0" collapsed="false">
      <c r="A115" s="5" t="s">
        <v>938</v>
      </c>
      <c r="B115" s="0" t="s">
        <v>86</v>
      </c>
      <c r="C115" s="38" t="n">
        <f aca="false">(1-tp_yf)*(PL!$H$63+sbc_ab*CF!$H$18*(Seg!$H$20-Seg!$H$13)/Seg!$H$30+IF(internal_ai_reading=2,1,0)*(1-ext_sh)*Thesis!$H$28)+tp_yf*(PL!$I$63+sbc_ab*CF!$I$18*(Seg!$I$20-Seg!$I$13)/Seg!$I$30+IF(internal_ai_reading=2,1,0)*(1-ext_sh)*Thesis!$I$28)</f>
        <v>51.2224827206816</v>
      </c>
    </row>
    <row r="116" customFormat="false" ht="17.15" hidden="false" customHeight="false" outlineLevel="0" collapsed="false">
      <c r="A116" s="5" t="s">
        <v>939</v>
      </c>
      <c r="B116" s="0" t="s">
        <v>57</v>
      </c>
      <c r="C116" s="30" t="n">
        <f aca="false">m_retail*m_x</f>
        <v>17.72</v>
      </c>
    </row>
    <row r="117" customFormat="false" ht="17.15" hidden="false" customHeight="false" outlineLevel="0" collapsed="false">
      <c r="A117" s="5" t="s">
        <v>940</v>
      </c>
      <c r="B117" s="0" t="s">
        <v>86</v>
      </c>
      <c r="C117" s="38" t="n">
        <f aca="false">Val!$C$115*Val!$C$116</f>
        <v>907.662393810477</v>
      </c>
    </row>
    <row r="118" customFormat="false" ht="17.15" hidden="false" customHeight="false" outlineLevel="0" collapsed="false">
      <c r="A118" s="0" t="s">
        <v>941</v>
      </c>
      <c r="B118" s="0" t="s">
        <v>86</v>
      </c>
      <c r="C118" s="38" t="n">
        <f aca="false">(1-tp_yf)*(PL!$H$64+sbc_ab*CF!$H$18*Seg!$H$28/Seg!$H$30)+tp_yf*(PL!$I$64+sbc_ab*CF!$I$18*Seg!$I$28/Seg!$I$30)</f>
        <v>96.2439586897193</v>
      </c>
    </row>
    <row r="119" customFormat="false" ht="17.15" hidden="false" customHeight="false" outlineLevel="0" collapsed="false">
      <c r="A119" s="0" t="s">
        <v>942</v>
      </c>
      <c r="B119" s="0" t="s">
        <v>57</v>
      </c>
      <c r="C119" s="30" t="n">
        <f aca="false">m_cloud*m_x</f>
        <v>13.82</v>
      </c>
    </row>
    <row r="120" customFormat="false" ht="17.15" hidden="false" customHeight="false" outlineLevel="0" collapsed="false">
      <c r="A120" s="0" t="s">
        <v>943</v>
      </c>
      <c r="B120" s="0" t="s">
        <v>86</v>
      </c>
      <c r="C120" s="38" t="n">
        <f aca="false">Val!$C$118*Val!$C$119</f>
        <v>1330.09150909192</v>
      </c>
    </row>
    <row r="121" customFormat="false" ht="17.15" hidden="false" customHeight="false" outlineLevel="0" collapsed="false">
      <c r="A121" s="0" t="s">
        <v>944</v>
      </c>
      <c r="B121" s="0" t="s">
        <v>86</v>
      </c>
      <c r="H121" s="38" t="n">
        <f aca="false">Thesis!$H$47-tax*Thesis!$H$48-ext_sh*Thesis!$H$35</f>
        <v>-101.393371821813</v>
      </c>
      <c r="I121" s="38" t="n">
        <f aca="false">Thesis!$I$47-tax*Thesis!$I$48-ext_sh*Thesis!$I$35</f>
        <v>-55.7666975158383</v>
      </c>
      <c r="J121" s="38" t="n">
        <f aca="false">Thesis!$J$47-tax*Thesis!$J$48-ext_sh*Thesis!$J$35</f>
        <v>-8.96702529480251</v>
      </c>
      <c r="K121" s="38" t="n">
        <f aca="false">Thesis!$K$47-tax*Thesis!$K$48-ext_sh*Thesis!$K$35</f>
        <v>80.2665928529919</v>
      </c>
      <c r="L121" s="38" t="n">
        <f aca="false">Thesis!$L$47-tax*Thesis!$L$48-ext_sh*Thesis!$L$35</f>
        <v>129.400221222575</v>
      </c>
      <c r="M121" s="38" t="n">
        <f aca="false">Thesis!$M$47-tax*Thesis!$M$48-ext_sh*Thesis!$M$35</f>
        <v>143.282064926233</v>
      </c>
    </row>
    <row r="122" customFormat="false" ht="17.15" hidden="false" customHeight="false" outlineLevel="0" collapsed="false">
      <c r="A122" s="5" t="s">
        <v>945</v>
      </c>
      <c r="B122" s="0" t="s">
        <v>86</v>
      </c>
      <c r="H122" s="38" t="n">
        <f aca="false">Val!$H$121*Val!$H$99</f>
        <v>-96.0957020219267</v>
      </c>
      <c r="I122" s="38" t="n">
        <f aca="false">Val!$I$121*Val!$I$99</f>
        <v>-47.4742509249368</v>
      </c>
      <c r="J122" s="38" t="n">
        <f aca="false">Val!$J$121*Val!$J$99</f>
        <v>-6.85678268779945</v>
      </c>
      <c r="K122" s="38" t="n">
        <f aca="false">Val!$K$121*Val!$K$99</f>
        <v>55.1309676870336</v>
      </c>
      <c r="L122" s="38" t="n">
        <f aca="false">Val!$L$121*Val!$L$99</f>
        <v>79.8333956645938</v>
      </c>
      <c r="M122" s="38" t="n">
        <f aca="false">Val!$M$121*Val!$M$99</f>
        <v>79.4017750605081</v>
      </c>
    </row>
    <row r="123" customFormat="false" ht="17.15" hidden="false" customHeight="false" outlineLevel="0" collapsed="false">
      <c r="A123" s="5" t="s">
        <v>946</v>
      </c>
      <c r="B123" s="0" t="s">
        <v>86</v>
      </c>
      <c r="C123" s="38" t="n">
        <f aca="false">Thesis!$M$48*(1-tax)*(1+tg)*(1-tg/ronic)/(wacc-tg)</f>
        <v>1190.58904731513</v>
      </c>
    </row>
    <row r="124" customFormat="false" ht="17.15" hidden="false" customHeight="false" outlineLevel="0" collapsed="false">
      <c r="A124" s="0" t="s">
        <v>947</v>
      </c>
      <c r="B124" s="0" t="s">
        <v>86</v>
      </c>
      <c r="C124" s="38" t="n">
        <f aca="false">(SUM(Val!$I$122:$M$122)+Val!$C$123/(1+wacc)^6)*(1+wacc)^tp_yf</f>
        <v>857.769404597615</v>
      </c>
    </row>
    <row r="125" customFormat="false" ht="17.15" hidden="false" customHeight="false" outlineLevel="0" collapsed="false">
      <c r="A125" s="5" t="s">
        <v>948</v>
      </c>
      <c r="B125" s="0" t="s">
        <v>86</v>
      </c>
      <c r="C125" s="38" t="n">
        <f aca="false">(1-tp_yf)*(PL!$H$65)+tp_yf*(PL!$I$65)</f>
        <v>116.623020306649</v>
      </c>
    </row>
    <row r="126" customFormat="false" ht="17.15" hidden="false" customHeight="false" outlineLevel="0" collapsed="false">
      <c r="A126" s="5" t="s">
        <v>949</v>
      </c>
      <c r="B126" s="0" t="s">
        <v>86</v>
      </c>
      <c r="C126" s="38" t="n">
        <f aca="false">Val!$C$125*m_ai</f>
        <v>699.738121839894</v>
      </c>
    </row>
    <row r="127" customFormat="false" ht="17.15" hidden="false" customHeight="false" outlineLevel="0" collapsed="false">
      <c r="A127" s="0" t="s">
        <v>950</v>
      </c>
      <c r="B127" s="0" t="s">
        <v>86</v>
      </c>
      <c r="C127" s="38" t="n">
        <f aca="false">IF(ai_leg=1,Val!$C$124,Val!$C$126)</f>
        <v>857.769404597615</v>
      </c>
    </row>
    <row r="128" customFormat="false" ht="17.15" hidden="false" customHeight="false" outlineLevel="0" collapsed="false">
      <c r="A128" s="5" t="s">
        <v>951</v>
      </c>
      <c r="B128" s="0" t="s">
        <v>86</v>
      </c>
      <c r="C128" s="38" t="n">
        <f aca="false">Val!$C$114+Val!$C$117+Val!$C$120+Val!$C$127</f>
        <v>3638.79510142615</v>
      </c>
    </row>
    <row r="129" customFormat="false" ht="17.15" hidden="false" customHeight="false" outlineLevel="0" collapsed="false">
      <c r="A129" s="5" t="s">
        <v>952</v>
      </c>
      <c r="B129" s="0" t="s">
        <v>86</v>
      </c>
      <c r="C129" s="38" t="n">
        <f aca="false">CF!$H$37+fin_debt</f>
        <v>139.609801764421</v>
      </c>
    </row>
    <row r="130" customFormat="false" ht="15" hidden="false" customHeight="false" outlineLevel="0" collapsed="false">
      <c r="A130" s="5" t="s">
        <v>953</v>
      </c>
      <c r="B130" s="0" t="s">
        <v>86</v>
      </c>
      <c r="C130" s="38" t="n">
        <f aca="false">Val!$C$128-Val!$C$129+Val!$C$107</f>
        <v>3678.12929966173</v>
      </c>
    </row>
    <row r="131" customFormat="false" ht="15" hidden="false" customHeight="false" outlineLevel="0" collapsed="false">
      <c r="A131" s="3" t="s">
        <v>954</v>
      </c>
      <c r="B131" s="8" t="s">
        <v>27</v>
      </c>
      <c r="C131" s="30" t="n">
        <f aca="false">Val!$C$130/sh_val</f>
        <v>333.456445542868</v>
      </c>
    </row>
    <row r="132" customFormat="false" ht="17.15" hidden="false" customHeight="false" outlineLevel="0" collapsed="false">
      <c r="A132" s="47" t="s">
        <v>955</v>
      </c>
      <c r="B132" s="14" t="s">
        <v>27</v>
      </c>
      <c r="C132" s="44" t="n">
        <f aca="false">w_dcf*Val!$C$110+(1-w_dcf)*Val!$C$131</f>
        <v>269.22112681837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</row>
    <row r="133" customFormat="false" ht="17.15" hidden="false" customHeight="false" outlineLevel="0" collapsed="false">
      <c r="A133" s="5" t="s">
        <v>956</v>
      </c>
      <c r="B133" s="0" t="s">
        <v>27</v>
      </c>
      <c r="C133" s="30" t="n">
        <f aca="false">v022_wdcf*Val!$C$110+(1-v022_wdcf)*Val!$C$131</f>
        <v>275.64465869082</v>
      </c>
    </row>
    <row r="134" customFormat="false" ht="17.15" hidden="false" customHeight="false" outlineLevel="0" collapsed="false">
      <c r="A134" s="5" t="s">
        <v>957</v>
      </c>
      <c r="B134" s="0" t="s">
        <v>27</v>
      </c>
      <c r="C134" s="30" t="n">
        <f aca="false">(Val!$C$130-Val!$C$127+Val!$C$126)/sh_val</f>
        <v>319.129447892781</v>
      </c>
    </row>
    <row r="137" customFormat="false" ht="19.4" hidden="false" customHeight="false" outlineLevel="0" collapsed="false">
      <c r="A137" s="31" t="s">
        <v>958</v>
      </c>
    </row>
    <row r="138" customFormat="false" ht="17.15" hidden="false" customHeight="false" outlineLevel="0" collapsed="false">
      <c r="A138" s="6" t="s">
        <v>16</v>
      </c>
      <c r="B138" s="6" t="s">
        <v>17</v>
      </c>
      <c r="C138" s="20" t="s">
        <v>497</v>
      </c>
      <c r="D138" s="20" t="s">
        <v>498</v>
      </c>
      <c r="E138" s="20" t="s">
        <v>580</v>
      </c>
      <c r="F138" s="20" t="s">
        <v>581</v>
      </c>
      <c r="G138" s="20" t="s">
        <v>582</v>
      </c>
      <c r="H138" s="20" t="s">
        <v>583</v>
      </c>
      <c r="I138" s="20" t="s">
        <v>584</v>
      </c>
      <c r="J138" s="20" t="s">
        <v>585</v>
      </c>
      <c r="K138" s="20" t="s">
        <v>586</v>
      </c>
      <c r="L138" s="20" t="s">
        <v>587</v>
      </c>
      <c r="M138" s="20" t="s">
        <v>588</v>
      </c>
      <c r="N138" s="20" t="s">
        <v>589</v>
      </c>
      <c r="O138" s="20" t="s">
        <v>590</v>
      </c>
      <c r="P138" s="6" t="s">
        <v>23</v>
      </c>
      <c r="R138" s="20" t="n">
        <v>2023</v>
      </c>
      <c r="S138" s="20" t="n">
        <v>2024</v>
      </c>
      <c r="T138" s="20" t="n">
        <v>2025</v>
      </c>
      <c r="U138" s="20" t="n">
        <v>2026</v>
      </c>
      <c r="V138" s="20" t="n">
        <v>2027</v>
      </c>
      <c r="W138" s="20" t="n">
        <v>2028</v>
      </c>
      <c r="X138" s="20" t="n">
        <v>2029</v>
      </c>
      <c r="Y138" s="20" t="n">
        <v>2030</v>
      </c>
      <c r="Z138" s="20" t="n">
        <v>2031</v>
      </c>
      <c r="AA138" s="20" t="n">
        <v>2032</v>
      </c>
    </row>
    <row r="139" customFormat="false" ht="17.15" hidden="false" customHeight="false" outlineLevel="0" collapsed="false">
      <c r="A139" s="1" t="s">
        <v>915</v>
      </c>
    </row>
    <row r="140" customFormat="false" ht="17.15" hidden="false" customHeight="false" outlineLevel="0" collapsed="false">
      <c r="A140" s="0" t="s">
        <v>916</v>
      </c>
      <c r="B140" s="0" t="s">
        <v>86</v>
      </c>
      <c r="H140" s="38" t="n">
        <f aca="false">PL!$H$120*(1-tax)</f>
        <v>121.243762954598</v>
      </c>
      <c r="I140" s="38" t="n">
        <f aca="false">PL!$I$120*(1-tax)</f>
        <v>146.296727721585</v>
      </c>
      <c r="J140" s="38" t="n">
        <f aca="false">PL!$J$120*(1-tax)</f>
        <v>170.140518399982</v>
      </c>
      <c r="K140" s="38" t="n">
        <f aca="false">PL!$K$120*(1-tax)</f>
        <v>187.091644407888</v>
      </c>
      <c r="L140" s="38" t="n">
        <f aca="false">PL!$L$120*(1-tax)</f>
        <v>200.866341135815</v>
      </c>
      <c r="M140" s="38" t="n">
        <f aca="false">PL!$M$120*(1-tax)</f>
        <v>211.476896331068</v>
      </c>
    </row>
    <row r="141" customFormat="false" ht="15" hidden="false" customHeight="false" outlineLevel="0" collapsed="false">
      <c r="A141" s="5" t="s">
        <v>917</v>
      </c>
      <c r="B141" s="0" t="s">
        <v>86</v>
      </c>
      <c r="H141" s="38" t="n">
        <f aca="false">PL!$H$131</f>
        <v>78.1799395827871</v>
      </c>
      <c r="I141" s="38" t="n">
        <f aca="false">PL!$I$131</f>
        <v>111.171125554384</v>
      </c>
      <c r="J141" s="38" t="n">
        <f aca="false">PL!$J$131</f>
        <v>144.884406220971</v>
      </c>
      <c r="K141" s="38" t="n">
        <f aca="false">PL!$K$131</f>
        <v>178.806419437999</v>
      </c>
      <c r="L141" s="38" t="n">
        <f aca="false">PL!$L$131</f>
        <v>204.341339029663</v>
      </c>
      <c r="M141" s="38" t="n">
        <f aca="false">PL!$M$131</f>
        <v>223.130577995387</v>
      </c>
    </row>
    <row r="142" customFormat="false" ht="15" hidden="false" customHeight="false" outlineLevel="0" collapsed="false">
      <c r="A142" s="5" t="s">
        <v>918</v>
      </c>
      <c r="B142" s="0" t="s">
        <v>86</v>
      </c>
      <c r="H142" s="38" t="n">
        <f aca="false">CF!$H$55</f>
        <v>273.372679834898</v>
      </c>
      <c r="I142" s="38" t="n">
        <f aca="false">CF!$I$55</f>
        <v>286.981812228425</v>
      </c>
      <c r="J142" s="38" t="n">
        <f aca="false">CF!$J$55</f>
        <v>299.316513378366</v>
      </c>
      <c r="K142" s="38" t="n">
        <f aca="false">CF!$K$55</f>
        <v>251.057145512292</v>
      </c>
      <c r="L142" s="38" t="n">
        <f aca="false">CF!$L$55</f>
        <v>234.696330860396</v>
      </c>
      <c r="M142" s="38" t="n">
        <f aca="false">CF!$M$55</f>
        <v>242.291696043352</v>
      </c>
    </row>
    <row r="143" customFormat="false" ht="15" hidden="false" customHeight="false" outlineLevel="0" collapsed="false">
      <c r="A143" s="5" t="s">
        <v>919</v>
      </c>
      <c r="B143" s="0" t="s">
        <v>86</v>
      </c>
      <c r="H143" s="38" t="n">
        <f aca="false">CF!$H$56</f>
        <v>1.6</v>
      </c>
      <c r="I143" s="38" t="n">
        <f aca="false">CF!$I$56</f>
        <v>1.6</v>
      </c>
      <c r="J143" s="38" t="n">
        <f aca="false">CF!$J$56</f>
        <v>1.6</v>
      </c>
      <c r="K143" s="38" t="n">
        <f aca="false">CF!$K$56</f>
        <v>1.6</v>
      </c>
      <c r="L143" s="38" t="n">
        <f aca="false">CF!$L$56</f>
        <v>1.6</v>
      </c>
      <c r="M143" s="38" t="n">
        <f aca="false">CF!$M$56</f>
        <v>1.6</v>
      </c>
    </row>
    <row r="144" customFormat="false" ht="15" hidden="false" customHeight="false" outlineLevel="0" collapsed="false">
      <c r="A144" s="5" t="s">
        <v>920</v>
      </c>
      <c r="B144" s="0" t="s">
        <v>86</v>
      </c>
      <c r="H144" s="38" t="n">
        <f aca="false">CF!$H$50</f>
        <v>11.2928295263397</v>
      </c>
      <c r="I144" s="38" t="n">
        <f aca="false">CF!$I$50</f>
        <v>12.8091546115766</v>
      </c>
      <c r="J144" s="38" t="n">
        <f aca="false">CF!$J$50</f>
        <v>14.2605653162668</v>
      </c>
      <c r="K144" s="38" t="n">
        <f aca="false">CF!$K$50</f>
        <v>15.5327622460396</v>
      </c>
      <c r="L144" s="38" t="n">
        <f aca="false">CF!$L$50</f>
        <v>16.720573737517</v>
      </c>
      <c r="M144" s="38" t="n">
        <f aca="false">CF!$M$50</f>
        <v>17.8283127551536</v>
      </c>
    </row>
    <row r="145" customFormat="false" ht="17.15" hidden="false" customHeight="false" outlineLevel="0" collapsed="false">
      <c r="A145" s="1" t="s">
        <v>921</v>
      </c>
      <c r="B145" s="8" t="s">
        <v>86</v>
      </c>
      <c r="H145" s="38" t="n">
        <f aca="false">Val!$H$140+Val!$H$141-Val!$H$142+Val!$H$144</f>
        <v>-62.6561477711731</v>
      </c>
      <c r="I145" s="38" t="n">
        <f aca="false">Val!$I$140+Val!$I$141-Val!$I$142+Val!$I$144</f>
        <v>-16.7048043408794</v>
      </c>
      <c r="J145" s="38" t="n">
        <f aca="false">Val!$J$140+Val!$J$141-Val!$J$142+Val!$J$144</f>
        <v>29.9689765588539</v>
      </c>
      <c r="K145" s="38" t="n">
        <f aca="false">Val!$K$140+Val!$K$141-Val!$K$142+Val!$K$144</f>
        <v>130.373680579634</v>
      </c>
      <c r="L145" s="38" t="n">
        <f aca="false">Val!$L$140+Val!$L$141-Val!$L$142+Val!$L$144</f>
        <v>187.231923042598</v>
      </c>
      <c r="M145" s="38" t="n">
        <f aca="false">Val!$M$140+Val!$M$141-Val!$M$142+Val!$M$144</f>
        <v>210.144091038257</v>
      </c>
    </row>
    <row r="146" customFormat="false" ht="15" hidden="false" customHeight="false" outlineLevel="0" collapsed="false">
      <c r="A146" s="5" t="s">
        <v>922</v>
      </c>
      <c r="B146" s="0" t="s">
        <v>57</v>
      </c>
      <c r="H146" s="40" t="n">
        <f aca="false">1/(1+wacc)^(2027-2026-0.5)</f>
        <v>0.947751320380232</v>
      </c>
      <c r="I146" s="40" t="n">
        <f aca="false">1/(1+wacc)^(2028-2026-0.5)</f>
        <v>0.851301099754987</v>
      </c>
      <c r="J146" s="40" t="n">
        <f aca="false">1/(1+wacc)^(2029-2026-0.5)</f>
        <v>0.764666370660713</v>
      </c>
      <c r="K146" s="40" t="n">
        <f aca="false">1/(1+wacc)^(2030-2026-0.5)</f>
        <v>0.686848235703811</v>
      </c>
      <c r="L146" s="40" t="n">
        <f aca="false">1/(1+wacc)^(2031-2026-0.5)</f>
        <v>0.616949452715975</v>
      </c>
      <c r="M146" s="40" t="n">
        <f aca="false">1/(1+wacc)^(2032-2026-0.5)</f>
        <v>0.554164089562688</v>
      </c>
    </row>
    <row r="147" customFormat="false" ht="15" hidden="false" customHeight="false" outlineLevel="0" collapsed="false">
      <c r="A147" s="5" t="s">
        <v>923</v>
      </c>
      <c r="B147" s="0" t="s">
        <v>86</v>
      </c>
      <c r="H147" s="38" t="n">
        <f aca="false">Val!$H$145*Val!$H$146</f>
        <v>-59.3824467800682</v>
      </c>
      <c r="I147" s="38" t="n">
        <f aca="false">Val!$I$145*Val!$I$146</f>
        <v>-14.2208183065825</v>
      </c>
      <c r="J147" s="38" t="n">
        <f aca="false">Val!$J$145*Val!$J$146</f>
        <v>22.9162685376748</v>
      </c>
      <c r="K147" s="38" t="n">
        <f aca="false">Val!$K$145*Val!$K$146</f>
        <v>89.5469324883341</v>
      </c>
      <c r="L147" s="38" t="n">
        <f aca="false">Val!$L$145*Val!$L$146</f>
        <v>115.512632452091</v>
      </c>
      <c r="M147" s="38" t="n">
        <f aca="false">Val!$M$145*Val!$M$146</f>
        <v>116.454308887194</v>
      </c>
    </row>
    <row r="148" customFormat="false" ht="15" hidden="false" customHeight="false" outlineLevel="0" collapsed="false">
      <c r="A148" s="5" t="s">
        <v>924</v>
      </c>
      <c r="B148" s="0" t="s">
        <v>86</v>
      </c>
      <c r="C148" s="38" t="n">
        <f aca="false">SUM(Val!$H$147:$M$147)</f>
        <v>270.826877278643</v>
      </c>
    </row>
    <row r="149" customFormat="false" ht="17.15" hidden="false" customHeight="false" outlineLevel="0" collapsed="false">
      <c r="A149" s="5" t="s">
        <v>925</v>
      </c>
      <c r="B149" s="0" t="s">
        <v>86</v>
      </c>
      <c r="C149" s="38" t="n">
        <f aca="false">Val!$M$140*(1+tg)*(1-tg/ronic)/(wacc-tg)</f>
        <v>1922.56097134792</v>
      </c>
    </row>
    <row r="150" customFormat="false" ht="15" hidden="false" customHeight="false" outlineLevel="0" collapsed="false">
      <c r="A150" s="5" t="s">
        <v>926</v>
      </c>
      <c r="B150" s="0" t="s">
        <v>86</v>
      </c>
      <c r="C150" s="38" t="n">
        <f aca="false">Val!$C$149/(1+wacc)^6</f>
        <v>1009.74776248869</v>
      </c>
    </row>
    <row r="151" customFormat="false" ht="17.15" hidden="false" customHeight="false" outlineLevel="0" collapsed="false">
      <c r="A151" s="5" t="s">
        <v>927</v>
      </c>
      <c r="B151" s="0" t="s">
        <v>86</v>
      </c>
      <c r="C151" s="38" t="n">
        <f aca="false">Val!$C$148+Val!$C$150</f>
        <v>1280.57463976734</v>
      </c>
    </row>
    <row r="152" customFormat="false" ht="17.15" hidden="false" customHeight="false" outlineLevel="0" collapsed="false">
      <c r="A152" s="5" t="s">
        <v>928</v>
      </c>
      <c r="B152" s="0" t="s">
        <v>52</v>
      </c>
      <c r="C152" s="13" t="n">
        <f aca="false">Val!$C$150/Val!$C$151</f>
        <v>0.788511447229778</v>
      </c>
    </row>
    <row r="153" customFormat="false" ht="17.15" hidden="false" customHeight="false" outlineLevel="0" collapsed="false">
      <c r="A153" s="5" t="s">
        <v>929</v>
      </c>
      <c r="B153" s="0" t="s">
        <v>86</v>
      </c>
      <c r="C153" s="38" t="n">
        <f aca="false">CF!$G$68+fin_debt</f>
        <v>97.2636983848813</v>
      </c>
    </row>
    <row r="154" customFormat="false" ht="17.15" hidden="false" customHeight="false" outlineLevel="0" collapsed="false">
      <c r="A154" s="5" t="s">
        <v>930</v>
      </c>
      <c r="B154" s="0" t="s">
        <v>86</v>
      </c>
      <c r="C154" s="38" t="n">
        <f aca="false">(ant_val*ant_sh+oai_val*oai_sh)*(1-liq_disc)</f>
        <v>178.944</v>
      </c>
    </row>
    <row r="155" customFormat="false" ht="15" hidden="false" customHeight="false" outlineLevel="0" collapsed="false">
      <c r="A155" s="5" t="s">
        <v>931</v>
      </c>
      <c r="B155" s="0" t="s">
        <v>86</v>
      </c>
      <c r="C155" s="38" t="n">
        <f aca="false">Val!$C$151-Val!$C$153+Val!$C$154</f>
        <v>1362.25494138246</v>
      </c>
    </row>
    <row r="156" customFormat="false" ht="17.15" hidden="false" customHeight="false" outlineLevel="0" collapsed="false">
      <c r="A156" s="5" t="s">
        <v>932</v>
      </c>
      <c r="B156" s="0" t="s">
        <v>27</v>
      </c>
      <c r="C156" s="30" t="n">
        <f aca="false">Val!$C$155/sh_out</f>
        <v>126.294760321501</v>
      </c>
    </row>
    <row r="157" customFormat="false" ht="17.15" hidden="false" customHeight="false" outlineLevel="0" collapsed="false">
      <c r="A157" s="1" t="s">
        <v>933</v>
      </c>
      <c r="B157" s="8" t="s">
        <v>27</v>
      </c>
      <c r="C157" s="30" t="n">
        <f aca="false">Val!$C$156*(1+ke)^tp_yf-dps*tp_yf</f>
        <v>138.339345929154</v>
      </c>
    </row>
    <row r="158" customFormat="false" ht="17.15" hidden="false" customHeight="false" outlineLevel="0" collapsed="false">
      <c r="A158" s="3" t="s">
        <v>934</v>
      </c>
    </row>
    <row r="159" customFormat="false" ht="17.15" hidden="false" customHeight="false" outlineLevel="0" collapsed="false">
      <c r="A159" s="5" t="s">
        <v>935</v>
      </c>
      <c r="B159" s="0" t="s">
        <v>86</v>
      </c>
      <c r="C159" s="38" t="n">
        <f aca="false">(1-tp_yf)*(PL!$H$132+sbc_ab*CF!$H$49*Seg!$H$48/Seg!$H$65)+tp_yf*(PL!$I$132+sbc_ab*CF!$I$49*Seg!$I$48/Seg!$I$65)</f>
        <v>59.634664536349</v>
      </c>
    </row>
    <row r="160" customFormat="false" ht="15" hidden="false" customHeight="false" outlineLevel="0" collapsed="false">
      <c r="A160" s="5" t="s">
        <v>936</v>
      </c>
      <c r="B160" s="0" t="s">
        <v>57</v>
      </c>
      <c r="C160" s="30" t="n">
        <f aca="false">m_ads*m_x</f>
        <v>9.11</v>
      </c>
    </row>
    <row r="161" customFormat="false" ht="17.15" hidden="false" customHeight="false" outlineLevel="0" collapsed="false">
      <c r="A161" s="5" t="s">
        <v>937</v>
      </c>
      <c r="B161" s="0" t="s">
        <v>86</v>
      </c>
      <c r="C161" s="38" t="n">
        <f aca="false">Val!$C$159*Val!$C$160</f>
        <v>543.271793926139</v>
      </c>
    </row>
    <row r="162" customFormat="false" ht="17.15" hidden="false" customHeight="false" outlineLevel="0" collapsed="false">
      <c r="A162" s="5" t="s">
        <v>938</v>
      </c>
      <c r="B162" s="0" t="s">
        <v>86</v>
      </c>
      <c r="C162" s="38" t="n">
        <f aca="false">(1-tp_yf)*(PL!$H$133+sbc_ab*CF!$H$49*(Seg!$H$55-Seg!$H$48)/Seg!$H$65+IF(internal_ai_reading=2,1,0)*(1-ext_sh)*Thesis!$H$88)+tp_yf*(PL!$I$133+sbc_ab*CF!$I$49*(Seg!$I$55-Seg!$I$48)/Seg!$I$65+IF(internal_ai_reading=2,1,0)*(1-ext_sh)*Thesis!$I$88)</f>
        <v>51.2224827206816</v>
      </c>
    </row>
    <row r="163" customFormat="false" ht="17.15" hidden="false" customHeight="false" outlineLevel="0" collapsed="false">
      <c r="A163" s="5" t="s">
        <v>939</v>
      </c>
      <c r="B163" s="0" t="s">
        <v>57</v>
      </c>
      <c r="C163" s="30" t="n">
        <f aca="false">m_retail*m_x</f>
        <v>17.72</v>
      </c>
    </row>
    <row r="164" customFormat="false" ht="17.15" hidden="false" customHeight="false" outlineLevel="0" collapsed="false">
      <c r="A164" s="5" t="s">
        <v>940</v>
      </c>
      <c r="B164" s="0" t="s">
        <v>86</v>
      </c>
      <c r="C164" s="38" t="n">
        <f aca="false">Val!$C$162*Val!$C$163</f>
        <v>907.662393810478</v>
      </c>
    </row>
    <row r="165" customFormat="false" ht="17.15" hidden="false" customHeight="false" outlineLevel="0" collapsed="false">
      <c r="A165" s="0" t="s">
        <v>941</v>
      </c>
      <c r="B165" s="0" t="s">
        <v>86</v>
      </c>
      <c r="C165" s="38" t="n">
        <f aca="false">(1-tp_yf)*(PL!$H$134+sbc_ab*CF!$H$49*Seg!$H$63/Seg!$H$65)+tp_yf*(PL!$I$134+sbc_ab*CF!$I$49*Seg!$I$63/Seg!$I$65)</f>
        <v>96.2439586897193</v>
      </c>
    </row>
    <row r="166" customFormat="false" ht="17.15" hidden="false" customHeight="false" outlineLevel="0" collapsed="false">
      <c r="A166" s="0" t="s">
        <v>942</v>
      </c>
      <c r="B166" s="0" t="s">
        <v>57</v>
      </c>
      <c r="C166" s="30" t="n">
        <f aca="false">m_cloud*m_x</f>
        <v>13.82</v>
      </c>
    </row>
    <row r="167" customFormat="false" ht="17.15" hidden="false" customHeight="false" outlineLevel="0" collapsed="false">
      <c r="A167" s="0" t="s">
        <v>943</v>
      </c>
      <c r="B167" s="0" t="s">
        <v>86</v>
      </c>
      <c r="C167" s="38" t="n">
        <f aca="false">Val!$C$165*Val!$C$166</f>
        <v>1330.09150909192</v>
      </c>
    </row>
    <row r="168" customFormat="false" ht="17.15" hidden="false" customHeight="false" outlineLevel="0" collapsed="false">
      <c r="A168" s="0" t="s">
        <v>944</v>
      </c>
      <c r="B168" s="0" t="s">
        <v>86</v>
      </c>
      <c r="H168" s="38" t="n">
        <f aca="false">Thesis!$H$107-tax*Thesis!$H$108-ext_sh*Thesis!$H$95</f>
        <v>-115.885394236225</v>
      </c>
      <c r="I168" s="38" t="n">
        <f aca="false">Thesis!$I$107-tax*Thesis!$I$108-ext_sh*Thesis!$I$95</f>
        <v>-89.5935137276694</v>
      </c>
      <c r="J168" s="38" t="n">
        <f aca="false">Thesis!$J$107-tax*Thesis!$J$108-ext_sh*Thesis!$J$95</f>
        <v>-62.3510647460279</v>
      </c>
      <c r="K168" s="38" t="n">
        <f aca="false">Thesis!$K$107-tax*Thesis!$K$108-ext_sh*Thesis!$K$95</f>
        <v>8.85932514072565</v>
      </c>
      <c r="L168" s="38" t="n">
        <f aca="false">Thesis!$L$107-tax*Thesis!$L$108-ext_sh*Thesis!$L$95</f>
        <v>45.6968344120177</v>
      </c>
      <c r="M168" s="38" t="n">
        <f aca="false">Thesis!$M$107-tax*Thesis!$M$108-ext_sh*Thesis!$M$95</f>
        <v>54.7466688757428</v>
      </c>
    </row>
    <row r="169" customFormat="false" ht="17.15" hidden="false" customHeight="false" outlineLevel="0" collapsed="false">
      <c r="A169" s="5" t="s">
        <v>945</v>
      </c>
      <c r="B169" s="0" t="s">
        <v>86</v>
      </c>
      <c r="H169" s="38" t="n">
        <f aca="false">Val!$H$168*Val!$H$146</f>
        <v>-109.830535400166</v>
      </c>
      <c r="I169" s="38" t="n">
        <f aca="false">Val!$I$168*Val!$I$146</f>
        <v>-76.2710567672785</v>
      </c>
      <c r="J169" s="38" t="n">
        <f aca="false">Val!$J$168*Val!$J$146</f>
        <v>-47.6777623861763</v>
      </c>
      <c r="K169" s="38" t="n">
        <f aca="false">Val!$K$168*Val!$K$146</f>
        <v>6.08501184243383</v>
      </c>
      <c r="L169" s="38" t="n">
        <f aca="false">Val!$L$168*Val!$L$146</f>
        <v>28.1926369813469</v>
      </c>
      <c r="M169" s="38" t="n">
        <f aca="false">Val!$M$168*Val!$M$146</f>
        <v>30.338637914116</v>
      </c>
    </row>
    <row r="170" customFormat="false" ht="17.15" hidden="false" customHeight="false" outlineLevel="0" collapsed="false">
      <c r="A170" s="5" t="s">
        <v>946</v>
      </c>
      <c r="B170" s="0" t="s">
        <v>86</v>
      </c>
      <c r="C170" s="38" t="n">
        <f aca="false">Thesis!$M$108*(1-tax)*(1+tg)*(1-tg/ronic)/(wacc-tg)</f>
        <v>391.533160655061</v>
      </c>
    </row>
    <row r="171" customFormat="false" ht="17.15" hidden="false" customHeight="false" outlineLevel="0" collapsed="false">
      <c r="A171" s="0" t="s">
        <v>947</v>
      </c>
      <c r="B171" s="0" t="s">
        <v>86</v>
      </c>
      <c r="C171" s="38" t="n">
        <f aca="false">(SUM(Val!$I$169:$M$169)+Val!$C$170/(1+wacc)^6)*(1+wacc)^tp_yf</f>
        <v>159.796867964901</v>
      </c>
    </row>
    <row r="172" customFormat="false" ht="17.15" hidden="false" customHeight="false" outlineLevel="0" collapsed="false">
      <c r="A172" s="5" t="s">
        <v>948</v>
      </c>
      <c r="B172" s="0" t="s">
        <v>86</v>
      </c>
      <c r="C172" s="38" t="n">
        <f aca="false">(1-tp_yf)*(PL!$H$135)+tp_yf*(PL!$I$135)</f>
        <v>74.6707041238437</v>
      </c>
    </row>
    <row r="173" customFormat="false" ht="17.15" hidden="false" customHeight="false" outlineLevel="0" collapsed="false">
      <c r="A173" s="5" t="s">
        <v>949</v>
      </c>
      <c r="B173" s="0" t="s">
        <v>86</v>
      </c>
      <c r="C173" s="38" t="n">
        <f aca="false">Val!$C$172*m_ai</f>
        <v>448.024224743062</v>
      </c>
    </row>
    <row r="174" customFormat="false" ht="17.15" hidden="false" customHeight="false" outlineLevel="0" collapsed="false">
      <c r="A174" s="0" t="s">
        <v>950</v>
      </c>
      <c r="B174" s="0" t="s">
        <v>86</v>
      </c>
      <c r="C174" s="38" t="n">
        <f aca="false">IF(ai_leg=1,Val!$C$171,Val!$C$173)</f>
        <v>159.796867964901</v>
      </c>
    </row>
    <row r="175" customFormat="false" ht="17.15" hidden="false" customHeight="false" outlineLevel="0" collapsed="false">
      <c r="A175" s="5" t="s">
        <v>951</v>
      </c>
      <c r="B175" s="0" t="s">
        <v>86</v>
      </c>
      <c r="C175" s="38" t="n">
        <f aca="false">Val!$C$161+Val!$C$164+Val!$C$167+Val!$C$174</f>
        <v>2940.82256479344</v>
      </c>
    </row>
    <row r="176" customFormat="false" ht="17.15" hidden="false" customHeight="false" outlineLevel="0" collapsed="false">
      <c r="A176" s="5" t="s">
        <v>952</v>
      </c>
      <c r="B176" s="0" t="s">
        <v>86</v>
      </c>
      <c r="C176" s="38" t="n">
        <f aca="false">CF!$H$68+fin_debt</f>
        <v>153.608629741943</v>
      </c>
    </row>
    <row r="177" customFormat="false" ht="15" hidden="false" customHeight="false" outlineLevel="0" collapsed="false">
      <c r="A177" s="5" t="s">
        <v>953</v>
      </c>
      <c r="B177" s="0" t="s">
        <v>86</v>
      </c>
      <c r="C177" s="38" t="n">
        <f aca="false">Val!$C$175-Val!$C$176+Val!$C$154</f>
        <v>2966.1579350515</v>
      </c>
    </row>
    <row r="178" customFormat="false" ht="15" hidden="false" customHeight="false" outlineLevel="0" collapsed="false">
      <c r="A178" s="3" t="s">
        <v>954</v>
      </c>
      <c r="B178" s="8" t="s">
        <v>27</v>
      </c>
      <c r="C178" s="30" t="n">
        <f aca="false">Val!$C$177/sh_val</f>
        <v>268.90965525111</v>
      </c>
    </row>
    <row r="179" customFormat="false" ht="17.15" hidden="false" customHeight="false" outlineLevel="0" collapsed="false">
      <c r="A179" s="47" t="s">
        <v>955</v>
      </c>
      <c r="B179" s="14" t="s">
        <v>27</v>
      </c>
      <c r="C179" s="44" t="n">
        <f aca="false">w_dcf*Val!$C$157+(1-w_dcf)*Val!$C$178</f>
        <v>203.624500590132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</row>
    <row r="180" customFormat="false" ht="17.15" hidden="false" customHeight="false" outlineLevel="0" collapsed="false">
      <c r="A180" s="5" t="s">
        <v>956</v>
      </c>
      <c r="B180" s="0" t="s">
        <v>27</v>
      </c>
      <c r="C180" s="30" t="n">
        <f aca="false">v022_wdcf*Val!$C$157+(1-v022_wdcf)*Val!$C$178</f>
        <v>210.15301605623</v>
      </c>
    </row>
    <row r="181" customFormat="false" ht="17.15" hidden="false" customHeight="false" outlineLevel="0" collapsed="false">
      <c r="A181" s="5" t="s">
        <v>957</v>
      </c>
      <c r="B181" s="0" t="s">
        <v>27</v>
      </c>
      <c r="C181" s="30" t="n">
        <f aca="false">(Val!$C$177-Val!$C$174+Val!$C$173)/sh_val</f>
        <v>295.040131389701</v>
      </c>
    </row>
    <row r="184" customFormat="false" ht="19.4" hidden="false" customHeight="false" outlineLevel="0" collapsed="false">
      <c r="A184" s="31" t="s">
        <v>959</v>
      </c>
    </row>
    <row r="185" customFormat="false" ht="17.15" hidden="false" customHeight="false" outlineLevel="0" collapsed="false">
      <c r="A185" s="6" t="s">
        <v>16</v>
      </c>
      <c r="B185" s="6" t="s">
        <v>17</v>
      </c>
      <c r="C185" s="20" t="s">
        <v>497</v>
      </c>
      <c r="D185" s="20" t="s">
        <v>498</v>
      </c>
      <c r="E185" s="20" t="s">
        <v>580</v>
      </c>
      <c r="F185" s="20" t="s">
        <v>581</v>
      </c>
      <c r="G185" s="20" t="s">
        <v>582</v>
      </c>
      <c r="H185" s="20" t="s">
        <v>583</v>
      </c>
      <c r="I185" s="20" t="s">
        <v>584</v>
      </c>
      <c r="J185" s="20" t="s">
        <v>585</v>
      </c>
      <c r="K185" s="20" t="s">
        <v>586</v>
      </c>
      <c r="L185" s="20" t="s">
        <v>587</v>
      </c>
      <c r="M185" s="20" t="s">
        <v>588</v>
      </c>
      <c r="N185" s="20" t="s">
        <v>589</v>
      </c>
      <c r="O185" s="20" t="s">
        <v>590</v>
      </c>
      <c r="P185" s="6" t="s">
        <v>23</v>
      </c>
      <c r="R185" s="20" t="n">
        <v>2023</v>
      </c>
      <c r="S185" s="20" t="n">
        <v>2024</v>
      </c>
      <c r="T185" s="20" t="n">
        <v>2025</v>
      </c>
      <c r="U185" s="20" t="n">
        <v>2026</v>
      </c>
      <c r="V185" s="20" t="n">
        <v>2027</v>
      </c>
      <c r="W185" s="20" t="n">
        <v>2028</v>
      </c>
      <c r="X185" s="20" t="n">
        <v>2029</v>
      </c>
      <c r="Y185" s="20" t="n">
        <v>2030</v>
      </c>
      <c r="Z185" s="20" t="n">
        <v>2031</v>
      </c>
      <c r="AA185" s="20" t="n">
        <v>2032</v>
      </c>
    </row>
    <row r="186" customFormat="false" ht="17.15" hidden="false" customHeight="false" outlineLevel="0" collapsed="false">
      <c r="A186" s="1" t="s">
        <v>915</v>
      </c>
    </row>
    <row r="187" customFormat="false" ht="17.15" hidden="false" customHeight="false" outlineLevel="0" collapsed="false">
      <c r="A187" s="0" t="s">
        <v>916</v>
      </c>
      <c r="B187" s="0" t="s">
        <v>86</v>
      </c>
      <c r="H187" s="38" t="n">
        <f aca="false">PL!$H$190*(1-tax)</f>
        <v>115.670747112212</v>
      </c>
      <c r="I187" s="38" t="n">
        <f aca="false">PL!$I$190*(1-tax)</f>
        <v>134.971569014162</v>
      </c>
      <c r="J187" s="38" t="n">
        <f aca="false">PL!$J$190*(1-tax)</f>
        <v>153.037627252858</v>
      </c>
      <c r="K187" s="38" t="n">
        <f aca="false">PL!$K$190*(1-tax)</f>
        <v>165.059694001713</v>
      </c>
      <c r="L187" s="38" t="n">
        <f aca="false">PL!$L$190*(1-tax)</f>
        <v>175.594988733139</v>
      </c>
      <c r="M187" s="38" t="n">
        <f aca="false">PL!$M$190*(1-tax)</f>
        <v>184.659961166985</v>
      </c>
    </row>
    <row r="188" customFormat="false" ht="15" hidden="false" customHeight="false" outlineLevel="0" collapsed="false">
      <c r="A188" s="5" t="s">
        <v>917</v>
      </c>
      <c r="B188" s="0" t="s">
        <v>86</v>
      </c>
      <c r="H188" s="38" t="n">
        <f aca="false">PL!$H$201</f>
        <v>78.1799395827871</v>
      </c>
      <c r="I188" s="38" t="n">
        <f aca="false">PL!$I$201</f>
        <v>111.171125554384</v>
      </c>
      <c r="J188" s="38" t="n">
        <f aca="false">PL!$J$201</f>
        <v>144.884406220971</v>
      </c>
      <c r="K188" s="38" t="n">
        <f aca="false">PL!$K$201</f>
        <v>178.806419437999</v>
      </c>
      <c r="L188" s="38" t="n">
        <f aca="false">PL!$L$201</f>
        <v>204.341339029663</v>
      </c>
      <c r="M188" s="38" t="n">
        <f aca="false">PL!$M$201</f>
        <v>223.130577995387</v>
      </c>
    </row>
    <row r="189" customFormat="false" ht="15" hidden="false" customHeight="false" outlineLevel="0" collapsed="false">
      <c r="A189" s="5" t="s">
        <v>918</v>
      </c>
      <c r="B189" s="0" t="s">
        <v>86</v>
      </c>
      <c r="H189" s="38" t="n">
        <f aca="false">CF!$H$86</f>
        <v>273.372679834898</v>
      </c>
      <c r="I189" s="38" t="n">
        <f aca="false">CF!$I$86</f>
        <v>286.981812228425</v>
      </c>
      <c r="J189" s="38" t="n">
        <f aca="false">CF!$J$86</f>
        <v>299.316513378366</v>
      </c>
      <c r="K189" s="38" t="n">
        <f aca="false">CF!$K$86</f>
        <v>251.057145512292</v>
      </c>
      <c r="L189" s="38" t="n">
        <f aca="false">CF!$L$86</f>
        <v>234.696330860396</v>
      </c>
      <c r="M189" s="38" t="n">
        <f aca="false">CF!$M$86</f>
        <v>242.291696043352</v>
      </c>
    </row>
    <row r="190" customFormat="false" ht="15" hidden="false" customHeight="false" outlineLevel="0" collapsed="false">
      <c r="A190" s="5" t="s">
        <v>919</v>
      </c>
      <c r="B190" s="0" t="s">
        <v>86</v>
      </c>
      <c r="H190" s="38" t="n">
        <f aca="false">CF!$H$87</f>
        <v>1.6</v>
      </c>
      <c r="I190" s="38" t="n">
        <f aca="false">CF!$I$87</f>
        <v>1.6</v>
      </c>
      <c r="J190" s="38" t="n">
        <f aca="false">CF!$J$87</f>
        <v>1.6</v>
      </c>
      <c r="K190" s="38" t="n">
        <f aca="false">CF!$K$87</f>
        <v>1.6</v>
      </c>
      <c r="L190" s="38" t="n">
        <f aca="false">CF!$L$87</f>
        <v>1.6</v>
      </c>
      <c r="M190" s="38" t="n">
        <f aca="false">CF!$M$87</f>
        <v>1.6</v>
      </c>
    </row>
    <row r="191" customFormat="false" ht="15" hidden="false" customHeight="false" outlineLevel="0" collapsed="false">
      <c r="A191" s="5" t="s">
        <v>920</v>
      </c>
      <c r="B191" s="0" t="s">
        <v>86</v>
      </c>
      <c r="H191" s="38" t="n">
        <f aca="false">CF!$H$81</f>
        <v>11.2120102974955</v>
      </c>
      <c r="I191" s="38" t="n">
        <f aca="false">CF!$I$81</f>
        <v>12.6449184745984</v>
      </c>
      <c r="J191" s="38" t="n">
        <f aca="false">CF!$J$81</f>
        <v>14.0125411741132</v>
      </c>
      <c r="K191" s="38" t="n">
        <f aca="false">CF!$K$81</f>
        <v>15.2132574586644</v>
      </c>
      <c r="L191" s="38" t="n">
        <f aca="false">CF!$L$81</f>
        <v>16.3540915184104</v>
      </c>
      <c r="M191" s="38" t="n">
        <f aca="false">CF!$M$81</f>
        <v>17.4394166742486</v>
      </c>
    </row>
    <row r="192" customFormat="false" ht="17.15" hidden="false" customHeight="false" outlineLevel="0" collapsed="false">
      <c r="A192" s="1" t="s">
        <v>921</v>
      </c>
      <c r="B192" s="8" t="s">
        <v>86</v>
      </c>
      <c r="H192" s="38" t="n">
        <f aca="false">Val!$H$187+Val!$H$188-Val!$H$189+Val!$H$191</f>
        <v>-68.3099828424037</v>
      </c>
      <c r="I192" s="38" t="n">
        <f aca="false">Val!$I$187+Val!$I$188-Val!$I$189+Val!$I$191</f>
        <v>-28.1941991852805</v>
      </c>
      <c r="J192" s="38" t="n">
        <f aca="false">Val!$J$187+Val!$J$188-Val!$J$189+Val!$J$191</f>
        <v>12.6180612695765</v>
      </c>
      <c r="K192" s="38" t="n">
        <f aca="false">Val!$K$187+Val!$K$188-Val!$K$189+Val!$K$191</f>
        <v>108.022225386085</v>
      </c>
      <c r="L192" s="38" t="n">
        <f aca="false">Val!$L$187+Val!$L$188-Val!$L$189+Val!$L$191</f>
        <v>161.594088420816</v>
      </c>
      <c r="M192" s="38" t="n">
        <f aca="false">Val!$M$187+Val!$M$188-Val!$M$189+Val!$M$191</f>
        <v>182.938259793268</v>
      </c>
    </row>
    <row r="193" customFormat="false" ht="15" hidden="false" customHeight="false" outlineLevel="0" collapsed="false">
      <c r="A193" s="5" t="s">
        <v>922</v>
      </c>
      <c r="B193" s="0" t="s">
        <v>57</v>
      </c>
      <c r="H193" s="40" t="n">
        <f aca="false">1/(1+wacc)^(2027-2026-0.5)</f>
        <v>0.947751320380232</v>
      </c>
      <c r="I193" s="40" t="n">
        <f aca="false">1/(1+wacc)^(2028-2026-0.5)</f>
        <v>0.851301099754987</v>
      </c>
      <c r="J193" s="40" t="n">
        <f aca="false">1/(1+wacc)^(2029-2026-0.5)</f>
        <v>0.764666370660713</v>
      </c>
      <c r="K193" s="40" t="n">
        <f aca="false">1/(1+wacc)^(2030-2026-0.5)</f>
        <v>0.686848235703811</v>
      </c>
      <c r="L193" s="40" t="n">
        <f aca="false">1/(1+wacc)^(2031-2026-0.5)</f>
        <v>0.616949452715975</v>
      </c>
      <c r="M193" s="40" t="n">
        <f aca="false">1/(1+wacc)^(2032-2026-0.5)</f>
        <v>0.554164089562688</v>
      </c>
    </row>
    <row r="194" customFormat="false" ht="15" hidden="false" customHeight="false" outlineLevel="0" collapsed="false">
      <c r="A194" s="5" t="s">
        <v>923</v>
      </c>
      <c r="B194" s="0" t="s">
        <v>86</v>
      </c>
      <c r="H194" s="38" t="n">
        <f aca="false">Val!$H$192*Val!$H$193</f>
        <v>-64.7408764340391</v>
      </c>
      <c r="I194" s="38" t="n">
        <f aca="false">Val!$I$192*Val!$I$193</f>
        <v>-24.0017527731405</v>
      </c>
      <c r="J194" s="38" t="n">
        <f aca="false">Val!$J$192*Val!$J$193</f>
        <v>9.64860711578156</v>
      </c>
      <c r="K194" s="38" t="n">
        <f aca="false">Val!$K$192*Val!$K$193</f>
        <v>74.1948749232317</v>
      </c>
      <c r="L194" s="38" t="n">
        <f aca="false">Val!$L$192*Val!$L$193</f>
        <v>99.6953844133594</v>
      </c>
      <c r="M194" s="38" t="n">
        <f aca="false">Val!$M$192*Val!$M$193</f>
        <v>101.377814184519</v>
      </c>
    </row>
    <row r="195" customFormat="false" ht="15" hidden="false" customHeight="false" outlineLevel="0" collapsed="false">
      <c r="A195" s="5" t="s">
        <v>924</v>
      </c>
      <c r="B195" s="0" t="s">
        <v>86</v>
      </c>
      <c r="C195" s="38" t="n">
        <f aca="false">SUM(Val!$H$194:$M$194)</f>
        <v>196.174051429712</v>
      </c>
    </row>
    <row r="196" customFormat="false" ht="17.15" hidden="false" customHeight="false" outlineLevel="0" collapsed="false">
      <c r="A196" s="5" t="s">
        <v>925</v>
      </c>
      <c r="B196" s="0" t="s">
        <v>86</v>
      </c>
      <c r="C196" s="38" t="n">
        <f aca="false">Val!$M$187*(1+tg)*(1-tg/ronic)/(wacc-tg)</f>
        <v>1678.76510611581</v>
      </c>
    </row>
    <row r="197" customFormat="false" ht="15" hidden="false" customHeight="false" outlineLevel="0" collapsed="false">
      <c r="A197" s="5" t="s">
        <v>926</v>
      </c>
      <c r="B197" s="0" t="s">
        <v>86</v>
      </c>
      <c r="C197" s="38" t="n">
        <f aca="false">Val!$C$196/(1+wacc)^6</f>
        <v>881.703797646566</v>
      </c>
    </row>
    <row r="198" customFormat="false" ht="17.15" hidden="false" customHeight="false" outlineLevel="0" collapsed="false">
      <c r="A198" s="5" t="s">
        <v>927</v>
      </c>
      <c r="B198" s="0" t="s">
        <v>86</v>
      </c>
      <c r="C198" s="38" t="n">
        <f aca="false">Val!$C$195+Val!$C$197</f>
        <v>1077.87784907628</v>
      </c>
    </row>
    <row r="199" customFormat="false" ht="17.15" hidden="false" customHeight="false" outlineLevel="0" collapsed="false">
      <c r="A199" s="5" t="s">
        <v>928</v>
      </c>
      <c r="B199" s="0" t="s">
        <v>52</v>
      </c>
      <c r="C199" s="13" t="n">
        <f aca="false">Val!$C$197/Val!$C$198</f>
        <v>0.817999737541847</v>
      </c>
    </row>
    <row r="200" customFormat="false" ht="17.15" hidden="false" customHeight="false" outlineLevel="0" collapsed="false">
      <c r="A200" s="5" t="s">
        <v>929</v>
      </c>
      <c r="B200" s="0" t="s">
        <v>86</v>
      </c>
      <c r="C200" s="38" t="n">
        <f aca="false">CF!$G$99+fin_debt</f>
        <v>97.9767978731883</v>
      </c>
    </row>
    <row r="201" customFormat="false" ht="17.15" hidden="false" customHeight="false" outlineLevel="0" collapsed="false">
      <c r="A201" s="5" t="s">
        <v>930</v>
      </c>
      <c r="B201" s="0" t="s">
        <v>86</v>
      </c>
      <c r="C201" s="38" t="n">
        <f aca="false">(ant_val*ant_sh+oai_val*oai_sh)*(1-liq_disc)</f>
        <v>178.944</v>
      </c>
    </row>
    <row r="202" customFormat="false" ht="15" hidden="false" customHeight="false" outlineLevel="0" collapsed="false">
      <c r="A202" s="5" t="s">
        <v>931</v>
      </c>
      <c r="B202" s="0" t="s">
        <v>86</v>
      </c>
      <c r="C202" s="38" t="n">
        <f aca="false">Val!$C$198-Val!$C$200+Val!$C$201</f>
        <v>1158.84505120309</v>
      </c>
    </row>
    <row r="203" customFormat="false" ht="17.15" hidden="false" customHeight="false" outlineLevel="0" collapsed="false">
      <c r="A203" s="5" t="s">
        <v>932</v>
      </c>
      <c r="B203" s="0" t="s">
        <v>27</v>
      </c>
      <c r="C203" s="30" t="n">
        <f aca="false">Val!$C$202/sh_out</f>
        <v>107.436613768437</v>
      </c>
    </row>
    <row r="204" customFormat="false" ht="17.15" hidden="false" customHeight="false" outlineLevel="0" collapsed="false">
      <c r="A204" s="1" t="s">
        <v>933</v>
      </c>
      <c r="B204" s="8" t="s">
        <v>27</v>
      </c>
      <c r="C204" s="30" t="n">
        <f aca="false">Val!$C$203*(1+ke)^tp_yf-dps*tp_yf</f>
        <v>117.682719692674</v>
      </c>
    </row>
    <row r="205" customFormat="false" ht="17.15" hidden="false" customHeight="false" outlineLevel="0" collapsed="false">
      <c r="A205" s="3" t="s">
        <v>934</v>
      </c>
    </row>
    <row r="206" customFormat="false" ht="17.15" hidden="false" customHeight="false" outlineLevel="0" collapsed="false">
      <c r="A206" s="5" t="s">
        <v>935</v>
      </c>
      <c r="B206" s="0" t="s">
        <v>86</v>
      </c>
      <c r="C206" s="38" t="n">
        <f aca="false">(1-tp_yf)*(PL!$H$202+sbc_ab*CF!$H$80*Seg!$H$83/Seg!$H$100)+tp_yf*(PL!$I$202+sbc_ab*CF!$I$80*Seg!$I$83/Seg!$I$100)</f>
        <v>59.634664536349</v>
      </c>
    </row>
    <row r="207" customFormat="false" ht="15" hidden="false" customHeight="false" outlineLevel="0" collapsed="false">
      <c r="A207" s="5" t="s">
        <v>936</v>
      </c>
      <c r="B207" s="0" t="s">
        <v>57</v>
      </c>
      <c r="C207" s="30" t="n">
        <f aca="false">m_ads*m_x</f>
        <v>9.11</v>
      </c>
    </row>
    <row r="208" customFormat="false" ht="17.15" hidden="false" customHeight="false" outlineLevel="0" collapsed="false">
      <c r="A208" s="5" t="s">
        <v>937</v>
      </c>
      <c r="B208" s="0" t="s">
        <v>86</v>
      </c>
      <c r="C208" s="38" t="n">
        <f aca="false">Val!$C$206*Val!$C$207</f>
        <v>543.271793926139</v>
      </c>
    </row>
    <row r="209" customFormat="false" ht="17.15" hidden="false" customHeight="false" outlineLevel="0" collapsed="false">
      <c r="A209" s="5" t="s">
        <v>938</v>
      </c>
      <c r="B209" s="0" t="s">
        <v>86</v>
      </c>
      <c r="C209" s="38" t="n">
        <f aca="false">(1-tp_yf)*(PL!$H$203+sbc_ab*CF!$H$80*(Seg!$H$90-Seg!$H$83)/Seg!$H$100+IF(internal_ai_reading=2,1,0)*(1-ext_sh)*Thesis!$H$148)+tp_yf*(PL!$I$203+sbc_ab*CF!$I$80*(Seg!$I$90-Seg!$I$83)/Seg!$I$100+IF(internal_ai_reading=2,1,0)*(1-ext_sh)*Thesis!$I$148)</f>
        <v>51.2224827206816</v>
      </c>
    </row>
    <row r="210" customFormat="false" ht="17.15" hidden="false" customHeight="false" outlineLevel="0" collapsed="false">
      <c r="A210" s="5" t="s">
        <v>939</v>
      </c>
      <c r="B210" s="0" t="s">
        <v>57</v>
      </c>
      <c r="C210" s="30" t="n">
        <f aca="false">m_retail*m_x</f>
        <v>17.72</v>
      </c>
    </row>
    <row r="211" customFormat="false" ht="17.15" hidden="false" customHeight="false" outlineLevel="0" collapsed="false">
      <c r="A211" s="5" t="s">
        <v>940</v>
      </c>
      <c r="B211" s="0" t="s">
        <v>86</v>
      </c>
      <c r="C211" s="38" t="n">
        <f aca="false">Val!$C$209*Val!$C$210</f>
        <v>907.662393810478</v>
      </c>
    </row>
    <row r="212" customFormat="false" ht="17.15" hidden="false" customHeight="false" outlineLevel="0" collapsed="false">
      <c r="A212" s="0" t="s">
        <v>941</v>
      </c>
      <c r="B212" s="0" t="s">
        <v>86</v>
      </c>
      <c r="C212" s="38" t="n">
        <f aca="false">(1-tp_yf)*(PL!$H$204+sbc_ab*CF!$H$80*Seg!$H$98/Seg!$H$100)+tp_yf*(PL!$I$204+sbc_ab*CF!$I$80*Seg!$I$98/Seg!$I$100)</f>
        <v>96.2439586897193</v>
      </c>
    </row>
    <row r="213" customFormat="false" ht="17.15" hidden="false" customHeight="false" outlineLevel="0" collapsed="false">
      <c r="A213" s="0" t="s">
        <v>942</v>
      </c>
      <c r="B213" s="0" t="s">
        <v>57</v>
      </c>
      <c r="C213" s="30" t="n">
        <f aca="false">m_cloud*m_x</f>
        <v>13.82</v>
      </c>
    </row>
    <row r="214" customFormat="false" ht="17.15" hidden="false" customHeight="false" outlineLevel="0" collapsed="false">
      <c r="A214" s="0" t="s">
        <v>943</v>
      </c>
      <c r="B214" s="0" t="s">
        <v>86</v>
      </c>
      <c r="C214" s="38" t="n">
        <f aca="false">Val!$C$212*Val!$C$213</f>
        <v>1330.09150909192</v>
      </c>
    </row>
    <row r="215" customFormat="false" ht="17.15" hidden="false" customHeight="false" outlineLevel="0" collapsed="false">
      <c r="A215" s="0" t="s">
        <v>944</v>
      </c>
      <c r="B215" s="0" t="s">
        <v>86</v>
      </c>
      <c r="H215" s="38" t="n">
        <f aca="false">Thesis!$H$167-tax*Thesis!$H$168-ext_sh*Thesis!$H$155</f>
        <v>-121.458410078612</v>
      </c>
      <c r="I215" s="38" t="n">
        <f aca="false">Thesis!$I$167-tax*Thesis!$I$168-ext_sh*Thesis!$I$155</f>
        <v>-100.918672435092</v>
      </c>
      <c r="J215" s="38" t="n">
        <f aca="false">Thesis!$J$167-tax*Thesis!$J$168-ext_sh*Thesis!$J$155</f>
        <v>-79.4539558931516</v>
      </c>
      <c r="K215" s="38" t="n">
        <f aca="false">Thesis!$K$167-tax*Thesis!$K$168-ext_sh*Thesis!$K$155</f>
        <v>-13.1726252654488</v>
      </c>
      <c r="L215" s="38" t="n">
        <f aca="false">Thesis!$L$167-tax*Thesis!$L$168-ext_sh*Thesis!$L$155</f>
        <v>20.4254820093419</v>
      </c>
      <c r="M215" s="38" t="n">
        <f aca="false">Thesis!$M$167-tax*Thesis!$M$168-ext_sh*Thesis!$M$155</f>
        <v>27.9297337116591</v>
      </c>
    </row>
    <row r="216" customFormat="false" ht="17.15" hidden="false" customHeight="false" outlineLevel="0" collapsed="false">
      <c r="A216" s="5" t="s">
        <v>945</v>
      </c>
      <c r="B216" s="0" t="s">
        <v>86</v>
      </c>
      <c r="H216" s="38" t="n">
        <f aca="false">Val!$H$215*Val!$H$193</f>
        <v>-115.112368523288</v>
      </c>
      <c r="I216" s="38" t="n">
        <f aca="false">Val!$I$215*Val!$I$193</f>
        <v>-85.9121768298074</v>
      </c>
      <c r="J216" s="38" t="n">
        <f aca="false">Val!$J$215*Val!$J$193</f>
        <v>-60.7557680874526</v>
      </c>
      <c r="K216" s="38" t="n">
        <f aca="false">Val!$K$215*Val!$K$193</f>
        <v>-9.04759442316094</v>
      </c>
      <c r="L216" s="38" t="n">
        <f aca="false">Val!$L$215*Val!$L$193</f>
        <v>12.6014899471235</v>
      </c>
      <c r="M216" s="38" t="n">
        <f aca="false">Val!$M$215*Val!$M$193</f>
        <v>15.4776554540499</v>
      </c>
    </row>
    <row r="217" customFormat="false" ht="17.15" hidden="false" customHeight="false" outlineLevel="0" collapsed="false">
      <c r="A217" s="5" t="s">
        <v>946</v>
      </c>
      <c r="B217" s="0" t="s">
        <v>86</v>
      </c>
      <c r="C217" s="38" t="n">
        <f aca="false">Thesis!$M$168*(1-tax)*(1+tg)*(1-tg/ronic)/(wacc-tg)</f>
        <v>147.737295422946</v>
      </c>
    </row>
    <row r="218" customFormat="false" ht="17.15" hidden="false" customHeight="false" outlineLevel="0" collapsed="false">
      <c r="A218" s="0" t="s">
        <v>947</v>
      </c>
      <c r="B218" s="0" t="s">
        <v>86</v>
      </c>
      <c r="C218" s="38" t="n">
        <f aca="false">(SUM(Val!$I$216:$M$216)+Val!$C$217/(1+wacc)^6)*(1+wacc)^tp_yf</f>
        <v>-54.6583789411211</v>
      </c>
    </row>
    <row r="219" customFormat="false" ht="17.15" hidden="false" customHeight="false" outlineLevel="0" collapsed="false">
      <c r="A219" s="5" t="s">
        <v>948</v>
      </c>
      <c r="B219" s="0" t="s">
        <v>86</v>
      </c>
      <c r="C219" s="38" t="n">
        <f aca="false">(1-tp_yf)*(PL!$H$205)+tp_yf*(PL!$I$205)</f>
        <v>62.206266041067</v>
      </c>
    </row>
    <row r="220" customFormat="false" ht="17.15" hidden="false" customHeight="false" outlineLevel="0" collapsed="false">
      <c r="A220" s="5" t="s">
        <v>949</v>
      </c>
      <c r="B220" s="0" t="s">
        <v>86</v>
      </c>
      <c r="C220" s="38" t="n">
        <f aca="false">Val!$C$219*m_ai</f>
        <v>373.237596246402</v>
      </c>
    </row>
    <row r="221" customFormat="false" ht="17.15" hidden="false" customHeight="false" outlineLevel="0" collapsed="false">
      <c r="A221" s="0" t="s">
        <v>950</v>
      </c>
      <c r="B221" s="0" t="s">
        <v>86</v>
      </c>
      <c r="C221" s="38" t="n">
        <f aca="false">IF(ai_leg=1,Val!$C$218,Val!$C$220)</f>
        <v>-54.6583789411211</v>
      </c>
    </row>
    <row r="222" customFormat="false" ht="17.15" hidden="false" customHeight="false" outlineLevel="0" collapsed="false">
      <c r="A222" s="5" t="s">
        <v>951</v>
      </c>
      <c r="B222" s="0" t="s">
        <v>86</v>
      </c>
      <c r="C222" s="38" t="n">
        <f aca="false">Val!$C$208+Val!$C$211+Val!$C$214+Val!$C$221</f>
        <v>2726.36731788742</v>
      </c>
    </row>
    <row r="223" customFormat="false" ht="17.15" hidden="false" customHeight="false" outlineLevel="0" collapsed="false">
      <c r="A223" s="5" t="s">
        <v>952</v>
      </c>
      <c r="B223" s="0" t="s">
        <v>86</v>
      </c>
      <c r="C223" s="38" t="n">
        <f aca="false">CF!$H$99+fin_debt</f>
        <v>160.168296988665</v>
      </c>
    </row>
    <row r="224" customFormat="false" ht="15" hidden="false" customHeight="false" outlineLevel="0" collapsed="false">
      <c r="A224" s="5" t="s">
        <v>953</v>
      </c>
      <c r="B224" s="0" t="s">
        <v>86</v>
      </c>
      <c r="C224" s="38" t="n">
        <f aca="false">Val!$C$222-Val!$C$223+Val!$C$201</f>
        <v>2745.14302089875</v>
      </c>
    </row>
    <row r="225" customFormat="false" ht="15" hidden="false" customHeight="false" outlineLevel="0" collapsed="false">
      <c r="A225" s="3" t="s">
        <v>954</v>
      </c>
      <c r="B225" s="8" t="s">
        <v>27</v>
      </c>
      <c r="C225" s="30" t="n">
        <f aca="false">Val!$C$224/sh_val</f>
        <v>248.872608785095</v>
      </c>
    </row>
    <row r="226" customFormat="false" ht="17.15" hidden="false" customHeight="false" outlineLevel="0" collapsed="false">
      <c r="A226" s="47" t="s">
        <v>955</v>
      </c>
      <c r="B226" s="14" t="s">
        <v>27</v>
      </c>
      <c r="C226" s="44" t="n">
        <f aca="false">w_dcf*Val!$C$204+(1-w_dcf)*Val!$C$225</f>
        <v>183.277664238884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</row>
    <row r="227" customFormat="false" ht="17.15" hidden="false" customHeight="false" outlineLevel="0" collapsed="false">
      <c r="A227" s="5" t="s">
        <v>956</v>
      </c>
      <c r="B227" s="0" t="s">
        <v>27</v>
      </c>
      <c r="C227" s="30" t="n">
        <f aca="false">v022_wdcf*Val!$C$204+(1-v022_wdcf)*Val!$C$225</f>
        <v>189.837158693505</v>
      </c>
    </row>
    <row r="228" customFormat="false" ht="17.15" hidden="false" customHeight="false" outlineLevel="0" collapsed="false">
      <c r="A228" s="5" t="s">
        <v>957</v>
      </c>
      <c r="B228" s="0" t="s">
        <v>27</v>
      </c>
      <c r="C228" s="30" t="n">
        <f aca="false">(Val!$C$224-Val!$C$221+Val!$C$220)/sh_val</f>
        <v>287.665337186799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3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960</v>
      </c>
    </row>
    <row r="3" customFormat="false" ht="17.15" hidden="false" customHeight="false" outlineLevel="0" collapsed="false">
      <c r="A3" s="6" t="s">
        <v>16</v>
      </c>
      <c r="B3" s="6" t="s">
        <v>961</v>
      </c>
      <c r="C3" s="6" t="s">
        <v>962</v>
      </c>
      <c r="D3" s="6" t="s">
        <v>963</v>
      </c>
      <c r="E3" s="6" t="s">
        <v>964</v>
      </c>
      <c r="F3" s="6" t="s">
        <v>965</v>
      </c>
      <c r="G3" s="6" t="s">
        <v>22</v>
      </c>
      <c r="H3" s="6" t="s">
        <v>23</v>
      </c>
    </row>
    <row r="4" customFormat="false" ht="17.15" hidden="false" customHeight="false" outlineLevel="0" collapsed="false">
      <c r="A4" s="1" t="s">
        <v>966</v>
      </c>
    </row>
    <row r="5" customFormat="false" ht="17.15" hidden="false" customHeight="false" outlineLevel="0" collapsed="false">
      <c r="A5" s="0" t="s">
        <v>967</v>
      </c>
      <c r="B5" s="46" t="n">
        <f aca="false">c_rev26</f>
        <v>828.285</v>
      </c>
      <c r="C5" s="46" t="n">
        <f aca="false">PL!$G$27</f>
        <v>820.713174060996</v>
      </c>
      <c r="D5" s="46" t="n">
        <f aca="false">PL!$G$97</f>
        <v>817.905975084504</v>
      </c>
      <c r="E5" s="46" t="n">
        <f aca="false">PL!$G$167</f>
        <v>817.079958748117</v>
      </c>
      <c r="F5" s="13" t="n">
        <f aca="false">D5/B5-1</f>
        <v>-0.0125307411283506</v>
      </c>
      <c r="G5" s="8" t="s">
        <v>968</v>
      </c>
      <c r="H5" s="8" t="s">
        <v>969</v>
      </c>
    </row>
    <row r="6" customFormat="false" ht="17.15" hidden="false" customHeight="false" outlineLevel="0" collapsed="false">
      <c r="A6" s="0" t="s">
        <v>970</v>
      </c>
      <c r="B6" s="46" t="n">
        <f aca="false">c_sprev26</f>
        <v>828.74</v>
      </c>
      <c r="C6" s="46" t="n">
        <f aca="false">PL!$G$27</f>
        <v>820.713174060996</v>
      </c>
      <c r="D6" s="46" t="n">
        <f aca="false">PL!$G$97</f>
        <v>817.905975084504</v>
      </c>
      <c r="E6" s="46" t="n">
        <f aca="false">PL!$G$167</f>
        <v>817.079958748117</v>
      </c>
      <c r="F6" s="13" t="n">
        <f aca="false">D6/B6-1</f>
        <v>-0.0130728876553514</v>
      </c>
      <c r="G6" s="8" t="s">
        <v>971</v>
      </c>
    </row>
    <row r="7" customFormat="false" ht="17.15" hidden="false" customHeight="false" outlineLevel="0" collapsed="false">
      <c r="A7" s="0" t="s">
        <v>972</v>
      </c>
      <c r="B7" s="46" t="n">
        <f aca="false">c_ebitda26</f>
        <v>216.957</v>
      </c>
      <c r="C7" s="46" t="n">
        <f aca="false">PL!$G$66</f>
        <v>165.68634891659</v>
      </c>
      <c r="D7" s="46" t="n">
        <f aca="false">PL!$G$136</f>
        <v>162.913633789483</v>
      </c>
      <c r="E7" s="46" t="n">
        <f aca="false">PL!$G$206</f>
        <v>162.087617453096</v>
      </c>
      <c r="F7" s="13" t="n">
        <f aca="false">D7/B7-1</f>
        <v>-0.249097130816325</v>
      </c>
      <c r="G7" s="8" t="s">
        <v>968</v>
      </c>
      <c r="H7" s="5" t="s">
        <v>973</v>
      </c>
    </row>
    <row r="8" customFormat="false" ht="17.15" hidden="false" customHeight="false" outlineLevel="0" collapsed="false">
      <c r="A8" s="0" t="s">
        <v>974</v>
      </c>
      <c r="B8" s="46" t="n">
        <f aca="false">c_ebit26</f>
        <v>109.867</v>
      </c>
      <c r="C8" s="46" t="n">
        <f aca="false">PL!$G$47</f>
        <v>110.776206753962</v>
      </c>
      <c r="D8" s="46" t="n">
        <f aca="false">PL!$G$117</f>
        <v>108.003491626854</v>
      </c>
      <c r="E8" s="46" t="n">
        <f aca="false">PL!$G$187</f>
        <v>107.177475290467</v>
      </c>
      <c r="F8" s="13" t="n">
        <f aca="false">D8/B8-1</f>
        <v>-0.0169614931976472</v>
      </c>
      <c r="G8" s="8" t="s">
        <v>968</v>
      </c>
    </row>
    <row r="9" customFormat="false" ht="17.15" hidden="false" customHeight="false" outlineLevel="0" collapsed="false">
      <c r="A9" s="0" t="s">
        <v>975</v>
      </c>
      <c r="B9" s="46" t="n">
        <f aca="false">c_ni26</f>
        <v>140.133</v>
      </c>
      <c r="C9" s="46" t="n">
        <f aca="false">PL!$G$73</f>
        <v>141.498797574928</v>
      </c>
      <c r="D9" s="46" t="n">
        <f aca="false">PL!$G$143</f>
        <v>139.207382890614</v>
      </c>
      <c r="E9" s="46" t="n">
        <f aca="false">PL!$G$213</f>
        <v>138.524750208961</v>
      </c>
      <c r="F9" s="13" t="n">
        <f aca="false">D9/B9-1</f>
        <v>-0.00660527576934522</v>
      </c>
      <c r="G9" s="8" t="s">
        <v>968</v>
      </c>
      <c r="H9" s="5" t="s">
        <v>976</v>
      </c>
    </row>
    <row r="10" customFormat="false" ht="17.15" hidden="false" customHeight="false" outlineLevel="0" collapsed="false">
      <c r="A10" s="0" t="s">
        <v>977</v>
      </c>
      <c r="B10" s="30" t="n">
        <f aca="false">c_eps26</f>
        <v>12.88</v>
      </c>
      <c r="C10" s="30" t="n">
        <f aca="false">PL!$G$77</f>
        <v>12.9520650137795</v>
      </c>
      <c r="D10" s="30" t="n">
        <f aca="false">PL!$G$147</f>
        <v>12.7423208147233</v>
      </c>
      <c r="E10" s="30" t="n">
        <f aca="false">PL!$G$217</f>
        <v>12.6798361645013</v>
      </c>
      <c r="F10" s="13" t="n">
        <f aca="false">D10/B10-1</f>
        <v>-0.0106893777388718</v>
      </c>
      <c r="G10" s="8" t="s">
        <v>968</v>
      </c>
    </row>
    <row r="11" customFormat="false" ht="17.15" hidden="false" customHeight="false" outlineLevel="0" collapsed="false">
      <c r="A11" s="0" t="s">
        <v>978</v>
      </c>
      <c r="B11" s="30" t="n">
        <f aca="false">c_speps26</f>
        <v>7.92</v>
      </c>
      <c r="C11" s="30" t="n">
        <f aca="false">PL!$G$78</f>
        <v>7.5439968958825</v>
      </c>
      <c r="D11" s="30" t="n">
        <f aca="false">PL!$G$148</f>
        <v>7.33425269682635</v>
      </c>
      <c r="E11" s="30" t="n">
        <f aca="false">PL!$G$218</f>
        <v>7.2717680466043</v>
      </c>
      <c r="F11" s="13" t="n">
        <f aca="false">D11/B11-1</f>
        <v>-0.0739579928249554</v>
      </c>
      <c r="G11" s="8" t="s">
        <v>979</v>
      </c>
      <c r="H11" s="5" t="s">
        <v>980</v>
      </c>
    </row>
    <row r="12" customFormat="false" ht="17.15" hidden="false" customHeight="false" outlineLevel="0" collapsed="false">
      <c r="A12" s="0" t="s">
        <v>981</v>
      </c>
      <c r="B12" s="46" t="n">
        <f aca="false">c_capex26</f>
        <v>220.5</v>
      </c>
      <c r="C12" s="46" t="n">
        <f aca="false">CF!$G$24</f>
        <v>230.145477783787</v>
      </c>
      <c r="D12" s="46" t="n">
        <f aca="false">CF!$G$55</f>
        <v>227.531579528287</v>
      </c>
      <c r="E12" s="46" t="n">
        <f aca="false">CF!$G$86</f>
        <v>227.531579528287</v>
      </c>
      <c r="F12" s="13" t="n">
        <f aca="false">D12/B12-1</f>
        <v>0.0318892495613905</v>
      </c>
      <c r="G12" s="8" t="s">
        <v>968</v>
      </c>
    </row>
    <row r="13" customFormat="false" ht="17.15" hidden="false" customHeight="false" outlineLevel="0" collapsed="false">
      <c r="A13" s="0" t="s">
        <v>982</v>
      </c>
      <c r="B13" s="46" t="n">
        <f aca="false">c_fcf26</f>
        <v>-34.027</v>
      </c>
      <c r="C13" s="46" t="n">
        <f aca="false">CF!$G$26</f>
        <v>-67.3456411607027</v>
      </c>
      <c r="D13" s="46" t="n">
        <f aca="false">CF!$G$57</f>
        <v>-67.1266983848813</v>
      </c>
      <c r="E13" s="46" t="n">
        <f aca="false">CF!$G$88</f>
        <v>-67.8397978731883</v>
      </c>
      <c r="G13" s="8" t="s">
        <v>968</v>
      </c>
      <c r="H13" s="5" t="s">
        <v>983</v>
      </c>
    </row>
    <row r="14" customFormat="false" ht="17.15" hidden="false" customHeight="false" outlineLevel="0" collapsed="false">
      <c r="A14" s="0" t="s">
        <v>984</v>
      </c>
      <c r="B14" s="46" t="n">
        <f aca="false">c_rev27</f>
        <v>947.853</v>
      </c>
      <c r="C14" s="46" t="n">
        <f aca="false">PL!$H$27</f>
        <v>965.197840607213</v>
      </c>
      <c r="D14" s="46" t="n">
        <f aca="false">PL!$H$97</f>
        <v>942.279857350364</v>
      </c>
      <c r="E14" s="46" t="n">
        <f aca="false">PL!$H$167</f>
        <v>935.536256798453</v>
      </c>
      <c r="F14" s="13" t="n">
        <f aca="false">D14/B14-1</f>
        <v>-0.00587975419145803</v>
      </c>
      <c r="G14" s="8" t="s">
        <v>968</v>
      </c>
      <c r="H14" s="8" t="s">
        <v>969</v>
      </c>
    </row>
    <row r="15" customFormat="false" ht="17.15" hidden="false" customHeight="false" outlineLevel="0" collapsed="false">
      <c r="A15" s="0" t="s">
        <v>985</v>
      </c>
      <c r="B15" s="46" t="n">
        <f aca="false">c_sprev27</f>
        <v>949.92</v>
      </c>
      <c r="C15" s="46" t="n">
        <f aca="false">PL!$H$27</f>
        <v>965.197840607213</v>
      </c>
      <c r="D15" s="46" t="n">
        <f aca="false">PL!$H$97</f>
        <v>942.279857350364</v>
      </c>
      <c r="E15" s="46" t="n">
        <f aca="false">PL!$H$167</f>
        <v>935.536256798453</v>
      </c>
      <c r="F15" s="13" t="n">
        <f aca="false">D15/B15-1</f>
        <v>-0.00804293272026713</v>
      </c>
      <c r="G15" s="8" t="s">
        <v>971</v>
      </c>
    </row>
    <row r="16" customFormat="false" ht="17.15" hidden="false" customHeight="false" outlineLevel="0" collapsed="false">
      <c r="A16" s="0" t="s">
        <v>986</v>
      </c>
      <c r="B16" s="46" t="n">
        <f aca="false">c_ebitda27</f>
        <v>273.452</v>
      </c>
      <c r="C16" s="46" t="n">
        <f aca="false">PL!$H$66</f>
        <v>232.366640240199</v>
      </c>
      <c r="D16" s="46" t="n">
        <f aca="false">PL!$H$136</f>
        <v>209.726807352288</v>
      </c>
      <c r="E16" s="46" t="n">
        <f aca="false">PL!$H$206</f>
        <v>202.983206800377</v>
      </c>
      <c r="F16" s="13" t="n">
        <f aca="false">D16/B16-1</f>
        <v>-0.233039775345259</v>
      </c>
      <c r="G16" s="8" t="s">
        <v>968</v>
      </c>
      <c r="H16" s="5" t="s">
        <v>973</v>
      </c>
    </row>
    <row r="17" customFormat="false" ht="17.15" hidden="false" customHeight="false" outlineLevel="0" collapsed="false">
      <c r="A17" s="0" t="s">
        <v>987</v>
      </c>
      <c r="B17" s="46" t="n">
        <f aca="false">c_ebit27</f>
        <v>140.372</v>
      </c>
      <c r="C17" s="46" t="n">
        <f aca="false">PL!$H$47</f>
        <v>153.823998473161</v>
      </c>
      <c r="D17" s="46" t="n">
        <f aca="false">PL!$H$117</f>
        <v>131.546867769501</v>
      </c>
      <c r="E17" s="46" t="n">
        <f aca="false">PL!$H$187</f>
        <v>124.80326721759</v>
      </c>
      <c r="F17" s="13" t="n">
        <f aca="false">D17/B17-1</f>
        <v>-0.0628696052667126</v>
      </c>
      <c r="G17" s="8" t="s">
        <v>968</v>
      </c>
    </row>
    <row r="18" customFormat="false" ht="17.15" hidden="false" customHeight="false" outlineLevel="0" collapsed="false">
      <c r="A18" s="0" t="s">
        <v>988</v>
      </c>
      <c r="B18" s="46" t="n">
        <f aca="false">c_ni27</f>
        <v>115.541</v>
      </c>
      <c r="C18" s="46" t="n">
        <f aca="false">PL!$H$73</f>
        <v>124.095280499927</v>
      </c>
      <c r="D18" s="46" t="n">
        <f aca="false">PL!$H$143</f>
        <v>105.69273570526</v>
      </c>
      <c r="E18" s="46" t="n">
        <f aca="false">PL!$H$213</f>
        <v>100.094899073714</v>
      </c>
      <c r="F18" s="13" t="n">
        <f aca="false">D18/B18-1</f>
        <v>-0.085236100559455</v>
      </c>
      <c r="G18" s="8" t="s">
        <v>968</v>
      </c>
      <c r="H18" s="5" t="s">
        <v>976</v>
      </c>
    </row>
    <row r="19" customFormat="false" ht="17.15" hidden="false" customHeight="false" outlineLevel="0" collapsed="false">
      <c r="A19" s="0" t="s">
        <v>989</v>
      </c>
      <c r="B19" s="30" t="n">
        <f aca="false">c_eps27</f>
        <v>10.51</v>
      </c>
      <c r="C19" s="30" t="n">
        <f aca="false">PL!$H$77</f>
        <v>11.2688863602114</v>
      </c>
      <c r="D19" s="30" t="n">
        <f aca="false">PL!$H$147</f>
        <v>9.59778182509639</v>
      </c>
      <c r="E19" s="30" t="n">
        <f aca="false">PL!$H$217</f>
        <v>9.0894515758734</v>
      </c>
      <c r="F19" s="13" t="n">
        <f aca="false">D19/B19-1</f>
        <v>-0.086795259267708</v>
      </c>
      <c r="G19" s="8" t="s">
        <v>968</v>
      </c>
    </row>
    <row r="20" customFormat="false" ht="17.15" hidden="false" customHeight="false" outlineLevel="0" collapsed="false">
      <c r="A20" s="0" t="s">
        <v>990</v>
      </c>
      <c r="B20" s="30" t="n">
        <f aca="false">c_speps27</f>
        <v>10.43</v>
      </c>
      <c r="C20" s="30" t="n">
        <f aca="false">PL!$H$78</f>
        <v>11.2688863602114</v>
      </c>
      <c r="D20" s="30" t="n">
        <f aca="false">PL!$H$148</f>
        <v>9.59778182509639</v>
      </c>
      <c r="E20" s="30" t="n">
        <f aca="false">PL!$H$218</f>
        <v>9.0894515758734</v>
      </c>
      <c r="F20" s="13" t="n">
        <f aca="false">D20/B20-1</f>
        <v>-0.0797908125506818</v>
      </c>
      <c r="G20" s="8" t="s">
        <v>979</v>
      </c>
      <c r="H20" s="5" t="s">
        <v>980</v>
      </c>
    </row>
    <row r="21" customFormat="false" ht="17.15" hidden="false" customHeight="false" outlineLevel="0" collapsed="false">
      <c r="A21" s="0" t="s">
        <v>991</v>
      </c>
      <c r="B21" s="46" t="n">
        <f aca="false">c_capex27</f>
        <v>275.063</v>
      </c>
      <c r="C21" s="46" t="n">
        <f aca="false">CF!$H$24</f>
        <v>278.765463512648</v>
      </c>
      <c r="D21" s="46" t="n">
        <f aca="false">CF!$H$55</f>
        <v>273.372679834898</v>
      </c>
      <c r="E21" s="46" t="n">
        <f aca="false">CF!$H$86</f>
        <v>273.372679834898</v>
      </c>
      <c r="F21" s="13" t="n">
        <f aca="false">D21/B21-1</f>
        <v>-0.00614521097022069</v>
      </c>
      <c r="G21" s="8" t="s">
        <v>968</v>
      </c>
    </row>
    <row r="22" customFormat="false" ht="17.15" hidden="false" customHeight="false" outlineLevel="0" collapsed="false">
      <c r="A22" s="0" t="s">
        <v>992</v>
      </c>
      <c r="B22" s="46" t="n">
        <f aca="false">c_fcf27</f>
        <v>-5.631</v>
      </c>
      <c r="C22" s="46" t="n">
        <f aca="false">CF!$H$26</f>
        <v>-42.1271606037179</v>
      </c>
      <c r="D22" s="46" t="n">
        <f aca="false">CF!$H$57</f>
        <v>-56.3449313570613</v>
      </c>
      <c r="E22" s="46" t="n">
        <f aca="false">CF!$H$88</f>
        <v>-62.1914991154763</v>
      </c>
      <c r="G22" s="8" t="s">
        <v>968</v>
      </c>
      <c r="H22" s="5" t="s">
        <v>983</v>
      </c>
    </row>
    <row r="23" customFormat="false" ht="17.15" hidden="false" customHeight="false" outlineLevel="0" collapsed="false">
      <c r="A23" s="0" t="s">
        <v>993</v>
      </c>
      <c r="B23" s="46" t="n">
        <f aca="false">c_rev28</f>
        <v>1097.389</v>
      </c>
      <c r="C23" s="46" t="n">
        <f aca="false">PL!$I$27</f>
        <v>1115.37544263598</v>
      </c>
      <c r="D23" s="46" t="n">
        <f aca="false">PL!$I$97</f>
        <v>1068.80284981042</v>
      </c>
      <c r="E23" s="46" t="n">
        <f aca="false">PL!$I$167</f>
        <v>1055.09889692929</v>
      </c>
      <c r="F23" s="13" t="n">
        <f aca="false">D23/B23-1</f>
        <v>-0.0260492406881963</v>
      </c>
      <c r="G23" s="8" t="s">
        <v>968</v>
      </c>
      <c r="H23" s="8" t="s">
        <v>969</v>
      </c>
    </row>
    <row r="24" customFormat="false" ht="17.15" hidden="false" customHeight="false" outlineLevel="0" collapsed="false">
      <c r="A24" s="0" t="s">
        <v>994</v>
      </c>
      <c r="B24" s="46" t="n">
        <f aca="false">c_ebitda28</f>
        <v>355.29</v>
      </c>
      <c r="C24" s="46" t="n">
        <f aca="false">PL!$I$66</f>
        <v>308.627525527209</v>
      </c>
      <c r="D24" s="46" t="n">
        <f aca="false">PL!$I$136</f>
        <v>262.61488075771</v>
      </c>
      <c r="E24" s="46" t="n">
        <f aca="false">PL!$I$206</f>
        <v>248.910927876579</v>
      </c>
      <c r="F24" s="13" t="n">
        <f aca="false">D24/B24-1</f>
        <v>-0.260843590425541</v>
      </c>
      <c r="G24" s="8" t="s">
        <v>968</v>
      </c>
      <c r="H24" s="5" t="s">
        <v>973</v>
      </c>
    </row>
    <row r="25" customFormat="false" ht="17.15" hidden="false" customHeight="false" outlineLevel="0" collapsed="false">
      <c r="A25" s="0" t="s">
        <v>995</v>
      </c>
      <c r="B25" s="46" t="n">
        <f aca="false">c_ebit28</f>
        <v>182.749</v>
      </c>
      <c r="C25" s="46" t="n">
        <f aca="false">PL!$I$47</f>
        <v>196.340795558949</v>
      </c>
      <c r="D25" s="46" t="n">
        <f aca="false">PL!$I$117</f>
        <v>151.443755203325</v>
      </c>
      <c r="E25" s="46" t="n">
        <f aca="false">PL!$I$187</f>
        <v>137.739802322194</v>
      </c>
      <c r="F25" s="13" t="n">
        <f aca="false">D25/B25-1</f>
        <v>-0.171301866476286</v>
      </c>
      <c r="G25" s="8" t="s">
        <v>968</v>
      </c>
    </row>
    <row r="26" customFormat="false" ht="17.15" hidden="false" customHeight="false" outlineLevel="0" collapsed="false">
      <c r="A26" s="0" t="s">
        <v>996</v>
      </c>
      <c r="B26" s="46" t="n">
        <f aca="false">c_ni28</f>
        <v>147.701</v>
      </c>
      <c r="C26" s="46" t="n">
        <f aca="false">PL!$I$73</f>
        <v>157.715721926591</v>
      </c>
      <c r="D26" s="46" t="n">
        <f aca="false">PL!$I$143</f>
        <v>119.879804986231</v>
      </c>
      <c r="E26" s="46" t="n">
        <f aca="false">PL!$I$213</f>
        <v>108.211496313341</v>
      </c>
      <c r="F26" s="13" t="n">
        <f aca="false">D26/B26-1</f>
        <v>-0.188361588708058</v>
      </c>
      <c r="G26" s="8" t="s">
        <v>968</v>
      </c>
      <c r="H26" s="5" t="s">
        <v>976</v>
      </c>
    </row>
    <row r="27" customFormat="false" ht="17.15" hidden="false" customHeight="false" outlineLevel="0" collapsed="false">
      <c r="A27" s="0" t="s">
        <v>997</v>
      </c>
      <c r="B27" s="30" t="n">
        <f aca="false">c_eps28</f>
        <v>13.81</v>
      </c>
      <c r="C27" s="30" t="n">
        <f aca="false">PL!$I$77</f>
        <v>14.2082369235548</v>
      </c>
      <c r="D27" s="30" t="n">
        <f aca="false">PL!$I$147</f>
        <v>10.799688520506</v>
      </c>
      <c r="E27" s="30" t="n">
        <f aca="false">PL!$I$217</f>
        <v>9.74851814829191</v>
      </c>
      <c r="F27" s="13" t="n">
        <f aca="false">D27/B27-1</f>
        <v>-0.217980556082113</v>
      </c>
      <c r="G27" s="8" t="s">
        <v>968</v>
      </c>
    </row>
    <row r="28" customFormat="false" ht="17.15" hidden="false" customHeight="false" outlineLevel="0" collapsed="false">
      <c r="A28" s="0" t="s">
        <v>998</v>
      </c>
      <c r="B28" s="46" t="n">
        <f aca="false">c_capex28</f>
        <v>292.927</v>
      </c>
      <c r="C28" s="46" t="n">
        <f aca="false">CF!$I$24</f>
        <v>292.539583072925</v>
      </c>
      <c r="D28" s="46" t="n">
        <f aca="false">CF!$I$55</f>
        <v>286.981812228425</v>
      </c>
      <c r="E28" s="46" t="n">
        <f aca="false">CF!$I$86</f>
        <v>286.981812228425</v>
      </c>
      <c r="F28" s="13" t="n">
        <f aca="false">D28/B28-1</f>
        <v>-0.0202957998804311</v>
      </c>
      <c r="G28" s="8" t="s">
        <v>968</v>
      </c>
    </row>
    <row r="29" customFormat="false" ht="17.15" hidden="false" customHeight="false" outlineLevel="0" collapsed="false">
      <c r="A29" s="0" t="s">
        <v>999</v>
      </c>
      <c r="B29" s="46" t="n">
        <f aca="false">c_fcf28</f>
        <v>41.402</v>
      </c>
      <c r="C29" s="46" t="n">
        <f aca="false">CF!$I$26</f>
        <v>17.002403791836</v>
      </c>
      <c r="D29" s="46" t="n">
        <f aca="false">CF!$I$57</f>
        <v>-18.1091313650653</v>
      </c>
      <c r="E29" s="46" t="n">
        <f aca="false">CF!$I$88</f>
        <v>-30.2828969695217</v>
      </c>
      <c r="G29" s="8" t="s">
        <v>968</v>
      </c>
      <c r="H29" s="5" t="s">
        <v>983</v>
      </c>
    </row>
    <row r="30" customFormat="false" ht="17.15" hidden="false" customHeight="false" outlineLevel="0" collapsed="false">
      <c r="A30" s="1" t="s">
        <v>1000</v>
      </c>
    </row>
    <row r="31" customFormat="false" ht="15" hidden="false" customHeight="false" outlineLevel="0" collapsed="false">
      <c r="A31" s="0" t="s">
        <v>1001</v>
      </c>
      <c r="B31" s="53" t="s">
        <v>1002</v>
      </c>
      <c r="C31" s="46" t="n">
        <f aca="false">PL!$G$22</f>
        <v>470.959773480586</v>
      </c>
      <c r="D31" s="46" t="n">
        <f aca="false">PL!$G$92</f>
        <v>470.959773480586</v>
      </c>
      <c r="E31" s="46" t="n">
        <f aca="false">PL!$G$162</f>
        <v>470.959773480586</v>
      </c>
      <c r="G31" s="5" t="s">
        <v>1003</v>
      </c>
    </row>
    <row r="32" customFormat="false" ht="15" hidden="false" customHeight="false" outlineLevel="0" collapsed="false">
      <c r="A32" s="0" t="s">
        <v>1004</v>
      </c>
      <c r="B32" s="53" t="s">
        <v>1002</v>
      </c>
      <c r="C32" s="46" t="n">
        <f aca="false">PL!$H$22</f>
        <v>521.386990416437</v>
      </c>
      <c r="D32" s="46" t="n">
        <f aca="false">PL!$H$92</f>
        <v>521.386990416437</v>
      </c>
      <c r="E32" s="46" t="n">
        <f aca="false">PL!$H$162</f>
        <v>521.386990416437</v>
      </c>
      <c r="G32" s="5" t="s">
        <v>1003</v>
      </c>
    </row>
    <row r="33" customFormat="false" ht="15" hidden="false" customHeight="false" outlineLevel="0" collapsed="false">
      <c r="A33" s="0" t="s">
        <v>1005</v>
      </c>
      <c r="B33" s="53" t="s">
        <v>1002</v>
      </c>
      <c r="C33" s="46" t="n">
        <f aca="false">PL!$G$23</f>
        <v>180.394468164951</v>
      </c>
      <c r="D33" s="46" t="n">
        <f aca="false">PL!$G$93</f>
        <v>180.394468164951</v>
      </c>
      <c r="E33" s="46" t="n">
        <f aca="false">PL!$G$163</f>
        <v>180.394468164951</v>
      </c>
      <c r="G33" s="5" t="s">
        <v>1003</v>
      </c>
    </row>
    <row r="34" customFormat="false" ht="15" hidden="false" customHeight="false" outlineLevel="0" collapsed="false">
      <c r="A34" s="0" t="s">
        <v>1006</v>
      </c>
      <c r="B34" s="53" t="s">
        <v>1002</v>
      </c>
      <c r="C34" s="46" t="n">
        <f aca="false">PL!$H$23</f>
        <v>199.709899104949</v>
      </c>
      <c r="D34" s="46" t="n">
        <f aca="false">PL!$H$93</f>
        <v>199.709899104949</v>
      </c>
      <c r="E34" s="46" t="n">
        <f aca="false">PL!$H$163</f>
        <v>199.709899104949</v>
      </c>
      <c r="G34" s="5" t="s">
        <v>1003</v>
      </c>
    </row>
    <row r="35" customFormat="false" ht="15" hidden="false" customHeight="false" outlineLevel="0" collapsed="false">
      <c r="A35" s="0" t="s">
        <v>1007</v>
      </c>
      <c r="B35" s="53" t="s">
        <v>1002</v>
      </c>
      <c r="C35" s="46" t="n">
        <f aca="false">PL!$G$24</f>
        <v>169.358932415459</v>
      </c>
      <c r="D35" s="46" t="n">
        <f aca="false">PL!$G$94</f>
        <v>166.551733438967</v>
      </c>
      <c r="E35" s="46" t="n">
        <f aca="false">PL!$G$164</f>
        <v>165.72571710258</v>
      </c>
      <c r="G35" s="5" t="s">
        <v>1003</v>
      </c>
    </row>
    <row r="36" customFormat="false" ht="15" hidden="false" customHeight="false" outlineLevel="0" collapsed="false">
      <c r="A36" s="0" t="s">
        <v>1008</v>
      </c>
      <c r="B36" s="53" t="s">
        <v>1002</v>
      </c>
      <c r="C36" s="46" t="n">
        <f aca="false">PL!$H$24</f>
        <v>244.100951085827</v>
      </c>
      <c r="D36" s="46" t="n">
        <f aca="false">PL!$H$94</f>
        <v>221.182967828978</v>
      </c>
      <c r="E36" s="46" t="n">
        <f aca="false">PL!$H$164</f>
        <v>214.439367277066</v>
      </c>
      <c r="G36" s="5" t="s">
        <v>1003</v>
      </c>
    </row>
    <row r="37" customFormat="false" ht="15" hidden="false" customHeight="false" outlineLevel="0" collapsed="false">
      <c r="A37" s="0" t="s">
        <v>1009</v>
      </c>
      <c r="B37" s="53" t="s">
        <v>1002</v>
      </c>
      <c r="C37" s="46" t="n">
        <f aca="false">PL!$G$18</f>
        <v>83.2092219944148</v>
      </c>
      <c r="D37" s="46" t="n">
        <f aca="false">PL!$G$88</f>
        <v>83.2092219944148</v>
      </c>
      <c r="E37" s="46" t="n">
        <f aca="false">PL!$G$158</f>
        <v>83.2092219944148</v>
      </c>
      <c r="G37" s="5" t="s">
        <v>1003</v>
      </c>
    </row>
    <row r="38" customFormat="false" ht="15" hidden="false" customHeight="false" outlineLevel="0" collapsed="false">
      <c r="A38" s="0" t="s">
        <v>1010</v>
      </c>
      <c r="B38" s="53" t="s">
        <v>1002</v>
      </c>
      <c r="C38" s="46" t="n">
        <f aca="false">PL!$H$18</f>
        <v>99.8969223878976</v>
      </c>
      <c r="D38" s="46" t="n">
        <f aca="false">PL!$H$88</f>
        <v>99.8969223878976</v>
      </c>
      <c r="E38" s="46" t="n">
        <f aca="false">PL!$H$158</f>
        <v>99.8969223878976</v>
      </c>
      <c r="G38" s="5" t="s">
        <v>1003</v>
      </c>
    </row>
    <row r="39" customFormat="false" ht="17.15" hidden="false" customHeight="false" outlineLevel="0" collapsed="false">
      <c r="A39" s="0" t="s">
        <v>1011</v>
      </c>
      <c r="B39" s="53" t="s">
        <v>1002</v>
      </c>
      <c r="C39" s="46" t="n">
        <f aca="false">PL!$G$25</f>
        <v>26.2809855967821</v>
      </c>
      <c r="D39" s="46" t="n">
        <f aca="false">PL!$G$95</f>
        <v>23.4737866202905</v>
      </c>
      <c r="E39" s="46" t="n">
        <f aca="false">PL!$G$165</f>
        <v>22.6477702839038</v>
      </c>
      <c r="G39" s="5" t="s">
        <v>1003</v>
      </c>
      <c r="H39" s="5" t="s">
        <v>1012</v>
      </c>
    </row>
    <row r="40" customFormat="false" ht="17.15" hidden="false" customHeight="false" outlineLevel="0" collapsed="false">
      <c r="A40" s="0" t="s">
        <v>1013</v>
      </c>
      <c r="B40" s="53" t="s">
        <v>1002</v>
      </c>
      <c r="C40" s="46" t="n">
        <f aca="false">PL!$H$25</f>
        <v>83.0838740066237</v>
      </c>
      <c r="D40" s="46" t="n">
        <f aca="false">PL!$H$95</f>
        <v>60.1658907497746</v>
      </c>
      <c r="E40" s="46" t="n">
        <f aca="false">PL!$H$165</f>
        <v>53.4222901978634</v>
      </c>
      <c r="G40" s="5" t="s">
        <v>1003</v>
      </c>
      <c r="H40" s="5" t="s">
        <v>1012</v>
      </c>
    </row>
    <row r="41" customFormat="false" ht="17.15" hidden="false" customHeight="false" outlineLevel="0" collapsed="false">
      <c r="A41" s="1" t="s">
        <v>1014</v>
      </c>
    </row>
    <row r="42" customFormat="false" ht="17.15" hidden="false" customHeight="false" outlineLevel="0" collapsed="false">
      <c r="A42" s="0" t="s">
        <v>1015</v>
      </c>
      <c r="B42" s="46" t="n">
        <f aca="false">capex_g26</f>
        <v>220</v>
      </c>
      <c r="C42" s="46" t="n">
        <f aca="false">CF!$G$24</f>
        <v>230.145477783787</v>
      </c>
      <c r="D42" s="46" t="n">
        <f aca="false">CF!$G$55</f>
        <v>227.531579528287</v>
      </c>
      <c r="E42" s="46" t="n">
        <f aca="false">CF!$G$86</f>
        <v>227.531579528287</v>
      </c>
      <c r="F42" s="13" t="n">
        <f aca="false">D42/B42-1</f>
        <v>0.0342344524013027</v>
      </c>
      <c r="G42" s="8" t="s">
        <v>1016</v>
      </c>
      <c r="H42" s="8" t="s">
        <v>1017</v>
      </c>
    </row>
    <row r="43" customFormat="false" ht="17.15" hidden="false" customHeight="false" outlineLevel="0" collapsed="false">
      <c r="A43" s="0" t="s">
        <v>1018</v>
      </c>
      <c r="B43" s="46" t="n">
        <f aca="false">(g26q3_lo+g26q3_hi)/2</f>
        <v>199.5</v>
      </c>
      <c r="C43" s="46" t="n">
        <f aca="false">PL!$F$27*Q!$J$8/Q!$O$8</f>
        <v>200.785132274766</v>
      </c>
      <c r="D43" s="46" t="n">
        <f aca="false">PL!$F$97*Q!$J$8/Q!$O$8</f>
        <v>199.5</v>
      </c>
      <c r="E43" s="46" t="n">
        <f aca="false">PL!$F$167*Q!$J$8/Q!$O$8</f>
        <v>199.121850726556</v>
      </c>
      <c r="F43" s="13" t="n">
        <f aca="false">D43/B43-1</f>
        <v>0</v>
      </c>
      <c r="G43" s="8" t="s">
        <v>1019</v>
      </c>
      <c r="H43" s="5" t="s">
        <v>1020</v>
      </c>
    </row>
    <row r="44" customFormat="false" ht="17.15" hidden="false" customHeight="false" outlineLevel="0" collapsed="false">
      <c r="A44" s="0" t="s">
        <v>1021</v>
      </c>
      <c r="B44" s="46" t="n">
        <f aca="false">(g26q3_oilo+g26q3_oihi)/2</f>
        <v>24.5</v>
      </c>
      <c r="C44" s="46" t="n">
        <f aca="false">PL!$F$47*Q!$J$25/Q!$O$25</f>
        <v>24.433783534223</v>
      </c>
      <c r="D44" s="46" t="n">
        <f aca="false">PL!$F$117*Q!$J$25/Q!$O$25</f>
        <v>23.2944584806965</v>
      </c>
      <c r="E44" s="46" t="n">
        <f aca="false">PL!$F$187*Q!$J$25/Q!$O$25</f>
        <v>22.9550434800473</v>
      </c>
      <c r="F44" s="13" t="n">
        <f aca="false">D44/B44-1</f>
        <v>-0.049205776298101</v>
      </c>
      <c r="G44" s="8" t="s">
        <v>1019</v>
      </c>
      <c r="H44" s="5" t="s">
        <v>1022</v>
      </c>
    </row>
    <row r="45" customFormat="false" ht="17.15" hidden="false" customHeight="false" outlineLevel="0" collapsed="false">
      <c r="A45" s="0" t="s">
        <v>1023</v>
      </c>
      <c r="B45" s="46" t="n">
        <f aca="false">ai_rr</f>
        <v>25</v>
      </c>
      <c r="C45" s="46" t="n">
        <f aca="false">mw_open*rpm_open/1000</f>
        <v>20.1153797604382</v>
      </c>
      <c r="D45" s="46" t="n">
        <f aca="false">mw_open*rpm_open/1000</f>
        <v>20.1153797604382</v>
      </c>
      <c r="E45" s="46" t="n">
        <f aca="false">mw_open*rpm_open/1000</f>
        <v>20.1153797604382</v>
      </c>
      <c r="F45" s="13" t="n">
        <f aca="false">D45/B45-1</f>
        <v>-0.195384809582471</v>
      </c>
      <c r="G45" s="8" t="s">
        <v>1024</v>
      </c>
      <c r="H45" s="8" t="s">
        <v>1025</v>
      </c>
    </row>
    <row r="46" customFormat="false" ht="17.15" hidden="false" customHeight="false" outlineLevel="0" collapsed="false">
      <c r="A46" s="5" t="s">
        <v>1026</v>
      </c>
      <c r="C46" s="36" t="n">
        <f aca="false">ai_rr*1000/(mw_open*he_open)</f>
        <v>1.23282411092991</v>
      </c>
      <c r="D46" s="36" t="n">
        <f aca="false">ai_rr*1000/(mw_open*he_open)</f>
        <v>1.23282411092991</v>
      </c>
      <c r="E46" s="36" t="n">
        <f aca="false">ai_rr*1000/(mw_open*he_open)</f>
        <v>1.23282411092991</v>
      </c>
      <c r="H46" s="5" t="s">
        <v>1027</v>
      </c>
    </row>
    <row r="47" customFormat="false" ht="17.15" hidden="false" customHeight="false" outlineLevel="0" collapsed="false">
      <c r="A47" s="5" t="s">
        <v>1028</v>
      </c>
      <c r="C47" s="32" t="n">
        <f aca="false">ai_rr*1000/rpm_open</f>
        <v>2585.08666598831</v>
      </c>
      <c r="D47" s="32" t="n">
        <f aca="false">ai_rr*1000/rpm_open</f>
        <v>2585.08666598831</v>
      </c>
      <c r="E47" s="32" t="n">
        <f aca="false">ai_rr*1000/rpm_open</f>
        <v>2585.08666598831</v>
      </c>
      <c r="H47" s="5" t="s">
        <v>1029</v>
      </c>
    </row>
    <row r="48" customFormat="false" ht="17.15" hidden="false" customHeight="false" outlineLevel="0" collapsed="false">
      <c r="A48" s="5" t="s">
        <v>1030</v>
      </c>
      <c r="C48" s="30" t="n">
        <f aca="false">Sens!C15-Sens!C4</f>
        <v>-3.29302438700296</v>
      </c>
      <c r="D48" s="30" t="n">
        <f aca="false">Sens!C15-Sens!C4</f>
        <v>-3.29302438700296</v>
      </c>
      <c r="E48" s="30" t="n">
        <f aca="false">Sens!C15-Sens!C4</f>
        <v>-3.29302438700296</v>
      </c>
      <c r="G48" s="8" t="s">
        <v>1031</v>
      </c>
      <c r="H48" s="5" t="s">
        <v>1032</v>
      </c>
    </row>
    <row r="49" customFormat="false" ht="17.15" hidden="false" customHeight="false" outlineLevel="0" collapsed="false">
      <c r="A49" s="5" t="s">
        <v>1033</v>
      </c>
      <c r="C49" s="13" t="n">
        <f aca="false">Thesis!$I$61</f>
        <v>0.313283832077501</v>
      </c>
      <c r="D49" s="13" t="n">
        <f aca="false">Thesis!$I$121</f>
        <v>0.219285125475351</v>
      </c>
      <c r="E49" s="13" t="n">
        <f aca="false">Thesis!$I$181</f>
        <v>0.18967957363228</v>
      </c>
      <c r="G49" s="8" t="s">
        <v>1034</v>
      </c>
      <c r="H49" s="5" t="s">
        <v>221</v>
      </c>
    </row>
    <row r="50" customFormat="false" ht="17.15" hidden="false" customHeight="false" outlineLevel="0" collapsed="false">
      <c r="A50" s="1" t="s">
        <v>1035</v>
      </c>
    </row>
    <row r="51" customFormat="false" ht="17.15" hidden="false" customHeight="false" outlineLevel="0" collapsed="false">
      <c r="A51" s="0" t="s">
        <v>1036</v>
      </c>
      <c r="B51" s="30" t="n">
        <f aca="false">v022_tp</f>
        <v>201.71</v>
      </c>
      <c r="G51" s="8" t="s">
        <v>490</v>
      </c>
    </row>
    <row r="52" customFormat="false" ht="17.15" hidden="false" customHeight="false" outlineLevel="0" collapsed="false">
      <c r="A52" s="0" t="s">
        <v>1037</v>
      </c>
      <c r="B52" s="30" t="n">
        <f aca="false">Val!B19</f>
        <v>214.93694805938</v>
      </c>
      <c r="G52" s="8" t="s">
        <v>1038</v>
      </c>
    </row>
    <row r="53" customFormat="false" ht="15" hidden="false" customHeight="false" outlineLevel="0" collapsed="false">
      <c r="A53" s="5" t="s">
        <v>1039</v>
      </c>
      <c r="B53" s="30" t="n">
        <f aca="false">B52-B51</f>
        <v>13.2269480593795</v>
      </c>
    </row>
    <row r="54" customFormat="false" ht="17.15" hidden="false" customHeight="false" outlineLevel="0" collapsed="false">
      <c r="A54" s="5" t="s">
        <v>1040</v>
      </c>
      <c r="B54" s="30" t="n">
        <f aca="false">Val!$C$179-Val!$C$180</f>
        <v>-6.52851546609787</v>
      </c>
      <c r="H54" s="5" t="s">
        <v>1041</v>
      </c>
    </row>
    <row r="55" customFormat="false" ht="17.15" hidden="false" customHeight="false" outlineLevel="0" collapsed="false">
      <c r="A55" s="5" t="s">
        <v>1042</v>
      </c>
      <c r="B55" s="30" t="n">
        <f aca="false">Val!B19-Val!$C$179</f>
        <v>11.3124474692476</v>
      </c>
      <c r="H55" s="5" t="s">
        <v>1041</v>
      </c>
    </row>
    <row r="56" customFormat="false" ht="17.15" hidden="false" customHeight="false" outlineLevel="0" collapsed="false">
      <c r="A56" s="5" t="s">
        <v>1043</v>
      </c>
      <c r="B56" s="30" t="n">
        <f aca="false">B53-B54-B55</f>
        <v>8.44301605622982</v>
      </c>
      <c r="H56" s="5" t="s">
        <v>1044</v>
      </c>
    </row>
    <row r="57" customFormat="false" ht="17.15" hidden="false" customHeight="false" outlineLevel="0" collapsed="false">
      <c r="A57" s="0" t="s">
        <v>1045</v>
      </c>
      <c r="B57" s="13" t="n">
        <f aca="false">v022_tp/v022_px-1</f>
        <v>-0.22395352416128</v>
      </c>
      <c r="H57" s="8" t="s">
        <v>1046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7" min="3" style="0" width="14"/>
  </cols>
  <sheetData>
    <row r="1" customFormat="false" ht="17.15" hidden="false" customHeight="false" outlineLevel="0" collapsed="false">
      <c r="A1" s="0" t="s">
        <v>1047</v>
      </c>
    </row>
    <row r="3" customFormat="false" ht="17.15" hidden="false" customHeight="false" outlineLevel="0" collapsed="false">
      <c r="A3" s="6" t="s">
        <v>1048</v>
      </c>
      <c r="B3" s="6" t="s">
        <v>1049</v>
      </c>
      <c r="C3" s="6" t="s">
        <v>1050</v>
      </c>
      <c r="D3" s="6" t="s">
        <v>1051</v>
      </c>
      <c r="E3" s="20" t="s">
        <v>1052</v>
      </c>
      <c r="F3" s="20" t="s">
        <v>831</v>
      </c>
      <c r="G3" s="6" t="s">
        <v>1053</v>
      </c>
      <c r="H3" s="6" t="s">
        <v>1054</v>
      </c>
    </row>
    <row r="4" customFormat="false" ht="17.15" hidden="false" customHeight="false" outlineLevel="0" collapsed="false">
      <c r="A4" s="5" t="s">
        <v>1055</v>
      </c>
      <c r="B4" s="5" t="s">
        <v>1056</v>
      </c>
      <c r="C4" s="30" t="n">
        <f aca="false">Val!$C$179</f>
        <v>203.624500590132</v>
      </c>
      <c r="D4" s="54" t="n">
        <f aca="false">C4/C$4-1</f>
        <v>0</v>
      </c>
      <c r="E4" s="13" t="n">
        <f aca="false">PL!$I$123</f>
        <v>0.359230604038662</v>
      </c>
      <c r="F4" s="30" t="n">
        <f aca="false">PL!$I$146</f>
        <v>12.7042551634449</v>
      </c>
      <c r="G4" s="46" t="n">
        <f aca="false">CF!$G$71</f>
        <v>-1.17629205196147</v>
      </c>
      <c r="H4" s="8" t="s">
        <v>1057</v>
      </c>
    </row>
    <row r="5" customFormat="false" ht="17.15" hidden="false" customHeight="false" outlineLevel="0" collapsed="false">
      <c r="A5" s="5" t="s">
        <v>1058</v>
      </c>
      <c r="B5" s="0" t="s">
        <v>1059</v>
      </c>
      <c r="C5" s="30" t="n">
        <f aca="false">Sens!$C$541</f>
        <v>183.277664238884</v>
      </c>
      <c r="D5" s="54" t="n">
        <f aca="false">C5/C$4-1</f>
        <v>-0.0999233210752126</v>
      </c>
      <c r="E5" s="13" t="n">
        <f aca="false">Sens!$I$439</f>
        <v>0.326289575827886</v>
      </c>
      <c r="F5" s="30" t="n">
        <f aca="false">Sens!$I$462</f>
        <v>11.6530847912308</v>
      </c>
      <c r="G5" s="46" t="n">
        <f aca="false">Sens!$G$494</f>
        <v>-63.4071550277961</v>
      </c>
      <c r="H5" s="5" t="s">
        <v>1060</v>
      </c>
    </row>
    <row r="6" customFormat="false" ht="17.15" hidden="false" customHeight="false" outlineLevel="0" collapsed="false">
      <c r="A6" s="5" t="s">
        <v>1061</v>
      </c>
      <c r="B6" s="5" t="s">
        <v>1062</v>
      </c>
      <c r="C6" s="30" t="n">
        <f aca="false">Sens!$C$784</f>
        <v>267.749510202367</v>
      </c>
      <c r="D6" s="54" t="n">
        <f aca="false">C6/C$4-1</f>
        <v>0.314917946643905</v>
      </c>
      <c r="E6" s="13" t="n">
        <f aca="false">Sens!$I$682</f>
        <v>0.444787269622148</v>
      </c>
      <c r="F6" s="30" t="n">
        <f aca="false">Sens!$I$705</f>
        <v>16.011078422272</v>
      </c>
      <c r="G6" s="46" t="n">
        <f aca="false">Sens!$G$737</f>
        <v>194.020420377944</v>
      </c>
      <c r="H6" s="5" t="s">
        <v>1060</v>
      </c>
    </row>
    <row r="7" customFormat="false" ht="17.15" hidden="false" customHeight="false" outlineLevel="0" collapsed="false">
      <c r="A7" s="5" t="s">
        <v>1063</v>
      </c>
      <c r="B7" s="0" t="s">
        <v>1064</v>
      </c>
      <c r="C7" s="30" t="n">
        <f aca="false">Sens!$C$1027</f>
        <v>205.008280394125</v>
      </c>
      <c r="D7" s="54" t="n">
        <f aca="false">C7/C$4-1</f>
        <v>0.00679574314477383</v>
      </c>
      <c r="E7" s="13" t="n">
        <f aca="false">Sens!$I$925</f>
        <v>0.359182436628397</v>
      </c>
      <c r="F7" s="30" t="n">
        <f aca="false">Sens!$I$948</f>
        <v>13.8475218040926</v>
      </c>
      <c r="G7" s="46" t="n">
        <f aca="false">Sens!$G$980</f>
        <v>-317.858045186477</v>
      </c>
      <c r="H7" s="5" t="s">
        <v>1060</v>
      </c>
    </row>
    <row r="8" customFormat="false" ht="17.15" hidden="false" customHeight="false" outlineLevel="0" collapsed="false">
      <c r="A8" s="5" t="s">
        <v>1065</v>
      </c>
      <c r="B8" s="0" t="s">
        <v>1066</v>
      </c>
      <c r="C8" s="30" t="n">
        <f aca="false">Sens!$C$1270</f>
        <v>201.133467604695</v>
      </c>
      <c r="D8" s="54" t="n">
        <f aca="false">C8/C$4-1</f>
        <v>-0.012233463940821</v>
      </c>
      <c r="E8" s="13" t="n">
        <f aca="false">Sens!$I$1168</f>
        <v>0.353477345740874</v>
      </c>
      <c r="F8" s="30" t="n">
        <f aca="false">Sens!$I$1191</f>
        <v>11.7946917130216</v>
      </c>
      <c r="G8" s="46" t="n">
        <f aca="false">Sens!$G$1223</f>
        <v>172.793102176793</v>
      </c>
      <c r="H8" s="5" t="s">
        <v>1060</v>
      </c>
    </row>
    <row r="9" customFormat="false" ht="17.15" hidden="false" customHeight="false" outlineLevel="0" collapsed="false">
      <c r="A9" s="0" t="s">
        <v>1067</v>
      </c>
      <c r="B9" s="5" t="s">
        <v>1068</v>
      </c>
      <c r="C9" s="30" t="n">
        <f aca="false">Sens!$C$1513</f>
        <v>203.770970452326</v>
      </c>
      <c r="D9" s="54" t="n">
        <f aca="false">C9/C$4-1</f>
        <v>0.000719313549054856</v>
      </c>
      <c r="E9" s="13" t="n">
        <f aca="false">Sens!$I$1411</f>
        <v>0.349483787382116</v>
      </c>
      <c r="F9" s="30" t="n">
        <f aca="false">Sens!$I$1434</f>
        <v>11.9682335865049</v>
      </c>
      <c r="G9" s="46" t="n">
        <f aca="false">Sens!$G$1466</f>
        <v>130.243959704441</v>
      </c>
      <c r="H9" s="5" t="s">
        <v>1060</v>
      </c>
    </row>
    <row r="10" customFormat="false" ht="17.15" hidden="false" customHeight="false" outlineLevel="0" collapsed="false">
      <c r="A10" s="0" t="s">
        <v>1069</v>
      </c>
      <c r="B10" s="0" t="s">
        <v>1070</v>
      </c>
      <c r="C10" s="30" t="n">
        <f aca="false">Sens!$C$1756</f>
        <v>201.207445471377</v>
      </c>
      <c r="D10" s="54" t="n">
        <f aca="false">C10/C$4-1</f>
        <v>-0.0118701586093545</v>
      </c>
      <c r="E10" s="13" t="n">
        <f aca="false">Sens!$I$1654</f>
        <v>0.361553978435198</v>
      </c>
      <c r="F10" s="30" t="n">
        <f aca="false">Sens!$I$1677</f>
        <v>13.1386331778354</v>
      </c>
      <c r="G10" s="46" t="n">
        <f aca="false">Sens!$G$1709</f>
        <v>-153.546092381935</v>
      </c>
      <c r="H10" s="5" t="s">
        <v>1060</v>
      </c>
    </row>
    <row r="11" customFormat="false" ht="17.15" hidden="false" customHeight="false" outlineLevel="0" collapsed="false">
      <c r="A11" s="0" t="s">
        <v>1071</v>
      </c>
      <c r="B11" s="0" t="s">
        <v>1072</v>
      </c>
      <c r="C11" s="30" t="n">
        <f aca="false">Sens!$C$1999</f>
        <v>186.813837569036</v>
      </c>
      <c r="D11" s="54" t="n">
        <f aca="false">C11/C$4-1</f>
        <v>-0.0825571725031927</v>
      </c>
      <c r="E11" s="13" t="n">
        <f aca="false">Sens!$I$1897</f>
        <v>0.334412402940018</v>
      </c>
      <c r="F11" s="30" t="n">
        <f aca="false">Sens!$I$1920</f>
        <v>12.075971492075</v>
      </c>
      <c r="G11" s="46" t="n">
        <f aca="false">Sens!$G$1952</f>
        <v>-36.077116319127</v>
      </c>
      <c r="H11" s="5" t="s">
        <v>1060</v>
      </c>
    </row>
    <row r="12" customFormat="false" ht="17.15" hidden="false" customHeight="false" outlineLevel="0" collapsed="false">
      <c r="A12" s="0" t="s">
        <v>1073</v>
      </c>
      <c r="B12" s="0" t="s">
        <v>1074</v>
      </c>
      <c r="C12" s="30" t="n">
        <f aca="false">Sens!$C$2242</f>
        <v>215.073229565807</v>
      </c>
      <c r="D12" s="54" t="n">
        <f aca="false">C12/C$4-1</f>
        <v>0.0562247123626816</v>
      </c>
      <c r="E12" s="13" t="n">
        <f aca="false">Sens!$I$2140</f>
        <v>0.376957890537695</v>
      </c>
      <c r="F12" s="30" t="n">
        <f aca="false">Sens!$I$2163</f>
        <v>13.1530292144234</v>
      </c>
      <c r="G12" s="46" t="n">
        <f aca="false">Sens!$G$2195</f>
        <v>0.274016111527828</v>
      </c>
      <c r="H12" s="5" t="s">
        <v>1060</v>
      </c>
    </row>
    <row r="13" customFormat="false" ht="17.15" hidden="false" customHeight="false" outlineLevel="0" collapsed="false">
      <c r="A13" s="5" t="s">
        <v>1075</v>
      </c>
      <c r="B13" s="0" t="s">
        <v>1076</v>
      </c>
      <c r="C13" s="30" t="n">
        <f aca="false">Sens!$C$2485</f>
        <v>198.901098869079</v>
      </c>
      <c r="D13" s="54" t="n">
        <f aca="false">C13/C$4-1</f>
        <v>-0.0231966276521941</v>
      </c>
      <c r="E13" s="13" t="n">
        <f aca="false">Sens!$I$2383</f>
        <v>0.348026567762799</v>
      </c>
      <c r="F13" s="30" t="n">
        <f aca="false">Sens!$I$2406</f>
        <v>12.1297034239038</v>
      </c>
      <c r="G13" s="46" t="n">
        <f aca="false">Sens!$G$2438</f>
        <v>39.3597900840179</v>
      </c>
      <c r="H13" s="5" t="s">
        <v>1060</v>
      </c>
    </row>
    <row r="14" customFormat="false" ht="17.15" hidden="false" customHeight="false" outlineLevel="0" collapsed="false">
      <c r="A14" s="5" t="s">
        <v>1077</v>
      </c>
      <c r="B14" s="0" t="s">
        <v>1078</v>
      </c>
      <c r="C14" s="30" t="n">
        <f aca="false">Sens!$C$2728</f>
        <v>182.433819728463</v>
      </c>
      <c r="D14" s="54" t="n">
        <f aca="false">C14/C$4-1</f>
        <v>-0.104067441787483</v>
      </c>
      <c r="E14" s="13" t="n">
        <f aca="false">Sens!$I$2626</f>
        <v>0.359230604038662</v>
      </c>
      <c r="F14" s="30" t="n">
        <f aca="false">Sens!$I$2649</f>
        <v>10.799688520506</v>
      </c>
      <c r="G14" s="46" t="n">
        <f aca="false">Sens!$G$2681</f>
        <v>-1.17629205196147</v>
      </c>
      <c r="H14" s="5" t="s">
        <v>1060</v>
      </c>
    </row>
    <row r="15" customFormat="false" ht="17.15" hidden="false" customHeight="false" outlineLevel="0" collapsed="false">
      <c r="A15" s="5" t="s">
        <v>1079</v>
      </c>
      <c r="B15" s="5" t="s">
        <v>1080</v>
      </c>
      <c r="C15" s="30" t="n">
        <f aca="false">Sens!$C$2971</f>
        <v>200.331476203129</v>
      </c>
      <c r="D15" s="54" t="n">
        <f aca="false">C15/C$4-1</f>
        <v>-0.0161720440195523</v>
      </c>
      <c r="E15" s="13" t="n">
        <f aca="false">Sens!$I$2869</f>
        <v>0.360208197160449</v>
      </c>
      <c r="F15" s="30" t="n">
        <f aca="false">Sens!$I$2892</f>
        <v>12.6380539819848</v>
      </c>
      <c r="G15" s="46" t="n">
        <f aca="false">Sens!$G$2924</f>
        <v>-1.80336829006112</v>
      </c>
      <c r="H15" s="5" t="s">
        <v>1060</v>
      </c>
    </row>
    <row r="16" customFormat="false" ht="17.15" hidden="false" customHeight="false" outlineLevel="0" collapsed="false">
      <c r="A16" s="0" t="s">
        <v>1081</v>
      </c>
      <c r="B16" s="0" t="s">
        <v>1082</v>
      </c>
      <c r="C16" s="30" t="n">
        <f aca="false">Sens!$C$3214</f>
        <v>199.775373399194</v>
      </c>
      <c r="D16" s="54" t="n">
        <f aca="false">C16/C$4-1</f>
        <v>-0.0189030651016108</v>
      </c>
      <c r="E16" s="13" t="n">
        <f aca="false">Sens!$I$3112</f>
        <v>0.35927278008887</v>
      </c>
      <c r="F16" s="30" t="n">
        <f aca="false">Sens!$I$3135</f>
        <v>12.6075874893155</v>
      </c>
      <c r="G16" s="46" t="n">
        <f aca="false">Sens!$G$3167</f>
        <v>-9.38135023108737</v>
      </c>
      <c r="H16" s="5" t="s">
        <v>1083</v>
      </c>
    </row>
    <row r="17" customFormat="false" ht="17.15" hidden="false" customHeight="false" outlineLevel="0" collapsed="false">
      <c r="A17" s="0" t="s">
        <v>1084</v>
      </c>
      <c r="B17" s="0" t="s">
        <v>1085</v>
      </c>
      <c r="C17" s="30" t="n">
        <f aca="false">Sens!$C$3457</f>
        <v>207.747840719754</v>
      </c>
      <c r="D17" s="54" t="n">
        <f aca="false">C17/C$4-1</f>
        <v>0.0202497249479885</v>
      </c>
      <c r="E17" s="13" t="n">
        <f aca="false">Sens!$I$3355</f>
        <v>0.359189131069891</v>
      </c>
      <c r="F17" s="30" t="n">
        <f aca="false">Sens!$I$3378</f>
        <v>12.8017760264145</v>
      </c>
      <c r="G17" s="46" t="n">
        <f aca="false">Sens!$G$3410</f>
        <v>7.30666373373157</v>
      </c>
      <c r="H17" s="5" t="s">
        <v>1083</v>
      </c>
    </row>
    <row r="18" customFormat="false" ht="17.15" hidden="false" customHeight="false" outlineLevel="0" collapsed="false">
      <c r="A18" s="5" t="s">
        <v>1086</v>
      </c>
      <c r="B18" s="0" t="s">
        <v>1087</v>
      </c>
      <c r="C18" s="30" t="n">
        <f aca="false">Sens!$C$3700</f>
        <v>205.017220974569</v>
      </c>
      <c r="D18" s="54" t="n">
        <f aca="false">C18/C$4-1</f>
        <v>0.00683965033874068</v>
      </c>
      <c r="E18" s="13" t="n">
        <f aca="false">Sens!$I$3598</f>
        <v>0.359230604038662</v>
      </c>
      <c r="F18" s="30" t="n">
        <f aca="false">Sens!$I$3621</f>
        <v>12.5566972950134</v>
      </c>
      <c r="G18" s="46" t="n">
        <f aca="false">Sens!$G$3653</f>
        <v>-9.28253739706196</v>
      </c>
      <c r="H18" s="5" t="s">
        <v>1083</v>
      </c>
    </row>
    <row r="19" customFormat="false" ht="17.15" hidden="false" customHeight="false" outlineLevel="0" collapsed="false">
      <c r="A19" s="5" t="s">
        <v>1088</v>
      </c>
      <c r="B19" s="0" t="s">
        <v>1089</v>
      </c>
      <c r="C19" s="30" t="n">
        <f aca="false">Sens!$C$3943</f>
        <v>202.231780205695</v>
      </c>
      <c r="D19" s="54" t="n">
        <f aca="false">C19/C$4-1</f>
        <v>-0.00683965033874101</v>
      </c>
      <c r="E19" s="13" t="n">
        <f aca="false">Sens!$I$3841</f>
        <v>0.359230604038662</v>
      </c>
      <c r="F19" s="30" t="n">
        <f aca="false">Sens!$I$3864</f>
        <v>12.8518130318764</v>
      </c>
      <c r="G19" s="46" t="n">
        <f aca="false">Sens!$G$3896</f>
        <v>6.92995329313877</v>
      </c>
      <c r="H19" s="5" t="s">
        <v>1083</v>
      </c>
    </row>
    <row r="20" customFormat="false" ht="17.15" hidden="false" customHeight="false" outlineLevel="0" collapsed="false">
      <c r="A20" s="5" t="s">
        <v>1090</v>
      </c>
      <c r="B20" s="0" t="s">
        <v>1091</v>
      </c>
      <c r="C20" s="30" t="n">
        <f aca="false">Sens!$C$4186</f>
        <v>200.443913723583</v>
      </c>
      <c r="D20" s="54" t="n">
        <f aca="false">C20/C$4-1</f>
        <v>-0.0156198633137528</v>
      </c>
      <c r="E20" s="13" t="n">
        <f aca="false">Sens!$I$4084</f>
        <v>0.359230604038662</v>
      </c>
      <c r="F20" s="30" t="n">
        <f aca="false">Sens!$I$4107</f>
        <v>12.6204622290723</v>
      </c>
      <c r="G20" s="46" t="n">
        <f aca="false">Sens!$G$4139</f>
        <v>-8.76527364596959</v>
      </c>
      <c r="H20" s="5" t="s">
        <v>1083</v>
      </c>
    </row>
    <row r="21" customFormat="false" ht="17.15" hidden="false" customHeight="false" outlineLevel="0" collapsed="false">
      <c r="A21" s="5" t="s">
        <v>1092</v>
      </c>
      <c r="B21" s="0" t="s">
        <v>1093</v>
      </c>
      <c r="C21" s="30" t="n">
        <f aca="false">Sens!$C$4429</f>
        <v>207.061070490399</v>
      </c>
      <c r="D21" s="54" t="n">
        <f aca="false">C21/C$4-1</f>
        <v>0.0168769960898987</v>
      </c>
      <c r="E21" s="13" t="n">
        <f aca="false">Sens!$I$4327</f>
        <v>0.359230604038662</v>
      </c>
      <c r="F21" s="30" t="n">
        <f aca="false">Sens!$I$4350</f>
        <v>12.7887450253568</v>
      </c>
      <c r="G21" s="46" t="n">
        <f aca="false">Sens!$G$4382</f>
        <v>6.66299702756018</v>
      </c>
      <c r="H21" s="5" t="s">
        <v>1083</v>
      </c>
    </row>
    <row r="22" customFormat="false" ht="17.15" hidden="false" customHeight="false" outlineLevel="0" collapsed="false">
      <c r="A22" s="5" t="s">
        <v>1094</v>
      </c>
      <c r="B22" s="0" t="s">
        <v>1095</v>
      </c>
      <c r="C22" s="30" t="n">
        <f aca="false">Sens!$C$4672</f>
        <v>199.124241267753</v>
      </c>
      <c r="D22" s="54" t="n">
        <f aca="false">C22/C$4-1</f>
        <v>-0.0221007752472652</v>
      </c>
      <c r="E22" s="13" t="n">
        <f aca="false">Sens!$I$4570</f>
        <v>0.359230604038662</v>
      </c>
      <c r="F22" s="30" t="n">
        <f aca="false">Sens!$I$4593</f>
        <v>12.4819791463461</v>
      </c>
      <c r="G22" s="46" t="n">
        <f aca="false">Sens!$G$4625</f>
        <v>-14.5947541926701</v>
      </c>
      <c r="H22" s="5" t="s">
        <v>1083</v>
      </c>
    </row>
    <row r="23" customFormat="false" ht="17.15" hidden="false" customHeight="false" outlineLevel="0" collapsed="false">
      <c r="A23" s="5" t="s">
        <v>1096</v>
      </c>
      <c r="B23" s="0" t="s">
        <v>1097</v>
      </c>
      <c r="C23" s="30" t="n">
        <f aca="false">Sens!$C$4915</f>
        <v>208.124759912511</v>
      </c>
      <c r="D23" s="54" t="n">
        <f aca="false">C23/C$4-1</f>
        <v>0.0221007752472651</v>
      </c>
      <c r="E23" s="13" t="n">
        <f aca="false">Sens!$I$4813</f>
        <v>0.359230604038662</v>
      </c>
      <c r="F23" s="30" t="n">
        <f aca="false">Sens!$I$4836</f>
        <v>12.9265311805437</v>
      </c>
      <c r="G23" s="46" t="n">
        <f aca="false">Sens!$G$4868</f>
        <v>12.2421700887472</v>
      </c>
      <c r="H23" s="5" t="s">
        <v>1083</v>
      </c>
    </row>
    <row r="24" customFormat="false" ht="15" hidden="false" customHeight="false" outlineLevel="0" collapsed="false">
      <c r="A24" s="0" t="s">
        <v>1098</v>
      </c>
      <c r="C24" s="30" t="n">
        <f aca="false">Sens!$C$5158</f>
        <v>216.556000133387</v>
      </c>
      <c r="D24" s="54" t="n">
        <f aca="false">C24/C$4-1</f>
        <v>0.063506599185158</v>
      </c>
      <c r="E24" s="13" t="n">
        <f aca="false">Sens!$I$5056</f>
        <v>0.359230604038662</v>
      </c>
      <c r="F24" s="30" t="n">
        <f aca="false">Sens!$I$5079</f>
        <v>12.7042551634449</v>
      </c>
      <c r="G24" s="46" t="n">
        <f aca="false">Sens!$G$5111</f>
        <v>-1.17629205196147</v>
      </c>
      <c r="H24" s="5" t="s">
        <v>1099</v>
      </c>
    </row>
    <row r="25" customFormat="false" ht="15" hidden="false" customHeight="false" outlineLevel="0" collapsed="false">
      <c r="A25" s="0" t="s">
        <v>1100</v>
      </c>
      <c r="C25" s="30" t="n">
        <f aca="false">Sens!$C$5401</f>
        <v>193.521544954019</v>
      </c>
      <c r="D25" s="54" t="n">
        <f aca="false">C25/C$4-1</f>
        <v>-0.049615618979213</v>
      </c>
      <c r="E25" s="13" t="n">
        <f aca="false">Sens!$I$5299</f>
        <v>0.359230604038662</v>
      </c>
      <c r="F25" s="30" t="n">
        <f aca="false">Sens!$I$5322</f>
        <v>12.7042551634449</v>
      </c>
      <c r="G25" s="46" t="n">
        <f aca="false">Sens!$G$5354</f>
        <v>-1.17629205196147</v>
      </c>
      <c r="H25" s="5" t="s">
        <v>1099</v>
      </c>
    </row>
    <row r="26" customFormat="false" ht="17.15" hidden="false" customHeight="false" outlineLevel="0" collapsed="false">
      <c r="A26" s="5" t="s">
        <v>1101</v>
      </c>
      <c r="C26" s="30" t="n">
        <f aca="false">Sens!$C$5644</f>
        <v>203.248379781503</v>
      </c>
      <c r="D26" s="54" t="n">
        <f aca="false">C26/C$4-1</f>
        <v>-0.0018471294345177</v>
      </c>
      <c r="E26" s="13" t="n">
        <f aca="false">Sens!$I$5542</f>
        <v>0.359230604038662</v>
      </c>
      <c r="F26" s="30" t="n">
        <f aca="false">Sens!$I$5565</f>
        <v>12.7042551634449</v>
      </c>
      <c r="G26" s="46" t="n">
        <f aca="false">Sens!$G$5597</f>
        <v>1.41342830843709</v>
      </c>
      <c r="H26" s="5" t="s">
        <v>1099</v>
      </c>
    </row>
    <row r="27" customFormat="false" ht="17.15" hidden="false" customHeight="false" outlineLevel="0" collapsed="false">
      <c r="A27" s="5" t="s">
        <v>1102</v>
      </c>
      <c r="C27" s="30" t="n">
        <f aca="false">Sens!$C$5887</f>
        <v>204.010079670905</v>
      </c>
      <c r="D27" s="54" t="n">
        <f aca="false">C27/C$4-1</f>
        <v>0.00189357901262266</v>
      </c>
      <c r="E27" s="13" t="n">
        <f aca="false">Sens!$I$5785</f>
        <v>0.359230604038662</v>
      </c>
      <c r="F27" s="30" t="n">
        <f aca="false">Sens!$I$5808</f>
        <v>12.7042551634449</v>
      </c>
      <c r="G27" s="46" t="n">
        <f aca="false">Sens!$G$5840</f>
        <v>-3.76602865375946</v>
      </c>
      <c r="H27" s="5" t="s">
        <v>1099</v>
      </c>
    </row>
    <row r="28" customFormat="false" ht="17.15" hidden="false" customHeight="false" outlineLevel="0" collapsed="false">
      <c r="A28" s="0" t="s">
        <v>1103</v>
      </c>
      <c r="B28" s="5" t="s">
        <v>1104</v>
      </c>
      <c r="C28" s="30" t="n">
        <f aca="false">Sens!$C$6130</f>
        <v>210.401160355813</v>
      </c>
      <c r="D28" s="54" t="n">
        <f aca="false">C28/C$4-1</f>
        <v>0.033280178691864</v>
      </c>
      <c r="E28" s="13" t="n">
        <f aca="false">Sens!$I$6028</f>
        <v>0.359230604038662</v>
      </c>
      <c r="F28" s="30" t="n">
        <f aca="false">Sens!$I$6051</f>
        <v>12.7042551634449</v>
      </c>
      <c r="G28" s="46" t="n">
        <f aca="false">Sens!$G$6083</f>
        <v>-1.17629205196147</v>
      </c>
      <c r="H28" s="5" t="s">
        <v>1099</v>
      </c>
    </row>
    <row r="29" customFormat="false" ht="17.15" hidden="false" customHeight="false" outlineLevel="0" collapsed="false">
      <c r="A29" s="5" t="s">
        <v>1105</v>
      </c>
      <c r="B29" s="5" t="s">
        <v>1106</v>
      </c>
      <c r="C29" s="30" t="n">
        <f aca="false">Sens!$C$6373</f>
        <v>178.411930061056</v>
      </c>
      <c r="D29" s="54" t="n">
        <f aca="false">C29/C$4-1</f>
        <v>-0.123818943476873</v>
      </c>
      <c r="E29" s="13" t="n">
        <f aca="false">Sens!$I$6271</f>
        <v>0.359230604038662</v>
      </c>
      <c r="F29" s="30" t="n">
        <f aca="false">Sens!$I$6294</f>
        <v>12.7042551634449</v>
      </c>
      <c r="G29" s="46" t="n">
        <f aca="false">Sens!$G$6326</f>
        <v>-1.17629205196147</v>
      </c>
      <c r="H29" s="5" t="s">
        <v>1099</v>
      </c>
    </row>
    <row r="30" customFormat="false" ht="17.15" hidden="false" customHeight="false" outlineLevel="0" collapsed="false">
      <c r="A30" s="5" t="s">
        <v>1107</v>
      </c>
      <c r="C30" s="30" t="n">
        <f aca="false">Sens!$C$6616</f>
        <v>228.837071119208</v>
      </c>
      <c r="D30" s="54" t="n">
        <f aca="false">C30/C$4-1</f>
        <v>0.123818943476873</v>
      </c>
      <c r="E30" s="13" t="n">
        <f aca="false">Sens!$I$6514</f>
        <v>0.359230604038662</v>
      </c>
      <c r="F30" s="30" t="n">
        <f aca="false">Sens!$I$6537</f>
        <v>12.7042551634449</v>
      </c>
      <c r="G30" s="46" t="n">
        <f aca="false">Sens!$G$6569</f>
        <v>-1.17629205196147</v>
      </c>
      <c r="H30" s="5" t="s">
        <v>1099</v>
      </c>
    </row>
    <row r="31" customFormat="false" ht="17.15" hidden="false" customHeight="false" outlineLevel="0" collapsed="false">
      <c r="A31" s="0" t="s">
        <v>1108</v>
      </c>
      <c r="B31" s="5" t="s">
        <v>1109</v>
      </c>
      <c r="C31" s="30" t="n">
        <f aca="false">Sens!$C$6859</f>
        <v>216.689738659427</v>
      </c>
      <c r="D31" s="54" t="n">
        <f aca="false">C31/C$4-1</f>
        <v>0.0641633891375075</v>
      </c>
      <c r="E31" s="13" t="n">
        <f aca="false">Sens!$I$6757</f>
        <v>0.359230604038662</v>
      </c>
      <c r="F31" s="30" t="n">
        <f aca="false">Sens!$I$6780</f>
        <v>12.7042551634449</v>
      </c>
      <c r="G31" s="46" t="n">
        <f aca="false">Sens!$G$6812</f>
        <v>-1.17629205196147</v>
      </c>
      <c r="H31" s="5" t="s">
        <v>1099</v>
      </c>
    </row>
    <row r="32" customFormat="false" ht="17.15" hidden="false" customHeight="false" outlineLevel="0" collapsed="false">
      <c r="A32" s="0" t="s">
        <v>1110</v>
      </c>
      <c r="C32" s="30" t="n">
        <f aca="false">Sens!$C$7102</f>
        <v>230.228918799511</v>
      </c>
      <c r="D32" s="54" t="n">
        <f aca="false">C32/C$4-1</f>
        <v>0.130654307965278</v>
      </c>
      <c r="E32" s="13" t="n">
        <f aca="false">Sens!$I$7000</f>
        <v>0.359230604038662</v>
      </c>
      <c r="F32" s="30" t="n">
        <f aca="false">Sens!$I$7023</f>
        <v>12.7042551634449</v>
      </c>
      <c r="G32" s="46" t="n">
        <f aca="false">Sens!$G$7055</f>
        <v>-1.17629205196147</v>
      </c>
      <c r="H32" s="5" t="s">
        <v>1099</v>
      </c>
    </row>
    <row r="33" customFormat="false" ht="17.15" hidden="false" customHeight="false" outlineLevel="0" collapsed="false">
      <c r="A33" s="5" t="s">
        <v>1111</v>
      </c>
      <c r="B33" s="0" t="s">
        <v>1112</v>
      </c>
      <c r="C33" s="30" t="n">
        <f aca="false">Sens!$C$7345</f>
        <v>186.45875239156</v>
      </c>
      <c r="D33" s="54" t="n">
        <f aca="false">C33/C$4-1</f>
        <v>-0.0843009959451018</v>
      </c>
      <c r="E33" s="13" t="n">
        <f aca="false">Sens!$I$7243</f>
        <v>0.359230604038662</v>
      </c>
      <c r="F33" s="30" t="n">
        <f aca="false">Sens!$I$7266</f>
        <v>12.7042551634449</v>
      </c>
      <c r="G33" s="46" t="n">
        <f aca="false">Sens!$G$7298</f>
        <v>-1.17629205196147</v>
      </c>
      <c r="H33" s="5" t="s">
        <v>1099</v>
      </c>
    </row>
    <row r="34" customFormat="false" ht="17.15" hidden="false" customHeight="false" outlineLevel="0" collapsed="false">
      <c r="A34" s="0" t="s">
        <v>1113</v>
      </c>
      <c r="B34" s="5" t="s">
        <v>1114</v>
      </c>
      <c r="C34" s="30" t="n">
        <f aca="false">Sens!$C$7588</f>
        <v>201.398697436552</v>
      </c>
      <c r="D34" s="54" t="n">
        <f aca="false">C34/C$4-1</f>
        <v>-0.010930920135493</v>
      </c>
      <c r="E34" s="13" t="n">
        <f aca="false">Sens!$I$7486</f>
        <v>0.359230604038662</v>
      </c>
      <c r="F34" s="30" t="n">
        <f aca="false">Sens!$I$7509</f>
        <v>12.7042551634449</v>
      </c>
      <c r="G34" s="46" t="n">
        <f aca="false">Sens!$G$7541</f>
        <v>-1.17629205196147</v>
      </c>
      <c r="H34" s="5" t="s">
        <v>1099</v>
      </c>
    </row>
    <row r="35" customFormat="false" ht="17.15" hidden="false" customHeight="false" outlineLevel="0" collapsed="false">
      <c r="A35" s="0" t="s">
        <v>1115</v>
      </c>
      <c r="C35" s="30" t="n">
        <f aca="false">Sens!$C$7831</f>
        <v>205.850303743712</v>
      </c>
      <c r="D35" s="54" t="n">
        <f aca="false">C35/C$4-1</f>
        <v>0.010930920135493</v>
      </c>
      <c r="E35" s="13" t="n">
        <f aca="false">Sens!$I$7729</f>
        <v>0.359230604038662</v>
      </c>
      <c r="F35" s="30" t="n">
        <f aca="false">Sens!$I$7752</f>
        <v>12.7042551634449</v>
      </c>
      <c r="G35" s="46" t="n">
        <f aca="false">Sens!$G$7784</f>
        <v>-1.17629205196147</v>
      </c>
      <c r="H35" s="5" t="s">
        <v>1099</v>
      </c>
    </row>
    <row r="36" customFormat="false" ht="17.15" hidden="false" customHeight="false" outlineLevel="0" collapsed="false">
      <c r="A36" s="0" t="s">
        <v>1116</v>
      </c>
      <c r="B36" s="5" t="s">
        <v>1117</v>
      </c>
      <c r="C36" s="30" t="n">
        <f aca="false">Sens!$C$8074</f>
        <v>229.738562454523</v>
      </c>
      <c r="D36" s="54" t="n">
        <f aca="false">C36/C$4-1</f>
        <v>0.128246167768167</v>
      </c>
      <c r="E36" s="13" t="n">
        <f aca="false">Sens!$I$7972</f>
        <v>0.359230604038662</v>
      </c>
      <c r="F36" s="30" t="n">
        <f aca="false">Sens!$I$7995</f>
        <v>12.7042551634449</v>
      </c>
      <c r="G36" s="46" t="n">
        <f aca="false">Sens!$G$8027</f>
        <v>-1.17629205196147</v>
      </c>
      <c r="H36" s="5" t="s">
        <v>1099</v>
      </c>
    </row>
    <row r="37" customFormat="false" ht="17.15" hidden="false" customHeight="false" outlineLevel="0" collapsed="false">
      <c r="A37" s="0" t="s">
        <v>1118</v>
      </c>
      <c r="C37" s="30" t="n">
        <f aca="false">Sens!$C$8317</f>
        <v>177.510438725741</v>
      </c>
      <c r="D37" s="54" t="n">
        <f aca="false">C37/C$4-1</f>
        <v>-0.128246167768167</v>
      </c>
      <c r="E37" s="13" t="n">
        <f aca="false">Sens!$I$8215</f>
        <v>0.359230604038662</v>
      </c>
      <c r="F37" s="30" t="n">
        <f aca="false">Sens!$I$8238</f>
        <v>12.7042551634449</v>
      </c>
      <c r="G37" s="46" t="n">
        <f aca="false">Sens!$G$8270</f>
        <v>-1.17629205196147</v>
      </c>
      <c r="H37" s="5" t="s">
        <v>1099</v>
      </c>
    </row>
    <row r="39" customFormat="false" ht="17.15" hidden="false" customHeight="false" outlineLevel="0" collapsed="false">
      <c r="A39" s="24" t="s">
        <v>1119</v>
      </c>
      <c r="B39" s="25"/>
      <c r="C39" s="55" t="n">
        <f aca="false">Sens!$C$298-C4</f>
        <v>0</v>
      </c>
      <c r="D39" s="25"/>
      <c r="E39" s="25"/>
      <c r="F39" s="25"/>
      <c r="G39" s="25"/>
      <c r="H39" s="25"/>
    </row>
    <row r="40" customFormat="false" ht="17.15" hidden="false" customHeight="false" outlineLevel="0" collapsed="false">
      <c r="A40" s="5" t="s">
        <v>1120</v>
      </c>
    </row>
    <row r="42" customFormat="false" ht="17.15" hidden="false" customHeight="false" outlineLevel="0" collapsed="false">
      <c r="A42" s="1" t="s">
        <v>1121</v>
      </c>
    </row>
    <row r="43" customFormat="false" ht="17.15" hidden="false" customHeight="false" outlineLevel="0" collapsed="false">
      <c r="A43" s="20" t="s">
        <v>1122</v>
      </c>
      <c r="B43" s="20" t="s">
        <v>1123</v>
      </c>
      <c r="C43" s="20" t="s">
        <v>1124</v>
      </c>
      <c r="D43" s="20" t="s">
        <v>1125</v>
      </c>
    </row>
    <row r="44" customFormat="false" ht="15" hidden="false" customHeight="false" outlineLevel="0" collapsed="false">
      <c r="A44" s="0" t="s">
        <v>1098</v>
      </c>
      <c r="B44" s="30" t="n">
        <f aca="false">Sens!$C$8560</f>
        <v>214.951570547829</v>
      </c>
      <c r="C44" s="30" t="n">
        <f aca="false">Sens!$C$8803</f>
        <v>216.556000133387</v>
      </c>
      <c r="D44" s="30" t="n">
        <f aca="false">Sens!$C$9046</f>
        <v>218.550707077092</v>
      </c>
    </row>
    <row r="45" customFormat="false" ht="17.15" hidden="false" customHeight="false" outlineLevel="0" collapsed="false">
      <c r="A45" s="0" t="s">
        <v>1126</v>
      </c>
      <c r="B45" s="30" t="n">
        <f aca="false">Sens!$C$9289</f>
        <v>203.248379781503</v>
      </c>
      <c r="C45" s="30" t="n">
        <f aca="false">Sens!$C$9532</f>
        <v>203.624500590132</v>
      </c>
      <c r="D45" s="30" t="n">
        <f aca="false">Sens!$C$9775</f>
        <v>204.010079670905</v>
      </c>
    </row>
    <row r="46" customFormat="false" ht="15" hidden="false" customHeight="false" outlineLevel="0" collapsed="false">
      <c r="A46" s="0" t="s">
        <v>1100</v>
      </c>
      <c r="B46" s="30" t="n">
        <f aca="false">Sens!$C$10018</f>
        <v>193.878023192272</v>
      </c>
      <c r="C46" s="30" t="n">
        <f aca="false">Sens!$C$10261</f>
        <v>193.521544954019</v>
      </c>
      <c r="D46" s="30" t="n">
        <f aca="false">Sens!$C$10504</f>
        <v>193.003694765771</v>
      </c>
    </row>
    <row r="49" customFormat="false" ht="17.15" hidden="false" customHeight="false" outlineLevel="0" collapsed="false">
      <c r="A49" s="3" t="s">
        <v>1127</v>
      </c>
    </row>
    <row r="50" customFormat="false" ht="15" hidden="false" customHeight="false" outlineLevel="0" collapsed="false">
      <c r="A50" s="6" t="s">
        <v>1128</v>
      </c>
      <c r="B50" s="6" t="s">
        <v>1129</v>
      </c>
      <c r="C50" s="20" t="s">
        <v>1130</v>
      </c>
      <c r="D50" s="6" t="s">
        <v>1131</v>
      </c>
    </row>
    <row r="51" customFormat="false" ht="17.15" hidden="false" customHeight="false" outlineLevel="0" collapsed="false">
      <c r="A51" s="0" t="s">
        <v>1132</v>
      </c>
      <c r="B51" s="30" t="n">
        <f aca="false">Sens!$C$10747</f>
        <v>247.534136310779</v>
      </c>
      <c r="C51" s="30" t="n">
        <f aca="false">Sens!$C$10725</f>
        <v>169.595752814264</v>
      </c>
      <c r="D51" s="30" t="n">
        <f aca="false">Sens!$C$10746</f>
        <v>325.472519807294</v>
      </c>
    </row>
    <row r="52" customFormat="false" ht="17.15" hidden="false" customHeight="false" outlineLevel="0" collapsed="false">
      <c r="A52" s="0" t="s">
        <v>1133</v>
      </c>
      <c r="B52" s="30" t="n">
        <f aca="false">Sens!$C$10990</f>
        <v>182.433819728463</v>
      </c>
      <c r="C52" s="30" t="n">
        <f aca="false">Sens!$C$10968</f>
        <v>103.778124320424</v>
      </c>
      <c r="D52" s="30" t="n">
        <f aca="false">Sens!$C$10989</f>
        <v>261.089515136502</v>
      </c>
    </row>
    <row r="53" customFormat="false" ht="17.15" hidden="false" customHeight="false" outlineLevel="0" collapsed="false">
      <c r="A53" s="0" t="s">
        <v>1134</v>
      </c>
      <c r="B53" s="30" t="n">
        <f aca="false">Sens!$C$11233</f>
        <v>162.086983377216</v>
      </c>
      <c r="C53" s="30" t="n">
        <f aca="false">Sens!$C$11211</f>
        <v>83.121498083945</v>
      </c>
      <c r="D53" s="30" t="n">
        <f aca="false">Sens!$C$11232</f>
        <v>241.052468670486</v>
      </c>
    </row>
    <row r="60" customFormat="false" ht="19.4" hidden="false" customHeight="false" outlineLevel="0" collapsed="false">
      <c r="A60" s="31" t="s">
        <v>1135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20" t="s">
        <v>497</v>
      </c>
      <c r="D61" s="20" t="s">
        <v>498</v>
      </c>
      <c r="E61" s="20" t="s">
        <v>580</v>
      </c>
      <c r="F61" s="20" t="s">
        <v>581</v>
      </c>
      <c r="G61" s="20" t="s">
        <v>582</v>
      </c>
      <c r="H61" s="20" t="s">
        <v>583</v>
      </c>
      <c r="I61" s="20" t="s">
        <v>584</v>
      </c>
      <c r="J61" s="20" t="s">
        <v>585</v>
      </c>
      <c r="K61" s="20" t="s">
        <v>586</v>
      </c>
      <c r="L61" s="20" t="s">
        <v>587</v>
      </c>
      <c r="M61" s="20" t="s">
        <v>588</v>
      </c>
      <c r="N61" s="20" t="s">
        <v>589</v>
      </c>
      <c r="O61" s="20" t="s">
        <v>590</v>
      </c>
      <c r="P61" s="6" t="s">
        <v>23</v>
      </c>
      <c r="R61" s="20" t="n">
        <v>2023</v>
      </c>
      <c r="S61" s="20" t="n">
        <v>2024</v>
      </c>
      <c r="T61" s="20" t="n">
        <v>2025</v>
      </c>
      <c r="U61" s="20" t="n">
        <v>2026</v>
      </c>
      <c r="V61" s="20" t="n">
        <v>2027</v>
      </c>
      <c r="W61" s="20" t="n">
        <v>2028</v>
      </c>
      <c r="X61" s="20" t="n">
        <v>2029</v>
      </c>
      <c r="Y61" s="20" t="n">
        <v>2030</v>
      </c>
      <c r="Z61" s="20" t="n">
        <v>2031</v>
      </c>
      <c r="AA61" s="20" t="n">
        <v>2032</v>
      </c>
    </row>
    <row r="62" customFormat="false" ht="17.15" hidden="false" customHeight="false" outlineLevel="0" collapsed="false">
      <c r="A62" s="1" t="s">
        <v>666</v>
      </c>
    </row>
    <row r="63" customFormat="false" ht="17.15" hidden="false" customHeight="false" outlineLevel="0" collapsed="false">
      <c r="A63" s="0" t="s">
        <v>519</v>
      </c>
      <c r="B63" s="0" t="s">
        <v>86</v>
      </c>
      <c r="C63" s="38" t="n">
        <f aca="false">Q!$D$10</f>
        <v>247.029</v>
      </c>
      <c r="D63" s="38" t="n">
        <f aca="false">Q!$E$10</f>
        <v>269.287</v>
      </c>
      <c r="E63" s="38" t="n">
        <f aca="false">Q!$P$10</f>
        <v>134.686</v>
      </c>
      <c r="F63" s="38" t="n">
        <f aca="false">Sens!$O$63*(1+Sens!$F$64)*Sens!$F$75</f>
        <v>158.293876822267</v>
      </c>
      <c r="G63" s="38" t="n">
        <f aca="false">Sens!$E$63+Sens!$F$63</f>
        <v>292.979876822267</v>
      </c>
      <c r="H63" s="38" t="n">
        <f aca="false">Sens!$G$63*(1+Sens!$H$64)</f>
        <v>318.184543087396</v>
      </c>
      <c r="I63" s="38" t="n">
        <f aca="false">Sens!$H$63*(1+Sens!$I$64)</f>
        <v>341.736278761793</v>
      </c>
      <c r="J63" s="38" t="n">
        <f aca="false">Sens!$I$63*(1+Sens!$J$64)</f>
        <v>362.927192787048</v>
      </c>
      <c r="K63" s="38" t="n">
        <f aca="false">Sens!$J$63*(1+Sens!$K$64)</f>
        <v>381.0735524264</v>
      </c>
      <c r="L63" s="38" t="n">
        <f aca="false">Sens!$K$63*(1+Sens!$L$64)</f>
        <v>400.12723004772</v>
      </c>
      <c r="M63" s="38" t="n">
        <f aca="false">Sens!$L$63*(1+Sens!$M$64)</f>
        <v>420.133591550106</v>
      </c>
      <c r="N63" s="38" t="n">
        <f aca="false">Q!$N$10</f>
        <v>118.892</v>
      </c>
      <c r="O63" s="38" t="n">
        <f aca="false">Q!$O$10</f>
        <v>150.395</v>
      </c>
      <c r="P63" s="8" t="s">
        <v>667</v>
      </c>
    </row>
    <row r="64" customFormat="false" ht="17.15" hidden="false" customHeight="false" outlineLevel="0" collapsed="false">
      <c r="A64" s="0" t="s">
        <v>668</v>
      </c>
      <c r="B64" s="0" t="s">
        <v>52</v>
      </c>
      <c r="E64" s="13" t="n">
        <f aca="false">Sens!$E$63/Sens!$N$63-1</f>
        <v>0.132843252699929</v>
      </c>
      <c r="F64" s="13" t="n">
        <f aca="false">Sens!$O$63/(Q!$F$10+Q!$G$10)-1</f>
        <v>0.0980382135842941</v>
      </c>
      <c r="G64" s="13" t="n">
        <f aca="false">Sens!$G$63/Sens!$D$63-1</f>
        <v>0.0879837378791657</v>
      </c>
      <c r="H64" s="13" t="n">
        <f aca="false">Sens!$F$64+(g_os-Sens!$F$64)*1/4</f>
        <v>0.0860286601882206</v>
      </c>
      <c r="I64" s="13" t="n">
        <f aca="false">Sens!$F$64+(g_os-Sens!$F$64)*2/4</f>
        <v>0.074019106792147</v>
      </c>
      <c r="J64" s="13" t="n">
        <f aca="false">Sens!$F$64+(g_os-Sens!$F$64)*3/4</f>
        <v>0.0620095533960735</v>
      </c>
      <c r="K64" s="13" t="n">
        <f aca="false">Sens!$F$64+(g_os-Sens!$F$64)*4/4</f>
        <v>0.05</v>
      </c>
      <c r="L64" s="13" t="n">
        <f aca="false">g_os</f>
        <v>0.05</v>
      </c>
      <c r="M64" s="13" t="n">
        <f aca="false">g_os</f>
        <v>0.05</v>
      </c>
      <c r="P64" s="8" t="s">
        <v>669</v>
      </c>
    </row>
    <row r="65" customFormat="false" ht="17.15" hidden="false" customHeight="false" outlineLevel="0" collapsed="false">
      <c r="A65" s="0" t="s">
        <v>520</v>
      </c>
      <c r="B65" s="0" t="s">
        <v>86</v>
      </c>
      <c r="C65" s="38" t="n">
        <f aca="false">Q!$D$11</f>
        <v>21.215</v>
      </c>
      <c r="D65" s="38" t="n">
        <f aca="false">Q!$E$11</f>
        <v>22.561</v>
      </c>
      <c r="E65" s="38" t="n">
        <f aca="false">Q!$P$11</f>
        <v>11.579</v>
      </c>
      <c r="F65" s="38" t="n">
        <f aca="false">Sens!$O$65*(1+Sens!$F$66)*Sens!$F$75</f>
        <v>11.5938724610325</v>
      </c>
      <c r="G65" s="38" t="n">
        <f aca="false">Sens!$E$65+Sens!$F$65</f>
        <v>23.1728724610325</v>
      </c>
      <c r="H65" s="38" t="n">
        <f aca="false">Sens!$G$65*(1+Sens!$H$66)</f>
        <v>24.353392759506</v>
      </c>
      <c r="I65" s="38" t="n">
        <f aca="false">Sens!$H$65*(1+Sens!$I$66)</f>
        <v>25.4240338872015</v>
      </c>
      <c r="J65" s="38" t="n">
        <f aca="false">Sens!$I$65*(1+Sens!$J$66)</f>
        <v>26.3642491017174</v>
      </c>
      <c r="K65" s="38" t="n">
        <f aca="false">Sens!$J$65*(1+Sens!$K$66)</f>
        <v>27.155176574769</v>
      </c>
      <c r="L65" s="38" t="n">
        <f aca="false">Sens!$K$65*(1+Sens!$L$66)</f>
        <v>27.969831872012</v>
      </c>
      <c r="M65" s="38" t="n">
        <f aca="false">Sens!$L$65*(1+Sens!$M$66)</f>
        <v>28.8089268281724</v>
      </c>
      <c r="N65" s="38" t="n">
        <f aca="false">Q!$N$11</f>
        <v>11.128</v>
      </c>
      <c r="O65" s="38" t="n">
        <f aca="false">Q!$O$11</f>
        <v>11.433</v>
      </c>
      <c r="P65" s="8" t="s">
        <v>667</v>
      </c>
    </row>
    <row r="66" customFormat="false" ht="17.15" hidden="false" customHeight="false" outlineLevel="0" collapsed="false">
      <c r="A66" s="0" t="s">
        <v>670</v>
      </c>
      <c r="B66" s="0" t="s">
        <v>52</v>
      </c>
      <c r="E66" s="13" t="n">
        <f aca="false">Sens!$E$65/Sens!$N$65-1</f>
        <v>0.0405283968368082</v>
      </c>
      <c r="F66" s="13" t="n">
        <f aca="false">Sens!$O$65/(Q!$F$11+Q!$G$11)-1</f>
        <v>0.0579254187100955</v>
      </c>
      <c r="G66" s="13" t="n">
        <f aca="false">Sens!$G$65/Sens!$D$65-1</f>
        <v>0.0271208040881397</v>
      </c>
      <c r="H66" s="13" t="n">
        <f aca="false">Sens!$F$66+(g_ps-Sens!$F$66)*1/4</f>
        <v>0.0509440640325716</v>
      </c>
      <c r="I66" s="13" t="n">
        <f aca="false">Sens!$F$66+(g_ps-Sens!$F$66)*2/4</f>
        <v>0.0439627093550477</v>
      </c>
      <c r="J66" s="13" t="n">
        <f aca="false">Sens!$F$66+(g_ps-Sens!$F$66)*3/4</f>
        <v>0.0369813546775239</v>
      </c>
      <c r="K66" s="13" t="n">
        <f aca="false">Sens!$F$66+(g_ps-Sens!$F$66)*4/4</f>
        <v>0.03</v>
      </c>
      <c r="L66" s="13" t="n">
        <f aca="false">g_ps</f>
        <v>0.03</v>
      </c>
      <c r="M66" s="13" t="n">
        <f aca="false">g_ps</f>
        <v>0.03</v>
      </c>
      <c r="P66" s="8" t="s">
        <v>671</v>
      </c>
    </row>
    <row r="67" customFormat="false" ht="17.15" hidden="false" customHeight="false" outlineLevel="0" collapsed="false">
      <c r="A67" s="0" t="s">
        <v>521</v>
      </c>
      <c r="B67" s="0" t="s">
        <v>86</v>
      </c>
      <c r="C67" s="38" t="n">
        <f aca="false">Q!$D$12</f>
        <v>156.146</v>
      </c>
      <c r="D67" s="38" t="n">
        <f aca="false">Q!$E$12</f>
        <v>172.162</v>
      </c>
      <c r="E67" s="38" t="n">
        <f aca="false">Q!$P$12</f>
        <v>88.358</v>
      </c>
      <c r="F67" s="38" t="n">
        <f aca="false">Sens!$O$67*(1+Sens!$F$68)*Sens!$F$75</f>
        <v>102.004388260171</v>
      </c>
      <c r="G67" s="38" t="n">
        <f aca="false">Sens!$E$67+Sens!$F$67</f>
        <v>190.362388260171</v>
      </c>
      <c r="H67" s="38" t="n">
        <f aca="false">Sens!$G$67*(1+Sens!$H$68)</f>
        <v>210.343106588311</v>
      </c>
      <c r="I67" s="38" t="n">
        <f aca="false">Sens!$H$67*(1+Sens!$I$68)</f>
        <v>229.969728494648</v>
      </c>
      <c r="J67" s="38" t="n">
        <f aca="false">Sens!$I$67*(1+Sens!$J$68)</f>
        <v>248.747636972598</v>
      </c>
      <c r="K67" s="38" t="n">
        <f aca="false">Sens!$J$67*(1+Sens!$K$68)</f>
        <v>266.15997156068</v>
      </c>
      <c r="L67" s="38" t="n">
        <f aca="false">Sens!$K$67*(1+Sens!$L$68)</f>
        <v>284.791169569927</v>
      </c>
      <c r="M67" s="38" t="n">
        <f aca="false">Sens!$L$67*(1+Sens!$M$68)</f>
        <v>304.726551439822</v>
      </c>
      <c r="N67" s="38" t="n">
        <f aca="false">Q!$N$12</f>
        <v>76.86</v>
      </c>
      <c r="O67" s="38" t="n">
        <f aca="false">Q!$O$12</f>
        <v>95.302</v>
      </c>
      <c r="P67" s="8" t="s">
        <v>667</v>
      </c>
    </row>
    <row r="68" customFormat="false" ht="17.15" hidden="false" customHeight="false" outlineLevel="0" collapsed="false">
      <c r="A68" s="0" t="s">
        <v>672</v>
      </c>
      <c r="B68" s="0" t="s">
        <v>52</v>
      </c>
      <c r="E68" s="13" t="n">
        <f aca="false">Sens!$E$67/Sens!$N$67-1</f>
        <v>0.1495966692688</v>
      </c>
      <c r="F68" s="13" t="n">
        <f aca="false">Sens!$O$67/(Q!$F$12+Q!$G$12)-1</f>
        <v>0.11661530890813</v>
      </c>
      <c r="G68" s="13" t="n">
        <f aca="false">Sens!$G$67/Sens!$D$67-1</f>
        <v>0.105716640490767</v>
      </c>
      <c r="H68" s="13" t="n">
        <f aca="false">Sens!$F$68+(g_sp-Sens!$F$68)*1/4</f>
        <v>0.104961481681098</v>
      </c>
      <c r="I68" s="13" t="n">
        <f aca="false">Sens!$F$68+(g_sp-Sens!$F$68)*2/4</f>
        <v>0.0933076544540651</v>
      </c>
      <c r="J68" s="13" t="n">
        <f aca="false">Sens!$F$68+(g_sp-Sens!$F$68)*3/4</f>
        <v>0.0816538272270325</v>
      </c>
      <c r="K68" s="13" t="n">
        <f aca="false">Sens!$F$68+(g_sp-Sens!$F$68)*4/4</f>
        <v>0.07</v>
      </c>
      <c r="L68" s="13" t="n">
        <f aca="false">g_sp</f>
        <v>0.07</v>
      </c>
      <c r="M68" s="13" t="n">
        <f aca="false">g_sp</f>
        <v>0.07</v>
      </c>
      <c r="P68" s="8" t="s">
        <v>673</v>
      </c>
    </row>
    <row r="69" customFormat="false" ht="17.15" hidden="false" customHeight="false" outlineLevel="0" collapsed="false">
      <c r="A69" s="0" t="s">
        <v>522</v>
      </c>
      <c r="B69" s="0" t="s">
        <v>86</v>
      </c>
      <c r="C69" s="38" t="n">
        <f aca="false">Q!$D$13</f>
        <v>56.214</v>
      </c>
      <c r="D69" s="38" t="n">
        <f aca="false">Q!$E$13</f>
        <v>68.635</v>
      </c>
      <c r="E69" s="38" t="n">
        <f aca="false">Q!$P$13</f>
        <v>37.052</v>
      </c>
      <c r="F69" s="38" t="n">
        <f aca="false">Sens!$O$69*(1+Sens!$F$70)*Sens!$F$75</f>
        <v>46.1572219944148</v>
      </c>
      <c r="G69" s="38" t="n">
        <f aca="false">Sens!$E$69+Sens!$F$69</f>
        <v>83.2092219944148</v>
      </c>
      <c r="H69" s="38" t="n">
        <f aca="false">Sens!$G$69*(1+Sens!$H$70)</f>
        <v>99.8969223878976</v>
      </c>
      <c r="I69" s="38" t="n">
        <f aca="false">Sens!$H$69*(1+Sens!$I$70)</f>
        <v>116.583111095496</v>
      </c>
      <c r="J69" s="38" t="n">
        <f aca="false">Sens!$I$69*(1+Sens!$J$70)</f>
        <v>132.148941941952</v>
      </c>
      <c r="K69" s="38" t="n">
        <f aca="false">Sens!$J$69*(1+Sens!$K$70)</f>
        <v>145.363836136147</v>
      </c>
      <c r="L69" s="38" t="n">
        <f aca="false">Sens!$K$69*(1+Sens!$L$70)</f>
        <v>159.900219749762</v>
      </c>
      <c r="M69" s="38" t="n">
        <f aca="false">Sens!$L$69*(1+Sens!$M$70)</f>
        <v>175.890241724738</v>
      </c>
      <c r="N69" s="38" t="n">
        <f aca="false">Q!$N$13</f>
        <v>29.615</v>
      </c>
      <c r="O69" s="38" t="n">
        <f aca="false">Q!$O$13</f>
        <v>39.02</v>
      </c>
      <c r="P69" s="8" t="s">
        <v>667</v>
      </c>
    </row>
    <row r="70" customFormat="false" ht="17.15" hidden="false" customHeight="false" outlineLevel="0" collapsed="false">
      <c r="A70" s="0" t="s">
        <v>674</v>
      </c>
      <c r="B70" s="0" t="s">
        <v>52</v>
      </c>
      <c r="E70" s="13" t="n">
        <f aca="false">Sens!$E$69/Sens!$N$69-1</f>
        <v>0.25112274185379</v>
      </c>
      <c r="F70" s="13" t="n">
        <f aca="false">Sens!$O$69/(Q!$F$13+Q!$G$13)-1</f>
        <v>0.234068123596572</v>
      </c>
      <c r="G70" s="13" t="n">
        <f aca="false">Sens!$G$69/Sens!$D$69-1</f>
        <v>0.212343876949294</v>
      </c>
      <c r="H70" s="13" t="n">
        <f aca="false">Sens!$F$70+(g_ad-Sens!$F$70)*1/4</f>
        <v>0.200551092697429</v>
      </c>
      <c r="I70" s="13" t="n">
        <f aca="false">Sens!$F$70+(g_ad-Sens!$F$70)*2/4</f>
        <v>0.167034061798286</v>
      </c>
      <c r="J70" s="13" t="n">
        <f aca="false">Sens!$F$70+(g_ad-Sens!$F$70)*3/4</f>
        <v>0.133517030899143</v>
      </c>
      <c r="K70" s="13" t="n">
        <f aca="false">Sens!$F$70+(g_ad-Sens!$F$70)*4/4</f>
        <v>0.1</v>
      </c>
      <c r="L70" s="13" t="n">
        <f aca="false">g_ad</f>
        <v>0.1</v>
      </c>
      <c r="M70" s="13" t="n">
        <f aca="false">g_ad</f>
        <v>0.1</v>
      </c>
      <c r="P70" s="8" t="s">
        <v>675</v>
      </c>
    </row>
    <row r="71" customFormat="false" ht="17.15" hidden="false" customHeight="false" outlineLevel="0" collapsed="false">
      <c r="A71" s="0" t="s">
        <v>523</v>
      </c>
      <c r="B71" s="0" t="s">
        <v>86</v>
      </c>
      <c r="C71" s="38" t="n">
        <f aca="false">Q!$D$14</f>
        <v>44.374</v>
      </c>
      <c r="D71" s="38" t="n">
        <f aca="false">Q!$E$14</f>
        <v>49.619</v>
      </c>
      <c r="E71" s="38" t="n">
        <f aca="false">Q!$P$14</f>
        <v>27.157</v>
      </c>
      <c r="F71" s="38" t="n">
        <f aca="false">Sens!$O$71*(1+Sens!$F$72)*Sens!$F$75</f>
        <v>27.7764165988154</v>
      </c>
      <c r="G71" s="38" t="n">
        <f aca="false">Sens!$E$71+Sens!$F$71</f>
        <v>54.9334165988154</v>
      </c>
      <c r="H71" s="38" t="n">
        <f aca="false">Sens!$G$71*(1+Sens!$H$72)</f>
        <v>61.1564112561829</v>
      </c>
      <c r="I71" s="38" t="n">
        <f aca="false">Sens!$H$71*(1+Sens!$I$72)</f>
        <v>67.2020282103945</v>
      </c>
      <c r="J71" s="38" t="n">
        <f aca="false">Sens!$I$71*(1+Sens!$J$72)</f>
        <v>72.8757274028885</v>
      </c>
      <c r="K71" s="38" t="n">
        <f aca="false">Sens!$J$71*(1+Sens!$K$72)</f>
        <v>77.9770283210907</v>
      </c>
      <c r="L71" s="38" t="n">
        <f aca="false">Sens!$K$71*(1+Sens!$L$72)</f>
        <v>83.4354203035671</v>
      </c>
      <c r="M71" s="38" t="n">
        <f aca="false">Sens!$L$71*(1+Sens!$M$72)</f>
        <v>89.2758997248168</v>
      </c>
      <c r="N71" s="38" t="n">
        <f aca="false">Q!$N$14</f>
        <v>23.923</v>
      </c>
      <c r="O71" s="38" t="n">
        <f aca="false">Q!$O$14</f>
        <v>25.696</v>
      </c>
      <c r="P71" s="8" t="s">
        <v>667</v>
      </c>
    </row>
    <row r="72" customFormat="false" ht="17.15" hidden="false" customHeight="false" outlineLevel="0" collapsed="false">
      <c r="A72" s="0" t="s">
        <v>676</v>
      </c>
      <c r="B72" s="0" t="s">
        <v>52</v>
      </c>
      <c r="E72" s="13" t="n">
        <f aca="false">Sens!$E$71/Sens!$N$71-1</f>
        <v>0.135183714417088</v>
      </c>
      <c r="F72" s="13" t="n">
        <f aca="false">Sens!$O$71/(Q!$F$14+Q!$G$14)-1</f>
        <v>0.127709997366804</v>
      </c>
      <c r="G72" s="13" t="n">
        <f aca="false">Sens!$G$71/Sens!$D$71-1</f>
        <v>0.107104468022641</v>
      </c>
      <c r="H72" s="13" t="n">
        <f aca="false">Sens!$F$72+(g_sub-Sens!$F$72)*1/4</f>
        <v>0.113282498025103</v>
      </c>
      <c r="I72" s="13" t="n">
        <f aca="false">Sens!$F$72+(g_sub-Sens!$F$72)*2/4</f>
        <v>0.0988549986834021</v>
      </c>
      <c r="J72" s="13" t="n">
        <f aca="false">Sens!$F$72+(g_sub-Sens!$F$72)*3/4</f>
        <v>0.084427499341701</v>
      </c>
      <c r="K72" s="13" t="n">
        <f aca="false">Sens!$F$72+(g_sub-Sens!$F$72)*4/4</f>
        <v>0.07</v>
      </c>
      <c r="L72" s="13" t="n">
        <f aca="false">g_sub</f>
        <v>0.07</v>
      </c>
      <c r="M72" s="13" t="n">
        <f aca="false">g_sub</f>
        <v>0.07</v>
      </c>
      <c r="P72" s="8" t="s">
        <v>677</v>
      </c>
    </row>
    <row r="73" customFormat="false" ht="17.15" hidden="false" customHeight="false" outlineLevel="0" collapsed="false">
      <c r="A73" s="0" t="s">
        <v>524</v>
      </c>
      <c r="B73" s="0" t="s">
        <v>86</v>
      </c>
      <c r="C73" s="38" t="n">
        <f aca="false">Q!$D$15</f>
        <v>5.425</v>
      </c>
      <c r="D73" s="38" t="n">
        <f aca="false">Q!$E$15</f>
        <v>5.935</v>
      </c>
      <c r="E73" s="38" t="n">
        <f aca="false">Q!$P$15</f>
        <v>3.474</v>
      </c>
      <c r="F73" s="38" t="n">
        <f aca="false">Sens!$O$73*(1+Sens!$F$74)*Sens!$F$75</f>
        <v>3.22246550883619</v>
      </c>
      <c r="G73" s="38" t="n">
        <f aca="false">Sens!$E$73+Sens!$F$73</f>
        <v>6.69646550883619</v>
      </c>
      <c r="H73" s="38" t="n">
        <f aca="false">Sens!$G$73*(1+Sens!$H$74)</f>
        <v>7.16251344209196</v>
      </c>
      <c r="I73" s="38" t="n">
        <f aca="false">Sens!$H$73*(1+Sens!$I$74)</f>
        <v>7.61421070299826</v>
      </c>
      <c r="J73" s="38" t="n">
        <f aca="false">Sens!$I$73*(1+Sens!$J$74)</f>
        <v>8.04465753523932</v>
      </c>
      <c r="K73" s="38" t="n">
        <f aca="false">Sens!$J$73*(1+Sens!$K$74)</f>
        <v>8.44689041200128</v>
      </c>
      <c r="L73" s="38" t="n">
        <f aca="false">Sens!$K$73*(1+Sens!$L$74)</f>
        <v>8.86923493260135</v>
      </c>
      <c r="M73" s="38" t="n">
        <f aca="false">Sens!$L$73*(1+Sens!$M$74)</f>
        <v>9.31269667923142</v>
      </c>
      <c r="N73" s="38" t="n">
        <f aca="false">Q!$N$15</f>
        <v>2.811</v>
      </c>
      <c r="O73" s="38" t="n">
        <f aca="false">Q!$O$15</f>
        <v>3.124</v>
      </c>
      <c r="P73" s="8" t="s">
        <v>667</v>
      </c>
    </row>
    <row r="74" customFormat="false" ht="17.15" hidden="false" customHeight="false" outlineLevel="0" collapsed="false">
      <c r="A74" s="0" t="s">
        <v>678</v>
      </c>
      <c r="B74" s="0" t="s">
        <v>52</v>
      </c>
      <c r="E74" s="13" t="n">
        <f aca="false">Sens!$E$73/Sens!$N$73-1</f>
        <v>0.235859124866596</v>
      </c>
      <c r="F74" s="13" t="n">
        <f aca="false">Sens!$O$73/(Q!$F$15+Q!$G$15)-1</f>
        <v>0.0761281433000345</v>
      </c>
      <c r="G74" s="13" t="n">
        <f aca="false">Sens!$G$73/Sens!$D$73-1</f>
        <v>0.128300843948811</v>
      </c>
      <c r="H74" s="13" t="n">
        <f aca="false">Sens!$F$74+(g_ot-Sens!$F$74)*1/4</f>
        <v>0.0695961074750259</v>
      </c>
      <c r="I74" s="13" t="n">
        <f aca="false">Sens!$F$74+(g_ot-Sens!$F$74)*2/4</f>
        <v>0.0630640716500172</v>
      </c>
      <c r="J74" s="13" t="n">
        <f aca="false">Sens!$F$74+(g_ot-Sens!$F$74)*3/4</f>
        <v>0.0565320358250086</v>
      </c>
      <c r="K74" s="13" t="n">
        <f aca="false">Sens!$F$74+(g_ot-Sens!$F$74)*4/4</f>
        <v>0.05</v>
      </c>
      <c r="L74" s="13" t="n">
        <f aca="false">g_ot</f>
        <v>0.05</v>
      </c>
      <c r="M74" s="13" t="n">
        <f aca="false">g_ot</f>
        <v>0.05</v>
      </c>
      <c r="P74" s="8" t="s">
        <v>679</v>
      </c>
    </row>
    <row r="75" customFormat="false" ht="17.15" hidden="false" customHeight="false" outlineLevel="0" collapsed="false">
      <c r="A75" s="0" t="s">
        <v>680</v>
      </c>
      <c r="B75" s="0" t="s">
        <v>57</v>
      </c>
      <c r="F75" s="40" t="n">
        <f aca="false">(g26q3_mid*Q!$O$8/Q!$J$8-Thesis!$F$86-Thesis!$F$90)/(Sens!$O$63*(1+Sens!$F$64)+Sens!$O$65*(1+Sens!$F$66)+Sens!$O$67*(1+Sens!$F$68)+Sens!$O$69*(1+Sens!$F$70)+Sens!$O$71*(1+Sens!$F$72)+Sens!$O$73*(1+Sens!$F$74))</f>
        <v>0.958546670622329</v>
      </c>
      <c r="P75" s="8" t="s">
        <v>681</v>
      </c>
    </row>
    <row r="76" customFormat="false" ht="17.15" hidden="false" customHeight="false" outlineLevel="0" collapsed="false">
      <c r="A76" s="3" t="s">
        <v>682</v>
      </c>
      <c r="B76" s="8" t="s">
        <v>86</v>
      </c>
      <c r="C76" s="38" t="n">
        <f aca="false">Sens!$C$63+Sens!$C$65+Sens!$C$67+Sens!$C$69+Sens!$C$71+Sens!$C$73</f>
        <v>530.403</v>
      </c>
      <c r="D76" s="38" t="n">
        <f aca="false">Sens!$D$63+Sens!$D$65+Sens!$D$67+Sens!$D$69+Sens!$D$71+Sens!$D$73</f>
        <v>588.199</v>
      </c>
      <c r="E76" s="38" t="n">
        <f aca="false">Sens!$E$63+Sens!$E$65+Sens!$E$67+Sens!$E$69+Sens!$E$71+Sens!$E$73</f>
        <v>302.306</v>
      </c>
      <c r="F76" s="38" t="n">
        <f aca="false">Sens!$F$63+Sens!$F$65+Sens!$F$67+Sens!$F$69+Sens!$F$71+Sens!$F$73</f>
        <v>349.048241645537</v>
      </c>
      <c r="G76" s="38" t="n">
        <f aca="false">Sens!$G$63+Sens!$G$65+Sens!$G$67+Sens!$G$69+Sens!$G$71+Sens!$G$73</f>
        <v>651.354241645537</v>
      </c>
      <c r="H76" s="38" t="n">
        <f aca="false">Sens!$H$63+Sens!$H$65+Sens!$H$67+Sens!$H$69+Sens!$H$71+Sens!$H$73</f>
        <v>721.096889521386</v>
      </c>
      <c r="I76" s="38" t="n">
        <f aca="false">Sens!$I$63+Sens!$I$65+Sens!$I$67+Sens!$I$69+Sens!$I$71+Sens!$I$73</f>
        <v>788.529391152531</v>
      </c>
      <c r="J76" s="38" t="n">
        <f aca="false">Sens!$J$63+Sens!$J$65+Sens!$J$67+Sens!$J$69+Sens!$J$71+Sens!$J$73</f>
        <v>851.108405741443</v>
      </c>
      <c r="K76" s="38" t="n">
        <f aca="false">Sens!$K$63+Sens!$K$65+Sens!$K$67+Sens!$K$69+Sens!$K$71+Sens!$K$73</f>
        <v>906.176455431088</v>
      </c>
      <c r="L76" s="38" t="n">
        <f aca="false">Sens!$L$63+Sens!$L$65+Sens!$L$67+Sens!$L$69+Sens!$L$71+Sens!$L$73</f>
        <v>965.093106475589</v>
      </c>
      <c r="M76" s="38" t="n">
        <f aca="false">Sens!$M$63+Sens!$M$65+Sens!$M$67+Sens!$M$69+Sens!$M$71+Sens!$M$73</f>
        <v>1028.14790794689</v>
      </c>
      <c r="N76" s="38" t="n">
        <f aca="false">Sens!$N$63+Sens!$N$65+Sens!$N$67+Sens!$N$69+Sens!$N$71+Sens!$N$73</f>
        <v>263.229</v>
      </c>
      <c r="O76" s="38" t="n">
        <f aca="false">Sens!$O$63+Sens!$O$65+Sens!$O$67+Sens!$O$69+Sens!$O$71+Sens!$O$73</f>
        <v>324.97</v>
      </c>
    </row>
    <row r="77" customFormat="false" ht="17.15" hidden="false" customHeight="false" outlineLevel="0" collapsed="false">
      <c r="A77" s="5" t="s">
        <v>683</v>
      </c>
      <c r="B77" s="0" t="s">
        <v>52</v>
      </c>
      <c r="C77" s="13" t="n">
        <f aca="false">Q!$D$5/(Q!$D$5+Q!$D$6)</f>
        <v>0.730570905519011</v>
      </c>
      <c r="D77" s="13" t="n">
        <f aca="false">Q!$E$5/(Q!$E$5+Q!$E$6)</f>
        <v>0.724763217890544</v>
      </c>
      <c r="E77" s="13" t="n">
        <f aca="false">Q!$P$5/(Q!$P$5+Q!$P$6)</f>
        <v>0.728797972914861</v>
      </c>
      <c r="F77" s="13" t="n">
        <f aca="false">Sens!$O$77</f>
        <v>0.718066283041511</v>
      </c>
      <c r="G77" s="13" t="n">
        <f aca="false">Sens!$G$78/Sens!$G$76</f>
        <v>0.723047066202847</v>
      </c>
      <c r="H77" s="13" t="n">
        <f aca="false">Sens!$G$77</f>
        <v>0.723047066202847</v>
      </c>
      <c r="I77" s="13" t="n">
        <f aca="false">Sens!$G$77</f>
        <v>0.723047066202847</v>
      </c>
      <c r="J77" s="13" t="n">
        <f aca="false">Sens!$G$77</f>
        <v>0.723047066202847</v>
      </c>
      <c r="K77" s="13" t="n">
        <f aca="false">Sens!$G$77</f>
        <v>0.723047066202847</v>
      </c>
      <c r="L77" s="13" t="n">
        <f aca="false">Sens!$G$77</f>
        <v>0.723047066202847</v>
      </c>
      <c r="M77" s="13" t="n">
        <f aca="false">Sens!$G$77</f>
        <v>0.723047066202847</v>
      </c>
      <c r="N77" s="13" t="n">
        <f aca="false">Q!$N$5/(Q!$N$5+Q!$N$6)</f>
        <v>0.733030935041352</v>
      </c>
      <c r="O77" s="13" t="n">
        <f aca="false">Q!$O$5/(Q!$O$5+Q!$O$6)</f>
        <v>0.718066283041511</v>
      </c>
      <c r="P77" s="8" t="s">
        <v>684</v>
      </c>
    </row>
    <row r="78" customFormat="false" ht="17.15" hidden="false" customHeight="false" outlineLevel="0" collapsed="false">
      <c r="A78" s="1" t="s">
        <v>512</v>
      </c>
      <c r="B78" s="8" t="s">
        <v>86</v>
      </c>
      <c r="C78" s="38" t="n">
        <f aca="false">Q!$D$5</f>
        <v>387.497</v>
      </c>
      <c r="D78" s="38" t="n">
        <f aca="false">Q!$E$5</f>
        <v>426.305</v>
      </c>
      <c r="E78" s="38" t="n">
        <f aca="false">Q!$P$5</f>
        <v>220.32</v>
      </c>
      <c r="F78" s="38" t="n">
        <f aca="false">Sens!$F$76*Sens!$F$77</f>
        <v>250.639773480586</v>
      </c>
      <c r="G78" s="38" t="n">
        <f aca="false">Sens!$E$78+Sens!$F$78</f>
        <v>470.959773480586</v>
      </c>
      <c r="H78" s="38" t="n">
        <f aca="false">Sens!$H$76*Sens!$H$77</f>
        <v>521.386990416437</v>
      </c>
      <c r="I78" s="38" t="n">
        <f aca="false">Sens!$I$76*Sens!$I$77</f>
        <v>570.143862887555</v>
      </c>
      <c r="J78" s="38" t="n">
        <f aca="false">Sens!$J$76*Sens!$J$77</f>
        <v>615.391435791933</v>
      </c>
      <c r="K78" s="38" t="n">
        <f aca="false">Sens!$K$76*Sens!$K$77</f>
        <v>655.208227561543</v>
      </c>
      <c r="L78" s="38" t="n">
        <f aca="false">Sens!$L$76*Sens!$L$77</f>
        <v>697.807739249767</v>
      </c>
      <c r="M78" s="38" t="n">
        <f aca="false">Sens!$M$76*Sens!$M$77</f>
        <v>743.399328463592</v>
      </c>
      <c r="N78" s="38" t="n">
        <f aca="false">Q!$N$5</f>
        <v>192.955</v>
      </c>
      <c r="O78" s="38" t="n">
        <f aca="false">Q!$O$5</f>
        <v>233.35</v>
      </c>
      <c r="P78" s="5" t="s">
        <v>685</v>
      </c>
    </row>
    <row r="79" customFormat="false" ht="17.15" hidden="false" customHeight="false" outlineLevel="0" collapsed="false">
      <c r="A79" s="1" t="s">
        <v>515</v>
      </c>
      <c r="B79" s="8" t="s">
        <v>86</v>
      </c>
      <c r="C79" s="38" t="n">
        <f aca="false">Q!$D$6</f>
        <v>142.906</v>
      </c>
      <c r="D79" s="38" t="n">
        <f aca="false">Q!$E$6</f>
        <v>161.894</v>
      </c>
      <c r="E79" s="38" t="n">
        <f aca="false">Q!$P$6</f>
        <v>81.986</v>
      </c>
      <c r="F79" s="38" t="n">
        <f aca="false">Sens!$F$76*(1-Sens!$F$77)</f>
        <v>98.408468164951</v>
      </c>
      <c r="G79" s="38" t="n">
        <f aca="false">Sens!$E$79+Sens!$F$79</f>
        <v>180.394468164951</v>
      </c>
      <c r="H79" s="38" t="n">
        <f aca="false">Sens!$H$76*(1-Sens!$H$77)</f>
        <v>199.709899104949</v>
      </c>
      <c r="I79" s="38" t="n">
        <f aca="false">Sens!$I$76*(1-Sens!$I$77)</f>
        <v>218.385528264976</v>
      </c>
      <c r="J79" s="38" t="n">
        <f aca="false">Sens!$J$76*(1-Sens!$J$77)</f>
        <v>235.71696994951</v>
      </c>
      <c r="K79" s="38" t="n">
        <f aca="false">Sens!$K$76*(1-Sens!$K$77)</f>
        <v>250.968227869545</v>
      </c>
      <c r="L79" s="38" t="n">
        <f aca="false">Sens!$L$76*(1-Sens!$L$77)</f>
        <v>267.285367225822</v>
      </c>
      <c r="M79" s="38" t="n">
        <f aca="false">Sens!$M$76*(1-Sens!$M$77)</f>
        <v>284.748579483295</v>
      </c>
      <c r="N79" s="38" t="n">
        <f aca="false">Q!$N$6</f>
        <v>70.274</v>
      </c>
      <c r="O79" s="38" t="n">
        <f aca="false">Q!$O$6</f>
        <v>91.62</v>
      </c>
      <c r="P79" s="5" t="s">
        <v>686</v>
      </c>
    </row>
    <row r="80" customFormat="false" ht="17.15" hidden="false" customHeight="false" outlineLevel="0" collapsed="false">
      <c r="A80" s="5" t="s">
        <v>687</v>
      </c>
      <c r="B80" s="0" t="s">
        <v>86</v>
      </c>
      <c r="C80" s="38" t="n">
        <f aca="false">Sens!$C$69*Sens!$C$77</f>
        <v>41.0683128828457</v>
      </c>
      <c r="D80" s="38" t="n">
        <f aca="false">Sens!$D$69*Sens!$D$77</f>
        <v>49.7441234599175</v>
      </c>
      <c r="E80" s="38" t="n">
        <f aca="false">Sens!$E$69*Sens!$E$77</f>
        <v>27.0034224924414</v>
      </c>
      <c r="F80" s="38" t="n">
        <f aca="false">Sens!$F$69*Sens!$F$77</f>
        <v>33.1439448330513</v>
      </c>
      <c r="G80" s="38" t="n">
        <f aca="false">Sens!$G$69*Sens!$G$77</f>
        <v>60.164183844083</v>
      </c>
      <c r="H80" s="38" t="n">
        <f aca="false">Sens!$H$69*Sens!$H$77</f>
        <v>72.2301766552629</v>
      </c>
      <c r="I80" s="38" t="n">
        <f aca="false">Sens!$I$69*Sens!$I$77</f>
        <v>84.2950764463991</v>
      </c>
      <c r="J80" s="38" t="n">
        <f aca="false">Sens!$J$69*Sens!$J$77</f>
        <v>95.5499047729386</v>
      </c>
      <c r="K80" s="38" t="n">
        <f aca="false">Sens!$K$69*Sens!$K$77</f>
        <v>105.104895250232</v>
      </c>
      <c r="L80" s="38" t="n">
        <f aca="false">Sens!$L$69*Sens!$L$77</f>
        <v>115.615384775256</v>
      </c>
      <c r="M80" s="38" t="n">
        <f aca="false">Sens!$M$69*Sens!$M$77</f>
        <v>127.176923252781</v>
      </c>
      <c r="N80" s="38" t="n">
        <f aca="false">Sens!$N$69*Sens!$N$77</f>
        <v>21.7087111412496</v>
      </c>
      <c r="O80" s="38" t="n">
        <f aca="false">Sens!$O$69*Sens!$O$77</f>
        <v>28.0189463642798</v>
      </c>
      <c r="P80" s="5" t="s">
        <v>688</v>
      </c>
    </row>
    <row r="81" customFormat="false" ht="15" hidden="false" customHeight="false" outlineLevel="0" collapsed="false">
      <c r="A81" s="5" t="s">
        <v>689</v>
      </c>
      <c r="B81" s="0" t="s">
        <v>86</v>
      </c>
      <c r="C81" s="38" t="n">
        <f aca="false">Sens!$C$69-Sens!$C$80</f>
        <v>15.1456871171543</v>
      </c>
      <c r="D81" s="38" t="n">
        <f aca="false">Sens!$D$69-Sens!$D$80</f>
        <v>18.8908765400825</v>
      </c>
      <c r="E81" s="38" t="n">
        <f aca="false">Sens!$E$69-Sens!$E$80</f>
        <v>10.0485775075586</v>
      </c>
      <c r="F81" s="38" t="n">
        <f aca="false">Sens!$F$69-Sens!$F$80</f>
        <v>13.0132771613635</v>
      </c>
      <c r="G81" s="38" t="n">
        <f aca="false">Sens!$G$69-Sens!$G$80</f>
        <v>23.0450381503318</v>
      </c>
      <c r="H81" s="38" t="n">
        <f aca="false">Sens!$H$69-Sens!$H$80</f>
        <v>27.6667457326347</v>
      </c>
      <c r="I81" s="38" t="n">
        <f aca="false">Sens!$I$69-Sens!$I$80</f>
        <v>32.2880346490971</v>
      </c>
      <c r="J81" s="38" t="n">
        <f aca="false">Sens!$J$69-Sens!$J$80</f>
        <v>36.5990371690132</v>
      </c>
      <c r="K81" s="38" t="n">
        <f aca="false">Sens!$K$69-Sens!$K$80</f>
        <v>40.2589408859145</v>
      </c>
      <c r="L81" s="38" t="n">
        <f aca="false">Sens!$L$69-Sens!$L$80</f>
        <v>44.2848349745059</v>
      </c>
      <c r="M81" s="38" t="n">
        <f aca="false">Sens!$M$69-Sens!$M$80</f>
        <v>48.7133184719565</v>
      </c>
      <c r="N81" s="38" t="n">
        <f aca="false">Sens!$N$69-Sens!$N$80</f>
        <v>7.90628885875037</v>
      </c>
      <c r="O81" s="38" t="n">
        <f aca="false">Sens!$O$69-Sens!$O$80</f>
        <v>11.0010536357202</v>
      </c>
    </row>
    <row r="82" customFormat="false" ht="19.4" hidden="false" customHeight="false" outlineLevel="0" collapsed="false">
      <c r="A82" s="31" t="s">
        <v>1136</v>
      </c>
    </row>
    <row r="83" customFormat="false" ht="17.15" hidden="false" customHeight="false" outlineLevel="0" collapsed="false">
      <c r="A83" s="6" t="s">
        <v>16</v>
      </c>
      <c r="B83" s="6" t="s">
        <v>17</v>
      </c>
      <c r="C83" s="20" t="s">
        <v>497</v>
      </c>
      <c r="D83" s="20" t="s">
        <v>498</v>
      </c>
      <c r="E83" s="20" t="s">
        <v>580</v>
      </c>
      <c r="F83" s="20" t="s">
        <v>581</v>
      </c>
      <c r="G83" s="20" t="s">
        <v>582</v>
      </c>
      <c r="H83" s="20" t="s">
        <v>583</v>
      </c>
      <c r="I83" s="20" t="s">
        <v>584</v>
      </c>
      <c r="J83" s="20" t="s">
        <v>585</v>
      </c>
      <c r="K83" s="20" t="s">
        <v>586</v>
      </c>
      <c r="L83" s="20" t="s">
        <v>587</v>
      </c>
      <c r="M83" s="20" t="s">
        <v>588</v>
      </c>
      <c r="N83" s="20" t="s">
        <v>589</v>
      </c>
      <c r="O83" s="20" t="s">
        <v>590</v>
      </c>
      <c r="P83" s="6" t="s">
        <v>23</v>
      </c>
      <c r="R83" s="20" t="n">
        <v>2023</v>
      </c>
      <c r="S83" s="20" t="n">
        <v>2024</v>
      </c>
      <c r="T83" s="20" t="n">
        <v>2025</v>
      </c>
      <c r="U83" s="20" t="n">
        <v>2026</v>
      </c>
      <c r="V83" s="20" t="n">
        <v>2027</v>
      </c>
      <c r="W83" s="20" t="n">
        <v>2028</v>
      </c>
      <c r="X83" s="20" t="n">
        <v>2029</v>
      </c>
      <c r="Y83" s="20" t="n">
        <v>2030</v>
      </c>
      <c r="Z83" s="20" t="n">
        <v>2031</v>
      </c>
      <c r="AA83" s="20" t="n">
        <v>2032</v>
      </c>
    </row>
    <row r="84" customFormat="false" ht="17.15" hidden="false" customHeight="false" outlineLevel="0" collapsed="false">
      <c r="A84" s="1" t="s">
        <v>591</v>
      </c>
    </row>
    <row r="85" customFormat="false" ht="17.15" hidden="false" customHeight="false" outlineLevel="0" collapsed="false">
      <c r="A85" s="5" t="s">
        <v>592</v>
      </c>
      <c r="B85" s="0" t="s">
        <v>144</v>
      </c>
      <c r="H85" s="32" t="n">
        <f aca="false">pace_B</f>
        <v>3634.3</v>
      </c>
      <c r="I85" s="32" t="n">
        <f aca="false">pace_B</f>
        <v>3634.3</v>
      </c>
      <c r="J85" s="32" t="n">
        <f aca="false">pace_B</f>
        <v>3634.3</v>
      </c>
      <c r="K85" s="32" t="n">
        <f aca="false">pace_B+(Sens!$J$86*tg-pace_B)*1/3</f>
        <v>2570.86716666667</v>
      </c>
      <c r="L85" s="32" t="n">
        <f aca="false">pace_B+(Sens!$J$86*tg-pace_B)*2/3</f>
        <v>1507.43433333333</v>
      </c>
      <c r="M85" s="32" t="n">
        <f aca="false">pace_B+(Sens!$J$86*tg-pace_B)*3/3</f>
        <v>444.0015</v>
      </c>
      <c r="P85" s="5" t="s">
        <v>593</v>
      </c>
    </row>
    <row r="86" customFormat="false" ht="17.15" hidden="false" customHeight="false" outlineLevel="0" collapsed="false">
      <c r="A86" s="15" t="s">
        <v>594</v>
      </c>
      <c r="B86" s="14" t="s">
        <v>129</v>
      </c>
      <c r="C86" s="33" t="n">
        <f aca="false">mw_ye24</f>
        <v>360</v>
      </c>
      <c r="D86" s="33" t="n">
        <f aca="false">mw_ye25</f>
        <v>1440</v>
      </c>
      <c r="E86" s="33" t="n">
        <f aca="false">mw_open</f>
        <v>2080</v>
      </c>
      <c r="F86" s="33" t="n">
        <f aca="false">Sens!$E$86+pace_B*0.5</f>
        <v>3897.15</v>
      </c>
      <c r="G86" s="33" t="n">
        <f aca="false">Sens!$F$86</f>
        <v>3897.15</v>
      </c>
      <c r="H86" s="33" t="n">
        <f aca="false">Sens!$G$86+Sens!$H$85</f>
        <v>7531.45</v>
      </c>
      <c r="I86" s="33" t="n">
        <f aca="false">Sens!$H$86+Sens!$I$85</f>
        <v>11165.75</v>
      </c>
      <c r="J86" s="33" t="n">
        <f aca="false">Sens!$I$86+Sens!$J$85</f>
        <v>14800.05</v>
      </c>
      <c r="K86" s="33" t="n">
        <f aca="false">Sens!$J$86+Sens!$K$85</f>
        <v>17370.9171666667</v>
      </c>
      <c r="L86" s="33" t="n">
        <f aca="false">Sens!$K$86+Sens!$L$85</f>
        <v>18878.3515</v>
      </c>
      <c r="M86" s="33" t="n">
        <f aca="false">Sens!$L$86+Sens!$M$85</f>
        <v>19322.353</v>
      </c>
      <c r="N86" s="33" t="n">
        <f aca="false">(mw_ye24+mw_ye25)/2</f>
        <v>900</v>
      </c>
      <c r="O86" s="33" t="n">
        <f aca="false">mw_ye25</f>
        <v>1440</v>
      </c>
      <c r="P86" s="5" t="s">
        <v>595</v>
      </c>
    </row>
    <row r="87" customFormat="false" ht="17.15" hidden="false" customHeight="false" outlineLevel="0" collapsed="false">
      <c r="A87" s="5" t="s">
        <v>596</v>
      </c>
      <c r="B87" s="0" t="s">
        <v>129</v>
      </c>
      <c r="C87" s="32" t="n">
        <f aca="false">(mw_ye23+mw_ye24)/2</f>
        <v>240</v>
      </c>
      <c r="D87" s="32" t="n">
        <f aca="false">(Sens!$C$86+Sens!$D$86)/2</f>
        <v>900</v>
      </c>
      <c r="E87" s="32" t="n">
        <f aca="false">(Sens!$D$86+Sens!$E$86)/2</f>
        <v>1760</v>
      </c>
      <c r="F87" s="32" t="n">
        <f aca="false">(Sens!$E$86+Sens!$F$86)/2</f>
        <v>2988.575</v>
      </c>
      <c r="G87" s="32" t="n">
        <f aca="false">(Sens!$E$87+Sens!$F$87)/2</f>
        <v>2374.2875</v>
      </c>
      <c r="H87" s="32" t="n">
        <f aca="false">(Sens!$G$86+Sens!$H$86)/2</f>
        <v>5714.3</v>
      </c>
      <c r="I87" s="32" t="n">
        <f aca="false">(Sens!$H$86+Sens!$I$86)/2</f>
        <v>9348.6</v>
      </c>
      <c r="J87" s="32" t="n">
        <f aca="false">(Sens!$I$86+Sens!$J$86)/2</f>
        <v>12982.9</v>
      </c>
      <c r="K87" s="32" t="n">
        <f aca="false">(Sens!$J$86+Sens!$K$86)/2</f>
        <v>16085.4835833333</v>
      </c>
      <c r="L87" s="32" t="n">
        <f aca="false">(Sens!$K$86+Sens!$L$86)/2</f>
        <v>18124.6343333333</v>
      </c>
      <c r="M87" s="32" t="n">
        <f aca="false">(Sens!$L$86+Sens!$M$86)/2</f>
        <v>19100.35225</v>
      </c>
      <c r="N87" s="32" t="n">
        <f aca="false">(Sens!$C$86+Sens!$N$86)/2</f>
        <v>630</v>
      </c>
      <c r="O87" s="32" t="n">
        <f aca="false">(Sens!$N$86+Sens!$O$86)/2</f>
        <v>1170</v>
      </c>
    </row>
    <row r="88" customFormat="false" ht="15" hidden="false" customHeight="false" outlineLevel="0" collapsed="false">
      <c r="A88" s="5" t="s">
        <v>597</v>
      </c>
      <c r="B88" s="5" t="s">
        <v>123</v>
      </c>
      <c r="C88" s="34" t="n">
        <v>1</v>
      </c>
      <c r="D88" s="34" t="n">
        <v>1</v>
      </c>
      <c r="E88" s="34" t="n">
        <v>0.5</v>
      </c>
      <c r="F88" s="34" t="n">
        <v>0.5</v>
      </c>
      <c r="G88" s="34" t="n">
        <v>1</v>
      </c>
      <c r="H88" s="34" t="n">
        <v>1</v>
      </c>
      <c r="I88" s="34" t="n">
        <v>1</v>
      </c>
      <c r="J88" s="34" t="n">
        <v>1</v>
      </c>
      <c r="K88" s="34" t="n">
        <v>1</v>
      </c>
      <c r="L88" s="34" t="n">
        <v>1</v>
      </c>
      <c r="M88" s="34" t="n">
        <v>1</v>
      </c>
      <c r="N88" s="34" t="n">
        <v>0.5</v>
      </c>
      <c r="O88" s="34" t="n">
        <v>0.5</v>
      </c>
    </row>
    <row r="89" customFormat="false" ht="17.15" hidden="false" customHeight="false" outlineLevel="0" collapsed="false">
      <c r="A89" s="5" t="s">
        <v>598</v>
      </c>
      <c r="B89" s="0" t="s">
        <v>129</v>
      </c>
      <c r="C89" s="32" t="n">
        <f aca="false">Sens!$C$86-mw_ye23</f>
        <v>240</v>
      </c>
      <c r="D89" s="32" t="n">
        <f aca="false">Sens!$D$86-Sens!$C$86</f>
        <v>1080</v>
      </c>
      <c r="E89" s="32" t="n">
        <f aca="false">Sens!$E$86-Sens!$D$86</f>
        <v>640</v>
      </c>
      <c r="F89" s="32" t="n">
        <f aca="false">Sens!$F$86-Sens!$E$86</f>
        <v>1817.15</v>
      </c>
      <c r="G89" s="32" t="n">
        <f aca="false">Sens!$E$89+Sens!$F$89</f>
        <v>2457.15</v>
      </c>
      <c r="H89" s="32" t="n">
        <f aca="false">Sens!$H$86-Sens!$G$86</f>
        <v>3634.3</v>
      </c>
      <c r="I89" s="32" t="n">
        <f aca="false">Sens!$I$86-Sens!$H$86</f>
        <v>3634.3</v>
      </c>
      <c r="J89" s="32" t="n">
        <f aca="false">Sens!$J$86-Sens!$I$86</f>
        <v>3634.3</v>
      </c>
      <c r="K89" s="32" t="n">
        <f aca="false">Sens!$K$86-Sens!$J$86</f>
        <v>2570.86716666667</v>
      </c>
      <c r="L89" s="32" t="n">
        <f aca="false">Sens!$L$86-Sens!$K$86</f>
        <v>1507.43433333333</v>
      </c>
      <c r="M89" s="32" t="n">
        <f aca="false">Sens!$M$86-Sens!$L$86</f>
        <v>444.001499999999</v>
      </c>
      <c r="N89" s="32" t="n">
        <f aca="false">Sens!$N$86-Sens!$C$86</f>
        <v>540</v>
      </c>
      <c r="O89" s="32" t="n">
        <f aca="false">Sens!$O$86-Sens!$N$86</f>
        <v>540</v>
      </c>
    </row>
    <row r="90" customFormat="false" ht="17.15" hidden="false" customHeight="false" outlineLevel="0" collapsed="false">
      <c r="A90" s="5" t="s">
        <v>599</v>
      </c>
      <c r="B90" s="0" t="s">
        <v>129</v>
      </c>
      <c r="C90" s="32" t="n">
        <f aca="false">Sens!$C$89/ext_sh</f>
        <v>300</v>
      </c>
      <c r="D90" s="32" t="n">
        <f aca="false">Sens!$D$89/ext_sh</f>
        <v>1350</v>
      </c>
      <c r="E90" s="32" t="n">
        <f aca="false">Sens!$E$89/ext_sh</f>
        <v>800</v>
      </c>
      <c r="F90" s="32" t="n">
        <f aca="false">Sens!$F$89/ext_sh</f>
        <v>2271.4375</v>
      </c>
      <c r="G90" s="32" t="n">
        <f aca="false">Sens!$G$89/ext_sh</f>
        <v>3071.4375</v>
      </c>
      <c r="H90" s="32" t="n">
        <f aca="false">Sens!$H$89/ext_sh</f>
        <v>4542.875</v>
      </c>
      <c r="I90" s="32" t="n">
        <f aca="false">Sens!$I$89/ext_sh</f>
        <v>4542.875</v>
      </c>
      <c r="J90" s="32" t="n">
        <f aca="false">Sens!$J$89/ext_sh</f>
        <v>4542.875</v>
      </c>
      <c r="K90" s="32" t="n">
        <f aca="false">Sens!$K$89/ext_sh</f>
        <v>3213.58395833333</v>
      </c>
      <c r="L90" s="32" t="n">
        <f aca="false">Sens!$L$89/ext_sh</f>
        <v>1884.29291666667</v>
      </c>
      <c r="M90" s="32" t="n">
        <f aca="false">Sens!$M$89/ext_sh</f>
        <v>555.001874999998</v>
      </c>
      <c r="N90" s="32" t="n">
        <f aca="false">Sens!$N$89/ext_sh</f>
        <v>675</v>
      </c>
      <c r="O90" s="32" t="n">
        <f aca="false">Sens!$O$89/ext_sh</f>
        <v>675</v>
      </c>
      <c r="P90" s="8" t="s">
        <v>600</v>
      </c>
      <c r="R90" s="32" t="n">
        <f aca="false">mw_ye23/ext_sh</f>
        <v>150</v>
      </c>
      <c r="S90" s="32" t="n">
        <f aca="false">Sens!$C$90</f>
        <v>300</v>
      </c>
      <c r="T90" s="32" t="n">
        <f aca="false">Sens!$D$90</f>
        <v>1350</v>
      </c>
      <c r="U90" s="32" t="n">
        <f aca="false">Sens!$G$90</f>
        <v>3071.4375</v>
      </c>
      <c r="V90" s="32" t="n">
        <f aca="false">Sens!$H$90</f>
        <v>4542.875</v>
      </c>
      <c r="W90" s="32" t="n">
        <f aca="false">Sens!$I$90</f>
        <v>4542.875</v>
      </c>
      <c r="X90" s="32" t="n">
        <f aca="false">Sens!$J$90</f>
        <v>4542.875</v>
      </c>
      <c r="Y90" s="32" t="n">
        <f aca="false">Sens!$K$90</f>
        <v>3213.58395833333</v>
      </c>
      <c r="Z90" s="32" t="n">
        <f aca="false">Sens!$L$90</f>
        <v>1884.29291666667</v>
      </c>
      <c r="AA90" s="32" t="n">
        <f aca="false">Sens!$M$90</f>
        <v>555.001874999998</v>
      </c>
    </row>
    <row r="91" customFormat="false" ht="17.15" hidden="false" customHeight="false" outlineLevel="0" collapsed="false">
      <c r="A91" s="1" t="s">
        <v>601</v>
      </c>
    </row>
    <row r="92" customFormat="false" ht="17.15" hidden="false" customHeight="false" outlineLevel="0" collapsed="false">
      <c r="A92" s="0" t="s">
        <v>602</v>
      </c>
      <c r="B92" s="0" t="s">
        <v>52</v>
      </c>
      <c r="F92" s="35" t="n">
        <f aca="false">na_vr26</f>
        <v>0</v>
      </c>
      <c r="G92" s="35" t="n">
        <f aca="false">na_vr26</f>
        <v>0</v>
      </c>
      <c r="H92" s="35" t="n">
        <f aca="false">na_vr27</f>
        <v>0.5</v>
      </c>
      <c r="I92" s="35" t="n">
        <f aca="false">na_vr28</f>
        <v>1</v>
      </c>
      <c r="J92" s="35" t="n">
        <f aca="false">na_vr28</f>
        <v>1</v>
      </c>
      <c r="K92" s="35" t="n">
        <f aca="false">na_vr28</f>
        <v>1</v>
      </c>
      <c r="L92" s="35" t="n">
        <f aca="false">na_vr28</f>
        <v>1</v>
      </c>
      <c r="M92" s="35" t="n">
        <f aca="false">na_vr28</f>
        <v>1</v>
      </c>
    </row>
    <row r="93" customFormat="false" ht="17.15" hidden="false" customHeight="false" outlineLevel="0" collapsed="false">
      <c r="A93" s="5" t="s">
        <v>603</v>
      </c>
      <c r="B93" s="0" t="s">
        <v>173</v>
      </c>
      <c r="F93" s="36" t="n">
        <f aca="false">cust_sh*tk_he_gb300*cf_chip+(1-cust_sh)*((1-Sens!$F$92)*tk_he_gb300+Sens!$F$92*tk_he_vr200)</f>
        <v>10.8864110021101</v>
      </c>
      <c r="G93" s="36" t="n">
        <f aca="false">cust_sh*tk_he_gb300*cf_chip+(1-cust_sh)*((1-Sens!$G$92)*tk_he_gb300+Sens!$G$92*tk_he_vr200)</f>
        <v>10.8864110021101</v>
      </c>
      <c r="H93" s="36" t="n">
        <f aca="false">cust_sh*tk_he_gb300*cf_chip+(1-cust_sh)*((1-Sens!$H$92)*tk_he_gb300+Sens!$H$92*tk_he_vr200)</f>
        <v>11.2211760027286</v>
      </c>
      <c r="I93" s="36" t="n">
        <f aca="false">cust_sh*tk_he_gb300*cf_chip+(1-cust_sh)*((1-Sens!$I$92)*tk_he_gb300+Sens!$I$92*tk_he_vr200)</f>
        <v>11.5559410033471</v>
      </c>
      <c r="J93" s="36" t="n">
        <f aca="false">cust_sh*tk_he_gb300*cf_chip+(1-cust_sh)*((1-Sens!$J$92)*tk_he_gb300+Sens!$J$92*tk_he_vr200)</f>
        <v>11.5559410033471</v>
      </c>
      <c r="K93" s="36" t="n">
        <f aca="false">cust_sh*tk_he_gb300*cf_chip+(1-cust_sh)*((1-Sens!$K$92)*tk_he_gb300+Sens!$K$92*tk_he_vr200)</f>
        <v>11.5559410033471</v>
      </c>
      <c r="L93" s="36" t="n">
        <f aca="false">cust_sh*tk_he_gb300*cf_chip+(1-cust_sh)*((1-Sens!$L$92)*tk_he_gb300+Sens!$L$92*tk_he_vr200)</f>
        <v>11.5559410033471</v>
      </c>
      <c r="M93" s="36" t="n">
        <f aca="false">cust_sh*tk_he_gb300*cf_chip+(1-cust_sh)*((1-Sens!$M$92)*tk_he_gb300+Sens!$M$92*tk_he_vr200)</f>
        <v>11.5559410033471</v>
      </c>
    </row>
    <row r="94" customFormat="false" ht="17.15" hidden="false" customHeight="false" outlineLevel="0" collapsed="false">
      <c r="A94" s="5" t="s">
        <v>604</v>
      </c>
      <c r="B94" s="0" t="s">
        <v>173</v>
      </c>
      <c r="F94" s="36" t="n">
        <f aca="false">cust_sh*tk_ox_gb300+(1-cust_sh)*((1-Sens!$F$92)*tk_ox_gb300+Sens!$F$92*tk_ox_vr200)</f>
        <v>1.98263481314457</v>
      </c>
      <c r="G94" s="36" t="n">
        <f aca="false">cust_sh*tk_ox_gb300+(1-cust_sh)*((1-Sens!$G$92)*tk_ox_gb300+Sens!$G$92*tk_ox_vr200)</f>
        <v>1.98263481314457</v>
      </c>
      <c r="H94" s="36" t="n">
        <f aca="false">cust_sh*tk_ox_gb300+(1-cust_sh)*((1-Sens!$H$92)*tk_ox_gb300+Sens!$H$92*tk_ox_vr200)</f>
        <v>2.01034999693694</v>
      </c>
      <c r="I94" s="36" t="n">
        <f aca="false">cust_sh*tk_ox_gb300+(1-cust_sh)*((1-Sens!$I$92)*tk_ox_gb300+Sens!$I$92*tk_ox_vr200)</f>
        <v>2.0380651807293</v>
      </c>
      <c r="J94" s="36" t="n">
        <f aca="false">cust_sh*tk_ox_gb300+(1-cust_sh)*((1-Sens!$J$92)*tk_ox_gb300+Sens!$J$92*tk_ox_vr200)</f>
        <v>2.0380651807293</v>
      </c>
      <c r="K94" s="36" t="n">
        <f aca="false">cust_sh*tk_ox_gb300+(1-cust_sh)*((1-Sens!$K$92)*tk_ox_gb300+Sens!$K$92*tk_ox_vr200)</f>
        <v>2.0380651807293</v>
      </c>
      <c r="L94" s="36" t="n">
        <f aca="false">cust_sh*tk_ox_gb300+(1-cust_sh)*((1-Sens!$L$92)*tk_ox_gb300+Sens!$L$92*tk_ox_vr200)</f>
        <v>2.0380651807293</v>
      </c>
      <c r="M94" s="36" t="n">
        <f aca="false">cust_sh*tk_ox_gb300+(1-cust_sh)*((1-Sens!$M$92)*tk_ox_gb300+Sens!$M$92*tk_ox_vr200)</f>
        <v>2.0380651807293</v>
      </c>
    </row>
    <row r="95" customFormat="false" ht="17.15" hidden="false" customHeight="false" outlineLevel="0" collapsed="false">
      <c r="A95" s="5" t="s">
        <v>605</v>
      </c>
      <c r="B95" s="0" t="s">
        <v>192</v>
      </c>
      <c r="F95" s="36" t="n">
        <f aca="false">cust_sh*tk_cx_gb300*cf_cx+(1-cust_sh)*((1-Sens!$F$92)*tk_cx_gb300+Sens!$F$92*tk_cx_vr200)</f>
        <v>32.237224</v>
      </c>
      <c r="G95" s="36" t="n">
        <f aca="false">cust_sh*tk_cx_gb300*cf_cx+(1-cust_sh)*((1-Sens!$G$92)*tk_cx_gb300+Sens!$G$92*tk_cx_vr200)</f>
        <v>32.237224</v>
      </c>
      <c r="H95" s="36" t="n">
        <f aca="false">cust_sh*tk_cx_gb300*cf_cx+(1-cust_sh)*((1-Sens!$H$92)*tk_cx_gb300+Sens!$H$92*tk_cx_vr200)</f>
        <v>33.574506</v>
      </c>
      <c r="I95" s="36" t="n">
        <f aca="false">cust_sh*tk_cx_gb300*cf_cx+(1-cust_sh)*((1-Sens!$I$92)*tk_cx_gb300+Sens!$I$92*tk_cx_vr200)</f>
        <v>34.911788</v>
      </c>
      <c r="J95" s="36" t="n">
        <f aca="false">cust_sh*tk_cx_gb300*cf_cx+(1-cust_sh)*((1-Sens!$J$92)*tk_cx_gb300+Sens!$J$92*tk_cx_vr200)</f>
        <v>34.911788</v>
      </c>
      <c r="K95" s="36" t="n">
        <f aca="false">cust_sh*tk_cx_gb300*cf_cx+(1-cust_sh)*((1-Sens!$K$92)*tk_cx_gb300+Sens!$K$92*tk_cx_vr200)</f>
        <v>34.911788</v>
      </c>
      <c r="L95" s="36" t="n">
        <f aca="false">cust_sh*tk_cx_gb300*cf_cx+(1-cust_sh)*((1-Sens!$L$92)*tk_cx_gb300+Sens!$L$92*tk_cx_vr200)</f>
        <v>34.911788</v>
      </c>
      <c r="M95" s="36" t="n">
        <f aca="false">cust_sh*tk_cx_gb300*cf_cx+(1-cust_sh)*((1-Sens!$M$92)*tk_cx_gb300+Sens!$M$92*tk_cx_vr200)</f>
        <v>34.911788</v>
      </c>
    </row>
    <row r="96" customFormat="false" ht="17.15" hidden="false" customHeight="false" outlineLevel="0" collapsed="false">
      <c r="A96" s="5" t="s">
        <v>606</v>
      </c>
      <c r="B96" s="0" t="s">
        <v>129</v>
      </c>
      <c r="F96" s="32" t="n">
        <f aca="false">Sens!$F$86-mw_open</f>
        <v>1817.15</v>
      </c>
      <c r="G96" s="32" t="n">
        <f aca="false">Sens!$F$96</f>
        <v>1817.15</v>
      </c>
      <c r="H96" s="32" t="n">
        <f aca="false">Sens!$H$86-mw_open</f>
        <v>5451.45</v>
      </c>
      <c r="I96" s="32" t="n">
        <f aca="false">Sens!$I$86-mw_open</f>
        <v>9085.75</v>
      </c>
      <c r="J96" s="32" t="n">
        <f aca="false">Sens!$J$86-mw_open</f>
        <v>12720.05</v>
      </c>
      <c r="K96" s="32" t="n">
        <f aca="false">Sens!$K$86-mw_open</f>
        <v>15290.9171666667</v>
      </c>
      <c r="L96" s="32" t="n">
        <f aca="false">Sens!$L$86-mw_open</f>
        <v>16798.3515</v>
      </c>
      <c r="M96" s="32" t="n">
        <f aca="false">Sens!$M$86-mw_open</f>
        <v>17242.353</v>
      </c>
    </row>
    <row r="97" customFormat="false" ht="17.15" hidden="false" customHeight="false" outlineLevel="0" collapsed="false">
      <c r="A97" s="0" t="s">
        <v>607</v>
      </c>
      <c r="B97" s="0" t="s">
        <v>608</v>
      </c>
      <c r="F97" s="32" t="n">
        <f aca="false">Sens!$F$89*Sens!$F$93</f>
        <v>19782.2417524844</v>
      </c>
      <c r="G97" s="32" t="n">
        <f aca="false">Sens!$F$97</f>
        <v>19782.2417524844</v>
      </c>
      <c r="H97" s="32" t="n">
        <f aca="false">Sens!$G$97+Sens!$H$89*Sens!$H$93</f>
        <v>60563.3616992009</v>
      </c>
      <c r="I97" s="32" t="n">
        <f aca="false">Sens!$H$97+Sens!$I$89*Sens!$I$93</f>
        <v>102561.118087665</v>
      </c>
      <c r="J97" s="32" t="n">
        <f aca="false">Sens!$I$97+Sens!$J$89*Sens!$J$93</f>
        <v>144558.87447613</v>
      </c>
      <c r="K97" s="32" t="n">
        <f aca="false">Sens!$J$97+Sens!$K$89*Sens!$K$93</f>
        <v>174267.663781572</v>
      </c>
      <c r="L97" s="32" t="n">
        <f aca="false">Sens!$K$97+Sens!$L$89*Sens!$L$93</f>
        <v>191687.486003992</v>
      </c>
      <c r="M97" s="32" t="n">
        <f aca="false">Sens!$L$97+Sens!$M$89*Sens!$M$93</f>
        <v>196818.341143389</v>
      </c>
    </row>
    <row r="98" customFormat="false" ht="17.15" hidden="false" customHeight="false" outlineLevel="0" collapsed="false">
      <c r="A98" s="0" t="s">
        <v>609</v>
      </c>
      <c r="B98" s="0" t="s">
        <v>608</v>
      </c>
      <c r="F98" s="32" t="n">
        <f aca="false">Sens!$F$89*Sens!$F$94</f>
        <v>3602.74485070566</v>
      </c>
      <c r="G98" s="32" t="n">
        <f aca="false">Sens!$F$98</f>
        <v>3602.74485070566</v>
      </c>
      <c r="H98" s="32" t="n">
        <f aca="false">Sens!$G$98+Sens!$H$89*Sens!$H$94</f>
        <v>10908.9598445736</v>
      </c>
      <c r="I98" s="32" t="n">
        <f aca="false">Sens!$H$98+Sens!$I$89*Sens!$I$94</f>
        <v>18315.9001308981</v>
      </c>
      <c r="J98" s="32" t="n">
        <f aca="false">Sens!$I$98+Sens!$J$89*Sens!$J$94</f>
        <v>25722.8404172225</v>
      </c>
      <c r="K98" s="32" t="n">
        <f aca="false">Sens!$J$98+Sens!$K$89*Sens!$K$94</f>
        <v>30962.4352738861</v>
      </c>
      <c r="L98" s="32" t="n">
        <f aca="false">Sens!$K$98+Sens!$L$89*Sens!$L$94</f>
        <v>34034.6847008886</v>
      </c>
      <c r="M98" s="32" t="n">
        <f aca="false">Sens!$L$98+Sens!$M$89*Sens!$M$94</f>
        <v>34939.5886982302</v>
      </c>
    </row>
    <row r="99" customFormat="false" ht="17.15" hidden="false" customHeight="false" outlineLevel="0" collapsed="false">
      <c r="A99" s="5" t="s">
        <v>610</v>
      </c>
      <c r="B99" s="0" t="s">
        <v>173</v>
      </c>
      <c r="F99" s="36" t="n">
        <f aca="false">IF(Sens!$F$96&gt;0,Sens!$F$97/Sens!$F$96,Sens!$F$93)</f>
        <v>10.8864110021101</v>
      </c>
      <c r="G99" s="36" t="n">
        <f aca="false">IF(Sens!$G$96&gt;0,Sens!$G$97/Sens!$G$96,Sens!$G$93)</f>
        <v>10.8864110021101</v>
      </c>
      <c r="H99" s="36" t="n">
        <f aca="false">IF(Sens!$H$96&gt;0,Sens!$H$97/Sens!$H$96,Sens!$H$93)</f>
        <v>11.1095876691891</v>
      </c>
      <c r="I99" s="36" t="n">
        <f aca="false">IF(Sens!$I$96&gt;0,Sens!$I$97/Sens!$I$96,Sens!$I$93)</f>
        <v>11.2881290028523</v>
      </c>
      <c r="J99" s="36" t="n">
        <f aca="false">IF(Sens!$J$96&gt;0,Sens!$J$97/Sens!$J$96,Sens!$J$93)</f>
        <v>11.3646467172794</v>
      </c>
      <c r="K99" s="36" t="n">
        <f aca="false">IF(Sens!$K$96&gt;0,Sens!$K$97/Sens!$K$96,Sens!$K$93)</f>
        <v>11.3968090914432</v>
      </c>
      <c r="L99" s="36" t="n">
        <f aca="false">IF(Sens!$L$96&gt;0,Sens!$L$97/Sens!$L$96,Sens!$L$93)</f>
        <v>11.4110891181192</v>
      </c>
      <c r="M99" s="36" t="n">
        <f aca="false">IF(Sens!$M$96&gt;0,Sens!$M$97/Sens!$M$96,Sens!$M$93)</f>
        <v>11.4148191458201</v>
      </c>
    </row>
    <row r="100" customFormat="false" ht="17.15" hidden="false" customHeight="false" outlineLevel="0" collapsed="false">
      <c r="A100" s="5" t="s">
        <v>611</v>
      </c>
      <c r="B100" s="0" t="s">
        <v>173</v>
      </c>
      <c r="F100" s="36" t="n">
        <f aca="false">IF(Sens!$F$96&gt;0,Sens!$F$98/Sens!$F$96,Sens!$F$94)</f>
        <v>1.98263481314457</v>
      </c>
      <c r="G100" s="36" t="n">
        <f aca="false">IF(Sens!$G$96&gt;0,Sens!$G$98/Sens!$G$96,Sens!$G$94)</f>
        <v>1.98263481314457</v>
      </c>
      <c r="H100" s="36" t="n">
        <f aca="false">IF(Sens!$H$96&gt;0,Sens!$H$98/Sens!$H$96,Sens!$H$94)</f>
        <v>2.00111160233948</v>
      </c>
      <c r="I100" s="36" t="n">
        <f aca="false">IF(Sens!$I$96&gt;0,Sens!$I$98/Sens!$I$96,Sens!$I$94)</f>
        <v>2.01589303369541</v>
      </c>
      <c r="J100" s="36" t="n">
        <f aca="false">IF(Sens!$J$96&gt;0,Sens!$J$98/Sens!$J$96,Sens!$J$94)</f>
        <v>2.02222793284795</v>
      </c>
      <c r="K100" s="36" t="n">
        <f aca="false">IF(Sens!$K$96&gt;0,Sens!$K$98/Sens!$K$96,Sens!$K$94)</f>
        <v>2.02489065478573</v>
      </c>
      <c r="L100" s="36" t="n">
        <f aca="false">IF(Sens!$L$96&gt;0,Sens!$L$98/Sens!$L$96,Sens!$L$94)</f>
        <v>2.0260728977417</v>
      </c>
      <c r="M100" s="36" t="n">
        <f aca="false">IF(Sens!$M$96&gt;0,Sens!$M$98/Sens!$M$96,Sens!$M$94)</f>
        <v>2.02638170661685</v>
      </c>
    </row>
    <row r="101" customFormat="false" ht="17.15" hidden="false" customHeight="false" outlineLevel="0" collapsed="false">
      <c r="A101" s="15" t="s">
        <v>612</v>
      </c>
      <c r="B101" s="14" t="s">
        <v>173</v>
      </c>
      <c r="C101" s="14"/>
      <c r="D101" s="14"/>
      <c r="E101" s="14"/>
      <c r="F101" s="37" t="n">
        <f aca="false">Sens!$F$99*k_B</f>
        <v>10.7987645808025</v>
      </c>
      <c r="G101" s="37" t="n">
        <f aca="false">Sens!$G$99*k_B</f>
        <v>10.7987645808025</v>
      </c>
      <c r="H101" s="37" t="n">
        <f aca="false">Sens!$H$99*k_B</f>
        <v>11.0201444540452</v>
      </c>
      <c r="I101" s="37" t="n">
        <f aca="false">Sens!$I$99*k_B</f>
        <v>11.1972483526393</v>
      </c>
      <c r="J101" s="37" t="n">
        <f aca="false">Sens!$J$99*k_B</f>
        <v>11.2731500234653</v>
      </c>
      <c r="K101" s="37" t="n">
        <f aca="false">Sens!$K$99*k_B</f>
        <v>11.3050534585724</v>
      </c>
      <c r="L101" s="37" t="n">
        <f aca="false">Sens!$L$99*k_B</f>
        <v>11.3192185168503</v>
      </c>
      <c r="M101" s="37" t="n">
        <f aca="false">Sens!$M$99*k_B</f>
        <v>11.3229185141234</v>
      </c>
      <c r="N101" s="14"/>
      <c r="O101" s="14"/>
      <c r="P101" s="5" t="s">
        <v>613</v>
      </c>
    </row>
    <row r="102" customFormat="false" ht="17.15" hidden="false" customHeight="false" outlineLevel="0" collapsed="false">
      <c r="A102" s="5" t="s">
        <v>614</v>
      </c>
      <c r="B102" s="0" t="s">
        <v>129</v>
      </c>
      <c r="F102" s="32" t="n">
        <f aca="false">Sens!$F$96/2</f>
        <v>908.575</v>
      </c>
      <c r="H102" s="32" t="n">
        <f aca="false">(Sens!$G$96+Sens!$H$96)/2</f>
        <v>3634.3</v>
      </c>
      <c r="I102" s="32" t="n">
        <f aca="false">(Sens!$H$96+Sens!$I$96)/2</f>
        <v>7268.6</v>
      </c>
      <c r="J102" s="32" t="n">
        <f aca="false">(Sens!$I$96+Sens!$J$96)/2</f>
        <v>10902.9</v>
      </c>
      <c r="K102" s="32" t="n">
        <f aca="false">(Sens!$J$96+Sens!$K$96)/2</f>
        <v>14005.4835833333</v>
      </c>
      <c r="L102" s="32" t="n">
        <f aca="false">(Sens!$K$96+Sens!$L$96)/2</f>
        <v>16044.6343333333</v>
      </c>
      <c r="M102" s="32" t="n">
        <f aca="false">(Sens!$L$96+Sens!$M$96)/2</f>
        <v>17020.35225</v>
      </c>
    </row>
    <row r="103" customFormat="false" ht="17.15" hidden="false" customHeight="false" outlineLevel="0" collapsed="false">
      <c r="A103" s="1" t="s">
        <v>615</v>
      </c>
    </row>
    <row r="104" customFormat="false" ht="17.15" hidden="false" customHeight="false" outlineLevel="0" collapsed="false">
      <c r="A104" s="1" t="s">
        <v>616</v>
      </c>
      <c r="B104" s="8" t="s">
        <v>86</v>
      </c>
      <c r="C104" s="38" t="n">
        <f aca="false">Sens!$C$87*rpm_open*Sens!$C$88/1000</f>
        <v>2.32100535697364</v>
      </c>
      <c r="D104" s="38" t="n">
        <f aca="false">Sens!$D$87*rpm_open*Sens!$D$88/1000</f>
        <v>8.70377008865116</v>
      </c>
      <c r="E104" s="38" t="n">
        <f aca="false">Sens!$E$87*rpm_open*Sens!$E$88/1000</f>
        <v>8.51035297557002</v>
      </c>
      <c r="F104" s="38" t="n">
        <f aca="false">(mw_open*rpm_open+Sens!$F$102*Sens!$F$101)*Sens!$F$88/1000</f>
        <v>14.9634336447205</v>
      </c>
      <c r="G104" s="38" t="n">
        <f aca="false">Sens!$E$104+Sens!$F$104</f>
        <v>23.4737866202905</v>
      </c>
      <c r="H104" s="38" t="n">
        <f aca="false">(mw_open*rpm_open+Sens!$H$102*Sens!$H$101)/1000</f>
        <v>60.1658907497746</v>
      </c>
      <c r="I104" s="38" t="n">
        <f aca="false">(mw_open*rpm_open+Sens!$I$102*Sens!$I$101)/1000</f>
        <v>101.503699136432</v>
      </c>
      <c r="J104" s="38" t="n">
        <f aca="false">(mw_open*rpm_open+Sens!$J$102*Sens!$J$101)/1000</f>
        <v>143.025407151278</v>
      </c>
      <c r="K104" s="38" t="n">
        <f aca="false">(mw_open*rpm_open+Sens!$K$102*Sens!$K$101)/1000</f>
        <v>178.44812038318</v>
      </c>
      <c r="L104" s="38" t="n">
        <f aca="false">(mw_open*rpm_open+Sens!$L$102*Sens!$L$101)/1000</f>
        <v>201.728101802396</v>
      </c>
      <c r="M104" s="38" t="n">
        <f aca="false">(mw_open*rpm_open+Sens!$M$102*Sens!$M$101)/1000</f>
        <v>212.835441368865</v>
      </c>
      <c r="N104" s="38" t="n">
        <f aca="false">Sens!$N$87*rpm_open*Sens!$N$88/1000</f>
        <v>3.04631953102791</v>
      </c>
      <c r="O104" s="38" t="n">
        <f aca="false">Sens!$O$87*rpm_open*Sens!$O$88/1000</f>
        <v>5.65745055762326</v>
      </c>
      <c r="P104" s="5" t="s">
        <v>617</v>
      </c>
    </row>
    <row r="105" customFormat="false" ht="17.15" hidden="false" customHeight="false" outlineLevel="0" collapsed="false">
      <c r="A105" s="5" t="s">
        <v>618</v>
      </c>
      <c r="B105" s="0" t="s">
        <v>173</v>
      </c>
      <c r="C105" s="36" t="n">
        <f aca="false">Sens!$C$104*1000/(Sens!$C$87*Sens!$C$88)</f>
        <v>9.67085565405685</v>
      </c>
      <c r="D105" s="36" t="n">
        <f aca="false">Sens!$D$104*1000/(Sens!$D$87*Sens!$D$88)</f>
        <v>9.67085565405685</v>
      </c>
      <c r="E105" s="36" t="n">
        <f aca="false">Sens!$E$104*1000/(Sens!$E$87*Sens!$E$88)</f>
        <v>9.67085565405685</v>
      </c>
      <c r="F105" s="36" t="n">
        <f aca="false">Sens!$F$104*1000/(Sens!$F$87*Sens!$F$88)</f>
        <v>10.0137581588017</v>
      </c>
      <c r="G105" s="36" t="n">
        <f aca="false">Sens!$G$104*1000/(Sens!$G$87*Sens!$G$88)</f>
        <v>9.88666562928478</v>
      </c>
      <c r="H105" s="36" t="n">
        <f aca="false">Sens!$H$104*1000/(Sens!$H$87*Sens!$H$88)</f>
        <v>10.5290045586992</v>
      </c>
      <c r="I105" s="36" t="n">
        <f aca="false">Sens!$I$104*1000/(Sens!$I$87*Sens!$I$88)</f>
        <v>10.8576363451674</v>
      </c>
      <c r="J105" s="36" t="n">
        <f aca="false">Sens!$J$104*1000/(Sens!$J$87*Sens!$J$88)</f>
        <v>11.0164452588619</v>
      </c>
      <c r="K105" s="36" t="n">
        <f aca="false">Sens!$K$104*1000/(Sens!$K$87*Sens!$K$88)</f>
        <v>11.0937367508227</v>
      </c>
      <c r="L105" s="36" t="n">
        <f aca="false">Sens!$L$104*1000/(Sens!$L$87*Sens!$L$88)</f>
        <v>11.1300508519168</v>
      </c>
      <c r="M105" s="36" t="n">
        <f aca="false">Sens!$M$104*1000/(Sens!$M$87*Sens!$M$88)</f>
        <v>11.1430113216297</v>
      </c>
      <c r="N105" s="36" t="n">
        <f aca="false">Sens!$N$104*1000/(Sens!$N$87*Sens!$N$88)</f>
        <v>9.67085565405685</v>
      </c>
      <c r="O105" s="36" t="n">
        <f aca="false">Sens!$O$104*1000/(Sens!$O$87*Sens!$O$88)</f>
        <v>9.67085565405685</v>
      </c>
    </row>
    <row r="106" customFormat="false" ht="17.15" hidden="false" customHeight="false" outlineLevel="0" collapsed="false">
      <c r="A106" s="0" t="s">
        <v>619</v>
      </c>
      <c r="B106" s="0" t="s">
        <v>86</v>
      </c>
      <c r="C106" s="38" t="n">
        <f aca="false">Sens!$C$87/ext_sh*(ox_open+rent_mw)*Sens!$C$88/1000</f>
        <v>0.642569210675032</v>
      </c>
      <c r="D106" s="38" t="n">
        <f aca="false">Sens!$D$87/ext_sh*(ox_open+rent_mw)*Sens!$D$88/1000</f>
        <v>2.40963454003137</v>
      </c>
      <c r="E106" s="38" t="n">
        <f aca="false">Sens!$E$87/ext_sh*(ox_open+rent_mw)*Sens!$E$88/1000</f>
        <v>2.35608710580845</v>
      </c>
      <c r="F106" s="38" t="n">
        <f aca="false">((mw_open*ox_open+Sens!$F$102*Sens!$F$100)/ext_sh+Sens!$F$87/ext_sh*rent_mw)*Sens!$F$88/1000</f>
        <v>4.05421991106232</v>
      </c>
      <c r="G106" s="38" t="n">
        <f aca="false">Sens!$E$106+Sens!$F$106</f>
        <v>6.41030701687077</v>
      </c>
      <c r="H106" s="38" t="n">
        <f aca="false">((mw_open*ox_open+Sens!$H$102*Sens!$H$100)/ext_sh+Sens!$H$87/ext_sh*rent_mw)*Sens!$H$88/1000</f>
        <v>15.8108975546616</v>
      </c>
      <c r="I106" s="38" t="n">
        <f aca="false">((mw_open*ox_open+Sens!$I$102*Sens!$I$100)/ext_sh+Sens!$I$87/ext_sh*rent_mw)*Sens!$I$88/1000</f>
        <v>26.1871623400817</v>
      </c>
      <c r="J106" s="38" t="n">
        <f aca="false">((mw_open*ox_open+Sens!$J$102*Sens!$J$100)/ext_sh+Sens!$J$87/ext_sh*rent_mw)*Sens!$J$88/1000</f>
        <v>36.5826128954935</v>
      </c>
      <c r="K106" s="38" t="n">
        <f aca="false">((mw_open*ox_open+Sens!$K$102*Sens!$K$100)/ext_sh+Sens!$K$87/ext_sh*rent_mw)*Sens!$K$88/1000</f>
        <v>45.4546361137628</v>
      </c>
      <c r="L106" s="38" t="n">
        <f aca="false">((mw_open*ox_open+Sens!$L$102*Sens!$L$100)/ext_sh+Sens!$L$87/ext_sh*rent_mw)*Sens!$L$88/1000</f>
        <v>51.2855695554452</v>
      </c>
      <c r="M106" s="38" t="n">
        <f aca="false">((mw_open*ox_open+Sens!$M$102*Sens!$M$100)/ext_sh+Sens!$M$87/ext_sh*rent_mw)*Sens!$M$88/1000</f>
        <v>54.0722927838398</v>
      </c>
      <c r="N106" s="38" t="n">
        <f aca="false">Sens!$N$87/ext_sh*(ox_open+rent_mw)*Sens!$N$88/1000</f>
        <v>0.84337208901098</v>
      </c>
      <c r="O106" s="38" t="n">
        <f aca="false">Sens!$O$87/ext_sh*(ox_open+rent_mw)*Sens!$O$88/1000</f>
        <v>1.56626245102039</v>
      </c>
    </row>
    <row r="107" customFormat="false" ht="17.15" hidden="false" customHeight="false" outlineLevel="0" collapsed="false">
      <c r="A107" s="0" t="s">
        <v>620</v>
      </c>
      <c r="B107" s="0" t="s">
        <v>86</v>
      </c>
      <c r="C107" s="38" t="n">
        <f aca="false">Q!$D$7</f>
        <v>107.556</v>
      </c>
      <c r="D107" s="38" t="n">
        <f aca="false">Q!$E$7</f>
        <v>128.725</v>
      </c>
      <c r="E107" s="38" t="n">
        <f aca="false">Q!$P$7</f>
        <v>79.819</v>
      </c>
      <c r="N107" s="38" t="n">
        <f aca="false">Q!$N$7</f>
        <v>60.14</v>
      </c>
      <c r="O107" s="38" t="n">
        <f aca="false">Q!$O$7</f>
        <v>68.585</v>
      </c>
    </row>
    <row r="108" customFormat="false" ht="17.15" hidden="false" customHeight="false" outlineLevel="0" collapsed="false">
      <c r="A108" s="1" t="s">
        <v>621</v>
      </c>
      <c r="B108" s="8" t="s">
        <v>86</v>
      </c>
      <c r="C108" s="38" t="n">
        <f aca="false">Sens!$C$107-Sens!$C$104</f>
        <v>105.234994643026</v>
      </c>
      <c r="D108" s="38" t="n">
        <f aca="false">Sens!$D$107-Sens!$D$104</f>
        <v>120.021229911349</v>
      </c>
      <c r="E108" s="38" t="n">
        <f aca="false">Sens!$E$107-Sens!$E$104</f>
        <v>71.30864702443</v>
      </c>
      <c r="F108" s="38" t="n">
        <f aca="false">Sens!$O$108*(1+Sens!$F$109)</f>
        <v>71.7692997942464</v>
      </c>
      <c r="G108" s="38" t="n">
        <f aca="false">Sens!$E$108+Sens!$F$108</f>
        <v>143.077946818676</v>
      </c>
      <c r="H108" s="38" t="n">
        <f aca="false">Sens!$G$108*(1+Sens!$H$109)</f>
        <v>161.017077079203</v>
      </c>
      <c r="I108" s="38" t="n">
        <f aca="false">Sens!$H$108*(1+Sens!$I$109)</f>
        <v>178.769759521457</v>
      </c>
      <c r="J108" s="38" t="n">
        <f aca="false">Sens!$I$108*(1+Sens!$J$109)</f>
        <v>195.775538045907</v>
      </c>
      <c r="K108" s="38" t="n">
        <f aca="false">Sens!$J$108*(1+Sens!$K$109)</f>
        <v>211.43758108958</v>
      </c>
      <c r="L108" s="38" t="n">
        <f aca="false">Sens!$K$108*(1+Sens!$L$109)</f>
        <v>228.352587576746</v>
      </c>
      <c r="M108" s="38" t="n">
        <f aca="false">Sens!$L$108*(1+Sens!$M$109)</f>
        <v>246.620794582886</v>
      </c>
      <c r="N108" s="38" t="n">
        <f aca="false">Sens!$N$107-Sens!$N$104</f>
        <v>57.0936804689721</v>
      </c>
      <c r="O108" s="38" t="n">
        <f aca="false">Sens!$O$107-Sens!$O$104</f>
        <v>62.9275494423768</v>
      </c>
      <c r="P108" s="5" t="s">
        <v>622</v>
      </c>
    </row>
    <row r="109" customFormat="false" ht="17.15" hidden="false" customHeight="false" outlineLevel="0" collapsed="false">
      <c r="A109" s="0" t="s">
        <v>623</v>
      </c>
      <c r="B109" s="0" t="s">
        <v>52</v>
      </c>
      <c r="D109" s="13" t="n">
        <f aca="false">Sens!$D$108/Sens!$C$108-1</f>
        <v>0.140506827776062</v>
      </c>
      <c r="E109" s="13" t="n">
        <f aca="false">Sens!$E$108/Sens!$N$108-1</f>
        <v>0.248976181579029</v>
      </c>
      <c r="F109" s="13" t="n">
        <f aca="false">Sens!$D$109</f>
        <v>0.140506827776062</v>
      </c>
      <c r="G109" s="13" t="n">
        <f aca="false">Sens!$G$108/Sens!$D$108-1</f>
        <v>0.19210532106993</v>
      </c>
      <c r="H109" s="13" t="n">
        <f aca="false">Sens!$F$109+(g_awso_lt-Sens!$F$109)*1/4</f>
        <v>0.125380120832046</v>
      </c>
      <c r="I109" s="13" t="n">
        <f aca="false">Sens!$F$109+(g_awso_lt-Sens!$F$109)*2/4</f>
        <v>0.110253413888031</v>
      </c>
      <c r="J109" s="13" t="n">
        <f aca="false">Sens!$F$109+(g_awso_lt-Sens!$F$109)*3/4</f>
        <v>0.0951267069440154</v>
      </c>
      <c r="K109" s="13" t="n">
        <f aca="false">Sens!$F$109+(g_awso_lt-Sens!$F$109)*4/4</f>
        <v>0.08</v>
      </c>
      <c r="L109" s="13" t="n">
        <f aca="false">g_awso_lt</f>
        <v>0.08</v>
      </c>
      <c r="M109" s="13" t="n">
        <f aca="false">g_awso_lt</f>
        <v>0.08</v>
      </c>
      <c r="P109" s="5" t="s">
        <v>624</v>
      </c>
    </row>
    <row r="110" customFormat="false" ht="17.15" hidden="false" customHeight="false" outlineLevel="0" collapsed="false">
      <c r="A110" s="1" t="s">
        <v>625</v>
      </c>
    </row>
    <row r="111" customFormat="false" ht="17.15" hidden="false" customHeight="false" outlineLevel="0" collapsed="false">
      <c r="A111" s="0" t="s">
        <v>626</v>
      </c>
      <c r="B111" s="0" t="s">
        <v>86</v>
      </c>
      <c r="F111" s="38" t="n">
        <f aca="false">cx_rt*Sens!$F$76+cx_awso*Sens!$F$108</f>
        <v>34.9734495387866</v>
      </c>
    </row>
    <row r="112" customFormat="false" ht="17.15" hidden="false" customHeight="false" outlineLevel="0" collapsed="false">
      <c r="A112" s="0" t="s">
        <v>627</v>
      </c>
      <c r="B112" s="0" t="s">
        <v>52</v>
      </c>
      <c r="C112" s="13" t="n">
        <f aca="false">tk_cx_h100/(tk_cx_h100+tk_fac*(1-colo_sh))</f>
        <v>0.730756458006641</v>
      </c>
      <c r="D112" s="13" t="n">
        <f aca="false">tk_cx_h100/(tk_cx_h100+tk_fac*(1-colo_sh))</f>
        <v>0.730756458006641</v>
      </c>
      <c r="E112" s="13" t="n">
        <f aca="false">Sens!$F$112</f>
        <v>0.760792334328868</v>
      </c>
      <c r="F112" s="13" t="n">
        <f aca="false">Sens!$F$95/(Sens!$F$95+tk_fac*(1-colo_sh))</f>
        <v>0.760792334328868</v>
      </c>
      <c r="G112" s="13" t="n">
        <f aca="false">Sens!$G$95/(Sens!$G$95+tk_fac*(1-colo_sh))</f>
        <v>0.760792334328868</v>
      </c>
      <c r="H112" s="13" t="n">
        <f aca="false">Sens!$H$95/(Sens!$H$95+tk_fac*(1-colo_sh))</f>
        <v>0.768110668862996</v>
      </c>
      <c r="I112" s="13" t="n">
        <f aca="false">Sens!$I$95/(Sens!$I$95+tk_fac*(1-colo_sh))</f>
        <v>0.77499450139483</v>
      </c>
      <c r="J112" s="13" t="n">
        <f aca="false">Sens!$J$95/(Sens!$J$95+tk_fac*(1-colo_sh))</f>
        <v>0.77499450139483</v>
      </c>
      <c r="K112" s="13" t="n">
        <f aca="false">Sens!$K$95/(Sens!$K$95+tk_fac*(1-colo_sh))</f>
        <v>0.77499450139483</v>
      </c>
      <c r="L112" s="13" t="n">
        <f aca="false">Sens!$L$95/(Sens!$L$95+tk_fac*(1-colo_sh))</f>
        <v>0.77499450139483</v>
      </c>
      <c r="M112" s="13" t="n">
        <f aca="false">Sens!$M$95/(Sens!$M$95+tk_fac*(1-colo_sh))</f>
        <v>0.77499450139483</v>
      </c>
    </row>
    <row r="113" customFormat="false" ht="17.15" hidden="false" customHeight="false" outlineLevel="0" collapsed="false">
      <c r="A113" s="1" t="s">
        <v>628</v>
      </c>
      <c r="B113" s="8" t="s">
        <v>86</v>
      </c>
      <c r="C113" s="38" t="n">
        <f aca="false">Q!$D$46-cx_rt*Q!$D$16-cx_awso*Sens!$C$108</f>
        <v>25.2781053077374</v>
      </c>
      <c r="D113" s="38" t="n">
        <f aca="false">Q!$E$46-cx_rt*Q!$E$16-cx_awso*Sens!$D$108</f>
        <v>69.5686316310026</v>
      </c>
      <c r="E113" s="38" t="n">
        <f aca="false">Q!$P$46-cx_rt*Q!$P$16-cx_awso*Sens!$E$108</f>
        <v>64.1899206485108</v>
      </c>
      <c r="F113" s="38" t="n">
        <f aca="false">MAX(Sens!$F$90*(Sens!$F$95+tk_fac*(1-colo_sh))/1000,capex_g26-Q!$P$46-Sens!$F$111)</f>
        <v>96.2481299895</v>
      </c>
      <c r="G113" s="38" t="n">
        <f aca="false">Sens!$E$113+Sens!$F$113</f>
        <v>160.438050638011</v>
      </c>
      <c r="H113" s="38" t="n">
        <f aca="false">Sens!$H$90*(Sens!$H$95+tk_fac*(1-colo_sh))/1000+Sens!$H$114</f>
        <v>198.57136494475</v>
      </c>
      <c r="I113" s="38" t="n">
        <f aca="false">Sens!$I$90*(Sens!$I$95+tk_fac*(1-colo_sh))/1000+Sens!$I$114</f>
        <v>204.6464699105</v>
      </c>
      <c r="J113" s="38" t="n">
        <f aca="false">Sens!$J$90*(Sens!$J$95+tk_fac*(1-colo_sh))/1000+Sens!$J$114</f>
        <v>209.8832381105</v>
      </c>
      <c r="K113" s="38" t="n">
        <f aca="false">Sens!$K$90*(Sens!$K$95+tk_fac*(1-colo_sh))/1000+Sens!$K$114</f>
        <v>155.238385275201</v>
      </c>
      <c r="L113" s="38" t="n">
        <f aca="false">Sens!$L$90*(Sens!$L$95+tk_fac*(1-colo_sh))/1000+Sens!$L$114</f>
        <v>132.014141639902</v>
      </c>
      <c r="M113" s="38" t="n">
        <f aca="false">Sens!$M$90*(Sens!$M$95+tk_fac*(1-colo_sh))/1000+Sens!$M$114</f>
        <v>132.230981659852</v>
      </c>
      <c r="P113" s="5" t="s">
        <v>629</v>
      </c>
      <c r="R113" s="38" t="n">
        <f aca="false">Q!$C$46-cx_rt*Q!$C$16-cx_awso*(Q!$C$7-mw_ye23/2*rpm_open/1000)</f>
        <v>1.50429979529945</v>
      </c>
      <c r="S113" s="38" t="n">
        <f aca="false">Sens!$C$113</f>
        <v>25.2781053077374</v>
      </c>
      <c r="T113" s="38" t="n">
        <f aca="false">Sens!$D$113</f>
        <v>69.5686316310026</v>
      </c>
      <c r="U113" s="38" t="n">
        <f aca="false">Sens!$G$113</f>
        <v>160.438050638011</v>
      </c>
      <c r="V113" s="38" t="n">
        <f aca="false">Sens!$H$113</f>
        <v>198.57136494475</v>
      </c>
      <c r="W113" s="38" t="n">
        <f aca="false">Sens!$I$113</f>
        <v>204.6464699105</v>
      </c>
      <c r="X113" s="38" t="n">
        <f aca="false">Sens!$J$113</f>
        <v>209.8832381105</v>
      </c>
      <c r="Y113" s="38" t="n">
        <f aca="false">Sens!$K$113</f>
        <v>155.238385275201</v>
      </c>
      <c r="Z113" s="38" t="n">
        <f aca="false">Sens!$L$113</f>
        <v>132.014141639902</v>
      </c>
      <c r="AA113" s="38" t="n">
        <f aca="false">Sens!$M$113</f>
        <v>132.230981659852</v>
      </c>
    </row>
    <row r="114" customFormat="false" ht="17.15" hidden="false" customHeight="false" outlineLevel="0" collapsed="false">
      <c r="A114" s="0" t="s">
        <v>630</v>
      </c>
      <c r="B114" s="0" t="s">
        <v>86</v>
      </c>
      <c r="H114" s="38" t="n">
        <f aca="false">SUMPRODUCT(--(Sens!$R$83:$AA$83=2027-tk_life),Sens!$R$90:$AA$90)*Sens!$H$95/1000</f>
        <v>0</v>
      </c>
      <c r="I114" s="38" t="n">
        <f aca="false">SUMPRODUCT(--(Sens!$R$83:$AA$83=2028-tk_life),Sens!$R$90:$AA$90)*Sens!$I$95/1000</f>
        <v>0</v>
      </c>
      <c r="J114" s="38" t="n">
        <f aca="false">SUMPRODUCT(--(Sens!$R$83:$AA$83=2029-tk_life),Sens!$R$90:$AA$90)*Sens!$J$95/1000</f>
        <v>5.2367682</v>
      </c>
      <c r="K114" s="38" t="n">
        <f aca="false">SUMPRODUCT(--(Sens!$R$83:$AA$83=2030-tk_life),Sens!$R$90:$AA$90)*Sens!$K$95/1000</f>
        <v>10.4735364</v>
      </c>
      <c r="L114" s="38" t="n">
        <f aca="false">SUMPRODUCT(--(Sens!$R$83:$AA$83=2031-tk_life),Sens!$R$90:$AA$90)*Sens!$L$95/1000</f>
        <v>47.1309138</v>
      </c>
      <c r="M114" s="38" t="n">
        <f aca="false">SUMPRODUCT(--(Sens!$R$83:$AA$83=2032-tk_life),Sens!$R$90:$AA$90)*Sens!$M$95/1000</f>
        <v>107.22937485525</v>
      </c>
    </row>
    <row r="115" customFormat="false" ht="17.15" hidden="false" customHeight="false" outlineLevel="0" collapsed="false">
      <c r="A115" s="0" t="s">
        <v>631</v>
      </c>
      <c r="B115" s="0" t="s">
        <v>86</v>
      </c>
      <c r="C115" s="38" t="n">
        <f aca="false">MIN(Sens!$C$113,Sens!$C$90*(tk_cx_h100+tk_fac*(1-colo_sh))/1000)</f>
        <v>11.2938642</v>
      </c>
      <c r="D115" s="38" t="n">
        <f aca="false">MIN(Sens!$D$113,Sens!$D$90*(tk_cx_h100+tk_fac*(1-colo_sh))/1000)</f>
        <v>50.8223889</v>
      </c>
      <c r="E115" s="38" t="n">
        <f aca="false">MIN(Sens!$E$113,Sens!$E$90*(Sens!$F$95+tk_fac*(1-colo_sh))/1000)</f>
        <v>33.8985792</v>
      </c>
      <c r="F115" s="38" t="n">
        <f aca="false">Sens!$F$113</f>
        <v>96.2481299895</v>
      </c>
      <c r="G115" s="38" t="n">
        <f aca="false">Sens!$E$115+Sens!$F$115</f>
        <v>130.1467091895</v>
      </c>
      <c r="H115" s="38" t="n">
        <f aca="false">Sens!$H$113</f>
        <v>198.57136494475</v>
      </c>
      <c r="I115" s="38" t="n">
        <f aca="false">Sens!$I$113</f>
        <v>204.6464699105</v>
      </c>
      <c r="J115" s="38" t="n">
        <f aca="false">Sens!$J$113</f>
        <v>209.8832381105</v>
      </c>
      <c r="K115" s="38" t="n">
        <f aca="false">Sens!$K$113</f>
        <v>155.238385275201</v>
      </c>
      <c r="L115" s="38" t="n">
        <f aca="false">Sens!$L$113</f>
        <v>132.014141639902</v>
      </c>
      <c r="M115" s="38" t="n">
        <f aca="false">Sens!$M$113</f>
        <v>132.230981659852</v>
      </c>
      <c r="P115" s="5" t="s">
        <v>632</v>
      </c>
      <c r="R115" s="38" t="n">
        <f aca="false">MIN(Sens!$R$113,Sens!$R$90*(tk_cx_h100+tk_fac*(1-colo_sh))/1000)</f>
        <v>1.50429979529945</v>
      </c>
      <c r="S115" s="38" t="n">
        <f aca="false">Sens!$C$115</f>
        <v>11.2938642</v>
      </c>
      <c r="T115" s="38" t="n">
        <f aca="false">Sens!$D$115</f>
        <v>50.8223889</v>
      </c>
      <c r="U115" s="38" t="n">
        <f aca="false">Sens!$G$115</f>
        <v>130.1467091895</v>
      </c>
      <c r="V115" s="38" t="n">
        <f aca="false">Sens!$H$115</f>
        <v>198.57136494475</v>
      </c>
      <c r="W115" s="38" t="n">
        <f aca="false">Sens!$I$115</f>
        <v>204.6464699105</v>
      </c>
      <c r="X115" s="38" t="n">
        <f aca="false">Sens!$J$115</f>
        <v>209.8832381105</v>
      </c>
      <c r="Y115" s="38" t="n">
        <f aca="false">Sens!$K$115</f>
        <v>155.238385275201</v>
      </c>
      <c r="Z115" s="38" t="n">
        <f aca="false">Sens!$L$115</f>
        <v>132.014141639902</v>
      </c>
      <c r="AA115" s="38" t="n">
        <f aca="false">Sens!$M$115</f>
        <v>132.230981659852</v>
      </c>
    </row>
    <row r="116" customFormat="false" ht="17.15" hidden="false" customHeight="false" outlineLevel="0" collapsed="false">
      <c r="A116" s="5" t="s">
        <v>633</v>
      </c>
      <c r="B116" s="0" t="s">
        <v>86</v>
      </c>
      <c r="C116" s="38" t="n">
        <f aca="false">Sens!$C$113-Sens!$C$115</f>
        <v>13.9842411077374</v>
      </c>
      <c r="D116" s="38" t="n">
        <f aca="false">Sens!$D$113-Sens!$D$115</f>
        <v>18.7462427310026</v>
      </c>
      <c r="E116" s="38" t="n">
        <f aca="false">Sens!$E$113-Sens!$E$115</f>
        <v>30.2913414485108</v>
      </c>
      <c r="F116" s="38" t="n">
        <f aca="false">Sens!$F$113-Sens!$F$115</f>
        <v>0</v>
      </c>
      <c r="G116" s="38" t="n">
        <f aca="false">Sens!$G$113-Sens!$G$115</f>
        <v>30.2913414485108</v>
      </c>
      <c r="H116" s="38" t="n">
        <f aca="false">Sens!$H$113-Sens!$H$115</f>
        <v>0</v>
      </c>
      <c r="I116" s="38" t="n">
        <f aca="false">Sens!$I$113-Sens!$I$115</f>
        <v>0</v>
      </c>
      <c r="J116" s="38" t="n">
        <f aca="false">Sens!$J$113-Sens!$J$115</f>
        <v>0</v>
      </c>
      <c r="K116" s="38" t="n">
        <f aca="false">Sens!$K$113-Sens!$K$115</f>
        <v>0</v>
      </c>
      <c r="L116" s="38" t="n">
        <f aca="false">Sens!$L$113-Sens!$L$115</f>
        <v>0</v>
      </c>
      <c r="M116" s="38" t="n">
        <f aca="false">Sens!$M$113-Sens!$M$115</f>
        <v>0</v>
      </c>
    </row>
    <row r="117" customFormat="false" ht="17.15" hidden="false" customHeight="false" outlineLevel="0" collapsed="false">
      <c r="A117" s="5" t="s">
        <v>634</v>
      </c>
      <c r="B117" s="0" t="s">
        <v>86</v>
      </c>
      <c r="C117" s="38" t="n">
        <f aca="false">Sens!$C$115*Sens!$C$112</f>
        <v>8.2530642</v>
      </c>
      <c r="D117" s="38" t="n">
        <f aca="false">Sens!$D$115*Sens!$D$112</f>
        <v>37.1387889</v>
      </c>
      <c r="E117" s="38" t="n">
        <f aca="false">Sens!$E$115*Sens!$E$112</f>
        <v>25.7897792</v>
      </c>
      <c r="F117" s="38" t="n">
        <f aca="false">Sens!$F$115*Sens!$F$112</f>
        <v>73.2248394895</v>
      </c>
      <c r="G117" s="38" t="n">
        <f aca="false">Sens!$E$117+Sens!$F$117</f>
        <v>99.0146186895</v>
      </c>
      <c r="H117" s="38" t="n">
        <f aca="false">(Sens!$H$115-Sens!$H$114)*Sens!$H$112+Sens!$H$114</f>
        <v>152.52478394475</v>
      </c>
      <c r="I117" s="38" t="n">
        <f aca="false">(Sens!$I$115-Sens!$I$114)*Sens!$I$112+Sens!$I$114</f>
        <v>158.5998889105</v>
      </c>
      <c r="J117" s="38" t="n">
        <f aca="false">(Sens!$J$115-Sens!$J$114)*Sens!$J$112+Sens!$J$114</f>
        <v>163.8366571105</v>
      </c>
      <c r="K117" s="38" t="n">
        <f aca="false">(Sens!$K$115-Sens!$K$114)*Sens!$K$112+Sens!$K$114</f>
        <v>122.665498273534</v>
      </c>
      <c r="L117" s="38" t="n">
        <f aca="false">(Sens!$L$115-Sens!$L$114)*Sens!$L$112+Sens!$L$114</f>
        <v>112.914948636568</v>
      </c>
      <c r="M117" s="38" t="n">
        <f aca="false">(Sens!$M$115-Sens!$M$114)*Sens!$M$112+Sens!$M$114</f>
        <v>126.605482654852</v>
      </c>
      <c r="R117" s="38" t="n">
        <f aca="false">Sens!$R$115*Sens!$C$112</f>
        <v>1.09927679019314</v>
      </c>
      <c r="S117" s="38" t="n">
        <f aca="false">Sens!$C$117</f>
        <v>8.2530642</v>
      </c>
      <c r="T117" s="38" t="n">
        <f aca="false">Sens!$D$117</f>
        <v>37.1387889</v>
      </c>
      <c r="U117" s="38" t="n">
        <f aca="false">Sens!$G$117</f>
        <v>99.0146186895</v>
      </c>
      <c r="V117" s="38" t="n">
        <f aca="false">Sens!$H$117</f>
        <v>152.52478394475</v>
      </c>
      <c r="W117" s="38" t="n">
        <f aca="false">Sens!$I$117</f>
        <v>158.5998889105</v>
      </c>
      <c r="X117" s="38" t="n">
        <f aca="false">Sens!$J$117</f>
        <v>163.8366571105</v>
      </c>
      <c r="Y117" s="38" t="n">
        <f aca="false">Sens!$K$117</f>
        <v>122.665498273534</v>
      </c>
      <c r="Z117" s="38" t="n">
        <f aca="false">Sens!$L$117</f>
        <v>112.914948636568</v>
      </c>
      <c r="AA117" s="38" t="n">
        <f aca="false">Sens!$M$117</f>
        <v>126.605482654852</v>
      </c>
    </row>
    <row r="118" customFormat="false" ht="15" hidden="false" customHeight="false" outlineLevel="0" collapsed="false">
      <c r="A118" s="5" t="s">
        <v>635</v>
      </c>
      <c r="B118" s="0" t="s">
        <v>86</v>
      </c>
      <c r="C118" s="38" t="n">
        <f aca="false">Sens!$C$115-Sens!$C$117</f>
        <v>3.0408</v>
      </c>
      <c r="D118" s="38" t="n">
        <f aca="false">Sens!$D$115-Sens!$D$117</f>
        <v>13.6836</v>
      </c>
      <c r="E118" s="38" t="n">
        <f aca="false">Sens!$E$115-Sens!$E$117</f>
        <v>8.1088</v>
      </c>
      <c r="F118" s="38" t="n">
        <f aca="false">Sens!$F$115-Sens!$F$117</f>
        <v>23.0232905</v>
      </c>
      <c r="G118" s="38" t="n">
        <f aca="false">Sens!$G$115-Sens!$G$117</f>
        <v>31.1320905</v>
      </c>
      <c r="H118" s="38" t="n">
        <f aca="false">Sens!$H$115-Sens!$H$117</f>
        <v>46.046581</v>
      </c>
      <c r="I118" s="38" t="n">
        <f aca="false">Sens!$I$115-Sens!$I$117</f>
        <v>46.046581</v>
      </c>
      <c r="J118" s="38" t="n">
        <f aca="false">Sens!$J$115-Sens!$J$117</f>
        <v>46.046581</v>
      </c>
      <c r="K118" s="38" t="n">
        <f aca="false">Sens!$K$115-Sens!$K$117</f>
        <v>32.5728870016667</v>
      </c>
      <c r="L118" s="38" t="n">
        <f aca="false">Sens!$L$115-Sens!$L$117</f>
        <v>19.0991930033334</v>
      </c>
      <c r="M118" s="38" t="n">
        <f aca="false">Sens!$M$115-Sens!$M$117</f>
        <v>5.62549900499998</v>
      </c>
      <c r="R118" s="38" t="n">
        <f aca="false">Sens!$R$115-Sens!$R$117</f>
        <v>0.405023005106309</v>
      </c>
      <c r="S118" s="38" t="n">
        <f aca="false">Sens!$S$115-Sens!$S$117</f>
        <v>3.0408</v>
      </c>
      <c r="T118" s="38" t="n">
        <f aca="false">Sens!$T$115-Sens!$T$117</f>
        <v>13.6836</v>
      </c>
      <c r="U118" s="38" t="n">
        <f aca="false">Sens!$U$115-Sens!$U$117</f>
        <v>31.1320905</v>
      </c>
      <c r="V118" s="38" t="n">
        <f aca="false">Sens!$V$115-Sens!$V$117</f>
        <v>46.046581</v>
      </c>
      <c r="W118" s="38" t="n">
        <f aca="false">Sens!$W$115-Sens!$W$117</f>
        <v>46.046581</v>
      </c>
      <c r="X118" s="38" t="n">
        <f aca="false">Sens!$X$115-Sens!$X$117</f>
        <v>46.046581</v>
      </c>
      <c r="Y118" s="38" t="n">
        <f aca="false">Sens!$Y$115-Sens!$Y$117</f>
        <v>32.5728870016667</v>
      </c>
      <c r="Z118" s="38" t="n">
        <f aca="false">Sens!$Z$115-Sens!$Z$117</f>
        <v>19.0991930033334</v>
      </c>
      <c r="AA118" s="38" t="n">
        <f aca="false">Sens!$AA$115-Sens!$AA$117</f>
        <v>5.62549900499998</v>
      </c>
    </row>
    <row r="119" customFormat="false" ht="17.15" hidden="false" customHeight="false" outlineLevel="0" collapsed="false">
      <c r="A119" s="0" t="s">
        <v>636</v>
      </c>
      <c r="B119" s="0" t="s">
        <v>52</v>
      </c>
      <c r="C119" s="13" t="n">
        <f aca="false">Sens!$C$113/Sens!$C$235</f>
        <v>0.325505489553393</v>
      </c>
      <c r="D119" s="13" t="n">
        <f aca="false">Sens!$D$113/Sens!$D$235</f>
        <v>0.54214956071542</v>
      </c>
      <c r="E119" s="13" t="n">
        <f aca="false">Sens!$E$113/Sens!$E$235</f>
        <v>0.666492790452817</v>
      </c>
      <c r="F119" s="13" t="n">
        <f aca="false">Sens!$F$113/Sens!$F$235</f>
        <v>0.733477910687338</v>
      </c>
      <c r="G119" s="13" t="n">
        <f aca="false">Sens!$G$113/Sens!$G$235</f>
        <v>0.705124321514523</v>
      </c>
      <c r="H119" s="13" t="n">
        <f aca="false">Sens!$H$113/Sens!$H$235</f>
        <v>0.726376041178204</v>
      </c>
      <c r="I119" s="13" t="n">
        <f aca="false">Sens!$I$113/Sens!$I$235</f>
        <v>0.713099092661699</v>
      </c>
      <c r="J119" s="13" t="n">
        <f aca="false">Sens!$J$113/Sens!$J$235</f>
        <v>0.701208348786245</v>
      </c>
      <c r="K119" s="13" t="n">
        <f aca="false">Sens!$K$113/Sens!$K$235</f>
        <v>0.618338844562383</v>
      </c>
      <c r="L119" s="13" t="n">
        <f aca="false">Sens!$L$113/Sens!$L$235</f>
        <v>0.562489158462506</v>
      </c>
      <c r="M119" s="13" t="n">
        <f aca="false">Sens!$M$113/Sens!$M$235</f>
        <v>0.545751190895923</v>
      </c>
    </row>
    <row r="120" customFormat="false" ht="17.15" hidden="false" customHeight="false" outlineLevel="0" collapsed="false">
      <c r="A120" s="0" t="s">
        <v>637</v>
      </c>
      <c r="B120" s="0" t="s">
        <v>86</v>
      </c>
      <c r="C120" s="38" t="n">
        <f aca="false">Sens!$S$120</f>
        <v>0.183212798365523</v>
      </c>
      <c r="D120" s="38" t="n">
        <f aca="false">Sens!$T$120</f>
        <v>1.55872349836552</v>
      </c>
      <c r="E120" s="38" t="n">
        <f aca="false">Sens!$G$120/2</f>
        <v>3.87426082418276</v>
      </c>
      <c r="F120" s="38" t="n">
        <f aca="false">Sens!$G$120/2</f>
        <v>3.87426082418276</v>
      </c>
      <c r="G120" s="38" t="n">
        <f aca="false">Sens!$U$120</f>
        <v>7.74852164836552</v>
      </c>
      <c r="H120" s="38" t="n">
        <f aca="false">Sens!$V$120</f>
        <v>24.2509580966155</v>
      </c>
      <c r="I120" s="38" t="n">
        <f aca="false">Sens!$W$120</f>
        <v>49.6717554207405</v>
      </c>
      <c r="J120" s="38" t="n">
        <f aca="false">Sens!$X$120</f>
        <v>76.1050702391572</v>
      </c>
      <c r="K120" s="38" t="n">
        <f aca="false">Sens!$Y$120</f>
        <v>103.227966959208</v>
      </c>
      <c r="L120" s="38" t="n">
        <f aca="false">Sens!$Z$120</f>
        <v>122.296705971464</v>
      </c>
      <c r="M120" s="38" t="n">
        <f aca="false">Sens!$AA$120</f>
        <v>134.926065927559</v>
      </c>
      <c r="N120" s="38" t="n">
        <f aca="false">Sens!$D$120/2</f>
        <v>0.779361749182762</v>
      </c>
      <c r="O120" s="38" t="n">
        <f aca="false">Sens!$D$120/2</f>
        <v>0.779361749182762</v>
      </c>
      <c r="R120" s="38" t="n">
        <f aca="false">SUMPRODUCT(--(Sens!$R$83:$AA$83&lt;Sens!R$83),--(Sens!$R$83:$AA$83&gt;=Sens!R$83-tk_life),Sens!$R$117:$AA$117)/tk_life</f>
        <v>0</v>
      </c>
      <c r="S120" s="38" t="n">
        <f aca="false">SUMPRODUCT(--(Sens!$R$83:$AA$83&lt;Sens!S$83),--(Sens!$R$83:$AA$83&gt;=Sens!S$83-tk_life),Sens!$R$117:$AA$117)/tk_life</f>
        <v>0.183212798365523</v>
      </c>
      <c r="T120" s="38" t="n">
        <f aca="false">SUMPRODUCT(--(Sens!$R$83:$AA$83&lt;Sens!T$83),--(Sens!$R$83:$AA$83&gt;=Sens!T$83-tk_life),Sens!$R$117:$AA$117)/tk_life</f>
        <v>1.55872349836552</v>
      </c>
      <c r="U120" s="38" t="n">
        <f aca="false">SUMPRODUCT(--(Sens!$R$83:$AA$83&lt;Sens!U$83),--(Sens!$R$83:$AA$83&gt;=Sens!U$83-tk_life),Sens!$R$117:$AA$117)/tk_life</f>
        <v>7.74852164836552</v>
      </c>
      <c r="V120" s="38" t="n">
        <f aca="false">SUMPRODUCT(--(Sens!$R$83:$AA$83&lt;Sens!V$83),--(Sens!$R$83:$AA$83&gt;=Sens!V$83-tk_life),Sens!$R$117:$AA$117)/tk_life</f>
        <v>24.2509580966155</v>
      </c>
      <c r="W120" s="38" t="n">
        <f aca="false">SUMPRODUCT(--(Sens!$R$83:$AA$83&lt;Sens!W$83),--(Sens!$R$83:$AA$83&gt;=Sens!W$83-tk_life),Sens!$R$117:$AA$117)/tk_life</f>
        <v>49.6717554207405</v>
      </c>
      <c r="X120" s="38" t="n">
        <f aca="false">SUMPRODUCT(--(Sens!$R$83:$AA$83&lt;Sens!X$83),--(Sens!$R$83:$AA$83&gt;=Sens!X$83-tk_life),Sens!$R$117:$AA$117)/tk_life</f>
        <v>76.1050702391572</v>
      </c>
      <c r="Y120" s="38" t="n">
        <f aca="false">SUMPRODUCT(--(Sens!$R$83:$AA$83&lt;Sens!Y$83),--(Sens!$R$83:$AA$83&gt;=Sens!Y$83-tk_life),Sens!$R$117:$AA$117)/tk_life</f>
        <v>103.227966959208</v>
      </c>
      <c r="Z120" s="38" t="n">
        <f aca="false">SUMPRODUCT(--(Sens!$R$83:$AA$83&lt;Sens!Z$83),--(Sens!$R$83:$AA$83&gt;=Sens!Z$83-tk_life),Sens!$R$117:$AA$117)/tk_life</f>
        <v>122.296705971464</v>
      </c>
      <c r="AA120" s="38" t="n">
        <f aca="false">SUMPRODUCT(--(Sens!$R$83:$AA$83&lt;Sens!AA$83),--(Sens!$R$83:$AA$83&gt;=Sens!AA$83-tk_life),Sens!$R$117:$AA$117)/tk_life</f>
        <v>134.926065927559</v>
      </c>
    </row>
    <row r="121" customFormat="false" ht="17.15" hidden="false" customHeight="false" outlineLevel="0" collapsed="false">
      <c r="A121" s="0" t="s">
        <v>638</v>
      </c>
      <c r="B121" s="0" t="s">
        <v>86</v>
      </c>
      <c r="C121" s="38" t="n">
        <f aca="false">Sens!$S$121</f>
        <v>0.0202511502553155</v>
      </c>
      <c r="D121" s="38" t="n">
        <f aca="false">Sens!$T$121</f>
        <v>0.172291150255315</v>
      </c>
      <c r="E121" s="38" t="n">
        <f aca="false">Sens!$G$121/2</f>
        <v>0.428235575127658</v>
      </c>
      <c r="F121" s="38" t="n">
        <f aca="false">Sens!$G$121/2</f>
        <v>0.428235575127658</v>
      </c>
      <c r="G121" s="38" t="n">
        <f aca="false">Sens!$U$121</f>
        <v>0.856471150255315</v>
      </c>
      <c r="H121" s="38" t="n">
        <f aca="false">Sens!$V$121</f>
        <v>2.41307567525532</v>
      </c>
      <c r="I121" s="38" t="n">
        <f aca="false">Sens!$W$121</f>
        <v>4.71540472525532</v>
      </c>
      <c r="J121" s="38" t="n">
        <f aca="false">Sens!$X$121</f>
        <v>7.01773377525532</v>
      </c>
      <c r="K121" s="38" t="n">
        <f aca="false">Sens!$Y$121</f>
        <v>9.32006282525532</v>
      </c>
      <c r="L121" s="38" t="n">
        <f aca="false">Sens!$Z$121</f>
        <v>10.9487071753387</v>
      </c>
      <c r="M121" s="38" t="n">
        <f aca="false">Sens!$AA$121</f>
        <v>11.9036668255053</v>
      </c>
      <c r="N121" s="38" t="n">
        <f aca="false">Sens!$D$121/2</f>
        <v>0.0861455751276577</v>
      </c>
      <c r="O121" s="38" t="n">
        <f aca="false">Sens!$D$121/2</f>
        <v>0.0861455751276577</v>
      </c>
      <c r="R121" s="38" t="n">
        <f aca="false">SUMPRODUCT(--(Sens!$R$83:$AA$83&lt;Sens!R$83),Sens!$R$118:$AA$118)/fac_life</f>
        <v>0</v>
      </c>
      <c r="S121" s="38" t="n">
        <f aca="false">SUMPRODUCT(--(Sens!$R$83:$AA$83&lt;Sens!S$83),Sens!$R$118:$AA$118)/fac_life</f>
        <v>0.0202511502553155</v>
      </c>
      <c r="T121" s="38" t="n">
        <f aca="false">SUMPRODUCT(--(Sens!$R$83:$AA$83&lt;Sens!T$83),Sens!$R$118:$AA$118)/fac_life</f>
        <v>0.172291150255315</v>
      </c>
      <c r="U121" s="38" t="n">
        <f aca="false">SUMPRODUCT(--(Sens!$R$83:$AA$83&lt;Sens!U$83),Sens!$R$118:$AA$118)/fac_life</f>
        <v>0.856471150255315</v>
      </c>
      <c r="V121" s="38" t="n">
        <f aca="false">SUMPRODUCT(--(Sens!$R$83:$AA$83&lt;Sens!V$83),Sens!$R$118:$AA$118)/fac_life</f>
        <v>2.41307567525532</v>
      </c>
      <c r="W121" s="38" t="n">
        <f aca="false">SUMPRODUCT(--(Sens!$R$83:$AA$83&lt;Sens!W$83),Sens!$R$118:$AA$118)/fac_life</f>
        <v>4.71540472525532</v>
      </c>
      <c r="X121" s="38" t="n">
        <f aca="false">SUMPRODUCT(--(Sens!$R$83:$AA$83&lt;Sens!X$83),Sens!$R$118:$AA$118)/fac_life</f>
        <v>7.01773377525532</v>
      </c>
      <c r="Y121" s="38" t="n">
        <f aca="false">SUMPRODUCT(--(Sens!$R$83:$AA$83&lt;Sens!Y$83),Sens!$R$118:$AA$118)/fac_life</f>
        <v>9.32006282525532</v>
      </c>
      <c r="Z121" s="38" t="n">
        <f aca="false">SUMPRODUCT(--(Sens!$R$83:$AA$83&lt;Sens!Z$83),Sens!$R$118:$AA$118)/fac_life</f>
        <v>10.9487071753387</v>
      </c>
      <c r="AA121" s="38" t="n">
        <f aca="false">SUMPRODUCT(--(Sens!$R$83:$AA$83&lt;Sens!AA$83),Sens!$R$118:$AA$118)/fac_life</f>
        <v>11.9036668255053</v>
      </c>
    </row>
    <row r="122" customFormat="false" ht="17.15" hidden="false" customHeight="false" outlineLevel="0" collapsed="false">
      <c r="A122" s="1" t="s">
        <v>639</v>
      </c>
      <c r="B122" s="8" t="s">
        <v>86</v>
      </c>
      <c r="C122" s="38" t="n">
        <f aca="false">Sens!$C$120+Sens!$C$121</f>
        <v>0.203463948620839</v>
      </c>
      <c r="D122" s="38" t="n">
        <f aca="false">Sens!$D$120+Sens!$D$121</f>
        <v>1.73101464862084</v>
      </c>
      <c r="E122" s="38" t="n">
        <f aca="false">Sens!$E$120+Sens!$E$121</f>
        <v>4.30249639931042</v>
      </c>
      <c r="F122" s="38" t="n">
        <f aca="false">Sens!$F$120+Sens!$F$121</f>
        <v>4.30249639931042</v>
      </c>
      <c r="G122" s="38" t="n">
        <f aca="false">Sens!$G$120+Sens!$G$121</f>
        <v>8.60499279862084</v>
      </c>
      <c r="H122" s="38" t="n">
        <f aca="false">Sens!$H$120+Sens!$H$121</f>
        <v>26.6640337718708</v>
      </c>
      <c r="I122" s="38" t="n">
        <f aca="false">Sens!$I$120+Sens!$I$121</f>
        <v>54.3871601459959</v>
      </c>
      <c r="J122" s="38" t="n">
        <f aca="false">Sens!$J$120+Sens!$J$121</f>
        <v>83.1228040144125</v>
      </c>
      <c r="K122" s="38" t="n">
        <f aca="false">Sens!$K$120+Sens!$K$121</f>
        <v>112.548029784464</v>
      </c>
      <c r="L122" s="38" t="n">
        <f aca="false">Sens!$L$120+Sens!$L$121</f>
        <v>133.245413146803</v>
      </c>
      <c r="M122" s="38" t="n">
        <f aca="false">Sens!$M$120+Sens!$M$121</f>
        <v>146.829732753064</v>
      </c>
      <c r="N122" s="38" t="n">
        <f aca="false">Sens!$N$120+Sens!$N$121</f>
        <v>0.865507324310419</v>
      </c>
      <c r="O122" s="38" t="n">
        <f aca="false">Sens!$O$120+Sens!$O$121</f>
        <v>0.865507324310419</v>
      </c>
      <c r="R122" s="38" t="n">
        <f aca="false">Sens!$R$120+Sens!$R$121</f>
        <v>0</v>
      </c>
      <c r="S122" s="38" t="n">
        <f aca="false">Sens!$S$120+Sens!$S$121</f>
        <v>0.203463948620839</v>
      </c>
      <c r="T122" s="38" t="n">
        <f aca="false">Sens!$T$120+Sens!$T$121</f>
        <v>1.73101464862084</v>
      </c>
      <c r="U122" s="38" t="n">
        <f aca="false">Sens!$U$120+Sens!$U$121</f>
        <v>8.60499279862084</v>
      </c>
      <c r="V122" s="38" t="n">
        <f aca="false">Sens!$V$120+Sens!$V$121</f>
        <v>26.6640337718708</v>
      </c>
      <c r="W122" s="38" t="n">
        <f aca="false">Sens!$W$120+Sens!$W$121</f>
        <v>54.3871601459959</v>
      </c>
      <c r="X122" s="38" t="n">
        <f aca="false">Sens!$X$120+Sens!$X$121</f>
        <v>83.1228040144125</v>
      </c>
      <c r="Y122" s="38" t="n">
        <f aca="false">Sens!$Y$120+Sens!$Y$121</f>
        <v>112.548029784464</v>
      </c>
      <c r="Z122" s="38" t="n">
        <f aca="false">Sens!$Z$120+Sens!$Z$121</f>
        <v>133.245413146803</v>
      </c>
      <c r="AA122" s="38" t="n">
        <f aca="false">Sens!$AA$120+Sens!$AA$121</f>
        <v>146.829732753064</v>
      </c>
    </row>
    <row r="123" customFormat="false" ht="17.15" hidden="false" customHeight="false" outlineLevel="0" collapsed="false">
      <c r="A123" s="0" t="s">
        <v>640</v>
      </c>
      <c r="B123" s="0" t="s">
        <v>86</v>
      </c>
      <c r="C123" s="38" t="n">
        <f aca="false">Sens!$S$123</f>
        <v>12.5947000466786</v>
      </c>
      <c r="D123" s="38" t="n">
        <f aca="false">Sens!$T$123</f>
        <v>61.6860742980578</v>
      </c>
      <c r="G123" s="38" t="n">
        <f aca="false">Sens!$U$123</f>
        <v>183.227790688937</v>
      </c>
      <c r="H123" s="38" t="n">
        <f aca="false">Sens!$V$123</f>
        <v>355.135121861816</v>
      </c>
      <c r="I123" s="38" t="n">
        <f aca="false">Sens!$W$123</f>
        <v>505.39443162632</v>
      </c>
      <c r="J123" s="38" t="n">
        <f aca="false">Sens!$X$123</f>
        <v>632.154865722408</v>
      </c>
      <c r="K123" s="38" t="n">
        <f aca="false">Sens!$Y$123</f>
        <v>674.845221213145</v>
      </c>
      <c r="L123" s="38" t="n">
        <f aca="false">Sens!$Z$123</f>
        <v>673.613949706244</v>
      </c>
      <c r="M123" s="38" t="n">
        <f aca="false">Sens!$AA$123</f>
        <v>659.015198613032</v>
      </c>
      <c r="R123" s="38" t="n">
        <f aca="false">SUM(Sens!$R$115:$R$115)-SUM(Sens!$R$122:$R$122)</f>
        <v>1.50429979529945</v>
      </c>
      <c r="S123" s="38" t="n">
        <f aca="false">SUM(Sens!$R$115:$S$115)-SUM(Sens!$R$122:$S$122)</f>
        <v>12.5947000466786</v>
      </c>
      <c r="T123" s="38" t="n">
        <f aca="false">SUM(Sens!$R$115:$T$115)-SUM(Sens!$R$122:$T$122)</f>
        <v>61.6860742980578</v>
      </c>
      <c r="U123" s="38" t="n">
        <f aca="false">SUM(Sens!$R$115:$U$115)-SUM(Sens!$R$122:$U$122)</f>
        <v>183.227790688937</v>
      </c>
      <c r="V123" s="38" t="n">
        <f aca="false">SUM(Sens!$R$115:$V$115)-SUM(Sens!$R$122:$V$122)</f>
        <v>355.135121861816</v>
      </c>
      <c r="W123" s="38" t="n">
        <f aca="false">SUM(Sens!$R$115:$W$115)-SUM(Sens!$R$122:$W$122)</f>
        <v>505.39443162632</v>
      </c>
      <c r="X123" s="38" t="n">
        <f aca="false">SUM(Sens!$R$115:$X$115)-SUM(Sens!$R$122:$X$122)</f>
        <v>632.154865722408</v>
      </c>
      <c r="Y123" s="38" t="n">
        <f aca="false">SUM(Sens!$R$115:$Y$115)-SUM(Sens!$R$122:$Y$122)</f>
        <v>674.845221213145</v>
      </c>
      <c r="Z123" s="38" t="n">
        <f aca="false">SUM(Sens!$R$115:$Z$115)-SUM(Sens!$R$122:$Z$122)</f>
        <v>673.613949706244</v>
      </c>
      <c r="AA123" s="38" t="n">
        <f aca="false">SUM(Sens!$R$115:$AA$115)-SUM(Sens!$R$122:$AA$122)</f>
        <v>659.015198613032</v>
      </c>
    </row>
    <row r="124" customFormat="false" ht="17.15" hidden="false" customHeight="false" outlineLevel="0" collapsed="false">
      <c r="A124" s="1" t="s">
        <v>641</v>
      </c>
    </row>
    <row r="125" customFormat="false" ht="17.15" hidden="false" customHeight="false" outlineLevel="0" collapsed="false">
      <c r="A125" s="0" t="s">
        <v>642</v>
      </c>
      <c r="B125" s="0" t="s">
        <v>86</v>
      </c>
      <c r="C125" s="38" t="n">
        <f aca="false">Sens!$C$104-ext_sh*Sens!$C$106</f>
        <v>1.80694998843362</v>
      </c>
      <c r="D125" s="38" t="n">
        <f aca="false">Sens!$D$104-ext_sh*Sens!$D$106</f>
        <v>6.77606245662607</v>
      </c>
      <c r="E125" s="38" t="n">
        <f aca="false">Sens!$E$104-ext_sh*Sens!$E$106</f>
        <v>6.62548329092326</v>
      </c>
      <c r="F125" s="38" t="n">
        <f aca="false">Sens!$F$104-ext_sh*Sens!$F$106</f>
        <v>11.7200577158706</v>
      </c>
      <c r="G125" s="38" t="n">
        <f aca="false">Sens!$G$104-ext_sh*Sens!$G$106</f>
        <v>18.3455410067939</v>
      </c>
      <c r="H125" s="38" t="n">
        <f aca="false">Sens!$H$104-ext_sh*Sens!$H$106</f>
        <v>47.5171727060453</v>
      </c>
      <c r="I125" s="38" t="n">
        <f aca="false">Sens!$I$104-ext_sh*Sens!$I$106</f>
        <v>80.5539692643667</v>
      </c>
      <c r="J125" s="38" t="n">
        <f aca="false">Sens!$J$104-ext_sh*Sens!$J$106</f>
        <v>113.759316834883</v>
      </c>
      <c r="K125" s="38" t="n">
        <f aca="false">Sens!$K$104-ext_sh*Sens!$K$106</f>
        <v>142.084411492169</v>
      </c>
      <c r="L125" s="38" t="n">
        <f aca="false">Sens!$L$104-ext_sh*Sens!$L$106</f>
        <v>160.69964615804</v>
      </c>
      <c r="M125" s="38" t="n">
        <f aca="false">Sens!$M$104-ext_sh*Sens!$M$106</f>
        <v>169.577607141793</v>
      </c>
      <c r="N125" s="38" t="n">
        <f aca="false">Sens!$N$104-ext_sh*Sens!$N$106</f>
        <v>2.37162185981912</v>
      </c>
      <c r="O125" s="38" t="n">
        <f aca="false">Sens!$O$104-ext_sh*Sens!$O$106</f>
        <v>4.40444059680694</v>
      </c>
    </row>
    <row r="126" customFormat="false" ht="17.15" hidden="false" customHeight="false" outlineLevel="0" collapsed="false">
      <c r="A126" s="1" t="s">
        <v>643</v>
      </c>
      <c r="B126" s="8" t="s">
        <v>86</v>
      </c>
      <c r="C126" s="38" t="n">
        <f aca="false">Sens!$C$125-ext_sh*Sens!$C$122</f>
        <v>1.64417882953695</v>
      </c>
      <c r="D126" s="38" t="n">
        <f aca="false">Sens!$D$125-ext_sh*Sens!$D$122</f>
        <v>5.39125073772939</v>
      </c>
      <c r="E126" s="38" t="n">
        <f aca="false">Sens!$E$125-ext_sh*Sens!$E$122</f>
        <v>3.18348617147493</v>
      </c>
      <c r="F126" s="38" t="n">
        <f aca="false">Sens!$F$125-ext_sh*Sens!$F$122</f>
        <v>8.27806059642226</v>
      </c>
      <c r="G126" s="38" t="n">
        <f aca="false">Sens!$G$125-ext_sh*Sens!$G$122</f>
        <v>11.4615467678972</v>
      </c>
      <c r="H126" s="38" t="n">
        <f aca="false">Sens!$H$125-ext_sh*Sens!$H$122</f>
        <v>26.1859456885487</v>
      </c>
      <c r="I126" s="38" t="n">
        <f aca="false">Sens!$I$125-ext_sh*Sens!$I$122</f>
        <v>37.04424114757</v>
      </c>
      <c r="J126" s="38" t="n">
        <f aca="false">Sens!$J$125-ext_sh*Sens!$J$122</f>
        <v>47.2610736233534</v>
      </c>
      <c r="K126" s="38" t="n">
        <f aca="false">Sens!$K$125-ext_sh*Sens!$K$122</f>
        <v>52.0459876645985</v>
      </c>
      <c r="L126" s="38" t="n">
        <f aca="false">Sens!$L$125-ext_sh*Sens!$L$122</f>
        <v>54.1033156405981</v>
      </c>
      <c r="M126" s="38" t="n">
        <f aca="false">Sens!$M$125-ext_sh*Sens!$M$122</f>
        <v>52.1138209393421</v>
      </c>
      <c r="N126" s="38" t="n">
        <f aca="false">Sens!$N$125-ext_sh*Sens!$N$122</f>
        <v>1.67921600037079</v>
      </c>
      <c r="O126" s="38" t="n">
        <f aca="false">Sens!$O$125-ext_sh*Sens!$O$122</f>
        <v>3.71203473735861</v>
      </c>
    </row>
    <row r="127" customFormat="false" ht="17.15" hidden="false" customHeight="false" outlineLevel="0" collapsed="false">
      <c r="A127" s="0" t="s">
        <v>644</v>
      </c>
      <c r="B127" s="0" t="s">
        <v>52</v>
      </c>
      <c r="C127" s="13" t="n">
        <f aca="false">Sens!$C$126/Sens!$C$104</f>
        <v>0.708390794789371</v>
      </c>
      <c r="D127" s="13" t="n">
        <f aca="false">Sens!$D$126/Sens!$D$104</f>
        <v>0.619415573115729</v>
      </c>
      <c r="E127" s="13" t="n">
        <f aca="false">Sens!$E$126/Sens!$E$104</f>
        <v>0.374072166056273</v>
      </c>
      <c r="F127" s="13" t="n">
        <f aca="false">Sens!$F$126/Sens!$F$104</f>
        <v>0.553219320710057</v>
      </c>
      <c r="G127" s="13" t="n">
        <f aca="false">Sens!$G$126/Sens!$G$104</f>
        <v>0.488270041527512</v>
      </c>
      <c r="H127" s="13" t="n">
        <f aca="false">Sens!$H$126/Sens!$H$104</f>
        <v>0.435229086816882</v>
      </c>
      <c r="I127" s="13" t="n">
        <f aca="false">Sens!$I$126/Sens!$I$104</f>
        <v>0.364954592421095</v>
      </c>
      <c r="J127" s="13" t="n">
        <f aca="false">Sens!$J$126/Sens!$J$104</f>
        <v>0.330438308582232</v>
      </c>
      <c r="K127" s="13" t="n">
        <f aca="false">Sens!$K$126/Sens!$K$104</f>
        <v>0.2916589289528</v>
      </c>
      <c r="L127" s="13" t="n">
        <f aca="false">Sens!$L$126/Sens!$L$104</f>
        <v>0.268199200593258</v>
      </c>
      <c r="M127" s="13" t="n">
        <f aca="false">Sens!$M$126/Sens!$M$104</f>
        <v>0.244854995033574</v>
      </c>
      <c r="N127" s="13" t="n">
        <f aca="false">Sens!$N$126/Sens!$N$104</f>
        <v>0.551227795793364</v>
      </c>
      <c r="O127" s="13" t="n">
        <f aca="false">Sens!$O$126/Sens!$O$104</f>
        <v>0.656132068597002</v>
      </c>
    </row>
    <row r="128" customFormat="false" ht="17.15" hidden="false" customHeight="false" outlineLevel="0" collapsed="false">
      <c r="A128" s="5" t="s">
        <v>645</v>
      </c>
      <c r="B128" s="0" t="s">
        <v>86</v>
      </c>
      <c r="C128" s="39" t="n">
        <v>0</v>
      </c>
      <c r="D128" s="39" t="n">
        <v>0</v>
      </c>
      <c r="E128" s="39" t="n">
        <v>0</v>
      </c>
      <c r="F128" s="38" t="n">
        <f aca="false">IF(internal_ai_reading=2,1,0)*(1-ext_sh)/ext_sh*(mw_open*he_open+Sens!$F$102*Sens!$F$99)*Sens!$F$88/1000</f>
        <v>3.77122048175818</v>
      </c>
      <c r="G128" s="38" t="n">
        <f aca="false">Sens!$E$128+Sens!$F$128</f>
        <v>3.77122048175818</v>
      </c>
      <c r="H128" s="38" t="n">
        <f aca="false">IF(internal_ai_reading=2,1,0)*(1-ext_sh)/ext_sh*(mw_open*he_open+Sens!$H$102*Sens!$H$99)*Sens!$H$88/1000</f>
        <v>15.1635543609893</v>
      </c>
      <c r="I128" s="38" t="n">
        <f aca="false">IF(internal_ai_reading=2,1,0)*(1-ext_sh)/ext_sh*(mw_open*he_open+Sens!$I$102*Sens!$I$99)*Sens!$I$88/1000</f>
        <v>25.5818843619889</v>
      </c>
      <c r="J128" s="38" t="n">
        <f aca="false">IF(internal_ai_reading=2,1,0)*(1-ext_sh)/ext_sh*(mw_open*he_open+Sens!$J$102*Sens!$J$99)*Sens!$J$88/1000</f>
        <v>36.0465624179122</v>
      </c>
      <c r="K128" s="38" t="n">
        <f aca="false">IF(internal_ai_reading=2,1,0)*(1-ext_sh)/ext_sh*(mw_open*he_open+Sens!$K$102*Sens!$K$99)*Sens!$K$88/1000</f>
        <v>44.9741164026038</v>
      </c>
      <c r="L128" s="38" t="n">
        <f aca="false">IF(internal_ai_reading=2,1,0)*(1-ext_sh)/ext_sh*(mw_open*he_open+Sens!$L$102*Sens!$L$99)*Sens!$L$88/1000</f>
        <v>50.8413488057813</v>
      </c>
      <c r="M128" s="38" t="n">
        <f aca="false">IF(internal_ai_reading=2,1,0)*(1-ext_sh)/ext_sh*(mw_open*he_open+Sens!$M$102*Sens!$M$99)*Sens!$M$88/1000</f>
        <v>53.6407214274315</v>
      </c>
      <c r="N128" s="39" t="n">
        <v>0</v>
      </c>
      <c r="O128" s="39" t="n">
        <v>0</v>
      </c>
      <c r="P128" s="8" t="s">
        <v>646</v>
      </c>
    </row>
    <row r="129" customFormat="false" ht="17.15" hidden="false" customHeight="false" outlineLevel="0" collapsed="false">
      <c r="A129" s="5" t="s">
        <v>647</v>
      </c>
      <c r="B129" s="0" t="s">
        <v>86</v>
      </c>
      <c r="C129" s="38" t="n">
        <f aca="false">(1-ext_sh)*(Sens!$C$106+Sens!$C$122)</f>
        <v>0.169206631859174</v>
      </c>
      <c r="D129" s="38" t="n">
        <f aca="false">(1-ext_sh)*(Sens!$D$106+Sens!$D$122)</f>
        <v>0.828129837730442</v>
      </c>
      <c r="E129" s="38" t="n">
        <f aca="false">(1-ext_sh)*(Sens!$E$106+Sens!$E$122)</f>
        <v>1.33171670102377</v>
      </c>
      <c r="F129" s="38" t="n">
        <f aca="false">(1-ext_sh)*(Sens!$F$106+Sens!$F$122)</f>
        <v>1.67134326207455</v>
      </c>
      <c r="G129" s="38" t="n">
        <f aca="false">(1-ext_sh)*(Sens!$G$106+Sens!$G$122)</f>
        <v>3.00305996309832</v>
      </c>
      <c r="H129" s="38" t="n">
        <f aca="false">(1-ext_sh)*(Sens!$H$106+Sens!$H$122)</f>
        <v>8.49498626530648</v>
      </c>
      <c r="I129" s="38" t="n">
        <f aca="false">(1-ext_sh)*(Sens!$I$106+Sens!$I$122)</f>
        <v>16.1148644972155</v>
      </c>
      <c r="J129" s="38" t="n">
        <f aca="false">(1-ext_sh)*(Sens!$J$106+Sens!$J$122)</f>
        <v>23.9410833819812</v>
      </c>
      <c r="K129" s="38" t="n">
        <f aca="false">(1-ext_sh)*(Sens!$K$106+Sens!$K$122)</f>
        <v>31.6005331796453</v>
      </c>
      <c r="L129" s="38" t="n">
        <f aca="false">(1-ext_sh)*(Sens!$L$106+Sens!$L$122)</f>
        <v>36.9061965404496</v>
      </c>
      <c r="M129" s="38" t="n">
        <f aca="false">(1-ext_sh)*(Sens!$M$106+Sens!$M$122)</f>
        <v>40.1804051073808</v>
      </c>
      <c r="N129" s="38" t="n">
        <f aca="false">(1-ext_sh)*(Sens!$N$106+Sens!$N$122)</f>
        <v>0.34177588266428</v>
      </c>
      <c r="O129" s="38" t="n">
        <f aca="false">(1-ext_sh)*(Sens!$O$106+Sens!$O$122)</f>
        <v>0.486353955066162</v>
      </c>
    </row>
    <row r="130" customFormat="false" ht="17.15" hidden="false" customHeight="false" outlineLevel="0" collapsed="false">
      <c r="A130" s="0" t="s">
        <v>648</v>
      </c>
      <c r="B130" s="0" t="s">
        <v>86</v>
      </c>
      <c r="C130" s="38" t="n">
        <f aca="false">Q!$D$24</f>
        <v>39.834</v>
      </c>
      <c r="D130" s="38" t="n">
        <f aca="false">Q!$E$24</f>
        <v>45.606</v>
      </c>
      <c r="E130" s="38" t="n">
        <f aca="false">Q!$P$24</f>
        <v>30.782</v>
      </c>
      <c r="N130" s="38" t="n">
        <f aca="false">Q!$N$24</f>
        <v>21.707</v>
      </c>
      <c r="O130" s="38" t="n">
        <f aca="false">Q!$O$24</f>
        <v>23.899</v>
      </c>
    </row>
    <row r="131" customFormat="false" ht="17.15" hidden="false" customHeight="false" outlineLevel="0" collapsed="false">
      <c r="A131" s="0" t="s">
        <v>649</v>
      </c>
      <c r="B131" s="0" t="s">
        <v>86</v>
      </c>
      <c r="C131" s="38" t="n">
        <f aca="false">Sens!$C$130-Sens!$C$126</f>
        <v>38.1898211704631</v>
      </c>
      <c r="D131" s="38" t="n">
        <f aca="false">Sens!$D$130-Sens!$D$126</f>
        <v>40.2147492622706</v>
      </c>
      <c r="E131" s="38" t="n">
        <f aca="false">Sens!$E$130-Sens!$E$126</f>
        <v>27.5985138285251</v>
      </c>
      <c r="F131" s="38" t="n">
        <f aca="false">Sens!$F$108*Sens!$F$132</f>
        <v>25.5484769754606</v>
      </c>
      <c r="G131" s="38" t="n">
        <f aca="false">Sens!$E$131+Sens!$F$131</f>
        <v>53.1469908039857</v>
      </c>
      <c r="H131" s="38" t="n">
        <f aca="false">Sens!$H$108*Sens!$H$132</f>
        <v>57.3189525076539</v>
      </c>
      <c r="I131" s="38" t="n">
        <f aca="false">Sens!$I$108*Sens!$I$132</f>
        <v>63.6385627021087</v>
      </c>
      <c r="J131" s="38" t="n">
        <f aca="false">Sens!$J$108*Sens!$J$132</f>
        <v>69.6922896066105</v>
      </c>
      <c r="K131" s="38" t="n">
        <f aca="false">Sens!$K$108*Sens!$K$132</f>
        <v>75.2676727751394</v>
      </c>
      <c r="L131" s="38" t="n">
        <f aca="false">Sens!$L$108*Sens!$L$132</f>
        <v>81.2890865971505</v>
      </c>
      <c r="M131" s="38" t="n">
        <f aca="false">Sens!$M$108*Sens!$M$132</f>
        <v>87.7922135249226</v>
      </c>
      <c r="N131" s="38" t="n">
        <f aca="false">Sens!$N$130-Sens!$N$126</f>
        <v>20.0277839996292</v>
      </c>
      <c r="O131" s="38" t="n">
        <f aca="false">Sens!$O$130-Sens!$O$126</f>
        <v>20.1869652626414</v>
      </c>
      <c r="P131" s="5" t="s">
        <v>650</v>
      </c>
    </row>
    <row r="132" customFormat="false" ht="17.15" hidden="false" customHeight="false" outlineLevel="0" collapsed="false">
      <c r="A132" s="0" t="s">
        <v>651</v>
      </c>
      <c r="B132" s="0" t="s">
        <v>52</v>
      </c>
      <c r="C132" s="13" t="n">
        <f aca="false">Sens!$C$131/Sens!$C$108</f>
        <v>0.362900395443635</v>
      </c>
      <c r="D132" s="13" t="n">
        <f aca="false">Sens!$D$131/Sens!$D$108</f>
        <v>0.335063632425483</v>
      </c>
      <c r="E132" s="13" t="n">
        <f aca="false">Sens!$E$131/Sens!$E$108</f>
        <v>0.387028992698038</v>
      </c>
      <c r="F132" s="13" t="n">
        <f aca="false">(Sens!$O$131+Sens!$E$131)/(Sens!$O$108+Sens!$E$108)</f>
        <v>0.355980580118587</v>
      </c>
      <c r="G132" s="13" t="n">
        <f aca="false">Sens!$G$131/Sens!$G$108</f>
        <v>0.371454804780916</v>
      </c>
      <c r="H132" s="13" t="n">
        <f aca="false">Sens!$F$132</f>
        <v>0.355980580118587</v>
      </c>
      <c r="I132" s="13" t="n">
        <f aca="false">Sens!$F$132</f>
        <v>0.355980580118587</v>
      </c>
      <c r="J132" s="13" t="n">
        <f aca="false">Sens!$F$132</f>
        <v>0.355980580118587</v>
      </c>
      <c r="K132" s="13" t="n">
        <f aca="false">Sens!$F$132</f>
        <v>0.355980580118587</v>
      </c>
      <c r="L132" s="13" t="n">
        <f aca="false">Sens!$F$132</f>
        <v>0.355980580118587</v>
      </c>
      <c r="M132" s="13" t="n">
        <f aca="false">Sens!$F$132</f>
        <v>0.355980580118587</v>
      </c>
      <c r="N132" s="13" t="n">
        <f aca="false">Sens!$N$131/Sens!$N$108</f>
        <v>0.35078810535806</v>
      </c>
      <c r="O132" s="13" t="n">
        <f aca="false">Sens!$O$131/Sens!$O$108</f>
        <v>0.320796939361619</v>
      </c>
      <c r="P132" s="8" t="s">
        <v>652</v>
      </c>
    </row>
    <row r="133" customFormat="false" ht="17.15" hidden="false" customHeight="false" outlineLevel="0" collapsed="false">
      <c r="A133" s="0" t="s">
        <v>653</v>
      </c>
      <c r="B133" s="0" t="s">
        <v>52</v>
      </c>
      <c r="D133" s="13" t="n">
        <f aca="false">(Q!$E$31-ext_sh*Sens!$D$122)/Sens!$D$108</f>
        <v>0.167180325480118</v>
      </c>
    </row>
    <row r="134" customFormat="false" ht="17.15" hidden="false" customHeight="false" outlineLevel="0" collapsed="false">
      <c r="A134" s="0" t="s">
        <v>654</v>
      </c>
      <c r="B134" s="0" t="s">
        <v>86</v>
      </c>
      <c r="C134" s="38" t="n">
        <f aca="false">Q!$D$31</f>
        <v>13.32</v>
      </c>
      <c r="D134" s="38" t="n">
        <f aca="false">Q!$E$31</f>
        <v>21.45</v>
      </c>
      <c r="E134" s="38" t="n">
        <f aca="false">Q!$P$31</f>
        <v>15.353</v>
      </c>
      <c r="F134" s="38" t="n">
        <f aca="false">ext_sh*Sens!$F$122+Sens!$D$133*Sens!$F$108</f>
        <v>15.4404120185306</v>
      </c>
      <c r="G134" s="38" t="n">
        <f aca="false">Sens!$E$134+Sens!$F$134</f>
        <v>30.7934120185306</v>
      </c>
      <c r="H134" s="38" t="n">
        <f aca="false">ext_sh*Sens!$H$122+Sens!$D$133*Sens!$H$108</f>
        <v>48.250114371455</v>
      </c>
      <c r="I134" s="38" t="n">
        <f aca="false">ext_sh*Sens!$I$122+Sens!$D$133*Sens!$I$108</f>
        <v>73.3965146995963</v>
      </c>
      <c r="J134" s="38" t="n">
        <f aca="false">ext_sh*Sens!$J$122+Sens!$D$133*Sens!$J$108</f>
        <v>99.22806138309</v>
      </c>
      <c r="K134" s="38" t="n">
        <f aca="false">ext_sh*Sens!$K$122+Sens!$D$133*Sens!$K$108</f>
        <v>125.386627452856</v>
      </c>
      <c r="L134" s="38" t="n">
        <f aca="false">ext_sh*Sens!$L$122+Sens!$D$133*Sens!$L$108</f>
        <v>144.77239043275</v>
      </c>
      <c r="M134" s="38" t="n">
        <f aca="false">ext_sh*Sens!$M$122+Sens!$D$133*Sens!$M$108</f>
        <v>158.693930910983</v>
      </c>
      <c r="N134" s="38" t="n">
        <f aca="false">Q!$N$31</f>
        <v>9.234</v>
      </c>
      <c r="O134" s="38" t="n">
        <f aca="false">Q!$O$31</f>
        <v>12.216</v>
      </c>
    </row>
    <row r="135" customFormat="false" ht="17.15" hidden="false" customHeight="false" outlineLevel="0" collapsed="false">
      <c r="A135" s="1" t="s">
        <v>655</v>
      </c>
    </row>
    <row r="136" customFormat="false" ht="17.15" hidden="false" customHeight="false" outlineLevel="0" collapsed="false">
      <c r="A136" s="15" t="s">
        <v>656</v>
      </c>
      <c r="B136" s="14" t="s">
        <v>52</v>
      </c>
      <c r="C136" s="14"/>
      <c r="D136" s="14"/>
      <c r="E136" s="14"/>
      <c r="F136" s="14"/>
      <c r="G136" s="17" t="n">
        <f aca="false">Sens!$G$126*(1-tax)/(ext_sh*(Sens!$D$123+Sens!$G$123)/2)</f>
        <v>0.0966870495301478</v>
      </c>
      <c r="H136" s="17" t="n">
        <f aca="false">Sens!$H$126*(1-tax)/(ext_sh*(Sens!$G$123+Sens!$H$123)/2)</f>
        <v>0.100492020334136</v>
      </c>
      <c r="I136" s="17" t="n">
        <f aca="false">Sens!$I$126*(1-tax)/(ext_sh*(Sens!$H$123+Sens!$I$123)/2)</f>
        <v>0.0889392292218236</v>
      </c>
      <c r="J136" s="17" t="n">
        <f aca="false">Sens!$J$126*(1-tax)/(ext_sh*(Sens!$I$123+Sens!$J$123)/2)</f>
        <v>0.0858364613777012</v>
      </c>
      <c r="K136" s="17" t="n">
        <f aca="false">Sens!$K$126*(1-tax)/(ext_sh*(Sens!$J$123+Sens!$K$123)/2)</f>
        <v>0.08227162714687</v>
      </c>
      <c r="L136" s="17" t="n">
        <f aca="false">Sens!$L$126*(1-tax)/(ext_sh*(Sens!$K$123+Sens!$L$123)/2)</f>
        <v>0.0828942732763872</v>
      </c>
      <c r="M136" s="17" t="n">
        <f aca="false">Sens!$M$126*(1-tax)/(ext_sh*(Sens!$L$123+Sens!$M$123)/2)</f>
        <v>0.0807945482347635</v>
      </c>
      <c r="N136" s="14"/>
      <c r="O136" s="14"/>
      <c r="P136" s="8" t="s">
        <v>657</v>
      </c>
    </row>
    <row r="137" customFormat="false" ht="17.15" hidden="false" customHeight="false" outlineLevel="0" collapsed="false">
      <c r="A137" s="5" t="s">
        <v>658</v>
      </c>
      <c r="B137" s="0" t="s">
        <v>57</v>
      </c>
      <c r="H137" s="36" t="n">
        <f aca="false">Sens!$H$104*1000/(mw_open*he_open+Sens!$H$102*Sens!$H$99)</f>
        <v>0.991949006767191</v>
      </c>
      <c r="I137" s="36" t="n">
        <f aca="false">Sens!$I$104*1000/(mw_open*he_open+Sens!$I$102*Sens!$I$99)</f>
        <v>0.991949006767191</v>
      </c>
      <c r="J137" s="36" t="n">
        <f aca="false">Sens!$J$104*1000/(mw_open*he_open+Sens!$J$102*Sens!$J$99)</f>
        <v>0.991949006767191</v>
      </c>
      <c r="K137" s="36" t="n">
        <f aca="false">Sens!$K$104*1000/(mw_open*he_open+Sens!$K$102*Sens!$K$99)</f>
        <v>0.991949006767191</v>
      </c>
      <c r="L137" s="36" t="n">
        <f aca="false">Sens!$L$104*1000/(mw_open*he_open+Sens!$L$102*Sens!$L$99)</f>
        <v>0.991949006767191</v>
      </c>
      <c r="M137" s="36" t="n">
        <f aca="false">Sens!$M$104*1000/(mw_open*he_open+Sens!$M$102*Sens!$M$99)</f>
        <v>0.991949006767191</v>
      </c>
    </row>
    <row r="138" customFormat="false" ht="17.15" hidden="false" customHeight="false" outlineLevel="0" collapsed="false">
      <c r="A138" s="5" t="s">
        <v>659</v>
      </c>
      <c r="B138" s="0" t="s">
        <v>57</v>
      </c>
      <c r="H138" s="36" t="n">
        <f aca="false">Sens!$H$137*(Sens!$H$104+wacc*ext_sh*(Sens!$G$123+Sens!$H$123)/2/(1-tax)-Sens!$H$126)/Sens!$H$104</f>
        <v>1.04696246089529</v>
      </c>
      <c r="I138" s="36" t="n">
        <f aca="false">Sens!$I$137*(Sens!$I$104+wacc*ext_sh*(Sens!$H$123+Sens!$I$123)/2/(1-tax)-Sens!$I$126)/Sens!$I$104</f>
        <v>1.09109607940198</v>
      </c>
      <c r="J138" s="36" t="n">
        <f aca="false">Sens!$J$137*(Sens!$J$104+wacc*ext_sh*(Sens!$I$123+Sens!$J$123)/2/(1-tax)-Sens!$J$126)/Sens!$J$104</f>
        <v>1.09681234280071</v>
      </c>
      <c r="K138" s="36" t="n">
        <f aca="false">Sens!$K$137*(Sens!$K$104+wacc*ext_sh*(Sens!$J$123+Sens!$K$123)/2/(1-tax)-Sens!$K$126)/Sens!$K$104</f>
        <v>1.10105220068984</v>
      </c>
      <c r="L138" s="36" t="n">
        <f aca="false">Sens!$L$137*(Sens!$L$104+wacc*ext_sh*(Sens!$K$123+Sens!$L$123)/2/(1-tax)-Sens!$L$126)/Sens!$L$104</f>
        <v>1.08952452639895</v>
      </c>
      <c r="M138" s="36" t="n">
        <f aca="false">Sens!$M$137*(Sens!$M$104+wacc*ext_sh*(Sens!$L$123+Sens!$M$123)/2/(1-tax)-Sens!$M$126)/Sens!$M$104</f>
        <v>1.08965878549519</v>
      </c>
    </row>
    <row r="139" customFormat="false" ht="17.15" hidden="false" customHeight="false" outlineLevel="0" collapsed="false">
      <c r="A139" s="5" t="s">
        <v>660</v>
      </c>
      <c r="B139" s="0" t="s">
        <v>52</v>
      </c>
      <c r="C139" s="13" t="n">
        <f aca="false">Sens!$C$105/tk_pq</f>
        <v>0.195316432429398</v>
      </c>
      <c r="D139" s="13" t="n">
        <f aca="false">Sens!$D$105/tk_pq</f>
        <v>0.195316432429398</v>
      </c>
      <c r="E139" s="13" t="n">
        <f aca="false">Sens!$E$105/tk_pq</f>
        <v>0.195316432429398</v>
      </c>
      <c r="F139" s="13" t="n">
        <f aca="false">Sens!$F$105/tk_pq</f>
        <v>0.202241827274866</v>
      </c>
      <c r="G139" s="13" t="n">
        <f aca="false">Sens!$G$105/tk_pq</f>
        <v>0.199675016194063</v>
      </c>
      <c r="H139" s="13" t="n">
        <f aca="false">Sens!$H$105/tk_pq</f>
        <v>0.212647947710325</v>
      </c>
      <c r="I139" s="13" t="n">
        <f aca="false">Sens!$I$105/tk_pq</f>
        <v>0.219285125475351</v>
      </c>
      <c r="J139" s="13" t="n">
        <f aca="false">Sens!$J$105/tk_pq</f>
        <v>0.222492493217189</v>
      </c>
      <c r="K139" s="13" t="n">
        <f aca="false">Sens!$K$105/tk_pq</f>
        <v>0.224053502812094</v>
      </c>
      <c r="L139" s="13" t="n">
        <f aca="false">Sens!$L$105/tk_pq</f>
        <v>0.224786916785614</v>
      </c>
      <c r="M139" s="13" t="n">
        <f aca="false">Sens!$M$105/tk_pq</f>
        <v>0.225048671566937</v>
      </c>
      <c r="N139" s="13" t="n">
        <f aca="false">Sens!$N$105/tk_pq</f>
        <v>0.195316432429398</v>
      </c>
      <c r="O139" s="13" t="n">
        <f aca="false">Sens!$O$105/tk_pq</f>
        <v>0.195316432429398</v>
      </c>
      <c r="P139" s="5" t="s">
        <v>661</v>
      </c>
    </row>
    <row r="142" customFormat="false" ht="17.15" hidden="false" customHeight="false" outlineLevel="0" collapsed="false">
      <c r="A142" s="1" t="s">
        <v>690</v>
      </c>
    </row>
    <row r="143" customFormat="false" ht="17.15" hidden="false" customHeight="false" outlineLevel="0" collapsed="false">
      <c r="A143" s="0" t="s">
        <v>691</v>
      </c>
      <c r="B143" s="0" t="s">
        <v>86</v>
      </c>
      <c r="C143" s="38" t="n">
        <f aca="false">Sens!$C$104</f>
        <v>2.32100535697364</v>
      </c>
      <c r="D143" s="38" t="n">
        <f aca="false">Sens!$D$104</f>
        <v>8.70377008865116</v>
      </c>
      <c r="E143" s="38" t="n">
        <f aca="false">Sens!$E$104</f>
        <v>8.51035297557002</v>
      </c>
      <c r="F143" s="38" t="n">
        <f aca="false">Sens!$F$104</f>
        <v>14.9634336447205</v>
      </c>
      <c r="G143" s="38" t="n">
        <f aca="false">Sens!$G$104</f>
        <v>23.4737866202905</v>
      </c>
      <c r="H143" s="38" t="n">
        <f aca="false">Sens!$H$104</f>
        <v>60.1658907497746</v>
      </c>
      <c r="I143" s="38" t="n">
        <f aca="false">Sens!$I$104</f>
        <v>101.503699136432</v>
      </c>
      <c r="J143" s="38" t="n">
        <f aca="false">Sens!$J$104</f>
        <v>143.025407151278</v>
      </c>
      <c r="K143" s="38" t="n">
        <f aca="false">Sens!$K$104</f>
        <v>178.44812038318</v>
      </c>
      <c r="L143" s="38" t="n">
        <f aca="false">Sens!$L$104</f>
        <v>201.728101802396</v>
      </c>
      <c r="M143" s="38" t="n">
        <f aca="false">Sens!$M$104</f>
        <v>212.835441368865</v>
      </c>
      <c r="N143" s="38" t="n">
        <f aca="false">Sens!$N$104</f>
        <v>3.04631953102791</v>
      </c>
      <c r="O143" s="38" t="n">
        <f aca="false">Sens!$O$104</f>
        <v>5.65745055762326</v>
      </c>
      <c r="P143" s="8" t="s">
        <v>692</v>
      </c>
    </row>
    <row r="144" customFormat="false" ht="17.15" hidden="false" customHeight="false" outlineLevel="0" collapsed="false">
      <c r="A144" s="0" t="s">
        <v>693</v>
      </c>
      <c r="B144" s="0" t="s">
        <v>86</v>
      </c>
      <c r="C144" s="38" t="n">
        <f aca="false">Sens!$C$108</f>
        <v>105.234994643026</v>
      </c>
      <c r="D144" s="38" t="n">
        <f aca="false">Sens!$D$108</f>
        <v>120.021229911349</v>
      </c>
      <c r="E144" s="38" t="n">
        <f aca="false">Sens!$E$108</f>
        <v>71.30864702443</v>
      </c>
      <c r="F144" s="38" t="n">
        <f aca="false">Sens!$F$108</f>
        <v>71.7692997942464</v>
      </c>
      <c r="G144" s="38" t="n">
        <f aca="false">Sens!$G$108</f>
        <v>143.077946818676</v>
      </c>
      <c r="H144" s="38" t="n">
        <f aca="false">Sens!$H$108</f>
        <v>161.017077079203</v>
      </c>
      <c r="I144" s="38" t="n">
        <f aca="false">Sens!$I$108</f>
        <v>178.769759521457</v>
      </c>
      <c r="J144" s="38" t="n">
        <f aca="false">Sens!$J$108</f>
        <v>195.775538045907</v>
      </c>
      <c r="K144" s="38" t="n">
        <f aca="false">Sens!$K$108</f>
        <v>211.43758108958</v>
      </c>
      <c r="L144" s="38" t="n">
        <f aca="false">Sens!$L$108</f>
        <v>228.352587576746</v>
      </c>
      <c r="M144" s="38" t="n">
        <f aca="false">Sens!$M$108</f>
        <v>246.620794582886</v>
      </c>
      <c r="N144" s="38" t="n">
        <f aca="false">Sens!$N$108</f>
        <v>57.0936804689721</v>
      </c>
      <c r="O144" s="38" t="n">
        <f aca="false">Sens!$O$108</f>
        <v>62.9275494423768</v>
      </c>
      <c r="P144" s="8" t="s">
        <v>692</v>
      </c>
    </row>
    <row r="145" customFormat="false" ht="17.15" hidden="false" customHeight="false" outlineLevel="0" collapsed="false">
      <c r="A145" s="1" t="s">
        <v>516</v>
      </c>
      <c r="B145" s="8" t="s">
        <v>86</v>
      </c>
      <c r="C145" s="38" t="n">
        <f aca="false">Q!$D$7</f>
        <v>107.556</v>
      </c>
      <c r="D145" s="38" t="n">
        <f aca="false">Q!$E$7</f>
        <v>128.725</v>
      </c>
      <c r="E145" s="38" t="n">
        <f aca="false">Q!$P$7</f>
        <v>79.819</v>
      </c>
      <c r="F145" s="38" t="n">
        <f aca="false">Sens!$F$143+Sens!$F$144</f>
        <v>86.7327334389669</v>
      </c>
      <c r="G145" s="38" t="n">
        <f aca="false">Sens!$G$143+Sens!$G$144</f>
        <v>166.551733438967</v>
      </c>
      <c r="H145" s="38" t="n">
        <f aca="false">Sens!$H$143+Sens!$H$144</f>
        <v>221.182967828978</v>
      </c>
      <c r="I145" s="38" t="n">
        <f aca="false">Sens!$I$143+Sens!$I$144</f>
        <v>280.27345865789</v>
      </c>
      <c r="J145" s="38" t="n">
        <f aca="false">Sens!$J$143+Sens!$J$144</f>
        <v>338.800945197185</v>
      </c>
      <c r="K145" s="38" t="n">
        <f aca="false">Sens!$K$143+Sens!$K$144</f>
        <v>389.88570147276</v>
      </c>
      <c r="L145" s="38" t="n">
        <f aca="false">Sens!$L$143+Sens!$L$144</f>
        <v>430.080689379143</v>
      </c>
      <c r="M145" s="38" t="n">
        <f aca="false">Sens!$M$143+Sens!$M$144</f>
        <v>459.456235951751</v>
      </c>
      <c r="N145" s="38" t="n">
        <f aca="false">Q!$N$7</f>
        <v>60.14</v>
      </c>
      <c r="O145" s="38" t="n">
        <f aca="false">Q!$O$7</f>
        <v>68.585</v>
      </c>
      <c r="P145" s="5" t="s">
        <v>694</v>
      </c>
    </row>
    <row r="146" customFormat="false" ht="15" hidden="false" customHeight="false" outlineLevel="0" collapsed="false">
      <c r="A146" s="3" t="s">
        <v>695</v>
      </c>
      <c r="B146" s="8" t="s">
        <v>86</v>
      </c>
      <c r="C146" s="38" t="n">
        <f aca="false">Q!$D$8</f>
        <v>637.959</v>
      </c>
      <c r="D146" s="38" t="n">
        <f aca="false">Q!$E$8</f>
        <v>716.924</v>
      </c>
      <c r="E146" s="38" t="n">
        <f aca="false">Q!$P$8</f>
        <v>382.125</v>
      </c>
      <c r="F146" s="38" t="n">
        <f aca="false">Sens!$F$76+Sens!$F$145</f>
        <v>435.780975084504</v>
      </c>
      <c r="G146" s="38" t="n">
        <f aca="false">Sens!$G$76+Sens!$G$145</f>
        <v>817.905975084504</v>
      </c>
      <c r="H146" s="38" t="n">
        <f aca="false">Sens!$H$76+Sens!$H$145</f>
        <v>942.279857350364</v>
      </c>
      <c r="I146" s="38" t="n">
        <f aca="false">Sens!$I$76+Sens!$I$145</f>
        <v>1068.80284981042</v>
      </c>
      <c r="J146" s="38" t="n">
        <f aca="false">Sens!$J$76+Sens!$J$145</f>
        <v>1189.90935093863</v>
      </c>
      <c r="K146" s="38" t="n">
        <f aca="false">Sens!$K$76+Sens!$K$145</f>
        <v>1296.06215690385</v>
      </c>
      <c r="L146" s="38" t="n">
        <f aca="false">Sens!$L$76+Sens!$L$145</f>
        <v>1395.17379585473</v>
      </c>
      <c r="M146" s="38" t="n">
        <f aca="false">Sens!$M$76+Sens!$M$145</f>
        <v>1487.60414389864</v>
      </c>
      <c r="N146" s="38" t="n">
        <f aca="false">Q!$N$8</f>
        <v>323.369</v>
      </c>
      <c r="O146" s="38" t="n">
        <f aca="false">Q!$O$8</f>
        <v>393.555</v>
      </c>
    </row>
    <row r="147" customFormat="false" ht="17.15" hidden="false" customHeight="false" outlineLevel="0" collapsed="false">
      <c r="A147" s="24" t="s">
        <v>703</v>
      </c>
      <c r="B147" s="25" t="s">
        <v>86</v>
      </c>
      <c r="C147" s="41" t="n">
        <f aca="false">Sens!$C$76-(Sens!$C$78+Sens!$C$79)</f>
        <v>0</v>
      </c>
      <c r="D147" s="41" t="n">
        <f aca="false">Sens!$D$76-(Sens!$D$78+Sens!$D$79)</f>
        <v>0</v>
      </c>
      <c r="E147" s="41" t="n">
        <f aca="false">Sens!$E$76-(Sens!$E$78+Sens!$E$79)</f>
        <v>0</v>
      </c>
      <c r="F147" s="41" t="n">
        <f aca="false">Sens!$F$76-(Sens!$F$78+Sens!$F$79)</f>
        <v>0</v>
      </c>
      <c r="G147" s="41" t="n">
        <f aca="false">Sens!$G$76-(Sens!$G$78+Sens!$G$79)</f>
        <v>0</v>
      </c>
      <c r="H147" s="41" t="n">
        <f aca="false">Sens!$H$76-(Sens!$H$78+Sens!$H$79)</f>
        <v>0</v>
      </c>
      <c r="I147" s="41" t="n">
        <f aca="false">Sens!$I$76-(Sens!$I$78+Sens!$I$79)</f>
        <v>0</v>
      </c>
      <c r="J147" s="41" t="n">
        <f aca="false">Sens!$J$76-(Sens!$J$78+Sens!$J$79)</f>
        <v>0</v>
      </c>
      <c r="K147" s="41" t="n">
        <f aca="false">Sens!$K$76-(Sens!$K$78+Sens!$K$79)</f>
        <v>0</v>
      </c>
      <c r="L147" s="41" t="n">
        <f aca="false">Sens!$L$76-(Sens!$L$78+Sens!$L$79)</f>
        <v>0</v>
      </c>
      <c r="M147" s="41" t="n">
        <f aca="false">Sens!$M$76-(Sens!$M$78+Sens!$M$79)</f>
        <v>0</v>
      </c>
      <c r="N147" s="41" t="n">
        <f aca="false">Sens!$N$76-(Sens!$N$78+Sens!$N$79)</f>
        <v>0</v>
      </c>
      <c r="O147" s="41" t="n">
        <f aca="false">Sens!$O$76-(Sens!$O$78+Sens!$O$79)</f>
        <v>0</v>
      </c>
    </row>
    <row r="148" customFormat="false" ht="17.15" hidden="false" customHeight="false" outlineLevel="0" collapsed="false">
      <c r="A148" s="24" t="s">
        <v>704</v>
      </c>
      <c r="B148" s="25" t="s">
        <v>86</v>
      </c>
      <c r="C148" s="41" t="n">
        <f aca="false">Sens!$C$143+Sens!$C$144-Sens!$C$145</f>
        <v>0</v>
      </c>
      <c r="D148" s="41" t="n">
        <f aca="false">Sens!$D$143+Sens!$D$144-Sens!$D$145</f>
        <v>0</v>
      </c>
      <c r="E148" s="41" t="n">
        <f aca="false">Sens!$E$143+Sens!$E$144-Sens!$E$145</f>
        <v>0</v>
      </c>
      <c r="F148" s="41" t="n">
        <f aca="false">Sens!$F$143+Sens!$F$144-Sens!$F$145</f>
        <v>0</v>
      </c>
      <c r="G148" s="41" t="n">
        <f aca="false">Sens!$G$143+Sens!$G$144-Sens!$G$145</f>
        <v>0</v>
      </c>
      <c r="H148" s="41" t="n">
        <f aca="false">Sens!$H$143+Sens!$H$144-Sens!$H$145</f>
        <v>0</v>
      </c>
      <c r="I148" s="41" t="n">
        <f aca="false">Sens!$I$143+Sens!$I$144-Sens!$I$145</f>
        <v>0</v>
      </c>
      <c r="J148" s="41" t="n">
        <f aca="false">Sens!$J$143+Sens!$J$144-Sens!$J$145</f>
        <v>0</v>
      </c>
      <c r="K148" s="41" t="n">
        <f aca="false">Sens!$K$143+Sens!$K$144-Sens!$K$145</f>
        <v>0</v>
      </c>
      <c r="L148" s="41" t="n">
        <f aca="false">Sens!$L$143+Sens!$L$144-Sens!$L$145</f>
        <v>0</v>
      </c>
      <c r="M148" s="41" t="n">
        <f aca="false">Sens!$M$143+Sens!$M$144-Sens!$M$145</f>
        <v>0</v>
      </c>
      <c r="N148" s="41" t="n">
        <f aca="false">Sens!$N$143+Sens!$N$144-Sens!$N$145</f>
        <v>0</v>
      </c>
      <c r="O148" s="41" t="n">
        <f aca="false">Sens!$O$143+Sens!$O$144-Sens!$O$145</f>
        <v>0</v>
      </c>
    </row>
    <row r="149" customFormat="false" ht="17.15" hidden="false" customHeight="false" outlineLevel="0" collapsed="false">
      <c r="A149" s="24" t="s">
        <v>705</v>
      </c>
      <c r="B149" s="25" t="s">
        <v>86</v>
      </c>
      <c r="C149" s="41" t="n">
        <f aca="false">Sens!$C$78+Sens!$C$79+Sens!$C$145-Sens!$C$146</f>
        <v>0</v>
      </c>
      <c r="D149" s="41" t="n">
        <f aca="false">Sens!$D$78+Sens!$D$79+Sens!$D$145-Sens!$D$146</f>
        <v>0</v>
      </c>
      <c r="E149" s="41" t="n">
        <f aca="false">Sens!$E$78+Sens!$E$79+Sens!$E$145-Sens!$E$146</f>
        <v>0</v>
      </c>
      <c r="F149" s="41" t="n">
        <f aca="false">Sens!$F$78+Sens!$F$79+Sens!$F$145-Sens!$F$146</f>
        <v>0</v>
      </c>
      <c r="G149" s="41" t="n">
        <f aca="false">Sens!$G$78+Sens!$G$79+Sens!$G$145-Sens!$G$146</f>
        <v>0</v>
      </c>
      <c r="H149" s="41" t="n">
        <f aca="false">Sens!$H$78+Sens!$H$79+Sens!$H$145-Sens!$H$146</f>
        <v>0</v>
      </c>
      <c r="I149" s="41" t="n">
        <f aca="false">Sens!$I$78+Sens!$I$79+Sens!$I$145-Sens!$I$146</f>
        <v>0</v>
      </c>
      <c r="J149" s="41" t="n">
        <f aca="false">Sens!$J$78+Sens!$J$79+Sens!$J$145-Sens!$J$146</f>
        <v>0</v>
      </c>
      <c r="K149" s="41" t="n">
        <f aca="false">Sens!$K$78+Sens!$K$79+Sens!$K$145-Sens!$K$146</f>
        <v>0</v>
      </c>
      <c r="L149" s="41" t="n">
        <f aca="false">Sens!$L$78+Sens!$L$79+Sens!$L$145-Sens!$L$146</f>
        <v>0</v>
      </c>
      <c r="M149" s="41" t="n">
        <f aca="false">Sens!$M$78+Sens!$M$79+Sens!$M$145-Sens!$M$146</f>
        <v>0</v>
      </c>
      <c r="N149" s="41" t="n">
        <f aca="false">Sens!$N$78+Sens!$N$79+Sens!$N$145-Sens!$N$146</f>
        <v>0</v>
      </c>
      <c r="O149" s="41" t="n">
        <f aca="false">Sens!$O$78+Sens!$O$79+Sens!$O$145-Sens!$O$146</f>
        <v>0</v>
      </c>
    </row>
    <row r="150" customFormat="false" ht="15" hidden="false" customHeight="false" outlineLevel="0" collapsed="false">
      <c r="A150" s="5" t="s">
        <v>699</v>
      </c>
      <c r="B150" s="0" t="s">
        <v>52</v>
      </c>
      <c r="G150" s="13" t="n">
        <f aca="false">Sens!$G$146/Sens!$D$146-1</f>
        <v>0.140854504918937</v>
      </c>
      <c r="H150" s="13" t="n">
        <f aca="false">Sens!$H$146/Sens!$G$146-1</f>
        <v>0.152063789793209</v>
      </c>
      <c r="I150" s="13" t="n">
        <f aca="false">Sens!$I$146/Sens!$H$146-1</f>
        <v>0.134273264437417</v>
      </c>
      <c r="J150" s="13" t="n">
        <f aca="false">Sens!$J$146/Sens!$I$146-1</f>
        <v>0.113310421234083</v>
      </c>
      <c r="K150" s="13" t="n">
        <f aca="false">Sens!$K$146/Sens!$J$146-1</f>
        <v>0.0892108343223652</v>
      </c>
      <c r="L150" s="13" t="n">
        <f aca="false">Sens!$L$146/Sens!$K$146-1</f>
        <v>0.076471362444261</v>
      </c>
      <c r="M150" s="13" t="n">
        <f aca="false">Sens!$M$146/Sens!$L$146-1</f>
        <v>0.066250060256672</v>
      </c>
    </row>
    <row r="151" customFormat="false" ht="17.15" hidden="false" customHeight="false" outlineLevel="0" collapsed="false">
      <c r="A151" s="0" t="s">
        <v>700</v>
      </c>
      <c r="B151" s="0" t="s">
        <v>52</v>
      </c>
      <c r="C151" s="13" t="n">
        <f aca="false">Sens!$C$145/Sens!$C$146</f>
        <v>0.168593906504964</v>
      </c>
      <c r="D151" s="13" t="n">
        <f aca="false">Sens!$D$145/Sens!$D$146</f>
        <v>0.179551807444025</v>
      </c>
      <c r="E151" s="13" t="n">
        <f aca="false">Sens!$E$145/Sens!$E$146</f>
        <v>0.208881910369643</v>
      </c>
      <c r="F151" s="13" t="n">
        <f aca="false">Sens!$F$145/Sens!$F$146</f>
        <v>0.199028269699356</v>
      </c>
      <c r="G151" s="13" t="n">
        <f aca="false">Sens!$G$145/Sens!$G$146</f>
        <v>0.203631882529968</v>
      </c>
      <c r="H151" s="13" t="n">
        <f aca="false">Sens!$H$145/Sens!$H$146</f>
        <v>0.234731715958496</v>
      </c>
      <c r="I151" s="13" t="n">
        <f aca="false">Sens!$I$145/Sens!$I$146</f>
        <v>0.262231204480418</v>
      </c>
      <c r="J151" s="13" t="n">
        <f aca="false">Sens!$J$145/Sens!$J$146</f>
        <v>0.284728366013706</v>
      </c>
      <c r="K151" s="13" t="n">
        <f aca="false">Sens!$K$145/Sens!$K$146</f>
        <v>0.300823304959505</v>
      </c>
      <c r="L151" s="13" t="n">
        <f aca="false">Sens!$L$145/Sens!$L$146</f>
        <v>0.308263164529735</v>
      </c>
      <c r="M151" s="13" t="n">
        <f aca="false">Sens!$M$145/Sens!$M$146</f>
        <v>0.308856517936036</v>
      </c>
      <c r="N151" s="13" t="n">
        <f aca="false">Sens!$N$145/Sens!$N$146</f>
        <v>0.185979484737251</v>
      </c>
      <c r="O151" s="13" t="n">
        <f aca="false">Sens!$O$145/Sens!$O$146</f>
        <v>0.174270432341096</v>
      </c>
    </row>
    <row r="152" customFormat="false" ht="17.15" hidden="false" customHeight="false" outlineLevel="0" collapsed="false">
      <c r="A152" s="0" t="s">
        <v>701</v>
      </c>
      <c r="B152" s="0" t="s">
        <v>52</v>
      </c>
      <c r="C152" s="13" t="n">
        <f aca="false">Sens!$C$143/Sens!$C$145</f>
        <v>0.0215795060896058</v>
      </c>
      <c r="D152" s="13" t="n">
        <f aca="false">Sens!$D$143/Sens!$D$145</f>
        <v>0.0676152269462122</v>
      </c>
      <c r="E152" s="13" t="n">
        <f aca="false">Sens!$E$143/Sens!$E$145</f>
        <v>0.106620641395783</v>
      </c>
      <c r="F152" s="13" t="n">
        <f aca="false">Sens!$F$143/Sens!$F$145</f>
        <v>0.172523487401099</v>
      </c>
      <c r="G152" s="13" t="n">
        <f aca="false">Sens!$G$143/Sens!$G$145</f>
        <v>0.140939911795589</v>
      </c>
      <c r="H152" s="13" t="n">
        <f aca="false">Sens!$H$143/Sens!$H$145</f>
        <v>0.272018642937714</v>
      </c>
      <c r="I152" s="13" t="n">
        <f aca="false">Sens!$I$143/Sens!$I$145</f>
        <v>0.362159512436497</v>
      </c>
      <c r="J152" s="13" t="n">
        <f aca="false">Sens!$J$143/Sens!$J$145</f>
        <v>0.422151735934609</v>
      </c>
      <c r="K152" s="13" t="n">
        <f aca="false">Sens!$K$143/Sens!$K$145</f>
        <v>0.45769342068485</v>
      </c>
      <c r="L152" s="13" t="n">
        <f aca="false">Sens!$L$143/Sens!$L$145</f>
        <v>0.469047103913472</v>
      </c>
      <c r="M152" s="13" t="n">
        <f aca="false">Sens!$M$143/Sens!$M$145</f>
        <v>0.463233328258093</v>
      </c>
      <c r="N152" s="13" t="n">
        <f aca="false">Sens!$N$143/Sens!$N$145</f>
        <v>0.0506537999838362</v>
      </c>
      <c r="O152" s="13" t="n">
        <f aca="false">Sens!$O$143/Sens!$O$145</f>
        <v>0.0824881615167056</v>
      </c>
    </row>
    <row r="155" customFormat="false" ht="19.4" hidden="false" customHeight="false" outlineLevel="0" collapsed="false">
      <c r="A155" s="31" t="s">
        <v>1137</v>
      </c>
    </row>
    <row r="156" customFormat="false" ht="17.15" hidden="false" customHeight="false" outlineLevel="0" collapsed="false">
      <c r="A156" s="6" t="s">
        <v>16</v>
      </c>
      <c r="B156" s="6" t="s">
        <v>17</v>
      </c>
      <c r="C156" s="20" t="s">
        <v>497</v>
      </c>
      <c r="D156" s="20" t="s">
        <v>498</v>
      </c>
      <c r="E156" s="20" t="s">
        <v>580</v>
      </c>
      <c r="F156" s="20" t="s">
        <v>581</v>
      </c>
      <c r="G156" s="20" t="s">
        <v>582</v>
      </c>
      <c r="H156" s="20" t="s">
        <v>583</v>
      </c>
      <c r="I156" s="20" t="s">
        <v>584</v>
      </c>
      <c r="J156" s="20" t="s">
        <v>585</v>
      </c>
      <c r="K156" s="20" t="s">
        <v>586</v>
      </c>
      <c r="L156" s="20" t="s">
        <v>587</v>
      </c>
      <c r="M156" s="20" t="s">
        <v>588</v>
      </c>
      <c r="N156" s="20" t="s">
        <v>589</v>
      </c>
      <c r="O156" s="20" t="s">
        <v>590</v>
      </c>
      <c r="P156" s="6" t="s">
        <v>23</v>
      </c>
      <c r="R156" s="20" t="n">
        <v>2023</v>
      </c>
      <c r="S156" s="20" t="n">
        <v>2024</v>
      </c>
      <c r="T156" s="20" t="n">
        <v>2025</v>
      </c>
      <c r="U156" s="20" t="n">
        <v>2026</v>
      </c>
      <c r="V156" s="20" t="n">
        <v>2027</v>
      </c>
      <c r="W156" s="20" t="n">
        <v>2028</v>
      </c>
      <c r="X156" s="20" t="n">
        <v>2029</v>
      </c>
      <c r="Y156" s="20" t="n">
        <v>2030</v>
      </c>
      <c r="Z156" s="20" t="n">
        <v>2031</v>
      </c>
      <c r="AA156" s="20" t="n">
        <v>2032</v>
      </c>
    </row>
    <row r="157" customFormat="false" ht="17.15" hidden="false" customHeight="false" outlineLevel="0" collapsed="false">
      <c r="A157" s="1" t="s">
        <v>716</v>
      </c>
    </row>
    <row r="158" customFormat="false" ht="15" hidden="false" customHeight="false" outlineLevel="0" collapsed="false">
      <c r="A158" s="0" t="s">
        <v>519</v>
      </c>
      <c r="B158" s="0" t="s">
        <v>86</v>
      </c>
      <c r="C158" s="38" t="n">
        <f aca="false">Sens!$C$63</f>
        <v>247.029</v>
      </c>
      <c r="D158" s="38" t="n">
        <f aca="false">Sens!$D$63</f>
        <v>269.287</v>
      </c>
      <c r="E158" s="38" t="n">
        <f aca="false">Sens!$E$63</f>
        <v>134.686</v>
      </c>
      <c r="F158" s="38" t="n">
        <f aca="false">Sens!$F$63</f>
        <v>158.293876822267</v>
      </c>
      <c r="G158" s="38" t="n">
        <f aca="false">Sens!$G$63</f>
        <v>292.979876822267</v>
      </c>
      <c r="H158" s="38" t="n">
        <f aca="false">Sens!$H$63</f>
        <v>318.184543087396</v>
      </c>
      <c r="I158" s="38" t="n">
        <f aca="false">Sens!$I$63</f>
        <v>341.736278761793</v>
      </c>
      <c r="J158" s="38" t="n">
        <f aca="false">Sens!$J$63</f>
        <v>362.927192787048</v>
      </c>
      <c r="K158" s="38" t="n">
        <f aca="false">Sens!$K$63</f>
        <v>381.0735524264</v>
      </c>
      <c r="L158" s="38" t="n">
        <f aca="false">Sens!$L$63</f>
        <v>400.12723004772</v>
      </c>
      <c r="M158" s="38" t="n">
        <f aca="false">Sens!$M$63</f>
        <v>420.133591550106</v>
      </c>
      <c r="N158" s="38" t="n">
        <f aca="false">Sens!$N$63</f>
        <v>118.892</v>
      </c>
      <c r="O158" s="38" t="n">
        <f aca="false">Sens!$O$63</f>
        <v>150.395</v>
      </c>
    </row>
    <row r="159" customFormat="false" ht="15" hidden="false" customHeight="false" outlineLevel="0" collapsed="false">
      <c r="A159" s="0" t="s">
        <v>520</v>
      </c>
      <c r="B159" s="0" t="s">
        <v>86</v>
      </c>
      <c r="C159" s="38" t="n">
        <f aca="false">Sens!$C$65</f>
        <v>21.215</v>
      </c>
      <c r="D159" s="38" t="n">
        <f aca="false">Sens!$D$65</f>
        <v>22.561</v>
      </c>
      <c r="E159" s="38" t="n">
        <f aca="false">Sens!$E$65</f>
        <v>11.579</v>
      </c>
      <c r="F159" s="38" t="n">
        <f aca="false">Sens!$F$65</f>
        <v>11.5938724610325</v>
      </c>
      <c r="G159" s="38" t="n">
        <f aca="false">Sens!$G$65</f>
        <v>23.1728724610325</v>
      </c>
      <c r="H159" s="38" t="n">
        <f aca="false">Sens!$H$65</f>
        <v>24.353392759506</v>
      </c>
      <c r="I159" s="38" t="n">
        <f aca="false">Sens!$I$65</f>
        <v>25.4240338872015</v>
      </c>
      <c r="J159" s="38" t="n">
        <f aca="false">Sens!$J$65</f>
        <v>26.3642491017174</v>
      </c>
      <c r="K159" s="38" t="n">
        <f aca="false">Sens!$K$65</f>
        <v>27.155176574769</v>
      </c>
      <c r="L159" s="38" t="n">
        <f aca="false">Sens!$L$65</f>
        <v>27.969831872012</v>
      </c>
      <c r="M159" s="38" t="n">
        <f aca="false">Sens!$M$65</f>
        <v>28.8089268281724</v>
      </c>
      <c r="N159" s="38" t="n">
        <f aca="false">Sens!$N$65</f>
        <v>11.128</v>
      </c>
      <c r="O159" s="38" t="n">
        <f aca="false">Sens!$O$65</f>
        <v>11.433</v>
      </c>
    </row>
    <row r="160" customFormat="false" ht="15" hidden="false" customHeight="false" outlineLevel="0" collapsed="false">
      <c r="A160" s="0" t="s">
        <v>521</v>
      </c>
      <c r="B160" s="0" t="s">
        <v>86</v>
      </c>
      <c r="C160" s="38" t="n">
        <f aca="false">Sens!$C$67</f>
        <v>156.146</v>
      </c>
      <c r="D160" s="38" t="n">
        <f aca="false">Sens!$D$67</f>
        <v>172.162</v>
      </c>
      <c r="E160" s="38" t="n">
        <f aca="false">Sens!$E$67</f>
        <v>88.358</v>
      </c>
      <c r="F160" s="38" t="n">
        <f aca="false">Sens!$F$67</f>
        <v>102.004388260171</v>
      </c>
      <c r="G160" s="38" t="n">
        <f aca="false">Sens!$G$67</f>
        <v>190.362388260171</v>
      </c>
      <c r="H160" s="38" t="n">
        <f aca="false">Sens!$H$67</f>
        <v>210.343106588311</v>
      </c>
      <c r="I160" s="38" t="n">
        <f aca="false">Sens!$I$67</f>
        <v>229.969728494648</v>
      </c>
      <c r="J160" s="38" t="n">
        <f aca="false">Sens!$J$67</f>
        <v>248.747636972598</v>
      </c>
      <c r="K160" s="38" t="n">
        <f aca="false">Sens!$K$67</f>
        <v>266.15997156068</v>
      </c>
      <c r="L160" s="38" t="n">
        <f aca="false">Sens!$L$67</f>
        <v>284.791169569927</v>
      </c>
      <c r="M160" s="38" t="n">
        <f aca="false">Sens!$M$67</f>
        <v>304.726551439822</v>
      </c>
      <c r="N160" s="38" t="n">
        <f aca="false">Sens!$N$67</f>
        <v>76.86</v>
      </c>
      <c r="O160" s="38" t="n">
        <f aca="false">Sens!$O$67</f>
        <v>95.302</v>
      </c>
    </row>
    <row r="161" customFormat="false" ht="15" hidden="false" customHeight="false" outlineLevel="0" collapsed="false">
      <c r="A161" s="0" t="s">
        <v>522</v>
      </c>
      <c r="B161" s="0" t="s">
        <v>86</v>
      </c>
      <c r="C161" s="38" t="n">
        <f aca="false">Sens!$C$69</f>
        <v>56.214</v>
      </c>
      <c r="D161" s="38" t="n">
        <f aca="false">Sens!$D$69</f>
        <v>68.635</v>
      </c>
      <c r="E161" s="38" t="n">
        <f aca="false">Sens!$E$69</f>
        <v>37.052</v>
      </c>
      <c r="F161" s="38" t="n">
        <f aca="false">Sens!$F$69</f>
        <v>46.1572219944148</v>
      </c>
      <c r="G161" s="38" t="n">
        <f aca="false">Sens!$G$69</f>
        <v>83.2092219944148</v>
      </c>
      <c r="H161" s="38" t="n">
        <f aca="false">Sens!$H$69</f>
        <v>99.8969223878976</v>
      </c>
      <c r="I161" s="38" t="n">
        <f aca="false">Sens!$I$69</f>
        <v>116.583111095496</v>
      </c>
      <c r="J161" s="38" t="n">
        <f aca="false">Sens!$J$69</f>
        <v>132.148941941952</v>
      </c>
      <c r="K161" s="38" t="n">
        <f aca="false">Sens!$K$69</f>
        <v>145.363836136147</v>
      </c>
      <c r="L161" s="38" t="n">
        <f aca="false">Sens!$L$69</f>
        <v>159.900219749762</v>
      </c>
      <c r="M161" s="38" t="n">
        <f aca="false">Sens!$M$69</f>
        <v>175.890241724738</v>
      </c>
      <c r="N161" s="38" t="n">
        <f aca="false">Sens!$N$69</f>
        <v>29.615</v>
      </c>
      <c r="O161" s="38" t="n">
        <f aca="false">Sens!$O$69</f>
        <v>39.02</v>
      </c>
    </row>
    <row r="162" customFormat="false" ht="15" hidden="false" customHeight="false" outlineLevel="0" collapsed="false">
      <c r="A162" s="0" t="s">
        <v>523</v>
      </c>
      <c r="B162" s="0" t="s">
        <v>86</v>
      </c>
      <c r="C162" s="38" t="n">
        <f aca="false">Sens!$C$71</f>
        <v>44.374</v>
      </c>
      <c r="D162" s="38" t="n">
        <f aca="false">Sens!$D$71</f>
        <v>49.619</v>
      </c>
      <c r="E162" s="38" t="n">
        <f aca="false">Sens!$E$71</f>
        <v>27.157</v>
      </c>
      <c r="F162" s="38" t="n">
        <f aca="false">Sens!$F$71</f>
        <v>27.7764165988154</v>
      </c>
      <c r="G162" s="38" t="n">
        <f aca="false">Sens!$G$71</f>
        <v>54.9334165988154</v>
      </c>
      <c r="H162" s="38" t="n">
        <f aca="false">Sens!$H$71</f>
        <v>61.1564112561829</v>
      </c>
      <c r="I162" s="38" t="n">
        <f aca="false">Sens!$I$71</f>
        <v>67.2020282103945</v>
      </c>
      <c r="J162" s="38" t="n">
        <f aca="false">Sens!$J$71</f>
        <v>72.8757274028885</v>
      </c>
      <c r="K162" s="38" t="n">
        <f aca="false">Sens!$K$71</f>
        <v>77.9770283210907</v>
      </c>
      <c r="L162" s="38" t="n">
        <f aca="false">Sens!$L$71</f>
        <v>83.4354203035671</v>
      </c>
      <c r="M162" s="38" t="n">
        <f aca="false">Sens!$M$71</f>
        <v>89.2758997248168</v>
      </c>
      <c r="N162" s="38" t="n">
        <f aca="false">Sens!$N$71</f>
        <v>23.923</v>
      </c>
      <c r="O162" s="38" t="n">
        <f aca="false">Sens!$O$71</f>
        <v>25.696</v>
      </c>
    </row>
    <row r="163" customFormat="false" ht="15" hidden="false" customHeight="false" outlineLevel="0" collapsed="false">
      <c r="A163" s="0" t="s">
        <v>524</v>
      </c>
      <c r="B163" s="0" t="s">
        <v>86</v>
      </c>
      <c r="C163" s="38" t="n">
        <f aca="false">Sens!$C$73</f>
        <v>5.425</v>
      </c>
      <c r="D163" s="38" t="n">
        <f aca="false">Sens!$D$73</f>
        <v>5.935</v>
      </c>
      <c r="E163" s="38" t="n">
        <f aca="false">Sens!$E$73</f>
        <v>3.474</v>
      </c>
      <c r="F163" s="38" t="n">
        <f aca="false">Sens!$F$73</f>
        <v>3.22246550883619</v>
      </c>
      <c r="G163" s="38" t="n">
        <f aca="false">Sens!$G$73</f>
        <v>6.69646550883619</v>
      </c>
      <c r="H163" s="38" t="n">
        <f aca="false">Sens!$H$73</f>
        <v>7.16251344209196</v>
      </c>
      <c r="I163" s="38" t="n">
        <f aca="false">Sens!$I$73</f>
        <v>7.61421070299826</v>
      </c>
      <c r="J163" s="38" t="n">
        <f aca="false">Sens!$J$73</f>
        <v>8.04465753523932</v>
      </c>
      <c r="K163" s="38" t="n">
        <f aca="false">Sens!$K$73</f>
        <v>8.44689041200128</v>
      </c>
      <c r="L163" s="38" t="n">
        <f aca="false">Sens!$L$73</f>
        <v>8.86923493260135</v>
      </c>
      <c r="M163" s="38" t="n">
        <f aca="false">Sens!$M$73</f>
        <v>9.31269667923142</v>
      </c>
      <c r="N163" s="38" t="n">
        <f aca="false">Sens!$N$73</f>
        <v>2.811</v>
      </c>
      <c r="O163" s="38" t="n">
        <f aca="false">Sens!$O$73</f>
        <v>3.124</v>
      </c>
    </row>
    <row r="164" customFormat="false" ht="17.15" hidden="false" customHeight="false" outlineLevel="0" collapsed="false">
      <c r="A164" s="0" t="s">
        <v>717</v>
      </c>
      <c r="B164" s="0" t="s">
        <v>86</v>
      </c>
      <c r="C164" s="38" t="n">
        <f aca="false">Sens!$C$145</f>
        <v>107.556</v>
      </c>
      <c r="D164" s="38" t="n">
        <f aca="false">Sens!$D$145</f>
        <v>128.725</v>
      </c>
      <c r="E164" s="38" t="n">
        <f aca="false">Sens!$E$145</f>
        <v>79.819</v>
      </c>
      <c r="F164" s="38" t="n">
        <f aca="false">Sens!$F$145</f>
        <v>86.7327334389669</v>
      </c>
      <c r="G164" s="38" t="n">
        <f aca="false">Sens!$G$145</f>
        <v>166.551733438967</v>
      </c>
      <c r="H164" s="38" t="n">
        <f aca="false">Sens!$H$145</f>
        <v>221.182967828978</v>
      </c>
      <c r="I164" s="38" t="n">
        <f aca="false">Sens!$I$145</f>
        <v>280.27345865789</v>
      </c>
      <c r="J164" s="38" t="n">
        <f aca="false">Sens!$J$145</f>
        <v>338.800945197185</v>
      </c>
      <c r="K164" s="38" t="n">
        <f aca="false">Sens!$K$145</f>
        <v>389.88570147276</v>
      </c>
      <c r="L164" s="38" t="n">
        <f aca="false">Sens!$L$145</f>
        <v>430.080689379143</v>
      </c>
      <c r="M164" s="38" t="n">
        <f aca="false">Sens!$M$145</f>
        <v>459.456235951751</v>
      </c>
      <c r="N164" s="38" t="n">
        <f aca="false">Sens!$N$145</f>
        <v>60.14</v>
      </c>
      <c r="O164" s="38" t="n">
        <f aca="false">Sens!$O$145</f>
        <v>68.585</v>
      </c>
    </row>
    <row r="165" customFormat="false" ht="15" hidden="false" customHeight="false" outlineLevel="0" collapsed="false">
      <c r="A165" s="1" t="s">
        <v>512</v>
      </c>
      <c r="B165" s="8" t="s">
        <v>86</v>
      </c>
      <c r="C165" s="38" t="n">
        <f aca="false">Sens!$C$78</f>
        <v>387.497</v>
      </c>
      <c r="D165" s="38" t="n">
        <f aca="false">Sens!$D$78</f>
        <v>426.305</v>
      </c>
      <c r="E165" s="38" t="n">
        <f aca="false">Sens!$E$78</f>
        <v>220.32</v>
      </c>
      <c r="F165" s="38" t="n">
        <f aca="false">Sens!$F$78</f>
        <v>250.639773480586</v>
      </c>
      <c r="G165" s="38" t="n">
        <f aca="false">Sens!$G$78</f>
        <v>470.959773480586</v>
      </c>
      <c r="H165" s="38" t="n">
        <f aca="false">Sens!$H$78</f>
        <v>521.386990416437</v>
      </c>
      <c r="I165" s="38" t="n">
        <f aca="false">Sens!$I$78</f>
        <v>570.143862887555</v>
      </c>
      <c r="J165" s="38" t="n">
        <f aca="false">Sens!$J$78</f>
        <v>615.391435791933</v>
      </c>
      <c r="K165" s="38" t="n">
        <f aca="false">Sens!$K$78</f>
        <v>655.208227561543</v>
      </c>
      <c r="L165" s="38" t="n">
        <f aca="false">Sens!$L$78</f>
        <v>697.807739249767</v>
      </c>
      <c r="M165" s="38" t="n">
        <f aca="false">Sens!$M$78</f>
        <v>743.399328463592</v>
      </c>
      <c r="N165" s="38" t="n">
        <f aca="false">Sens!$N$78</f>
        <v>192.955</v>
      </c>
      <c r="O165" s="38" t="n">
        <f aca="false">Sens!$O$78</f>
        <v>233.35</v>
      </c>
    </row>
    <row r="166" customFormat="false" ht="15" hidden="false" customHeight="false" outlineLevel="0" collapsed="false">
      <c r="A166" s="1" t="s">
        <v>515</v>
      </c>
      <c r="B166" s="8" t="s">
        <v>86</v>
      </c>
      <c r="C166" s="38" t="n">
        <f aca="false">Sens!$C$79</f>
        <v>142.906</v>
      </c>
      <c r="D166" s="38" t="n">
        <f aca="false">Sens!$D$79</f>
        <v>161.894</v>
      </c>
      <c r="E166" s="38" t="n">
        <f aca="false">Sens!$E$79</f>
        <v>81.986</v>
      </c>
      <c r="F166" s="38" t="n">
        <f aca="false">Sens!$F$79</f>
        <v>98.408468164951</v>
      </c>
      <c r="G166" s="38" t="n">
        <f aca="false">Sens!$G$79</f>
        <v>180.394468164951</v>
      </c>
      <c r="H166" s="38" t="n">
        <f aca="false">Sens!$H$79</f>
        <v>199.709899104949</v>
      </c>
      <c r="I166" s="38" t="n">
        <f aca="false">Sens!$I$79</f>
        <v>218.385528264976</v>
      </c>
      <c r="J166" s="38" t="n">
        <f aca="false">Sens!$J$79</f>
        <v>235.71696994951</v>
      </c>
      <c r="K166" s="38" t="n">
        <f aca="false">Sens!$K$79</f>
        <v>250.968227869545</v>
      </c>
      <c r="L166" s="38" t="n">
        <f aca="false">Sens!$L$79</f>
        <v>267.285367225822</v>
      </c>
      <c r="M166" s="38" t="n">
        <f aca="false">Sens!$M$79</f>
        <v>284.748579483295</v>
      </c>
      <c r="N166" s="38" t="n">
        <f aca="false">Sens!$N$79</f>
        <v>70.274</v>
      </c>
      <c r="O166" s="38" t="n">
        <f aca="false">Sens!$O$79</f>
        <v>91.62</v>
      </c>
    </row>
    <row r="167" customFormat="false" ht="15" hidden="false" customHeight="false" outlineLevel="0" collapsed="false">
      <c r="A167" s="1" t="s">
        <v>516</v>
      </c>
      <c r="B167" s="8" t="s">
        <v>86</v>
      </c>
      <c r="C167" s="38" t="n">
        <f aca="false">Sens!$C$145</f>
        <v>107.556</v>
      </c>
      <c r="D167" s="38" t="n">
        <f aca="false">Sens!$D$145</f>
        <v>128.725</v>
      </c>
      <c r="E167" s="38" t="n">
        <f aca="false">Sens!$E$145</f>
        <v>79.819</v>
      </c>
      <c r="F167" s="38" t="n">
        <f aca="false">Sens!$F$145</f>
        <v>86.7327334389669</v>
      </c>
      <c r="G167" s="38" t="n">
        <f aca="false">Sens!$G$145</f>
        <v>166.551733438967</v>
      </c>
      <c r="H167" s="38" t="n">
        <f aca="false">Sens!$H$145</f>
        <v>221.182967828978</v>
      </c>
      <c r="I167" s="38" t="n">
        <f aca="false">Sens!$I$145</f>
        <v>280.27345865789</v>
      </c>
      <c r="J167" s="38" t="n">
        <f aca="false">Sens!$J$145</f>
        <v>338.800945197185</v>
      </c>
      <c r="K167" s="38" t="n">
        <f aca="false">Sens!$K$145</f>
        <v>389.88570147276</v>
      </c>
      <c r="L167" s="38" t="n">
        <f aca="false">Sens!$L$145</f>
        <v>430.080689379143</v>
      </c>
      <c r="M167" s="38" t="n">
        <f aca="false">Sens!$M$145</f>
        <v>459.456235951751</v>
      </c>
      <c r="N167" s="38" t="n">
        <f aca="false">Sens!$N$145</f>
        <v>60.14</v>
      </c>
      <c r="O167" s="38" t="n">
        <f aca="false">Sens!$O$145</f>
        <v>68.585</v>
      </c>
    </row>
    <row r="168" customFormat="false" ht="17.15" hidden="false" customHeight="false" outlineLevel="0" collapsed="false">
      <c r="A168" s="0" t="s">
        <v>691</v>
      </c>
      <c r="B168" s="0" t="s">
        <v>86</v>
      </c>
      <c r="C168" s="38" t="n">
        <f aca="false">Sens!$C$143</f>
        <v>2.32100535697364</v>
      </c>
      <c r="D168" s="38" t="n">
        <f aca="false">Sens!$D$143</f>
        <v>8.70377008865116</v>
      </c>
      <c r="E168" s="38" t="n">
        <f aca="false">Sens!$E$143</f>
        <v>8.51035297557002</v>
      </c>
      <c r="F168" s="38" t="n">
        <f aca="false">Sens!$F$143</f>
        <v>14.9634336447205</v>
      </c>
      <c r="G168" s="38" t="n">
        <f aca="false">Sens!$G$143</f>
        <v>23.4737866202905</v>
      </c>
      <c r="H168" s="38" t="n">
        <f aca="false">Sens!$H$143</f>
        <v>60.1658907497746</v>
      </c>
      <c r="I168" s="38" t="n">
        <f aca="false">Sens!$I$143</f>
        <v>101.503699136432</v>
      </c>
      <c r="J168" s="38" t="n">
        <f aca="false">Sens!$J$143</f>
        <v>143.025407151278</v>
      </c>
      <c r="K168" s="38" t="n">
        <f aca="false">Sens!$K$143</f>
        <v>178.44812038318</v>
      </c>
      <c r="L168" s="38" t="n">
        <f aca="false">Sens!$L$143</f>
        <v>201.728101802396</v>
      </c>
      <c r="M168" s="38" t="n">
        <f aca="false">Sens!$M$143</f>
        <v>212.835441368865</v>
      </c>
      <c r="N168" s="38" t="n">
        <f aca="false">Sens!$N$143</f>
        <v>3.04631953102791</v>
      </c>
      <c r="O168" s="38" t="n">
        <f aca="false">Sens!$O$143</f>
        <v>5.65745055762326</v>
      </c>
    </row>
    <row r="169" customFormat="false" ht="17.15" hidden="false" customHeight="false" outlineLevel="0" collapsed="false">
      <c r="A169" s="0" t="s">
        <v>693</v>
      </c>
      <c r="B169" s="0" t="s">
        <v>86</v>
      </c>
      <c r="C169" s="38" t="n">
        <f aca="false">Sens!$C$144</f>
        <v>105.234994643026</v>
      </c>
      <c r="D169" s="38" t="n">
        <f aca="false">Sens!$D$144</f>
        <v>120.021229911349</v>
      </c>
      <c r="E169" s="38" t="n">
        <f aca="false">Sens!$E$144</f>
        <v>71.30864702443</v>
      </c>
      <c r="F169" s="38" t="n">
        <f aca="false">Sens!$F$144</f>
        <v>71.7692997942464</v>
      </c>
      <c r="G169" s="38" t="n">
        <f aca="false">Sens!$G$144</f>
        <v>143.077946818676</v>
      </c>
      <c r="H169" s="38" t="n">
        <f aca="false">Sens!$H$144</f>
        <v>161.017077079203</v>
      </c>
      <c r="I169" s="38" t="n">
        <f aca="false">Sens!$I$144</f>
        <v>178.769759521457</v>
      </c>
      <c r="J169" s="38" t="n">
        <f aca="false">Sens!$J$144</f>
        <v>195.775538045907</v>
      </c>
      <c r="K169" s="38" t="n">
        <f aca="false">Sens!$K$144</f>
        <v>211.43758108958</v>
      </c>
      <c r="L169" s="38" t="n">
        <f aca="false">Sens!$L$144</f>
        <v>228.352587576746</v>
      </c>
      <c r="M169" s="38" t="n">
        <f aca="false">Sens!$M$144</f>
        <v>246.620794582886</v>
      </c>
      <c r="N169" s="38" t="n">
        <f aca="false">Sens!$N$144</f>
        <v>57.0936804689721</v>
      </c>
      <c r="O169" s="38" t="n">
        <f aca="false">Sens!$O$144</f>
        <v>62.9275494423768</v>
      </c>
    </row>
    <row r="170" customFormat="false" ht="15" hidden="false" customHeight="false" outlineLevel="0" collapsed="false">
      <c r="A170" s="3" t="s">
        <v>517</v>
      </c>
      <c r="B170" s="8" t="s">
        <v>86</v>
      </c>
      <c r="C170" s="38" t="n">
        <f aca="false">Sens!$C$146</f>
        <v>637.959</v>
      </c>
      <c r="D170" s="38" t="n">
        <f aca="false">Sens!$D$146</f>
        <v>716.924</v>
      </c>
      <c r="E170" s="38" t="n">
        <f aca="false">Sens!$E$146</f>
        <v>382.125</v>
      </c>
      <c r="F170" s="38" t="n">
        <f aca="false">Sens!$F$146</f>
        <v>435.780975084504</v>
      </c>
      <c r="G170" s="38" t="n">
        <f aca="false">Sens!$G$146</f>
        <v>817.905975084504</v>
      </c>
      <c r="H170" s="38" t="n">
        <f aca="false">Sens!$H$146</f>
        <v>942.279857350364</v>
      </c>
      <c r="I170" s="38" t="n">
        <f aca="false">Sens!$I$146</f>
        <v>1068.80284981042</v>
      </c>
      <c r="J170" s="38" t="n">
        <f aca="false">Sens!$J$146</f>
        <v>1189.90935093863</v>
      </c>
      <c r="K170" s="38" t="n">
        <f aca="false">Sens!$K$146</f>
        <v>1296.06215690385</v>
      </c>
      <c r="L170" s="38" t="n">
        <f aca="false">Sens!$L$146</f>
        <v>1395.17379585473</v>
      </c>
      <c r="M170" s="38" t="n">
        <f aca="false">Sens!$M$146</f>
        <v>1487.60414389864</v>
      </c>
      <c r="N170" s="38" t="n">
        <f aca="false">Sens!$N$146</f>
        <v>323.369</v>
      </c>
      <c r="O170" s="38" t="n">
        <f aca="false">Sens!$O$146</f>
        <v>393.555</v>
      </c>
    </row>
    <row r="171" customFormat="false" ht="17.15" hidden="false" customHeight="false" outlineLevel="0" collapsed="false">
      <c r="A171" s="24" t="s">
        <v>703</v>
      </c>
      <c r="B171" s="25" t="s">
        <v>86</v>
      </c>
      <c r="C171" s="41" t="n">
        <f aca="false">Sens!$C$158+Sens!$C$159+Sens!$C$160+Sens!$C$161+Sens!$C$162+Sens!$C$163-(Sens!$C$165+Sens!$C$166)</f>
        <v>0</v>
      </c>
      <c r="D171" s="41" t="n">
        <f aca="false">Sens!$D$158+Sens!$D$159+Sens!$D$160+Sens!$D$161+Sens!$D$162+Sens!$D$163-(Sens!$D$165+Sens!$D$166)</f>
        <v>0</v>
      </c>
      <c r="E171" s="41" t="n">
        <f aca="false">Sens!$E$158+Sens!$E$159+Sens!$E$160+Sens!$E$161+Sens!$E$162+Sens!$E$163-(Sens!$E$165+Sens!$E$166)</f>
        <v>0</v>
      </c>
      <c r="F171" s="41" t="n">
        <f aca="false">Sens!$F$158+Sens!$F$159+Sens!$F$160+Sens!$F$161+Sens!$F$162+Sens!$F$163-(Sens!$F$165+Sens!$F$166)</f>
        <v>0</v>
      </c>
      <c r="G171" s="41" t="n">
        <f aca="false">Sens!$G$158+Sens!$G$159+Sens!$G$160+Sens!$G$161+Sens!$G$162+Sens!$G$163-(Sens!$G$165+Sens!$G$166)</f>
        <v>0</v>
      </c>
      <c r="H171" s="41" t="n">
        <f aca="false">Sens!$H$158+Sens!$H$159+Sens!$H$160+Sens!$H$161+Sens!$H$162+Sens!$H$163-(Sens!$H$165+Sens!$H$166)</f>
        <v>0</v>
      </c>
      <c r="I171" s="41" t="n">
        <f aca="false">Sens!$I$158+Sens!$I$159+Sens!$I$160+Sens!$I$161+Sens!$I$162+Sens!$I$163-(Sens!$I$165+Sens!$I$166)</f>
        <v>0</v>
      </c>
      <c r="J171" s="41" t="n">
        <f aca="false">Sens!$J$158+Sens!$J$159+Sens!$J$160+Sens!$J$161+Sens!$J$162+Sens!$J$163-(Sens!$J$165+Sens!$J$166)</f>
        <v>0</v>
      </c>
      <c r="K171" s="41" t="n">
        <f aca="false">Sens!$K$158+Sens!$K$159+Sens!$K$160+Sens!$K$161+Sens!$K$162+Sens!$K$163-(Sens!$K$165+Sens!$K$166)</f>
        <v>0</v>
      </c>
      <c r="L171" s="41" t="n">
        <f aca="false">Sens!$L$158+Sens!$L$159+Sens!$L$160+Sens!$L$161+Sens!$L$162+Sens!$L$163-(Sens!$L$165+Sens!$L$166)</f>
        <v>0</v>
      </c>
      <c r="M171" s="41" t="n">
        <f aca="false">Sens!$M$158+Sens!$M$159+Sens!$M$160+Sens!$M$161+Sens!$M$162+Sens!$M$163-(Sens!$M$165+Sens!$M$166)</f>
        <v>0</v>
      </c>
      <c r="N171" s="41" t="n">
        <f aca="false">Sens!$N$158+Sens!$N$159+Sens!$N$160+Sens!$N$161+Sens!$N$162+Sens!$N$163-(Sens!$N$165+Sens!$N$166)</f>
        <v>0</v>
      </c>
      <c r="O171" s="41" t="n">
        <f aca="false">Sens!$O$158+Sens!$O$159+Sens!$O$160+Sens!$O$161+Sens!$O$162+Sens!$O$163-(Sens!$O$165+Sens!$O$166)</f>
        <v>0</v>
      </c>
    </row>
    <row r="172" customFormat="false" ht="17.15" hidden="false" customHeight="false" outlineLevel="0" collapsed="false">
      <c r="A172" s="24" t="s">
        <v>704</v>
      </c>
      <c r="B172" s="25" t="s">
        <v>86</v>
      </c>
      <c r="C172" s="41" t="n">
        <f aca="false">Sens!$C$168+Sens!$C$169-Sens!$C$167</f>
        <v>0</v>
      </c>
      <c r="D172" s="41" t="n">
        <f aca="false">Sens!$D$168+Sens!$D$169-Sens!$D$167</f>
        <v>0</v>
      </c>
      <c r="E172" s="41" t="n">
        <f aca="false">Sens!$E$168+Sens!$E$169-Sens!$E$167</f>
        <v>0</v>
      </c>
      <c r="F172" s="41" t="n">
        <f aca="false">Sens!$F$168+Sens!$F$169-Sens!$F$167</f>
        <v>0</v>
      </c>
      <c r="G172" s="41" t="n">
        <f aca="false">Sens!$G$168+Sens!$G$169-Sens!$G$167</f>
        <v>0</v>
      </c>
      <c r="H172" s="41" t="n">
        <f aca="false">Sens!$H$168+Sens!$H$169-Sens!$H$167</f>
        <v>0</v>
      </c>
      <c r="I172" s="41" t="n">
        <f aca="false">Sens!$I$168+Sens!$I$169-Sens!$I$167</f>
        <v>0</v>
      </c>
      <c r="J172" s="41" t="n">
        <f aca="false">Sens!$J$168+Sens!$J$169-Sens!$J$167</f>
        <v>0</v>
      </c>
      <c r="K172" s="41" t="n">
        <f aca="false">Sens!$K$168+Sens!$K$169-Sens!$K$167</f>
        <v>0</v>
      </c>
      <c r="L172" s="41" t="n">
        <f aca="false">Sens!$L$168+Sens!$L$169-Sens!$L$167</f>
        <v>0</v>
      </c>
      <c r="M172" s="41" t="n">
        <f aca="false">Sens!$M$168+Sens!$M$169-Sens!$M$167</f>
        <v>0</v>
      </c>
      <c r="N172" s="41" t="n">
        <f aca="false">Sens!$N$168+Sens!$N$169-Sens!$N$167</f>
        <v>0</v>
      </c>
      <c r="O172" s="41" t="n">
        <f aca="false">Sens!$O$168+Sens!$O$169-Sens!$O$167</f>
        <v>0</v>
      </c>
    </row>
    <row r="173" customFormat="false" ht="17.15" hidden="false" customHeight="false" outlineLevel="0" collapsed="false">
      <c r="A173" s="24" t="s">
        <v>763</v>
      </c>
      <c r="B173" s="25" t="s">
        <v>86</v>
      </c>
      <c r="C173" s="41" t="n">
        <f aca="false">Sens!$C$158+Sens!$C$159+Sens!$C$160+Sens!$C$161+Sens!$C$162+Sens!$C$163+Sens!$C$164-Sens!$C$170</f>
        <v>0</v>
      </c>
      <c r="D173" s="41" t="n">
        <f aca="false">Sens!$D$158+Sens!$D$159+Sens!$D$160+Sens!$D$161+Sens!$D$162+Sens!$D$163+Sens!$D$164-Sens!$D$170</f>
        <v>0</v>
      </c>
      <c r="E173" s="41" t="n">
        <f aca="false">Sens!$E$158+Sens!$E$159+Sens!$E$160+Sens!$E$161+Sens!$E$162+Sens!$E$163+Sens!$E$164-Sens!$E$170</f>
        <v>0</v>
      </c>
      <c r="F173" s="41" t="n">
        <f aca="false">Sens!$F$158+Sens!$F$159+Sens!$F$160+Sens!$F$161+Sens!$F$162+Sens!$F$163+Sens!$F$164-Sens!$F$170</f>
        <v>0</v>
      </c>
      <c r="G173" s="41" t="n">
        <f aca="false">Sens!$G$158+Sens!$G$159+Sens!$G$160+Sens!$G$161+Sens!$G$162+Sens!$G$163+Sens!$G$164-Sens!$G$170</f>
        <v>0</v>
      </c>
      <c r="H173" s="41" t="n">
        <f aca="false">Sens!$H$158+Sens!$H$159+Sens!$H$160+Sens!$H$161+Sens!$H$162+Sens!$H$163+Sens!$H$164-Sens!$H$170</f>
        <v>0</v>
      </c>
      <c r="I173" s="41" t="n">
        <f aca="false">Sens!$I$158+Sens!$I$159+Sens!$I$160+Sens!$I$161+Sens!$I$162+Sens!$I$163+Sens!$I$164-Sens!$I$170</f>
        <v>0</v>
      </c>
      <c r="J173" s="41" t="n">
        <f aca="false">Sens!$J$158+Sens!$J$159+Sens!$J$160+Sens!$J$161+Sens!$J$162+Sens!$J$163+Sens!$J$164-Sens!$J$170</f>
        <v>0</v>
      </c>
      <c r="K173" s="41" t="n">
        <f aca="false">Sens!$K$158+Sens!$K$159+Sens!$K$160+Sens!$K$161+Sens!$K$162+Sens!$K$163+Sens!$K$164-Sens!$K$170</f>
        <v>0</v>
      </c>
      <c r="L173" s="41" t="n">
        <f aca="false">Sens!$L$158+Sens!$L$159+Sens!$L$160+Sens!$L$161+Sens!$L$162+Sens!$L$163+Sens!$L$164-Sens!$L$170</f>
        <v>0</v>
      </c>
      <c r="M173" s="41" t="n">
        <f aca="false">Sens!$M$158+Sens!$M$159+Sens!$M$160+Sens!$M$161+Sens!$M$162+Sens!$M$163+Sens!$M$164-Sens!$M$170</f>
        <v>0</v>
      </c>
      <c r="N173" s="41" t="n">
        <f aca="false">Sens!$N$158+Sens!$N$159+Sens!$N$160+Sens!$N$161+Sens!$N$162+Sens!$N$163+Sens!$N$164-Sens!$N$170</f>
        <v>0</v>
      </c>
      <c r="O173" s="41" t="n">
        <f aca="false">Sens!$O$158+Sens!$O$159+Sens!$O$160+Sens!$O$161+Sens!$O$162+Sens!$O$163+Sens!$O$164-Sens!$O$170</f>
        <v>0</v>
      </c>
    </row>
    <row r="174" customFormat="false" ht="17.15" hidden="false" customHeight="false" outlineLevel="0" collapsed="false">
      <c r="A174" s="24" t="s">
        <v>705</v>
      </c>
      <c r="B174" s="25" t="s">
        <v>86</v>
      </c>
      <c r="C174" s="41" t="n">
        <f aca="false">Sens!$C$165+Sens!$C$166+Sens!$C$167-Sens!$C$170</f>
        <v>0</v>
      </c>
      <c r="D174" s="41" t="n">
        <f aca="false">Sens!$D$165+Sens!$D$166+Sens!$D$167-Sens!$D$170</f>
        <v>0</v>
      </c>
      <c r="E174" s="41" t="n">
        <f aca="false">Sens!$E$165+Sens!$E$166+Sens!$E$167-Sens!$E$170</f>
        <v>0</v>
      </c>
      <c r="F174" s="41" t="n">
        <f aca="false">Sens!$F$165+Sens!$F$166+Sens!$F$167-Sens!$F$170</f>
        <v>0</v>
      </c>
      <c r="G174" s="41" t="n">
        <f aca="false">Sens!$G$165+Sens!$G$166+Sens!$G$167-Sens!$G$170</f>
        <v>0</v>
      </c>
      <c r="H174" s="41" t="n">
        <f aca="false">Sens!$H$165+Sens!$H$166+Sens!$H$167-Sens!$H$170</f>
        <v>0</v>
      </c>
      <c r="I174" s="41" t="n">
        <f aca="false">Sens!$I$165+Sens!$I$166+Sens!$I$167-Sens!$I$170</f>
        <v>0</v>
      </c>
      <c r="J174" s="41" t="n">
        <f aca="false">Sens!$J$165+Sens!$J$166+Sens!$J$167-Sens!$J$170</f>
        <v>0</v>
      </c>
      <c r="K174" s="41" t="n">
        <f aca="false">Sens!$K$165+Sens!$K$166+Sens!$K$167-Sens!$K$170</f>
        <v>0</v>
      </c>
      <c r="L174" s="41" t="n">
        <f aca="false">Sens!$L$165+Sens!$L$166+Sens!$L$167-Sens!$L$170</f>
        <v>0</v>
      </c>
      <c r="M174" s="41" t="n">
        <f aca="false">Sens!$M$165+Sens!$M$166+Sens!$M$167-Sens!$M$170</f>
        <v>0</v>
      </c>
      <c r="N174" s="41" t="n">
        <f aca="false">Sens!$N$165+Sens!$N$166+Sens!$N$167-Sens!$N$170</f>
        <v>0</v>
      </c>
      <c r="O174" s="41" t="n">
        <f aca="false">Sens!$O$165+Sens!$O$166+Sens!$O$167-Sens!$O$170</f>
        <v>0</v>
      </c>
    </row>
    <row r="175" customFormat="false" ht="17.15" hidden="false" customHeight="false" outlineLevel="0" collapsed="false">
      <c r="A175" s="1" t="s">
        <v>719</v>
      </c>
    </row>
    <row r="176" customFormat="false" ht="17.15" hidden="false" customHeight="false" outlineLevel="0" collapsed="false">
      <c r="A176" s="0" t="s">
        <v>720</v>
      </c>
      <c r="B176" s="0" t="s">
        <v>86</v>
      </c>
      <c r="C176" s="38" t="n">
        <f aca="false">Sens!$C$80*m_ad</f>
        <v>20.5341564414228</v>
      </c>
      <c r="D176" s="38" t="n">
        <f aca="false">Sens!$D$80*m_ad</f>
        <v>24.8720617299587</v>
      </c>
      <c r="E176" s="38" t="n">
        <f aca="false">Sens!$E$80*m_ad</f>
        <v>13.5017112462207</v>
      </c>
      <c r="F176" s="38" t="n">
        <f aca="false">Sens!$F$80*m_ad</f>
        <v>16.5719724165257</v>
      </c>
      <c r="G176" s="38" t="n">
        <f aca="false">Sens!$G$80*m_ad</f>
        <v>30.0820919220415</v>
      </c>
      <c r="H176" s="38" t="n">
        <f aca="false">Sens!$H$80*m_ad</f>
        <v>36.1150883276314</v>
      </c>
      <c r="I176" s="38" t="n">
        <f aca="false">Sens!$I$80*m_ad</f>
        <v>42.1475382231996</v>
      </c>
      <c r="J176" s="38" t="n">
        <f aca="false">Sens!$J$80*m_ad</f>
        <v>47.7749523864693</v>
      </c>
      <c r="K176" s="38" t="n">
        <f aca="false">Sens!$K$80*m_ad</f>
        <v>52.5524476251162</v>
      </c>
      <c r="L176" s="38" t="n">
        <f aca="false">Sens!$L$80*m_ad</f>
        <v>57.8076923876279</v>
      </c>
      <c r="M176" s="38" t="n">
        <f aca="false">Sens!$M$80*m_ad</f>
        <v>63.5884616263907</v>
      </c>
      <c r="N176" s="38" t="n">
        <f aca="false">Sens!$N$80*m_ad</f>
        <v>10.8543555706248</v>
      </c>
      <c r="O176" s="38" t="n">
        <f aca="false">Sens!$O$80*m_ad</f>
        <v>14.0094731821399</v>
      </c>
    </row>
    <row r="177" customFormat="false" ht="17.15" hidden="false" customHeight="false" outlineLevel="0" collapsed="false">
      <c r="A177" s="0" t="s">
        <v>721</v>
      </c>
      <c r="B177" s="0" t="s">
        <v>86</v>
      </c>
      <c r="C177" s="38" t="n">
        <f aca="false">Sens!$C$78-Sens!$C$80</f>
        <v>346.428687117154</v>
      </c>
      <c r="D177" s="38" t="n">
        <f aca="false">Sens!$D$78-Sens!$D$80</f>
        <v>376.560876540083</v>
      </c>
      <c r="E177" s="38" t="n">
        <f aca="false">Sens!$E$78-Sens!$E$80</f>
        <v>193.316577507559</v>
      </c>
      <c r="F177" s="38" t="n">
        <f aca="false">Sens!$F$78-Sens!$F$80</f>
        <v>217.495828647535</v>
      </c>
      <c r="G177" s="38" t="n">
        <f aca="false">Sens!$G$78-Sens!$G$80</f>
        <v>410.795589636503</v>
      </c>
      <c r="H177" s="38" t="n">
        <f aca="false">Sens!$H$78-Sens!$H$80</f>
        <v>449.156813761174</v>
      </c>
      <c r="I177" s="38" t="n">
        <f aca="false">Sens!$I$78-Sens!$I$80</f>
        <v>485.848786441156</v>
      </c>
      <c r="J177" s="38" t="n">
        <f aca="false">Sens!$J$78-Sens!$J$80</f>
        <v>519.841531018994</v>
      </c>
      <c r="K177" s="38" t="n">
        <f aca="false">Sens!$K$78-Sens!$K$80</f>
        <v>550.103332311311</v>
      </c>
      <c r="L177" s="38" t="n">
        <f aca="false">Sens!$L$78-Sens!$L$80</f>
        <v>582.192354474511</v>
      </c>
      <c r="M177" s="38" t="n">
        <f aca="false">Sens!$M$78-Sens!$M$80</f>
        <v>616.22240521081</v>
      </c>
      <c r="N177" s="38" t="n">
        <f aca="false">Sens!$N$78-Sens!$N$80</f>
        <v>171.24628885875</v>
      </c>
      <c r="O177" s="38" t="n">
        <f aca="false">Sens!$O$78-Sens!$O$80</f>
        <v>205.33105363572</v>
      </c>
    </row>
    <row r="178" customFormat="false" ht="17.15" hidden="false" customHeight="false" outlineLevel="0" collapsed="false">
      <c r="A178" s="0" t="s">
        <v>722</v>
      </c>
      <c r="B178" s="0" t="s">
        <v>86</v>
      </c>
      <c r="C178" s="38" t="n">
        <f aca="false">Sens!$C$129*Sens!$C$77</f>
        <v>0.123617442257179</v>
      </c>
      <c r="D178" s="38" t="n">
        <f aca="false">Sens!$D$129*Sens!$D$77</f>
        <v>0.600198046024689</v>
      </c>
      <c r="E178" s="38" t="n">
        <f aca="false">Sens!$E$129*Sens!$E$77</f>
        <v>0.970552432202993</v>
      </c>
      <c r="F178" s="38" t="n">
        <f aca="false">Sens!$F$129*Sens!$F$77</f>
        <v>1.20013524388435</v>
      </c>
      <c r="G178" s="38" t="n">
        <f aca="false">Sens!$G$129*Sens!$G$77</f>
        <v>2.17135369594947</v>
      </c>
      <c r="H178" s="38" t="n">
        <f aca="false">Sens!$H$129*Sens!$H$77</f>
        <v>6.14227489656333</v>
      </c>
      <c r="I178" s="38" t="n">
        <f aca="false">Sens!$I$129*Sens!$I$77</f>
        <v>11.6518054969681</v>
      </c>
      <c r="J178" s="38" t="n">
        <f aca="false">Sens!$J$129*Sens!$J$77</f>
        <v>17.3105301010592</v>
      </c>
      <c r="K178" s="38" t="n">
        <f aca="false">Sens!$K$129*Sens!$K$77</f>
        <v>22.8486728059883</v>
      </c>
      <c r="L178" s="38" t="n">
        <f aca="false">Sens!$L$129*Sens!$L$77</f>
        <v>26.6849171332777</v>
      </c>
      <c r="M178" s="38" t="n">
        <f aca="false">Sens!$M$129*Sens!$M$77</f>
        <v>29.0523240317336</v>
      </c>
      <c r="N178" s="38" t="n">
        <f aca="false">Sens!$N$129*Sens!$N$77</f>
        <v>0.25053229484398</v>
      </c>
      <c r="O178" s="38" t="n">
        <f aca="false">Sens!$O$129*Sens!$O$77</f>
        <v>0.349234376756897</v>
      </c>
    </row>
    <row r="179" customFormat="false" ht="17.15" hidden="false" customHeight="false" outlineLevel="0" collapsed="false">
      <c r="A179" s="0" t="s">
        <v>723</v>
      </c>
      <c r="B179" s="0" t="s">
        <v>52</v>
      </c>
      <c r="C179" s="28" t="n">
        <f aca="false">(Sens!$C$180-Sens!$C$176+Sens!$C$178)/Sens!$C$177</f>
        <v>0.0131526665379575</v>
      </c>
      <c r="D179" s="28" t="n">
        <f aca="false">(Sens!$D$180-Sens!$D$176+Sens!$D$178)/Sens!$D$177</f>
        <v>0.0141999252954702</v>
      </c>
      <c r="E179" s="28" t="n">
        <f aca="false">(Sens!$E$180-Sens!$E$176+Sens!$E$178)/Sens!$E$177</f>
        <v>0.0251341154940129</v>
      </c>
      <c r="F179" s="28" t="n">
        <f aca="false">Sens!$O$179+(Sens!$E$179-Sens!$N$179)</f>
        <v>0.0217171685713677</v>
      </c>
      <c r="G179" s="28" t="n">
        <f aca="false">(Sens!$G$180-Sens!$G$176+Sens!$G$178)/Sens!$G$177</f>
        <v>0.0233071940458981</v>
      </c>
      <c r="H179" s="28" t="n">
        <f aca="false">Sens!$G$179+step_na</f>
        <v>0.0263071940458981</v>
      </c>
      <c r="I179" s="28" t="n">
        <f aca="false">Sens!$H$179+step_na</f>
        <v>0.0293071940458981</v>
      </c>
      <c r="J179" s="28" t="n">
        <f aca="false">Sens!$I$179+step_na</f>
        <v>0.0323071940458981</v>
      </c>
      <c r="K179" s="28" t="n">
        <f aca="false">Sens!$J$179+step_na</f>
        <v>0.0353071940458981</v>
      </c>
      <c r="L179" s="28" t="n">
        <f aca="false">Sens!$K$179</f>
        <v>0.0353071940458981</v>
      </c>
      <c r="M179" s="28" t="n">
        <f aca="false">Sens!$L$179</f>
        <v>0.0353071940458981</v>
      </c>
      <c r="N179" s="28" t="n">
        <f aca="false">(Sens!$N$180-Sens!$N$176+Sens!$N$178)/Sens!$N$177</f>
        <v>0.0160831323269779</v>
      </c>
      <c r="O179" s="28" t="n">
        <f aca="false">(Sens!$O$180-Sens!$O$176+Sens!$O$178)/Sens!$O$177</f>
        <v>0.0126661854043327</v>
      </c>
      <c r="P179" s="8" t="s">
        <v>724</v>
      </c>
    </row>
    <row r="180" customFormat="false" ht="17.15" hidden="false" customHeight="false" outlineLevel="0" collapsed="false">
      <c r="A180" s="1" t="s">
        <v>725</v>
      </c>
      <c r="B180" s="8" t="s">
        <v>86</v>
      </c>
      <c r="C180" s="38" t="n">
        <f aca="false">Q!$D$22</f>
        <v>24.967</v>
      </c>
      <c r="D180" s="38" t="n">
        <f aca="false">Q!$E$22</f>
        <v>29.619</v>
      </c>
      <c r="E180" s="38" t="n">
        <f aca="false">Q!$P$22</f>
        <v>17.39</v>
      </c>
      <c r="F180" s="38" t="n">
        <f aca="false">Sens!$F$176+Sens!$F$177*Sens!$F$179-Sens!$F$178</f>
        <v>20.0952307469491</v>
      </c>
      <c r="G180" s="38" t="n">
        <f aca="false">Sens!$E$180+Sens!$F$180</f>
        <v>37.4852307469491</v>
      </c>
      <c r="H180" s="38" t="n">
        <f aca="false">Sens!$H$176+Sens!$H$177*Sens!$H$179-Sens!$H$178</f>
        <v>41.7888688877206</v>
      </c>
      <c r="I180" s="38" t="n">
        <f aca="false">Sens!$I$176+Sens!$I$177*Sens!$I$179-Sens!$I$178</f>
        <v>44.7345973874265</v>
      </c>
      <c r="J180" s="38" t="n">
        <f aca="false">Sens!$J$176+Sens!$J$177*Sens!$J$179-Sens!$J$178</f>
        <v>47.2590435011574</v>
      </c>
      <c r="K180" s="38" t="n">
        <f aca="false">Sens!$K$176+Sens!$K$177*Sens!$K$179-Sens!$K$178</f>
        <v>49.1263799183386</v>
      </c>
      <c r="L180" s="38" t="n">
        <f aca="false">Sens!$L$176+Sens!$L$177*Sens!$L$179-Sens!$L$178</f>
        <v>51.67835368582</v>
      </c>
      <c r="M180" s="38" t="n">
        <f aca="false">Sens!$M$176+Sens!$M$177*Sens!$M$179-Sens!$M$178</f>
        <v>56.2932216308652</v>
      </c>
      <c r="N180" s="38" t="n">
        <f aca="false">Q!$N$22</f>
        <v>13.358</v>
      </c>
      <c r="O180" s="38" t="n">
        <f aca="false">Q!$O$22</f>
        <v>16.261</v>
      </c>
    </row>
    <row r="181" customFormat="false" ht="17.15" hidden="false" customHeight="false" outlineLevel="0" collapsed="false">
      <c r="A181" s="0" t="s">
        <v>726</v>
      </c>
      <c r="B181" s="0" t="s">
        <v>86</v>
      </c>
      <c r="C181" s="38" t="n">
        <f aca="false">Sens!$C$81*m_ad</f>
        <v>7.57284355857716</v>
      </c>
      <c r="D181" s="38" t="n">
        <f aca="false">Sens!$D$81*m_ad</f>
        <v>9.44543827004127</v>
      </c>
      <c r="E181" s="38" t="n">
        <f aca="false">Sens!$E$81*m_ad</f>
        <v>5.02428875377928</v>
      </c>
      <c r="F181" s="38" t="n">
        <f aca="false">Sens!$F$81*m_ad</f>
        <v>6.50663858068173</v>
      </c>
      <c r="G181" s="38" t="n">
        <f aca="false">Sens!$G$81*m_ad</f>
        <v>11.5225190751659</v>
      </c>
      <c r="H181" s="38" t="n">
        <f aca="false">Sens!$H$81*m_ad</f>
        <v>13.8333728663174</v>
      </c>
      <c r="I181" s="38" t="n">
        <f aca="false">Sens!$I$81*m_ad</f>
        <v>16.1440173245485</v>
      </c>
      <c r="J181" s="38" t="n">
        <f aca="false">Sens!$J$81*m_ad</f>
        <v>18.2995185845066</v>
      </c>
      <c r="K181" s="38" t="n">
        <f aca="false">Sens!$K$81*m_ad</f>
        <v>20.1294704429572</v>
      </c>
      <c r="L181" s="38" t="n">
        <f aca="false">Sens!$L$81*m_ad</f>
        <v>22.142417487253</v>
      </c>
      <c r="M181" s="38" t="n">
        <f aca="false">Sens!$M$81*m_ad</f>
        <v>24.3566592359783</v>
      </c>
      <c r="N181" s="38" t="n">
        <f aca="false">Sens!$N$81*m_ad</f>
        <v>3.95314442937518</v>
      </c>
      <c r="O181" s="38" t="n">
        <f aca="false">Sens!$O$81*m_ad</f>
        <v>5.50052681786011</v>
      </c>
    </row>
    <row r="182" customFormat="false" ht="17.15" hidden="false" customHeight="false" outlineLevel="0" collapsed="false">
      <c r="A182" s="0" t="s">
        <v>727</v>
      </c>
      <c r="B182" s="0" t="s">
        <v>86</v>
      </c>
      <c r="C182" s="38" t="n">
        <f aca="false">Sens!$C$79-Sens!$C$81</f>
        <v>127.760312882846</v>
      </c>
      <c r="D182" s="38" t="n">
        <f aca="false">Sens!$D$79-Sens!$D$81</f>
        <v>143.003123459917</v>
      </c>
      <c r="E182" s="38" t="n">
        <f aca="false">Sens!$E$79-Sens!$E$81</f>
        <v>71.9374224924414</v>
      </c>
      <c r="F182" s="38" t="n">
        <f aca="false">Sens!$F$79-Sens!$F$81</f>
        <v>85.3951910035875</v>
      </c>
      <c r="G182" s="38" t="n">
        <f aca="false">Sens!$G$79-Sens!$G$81</f>
        <v>157.349430014619</v>
      </c>
      <c r="H182" s="38" t="n">
        <f aca="false">Sens!$H$79-Sens!$H$81</f>
        <v>172.043153372315</v>
      </c>
      <c r="I182" s="38" t="n">
        <f aca="false">Sens!$I$79-Sens!$I$81</f>
        <v>186.097493615879</v>
      </c>
      <c r="J182" s="38" t="n">
        <f aca="false">Sens!$J$79-Sens!$J$81</f>
        <v>199.117932780497</v>
      </c>
      <c r="K182" s="38" t="n">
        <f aca="false">Sens!$K$79-Sens!$K$81</f>
        <v>210.70928698363</v>
      </c>
      <c r="L182" s="38" t="n">
        <f aca="false">Sens!$L$79-Sens!$L$81</f>
        <v>223.000532251316</v>
      </c>
      <c r="M182" s="38" t="n">
        <f aca="false">Sens!$M$79-Sens!$M$81</f>
        <v>236.035261011339</v>
      </c>
      <c r="N182" s="38" t="n">
        <f aca="false">Sens!$N$79-Sens!$N$81</f>
        <v>62.3677111412496</v>
      </c>
      <c r="O182" s="38" t="n">
        <f aca="false">Sens!$O$79-Sens!$O$81</f>
        <v>80.6189463642798</v>
      </c>
    </row>
    <row r="183" customFormat="false" ht="17.15" hidden="false" customHeight="false" outlineLevel="0" collapsed="false">
      <c r="A183" s="0" t="s">
        <v>728</v>
      </c>
      <c r="B183" s="0" t="s">
        <v>86</v>
      </c>
      <c r="C183" s="38" t="n">
        <f aca="false">Sens!$C$129*(1-Sens!$C$77)</f>
        <v>0.0455891896019953</v>
      </c>
      <c r="D183" s="38" t="n">
        <f aca="false">Sens!$D$129*(1-Sens!$D$77)</f>
        <v>0.227931791705753</v>
      </c>
      <c r="E183" s="38" t="n">
        <f aca="false">Sens!$E$129*(1-Sens!$E$77)</f>
        <v>0.361164268820781</v>
      </c>
      <c r="F183" s="38" t="n">
        <f aca="false">Sens!$F$129*(1-Sens!$F$77)</f>
        <v>0.471208018190203</v>
      </c>
      <c r="G183" s="38" t="n">
        <f aca="false">Sens!$G$129*(1-Sens!$G$77)</f>
        <v>0.83170626714885</v>
      </c>
      <c r="H183" s="38" t="n">
        <f aca="false">Sens!$H$129*(1-Sens!$H$77)</f>
        <v>2.35271136874315</v>
      </c>
      <c r="I183" s="38" t="n">
        <f aca="false">Sens!$I$129*(1-Sens!$I$77)</f>
        <v>4.46305900024741</v>
      </c>
      <c r="J183" s="38" t="n">
        <f aca="false">Sens!$J$129*(1-Sens!$J$77)</f>
        <v>6.63055328092195</v>
      </c>
      <c r="K183" s="38" t="n">
        <f aca="false">Sens!$K$129*(1-Sens!$K$77)</f>
        <v>8.75186037365703</v>
      </c>
      <c r="L183" s="38" t="n">
        <f aca="false">Sens!$L$129*(1-Sens!$L$77)</f>
        <v>10.2212794071718</v>
      </c>
      <c r="M183" s="38" t="n">
        <f aca="false">Sens!$M$129*(1-Sens!$M$77)</f>
        <v>11.1280810756472</v>
      </c>
      <c r="N183" s="38" t="n">
        <f aca="false">Sens!$N$129*(1-Sens!$N$77)</f>
        <v>0.0912435878202994</v>
      </c>
      <c r="O183" s="38" t="n">
        <f aca="false">Sens!$O$129*(1-Sens!$O$77)</f>
        <v>0.137119578309265</v>
      </c>
    </row>
    <row r="184" customFormat="false" ht="17.15" hidden="false" customHeight="false" outlineLevel="0" collapsed="false">
      <c r="A184" s="0" t="s">
        <v>729</v>
      </c>
      <c r="B184" s="0" t="s">
        <v>52</v>
      </c>
      <c r="C184" s="28" t="n">
        <f aca="false">(Sens!$C$185-Sens!$C$181+Sens!$C$183)/Sens!$C$182</f>
        <v>-0.0292364215826579</v>
      </c>
      <c r="D184" s="28" t="n">
        <f aca="false">(Sens!$D$185-Sens!$D$181+Sens!$D$183)/Sens!$D$182</f>
        <v>-0.0312406216748665</v>
      </c>
      <c r="E184" s="28" t="n">
        <f aca="false">(Sens!$E$185-Sens!$E$181+Sens!$E$183)/Sens!$E$182</f>
        <v>-0.0211590078184749</v>
      </c>
      <c r="F184" s="28" t="n">
        <f aca="false">Sens!$O$184+(Sens!$E$184-Sens!$N$184)</f>
        <v>-0.0382539955245511</v>
      </c>
      <c r="G184" s="28" t="n">
        <f aca="false">(Sens!$G$185-Sens!$G$181+Sens!$G$183)/Sens!$G$182</f>
        <v>-0.030385172031133</v>
      </c>
      <c r="H184" s="28" t="n">
        <f aca="false">Sens!$G$184+step_in</f>
        <v>-0.030385172031133</v>
      </c>
      <c r="I184" s="28" t="n">
        <f aca="false">Sens!$H$184+step_in</f>
        <v>-0.030385172031133</v>
      </c>
      <c r="J184" s="28" t="n">
        <f aca="false">Sens!$I$184+step_in</f>
        <v>-0.030385172031133</v>
      </c>
      <c r="K184" s="28" t="n">
        <f aca="false">Sens!$J$184+step_in</f>
        <v>-0.030385172031133</v>
      </c>
      <c r="L184" s="28" t="n">
        <f aca="false">Sens!$K$184</f>
        <v>-0.030385172031133</v>
      </c>
      <c r="M184" s="28" t="n">
        <f aca="false">Sens!$L$184</f>
        <v>-0.030385172031133</v>
      </c>
      <c r="N184" s="28" t="n">
        <f aca="false">(Sens!$N$185-Sens!$N$181+Sens!$N$183)/Sens!$N$182</f>
        <v>-0.0216602600421776</v>
      </c>
      <c r="O184" s="28" t="n">
        <f aca="false">(Sens!$O$185-Sens!$O$181+Sens!$O$183)/Sens!$O$182</f>
        <v>-0.0387552477482538</v>
      </c>
      <c r="P184" s="8" t="s">
        <v>724</v>
      </c>
    </row>
    <row r="185" customFormat="false" ht="17.15" hidden="false" customHeight="false" outlineLevel="0" collapsed="false">
      <c r="A185" s="1" t="s">
        <v>730</v>
      </c>
      <c r="B185" s="8" t="s">
        <v>86</v>
      </c>
      <c r="C185" s="38" t="n">
        <f aca="false">Q!$D$23</f>
        <v>3.792</v>
      </c>
      <c r="D185" s="38" t="n">
        <f aca="false">Q!$E$23</f>
        <v>4.75</v>
      </c>
      <c r="E185" s="38" t="n">
        <f aca="false">Q!$P$23</f>
        <v>3.141</v>
      </c>
      <c r="F185" s="38" t="n">
        <f aca="false">Sens!$F$181+Sens!$F$182*Sens!$F$184-Sens!$F$183</f>
        <v>2.7687233080221</v>
      </c>
      <c r="G185" s="38" t="n">
        <f aca="false">Sens!$E$185+Sens!$F$185</f>
        <v>5.9097233080221</v>
      </c>
      <c r="H185" s="38" t="n">
        <f aca="false">Sens!$H$181+Sens!$H$182*Sens!$H$184-Sens!$H$183</f>
        <v>6.25310068557783</v>
      </c>
      <c r="I185" s="38" t="n">
        <f aca="false">Sens!$I$181+Sens!$I$182*Sens!$I$184-Sens!$I$183</f>
        <v>6.02635396621997</v>
      </c>
      <c r="J185" s="38" t="n">
        <f aca="false">Sens!$J$181+Sens!$J$182*Sens!$J$184-Sens!$J$183</f>
        <v>5.61873266156566</v>
      </c>
      <c r="K185" s="38" t="n">
        <f aca="false">Sens!$K$181+Sens!$K$182*Sens!$K$184-Sens!$K$183</f>
        <v>4.97517213574524</v>
      </c>
      <c r="L185" s="38" t="n">
        <f aca="false">Sens!$L$181+Sens!$L$182*Sens!$L$184-Sens!$L$183</f>
        <v>5.14522854459066</v>
      </c>
      <c r="M185" s="38" t="n">
        <f aca="false">Sens!$M$181+Sens!$M$182*Sens!$M$184-Sens!$M$183</f>
        <v>6.05660614908815</v>
      </c>
      <c r="N185" s="38" t="n">
        <f aca="false">Q!$N$23</f>
        <v>2.511</v>
      </c>
      <c r="O185" s="38" t="n">
        <f aca="false">Q!$O$23</f>
        <v>2.239</v>
      </c>
    </row>
    <row r="186" customFormat="false" ht="17.15" hidden="false" customHeight="false" outlineLevel="0" collapsed="false">
      <c r="A186" s="0" t="s">
        <v>731</v>
      </c>
      <c r="B186" s="0" t="s">
        <v>86</v>
      </c>
      <c r="C186" s="38" t="n">
        <f aca="false">Sens!$C$126</f>
        <v>1.64417882953695</v>
      </c>
      <c r="D186" s="38" t="n">
        <f aca="false">Sens!$D$126</f>
        <v>5.39125073772939</v>
      </c>
      <c r="E186" s="38" t="n">
        <f aca="false">Sens!$E$126</f>
        <v>3.18348617147493</v>
      </c>
      <c r="F186" s="38" t="n">
        <f aca="false">Sens!$F$126</f>
        <v>8.27806059642226</v>
      </c>
      <c r="G186" s="38" t="n">
        <f aca="false">Sens!$G$126</f>
        <v>11.4615467678972</v>
      </c>
      <c r="H186" s="38" t="n">
        <f aca="false">Sens!$H$126</f>
        <v>26.1859456885487</v>
      </c>
      <c r="I186" s="38" t="n">
        <f aca="false">Sens!$I$126</f>
        <v>37.04424114757</v>
      </c>
      <c r="J186" s="38" t="n">
        <f aca="false">Sens!$J$126</f>
        <v>47.2610736233534</v>
      </c>
      <c r="K186" s="38" t="n">
        <f aca="false">Sens!$K$126</f>
        <v>52.0459876645985</v>
      </c>
      <c r="L186" s="38" t="n">
        <f aca="false">Sens!$L$126</f>
        <v>54.1033156405981</v>
      </c>
      <c r="M186" s="38" t="n">
        <f aca="false">Sens!$M$126</f>
        <v>52.1138209393421</v>
      </c>
      <c r="N186" s="38" t="n">
        <f aca="false">Sens!$N$126</f>
        <v>1.67921600037079</v>
      </c>
      <c r="O186" s="38" t="n">
        <f aca="false">Sens!$O$126</f>
        <v>3.71203473735861</v>
      </c>
    </row>
    <row r="187" customFormat="false" ht="17.15" hidden="false" customHeight="false" outlineLevel="0" collapsed="false">
      <c r="A187" s="0" t="s">
        <v>649</v>
      </c>
      <c r="B187" s="0" t="s">
        <v>86</v>
      </c>
      <c r="C187" s="38" t="n">
        <f aca="false">Sens!$C$131</f>
        <v>38.1898211704631</v>
      </c>
      <c r="D187" s="38" t="n">
        <f aca="false">Sens!$D$131</f>
        <v>40.2147492622706</v>
      </c>
      <c r="E187" s="38" t="n">
        <f aca="false">Sens!$E$131</f>
        <v>27.5985138285251</v>
      </c>
      <c r="F187" s="38" t="n">
        <f aca="false">Sens!$F$131</f>
        <v>25.5484769754606</v>
      </c>
      <c r="G187" s="38" t="n">
        <f aca="false">Sens!$G$131</f>
        <v>53.1469908039857</v>
      </c>
      <c r="H187" s="38" t="n">
        <f aca="false">Sens!$H$131</f>
        <v>57.3189525076539</v>
      </c>
      <c r="I187" s="38" t="n">
        <f aca="false">Sens!$I$131</f>
        <v>63.6385627021087</v>
      </c>
      <c r="J187" s="38" t="n">
        <f aca="false">Sens!$J$131</f>
        <v>69.6922896066105</v>
      </c>
      <c r="K187" s="38" t="n">
        <f aca="false">Sens!$K$131</f>
        <v>75.2676727751394</v>
      </c>
      <c r="L187" s="38" t="n">
        <f aca="false">Sens!$L$131</f>
        <v>81.2890865971505</v>
      </c>
      <c r="M187" s="38" t="n">
        <f aca="false">Sens!$M$131</f>
        <v>87.7922135249226</v>
      </c>
      <c r="N187" s="38" t="n">
        <f aca="false">Sens!$N$131</f>
        <v>20.0277839996292</v>
      </c>
      <c r="O187" s="38" t="n">
        <f aca="false">Sens!$O$131</f>
        <v>20.1869652626414</v>
      </c>
    </row>
    <row r="188" customFormat="false" ht="17.15" hidden="false" customHeight="false" outlineLevel="0" collapsed="false">
      <c r="A188" s="1" t="s">
        <v>732</v>
      </c>
      <c r="B188" s="8" t="s">
        <v>86</v>
      </c>
      <c r="C188" s="38" t="n">
        <f aca="false">Q!$D$24</f>
        <v>39.834</v>
      </c>
      <c r="D188" s="38" t="n">
        <f aca="false">Q!$E$24</f>
        <v>45.606</v>
      </c>
      <c r="E188" s="38" t="n">
        <f aca="false">Q!$P$24</f>
        <v>30.782</v>
      </c>
      <c r="F188" s="38" t="n">
        <f aca="false">Sens!$F$186+Sens!$F$187</f>
        <v>33.8265375718829</v>
      </c>
      <c r="G188" s="38" t="n">
        <f aca="false">Sens!$G$186+Sens!$G$187</f>
        <v>64.6085375718829</v>
      </c>
      <c r="H188" s="38" t="n">
        <f aca="false">Sens!$H$186+Sens!$H$187</f>
        <v>83.5048981962026</v>
      </c>
      <c r="I188" s="38" t="n">
        <f aca="false">Sens!$I$186+Sens!$I$187</f>
        <v>100.682803849679</v>
      </c>
      <c r="J188" s="38" t="n">
        <f aca="false">Sens!$J$186+Sens!$J$187</f>
        <v>116.953363229964</v>
      </c>
      <c r="K188" s="38" t="n">
        <f aca="false">Sens!$K$186+Sens!$K$187</f>
        <v>127.313660439738</v>
      </c>
      <c r="L188" s="38" t="n">
        <f aca="false">Sens!$L$186+Sens!$L$187</f>
        <v>135.392402237749</v>
      </c>
      <c r="M188" s="38" t="n">
        <f aca="false">Sens!$M$186+Sens!$M$187</f>
        <v>139.906034464265</v>
      </c>
      <c r="N188" s="38" t="n">
        <f aca="false">Q!$N$24</f>
        <v>21.707</v>
      </c>
      <c r="O188" s="38" t="n">
        <f aca="false">Q!$O$24</f>
        <v>23.899</v>
      </c>
    </row>
    <row r="189" customFormat="false" ht="17.15" hidden="false" customHeight="false" outlineLevel="0" collapsed="false">
      <c r="A189" s="5" t="s">
        <v>733</v>
      </c>
      <c r="B189" s="0" t="s">
        <v>86</v>
      </c>
      <c r="C189" s="38" t="n">
        <f aca="false">Q!$D$26</f>
        <v>0</v>
      </c>
      <c r="D189" s="38" t="n">
        <f aca="false">Q!$E$26</f>
        <v>0</v>
      </c>
      <c r="E189" s="38" t="n">
        <f aca="false">Q!$P$26</f>
        <v>0</v>
      </c>
      <c r="F189" s="39" t="n">
        <v>0</v>
      </c>
      <c r="G189" s="38" t="n">
        <f aca="false">Sens!$E$189+Sens!$F$189</f>
        <v>0</v>
      </c>
      <c r="H189" s="39" t="n">
        <v>0</v>
      </c>
      <c r="I189" s="39" t="n">
        <v>0</v>
      </c>
      <c r="J189" s="39" t="n">
        <v>0</v>
      </c>
      <c r="K189" s="39" t="n">
        <v>0</v>
      </c>
      <c r="L189" s="39" t="n">
        <v>0</v>
      </c>
      <c r="M189" s="39" t="n">
        <v>0</v>
      </c>
      <c r="N189" s="38" t="n">
        <f aca="false">Q!$N$26</f>
        <v>0</v>
      </c>
      <c r="O189" s="38" t="n">
        <f aca="false">Q!$O$26</f>
        <v>0</v>
      </c>
    </row>
    <row r="190" customFormat="false" ht="15" hidden="false" customHeight="false" outlineLevel="0" collapsed="false">
      <c r="A190" s="3" t="s">
        <v>534</v>
      </c>
      <c r="B190" s="8" t="s">
        <v>86</v>
      </c>
      <c r="C190" s="38" t="n">
        <f aca="false">Q!$D$25</f>
        <v>68.593</v>
      </c>
      <c r="D190" s="38" t="n">
        <f aca="false">Q!$E$25</f>
        <v>79.975</v>
      </c>
      <c r="E190" s="38" t="n">
        <f aca="false">Q!$P$25</f>
        <v>51.313</v>
      </c>
      <c r="F190" s="38" t="n">
        <f aca="false">Sens!$F$180+Sens!$F$185+Sens!$F$188+Sens!$F$189</f>
        <v>56.6904916268541</v>
      </c>
      <c r="G190" s="38" t="n">
        <f aca="false">Sens!$G$180+Sens!$G$185+Sens!$G$188+Sens!$G$189</f>
        <v>108.003491626854</v>
      </c>
      <c r="H190" s="38" t="n">
        <f aca="false">Sens!$H$180+Sens!$H$185+Sens!$H$188+Sens!$H$189</f>
        <v>131.546867769501</v>
      </c>
      <c r="I190" s="38" t="n">
        <f aca="false">Sens!$I$180+Sens!$I$185+Sens!$I$188+Sens!$I$189</f>
        <v>151.443755203325</v>
      </c>
      <c r="J190" s="38" t="n">
        <f aca="false">Sens!$J$180+Sens!$J$185+Sens!$J$188+Sens!$J$189</f>
        <v>169.831139392687</v>
      </c>
      <c r="K190" s="38" t="n">
        <f aca="false">Sens!$K$180+Sens!$K$185+Sens!$K$188+Sens!$K$189</f>
        <v>181.415212493822</v>
      </c>
      <c r="L190" s="38" t="n">
        <f aca="false">Sens!$L$180+Sens!$L$185+Sens!$L$188+Sens!$L$189</f>
        <v>192.215984468159</v>
      </c>
      <c r="M190" s="38" t="n">
        <f aca="false">Sens!$M$180+Sens!$M$185+Sens!$M$188+Sens!$M$189</f>
        <v>202.255862244218</v>
      </c>
      <c r="N190" s="38" t="n">
        <f aca="false">Q!$N$25</f>
        <v>37.576</v>
      </c>
      <c r="O190" s="38" t="n">
        <f aca="false">Q!$O$25</f>
        <v>42.399</v>
      </c>
    </row>
    <row r="191" customFormat="false" ht="17.15" hidden="false" customHeight="false" outlineLevel="0" collapsed="false">
      <c r="A191" s="24" t="s">
        <v>764</v>
      </c>
      <c r="B191" s="25" t="s">
        <v>86</v>
      </c>
      <c r="C191" s="41" t="n">
        <f aca="false">Sens!$C$180+Sens!$C$185+Sens!$C$188+Sens!$C$189-Sens!$C$190</f>
        <v>0</v>
      </c>
      <c r="D191" s="41" t="n">
        <f aca="false">Sens!$D$180+Sens!$D$185+Sens!$D$188+Sens!$D$189-Sens!$D$190</f>
        <v>0</v>
      </c>
      <c r="E191" s="41" t="n">
        <f aca="false">Sens!$E$180+Sens!$E$185+Sens!$E$188+Sens!$E$189-Sens!$E$190</f>
        <v>0</v>
      </c>
      <c r="F191" s="41" t="n">
        <f aca="false">Sens!$F$180+Sens!$F$185+Sens!$F$188+Sens!$F$189-Sens!$F$190</f>
        <v>0</v>
      </c>
      <c r="G191" s="41" t="n">
        <f aca="false">Sens!$G$180+Sens!$G$185+Sens!$G$188+Sens!$G$189-Sens!$G$190</f>
        <v>0</v>
      </c>
      <c r="H191" s="41" t="n">
        <f aca="false">Sens!$H$180+Sens!$H$185+Sens!$H$188+Sens!$H$189-Sens!$H$190</f>
        <v>0</v>
      </c>
      <c r="I191" s="41" t="n">
        <f aca="false">Sens!$I$180+Sens!$I$185+Sens!$I$188+Sens!$I$189-Sens!$I$190</f>
        <v>0</v>
      </c>
      <c r="J191" s="41" t="n">
        <f aca="false">Sens!$J$180+Sens!$J$185+Sens!$J$188+Sens!$J$189-Sens!$J$190</f>
        <v>0</v>
      </c>
      <c r="K191" s="41" t="n">
        <f aca="false">Sens!$K$180+Sens!$K$185+Sens!$K$188+Sens!$K$189-Sens!$K$190</f>
        <v>0</v>
      </c>
      <c r="L191" s="41" t="n">
        <f aca="false">Sens!$L$180+Sens!$L$185+Sens!$L$188+Sens!$L$189-Sens!$L$190</f>
        <v>0</v>
      </c>
      <c r="M191" s="41" t="n">
        <f aca="false">Sens!$M$180+Sens!$M$185+Sens!$M$188+Sens!$M$189-Sens!$M$190</f>
        <v>0</v>
      </c>
      <c r="N191" s="41" t="n">
        <f aca="false">Sens!$N$180+Sens!$N$185+Sens!$N$188+Sens!$N$189-Sens!$N$190</f>
        <v>0</v>
      </c>
      <c r="O191" s="41" t="n">
        <f aca="false">Sens!$O$180+Sens!$O$185+Sens!$O$188+Sens!$O$189-Sens!$O$190</f>
        <v>0</v>
      </c>
    </row>
    <row r="192" customFormat="false" ht="17.15" hidden="false" customHeight="false" outlineLevel="0" collapsed="false">
      <c r="A192" s="5" t="s">
        <v>735</v>
      </c>
      <c r="B192" s="0" t="s">
        <v>86</v>
      </c>
      <c r="C192" s="38" t="n">
        <f aca="false">Sens!$C$128</f>
        <v>0</v>
      </c>
      <c r="D192" s="38" t="n">
        <f aca="false">Sens!$D$128</f>
        <v>0</v>
      </c>
      <c r="E192" s="38" t="n">
        <f aca="false">Sens!$E$128</f>
        <v>0</v>
      </c>
      <c r="F192" s="38" t="n">
        <f aca="false">Sens!$F$128</f>
        <v>3.77122048175818</v>
      </c>
      <c r="G192" s="38" t="n">
        <f aca="false">Sens!$G$128</f>
        <v>3.77122048175818</v>
      </c>
      <c r="H192" s="38" t="n">
        <f aca="false">Sens!$H$128</f>
        <v>15.1635543609893</v>
      </c>
      <c r="I192" s="38" t="n">
        <f aca="false">Sens!$I$128</f>
        <v>25.5818843619889</v>
      </c>
      <c r="J192" s="38" t="n">
        <f aca="false">Sens!$J$128</f>
        <v>36.0465624179122</v>
      </c>
      <c r="K192" s="38" t="n">
        <f aca="false">Sens!$K$128</f>
        <v>44.9741164026038</v>
      </c>
      <c r="L192" s="38" t="n">
        <f aca="false">Sens!$L$128</f>
        <v>50.8413488057813</v>
      </c>
      <c r="M192" s="38" t="n">
        <f aca="false">Sens!$M$128</f>
        <v>53.6407214274315</v>
      </c>
      <c r="N192" s="38" t="n">
        <f aca="false">Sens!$N$128</f>
        <v>0</v>
      </c>
      <c r="O192" s="38" t="n">
        <f aca="false">Sens!$O$128</f>
        <v>0</v>
      </c>
      <c r="P192" s="5" t="s">
        <v>736</v>
      </c>
    </row>
    <row r="193" customFormat="false" ht="17.15" hidden="false" customHeight="false" outlineLevel="0" collapsed="false">
      <c r="A193" s="5" t="s">
        <v>737</v>
      </c>
      <c r="B193" s="0" t="s">
        <v>86</v>
      </c>
      <c r="C193" s="38" t="n">
        <f aca="false">Sens!$C$190+Sens!$C$192</f>
        <v>68.593</v>
      </c>
      <c r="D193" s="38" t="n">
        <f aca="false">Sens!$D$190+Sens!$D$192</f>
        <v>79.975</v>
      </c>
      <c r="E193" s="38" t="n">
        <f aca="false">Sens!$E$190+Sens!$E$192</f>
        <v>51.313</v>
      </c>
      <c r="F193" s="38" t="n">
        <f aca="false">Sens!$F$190+Sens!$F$192</f>
        <v>60.4617121086123</v>
      </c>
      <c r="G193" s="38" t="n">
        <f aca="false">Sens!$G$190+Sens!$G$192</f>
        <v>111.774712108612</v>
      </c>
      <c r="H193" s="38" t="n">
        <f aca="false">Sens!$H$190+Sens!$H$192</f>
        <v>146.71042213049</v>
      </c>
      <c r="I193" s="38" t="n">
        <f aca="false">Sens!$I$190+Sens!$I$192</f>
        <v>177.025639565314</v>
      </c>
      <c r="J193" s="38" t="n">
        <f aca="false">Sens!$J$190+Sens!$J$192</f>
        <v>205.877701810599</v>
      </c>
      <c r="K193" s="38" t="n">
        <f aca="false">Sens!$K$190+Sens!$K$192</f>
        <v>226.389328896426</v>
      </c>
      <c r="L193" s="38" t="n">
        <f aca="false">Sens!$L$190+Sens!$L$192</f>
        <v>243.057333273941</v>
      </c>
      <c r="M193" s="38" t="n">
        <f aca="false">Sens!$M$190+Sens!$M$192</f>
        <v>255.896583671649</v>
      </c>
      <c r="N193" s="38" t="n">
        <f aca="false">Sens!$N$190+Sens!$N$192</f>
        <v>37.576</v>
      </c>
      <c r="O193" s="38" t="n">
        <f aca="false">Sens!$O$190+Sens!$O$192</f>
        <v>42.399</v>
      </c>
    </row>
    <row r="194" customFormat="false" ht="17.15" hidden="false" customHeight="false" outlineLevel="0" collapsed="false">
      <c r="A194" s="0" t="s">
        <v>738</v>
      </c>
      <c r="B194" s="0" t="s">
        <v>52</v>
      </c>
      <c r="C194" s="13" t="n">
        <f aca="false">Sens!$C$180/Sens!$C$165</f>
        <v>0.0644314665661928</v>
      </c>
      <c r="D194" s="13" t="n">
        <f aca="false">Sens!$D$180/Sens!$D$165</f>
        <v>0.0694784250712518</v>
      </c>
      <c r="E194" s="13" t="n">
        <f aca="false">Sens!$E$180/Sens!$E$165</f>
        <v>0.0789306463326071</v>
      </c>
      <c r="F194" s="13" t="n">
        <f aca="false">Sens!$F$180/Sens!$F$165</f>
        <v>0.0801757457241943</v>
      </c>
      <c r="G194" s="13" t="n">
        <f aca="false">Sens!$G$180/Sens!$G$165</f>
        <v>0.0795932749625682</v>
      </c>
      <c r="H194" s="13" t="n">
        <f aca="false">Sens!$H$180/Sens!$H$165</f>
        <v>0.0801494276915951</v>
      </c>
      <c r="I194" s="13" t="n">
        <f aca="false">Sens!$I$180/Sens!$I$165</f>
        <v>0.0784619467108939</v>
      </c>
      <c r="J194" s="13" t="n">
        <f aca="false">Sens!$J$180/Sens!$J$165</f>
        <v>0.0767950945569155</v>
      </c>
      <c r="K194" s="13" t="n">
        <f aca="false">Sens!$K$180/Sens!$K$165</f>
        <v>0.0749782708028101</v>
      </c>
      <c r="L194" s="13" t="n">
        <f aca="false">Sens!$L$180/Sens!$L$165</f>
        <v>0.0740581549602486</v>
      </c>
      <c r="M194" s="13" t="n">
        <f aca="false">Sens!$M$180/Sens!$M$165</f>
        <v>0.075724068445432</v>
      </c>
      <c r="N194" s="13" t="n">
        <f aca="false">Sens!$N$180/Sens!$N$165</f>
        <v>0.069228576611127</v>
      </c>
      <c r="O194" s="13" t="n">
        <f aca="false">Sens!$O$180/Sens!$O$165</f>
        <v>0.069685022498393</v>
      </c>
    </row>
    <row r="195" customFormat="false" ht="17.15" hidden="false" customHeight="false" outlineLevel="0" collapsed="false">
      <c r="A195" s="0" t="s">
        <v>739</v>
      </c>
      <c r="B195" s="0" t="s">
        <v>52</v>
      </c>
      <c r="C195" s="13" t="n">
        <f aca="false">Sens!$C$185/Sens!$C$166</f>
        <v>0.026534925055631</v>
      </c>
      <c r="D195" s="13" t="n">
        <f aca="false">Sens!$D$185/Sens!$D$166</f>
        <v>0.0293401855535103</v>
      </c>
      <c r="E195" s="13" t="n">
        <f aca="false">Sens!$E$185/Sens!$E$166</f>
        <v>0.03831141902276</v>
      </c>
      <c r="F195" s="13" t="n">
        <f aca="false">Sens!$F$185/Sens!$F$166</f>
        <v>0.0281350107328284</v>
      </c>
      <c r="G195" s="13" t="n">
        <f aca="false">Sens!$G$185/Sens!$G$166</f>
        <v>0.0327600029432073</v>
      </c>
      <c r="H195" s="13" t="n">
        <f aca="false">Sens!$H$185/Sens!$H$166</f>
        <v>0.031310920057557</v>
      </c>
      <c r="I195" s="13" t="n">
        <f aca="false">Sens!$I$185/Sens!$I$166</f>
        <v>0.0275950243319601</v>
      </c>
      <c r="J195" s="13" t="n">
        <f aca="false">Sens!$J$185/Sens!$J$166</f>
        <v>0.0238367762099147</v>
      </c>
      <c r="K195" s="13" t="n">
        <f aca="false">Sens!$K$185/Sens!$K$166</f>
        <v>0.0198239122855479</v>
      </c>
      <c r="L195" s="13" t="n">
        <f aca="false">Sens!$L$185/Sens!$L$166</f>
        <v>0.0192499447238486</v>
      </c>
      <c r="M195" s="13" t="n">
        <f aca="false">Sens!$M$185/Sens!$M$166</f>
        <v>0.0212700135680342</v>
      </c>
      <c r="N195" s="13" t="n">
        <f aca="false">Sens!$N$185/Sens!$N$166</f>
        <v>0.0357315650169337</v>
      </c>
      <c r="O195" s="13" t="n">
        <f aca="false">Sens!$O$185/Sens!$O$166</f>
        <v>0.0244378956559703</v>
      </c>
    </row>
    <row r="196" customFormat="false" ht="17.15" hidden="false" customHeight="false" outlineLevel="0" collapsed="false">
      <c r="A196" s="14" t="s">
        <v>740</v>
      </c>
      <c r="B196" s="14" t="s">
        <v>52</v>
      </c>
      <c r="C196" s="17" t="n">
        <f aca="false">Sens!$C$188/Sens!$C$167</f>
        <v>0.370355907620217</v>
      </c>
      <c r="D196" s="17" t="n">
        <f aca="false">Sens!$D$188/Sens!$D$167</f>
        <v>0.35429015342785</v>
      </c>
      <c r="E196" s="17" t="n">
        <f aca="false">Sens!$E$188/Sens!$E$167</f>
        <v>0.385647527531039</v>
      </c>
      <c r="F196" s="17" t="n">
        <f aca="false">Sens!$F$188/Sens!$F$167</f>
        <v>0.390008895496028</v>
      </c>
      <c r="G196" s="17" t="n">
        <f aca="false">Sens!$G$188/Sens!$G$167</f>
        <v>0.387918733944362</v>
      </c>
      <c r="H196" s="17" t="n">
        <f aca="false">Sens!$H$188/Sens!$H$167</f>
        <v>0.377537651365497</v>
      </c>
      <c r="I196" s="17" t="n">
        <f aca="false">Sens!$I$188/Sens!$I$167</f>
        <v>0.359230604038662</v>
      </c>
      <c r="J196" s="17" t="n">
        <f aca="false">Sens!$J$188/Sens!$J$167</f>
        <v>0.345197865849801</v>
      </c>
      <c r="K196" s="17" t="n">
        <f aca="false">Sens!$K$188/Sens!$K$167</f>
        <v>0.32654098357242</v>
      </c>
      <c r="L196" s="17" t="n">
        <f aca="false">Sens!$L$188/Sens!$L$167</f>
        <v>0.314806978274702</v>
      </c>
      <c r="M196" s="17" t="n">
        <f aca="false">Sens!$M$188/Sens!$M$167</f>
        <v>0.304503505485029</v>
      </c>
      <c r="N196" s="17" t="n">
        <f aca="false">Sens!$N$188/Sens!$N$167</f>
        <v>0.360941137346192</v>
      </c>
      <c r="O196" s="17" t="n">
        <f aca="false">Sens!$O$188/Sens!$O$167</f>
        <v>0.348458117664212</v>
      </c>
    </row>
    <row r="197" customFormat="false" ht="17.15" hidden="false" customHeight="false" outlineLevel="0" collapsed="false">
      <c r="A197" s="0" t="s">
        <v>741</v>
      </c>
      <c r="B197" s="0" t="s">
        <v>52</v>
      </c>
      <c r="C197" s="13" t="n">
        <f aca="false">Sens!$C$186/Sens!$C$168</f>
        <v>0.708390794789371</v>
      </c>
      <c r="D197" s="13" t="n">
        <f aca="false">Sens!$D$186/Sens!$D$168</f>
        <v>0.619415573115729</v>
      </c>
      <c r="E197" s="13" t="n">
        <f aca="false">Sens!$E$186/Sens!$E$168</f>
        <v>0.374072166056273</v>
      </c>
      <c r="F197" s="13" t="n">
        <f aca="false">Sens!$F$186/Sens!$F$168</f>
        <v>0.553219320710057</v>
      </c>
      <c r="G197" s="13" t="n">
        <f aca="false">Sens!$G$186/Sens!$G$168</f>
        <v>0.488270041527512</v>
      </c>
      <c r="H197" s="13" t="n">
        <f aca="false">Sens!$H$186/Sens!$H$168</f>
        <v>0.435229086816882</v>
      </c>
      <c r="I197" s="13" t="n">
        <f aca="false">Sens!$I$186/Sens!$I$168</f>
        <v>0.364954592421095</v>
      </c>
      <c r="J197" s="13" t="n">
        <f aca="false">Sens!$J$186/Sens!$J$168</f>
        <v>0.330438308582232</v>
      </c>
      <c r="K197" s="13" t="n">
        <f aca="false">Sens!$K$186/Sens!$K$168</f>
        <v>0.2916589289528</v>
      </c>
      <c r="L197" s="13" t="n">
        <f aca="false">Sens!$L$186/Sens!$L$168</f>
        <v>0.268199200593258</v>
      </c>
      <c r="M197" s="13" t="n">
        <f aca="false">Sens!$M$186/Sens!$M$168</f>
        <v>0.244854995033574</v>
      </c>
      <c r="N197" s="13" t="n">
        <f aca="false">Sens!$N$186/Sens!$N$168</f>
        <v>0.551227795793364</v>
      </c>
      <c r="O197" s="13" t="n">
        <f aca="false">Sens!$O$186/Sens!$O$168</f>
        <v>0.656132068597002</v>
      </c>
    </row>
    <row r="198" customFormat="false" ht="15" hidden="false" customHeight="false" outlineLevel="0" collapsed="false">
      <c r="A198" s="5" t="s">
        <v>742</v>
      </c>
      <c r="B198" s="0" t="s">
        <v>52</v>
      </c>
      <c r="C198" s="13" t="n">
        <f aca="false">Sens!$C$190/Sens!$C$170</f>
        <v>0.107519448742004</v>
      </c>
      <c r="D198" s="13" t="n">
        <f aca="false">Sens!$D$190/Sens!$D$170</f>
        <v>0.111552967957552</v>
      </c>
      <c r="E198" s="13" t="n">
        <f aca="false">Sens!$E$190/Sens!$E$170</f>
        <v>0.13428328426562</v>
      </c>
      <c r="F198" s="13" t="n">
        <f aca="false">Sens!$F$190/Sens!$F$170</f>
        <v>0.130089413875539</v>
      </c>
      <c r="G198" s="13" t="n">
        <f aca="false">Sens!$G$190/Sens!$G$170</f>
        <v>0.132048786678316</v>
      </c>
      <c r="H198" s="13" t="n">
        <f aca="false">Sens!$H$190/Sens!$H$170</f>
        <v>0.139604881440853</v>
      </c>
      <c r="I198" s="13" t="n">
        <f aca="false">Sens!$I$190/Sens!$I$170</f>
        <v>0.141694752432769</v>
      </c>
      <c r="J198" s="13" t="n">
        <f aca="false">Sens!$J$190/Sens!$J$170</f>
        <v>0.14272611544629</v>
      </c>
      <c r="K198" s="13" t="n">
        <f aca="false">Sens!$K$190/Sens!$K$170</f>
        <v>0.139974160596744</v>
      </c>
      <c r="L198" s="13" t="n">
        <f aca="false">Sens!$L$190/Sens!$L$170</f>
        <v>0.137772071866073</v>
      </c>
      <c r="M198" s="13" t="n">
        <f aca="false">Sens!$M$190/Sens!$M$170</f>
        <v>0.13596080857516</v>
      </c>
      <c r="N198" s="13" t="n">
        <f aca="false">Sens!$N$190/Sens!$N$170</f>
        <v>0.116201614873411</v>
      </c>
      <c r="O198" s="13" t="n">
        <f aca="false">Sens!$O$190/Sens!$O$170</f>
        <v>0.107733353660861</v>
      </c>
    </row>
    <row r="199" customFormat="false" ht="17.15" hidden="false" customHeight="false" outlineLevel="0" collapsed="false">
      <c r="A199" s="1" t="s">
        <v>743</v>
      </c>
    </row>
    <row r="200" customFormat="false" ht="17.15" hidden="false" customHeight="false" outlineLevel="0" collapsed="false">
      <c r="A200" s="5" t="s">
        <v>744</v>
      </c>
      <c r="B200" s="0" t="s">
        <v>52</v>
      </c>
      <c r="D200" s="28" t="n">
        <f aca="false">(Q!$E$29+Q!$E$30-(1-ext_sh)*Sens!$D$122)/Sens!$D$76</f>
        <v>0.0341105596409988</v>
      </c>
    </row>
    <row r="201" customFormat="false" ht="17.15" hidden="false" customHeight="false" outlineLevel="0" collapsed="false">
      <c r="A201" s="0" t="s">
        <v>538</v>
      </c>
      <c r="B201" s="0" t="s">
        <v>86</v>
      </c>
      <c r="C201" s="38" t="n">
        <f aca="false">Q!$D$29</f>
        <v>14.285</v>
      </c>
      <c r="D201" s="38" t="n">
        <f aca="false">Q!$E$29</f>
        <v>15.503</v>
      </c>
      <c r="E201" s="38" t="n">
        <f aca="false">Q!$P$29</f>
        <v>8.78</v>
      </c>
      <c r="F201" s="38" t="n">
        <f aca="false">(Sens!$D$200*Sens!$F$76+(1-ext_sh)*Sens!$F$122)*Sens!$F$77</f>
        <v>9.16735846116642</v>
      </c>
      <c r="G201" s="38" t="n">
        <f aca="false">Sens!$E$201+Sens!$F$201</f>
        <v>17.9473584611664</v>
      </c>
      <c r="H201" s="38" t="n">
        <f aca="false">(Sens!$D$200*Sens!$H$76+(1-ext_sh)*Sens!$H$122)*Sens!$H$77</f>
        <v>21.6406723110177</v>
      </c>
      <c r="I201" s="38" t="n">
        <f aca="false">(Sens!$D$200*Sens!$I$76+(1-ext_sh)*Sens!$I$122)*Sens!$I$77</f>
        <v>27.3128215555087</v>
      </c>
      <c r="J201" s="38" t="n">
        <f aca="false">(Sens!$D$200*Sens!$J$76+(1-ext_sh)*Sens!$J$122)*Sens!$J$77</f>
        <v>33.0116861885756</v>
      </c>
      <c r="K201" s="38" t="n">
        <f aca="false">(Sens!$D$200*Sens!$K$76+(1-ext_sh)*Sens!$K$122)*Sens!$K$77</f>
        <v>38.6250238720245</v>
      </c>
      <c r="L201" s="38" t="n">
        <f aca="false">(Sens!$D$200*Sens!$L$76+(1-ext_sh)*Sens!$L$122)*Sens!$L$77</f>
        <v>43.0711535197861</v>
      </c>
      <c r="M201" s="38" t="n">
        <f aca="false">(Sens!$D$200*Sens!$M$76+(1-ext_sh)*Sens!$M$122)*Sens!$M$77</f>
        <v>46.590728630326</v>
      </c>
      <c r="N201" s="38" t="n">
        <f aca="false">Q!$N$29</f>
        <v>7.272</v>
      </c>
      <c r="O201" s="38" t="n">
        <f aca="false">Q!$O$29</f>
        <v>8.231</v>
      </c>
    </row>
    <row r="202" customFormat="false" ht="17.15" hidden="false" customHeight="false" outlineLevel="0" collapsed="false">
      <c r="A202" s="0" t="s">
        <v>540</v>
      </c>
      <c r="B202" s="0" t="s">
        <v>86</v>
      </c>
      <c r="C202" s="38" t="n">
        <f aca="false">Q!$D$30</f>
        <v>4.462</v>
      </c>
      <c r="D202" s="38" t="n">
        <f aca="false">Q!$E$30</f>
        <v>4.907</v>
      </c>
      <c r="E202" s="38" t="n">
        <f aca="false">Q!$P$30</f>
        <v>2.57</v>
      </c>
      <c r="F202" s="38" t="n">
        <f aca="false">(Sens!$D$200*Sens!$F$76+(1-ext_sh)*Sens!$F$122)*(1-Sens!$F$77)</f>
        <v>3.59937168293151</v>
      </c>
      <c r="G202" s="38" t="n">
        <f aca="false">Sens!$E$202+Sens!$F$202</f>
        <v>6.16937168293151</v>
      </c>
      <c r="H202" s="38" t="n">
        <f aca="false">(Sens!$D$200*Sens!$H$76+(1-ext_sh)*Sens!$H$122)*(1-Sens!$H$77)</f>
        <v>8.28915290031442</v>
      </c>
      <c r="I202" s="38" t="n">
        <f aca="false">(Sens!$D$200*Sens!$I$76+(1-ext_sh)*Sens!$I$122)*(1-Sens!$I$77)</f>
        <v>10.4617892992793</v>
      </c>
      <c r="J202" s="38" t="n">
        <f aca="false">(Sens!$D$200*Sens!$J$76+(1-ext_sh)*Sens!$J$122)*(1-Sens!$J$77)</f>
        <v>12.6446586493057</v>
      </c>
      <c r="K202" s="38" t="n">
        <f aca="false">(Sens!$D$200*Sens!$K$76+(1-ext_sh)*Sens!$K$122)*(1-Sens!$K$77)</f>
        <v>14.7947681131192</v>
      </c>
      <c r="L202" s="38" t="n">
        <f aca="false">(Sens!$D$200*Sens!$L$76+(1-ext_sh)*Sens!$L$122)*(1-Sens!$L$77)</f>
        <v>16.4977950771268</v>
      </c>
      <c r="M202" s="38" t="n">
        <f aca="false">(Sens!$D$200*Sens!$M$76+(1-ext_sh)*Sens!$M$122)*(1-Sens!$M$77)</f>
        <v>17.8459184540772</v>
      </c>
      <c r="N202" s="38" t="n">
        <f aca="false">Q!$N$30</f>
        <v>2.316</v>
      </c>
      <c r="O202" s="38" t="n">
        <f aca="false">Q!$O$30</f>
        <v>2.591</v>
      </c>
    </row>
    <row r="203" customFormat="false" ht="17.15" hidden="false" customHeight="false" outlineLevel="0" collapsed="false">
      <c r="A203" s="0" t="s">
        <v>541</v>
      </c>
      <c r="B203" s="0" t="s">
        <v>86</v>
      </c>
      <c r="C203" s="38" t="n">
        <f aca="false">Sens!$C$134</f>
        <v>13.32</v>
      </c>
      <c r="D203" s="38" t="n">
        <f aca="false">Sens!$D$134</f>
        <v>21.45</v>
      </c>
      <c r="E203" s="38" t="n">
        <f aca="false">Sens!$E$134</f>
        <v>15.353</v>
      </c>
      <c r="F203" s="38" t="n">
        <f aca="false">Sens!$F$134</f>
        <v>15.4404120185306</v>
      </c>
      <c r="G203" s="38" t="n">
        <f aca="false">Sens!$G$134</f>
        <v>30.7934120185306</v>
      </c>
      <c r="H203" s="38" t="n">
        <f aca="false">Sens!$H$134</f>
        <v>48.250114371455</v>
      </c>
      <c r="I203" s="38" t="n">
        <f aca="false">Sens!$I$134</f>
        <v>73.3965146995963</v>
      </c>
      <c r="J203" s="38" t="n">
        <f aca="false">Sens!$J$134</f>
        <v>99.22806138309</v>
      </c>
      <c r="K203" s="38" t="n">
        <f aca="false">Sens!$K$134</f>
        <v>125.386627452856</v>
      </c>
      <c r="L203" s="38" t="n">
        <f aca="false">Sens!$L$134</f>
        <v>144.77239043275</v>
      </c>
      <c r="M203" s="38" t="n">
        <f aca="false">Sens!$M$134</f>
        <v>158.693930910983</v>
      </c>
      <c r="N203" s="38" t="n">
        <f aca="false">Sens!$N$134</f>
        <v>9.234</v>
      </c>
      <c r="O203" s="38" t="n">
        <f aca="false">Sens!$O$134</f>
        <v>12.216</v>
      </c>
    </row>
    <row r="204" customFormat="false" ht="17.15" hidden="false" customHeight="false" outlineLevel="0" collapsed="false">
      <c r="A204" s="5" t="s">
        <v>745</v>
      </c>
      <c r="B204" s="0" t="s">
        <v>86</v>
      </c>
      <c r="C204" s="38" t="n">
        <f aca="false">Sens!$C$201+Sens!$C$202+Sens!$C$203</f>
        <v>32.067</v>
      </c>
      <c r="D204" s="38" t="n">
        <f aca="false">Sens!$D$201+Sens!$D$202+Sens!$D$203</f>
        <v>41.86</v>
      </c>
      <c r="E204" s="38" t="n">
        <f aca="false">Sens!$E$201+Sens!$E$202+Sens!$E$203</f>
        <v>26.703</v>
      </c>
      <c r="F204" s="38" t="n">
        <f aca="false">Sens!$F$201+Sens!$F$202+Sens!$F$203</f>
        <v>28.2071421626285</v>
      </c>
      <c r="G204" s="38" t="n">
        <f aca="false">Sens!$G$201+Sens!$G$202+Sens!$G$203</f>
        <v>54.9101421626285</v>
      </c>
      <c r="H204" s="38" t="n">
        <f aca="false">Sens!$H$201+Sens!$H$202+Sens!$H$203</f>
        <v>78.1799395827871</v>
      </c>
      <c r="I204" s="38" t="n">
        <f aca="false">Sens!$I$201+Sens!$I$202+Sens!$I$203</f>
        <v>111.171125554384</v>
      </c>
      <c r="J204" s="38" t="n">
        <f aca="false">Sens!$J$201+Sens!$J$202+Sens!$J$203</f>
        <v>144.884406220971</v>
      </c>
      <c r="K204" s="38" t="n">
        <f aca="false">Sens!$K$201+Sens!$K$202+Sens!$K$203</f>
        <v>178.806419437999</v>
      </c>
      <c r="L204" s="38" t="n">
        <f aca="false">Sens!$L$201+Sens!$L$202+Sens!$L$203</f>
        <v>204.341339029663</v>
      </c>
      <c r="M204" s="38" t="n">
        <f aca="false">Sens!$M$201+Sens!$M$202+Sens!$M$203</f>
        <v>223.130577995387</v>
      </c>
      <c r="N204" s="38" t="n">
        <f aca="false">Sens!$N$201+Sens!$N$202+Sens!$N$203</f>
        <v>18.822</v>
      </c>
      <c r="O204" s="38" t="n">
        <f aca="false">Sens!$O$201+Sens!$O$202+Sens!$O$203</f>
        <v>23.038</v>
      </c>
    </row>
    <row r="205" customFormat="false" ht="17.15" hidden="false" customHeight="false" outlineLevel="0" collapsed="false">
      <c r="A205" s="0" t="s">
        <v>746</v>
      </c>
      <c r="B205" s="0" t="s">
        <v>86</v>
      </c>
      <c r="C205" s="38" t="n">
        <f aca="false">Sens!$C$176+Sens!$C$181</f>
        <v>28.107</v>
      </c>
      <c r="D205" s="38" t="n">
        <f aca="false">Sens!$D$176+Sens!$D$181</f>
        <v>34.3175</v>
      </c>
      <c r="E205" s="38" t="n">
        <f aca="false">Sens!$E$176+Sens!$E$181</f>
        <v>18.526</v>
      </c>
      <c r="F205" s="38" t="n">
        <f aca="false">Sens!$F$176+Sens!$F$181</f>
        <v>23.0786109972074</v>
      </c>
      <c r="G205" s="38" t="n">
        <f aca="false">Sens!$G$176+Sens!$G$181</f>
        <v>41.6046109972074</v>
      </c>
      <c r="H205" s="38" t="n">
        <f aca="false">Sens!$H$176+Sens!$H$181</f>
        <v>49.9484611939488</v>
      </c>
      <c r="I205" s="38" t="n">
        <f aca="false">Sens!$I$176+Sens!$I$181</f>
        <v>58.2915555477481</v>
      </c>
      <c r="J205" s="38" t="n">
        <f aca="false">Sens!$J$176+Sens!$J$181</f>
        <v>66.0744709709759</v>
      </c>
      <c r="K205" s="38" t="n">
        <f aca="false">Sens!$K$176+Sens!$K$181</f>
        <v>72.6819180680735</v>
      </c>
      <c r="L205" s="38" t="n">
        <f aca="false">Sens!$L$176+Sens!$L$181</f>
        <v>79.9501098748808</v>
      </c>
      <c r="M205" s="38" t="n">
        <f aca="false">Sens!$M$176+Sens!$M$181</f>
        <v>87.9451208623689</v>
      </c>
      <c r="N205" s="38" t="n">
        <f aca="false">Sens!$N$176+Sens!$N$181</f>
        <v>14.8075</v>
      </c>
      <c r="O205" s="38" t="n">
        <f aca="false">Sens!$O$176+Sens!$O$181</f>
        <v>19.51</v>
      </c>
    </row>
    <row r="206" customFormat="false" ht="17.15" hidden="false" customHeight="false" outlineLevel="0" collapsed="false">
      <c r="A206" s="0" t="s">
        <v>747</v>
      </c>
      <c r="B206" s="0" t="s">
        <v>86</v>
      </c>
      <c r="C206" s="38" t="n">
        <f aca="false">Sens!$C$180+Sens!$C$185+Sens!$C$201+Sens!$C$202-Sens!$C$205</f>
        <v>19.399</v>
      </c>
      <c r="D206" s="38" t="n">
        <f aca="false">Sens!$D$180+Sens!$D$185+Sens!$D$201+Sens!$D$202-Sens!$D$205</f>
        <v>20.4615</v>
      </c>
      <c r="E206" s="38" t="n">
        <f aca="false">Sens!$E$180+Sens!$E$185+Sens!$E$201+Sens!$E$202-Sens!$E$205</f>
        <v>13.355</v>
      </c>
      <c r="F206" s="38" t="n">
        <f aca="false">Sens!$F$180+Sens!$F$185+Sens!$F$201+Sens!$F$202-Sens!$F$205</f>
        <v>12.5520732018618</v>
      </c>
      <c r="G206" s="38" t="n">
        <f aca="false">Sens!$G$180+Sens!$G$185+Sens!$G$201+Sens!$G$202-Sens!$G$205</f>
        <v>25.9070732018618</v>
      </c>
      <c r="H206" s="38" t="n">
        <f aca="false">Sens!$H$180+Sens!$H$185+Sens!$H$201+Sens!$H$202-Sens!$H$205</f>
        <v>28.0233335906818</v>
      </c>
      <c r="I206" s="38" t="n">
        <f aca="false">Sens!$I$180+Sens!$I$185+Sens!$I$201+Sens!$I$202-Sens!$I$205</f>
        <v>30.2440066606864</v>
      </c>
      <c r="J206" s="38" t="n">
        <f aca="false">Sens!$J$180+Sens!$J$185+Sens!$J$201+Sens!$J$202-Sens!$J$205</f>
        <v>32.4596500296286</v>
      </c>
      <c r="K206" s="38" t="n">
        <f aca="false">Sens!$K$180+Sens!$K$185+Sens!$K$201+Sens!$K$202-Sens!$K$205</f>
        <v>34.839425971154</v>
      </c>
      <c r="L206" s="38" t="n">
        <f aca="false">Sens!$L$180+Sens!$L$185+Sens!$L$201+Sens!$L$202-Sens!$L$205</f>
        <v>36.4424209524427</v>
      </c>
      <c r="M206" s="38" t="n">
        <f aca="false">Sens!$M$180+Sens!$M$185+Sens!$M$201+Sens!$M$202-Sens!$M$205</f>
        <v>38.8413540019876</v>
      </c>
      <c r="N206" s="38" t="n">
        <f aca="false">Sens!$N$180+Sens!$N$185+Sens!$N$201+Sens!$N$202-Sens!$N$205</f>
        <v>10.6495</v>
      </c>
      <c r="O206" s="38" t="n">
        <f aca="false">Sens!$O$180+Sens!$O$185+Sens!$O$201+Sens!$O$202-Sens!$O$205</f>
        <v>9.81200000000001</v>
      </c>
    </row>
    <row r="207" customFormat="false" ht="17.15" hidden="false" customHeight="false" outlineLevel="0" collapsed="false">
      <c r="A207" s="0" t="s">
        <v>748</v>
      </c>
      <c r="B207" s="0" t="s">
        <v>86</v>
      </c>
      <c r="C207" s="38" t="n">
        <f aca="false">Sens!$C$187+Sens!$C$203-ext_sh*Sens!$C$122</f>
        <v>51.3470500115664</v>
      </c>
      <c r="D207" s="38" t="n">
        <f aca="false">Sens!$D$187+Sens!$D$203-ext_sh*Sens!$D$122</f>
        <v>60.2799375433739</v>
      </c>
      <c r="E207" s="38" t="n">
        <f aca="false">Sens!$E$187+Sens!$E$203-ext_sh*Sens!$E$122</f>
        <v>39.5095167090767</v>
      </c>
      <c r="F207" s="38" t="n">
        <f aca="false">Sens!$F$187+Sens!$F$203-ext_sh*Sens!$F$122</f>
        <v>37.5468918745429</v>
      </c>
      <c r="G207" s="38" t="n">
        <f aca="false">Sens!$G$187+Sens!$G$203-ext_sh*Sens!$G$122</f>
        <v>77.0564085836196</v>
      </c>
      <c r="H207" s="38" t="n">
        <f aca="false">Sens!$H$187+Sens!$H$203-ext_sh*Sens!$H$122</f>
        <v>84.2378398616123</v>
      </c>
      <c r="I207" s="38" t="n">
        <f aca="false">Sens!$I$187+Sens!$I$203-ext_sh*Sens!$I$122</f>
        <v>93.5253492849083</v>
      </c>
      <c r="J207" s="38" t="n">
        <f aca="false">Sens!$J$187+Sens!$J$203-ext_sh*Sens!$J$122</f>
        <v>102.42210777817</v>
      </c>
      <c r="K207" s="38" t="n">
        <f aca="false">Sens!$K$187+Sens!$K$203-ext_sh*Sens!$K$122</f>
        <v>110.615876400424</v>
      </c>
      <c r="L207" s="38" t="n">
        <f aca="false">Sens!$L$187+Sens!$L$203-ext_sh*Sens!$L$122</f>
        <v>119.465146512458</v>
      </c>
      <c r="M207" s="38" t="n">
        <f aca="false">Sens!$M$187+Sens!$M$203-ext_sh*Sens!$M$122</f>
        <v>129.022358233455</v>
      </c>
      <c r="N207" s="38" t="n">
        <f aca="false">Sens!$N$187+Sens!$N$203-ext_sh*Sens!$N$122</f>
        <v>28.5693781401809</v>
      </c>
      <c r="O207" s="38" t="n">
        <f aca="false">Sens!$O$187+Sens!$O$203-ext_sh*Sens!$O$122</f>
        <v>31.7105594031931</v>
      </c>
    </row>
    <row r="208" customFormat="false" ht="17.15" hidden="false" customHeight="false" outlineLevel="0" collapsed="false">
      <c r="A208" s="0" t="s">
        <v>749</v>
      </c>
      <c r="B208" s="0" t="s">
        <v>86</v>
      </c>
      <c r="C208" s="38" t="n">
        <f aca="false">Sens!$C$125</f>
        <v>1.80694998843362</v>
      </c>
      <c r="D208" s="38" t="n">
        <f aca="false">Sens!$D$125</f>
        <v>6.77606245662607</v>
      </c>
      <c r="E208" s="38" t="n">
        <f aca="false">Sens!$E$125</f>
        <v>6.62548329092326</v>
      </c>
      <c r="F208" s="38" t="n">
        <f aca="false">Sens!$F$125</f>
        <v>11.7200577158706</v>
      </c>
      <c r="G208" s="38" t="n">
        <f aca="false">Sens!$G$125</f>
        <v>18.3455410067939</v>
      </c>
      <c r="H208" s="38" t="n">
        <f aca="false">Sens!$H$125</f>
        <v>47.5171727060453</v>
      </c>
      <c r="I208" s="38" t="n">
        <f aca="false">Sens!$I$125</f>
        <v>80.5539692643667</v>
      </c>
      <c r="J208" s="38" t="n">
        <f aca="false">Sens!$J$125</f>
        <v>113.759316834883</v>
      </c>
      <c r="K208" s="38" t="n">
        <f aca="false">Sens!$K$125</f>
        <v>142.084411492169</v>
      </c>
      <c r="L208" s="38" t="n">
        <f aca="false">Sens!$L$125</f>
        <v>160.69964615804</v>
      </c>
      <c r="M208" s="38" t="n">
        <f aca="false">Sens!$M$125</f>
        <v>169.577607141793</v>
      </c>
      <c r="N208" s="38" t="n">
        <f aca="false">Sens!$N$125</f>
        <v>2.37162185981912</v>
      </c>
      <c r="O208" s="38" t="n">
        <f aca="false">Sens!$O$125</f>
        <v>4.40444059680694</v>
      </c>
    </row>
    <row r="209" customFormat="false" ht="17.15" hidden="false" customHeight="false" outlineLevel="0" collapsed="false">
      <c r="A209" s="0" t="s">
        <v>750</v>
      </c>
      <c r="B209" s="0" t="s">
        <v>86</v>
      </c>
      <c r="C209" s="38" t="n">
        <f aca="false">Sens!$C$190+Sens!$C$204</f>
        <v>100.66</v>
      </c>
      <c r="D209" s="38" t="n">
        <f aca="false">Sens!$D$190+Sens!$D$204</f>
        <v>121.835</v>
      </c>
      <c r="E209" s="38" t="n">
        <f aca="false">Sens!$E$190+Sens!$E$204</f>
        <v>78.016</v>
      </c>
      <c r="F209" s="38" t="n">
        <f aca="false">Sens!$F$190+Sens!$F$204</f>
        <v>84.8976337894826</v>
      </c>
      <c r="G209" s="38" t="n">
        <f aca="false">Sens!$G$190+Sens!$G$204</f>
        <v>162.913633789483</v>
      </c>
      <c r="H209" s="38" t="n">
        <f aca="false">Sens!$H$190+Sens!$H$204</f>
        <v>209.726807352288</v>
      </c>
      <c r="I209" s="38" t="n">
        <f aca="false">Sens!$I$190+Sens!$I$204</f>
        <v>262.61488075771</v>
      </c>
      <c r="J209" s="38" t="n">
        <f aca="false">Sens!$J$190+Sens!$J$204</f>
        <v>314.715545613658</v>
      </c>
      <c r="K209" s="38" t="n">
        <f aca="false">Sens!$K$190+Sens!$K$204</f>
        <v>360.221631931821</v>
      </c>
      <c r="L209" s="38" t="n">
        <f aca="false">Sens!$L$190+Sens!$L$204</f>
        <v>396.557323497822</v>
      </c>
      <c r="M209" s="38" t="n">
        <f aca="false">Sens!$M$190+Sens!$M$204</f>
        <v>425.386440239605</v>
      </c>
      <c r="N209" s="38" t="n">
        <f aca="false">Sens!$N$190+Sens!$N$204</f>
        <v>56.398</v>
      </c>
      <c r="O209" s="38" t="n">
        <f aca="false">Sens!$O$190+Sens!$O$204</f>
        <v>65.437</v>
      </c>
    </row>
    <row r="210" customFormat="false" ht="17.15" hidden="false" customHeight="false" outlineLevel="0" collapsed="false">
      <c r="A210" s="1" t="s">
        <v>751</v>
      </c>
    </row>
    <row r="211" customFormat="false" ht="15" hidden="false" customHeight="false" outlineLevel="0" collapsed="false">
      <c r="A211" s="5" t="s">
        <v>544</v>
      </c>
      <c r="B211" s="0" t="s">
        <v>86</v>
      </c>
      <c r="C211" s="38" t="n">
        <f aca="false">Q!$D$34</f>
        <v>2.406</v>
      </c>
      <c r="D211" s="38" t="n">
        <f aca="false">Q!$E$34</f>
        <v>2.274</v>
      </c>
      <c r="E211" s="38" t="n">
        <f aca="false">Q!$P$34</f>
        <v>2.114</v>
      </c>
      <c r="F211" s="38" t="n">
        <f aca="false">Sens!$F$249</f>
        <v>3.24888962733561</v>
      </c>
      <c r="G211" s="38" t="n">
        <f aca="false">Sens!$E$211+Sens!$F$211</f>
        <v>5.36288962733561</v>
      </c>
      <c r="H211" s="38" t="n">
        <f aca="false">Sens!$H$249</f>
        <v>7.42354172302123</v>
      </c>
      <c r="I211" s="38" t="n">
        <f aca="false">Sens!$I$249</f>
        <v>8.48968024898619</v>
      </c>
      <c r="J211" s="38" t="n">
        <f aca="false">Sens!$J$249</f>
        <v>9.63598826439483</v>
      </c>
      <c r="K211" s="38" t="n">
        <f aca="false">Sens!$K$249</f>
        <v>9.63598826439483</v>
      </c>
      <c r="L211" s="38" t="n">
        <f aca="false">Sens!$L$249</f>
        <v>9.63598826439483</v>
      </c>
      <c r="M211" s="38" t="n">
        <f aca="false">Sens!$M$249</f>
        <v>9.63598826439483</v>
      </c>
      <c r="N211" s="38" t="n">
        <f aca="false">Q!$N$34</f>
        <v>1.057</v>
      </c>
      <c r="O211" s="38" t="n">
        <f aca="false">Q!$O$34</f>
        <v>1.217</v>
      </c>
    </row>
    <row r="212" customFormat="false" ht="15" hidden="false" customHeight="false" outlineLevel="0" collapsed="false">
      <c r="A212" s="5" t="s">
        <v>752</v>
      </c>
      <c r="B212" s="0" t="s">
        <v>86</v>
      </c>
      <c r="F212" s="38" t="n">
        <f aca="false">Sens!$F$250</f>
        <v>2.59</v>
      </c>
      <c r="H212" s="38" t="n">
        <f aca="false">Sens!$H$250</f>
        <v>3.76965165045626</v>
      </c>
      <c r="I212" s="38" t="n">
        <f aca="false">Sens!$I$250</f>
        <v>2.10589651022864</v>
      </c>
      <c r="J212" s="38" t="n">
        <f aca="false">Sens!$J$250</f>
        <v>2.10589651022864</v>
      </c>
      <c r="K212" s="38" t="n">
        <f aca="false">Sens!$K$250</f>
        <v>3.03184385018094</v>
      </c>
      <c r="L212" s="38" t="n">
        <f aca="false">Sens!$L$250</f>
        <v>8.01944213829919</v>
      </c>
      <c r="M212" s="38" t="n">
        <f aca="false">Sens!$M$250</f>
        <v>15.4751142339777</v>
      </c>
    </row>
    <row r="213" customFormat="false" ht="17.15" hidden="false" customHeight="false" outlineLevel="0" collapsed="false">
      <c r="A213" s="5" t="s">
        <v>753</v>
      </c>
      <c r="B213" s="0" t="s">
        <v>86</v>
      </c>
      <c r="C213" s="38" t="n">
        <f aca="false">Q!$D$39</f>
        <v>2.427</v>
      </c>
      <c r="D213" s="38" t="n">
        <f aca="false">Q!$E$39</f>
        <v>19.61</v>
      </c>
      <c r="E213" s="38" t="n">
        <f aca="false">Q!$P$39</f>
        <v>71.492</v>
      </c>
      <c r="F213" s="39" t="n">
        <v>0</v>
      </c>
      <c r="G213" s="38" t="n">
        <f aca="false">Sens!$E$213+Sens!$F$213</f>
        <v>71.492</v>
      </c>
      <c r="H213" s="39" t="n">
        <v>0</v>
      </c>
      <c r="I213" s="39" t="n">
        <v>0</v>
      </c>
      <c r="J213" s="39" t="n">
        <v>0</v>
      </c>
      <c r="K213" s="39" t="n">
        <v>0</v>
      </c>
      <c r="L213" s="39" t="n">
        <v>0</v>
      </c>
      <c r="M213" s="39" t="n">
        <v>0</v>
      </c>
      <c r="N213" s="38" t="n">
        <f aca="false">Q!$N$39</f>
        <v>6.017</v>
      </c>
      <c r="O213" s="38" t="n">
        <f aca="false">Q!$O$39</f>
        <v>13.593</v>
      </c>
      <c r="P213" s="5" t="s">
        <v>754</v>
      </c>
    </row>
    <row r="214" customFormat="false" ht="15" hidden="false" customHeight="false" outlineLevel="0" collapsed="false">
      <c r="A214" s="5" t="s">
        <v>547</v>
      </c>
      <c r="B214" s="0" t="s">
        <v>86</v>
      </c>
      <c r="C214" s="38" t="n">
        <f aca="false">Q!$D$36</f>
        <v>68.614</v>
      </c>
      <c r="D214" s="38" t="n">
        <f aca="false">Q!$E$36</f>
        <v>97.311</v>
      </c>
      <c r="E214" s="38" t="n">
        <f aca="false">Q!$P$36</f>
        <v>120.691</v>
      </c>
      <c r="F214" s="38" t="n">
        <f aca="false">Sens!$F$190-Sens!$F$211+Sens!$F$212+Sens!$F$213</f>
        <v>56.0316019995185</v>
      </c>
      <c r="G214" s="38" t="n">
        <f aca="false">Sens!$E$214+Sens!$F$214</f>
        <v>176.722601999518</v>
      </c>
      <c r="H214" s="38" t="n">
        <f aca="false">Sens!$H$190-Sens!$H$211+Sens!$H$212+Sens!$H$213</f>
        <v>127.892977696936</v>
      </c>
      <c r="I214" s="38" t="n">
        <f aca="false">Sens!$I$190-Sens!$I$211+Sens!$I$212+Sens!$I$213</f>
        <v>145.059971464568</v>
      </c>
      <c r="J214" s="38" t="n">
        <f aca="false">Sens!$J$190-Sens!$J$211+Sens!$J$212+Sens!$J$213</f>
        <v>162.301047638521</v>
      </c>
      <c r="K214" s="38" t="n">
        <f aca="false">Sens!$K$190-Sens!$K$211+Sens!$K$212+Sens!$K$213</f>
        <v>174.811068079608</v>
      </c>
      <c r="L214" s="38" t="n">
        <f aca="false">Sens!$L$190-Sens!$L$211+Sens!$L$212+Sens!$L$213</f>
        <v>190.599438342064</v>
      </c>
      <c r="M214" s="38" t="n">
        <f aca="false">Sens!$M$190-Sens!$M$211+Sens!$M$212+Sens!$M$213</f>
        <v>208.094988213801</v>
      </c>
      <c r="N214" s="38" t="n">
        <f aca="false">Q!$N$36</f>
        <v>42.536</v>
      </c>
      <c r="O214" s="38" t="n">
        <f aca="false">Q!$O$36</f>
        <v>54.775</v>
      </c>
    </row>
    <row r="215" customFormat="false" ht="15" hidden="false" customHeight="false" outlineLevel="0" collapsed="false">
      <c r="A215" s="5" t="s">
        <v>548</v>
      </c>
      <c r="B215" s="0" t="s">
        <v>86</v>
      </c>
      <c r="C215" s="38" t="n">
        <f aca="false">Q!$D$37</f>
        <v>9.265</v>
      </c>
      <c r="D215" s="38" t="n">
        <f aca="false">Q!$E$37</f>
        <v>19.087</v>
      </c>
      <c r="E215" s="38" t="n">
        <f aca="false">Q!$P$37</f>
        <v>27.759</v>
      </c>
      <c r="F215" s="38" t="n">
        <f aca="false">Sens!$F$214*tax</f>
        <v>9.72621910890414</v>
      </c>
      <c r="G215" s="38" t="n">
        <f aca="false">Sens!$E$215+Sens!$F$215</f>
        <v>37.4852191089041</v>
      </c>
      <c r="H215" s="38" t="n">
        <f aca="false">Sens!$H$214*tax</f>
        <v>22.2002419916761</v>
      </c>
      <c r="I215" s="38" t="n">
        <f aca="false">Sens!$I$214*tax</f>
        <v>25.1801664783365</v>
      </c>
      <c r="J215" s="38" t="n">
        <f aca="false">Sens!$J$214*tax</f>
        <v>28.1729505244292</v>
      </c>
      <c r="K215" s="38" t="n">
        <f aca="false">Sens!$K$214*tax</f>
        <v>30.3444965007146</v>
      </c>
      <c r="L215" s="38" t="n">
        <f aca="false">Sens!$L$214*tax</f>
        <v>33.0851132788405</v>
      </c>
      <c r="M215" s="38" t="n">
        <f aca="false">Sens!$M$214*tax</f>
        <v>36.1220700213006</v>
      </c>
      <c r="N215" s="38" t="n">
        <f aca="false">Q!$N$37</f>
        <v>7.231</v>
      </c>
      <c r="O215" s="38" t="n">
        <f aca="false">Q!$O$37</f>
        <v>11.856</v>
      </c>
    </row>
    <row r="216" customFormat="false" ht="15" hidden="false" customHeight="false" outlineLevel="0" collapsed="false">
      <c r="A216" s="3" t="s">
        <v>549</v>
      </c>
      <c r="B216" s="8" t="s">
        <v>86</v>
      </c>
      <c r="C216" s="38" t="n">
        <f aca="false">Q!$D$38</f>
        <v>59.248</v>
      </c>
      <c r="D216" s="38" t="n">
        <f aca="false">Q!$E$38</f>
        <v>77.67</v>
      </c>
      <c r="E216" s="38" t="n">
        <f aca="false">Q!$P$38</f>
        <v>92.902</v>
      </c>
      <c r="F216" s="38" t="n">
        <f aca="false">Sens!$F$214-Sens!$F$215</f>
        <v>46.3053828906144</v>
      </c>
      <c r="G216" s="38" t="n">
        <f aca="false">Sens!$E$216+Sens!$F$216</f>
        <v>139.207382890614</v>
      </c>
      <c r="H216" s="38" t="n">
        <f aca="false">Sens!$H$214-Sens!$H$215</f>
        <v>105.69273570526</v>
      </c>
      <c r="I216" s="38" t="n">
        <f aca="false">Sens!$I$214-Sens!$I$215</f>
        <v>119.879804986231</v>
      </c>
      <c r="J216" s="38" t="n">
        <f aca="false">Sens!$J$214-Sens!$J$215</f>
        <v>134.128097114092</v>
      </c>
      <c r="K216" s="38" t="n">
        <f aca="false">Sens!$K$214-Sens!$K$215</f>
        <v>144.466571578893</v>
      </c>
      <c r="L216" s="38" t="n">
        <f aca="false">Sens!$L$214-Sens!$L$215</f>
        <v>157.514325063223</v>
      </c>
      <c r="M216" s="38" t="n">
        <f aca="false">Sens!$M$214-Sens!$M$215</f>
        <v>171.9729181925</v>
      </c>
      <c r="N216" s="38" t="n">
        <f aca="false">Q!$N$38</f>
        <v>35.291</v>
      </c>
      <c r="O216" s="38" t="n">
        <f aca="false">Q!$O$38</f>
        <v>42.379</v>
      </c>
    </row>
    <row r="217" customFormat="false" ht="17.15" hidden="false" customHeight="false" outlineLevel="0" collapsed="false">
      <c r="A217" s="5" t="s">
        <v>552</v>
      </c>
      <c r="B217" s="5" t="s">
        <v>33</v>
      </c>
      <c r="C217" s="22" t="n">
        <f aca="false">Q!$D$41</f>
        <v>10.721</v>
      </c>
      <c r="D217" s="22" t="n">
        <f aca="false">Q!$E$41</f>
        <v>10.827</v>
      </c>
      <c r="E217" s="22" t="n">
        <f aca="false">(Q!$L$41+Q!$M$41)/2</f>
        <v>10.8885</v>
      </c>
      <c r="F217" s="22" t="n">
        <f aca="false">Sens!$G$217</f>
        <v>10.924806</v>
      </c>
      <c r="G217" s="22" t="n">
        <f aca="false">Q!$M$41*(1+sh_g*0.25)</f>
        <v>10.924806</v>
      </c>
      <c r="H217" s="22" t="n">
        <f aca="false">Sens!$G$217*(1+sh_g)</f>
        <v>11.012204448</v>
      </c>
      <c r="I217" s="22" t="n">
        <f aca="false">Sens!$H$217*(1+sh_g)</f>
        <v>11.100302083584</v>
      </c>
      <c r="J217" s="22" t="n">
        <f aca="false">Sens!$I$217*(1+sh_g)</f>
        <v>11.1891045002527</v>
      </c>
      <c r="K217" s="22" t="n">
        <f aca="false">Sens!$J$217*(1+sh_g)</f>
        <v>11.2786173362547</v>
      </c>
      <c r="L217" s="22" t="n">
        <f aca="false">Sens!$K$217*(1+sh_g)</f>
        <v>11.3688462749447</v>
      </c>
      <c r="M217" s="22" t="n">
        <f aca="false">Sens!$L$217*(1+sh_g)</f>
        <v>11.4597970451443</v>
      </c>
      <c r="P217" s="5" t="s">
        <v>755</v>
      </c>
    </row>
    <row r="218" customFormat="false" ht="17.15" hidden="false" customHeight="false" outlineLevel="0" collapsed="false">
      <c r="A218" s="5" t="s">
        <v>756</v>
      </c>
      <c r="B218" s="0" t="s">
        <v>86</v>
      </c>
      <c r="C218" s="38" t="n">
        <f aca="false">Sens!$C$216+Sens!$C$192*(1-tax)</f>
        <v>59.248</v>
      </c>
      <c r="D218" s="38" t="n">
        <f aca="false">Sens!$D$216+Sens!$D$192*(1-tax)</f>
        <v>77.67</v>
      </c>
      <c r="E218" s="38" t="n">
        <f aca="false">Sens!$E$216+Sens!$E$192*(1-tax)</f>
        <v>92.902</v>
      </c>
      <c r="F218" s="38" t="n">
        <f aca="false">Sens!$F$216+Sens!$F$192*(1-tax)</f>
        <v>49.421977850263</v>
      </c>
      <c r="G218" s="38" t="n">
        <f aca="false">Sens!$G$216+Sens!$G$192*(1-tax)</f>
        <v>142.323977850263</v>
      </c>
      <c r="H218" s="38" t="n">
        <f aca="false">Sens!$H$216+Sens!$H$192*(1-tax)</f>
        <v>118.224131660605</v>
      </c>
      <c r="I218" s="38" t="n">
        <f aca="false">Sens!$I$216+Sens!$I$192*(1-tax)</f>
        <v>141.02107006117</v>
      </c>
      <c r="J218" s="38" t="n">
        <f aca="false">Sens!$J$216+Sens!$J$192*(1-tax)</f>
        <v>163.917534058375</v>
      </c>
      <c r="K218" s="38" t="n">
        <f aca="false">Sens!$K$216+Sens!$K$192*(1-tax)</f>
        <v>181.633877275552</v>
      </c>
      <c r="L218" s="38" t="n">
        <f aca="false">Sens!$L$216+Sens!$L$192*(1-tax)</f>
        <v>199.530402403778</v>
      </c>
      <c r="M218" s="38" t="n">
        <f aca="false">Sens!$M$216+Sens!$M$192*(1-tax)</f>
        <v>216.302440383341</v>
      </c>
      <c r="N218" s="38" t="n">
        <f aca="false">Sens!$N$216+Sens!$N$192*(1-tax)</f>
        <v>35.291</v>
      </c>
      <c r="O218" s="38" t="n">
        <f aca="false">Sens!$O$216+Sens!$O$192*(1-tax)</f>
        <v>42.379</v>
      </c>
    </row>
    <row r="219" customFormat="false" ht="17.15" hidden="false" customHeight="false" outlineLevel="0" collapsed="false">
      <c r="A219" s="43" t="s">
        <v>757</v>
      </c>
      <c r="B219" s="14" t="s">
        <v>27</v>
      </c>
      <c r="C219" s="44" t="n">
        <f aca="false">Sens!$C$218/Sens!$C$217</f>
        <v>5.52635015390355</v>
      </c>
      <c r="D219" s="44" t="n">
        <f aca="false">Sens!$D$218/Sens!$D$217</f>
        <v>7.1737323358271</v>
      </c>
      <c r="E219" s="44" t="n">
        <f aca="false">Sens!$E$218/Sens!$E$217</f>
        <v>8.53212104513937</v>
      </c>
      <c r="F219" s="14"/>
      <c r="G219" s="44" t="n">
        <f aca="false">Sens!$G$218/Sens!$G$217</f>
        <v>13.0275977303636</v>
      </c>
      <c r="H219" s="44" t="n">
        <f aca="false">Sens!$H$218/Sens!$H$217</f>
        <v>10.7357370832392</v>
      </c>
      <c r="I219" s="44" t="n">
        <f aca="false">Sens!$I$218/Sens!$I$217</f>
        <v>12.7042551634449</v>
      </c>
      <c r="J219" s="44" t="n">
        <f aca="false">Sens!$J$218/Sens!$J$217</f>
        <v>14.6497455676344</v>
      </c>
      <c r="K219" s="44" t="n">
        <f aca="false">Sens!$K$218/Sens!$K$217</f>
        <v>16.104268090708</v>
      </c>
      <c r="L219" s="44" t="n">
        <f aca="false">Sens!$L$218/Sens!$L$217</f>
        <v>17.5506289361581</v>
      </c>
      <c r="M219" s="44" t="n">
        <f aca="false">Sens!$M$218/Sens!$M$217</f>
        <v>18.8748927691518</v>
      </c>
      <c r="N219" s="14"/>
      <c r="O219" s="14"/>
    </row>
    <row r="220" customFormat="false" ht="17.15" hidden="false" customHeight="false" outlineLevel="0" collapsed="false">
      <c r="A220" s="0" t="s">
        <v>758</v>
      </c>
      <c r="B220" s="0" t="s">
        <v>27</v>
      </c>
      <c r="C220" s="30" t="n">
        <f aca="false">Sens!$C$216/Sens!$C$217</f>
        <v>5.52635015390355</v>
      </c>
      <c r="D220" s="30" t="n">
        <f aca="false">Sens!$D$216/Sens!$D$217</f>
        <v>7.1737323358271</v>
      </c>
      <c r="E220" s="30" t="n">
        <f aca="false">Sens!$E$216/Sens!$E$217</f>
        <v>8.53212104513937</v>
      </c>
      <c r="G220" s="30" t="n">
        <f aca="false">Sens!$G$216/Sens!$G$217</f>
        <v>12.7423208147233</v>
      </c>
      <c r="H220" s="30" t="n">
        <f aca="false">Sens!$H$216/Sens!$H$217</f>
        <v>9.59778182509639</v>
      </c>
      <c r="I220" s="30" t="n">
        <f aca="false">Sens!$I$216/Sens!$I$217</f>
        <v>10.799688520506</v>
      </c>
      <c r="J220" s="30" t="n">
        <f aca="false">Sens!$J$216/Sens!$J$217</f>
        <v>11.9873844337644</v>
      </c>
      <c r="K220" s="30" t="n">
        <f aca="false">Sens!$K$216/Sens!$K$217</f>
        <v>12.8088902453061</v>
      </c>
      <c r="L220" s="30" t="n">
        <f aca="false">Sens!$L$216/Sens!$L$217</f>
        <v>13.8549085152432</v>
      </c>
      <c r="M220" s="30" t="n">
        <f aca="false">Sens!$M$216/Sens!$M$217</f>
        <v>15.0066286091313</v>
      </c>
    </row>
    <row r="221" customFormat="false" ht="17.15" hidden="false" customHeight="false" outlineLevel="0" collapsed="false">
      <c r="A221" s="0" t="s">
        <v>759</v>
      </c>
      <c r="B221" s="0" t="s">
        <v>27</v>
      </c>
      <c r="C221" s="30" t="n">
        <f aca="false">(Sens!$C$216-Sens!$C$213*(1-tax))/Sens!$C$217</f>
        <v>5.33926775917445</v>
      </c>
      <c r="D221" s="30" t="n">
        <f aca="false">(Sens!$D$216-Sens!$D$213*(1-tax))/Sens!$D$217</f>
        <v>5.67691812755503</v>
      </c>
      <c r="E221" s="30" t="n">
        <f aca="false">(Sens!$E$216-Sens!$E$213*(1-tax))/Sens!$E$217</f>
        <v>3.10602057006846</v>
      </c>
      <c r="G221" s="30" t="n">
        <f aca="false">(Sens!$G$216-Sens!$G$213*(1-tax))/Sens!$G$217</f>
        <v>7.33425269682635</v>
      </c>
      <c r="H221" s="30" t="n">
        <f aca="false">(Sens!$H$216-Sens!$H$213*(1-tax))/Sens!$H$217</f>
        <v>9.59778182509639</v>
      </c>
      <c r="I221" s="30" t="n">
        <f aca="false">(Sens!$I$216-Sens!$I$213*(1-tax))/Sens!$I$217</f>
        <v>10.799688520506</v>
      </c>
      <c r="J221" s="30" t="n">
        <f aca="false">(Sens!$J$216-Sens!$J$213*(1-tax))/Sens!$J$217</f>
        <v>11.9873844337644</v>
      </c>
      <c r="K221" s="30" t="n">
        <f aca="false">(Sens!$K$216-Sens!$K$213*(1-tax))/Sens!$K$217</f>
        <v>12.8088902453061</v>
      </c>
      <c r="L221" s="30" t="n">
        <f aca="false">(Sens!$L$216-Sens!$L$213*(1-tax))/Sens!$L$217</f>
        <v>13.8549085152432</v>
      </c>
      <c r="M221" s="30" t="n">
        <f aca="false">(Sens!$M$216-Sens!$M$213*(1-tax))/Sens!$M$217</f>
        <v>15.0066286091313</v>
      </c>
      <c r="P221" s="5" t="s">
        <v>760</v>
      </c>
    </row>
    <row r="222" customFormat="false" ht="17.15" hidden="false" customHeight="false" outlineLevel="0" collapsed="false">
      <c r="A222" s="0" t="s">
        <v>761</v>
      </c>
      <c r="B222" s="0" t="s">
        <v>52</v>
      </c>
      <c r="H222" s="13" t="n">
        <f aca="false">Sens!$H$219/Sens!$G$219-1</f>
        <v>-0.175923504437261</v>
      </c>
      <c r="I222" s="13" t="n">
        <f aca="false">Sens!$I$219/Sens!$H$219-1</f>
        <v>0.183361241519136</v>
      </c>
      <c r="J222" s="13" t="n">
        <f aca="false">Sens!$J$219/Sens!$I$219-1</f>
        <v>0.153136911936991</v>
      </c>
      <c r="K222" s="13" t="n">
        <f aca="false">Sens!$K$219/Sens!$J$219-1</f>
        <v>0.0992865382103958</v>
      </c>
      <c r="L222" s="13" t="n">
        <f aca="false">Sens!$L$219/Sens!$K$219-1</f>
        <v>0.0898122682324627</v>
      </c>
      <c r="M222" s="13" t="n">
        <f aca="false">Sens!$M$219/Sens!$L$219-1</f>
        <v>0.0754539246320329</v>
      </c>
    </row>
    <row r="225" customFormat="false" ht="19.4" hidden="false" customHeight="false" outlineLevel="0" collapsed="false">
      <c r="A225" s="31" t="s">
        <v>1138</v>
      </c>
    </row>
    <row r="226" customFormat="false" ht="17.15" hidden="false" customHeight="false" outlineLevel="0" collapsed="false">
      <c r="A226" s="6" t="s">
        <v>16</v>
      </c>
      <c r="B226" s="6" t="s">
        <v>17</v>
      </c>
      <c r="C226" s="20" t="s">
        <v>497</v>
      </c>
      <c r="D226" s="20" t="s">
        <v>498</v>
      </c>
      <c r="E226" s="20" t="s">
        <v>580</v>
      </c>
      <c r="F226" s="20" t="s">
        <v>581</v>
      </c>
      <c r="G226" s="20" t="s">
        <v>582</v>
      </c>
      <c r="H226" s="20" t="s">
        <v>583</v>
      </c>
      <c r="I226" s="20" t="s">
        <v>584</v>
      </c>
      <c r="J226" s="20" t="s">
        <v>585</v>
      </c>
      <c r="K226" s="20" t="s">
        <v>586</v>
      </c>
      <c r="L226" s="20" t="s">
        <v>587</v>
      </c>
      <c r="M226" s="20" t="s">
        <v>588</v>
      </c>
      <c r="N226" s="20" t="s">
        <v>589</v>
      </c>
      <c r="O226" s="20" t="s">
        <v>590</v>
      </c>
      <c r="P226" s="6" t="s">
        <v>23</v>
      </c>
      <c r="R226" s="20" t="n">
        <v>2023</v>
      </c>
      <c r="S226" s="20" t="n">
        <v>2024</v>
      </c>
      <c r="T226" s="20" t="n">
        <v>2025</v>
      </c>
      <c r="U226" s="20" t="n">
        <v>2026</v>
      </c>
      <c r="V226" s="20" t="n">
        <v>2027</v>
      </c>
      <c r="W226" s="20" t="n">
        <v>2028</v>
      </c>
      <c r="X226" s="20" t="n">
        <v>2029</v>
      </c>
      <c r="Y226" s="20" t="n">
        <v>2030</v>
      </c>
      <c r="Z226" s="20" t="n">
        <v>2031</v>
      </c>
      <c r="AA226" s="20" t="n">
        <v>2032</v>
      </c>
    </row>
    <row r="227" customFormat="false" ht="15" hidden="false" customHeight="false" outlineLevel="0" collapsed="false">
      <c r="A227" s="5" t="s">
        <v>549</v>
      </c>
      <c r="B227" s="0" t="s">
        <v>86</v>
      </c>
      <c r="C227" s="38" t="n">
        <f aca="false">Sens!$C$216</f>
        <v>59.248</v>
      </c>
      <c r="D227" s="38" t="n">
        <f aca="false">Sens!$D$216</f>
        <v>77.67</v>
      </c>
      <c r="E227" s="38" t="n">
        <f aca="false">Sens!$E$216</f>
        <v>92.902</v>
      </c>
      <c r="F227" s="38" t="n">
        <f aca="false">Sens!$F$216</f>
        <v>46.3053828906144</v>
      </c>
      <c r="G227" s="38" t="n">
        <f aca="false">Sens!$G$216</f>
        <v>139.207382890614</v>
      </c>
      <c r="H227" s="38" t="n">
        <f aca="false">Sens!$H$216</f>
        <v>105.69273570526</v>
      </c>
      <c r="I227" s="38" t="n">
        <f aca="false">Sens!$I$216</f>
        <v>119.879804986231</v>
      </c>
      <c r="J227" s="38" t="n">
        <f aca="false">Sens!$J$216</f>
        <v>134.128097114092</v>
      </c>
      <c r="K227" s="38" t="n">
        <f aca="false">Sens!$K$216</f>
        <v>144.466571578893</v>
      </c>
      <c r="L227" s="38" t="n">
        <f aca="false">Sens!$L$216</f>
        <v>157.514325063223</v>
      </c>
      <c r="M227" s="38" t="n">
        <f aca="false">Sens!$M$216</f>
        <v>171.9729181925</v>
      </c>
    </row>
    <row r="228" customFormat="false" ht="17.15" hidden="false" customHeight="false" outlineLevel="0" collapsed="false">
      <c r="A228" s="5" t="s">
        <v>784</v>
      </c>
      <c r="B228" s="0" t="s">
        <v>86</v>
      </c>
      <c r="C228" s="38" t="n">
        <f aca="false">Sens!$C$204</f>
        <v>32.067</v>
      </c>
      <c r="D228" s="38" t="n">
        <f aca="false">Sens!$D$204</f>
        <v>41.86</v>
      </c>
      <c r="E228" s="38" t="n">
        <f aca="false">Sens!$E$204</f>
        <v>26.703</v>
      </c>
      <c r="F228" s="38" t="n">
        <f aca="false">Sens!$F$204</f>
        <v>28.2071421626285</v>
      </c>
      <c r="G228" s="38" t="n">
        <f aca="false">Sens!$G$204</f>
        <v>54.9101421626285</v>
      </c>
      <c r="H228" s="38" t="n">
        <f aca="false">Sens!$H$204</f>
        <v>78.1799395827871</v>
      </c>
      <c r="I228" s="38" t="n">
        <f aca="false">Sens!$I$204</f>
        <v>111.171125554384</v>
      </c>
      <c r="J228" s="38" t="n">
        <f aca="false">Sens!$J$204</f>
        <v>144.884406220971</v>
      </c>
      <c r="K228" s="38" t="n">
        <f aca="false">Sens!$K$204</f>
        <v>178.806419437999</v>
      </c>
      <c r="L228" s="38" t="n">
        <f aca="false">Sens!$L$204</f>
        <v>204.341339029663</v>
      </c>
      <c r="M228" s="38" t="n">
        <f aca="false">Sens!$M$204</f>
        <v>223.130577995387</v>
      </c>
    </row>
    <row r="229" customFormat="false" ht="15" hidden="false" customHeight="false" outlineLevel="0" collapsed="false">
      <c r="A229" s="5" t="s">
        <v>785</v>
      </c>
      <c r="B229" s="0" t="s">
        <v>86</v>
      </c>
      <c r="C229" s="38" t="n">
        <f aca="false">Q!$D$48</f>
        <v>22.011</v>
      </c>
      <c r="D229" s="38" t="n">
        <f aca="false">Q!$E$48</f>
        <v>19.467</v>
      </c>
      <c r="E229" s="38" t="n">
        <f aca="false">Q!$P$48</f>
        <v>10.07</v>
      </c>
      <c r="F229" s="38" t="n">
        <f aca="false">sbc_r*Sens!$F$146</f>
        <v>10.8507035798037</v>
      </c>
      <c r="G229" s="38" t="n">
        <f aca="false">Sens!$E$229+Sens!$F$229</f>
        <v>20.9207035798037</v>
      </c>
      <c r="H229" s="38" t="n">
        <f aca="false">sbc_r*Sens!$H$146</f>
        <v>23.46224366345</v>
      </c>
      <c r="I229" s="38" t="n">
        <f aca="false">sbc_r*Sens!$I$146</f>
        <v>26.6125957111676</v>
      </c>
      <c r="J229" s="38" t="n">
        <f aca="false">sbc_r*Sens!$J$146</f>
        <v>29.6280801413323</v>
      </c>
      <c r="K229" s="38" t="n">
        <f aca="false">sbc_r*Sens!$K$146</f>
        <v>32.2712258901105</v>
      </c>
      <c r="L229" s="38" t="n">
        <f aca="false">sbc_r*Sens!$L$146</f>
        <v>34.7390505016737</v>
      </c>
      <c r="M229" s="38" t="n">
        <f aca="false">sbc_r*Sens!$M$146</f>
        <v>37.0405146906692</v>
      </c>
    </row>
    <row r="230" customFormat="false" ht="17.15" hidden="false" customHeight="false" outlineLevel="0" collapsed="false">
      <c r="A230" s="5" t="s">
        <v>786</v>
      </c>
      <c r="B230" s="0" t="s">
        <v>86</v>
      </c>
      <c r="C230" s="38" t="n">
        <f aca="false">Q!$D$44-Sens!$C$227-Sens!$C$228-Sens!$C$229</f>
        <v>2.551</v>
      </c>
      <c r="D230" s="38" t="n">
        <f aca="false">Q!$E$44-Sens!$D$227-Sens!$D$228-Sens!$D$229</f>
        <v>0.51700000000001</v>
      </c>
      <c r="E230" s="38" t="n">
        <f aca="false">Q!$P$44-Sens!$E$227-Sens!$E$228-Sens!$E$229</f>
        <v>-58.256</v>
      </c>
      <c r="F230" s="38" t="n">
        <f aca="false">oth_r*Sens!$F$146</f>
        <v>5.22265251035878</v>
      </c>
      <c r="G230" s="38" t="n">
        <f aca="false">Sens!$E$230+Sens!$F$230</f>
        <v>-53.0333474896412</v>
      </c>
      <c r="H230" s="38" t="n">
        <f aca="false">oth_r*Sens!$H$146</f>
        <v>11.2928295263397</v>
      </c>
      <c r="I230" s="38" t="n">
        <f aca="false">oth_r*Sens!$I$146</f>
        <v>12.8091546115766</v>
      </c>
      <c r="J230" s="38" t="n">
        <f aca="false">oth_r*Sens!$J$146</f>
        <v>14.2605653162668</v>
      </c>
      <c r="K230" s="38" t="n">
        <f aca="false">oth_r*Sens!$K$146</f>
        <v>15.5327622460396</v>
      </c>
      <c r="L230" s="38" t="n">
        <f aca="false">oth_r*Sens!$L$146</f>
        <v>16.720573737517</v>
      </c>
      <c r="M230" s="38" t="n">
        <f aca="false">oth_r*Sens!$M$146</f>
        <v>17.8283127551536</v>
      </c>
      <c r="P230" s="8" t="s">
        <v>787</v>
      </c>
    </row>
    <row r="231" customFormat="false" ht="15" hidden="false" customHeight="false" outlineLevel="0" collapsed="false">
      <c r="A231" s="3" t="s">
        <v>555</v>
      </c>
      <c r="B231" s="8" t="s">
        <v>86</v>
      </c>
      <c r="C231" s="38" t="n">
        <f aca="false">Q!$D$44</f>
        <v>115.877</v>
      </c>
      <c r="D231" s="38" t="n">
        <f aca="false">Q!$E$44</f>
        <v>139.514</v>
      </c>
      <c r="E231" s="38" t="n">
        <f aca="false">Q!$P$44</f>
        <v>71.419</v>
      </c>
      <c r="F231" s="38" t="n">
        <f aca="false">Sens!$F$227+Sens!$F$228+Sens!$F$229+Sens!$F$230</f>
        <v>90.5858811434053</v>
      </c>
      <c r="G231" s="38" t="n">
        <f aca="false">Sens!$E$231+Sens!$F$231</f>
        <v>162.004881143405</v>
      </c>
      <c r="H231" s="38" t="n">
        <f aca="false">Sens!$H$227+Sens!$H$228+Sens!$H$229+Sens!$H$230</f>
        <v>218.627748477837</v>
      </c>
      <c r="I231" s="38" t="n">
        <f aca="false">Sens!$I$227+Sens!$I$228+Sens!$I$229+Sens!$I$230</f>
        <v>270.47268086336</v>
      </c>
      <c r="J231" s="38" t="n">
        <f aca="false">Sens!$J$227+Sens!$J$228+Sens!$J$229+Sens!$J$230</f>
        <v>322.901148792662</v>
      </c>
      <c r="K231" s="38" t="n">
        <f aca="false">Sens!$K$227+Sens!$K$228+Sens!$K$229+Sens!$K$230</f>
        <v>371.076979153043</v>
      </c>
      <c r="L231" s="38" t="n">
        <f aca="false">Sens!$L$227+Sens!$L$228+Sens!$L$229+Sens!$L$230</f>
        <v>413.315288332076</v>
      </c>
      <c r="M231" s="38" t="n">
        <f aca="false">Sens!$M$227+Sens!$M$228+Sens!$M$229+Sens!$M$230</f>
        <v>449.97232363371</v>
      </c>
    </row>
    <row r="232" customFormat="false" ht="17.15" hidden="false" customHeight="false" outlineLevel="0" collapsed="false">
      <c r="A232" s="5" t="s">
        <v>788</v>
      </c>
      <c r="B232" s="0" t="s">
        <v>86</v>
      </c>
      <c r="C232" s="38" t="n">
        <f aca="false">Sens!$C$113</f>
        <v>25.2781053077374</v>
      </c>
      <c r="D232" s="38" t="n">
        <f aca="false">Sens!$D$113</f>
        <v>69.5686316310026</v>
      </c>
      <c r="E232" s="38" t="n">
        <f aca="false">Sens!$E$113</f>
        <v>64.1899206485108</v>
      </c>
      <c r="F232" s="38" t="n">
        <f aca="false">Sens!$F$113</f>
        <v>96.2481299895</v>
      </c>
      <c r="G232" s="38" t="n">
        <f aca="false">Sens!$G$113</f>
        <v>160.438050638011</v>
      </c>
      <c r="H232" s="38" t="n">
        <f aca="false">Sens!$H$113</f>
        <v>198.57136494475</v>
      </c>
      <c r="I232" s="38" t="n">
        <f aca="false">Sens!$I$113</f>
        <v>204.6464699105</v>
      </c>
      <c r="J232" s="38" t="n">
        <f aca="false">Sens!$J$113</f>
        <v>209.8832381105</v>
      </c>
      <c r="K232" s="38" t="n">
        <f aca="false">Sens!$K$113</f>
        <v>155.238385275201</v>
      </c>
      <c r="L232" s="38" t="n">
        <f aca="false">Sens!$L$113</f>
        <v>132.014141639902</v>
      </c>
      <c r="M232" s="38" t="n">
        <f aca="false">Sens!$M$113</f>
        <v>132.230981659852</v>
      </c>
    </row>
    <row r="233" customFormat="false" ht="17.15" hidden="false" customHeight="false" outlineLevel="0" collapsed="false">
      <c r="A233" s="5" t="s">
        <v>789</v>
      </c>
      <c r="B233" s="0" t="s">
        <v>86</v>
      </c>
      <c r="C233" s="38" t="n">
        <f aca="false">cx_awso*Sens!$C$144</f>
        <v>21.0469989286053</v>
      </c>
      <c r="D233" s="38" t="n">
        <f aca="false">cx_awso*Sens!$D$144</f>
        <v>24.0042459822698</v>
      </c>
      <c r="E233" s="38" t="n">
        <f aca="false">cx_awso*Sens!$E$144</f>
        <v>14.261729404886</v>
      </c>
      <c r="F233" s="38" t="n">
        <f aca="false">cx_awso*Sens!$F$144</f>
        <v>14.3538599588493</v>
      </c>
      <c r="G233" s="38" t="n">
        <f aca="false">Sens!$E$233+Sens!$F$233</f>
        <v>28.6155893637353</v>
      </c>
      <c r="H233" s="38" t="n">
        <f aca="false">cx_awso*Sens!$H$144</f>
        <v>32.2034154158406</v>
      </c>
      <c r="I233" s="38" t="n">
        <f aca="false">cx_awso*Sens!$I$144</f>
        <v>35.7539519042915</v>
      </c>
      <c r="J233" s="38" t="n">
        <f aca="false">cx_awso*Sens!$J$144</f>
        <v>39.1551076091815</v>
      </c>
      <c r="K233" s="38" t="n">
        <f aca="false">cx_awso*Sens!$K$144</f>
        <v>42.287516217916</v>
      </c>
      <c r="L233" s="38" t="n">
        <f aca="false">cx_awso*Sens!$L$144</f>
        <v>45.6705175153492</v>
      </c>
      <c r="M233" s="38" t="n">
        <f aca="false">cx_awso*Sens!$M$144</f>
        <v>49.3241589165772</v>
      </c>
    </row>
    <row r="234" customFormat="false" ht="17.15" hidden="false" customHeight="false" outlineLevel="0" collapsed="false">
      <c r="A234" s="5" t="s">
        <v>790</v>
      </c>
      <c r="B234" s="0" t="s">
        <v>86</v>
      </c>
      <c r="C234" s="38" t="n">
        <f aca="false">Q!$D$46-Sens!$C$232-Sens!$C$233</f>
        <v>31.3328957636573</v>
      </c>
      <c r="D234" s="38" t="n">
        <f aca="false">Q!$E$46-Sens!$D$232-Sens!$D$233</f>
        <v>34.7471223867276</v>
      </c>
      <c r="E234" s="38" t="n">
        <f aca="false">Q!$P$46-Sens!$E$232-Sens!$E$233</f>
        <v>17.8583499466032</v>
      </c>
      <c r="F234" s="38" t="n">
        <f aca="false">cx_rt*Sens!$F$76</f>
        <v>20.6195895799373</v>
      </c>
      <c r="G234" s="38" t="n">
        <f aca="false">Sens!$E$234+Sens!$F$234</f>
        <v>38.4779395265405</v>
      </c>
      <c r="H234" s="38" t="n">
        <f aca="false">cx_rt*Sens!$H$76</f>
        <v>42.5978994743075</v>
      </c>
      <c r="I234" s="38" t="n">
        <f aca="false">cx_rt*Sens!$I$76</f>
        <v>46.5813904136335</v>
      </c>
      <c r="J234" s="38" t="n">
        <f aca="false">cx_rt*Sens!$J$76</f>
        <v>50.2781676586844</v>
      </c>
      <c r="K234" s="38" t="n">
        <f aca="false">cx_rt*Sens!$K$76</f>
        <v>53.5312440191755</v>
      </c>
      <c r="L234" s="38" t="n">
        <f aca="false">cx_rt*Sens!$L$76</f>
        <v>57.0116717051447</v>
      </c>
      <c r="M234" s="38" t="n">
        <f aca="false">cx_rt*Sens!$M$76</f>
        <v>60.7365554669226</v>
      </c>
    </row>
    <row r="235" customFormat="false" ht="15" hidden="false" customHeight="false" outlineLevel="0" collapsed="false">
      <c r="A235" s="3" t="s">
        <v>791</v>
      </c>
      <c r="B235" s="8" t="s">
        <v>86</v>
      </c>
      <c r="C235" s="38" t="n">
        <f aca="false">Q!$D$46</f>
        <v>77.658</v>
      </c>
      <c r="D235" s="38" t="n">
        <f aca="false">Q!$E$46</f>
        <v>128.32</v>
      </c>
      <c r="E235" s="38" t="n">
        <f aca="false">Q!$P$46</f>
        <v>96.31</v>
      </c>
      <c r="F235" s="38" t="n">
        <f aca="false">Sens!$F$232+Sens!$F$233+Sens!$F$234</f>
        <v>131.221579528287</v>
      </c>
      <c r="G235" s="38" t="n">
        <f aca="false">Sens!$E$235+Sens!$F$235</f>
        <v>227.531579528287</v>
      </c>
      <c r="H235" s="38" t="n">
        <f aca="false">Sens!$H$232+Sens!$H$233+Sens!$H$234</f>
        <v>273.372679834898</v>
      </c>
      <c r="I235" s="38" t="n">
        <f aca="false">Sens!$I$232+Sens!$I$233+Sens!$I$234</f>
        <v>286.981812228425</v>
      </c>
      <c r="J235" s="38" t="n">
        <f aca="false">Sens!$J$232+Sens!$J$233+Sens!$J$234</f>
        <v>299.316513378366</v>
      </c>
      <c r="K235" s="38" t="n">
        <f aca="false">Sens!$K$232+Sens!$K$233+Sens!$K$234</f>
        <v>251.057145512292</v>
      </c>
      <c r="L235" s="38" t="n">
        <f aca="false">Sens!$L$232+Sens!$L$233+Sens!$L$234</f>
        <v>234.696330860396</v>
      </c>
      <c r="M235" s="38" t="n">
        <f aca="false">Sens!$M$232+Sens!$M$233+Sens!$M$234</f>
        <v>242.291696043352</v>
      </c>
    </row>
    <row r="236" customFormat="false" ht="17.15" hidden="false" customHeight="false" outlineLevel="0" collapsed="false">
      <c r="A236" s="5" t="s">
        <v>563</v>
      </c>
      <c r="B236" s="0" t="s">
        <v>86</v>
      </c>
      <c r="C236" s="38" t="n">
        <f aca="false">Q!$D$50</f>
        <v>2.043</v>
      </c>
      <c r="D236" s="38" t="n">
        <f aca="false">Q!$E$50</f>
        <v>1.557</v>
      </c>
      <c r="E236" s="38" t="n">
        <f aca="false">lease_pr/2</f>
        <v>0.8</v>
      </c>
      <c r="F236" s="38" t="n">
        <f aca="false">lease_pr/2</f>
        <v>0.8</v>
      </c>
      <c r="G236" s="38" t="n">
        <f aca="false">Sens!$E$236+Sens!$F$236</f>
        <v>1.6</v>
      </c>
      <c r="H236" s="38" t="n">
        <f aca="false">lease_pr</f>
        <v>1.6</v>
      </c>
      <c r="I236" s="38" t="n">
        <f aca="false">lease_pr</f>
        <v>1.6</v>
      </c>
      <c r="J236" s="38" t="n">
        <f aca="false">lease_pr</f>
        <v>1.6</v>
      </c>
      <c r="K236" s="38" t="n">
        <f aca="false">lease_pr</f>
        <v>1.6</v>
      </c>
      <c r="L236" s="38" t="n">
        <f aca="false">lease_pr</f>
        <v>1.6</v>
      </c>
      <c r="M236" s="38" t="n">
        <f aca="false">lease_pr</f>
        <v>1.6</v>
      </c>
      <c r="P236" s="8" t="s">
        <v>792</v>
      </c>
    </row>
    <row r="237" customFormat="false" ht="15" hidden="false" customHeight="false" outlineLevel="0" collapsed="false">
      <c r="A237" s="47" t="s">
        <v>793</v>
      </c>
      <c r="B237" s="14" t="s">
        <v>86</v>
      </c>
      <c r="C237" s="48" t="n">
        <f aca="false">Sens!$C$231-Sens!$C$235-Sens!$C$236</f>
        <v>36.176</v>
      </c>
      <c r="D237" s="48" t="n">
        <f aca="false">Sens!$D$231-Sens!$D$235-Sens!$D$236</f>
        <v>9.63700000000002</v>
      </c>
      <c r="E237" s="48" t="n">
        <f aca="false">Sens!$E$231-Sens!$E$235-Sens!$E$236</f>
        <v>-25.691</v>
      </c>
      <c r="F237" s="48" t="n">
        <f aca="false">Sens!$F$231-Sens!$F$235-Sens!$F$236</f>
        <v>-41.4356983848813</v>
      </c>
      <c r="G237" s="48" t="n">
        <f aca="false">Sens!$G$231-Sens!$G$235-Sens!$G$236</f>
        <v>-67.1266983848813</v>
      </c>
      <c r="H237" s="48" t="n">
        <f aca="false">Sens!$H$231-Sens!$H$235-Sens!$H$236</f>
        <v>-56.3449313570613</v>
      </c>
      <c r="I237" s="48" t="n">
        <f aca="false">Sens!$I$231-Sens!$I$235-Sens!$I$236</f>
        <v>-18.1091313650653</v>
      </c>
      <c r="J237" s="48" t="n">
        <f aca="false">Sens!$J$231-Sens!$J$235-Sens!$J$236</f>
        <v>21.9846354142961</v>
      </c>
      <c r="K237" s="48" t="n">
        <f aca="false">Sens!$K$231-Sens!$K$235-Sens!$K$236</f>
        <v>118.41983364075</v>
      </c>
      <c r="L237" s="48" t="n">
        <f aca="false">Sens!$L$231-Sens!$L$235-Sens!$L$236</f>
        <v>177.018957471681</v>
      </c>
      <c r="M237" s="48" t="n">
        <f aca="false">Sens!$M$231-Sens!$M$235-Sens!$M$236</f>
        <v>206.080627590357</v>
      </c>
      <c r="N237" s="14"/>
      <c r="O237" s="14"/>
    </row>
    <row r="238" customFormat="false" ht="17.15" hidden="false" customHeight="false" outlineLevel="0" collapsed="false">
      <c r="A238" s="5" t="s">
        <v>794</v>
      </c>
      <c r="B238" s="0" t="s">
        <v>86</v>
      </c>
      <c r="C238" s="38" t="n">
        <f aca="false">dps*Sens!$C$217</f>
        <v>0</v>
      </c>
      <c r="D238" s="38" t="n">
        <f aca="false">dps*Sens!$D$217</f>
        <v>0</v>
      </c>
      <c r="E238" s="38" t="n">
        <f aca="false">dps*Sens!$E$217</f>
        <v>0</v>
      </c>
      <c r="F238" s="38" t="n">
        <f aca="false">0</f>
        <v>0</v>
      </c>
      <c r="G238" s="38" t="n">
        <f aca="false">dps*Sens!$G$217</f>
        <v>0</v>
      </c>
      <c r="H238" s="38" t="n">
        <f aca="false">dps*Sens!$H$217</f>
        <v>0</v>
      </c>
      <c r="I238" s="38" t="n">
        <f aca="false">dps*Sens!$I$217</f>
        <v>0</v>
      </c>
      <c r="J238" s="38" t="n">
        <f aca="false">dps*Sens!$J$217</f>
        <v>0</v>
      </c>
      <c r="K238" s="38" t="n">
        <f aca="false">dps*Sens!$K$217</f>
        <v>0</v>
      </c>
      <c r="L238" s="38" t="n">
        <f aca="false">dps*Sens!$L$217</f>
        <v>0</v>
      </c>
      <c r="M238" s="38" t="n">
        <f aca="false">dps*Sens!$M$217</f>
        <v>0</v>
      </c>
      <c r="P238" s="8" t="s">
        <v>795</v>
      </c>
    </row>
    <row r="239" customFormat="false" ht="17.15" hidden="false" customHeight="false" outlineLevel="0" collapsed="false">
      <c r="A239" s="5" t="s">
        <v>796</v>
      </c>
      <c r="B239" s="0" t="s">
        <v>86</v>
      </c>
      <c r="C239" s="38" t="n">
        <f aca="false">0</f>
        <v>0</v>
      </c>
      <c r="D239" s="38" t="n">
        <f aca="false">0</f>
        <v>0</v>
      </c>
      <c r="E239" s="38" t="n">
        <f aca="false">0</f>
        <v>0</v>
      </c>
      <c r="F239" s="38" t="n">
        <f aca="false">0</f>
        <v>0</v>
      </c>
      <c r="G239" s="38" t="n">
        <f aca="false">0</f>
        <v>0</v>
      </c>
      <c r="H239" s="38" t="n">
        <f aca="false">0</f>
        <v>0</v>
      </c>
      <c r="I239" s="38" t="n">
        <f aca="false">0</f>
        <v>0</v>
      </c>
      <c r="J239" s="38" t="n">
        <f aca="false">0</f>
        <v>0</v>
      </c>
      <c r="K239" s="38" t="n">
        <f aca="false">0</f>
        <v>0</v>
      </c>
      <c r="L239" s="38" t="n">
        <f aca="false">0</f>
        <v>0</v>
      </c>
      <c r="M239" s="38" t="n">
        <f aca="false">0</f>
        <v>0</v>
      </c>
      <c r="P239" s="8" t="s">
        <v>797</v>
      </c>
    </row>
    <row r="240" customFormat="false" ht="15" hidden="false" customHeight="false" outlineLevel="0" collapsed="false">
      <c r="A240" s="3" t="s">
        <v>798</v>
      </c>
      <c r="B240" s="8" t="s">
        <v>86</v>
      </c>
      <c r="C240" s="38" t="n">
        <f aca="false">Sens!$C$237-Sens!$C$238</f>
        <v>36.176</v>
      </c>
      <c r="D240" s="38" t="n">
        <f aca="false">Sens!$D$237-Sens!$D$238</f>
        <v>9.63700000000002</v>
      </c>
      <c r="E240" s="38" t="n">
        <f aca="false">Sens!$E$237-Sens!$E$238</f>
        <v>-25.691</v>
      </c>
      <c r="F240" s="38" t="n">
        <f aca="false">Sens!$F$237-Sens!$F$238</f>
        <v>-41.4356983848813</v>
      </c>
      <c r="G240" s="38" t="n">
        <f aca="false">Sens!$G$237-Sens!$G$238</f>
        <v>-67.1266983848813</v>
      </c>
      <c r="H240" s="38" t="n">
        <f aca="false">Sens!$H$237-Sens!$H$238</f>
        <v>-56.3449313570613</v>
      </c>
      <c r="I240" s="38" t="n">
        <f aca="false">Sens!$I$237-Sens!$I$238</f>
        <v>-18.1091313650653</v>
      </c>
      <c r="J240" s="38" t="n">
        <f aca="false">Sens!$J$237-Sens!$J$238</f>
        <v>21.9846354142961</v>
      </c>
      <c r="K240" s="38" t="n">
        <f aca="false">Sens!$K$237-Sens!$K$238</f>
        <v>118.41983364075</v>
      </c>
      <c r="L240" s="38" t="n">
        <f aca="false">Sens!$L$237-Sens!$L$238</f>
        <v>177.018957471681</v>
      </c>
      <c r="M240" s="38" t="n">
        <f aca="false">Sens!$M$237-Sens!$M$238</f>
        <v>206.080627590357</v>
      </c>
    </row>
    <row r="241" customFormat="false" ht="17.15" hidden="false" customHeight="false" outlineLevel="0" collapsed="false">
      <c r="A241" s="5" t="s">
        <v>799</v>
      </c>
      <c r="B241" s="0" t="s">
        <v>86</v>
      </c>
      <c r="E241" s="38" t="n">
        <f aca="false">Q!$P$53</f>
        <v>39.767</v>
      </c>
      <c r="F241" s="38" t="n">
        <f aca="false">inv_2h26</f>
        <v>21.3</v>
      </c>
      <c r="G241" s="38" t="n">
        <f aca="false">Sens!$E$241+Sens!$F$241</f>
        <v>61.067</v>
      </c>
      <c r="H241" s="39" t="n">
        <v>0</v>
      </c>
      <c r="I241" s="39" t="n">
        <v>0</v>
      </c>
      <c r="J241" s="39" t="n">
        <v>0</v>
      </c>
      <c r="K241" s="39" t="n">
        <v>0</v>
      </c>
      <c r="L241" s="39" t="n">
        <v>0</v>
      </c>
      <c r="M241" s="39" t="n">
        <v>0</v>
      </c>
    </row>
    <row r="242" customFormat="false" ht="17.15" hidden="false" customHeight="false" outlineLevel="0" collapsed="false">
      <c r="A242" s="5" t="s">
        <v>800</v>
      </c>
      <c r="B242" s="0" t="s">
        <v>86</v>
      </c>
      <c r="F242" s="38" t="n">
        <f aca="false">iss_2h26</f>
        <v>29.249999</v>
      </c>
      <c r="G242" s="38" t="n">
        <f aca="false">Sens!$F$242</f>
        <v>29.249999</v>
      </c>
      <c r="H242" s="39" t="n">
        <v>0</v>
      </c>
      <c r="I242" s="39" t="n">
        <v>0</v>
      </c>
      <c r="J242" s="39" t="n">
        <v>0</v>
      </c>
      <c r="K242" s="39" t="n">
        <v>0</v>
      </c>
      <c r="L242" s="39" t="n">
        <v>0</v>
      </c>
      <c r="M242" s="39" t="n">
        <v>0</v>
      </c>
    </row>
    <row r="243" customFormat="false" ht="17.15" hidden="false" customHeight="false" outlineLevel="0" collapsed="false">
      <c r="A243" s="5" t="s">
        <v>801</v>
      </c>
      <c r="B243" s="0" t="s">
        <v>86</v>
      </c>
      <c r="F243" s="38" t="n">
        <f aca="false">cash_q2</f>
        <v>122.988</v>
      </c>
      <c r="G243" s="38" t="n">
        <f aca="false">cash_q2</f>
        <v>122.988</v>
      </c>
      <c r="H243" s="38" t="n">
        <f aca="false">Sens!$G$246</f>
        <v>89.5023006151187</v>
      </c>
      <c r="I243" s="38" t="n">
        <f aca="false">Sens!$H$246</f>
        <v>50</v>
      </c>
      <c r="J243" s="38" t="n">
        <f aca="false">Sens!$I$246</f>
        <v>50</v>
      </c>
      <c r="K243" s="38" t="n">
        <f aca="false">Sens!$J$246</f>
        <v>71.9846354142962</v>
      </c>
      <c r="L243" s="38" t="n">
        <f aca="false">Sens!$K$246</f>
        <v>190.404469055046</v>
      </c>
      <c r="M243" s="38" t="n">
        <f aca="false">Sens!$L$246</f>
        <v>367.423426526727</v>
      </c>
    </row>
    <row r="244" customFormat="false" ht="15" hidden="false" customHeight="false" outlineLevel="0" collapsed="false">
      <c r="A244" s="5" t="s">
        <v>802</v>
      </c>
      <c r="B244" s="0" t="s">
        <v>86</v>
      </c>
      <c r="F244" s="38" t="n">
        <f aca="false">Sens!$F$243+Sens!$F$240-Sens!$F$239-Sens!$F$241+Sens!$F$242</f>
        <v>89.5023006151187</v>
      </c>
      <c r="H244" s="38" t="n">
        <f aca="false">Sens!$H$243+Sens!$H$240-Sens!$H$239-Sens!$H$241+Sens!$H$242</f>
        <v>33.1573692580575</v>
      </c>
      <c r="I244" s="38" t="n">
        <f aca="false">Sens!$I$243+Sens!$I$240-Sens!$I$239-Sens!$I$241+Sens!$I$242</f>
        <v>31.8908686349347</v>
      </c>
      <c r="J244" s="38" t="n">
        <f aca="false">Sens!$J$243+Sens!$J$240-Sens!$J$239-Sens!$J$241+Sens!$J$242</f>
        <v>71.9846354142962</v>
      </c>
      <c r="K244" s="38" t="n">
        <f aca="false">Sens!$K$243+Sens!$K$240-Sens!$K$239-Sens!$K$241+Sens!$K$242</f>
        <v>190.404469055046</v>
      </c>
      <c r="L244" s="38" t="n">
        <f aca="false">Sens!$L$243+Sens!$L$240-Sens!$L$239-Sens!$L$241+Sens!$L$242</f>
        <v>367.423426526727</v>
      </c>
      <c r="M244" s="38" t="n">
        <f aca="false">Sens!$M$243+Sens!$M$240-Sens!$M$239-Sens!$M$241+Sens!$M$242</f>
        <v>573.504054117085</v>
      </c>
    </row>
    <row r="245" customFormat="false" ht="17.15" hidden="false" customHeight="false" outlineLevel="0" collapsed="false">
      <c r="A245" s="5" t="s">
        <v>803</v>
      </c>
      <c r="B245" s="0" t="s">
        <v>86</v>
      </c>
      <c r="F245" s="38" t="n">
        <f aca="false">MAX(0,min_cash-Sens!$F$244)</f>
        <v>0</v>
      </c>
      <c r="G245" s="38" t="n">
        <f aca="false">Sens!$F$245</f>
        <v>0</v>
      </c>
      <c r="H245" s="38" t="n">
        <f aca="false">MAX(0,min_cash-Sens!$H$244)</f>
        <v>16.8426307419426</v>
      </c>
      <c r="I245" s="38" t="n">
        <f aca="false">MAX(0,min_cash-Sens!$I$244)</f>
        <v>18.1091313650653</v>
      </c>
      <c r="J245" s="38" t="n">
        <f aca="false">MAX(0,min_cash-Sens!$J$244)</f>
        <v>0</v>
      </c>
      <c r="K245" s="38" t="n">
        <f aca="false">MAX(0,min_cash-Sens!$K$244)</f>
        <v>0</v>
      </c>
      <c r="L245" s="38" t="n">
        <f aca="false">MAX(0,min_cash-Sens!$L$244)</f>
        <v>0</v>
      </c>
      <c r="M245" s="38" t="n">
        <f aca="false">MAX(0,min_cash-Sens!$M$244)</f>
        <v>0</v>
      </c>
      <c r="P245" s="5" t="s">
        <v>804</v>
      </c>
    </row>
    <row r="246" customFormat="false" ht="15" hidden="false" customHeight="false" outlineLevel="0" collapsed="false">
      <c r="A246" s="5" t="s">
        <v>805</v>
      </c>
      <c r="B246" s="0" t="s">
        <v>86</v>
      </c>
      <c r="D246" s="38" t="n">
        <f aca="false">Q!$E$61</f>
        <v>123.029</v>
      </c>
      <c r="E246" s="38" t="n">
        <f aca="false">Q!$M$61</f>
        <v>122.988</v>
      </c>
      <c r="F246" s="38" t="n">
        <f aca="false">Sens!$F$244+Sens!$F$245</f>
        <v>89.5023006151187</v>
      </c>
      <c r="G246" s="38" t="n">
        <f aca="false">Sens!$F$246</f>
        <v>89.5023006151187</v>
      </c>
      <c r="H246" s="38" t="n">
        <f aca="false">Sens!$H$244+Sens!$H$245</f>
        <v>50</v>
      </c>
      <c r="I246" s="38" t="n">
        <f aca="false">Sens!$I$244+Sens!$I$245</f>
        <v>50</v>
      </c>
      <c r="J246" s="38" t="n">
        <f aca="false">Sens!$J$244+Sens!$J$245</f>
        <v>71.9846354142962</v>
      </c>
      <c r="K246" s="38" t="n">
        <f aca="false">Sens!$K$244+Sens!$K$245</f>
        <v>190.404469055046</v>
      </c>
      <c r="L246" s="38" t="n">
        <f aca="false">Sens!$L$244+Sens!$L$245</f>
        <v>367.423426526727</v>
      </c>
      <c r="M246" s="38" t="n">
        <f aca="false">Sens!$M$244+Sens!$M$245</f>
        <v>573.504054117085</v>
      </c>
    </row>
    <row r="247" customFormat="false" ht="15" hidden="false" customHeight="false" outlineLevel="0" collapsed="false">
      <c r="A247" s="5" t="s">
        <v>806</v>
      </c>
      <c r="B247" s="0" t="s">
        <v>86</v>
      </c>
      <c r="D247" s="38" t="n">
        <f aca="false">Q!$E$62</f>
        <v>68.836</v>
      </c>
      <c r="E247" s="38" t="n">
        <f aca="false">Q!$M$62</f>
        <v>132.995</v>
      </c>
      <c r="F247" s="38" t="n">
        <f aca="false">debt_q2+Sens!$F$242+Sens!$F$245</f>
        <v>162.244999</v>
      </c>
      <c r="G247" s="38" t="n">
        <f aca="false">Sens!$F$247</f>
        <v>162.244999</v>
      </c>
      <c r="H247" s="38" t="n">
        <f aca="false">Sens!$G$247+Sens!$H$245</f>
        <v>179.087629741943</v>
      </c>
      <c r="I247" s="38" t="n">
        <f aca="false">Sens!$H$247+Sens!$I$245</f>
        <v>197.196761107008</v>
      </c>
      <c r="J247" s="38" t="n">
        <f aca="false">Sens!$I$247+Sens!$J$245</f>
        <v>197.196761107008</v>
      </c>
      <c r="K247" s="38" t="n">
        <f aca="false">Sens!$J$247+Sens!$K$245</f>
        <v>197.196761107008</v>
      </c>
      <c r="L247" s="38" t="n">
        <f aca="false">Sens!$K$247+Sens!$L$245</f>
        <v>197.196761107008</v>
      </c>
      <c r="M247" s="38" t="n">
        <f aca="false">Sens!$L$247+Sens!$M$245</f>
        <v>197.196761107008</v>
      </c>
    </row>
    <row r="248" customFormat="false" ht="15" hidden="false" customHeight="false" outlineLevel="0" collapsed="false">
      <c r="A248" s="5" t="s">
        <v>807</v>
      </c>
      <c r="B248" s="0" t="s">
        <v>86</v>
      </c>
      <c r="D248" s="38" t="n">
        <f aca="false">Sens!$D$247-Sens!$D$246</f>
        <v>-54.193</v>
      </c>
      <c r="E248" s="38" t="n">
        <f aca="false">Sens!$E$247-Sens!$E$246</f>
        <v>10.007</v>
      </c>
      <c r="F248" s="38" t="n">
        <f aca="false">Sens!$F$247-Sens!$F$246</f>
        <v>72.7426983848813</v>
      </c>
      <c r="G248" s="38" t="n">
        <f aca="false">Sens!$G$247-Sens!$G$246</f>
        <v>72.7426983848813</v>
      </c>
      <c r="H248" s="38" t="n">
        <f aca="false">Sens!$H$247-Sens!$H$246</f>
        <v>129.087629741943</v>
      </c>
      <c r="I248" s="38" t="n">
        <f aca="false">Sens!$I$247-Sens!$I$246</f>
        <v>147.196761107008</v>
      </c>
      <c r="J248" s="38" t="n">
        <f aca="false">Sens!$J$247-Sens!$J$246</f>
        <v>125.212125692712</v>
      </c>
      <c r="K248" s="38" t="n">
        <f aca="false">Sens!$K$247-Sens!$K$246</f>
        <v>6.79229205196145</v>
      </c>
      <c r="L248" s="38" t="n">
        <f aca="false">Sens!$L$247-Sens!$L$246</f>
        <v>-170.226665419719</v>
      </c>
      <c r="M248" s="38" t="n">
        <f aca="false">Sens!$M$247-Sens!$M$246</f>
        <v>-376.307293010077</v>
      </c>
    </row>
    <row r="249" customFormat="false" ht="17.15" hidden="false" customHeight="false" outlineLevel="0" collapsed="false">
      <c r="A249" s="5" t="s">
        <v>808</v>
      </c>
      <c r="B249" s="0" t="s">
        <v>86</v>
      </c>
      <c r="F249" s="38" t="n">
        <f aca="false">debt_q2*kd_book*0.5+iss_2h26*kd_new*iss_t</f>
        <v>3.24888962733561</v>
      </c>
      <c r="H249" s="38" t="n">
        <f aca="false">debt_q2*kd_book+(Sens!$G$247-debt_q2)*kd_new</f>
        <v>7.42354172302123</v>
      </c>
      <c r="I249" s="38" t="n">
        <f aca="false">debt_q2*kd_book+(Sens!$H$247-debt_q2)*kd_new</f>
        <v>8.48968024898619</v>
      </c>
      <c r="J249" s="38" t="n">
        <f aca="false">debt_q2*kd_book+(Sens!$I$247-debt_q2)*kd_new</f>
        <v>9.63598826439483</v>
      </c>
      <c r="K249" s="38" t="n">
        <f aca="false">debt_q2*kd_book+(Sens!$J$247-debt_q2)*kd_new</f>
        <v>9.63598826439483</v>
      </c>
      <c r="L249" s="38" t="n">
        <f aca="false">debt_q2*kd_book+(Sens!$K$247-debt_q2)*kd_new</f>
        <v>9.63598826439483</v>
      </c>
      <c r="M249" s="38" t="n">
        <f aca="false">debt_q2*kd_book+(Sens!$L$247-debt_q2)*kd_new</f>
        <v>9.63598826439483</v>
      </c>
    </row>
    <row r="250" customFormat="false" ht="17.15" hidden="false" customHeight="false" outlineLevel="0" collapsed="false">
      <c r="A250" s="5" t="s">
        <v>809</v>
      </c>
      <c r="B250" s="0" t="s">
        <v>86</v>
      </c>
      <c r="F250" s="38" t="n">
        <f aca="false">cash_q2*y_cash*0.5</f>
        <v>2.59</v>
      </c>
      <c r="H250" s="38" t="n">
        <f aca="false">Sens!$G$246*y_cash</f>
        <v>3.76965165045626</v>
      </c>
      <c r="I250" s="38" t="n">
        <f aca="false">Sens!$H$246*y_cash</f>
        <v>2.10589651022864</v>
      </c>
      <c r="J250" s="38" t="n">
        <f aca="false">Sens!$I$246*y_cash</f>
        <v>2.10589651022864</v>
      </c>
      <c r="K250" s="38" t="n">
        <f aca="false">Sens!$J$246*y_cash</f>
        <v>3.03184385018094</v>
      </c>
      <c r="L250" s="38" t="n">
        <f aca="false">Sens!$K$246*y_cash</f>
        <v>8.01944213829919</v>
      </c>
      <c r="M250" s="38" t="n">
        <f aca="false">Sens!$L$246*y_cash</f>
        <v>15.4751142339777</v>
      </c>
    </row>
    <row r="251" customFormat="false" ht="17.15" hidden="false" customHeight="false" outlineLevel="0" collapsed="false">
      <c r="A251" s="47" t="s">
        <v>810</v>
      </c>
      <c r="B251" s="14" t="s">
        <v>86</v>
      </c>
      <c r="C251" s="14"/>
      <c r="D251" s="14"/>
      <c r="E251" s="14"/>
      <c r="F251" s="14"/>
      <c r="G251" s="48" t="n">
        <f aca="false">SUM(Sens!$G$240:$K$240)</f>
        <v>-1.17629205196147</v>
      </c>
      <c r="H251" s="14"/>
      <c r="I251" s="14"/>
      <c r="J251" s="14"/>
      <c r="K251" s="14"/>
      <c r="L251" s="14"/>
      <c r="M251" s="14"/>
      <c r="N251" s="14"/>
      <c r="O251" s="14"/>
    </row>
    <row r="252" customFormat="false" ht="17.15" hidden="false" customHeight="false" outlineLevel="0" collapsed="false">
      <c r="A252" s="0" t="s">
        <v>776</v>
      </c>
      <c r="B252" s="0" t="s">
        <v>86</v>
      </c>
      <c r="G252" s="38" t="n">
        <f aca="false">SUM(Sens!$G$245:$K$245)</f>
        <v>34.9517621070079</v>
      </c>
    </row>
    <row r="253" customFormat="false" ht="17.15" hidden="false" customHeight="false" outlineLevel="0" collapsed="false">
      <c r="A253" s="24" t="s">
        <v>813</v>
      </c>
      <c r="B253" s="25" t="s">
        <v>86</v>
      </c>
      <c r="C253" s="25"/>
      <c r="D253" s="25"/>
      <c r="E253" s="25"/>
      <c r="F253" s="25"/>
      <c r="G253" s="41" t="n">
        <f aca="false">Sens!$G$251-(Sens!$G$240+Sens!$H$240+Sens!$I$240+Sens!$J$240+Sens!$K$240)</f>
        <v>-2.8421709430404E-014</v>
      </c>
      <c r="H253" s="25"/>
      <c r="I253" s="25"/>
      <c r="J253" s="25"/>
      <c r="K253" s="25"/>
      <c r="L253" s="25"/>
      <c r="M253" s="25"/>
      <c r="N253" s="25"/>
      <c r="O253" s="25"/>
    </row>
    <row r="256" customFormat="false" ht="19.4" hidden="false" customHeight="false" outlineLevel="0" collapsed="false">
      <c r="A256" s="31" t="s">
        <v>1139</v>
      </c>
    </row>
    <row r="257" customFormat="false" ht="17.15" hidden="false" customHeight="false" outlineLevel="0" collapsed="false">
      <c r="A257" s="6" t="s">
        <v>16</v>
      </c>
      <c r="B257" s="6" t="s">
        <v>17</v>
      </c>
      <c r="C257" s="20" t="s">
        <v>497</v>
      </c>
      <c r="D257" s="20" t="s">
        <v>498</v>
      </c>
      <c r="E257" s="20" t="s">
        <v>580</v>
      </c>
      <c r="F257" s="20" t="s">
        <v>581</v>
      </c>
      <c r="G257" s="20" t="s">
        <v>582</v>
      </c>
      <c r="H257" s="20" t="s">
        <v>583</v>
      </c>
      <c r="I257" s="20" t="s">
        <v>584</v>
      </c>
      <c r="J257" s="20" t="s">
        <v>585</v>
      </c>
      <c r="K257" s="20" t="s">
        <v>586</v>
      </c>
      <c r="L257" s="20" t="s">
        <v>587</v>
      </c>
      <c r="M257" s="20" t="s">
        <v>588</v>
      </c>
      <c r="N257" s="20" t="s">
        <v>589</v>
      </c>
      <c r="O257" s="20" t="s">
        <v>590</v>
      </c>
      <c r="P257" s="6" t="s">
        <v>23</v>
      </c>
      <c r="R257" s="20" t="n">
        <v>2023</v>
      </c>
      <c r="S257" s="20" t="n">
        <v>2024</v>
      </c>
      <c r="T257" s="20" t="n">
        <v>2025</v>
      </c>
      <c r="U257" s="20" t="n">
        <v>2026</v>
      </c>
      <c r="V257" s="20" t="n">
        <v>2027</v>
      </c>
      <c r="W257" s="20" t="n">
        <v>2028</v>
      </c>
      <c r="X257" s="20" t="n">
        <v>2029</v>
      </c>
      <c r="Y257" s="20" t="n">
        <v>2030</v>
      </c>
      <c r="Z257" s="20" t="n">
        <v>2031</v>
      </c>
      <c r="AA257" s="20" t="n">
        <v>2032</v>
      </c>
    </row>
    <row r="258" customFormat="false" ht="17.15" hidden="false" customHeight="false" outlineLevel="0" collapsed="false">
      <c r="A258" s="1" t="s">
        <v>915</v>
      </c>
    </row>
    <row r="259" customFormat="false" ht="17.15" hidden="false" customHeight="false" outlineLevel="0" collapsed="false">
      <c r="A259" s="0" t="s">
        <v>916</v>
      </c>
      <c r="B259" s="0" t="s">
        <v>86</v>
      </c>
      <c r="H259" s="38" t="n">
        <f aca="false">Sens!$H$193*(1-tax)</f>
        <v>121.243762954598</v>
      </c>
      <c r="I259" s="38" t="n">
        <f aca="false">Sens!$I$193*(1-tax)</f>
        <v>146.296727721585</v>
      </c>
      <c r="J259" s="38" t="n">
        <f aca="false">Sens!$J$193*(1-tax)</f>
        <v>170.140518399982</v>
      </c>
      <c r="K259" s="38" t="n">
        <f aca="false">Sens!$K$193*(1-tax)</f>
        <v>187.091644407888</v>
      </c>
      <c r="L259" s="38" t="n">
        <f aca="false">Sens!$L$193*(1-tax)</f>
        <v>200.866341135815</v>
      </c>
      <c r="M259" s="38" t="n">
        <f aca="false">Sens!$M$193*(1-tax)</f>
        <v>211.476896331068</v>
      </c>
    </row>
    <row r="260" customFormat="false" ht="15" hidden="false" customHeight="false" outlineLevel="0" collapsed="false">
      <c r="A260" s="5" t="s">
        <v>917</v>
      </c>
      <c r="B260" s="0" t="s">
        <v>86</v>
      </c>
      <c r="H260" s="38" t="n">
        <f aca="false">Sens!$H$204</f>
        <v>78.1799395827871</v>
      </c>
      <c r="I260" s="38" t="n">
        <f aca="false">Sens!$I$204</f>
        <v>111.171125554384</v>
      </c>
      <c r="J260" s="38" t="n">
        <f aca="false">Sens!$J$204</f>
        <v>144.884406220971</v>
      </c>
      <c r="K260" s="38" t="n">
        <f aca="false">Sens!$K$204</f>
        <v>178.806419437999</v>
      </c>
      <c r="L260" s="38" t="n">
        <f aca="false">Sens!$L$204</f>
        <v>204.341339029663</v>
      </c>
      <c r="M260" s="38" t="n">
        <f aca="false">Sens!$M$204</f>
        <v>223.130577995387</v>
      </c>
    </row>
    <row r="261" customFormat="false" ht="15" hidden="false" customHeight="false" outlineLevel="0" collapsed="false">
      <c r="A261" s="5" t="s">
        <v>918</v>
      </c>
      <c r="B261" s="0" t="s">
        <v>86</v>
      </c>
      <c r="H261" s="38" t="n">
        <f aca="false">Sens!$H$235</f>
        <v>273.372679834898</v>
      </c>
      <c r="I261" s="38" t="n">
        <f aca="false">Sens!$I$235</f>
        <v>286.981812228425</v>
      </c>
      <c r="J261" s="38" t="n">
        <f aca="false">Sens!$J$235</f>
        <v>299.316513378366</v>
      </c>
      <c r="K261" s="38" t="n">
        <f aca="false">Sens!$K$235</f>
        <v>251.057145512292</v>
      </c>
      <c r="L261" s="38" t="n">
        <f aca="false">Sens!$L$235</f>
        <v>234.696330860396</v>
      </c>
      <c r="M261" s="38" t="n">
        <f aca="false">Sens!$M$235</f>
        <v>242.291696043352</v>
      </c>
    </row>
    <row r="262" customFormat="false" ht="15" hidden="false" customHeight="false" outlineLevel="0" collapsed="false">
      <c r="A262" s="5" t="s">
        <v>919</v>
      </c>
      <c r="B262" s="0" t="s">
        <v>86</v>
      </c>
      <c r="H262" s="38" t="n">
        <f aca="false">Sens!$H$236</f>
        <v>1.6</v>
      </c>
      <c r="I262" s="38" t="n">
        <f aca="false">Sens!$I$236</f>
        <v>1.6</v>
      </c>
      <c r="J262" s="38" t="n">
        <f aca="false">Sens!$J$236</f>
        <v>1.6</v>
      </c>
      <c r="K262" s="38" t="n">
        <f aca="false">Sens!$K$236</f>
        <v>1.6</v>
      </c>
      <c r="L262" s="38" t="n">
        <f aca="false">Sens!$L$236</f>
        <v>1.6</v>
      </c>
      <c r="M262" s="38" t="n">
        <f aca="false">Sens!$M$236</f>
        <v>1.6</v>
      </c>
    </row>
    <row r="263" customFormat="false" ht="15" hidden="false" customHeight="false" outlineLevel="0" collapsed="false">
      <c r="A263" s="5" t="s">
        <v>920</v>
      </c>
      <c r="B263" s="0" t="s">
        <v>86</v>
      </c>
      <c r="H263" s="38" t="n">
        <f aca="false">Sens!$H$230</f>
        <v>11.2928295263397</v>
      </c>
      <c r="I263" s="38" t="n">
        <f aca="false">Sens!$I$230</f>
        <v>12.8091546115766</v>
      </c>
      <c r="J263" s="38" t="n">
        <f aca="false">Sens!$J$230</f>
        <v>14.2605653162668</v>
      </c>
      <c r="K263" s="38" t="n">
        <f aca="false">Sens!$K$230</f>
        <v>15.5327622460396</v>
      </c>
      <c r="L263" s="38" t="n">
        <f aca="false">Sens!$L$230</f>
        <v>16.720573737517</v>
      </c>
      <c r="M263" s="38" t="n">
        <f aca="false">Sens!$M$230</f>
        <v>17.8283127551536</v>
      </c>
    </row>
    <row r="264" customFormat="false" ht="17.15" hidden="false" customHeight="false" outlineLevel="0" collapsed="false">
      <c r="A264" s="1" t="s">
        <v>921</v>
      </c>
      <c r="B264" s="8" t="s">
        <v>86</v>
      </c>
      <c r="H264" s="38" t="n">
        <f aca="false">Sens!$H$259+Sens!$H$260-Sens!$H$261+Sens!$H$263</f>
        <v>-62.6561477711731</v>
      </c>
      <c r="I264" s="38" t="n">
        <f aca="false">Sens!$I$259+Sens!$I$260-Sens!$I$261+Sens!$I$263</f>
        <v>-16.7048043408794</v>
      </c>
      <c r="J264" s="38" t="n">
        <f aca="false">Sens!$J$259+Sens!$J$260-Sens!$J$261+Sens!$J$263</f>
        <v>29.9689765588539</v>
      </c>
      <c r="K264" s="38" t="n">
        <f aca="false">Sens!$K$259+Sens!$K$260-Sens!$K$261+Sens!$K$263</f>
        <v>130.373680579634</v>
      </c>
      <c r="L264" s="38" t="n">
        <f aca="false">Sens!$L$259+Sens!$L$260-Sens!$L$261+Sens!$L$263</f>
        <v>187.231923042598</v>
      </c>
      <c r="M264" s="38" t="n">
        <f aca="false">Sens!$M$259+Sens!$M$260-Sens!$M$261+Sens!$M$263</f>
        <v>210.144091038257</v>
      </c>
    </row>
    <row r="265" customFormat="false" ht="15" hidden="false" customHeight="false" outlineLevel="0" collapsed="false">
      <c r="A265" s="5" t="s">
        <v>922</v>
      </c>
      <c r="B265" s="0" t="s">
        <v>57</v>
      </c>
      <c r="H265" s="40" t="n">
        <f aca="false">1/(1+wacc)^(2027-2026-0.5)</f>
        <v>0.947751320380232</v>
      </c>
      <c r="I265" s="40" t="n">
        <f aca="false">1/(1+wacc)^(2028-2026-0.5)</f>
        <v>0.851301099754987</v>
      </c>
      <c r="J265" s="40" t="n">
        <f aca="false">1/(1+wacc)^(2029-2026-0.5)</f>
        <v>0.764666370660713</v>
      </c>
      <c r="K265" s="40" t="n">
        <f aca="false">1/(1+wacc)^(2030-2026-0.5)</f>
        <v>0.686848235703811</v>
      </c>
      <c r="L265" s="40" t="n">
        <f aca="false">1/(1+wacc)^(2031-2026-0.5)</f>
        <v>0.616949452715975</v>
      </c>
      <c r="M265" s="40" t="n">
        <f aca="false">1/(1+wacc)^(2032-2026-0.5)</f>
        <v>0.554164089562688</v>
      </c>
    </row>
    <row r="266" customFormat="false" ht="15" hidden="false" customHeight="false" outlineLevel="0" collapsed="false">
      <c r="A266" s="5" t="s">
        <v>923</v>
      </c>
      <c r="B266" s="0" t="s">
        <v>86</v>
      </c>
      <c r="H266" s="38" t="n">
        <f aca="false">Sens!$H$264*Sens!$H$265</f>
        <v>-59.3824467800682</v>
      </c>
      <c r="I266" s="38" t="n">
        <f aca="false">Sens!$I$264*Sens!$I$265</f>
        <v>-14.2208183065825</v>
      </c>
      <c r="J266" s="38" t="n">
        <f aca="false">Sens!$J$264*Sens!$J$265</f>
        <v>22.9162685376748</v>
      </c>
      <c r="K266" s="38" t="n">
        <f aca="false">Sens!$K$264*Sens!$K$265</f>
        <v>89.5469324883341</v>
      </c>
      <c r="L266" s="38" t="n">
        <f aca="false">Sens!$L$264*Sens!$L$265</f>
        <v>115.512632452091</v>
      </c>
      <c r="M266" s="38" t="n">
        <f aca="false">Sens!$M$264*Sens!$M$265</f>
        <v>116.454308887194</v>
      </c>
    </row>
    <row r="267" customFormat="false" ht="15" hidden="false" customHeight="false" outlineLevel="0" collapsed="false">
      <c r="A267" s="5" t="s">
        <v>924</v>
      </c>
      <c r="B267" s="0" t="s">
        <v>86</v>
      </c>
      <c r="C267" s="38" t="n">
        <f aca="false">SUM(Sens!$H$266:$M$266)</f>
        <v>270.826877278643</v>
      </c>
    </row>
    <row r="268" customFormat="false" ht="17.15" hidden="false" customHeight="false" outlineLevel="0" collapsed="false">
      <c r="A268" s="5" t="s">
        <v>925</v>
      </c>
      <c r="B268" s="0" t="s">
        <v>86</v>
      </c>
      <c r="C268" s="38" t="n">
        <f aca="false">Sens!$M$259*(1+tg)*(1-tg/ronic)/(wacc-tg)</f>
        <v>1922.56097134792</v>
      </c>
    </row>
    <row r="269" customFormat="false" ht="15" hidden="false" customHeight="false" outlineLevel="0" collapsed="false">
      <c r="A269" s="5" t="s">
        <v>926</v>
      </c>
      <c r="B269" s="0" t="s">
        <v>86</v>
      </c>
      <c r="C269" s="38" t="n">
        <f aca="false">Sens!$C$268/(1+wacc)^6</f>
        <v>1009.74776248869</v>
      </c>
    </row>
    <row r="270" customFormat="false" ht="17.15" hidden="false" customHeight="false" outlineLevel="0" collapsed="false">
      <c r="A270" s="5" t="s">
        <v>927</v>
      </c>
      <c r="B270" s="0" t="s">
        <v>86</v>
      </c>
      <c r="C270" s="38" t="n">
        <f aca="false">Sens!$C$267+Sens!$C$269</f>
        <v>1280.57463976734</v>
      </c>
    </row>
    <row r="271" customFormat="false" ht="17.15" hidden="false" customHeight="false" outlineLevel="0" collapsed="false">
      <c r="A271" s="5" t="s">
        <v>928</v>
      </c>
      <c r="B271" s="0" t="s">
        <v>52</v>
      </c>
      <c r="C271" s="13" t="n">
        <f aca="false">Sens!$C$269/Sens!$C$270</f>
        <v>0.788511447229778</v>
      </c>
    </row>
    <row r="272" customFormat="false" ht="17.15" hidden="false" customHeight="false" outlineLevel="0" collapsed="false">
      <c r="A272" s="5" t="s">
        <v>929</v>
      </c>
      <c r="B272" s="0" t="s">
        <v>86</v>
      </c>
      <c r="C272" s="38" t="n">
        <f aca="false">Sens!$G$248+fin_debt</f>
        <v>97.2636983848813</v>
      </c>
    </row>
    <row r="273" customFormat="false" ht="17.15" hidden="false" customHeight="false" outlineLevel="0" collapsed="false">
      <c r="A273" s="5" t="s">
        <v>930</v>
      </c>
      <c r="B273" s="0" t="s">
        <v>86</v>
      </c>
      <c r="C273" s="38" t="n">
        <f aca="false">(ant_val*ant_sh+oai_val*oai_sh)*(1-liq_disc)</f>
        <v>178.944</v>
      </c>
    </row>
    <row r="274" customFormat="false" ht="15" hidden="false" customHeight="false" outlineLevel="0" collapsed="false">
      <c r="A274" s="5" t="s">
        <v>931</v>
      </c>
      <c r="B274" s="0" t="s">
        <v>86</v>
      </c>
      <c r="C274" s="38" t="n">
        <f aca="false">Sens!$C$270-Sens!$C$272+Sens!$C$273</f>
        <v>1362.25494138246</v>
      </c>
    </row>
    <row r="275" customFormat="false" ht="17.15" hidden="false" customHeight="false" outlineLevel="0" collapsed="false">
      <c r="A275" s="5" t="s">
        <v>932</v>
      </c>
      <c r="B275" s="0" t="s">
        <v>27</v>
      </c>
      <c r="C275" s="30" t="n">
        <f aca="false">Sens!$C$274/sh_out</f>
        <v>126.294760321501</v>
      </c>
    </row>
    <row r="276" customFormat="false" ht="17.15" hidden="false" customHeight="false" outlineLevel="0" collapsed="false">
      <c r="A276" s="1" t="s">
        <v>933</v>
      </c>
      <c r="B276" s="8" t="s">
        <v>27</v>
      </c>
      <c r="C276" s="30" t="n">
        <f aca="false">Sens!$C$275*(1+ke)^tp_yf-dps*tp_yf</f>
        <v>138.339345929154</v>
      </c>
    </row>
    <row r="277" customFormat="false" ht="17.15" hidden="false" customHeight="false" outlineLevel="0" collapsed="false">
      <c r="A277" s="3" t="s">
        <v>934</v>
      </c>
    </row>
    <row r="278" customFormat="false" ht="17.15" hidden="false" customHeight="false" outlineLevel="0" collapsed="false">
      <c r="A278" s="5" t="s">
        <v>935</v>
      </c>
      <c r="B278" s="0" t="s">
        <v>86</v>
      </c>
      <c r="C278" s="38" t="n">
        <f aca="false">(1-tp_yf)*(Sens!$H$205+sbc_ab*Sens!$H$229*Sens!$H$69/Sens!$H$146)+tp_yf*(Sens!$I$205+sbc_ab*Sens!$I$229*Sens!$I$69/Sens!$I$146)</f>
        <v>59.634664536349</v>
      </c>
    </row>
    <row r="279" customFormat="false" ht="15" hidden="false" customHeight="false" outlineLevel="0" collapsed="false">
      <c r="A279" s="5" t="s">
        <v>936</v>
      </c>
      <c r="B279" s="0" t="s">
        <v>57</v>
      </c>
      <c r="C279" s="30" t="n">
        <f aca="false">m_ads*m_x</f>
        <v>9.11</v>
      </c>
    </row>
    <row r="280" customFormat="false" ht="17.15" hidden="false" customHeight="false" outlineLevel="0" collapsed="false">
      <c r="A280" s="5" t="s">
        <v>937</v>
      </c>
      <c r="B280" s="0" t="s">
        <v>86</v>
      </c>
      <c r="C280" s="38" t="n">
        <f aca="false">Sens!$C$278*Sens!$C$279</f>
        <v>543.271793926139</v>
      </c>
    </row>
    <row r="281" customFormat="false" ht="17.15" hidden="false" customHeight="false" outlineLevel="0" collapsed="false">
      <c r="A281" s="5" t="s">
        <v>938</v>
      </c>
      <c r="B281" s="0" t="s">
        <v>86</v>
      </c>
      <c r="C281" s="38" t="n">
        <f aca="false">(1-tp_yf)*(Sens!$H$206+sbc_ab*Sens!$H$229*(Sens!$H$76-Sens!$H$69)/Sens!$H$146+IF(internal_ai_reading=2,1,0)*(1-ext_sh)*Sens!$H$106)+tp_yf*(Sens!$I$206+sbc_ab*Sens!$I$229*(Sens!$I$76-Sens!$I$69)/Sens!$I$146+IF(internal_ai_reading=2,1,0)*(1-ext_sh)*Sens!$I$106)</f>
        <v>51.2224827206816</v>
      </c>
    </row>
    <row r="282" customFormat="false" ht="17.15" hidden="false" customHeight="false" outlineLevel="0" collapsed="false">
      <c r="A282" s="5" t="s">
        <v>939</v>
      </c>
      <c r="B282" s="0" t="s">
        <v>57</v>
      </c>
      <c r="C282" s="30" t="n">
        <f aca="false">m_retail*m_x</f>
        <v>17.72</v>
      </c>
    </row>
    <row r="283" customFormat="false" ht="17.15" hidden="false" customHeight="false" outlineLevel="0" collapsed="false">
      <c r="A283" s="5" t="s">
        <v>940</v>
      </c>
      <c r="B283" s="0" t="s">
        <v>86</v>
      </c>
      <c r="C283" s="38" t="n">
        <f aca="false">Sens!$C$281*Sens!$C$282</f>
        <v>907.662393810478</v>
      </c>
    </row>
    <row r="284" customFormat="false" ht="17.15" hidden="false" customHeight="false" outlineLevel="0" collapsed="false">
      <c r="A284" s="0" t="s">
        <v>941</v>
      </c>
      <c r="B284" s="0" t="s">
        <v>86</v>
      </c>
      <c r="C284" s="38" t="n">
        <f aca="false">(1-tp_yf)*(Sens!$H$207+sbc_ab*Sens!$H$229*Sens!$H$144/Sens!$H$146)+tp_yf*(Sens!$I$207+sbc_ab*Sens!$I$229*Sens!$I$144/Sens!$I$146)</f>
        <v>96.2439586897193</v>
      </c>
    </row>
    <row r="285" customFormat="false" ht="17.15" hidden="false" customHeight="false" outlineLevel="0" collapsed="false">
      <c r="A285" s="0" t="s">
        <v>942</v>
      </c>
      <c r="B285" s="0" t="s">
        <v>57</v>
      </c>
      <c r="C285" s="30" t="n">
        <f aca="false">m_cloud*m_x</f>
        <v>13.82</v>
      </c>
    </row>
    <row r="286" customFormat="false" ht="17.15" hidden="false" customHeight="false" outlineLevel="0" collapsed="false">
      <c r="A286" s="0" t="s">
        <v>943</v>
      </c>
      <c r="B286" s="0" t="s">
        <v>86</v>
      </c>
      <c r="C286" s="38" t="n">
        <f aca="false">Sens!$C$284*Sens!$C$285</f>
        <v>1330.09150909192</v>
      </c>
    </row>
    <row r="287" customFormat="false" ht="17.15" hidden="false" customHeight="false" outlineLevel="0" collapsed="false">
      <c r="A287" s="0" t="s">
        <v>944</v>
      </c>
      <c r="B287" s="0" t="s">
        <v>86</v>
      </c>
      <c r="H287" s="38" t="n">
        <f aca="false">Sens!$H$125-tax*Sens!$H$126-ext_sh*Sens!$H$113</f>
        <v>-115.885394236225</v>
      </c>
      <c r="I287" s="38" t="n">
        <f aca="false">Sens!$I$125-tax*Sens!$I$126-ext_sh*Sens!$I$113</f>
        <v>-89.5935137276694</v>
      </c>
      <c r="J287" s="38" t="n">
        <f aca="false">Sens!$J$125-tax*Sens!$J$126-ext_sh*Sens!$J$113</f>
        <v>-62.3510647460279</v>
      </c>
      <c r="K287" s="38" t="n">
        <f aca="false">Sens!$K$125-tax*Sens!$K$126-ext_sh*Sens!$K$113</f>
        <v>8.85932514072565</v>
      </c>
      <c r="L287" s="38" t="n">
        <f aca="false">Sens!$L$125-tax*Sens!$L$126-ext_sh*Sens!$L$113</f>
        <v>45.6968344120177</v>
      </c>
      <c r="M287" s="38" t="n">
        <f aca="false">Sens!$M$125-tax*Sens!$M$126-ext_sh*Sens!$M$113</f>
        <v>54.7466688757428</v>
      </c>
    </row>
    <row r="288" customFormat="false" ht="17.15" hidden="false" customHeight="false" outlineLevel="0" collapsed="false">
      <c r="A288" s="5" t="s">
        <v>945</v>
      </c>
      <c r="B288" s="0" t="s">
        <v>86</v>
      </c>
      <c r="H288" s="38" t="n">
        <f aca="false">Sens!$H$287*Sens!$H$265</f>
        <v>-109.830535400166</v>
      </c>
      <c r="I288" s="38" t="n">
        <f aca="false">Sens!$I$287*Sens!$I$265</f>
        <v>-76.2710567672785</v>
      </c>
      <c r="J288" s="38" t="n">
        <f aca="false">Sens!$J$287*Sens!$J$265</f>
        <v>-47.6777623861763</v>
      </c>
      <c r="K288" s="38" t="n">
        <f aca="false">Sens!$K$287*Sens!$K$265</f>
        <v>6.08501184243383</v>
      </c>
      <c r="L288" s="38" t="n">
        <f aca="false">Sens!$L$287*Sens!$L$265</f>
        <v>28.1926369813469</v>
      </c>
      <c r="M288" s="38" t="n">
        <f aca="false">Sens!$M$287*Sens!$M$265</f>
        <v>30.338637914116</v>
      </c>
    </row>
    <row r="289" customFormat="false" ht="17.15" hidden="false" customHeight="false" outlineLevel="0" collapsed="false">
      <c r="A289" s="5" t="s">
        <v>946</v>
      </c>
      <c r="B289" s="0" t="s">
        <v>86</v>
      </c>
      <c r="C289" s="38" t="n">
        <f aca="false">Sens!$M$126*(1-tax)*(1+tg)*(1-tg/ronic)/(wacc-tg)</f>
        <v>391.533160655061</v>
      </c>
    </row>
    <row r="290" customFormat="false" ht="17.15" hidden="false" customHeight="false" outlineLevel="0" collapsed="false">
      <c r="A290" s="0" t="s">
        <v>947</v>
      </c>
      <c r="B290" s="0" t="s">
        <v>86</v>
      </c>
      <c r="C290" s="38" t="n">
        <f aca="false">(SUM(Sens!$I$288:$M$288)+Sens!$C$289/(1+wacc)^6)*(1+wacc)^tp_yf</f>
        <v>159.796867964901</v>
      </c>
    </row>
    <row r="291" customFormat="false" ht="17.15" hidden="false" customHeight="false" outlineLevel="0" collapsed="false">
      <c r="A291" s="5" t="s">
        <v>948</v>
      </c>
      <c r="B291" s="0" t="s">
        <v>86</v>
      </c>
      <c r="C291" s="38" t="n">
        <f aca="false">(1-tp_yf)*(Sens!$H$208)+tp_yf*(Sens!$I$208)</f>
        <v>74.6707041238437</v>
      </c>
    </row>
    <row r="292" customFormat="false" ht="17.15" hidden="false" customHeight="false" outlineLevel="0" collapsed="false">
      <c r="A292" s="5" t="s">
        <v>949</v>
      </c>
      <c r="B292" s="0" t="s">
        <v>86</v>
      </c>
      <c r="C292" s="38" t="n">
        <f aca="false">Sens!$C$291*m_ai</f>
        <v>448.024224743062</v>
      </c>
    </row>
    <row r="293" customFormat="false" ht="17.15" hidden="false" customHeight="false" outlineLevel="0" collapsed="false">
      <c r="A293" s="0" t="s">
        <v>950</v>
      </c>
      <c r="B293" s="0" t="s">
        <v>86</v>
      </c>
      <c r="C293" s="38" t="n">
        <f aca="false">IF(ai_leg=1,Sens!$C$290,Sens!$C$292)</f>
        <v>159.796867964901</v>
      </c>
    </row>
    <row r="294" customFormat="false" ht="17.15" hidden="false" customHeight="false" outlineLevel="0" collapsed="false">
      <c r="A294" s="5" t="s">
        <v>951</v>
      </c>
      <c r="B294" s="0" t="s">
        <v>86</v>
      </c>
      <c r="C294" s="38" t="n">
        <f aca="false">Sens!$C$280+Sens!$C$283+Sens!$C$286+Sens!$C$293</f>
        <v>2940.82256479344</v>
      </c>
    </row>
    <row r="295" customFormat="false" ht="17.15" hidden="false" customHeight="false" outlineLevel="0" collapsed="false">
      <c r="A295" s="5" t="s">
        <v>952</v>
      </c>
      <c r="B295" s="0" t="s">
        <v>86</v>
      </c>
      <c r="C295" s="38" t="n">
        <f aca="false">Sens!$H$248+fin_debt</f>
        <v>153.608629741943</v>
      </c>
    </row>
    <row r="296" customFormat="false" ht="15" hidden="false" customHeight="false" outlineLevel="0" collapsed="false">
      <c r="A296" s="5" t="s">
        <v>953</v>
      </c>
      <c r="B296" s="0" t="s">
        <v>86</v>
      </c>
      <c r="C296" s="38" t="n">
        <f aca="false">Sens!$C$294-Sens!$C$295+Sens!$C$273</f>
        <v>2966.1579350515</v>
      </c>
    </row>
    <row r="297" customFormat="false" ht="15" hidden="false" customHeight="false" outlineLevel="0" collapsed="false">
      <c r="A297" s="3" t="s">
        <v>954</v>
      </c>
      <c r="B297" s="8" t="s">
        <v>27</v>
      </c>
      <c r="C297" s="30" t="n">
        <f aca="false">Sens!$C$296/sh_val</f>
        <v>268.90965525111</v>
      </c>
    </row>
    <row r="298" customFormat="false" ht="17.15" hidden="false" customHeight="false" outlineLevel="0" collapsed="false">
      <c r="A298" s="47" t="s">
        <v>955</v>
      </c>
      <c r="B298" s="14" t="s">
        <v>27</v>
      </c>
      <c r="C298" s="44" t="n">
        <f aca="false">w_dcf*Sens!$C$276+(1-w_dcf)*Sens!$C$297</f>
        <v>203.624500590132</v>
      </c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 customFormat="false" ht="17.15" hidden="false" customHeight="false" outlineLevel="0" collapsed="false">
      <c r="A299" s="5" t="s">
        <v>956</v>
      </c>
      <c r="B299" s="0" t="s">
        <v>27</v>
      </c>
      <c r="C299" s="30" t="n">
        <f aca="false">v022_wdcf*Sens!$C$276+(1-v022_wdcf)*Sens!$C$297</f>
        <v>210.15301605623</v>
      </c>
    </row>
    <row r="300" customFormat="false" ht="17.15" hidden="false" customHeight="false" outlineLevel="0" collapsed="false">
      <c r="A300" s="5" t="s">
        <v>957</v>
      </c>
      <c r="B300" s="0" t="s">
        <v>27</v>
      </c>
      <c r="C300" s="30" t="n">
        <f aca="false">(Sens!$C$296-Sens!$C$293+Sens!$C$292)/sh_val</f>
        <v>295.040131389701</v>
      </c>
    </row>
    <row r="303" customFormat="false" ht="19.4" hidden="false" customHeight="false" outlineLevel="0" collapsed="false">
      <c r="A303" s="31" t="s">
        <v>1140</v>
      </c>
    </row>
    <row r="304" customFormat="false" ht="17.15" hidden="false" customHeight="false" outlineLevel="0" collapsed="false">
      <c r="A304" s="6" t="s">
        <v>16</v>
      </c>
      <c r="B304" s="6" t="s">
        <v>17</v>
      </c>
      <c r="C304" s="20" t="s">
        <v>497</v>
      </c>
      <c r="D304" s="20" t="s">
        <v>498</v>
      </c>
      <c r="E304" s="20" t="s">
        <v>580</v>
      </c>
      <c r="F304" s="20" t="s">
        <v>581</v>
      </c>
      <c r="G304" s="20" t="s">
        <v>582</v>
      </c>
      <c r="H304" s="20" t="s">
        <v>583</v>
      </c>
      <c r="I304" s="20" t="s">
        <v>584</v>
      </c>
      <c r="J304" s="20" t="s">
        <v>585</v>
      </c>
      <c r="K304" s="20" t="s">
        <v>586</v>
      </c>
      <c r="L304" s="20" t="s">
        <v>587</v>
      </c>
      <c r="M304" s="20" t="s">
        <v>588</v>
      </c>
      <c r="N304" s="20" t="s">
        <v>589</v>
      </c>
      <c r="O304" s="20" t="s">
        <v>590</v>
      </c>
      <c r="P304" s="6" t="s">
        <v>23</v>
      </c>
      <c r="R304" s="20" t="n">
        <v>2023</v>
      </c>
      <c r="S304" s="20" t="n">
        <v>2024</v>
      </c>
      <c r="T304" s="20" t="n">
        <v>2025</v>
      </c>
      <c r="U304" s="20" t="n">
        <v>2026</v>
      </c>
      <c r="V304" s="20" t="n">
        <v>2027</v>
      </c>
      <c r="W304" s="20" t="n">
        <v>2028</v>
      </c>
      <c r="X304" s="20" t="n">
        <v>2029</v>
      </c>
      <c r="Y304" s="20" t="n">
        <v>2030</v>
      </c>
      <c r="Z304" s="20" t="n">
        <v>2031</v>
      </c>
      <c r="AA304" s="20" t="n">
        <v>2032</v>
      </c>
    </row>
    <row r="305" customFormat="false" ht="17.15" hidden="false" customHeight="false" outlineLevel="0" collapsed="false">
      <c r="A305" s="1" t="s">
        <v>666</v>
      </c>
    </row>
    <row r="306" customFormat="false" ht="17.15" hidden="false" customHeight="false" outlineLevel="0" collapsed="false">
      <c r="A306" s="0" t="s">
        <v>519</v>
      </c>
      <c r="B306" s="0" t="s">
        <v>86</v>
      </c>
      <c r="C306" s="38" t="n">
        <f aca="false">Q!$D$10</f>
        <v>247.029</v>
      </c>
      <c r="D306" s="38" t="n">
        <f aca="false">Q!$E$10</f>
        <v>269.287</v>
      </c>
      <c r="E306" s="38" t="n">
        <f aca="false">Q!$P$10</f>
        <v>134.686</v>
      </c>
      <c r="F306" s="38" t="n">
        <f aca="false">Sens!$O$306*(1+Sens!$F$307)*Sens!$F$318</f>
        <v>158.293876822267</v>
      </c>
      <c r="G306" s="38" t="n">
        <f aca="false">Sens!$E$306+Sens!$F$306</f>
        <v>292.979876822267</v>
      </c>
      <c r="H306" s="38" t="n">
        <f aca="false">Sens!$G$306*(1+Sens!$H$307)</f>
        <v>318.184543087396</v>
      </c>
      <c r="I306" s="38" t="n">
        <f aca="false">Sens!$H$306*(1+Sens!$I$307)</f>
        <v>341.736278761793</v>
      </c>
      <c r="J306" s="38" t="n">
        <f aca="false">Sens!$I$306*(1+Sens!$J$307)</f>
        <v>362.927192787048</v>
      </c>
      <c r="K306" s="38" t="n">
        <f aca="false">Sens!$J$306*(1+Sens!$K$307)</f>
        <v>381.0735524264</v>
      </c>
      <c r="L306" s="38" t="n">
        <f aca="false">Sens!$K$306*(1+Sens!$L$307)</f>
        <v>400.12723004772</v>
      </c>
      <c r="M306" s="38" t="n">
        <f aca="false">Sens!$L$306*(1+Sens!$M$307)</f>
        <v>420.133591550106</v>
      </c>
      <c r="N306" s="38" t="n">
        <f aca="false">Q!$N$10</f>
        <v>118.892</v>
      </c>
      <c r="O306" s="38" t="n">
        <f aca="false">Q!$O$10</f>
        <v>150.395</v>
      </c>
      <c r="P306" s="8" t="s">
        <v>667</v>
      </c>
    </row>
    <row r="307" customFormat="false" ht="17.15" hidden="false" customHeight="false" outlineLevel="0" collapsed="false">
      <c r="A307" s="0" t="s">
        <v>668</v>
      </c>
      <c r="B307" s="0" t="s">
        <v>52</v>
      </c>
      <c r="E307" s="13" t="n">
        <f aca="false">Sens!$E$306/Sens!$N$306-1</f>
        <v>0.132843252699929</v>
      </c>
      <c r="F307" s="13" t="n">
        <f aca="false">Sens!$O$306/(Q!$F$10+Q!$G$10)-1</f>
        <v>0.0980382135842941</v>
      </c>
      <c r="G307" s="13" t="n">
        <f aca="false">Sens!$G$306/Sens!$D$306-1</f>
        <v>0.0879837378791657</v>
      </c>
      <c r="H307" s="13" t="n">
        <f aca="false">Sens!$F$307+(g_os-Sens!$F$307)*1/4</f>
        <v>0.0860286601882206</v>
      </c>
      <c r="I307" s="13" t="n">
        <f aca="false">Sens!$F$307+(g_os-Sens!$F$307)*2/4</f>
        <v>0.074019106792147</v>
      </c>
      <c r="J307" s="13" t="n">
        <f aca="false">Sens!$F$307+(g_os-Sens!$F$307)*3/4</f>
        <v>0.0620095533960735</v>
      </c>
      <c r="K307" s="13" t="n">
        <f aca="false">Sens!$F$307+(g_os-Sens!$F$307)*4/4</f>
        <v>0.05</v>
      </c>
      <c r="L307" s="13" t="n">
        <f aca="false">g_os</f>
        <v>0.05</v>
      </c>
      <c r="M307" s="13" t="n">
        <f aca="false">g_os</f>
        <v>0.05</v>
      </c>
      <c r="P307" s="8" t="s">
        <v>669</v>
      </c>
    </row>
    <row r="308" customFormat="false" ht="17.15" hidden="false" customHeight="false" outlineLevel="0" collapsed="false">
      <c r="A308" s="0" t="s">
        <v>520</v>
      </c>
      <c r="B308" s="0" t="s">
        <v>86</v>
      </c>
      <c r="C308" s="38" t="n">
        <f aca="false">Q!$D$11</f>
        <v>21.215</v>
      </c>
      <c r="D308" s="38" t="n">
        <f aca="false">Q!$E$11</f>
        <v>22.561</v>
      </c>
      <c r="E308" s="38" t="n">
        <f aca="false">Q!$P$11</f>
        <v>11.579</v>
      </c>
      <c r="F308" s="38" t="n">
        <f aca="false">Sens!$O$308*(1+Sens!$F$309)*Sens!$F$318</f>
        <v>11.5938724610325</v>
      </c>
      <c r="G308" s="38" t="n">
        <f aca="false">Sens!$E$308+Sens!$F$308</f>
        <v>23.1728724610325</v>
      </c>
      <c r="H308" s="38" t="n">
        <f aca="false">Sens!$G$308*(1+Sens!$H$309)</f>
        <v>24.353392759506</v>
      </c>
      <c r="I308" s="38" t="n">
        <f aca="false">Sens!$H$308*(1+Sens!$I$309)</f>
        <v>25.4240338872015</v>
      </c>
      <c r="J308" s="38" t="n">
        <f aca="false">Sens!$I$308*(1+Sens!$J$309)</f>
        <v>26.3642491017174</v>
      </c>
      <c r="K308" s="38" t="n">
        <f aca="false">Sens!$J$308*(1+Sens!$K$309)</f>
        <v>27.155176574769</v>
      </c>
      <c r="L308" s="38" t="n">
        <f aca="false">Sens!$K$308*(1+Sens!$L$309)</f>
        <v>27.969831872012</v>
      </c>
      <c r="M308" s="38" t="n">
        <f aca="false">Sens!$L$308*(1+Sens!$M$309)</f>
        <v>28.8089268281724</v>
      </c>
      <c r="N308" s="38" t="n">
        <f aca="false">Q!$N$11</f>
        <v>11.128</v>
      </c>
      <c r="O308" s="38" t="n">
        <f aca="false">Q!$O$11</f>
        <v>11.433</v>
      </c>
      <c r="P308" s="8" t="s">
        <v>667</v>
      </c>
    </row>
    <row r="309" customFormat="false" ht="17.15" hidden="false" customHeight="false" outlineLevel="0" collapsed="false">
      <c r="A309" s="0" t="s">
        <v>670</v>
      </c>
      <c r="B309" s="0" t="s">
        <v>52</v>
      </c>
      <c r="E309" s="13" t="n">
        <f aca="false">Sens!$E$308/Sens!$N$308-1</f>
        <v>0.0405283968368082</v>
      </c>
      <c r="F309" s="13" t="n">
        <f aca="false">Sens!$O$308/(Q!$F$11+Q!$G$11)-1</f>
        <v>0.0579254187100955</v>
      </c>
      <c r="G309" s="13" t="n">
        <f aca="false">Sens!$G$308/Sens!$D$308-1</f>
        <v>0.0271208040881397</v>
      </c>
      <c r="H309" s="13" t="n">
        <f aca="false">Sens!$F$309+(g_ps-Sens!$F$309)*1/4</f>
        <v>0.0509440640325716</v>
      </c>
      <c r="I309" s="13" t="n">
        <f aca="false">Sens!$F$309+(g_ps-Sens!$F$309)*2/4</f>
        <v>0.0439627093550477</v>
      </c>
      <c r="J309" s="13" t="n">
        <f aca="false">Sens!$F$309+(g_ps-Sens!$F$309)*3/4</f>
        <v>0.0369813546775239</v>
      </c>
      <c r="K309" s="13" t="n">
        <f aca="false">Sens!$F$309+(g_ps-Sens!$F$309)*4/4</f>
        <v>0.03</v>
      </c>
      <c r="L309" s="13" t="n">
        <f aca="false">g_ps</f>
        <v>0.03</v>
      </c>
      <c r="M309" s="13" t="n">
        <f aca="false">g_ps</f>
        <v>0.03</v>
      </c>
      <c r="P309" s="8" t="s">
        <v>671</v>
      </c>
    </row>
    <row r="310" customFormat="false" ht="17.15" hidden="false" customHeight="false" outlineLevel="0" collapsed="false">
      <c r="A310" s="0" t="s">
        <v>521</v>
      </c>
      <c r="B310" s="0" t="s">
        <v>86</v>
      </c>
      <c r="C310" s="38" t="n">
        <f aca="false">Q!$D$12</f>
        <v>156.146</v>
      </c>
      <c r="D310" s="38" t="n">
        <f aca="false">Q!$E$12</f>
        <v>172.162</v>
      </c>
      <c r="E310" s="38" t="n">
        <f aca="false">Q!$P$12</f>
        <v>88.358</v>
      </c>
      <c r="F310" s="38" t="n">
        <f aca="false">Sens!$O$310*(1+Sens!$F$311)*Sens!$F$318</f>
        <v>102.004388260171</v>
      </c>
      <c r="G310" s="38" t="n">
        <f aca="false">Sens!$E$310+Sens!$F$310</f>
        <v>190.362388260171</v>
      </c>
      <c r="H310" s="38" t="n">
        <f aca="false">Sens!$G$310*(1+Sens!$H$311)</f>
        <v>210.343106588311</v>
      </c>
      <c r="I310" s="38" t="n">
        <f aca="false">Sens!$H$310*(1+Sens!$I$311)</f>
        <v>229.969728494648</v>
      </c>
      <c r="J310" s="38" t="n">
        <f aca="false">Sens!$I$310*(1+Sens!$J$311)</f>
        <v>248.747636972598</v>
      </c>
      <c r="K310" s="38" t="n">
        <f aca="false">Sens!$J$310*(1+Sens!$K$311)</f>
        <v>266.15997156068</v>
      </c>
      <c r="L310" s="38" t="n">
        <f aca="false">Sens!$K$310*(1+Sens!$L$311)</f>
        <v>284.791169569927</v>
      </c>
      <c r="M310" s="38" t="n">
        <f aca="false">Sens!$L$310*(1+Sens!$M$311)</f>
        <v>304.726551439822</v>
      </c>
      <c r="N310" s="38" t="n">
        <f aca="false">Q!$N$12</f>
        <v>76.86</v>
      </c>
      <c r="O310" s="38" t="n">
        <f aca="false">Q!$O$12</f>
        <v>95.302</v>
      </c>
      <c r="P310" s="8" t="s">
        <v>667</v>
      </c>
    </row>
    <row r="311" customFormat="false" ht="17.15" hidden="false" customHeight="false" outlineLevel="0" collapsed="false">
      <c r="A311" s="0" t="s">
        <v>672</v>
      </c>
      <c r="B311" s="0" t="s">
        <v>52</v>
      </c>
      <c r="E311" s="13" t="n">
        <f aca="false">Sens!$E$310/Sens!$N$310-1</f>
        <v>0.1495966692688</v>
      </c>
      <c r="F311" s="13" t="n">
        <f aca="false">Sens!$O$310/(Q!$F$12+Q!$G$12)-1</f>
        <v>0.11661530890813</v>
      </c>
      <c r="G311" s="13" t="n">
        <f aca="false">Sens!$G$310/Sens!$D$310-1</f>
        <v>0.105716640490767</v>
      </c>
      <c r="H311" s="13" t="n">
        <f aca="false">Sens!$F$311+(g_sp-Sens!$F$311)*1/4</f>
        <v>0.104961481681098</v>
      </c>
      <c r="I311" s="13" t="n">
        <f aca="false">Sens!$F$311+(g_sp-Sens!$F$311)*2/4</f>
        <v>0.0933076544540651</v>
      </c>
      <c r="J311" s="13" t="n">
        <f aca="false">Sens!$F$311+(g_sp-Sens!$F$311)*3/4</f>
        <v>0.0816538272270325</v>
      </c>
      <c r="K311" s="13" t="n">
        <f aca="false">Sens!$F$311+(g_sp-Sens!$F$311)*4/4</f>
        <v>0.07</v>
      </c>
      <c r="L311" s="13" t="n">
        <f aca="false">g_sp</f>
        <v>0.07</v>
      </c>
      <c r="M311" s="13" t="n">
        <f aca="false">g_sp</f>
        <v>0.07</v>
      </c>
      <c r="P311" s="8" t="s">
        <v>673</v>
      </c>
    </row>
    <row r="312" customFormat="false" ht="17.15" hidden="false" customHeight="false" outlineLevel="0" collapsed="false">
      <c r="A312" s="0" t="s">
        <v>522</v>
      </c>
      <c r="B312" s="0" t="s">
        <v>86</v>
      </c>
      <c r="C312" s="38" t="n">
        <f aca="false">Q!$D$13</f>
        <v>56.214</v>
      </c>
      <c r="D312" s="38" t="n">
        <f aca="false">Q!$E$13</f>
        <v>68.635</v>
      </c>
      <c r="E312" s="38" t="n">
        <f aca="false">Q!$P$13</f>
        <v>37.052</v>
      </c>
      <c r="F312" s="38" t="n">
        <f aca="false">Sens!$O$312*(1+Sens!$F$313)*Sens!$F$318</f>
        <v>46.1572219944148</v>
      </c>
      <c r="G312" s="38" t="n">
        <f aca="false">Sens!$E$312+Sens!$F$312</f>
        <v>83.2092219944148</v>
      </c>
      <c r="H312" s="38" t="n">
        <f aca="false">Sens!$G$312*(1+Sens!$H$313)</f>
        <v>99.8969223878976</v>
      </c>
      <c r="I312" s="38" t="n">
        <f aca="false">Sens!$H$312*(1+Sens!$I$313)</f>
        <v>116.583111095496</v>
      </c>
      <c r="J312" s="38" t="n">
        <f aca="false">Sens!$I$312*(1+Sens!$J$313)</f>
        <v>132.148941941952</v>
      </c>
      <c r="K312" s="38" t="n">
        <f aca="false">Sens!$J$312*(1+Sens!$K$313)</f>
        <v>145.363836136147</v>
      </c>
      <c r="L312" s="38" t="n">
        <f aca="false">Sens!$K$312*(1+Sens!$L$313)</f>
        <v>159.900219749762</v>
      </c>
      <c r="M312" s="38" t="n">
        <f aca="false">Sens!$L$312*(1+Sens!$M$313)</f>
        <v>175.890241724738</v>
      </c>
      <c r="N312" s="38" t="n">
        <f aca="false">Q!$N$13</f>
        <v>29.615</v>
      </c>
      <c r="O312" s="38" t="n">
        <f aca="false">Q!$O$13</f>
        <v>39.02</v>
      </c>
      <c r="P312" s="8" t="s">
        <v>667</v>
      </c>
    </row>
    <row r="313" customFormat="false" ht="17.15" hidden="false" customHeight="false" outlineLevel="0" collapsed="false">
      <c r="A313" s="0" t="s">
        <v>674</v>
      </c>
      <c r="B313" s="0" t="s">
        <v>52</v>
      </c>
      <c r="E313" s="13" t="n">
        <f aca="false">Sens!$E$312/Sens!$N$312-1</f>
        <v>0.25112274185379</v>
      </c>
      <c r="F313" s="13" t="n">
        <f aca="false">Sens!$O$312/(Q!$F$13+Q!$G$13)-1</f>
        <v>0.234068123596572</v>
      </c>
      <c r="G313" s="13" t="n">
        <f aca="false">Sens!$G$312/Sens!$D$312-1</f>
        <v>0.212343876949294</v>
      </c>
      <c r="H313" s="13" t="n">
        <f aca="false">Sens!$F$313+(g_ad-Sens!$F$313)*1/4</f>
        <v>0.200551092697429</v>
      </c>
      <c r="I313" s="13" t="n">
        <f aca="false">Sens!$F$313+(g_ad-Sens!$F$313)*2/4</f>
        <v>0.167034061798286</v>
      </c>
      <c r="J313" s="13" t="n">
        <f aca="false">Sens!$F$313+(g_ad-Sens!$F$313)*3/4</f>
        <v>0.133517030899143</v>
      </c>
      <c r="K313" s="13" t="n">
        <f aca="false">Sens!$F$313+(g_ad-Sens!$F$313)*4/4</f>
        <v>0.1</v>
      </c>
      <c r="L313" s="13" t="n">
        <f aca="false">g_ad</f>
        <v>0.1</v>
      </c>
      <c r="M313" s="13" t="n">
        <f aca="false">g_ad</f>
        <v>0.1</v>
      </c>
      <c r="P313" s="8" t="s">
        <v>675</v>
      </c>
    </row>
    <row r="314" customFormat="false" ht="17.15" hidden="false" customHeight="false" outlineLevel="0" collapsed="false">
      <c r="A314" s="0" t="s">
        <v>523</v>
      </c>
      <c r="B314" s="0" t="s">
        <v>86</v>
      </c>
      <c r="C314" s="38" t="n">
        <f aca="false">Q!$D$14</f>
        <v>44.374</v>
      </c>
      <c r="D314" s="38" t="n">
        <f aca="false">Q!$E$14</f>
        <v>49.619</v>
      </c>
      <c r="E314" s="38" t="n">
        <f aca="false">Q!$P$14</f>
        <v>27.157</v>
      </c>
      <c r="F314" s="38" t="n">
        <f aca="false">Sens!$O$314*(1+Sens!$F$315)*Sens!$F$318</f>
        <v>27.7764165988154</v>
      </c>
      <c r="G314" s="38" t="n">
        <f aca="false">Sens!$E$314+Sens!$F$314</f>
        <v>54.9334165988154</v>
      </c>
      <c r="H314" s="38" t="n">
        <f aca="false">Sens!$G$314*(1+Sens!$H$315)</f>
        <v>61.1564112561829</v>
      </c>
      <c r="I314" s="38" t="n">
        <f aca="false">Sens!$H$314*(1+Sens!$I$315)</f>
        <v>67.2020282103945</v>
      </c>
      <c r="J314" s="38" t="n">
        <f aca="false">Sens!$I$314*(1+Sens!$J$315)</f>
        <v>72.8757274028885</v>
      </c>
      <c r="K314" s="38" t="n">
        <f aca="false">Sens!$J$314*(1+Sens!$K$315)</f>
        <v>77.9770283210907</v>
      </c>
      <c r="L314" s="38" t="n">
        <f aca="false">Sens!$K$314*(1+Sens!$L$315)</f>
        <v>83.4354203035671</v>
      </c>
      <c r="M314" s="38" t="n">
        <f aca="false">Sens!$L$314*(1+Sens!$M$315)</f>
        <v>89.2758997248168</v>
      </c>
      <c r="N314" s="38" t="n">
        <f aca="false">Q!$N$14</f>
        <v>23.923</v>
      </c>
      <c r="O314" s="38" t="n">
        <f aca="false">Q!$O$14</f>
        <v>25.696</v>
      </c>
      <c r="P314" s="8" t="s">
        <v>667</v>
      </c>
    </row>
    <row r="315" customFormat="false" ht="17.15" hidden="false" customHeight="false" outlineLevel="0" collapsed="false">
      <c r="A315" s="0" t="s">
        <v>676</v>
      </c>
      <c r="B315" s="0" t="s">
        <v>52</v>
      </c>
      <c r="E315" s="13" t="n">
        <f aca="false">Sens!$E$314/Sens!$N$314-1</f>
        <v>0.135183714417088</v>
      </c>
      <c r="F315" s="13" t="n">
        <f aca="false">Sens!$O$314/(Q!$F$14+Q!$G$14)-1</f>
        <v>0.127709997366804</v>
      </c>
      <c r="G315" s="13" t="n">
        <f aca="false">Sens!$G$314/Sens!$D$314-1</f>
        <v>0.107104468022641</v>
      </c>
      <c r="H315" s="13" t="n">
        <f aca="false">Sens!$F$315+(g_sub-Sens!$F$315)*1/4</f>
        <v>0.113282498025103</v>
      </c>
      <c r="I315" s="13" t="n">
        <f aca="false">Sens!$F$315+(g_sub-Sens!$F$315)*2/4</f>
        <v>0.0988549986834021</v>
      </c>
      <c r="J315" s="13" t="n">
        <f aca="false">Sens!$F$315+(g_sub-Sens!$F$315)*3/4</f>
        <v>0.084427499341701</v>
      </c>
      <c r="K315" s="13" t="n">
        <f aca="false">Sens!$F$315+(g_sub-Sens!$F$315)*4/4</f>
        <v>0.07</v>
      </c>
      <c r="L315" s="13" t="n">
        <f aca="false">g_sub</f>
        <v>0.07</v>
      </c>
      <c r="M315" s="13" t="n">
        <f aca="false">g_sub</f>
        <v>0.07</v>
      </c>
      <c r="P315" s="8" t="s">
        <v>677</v>
      </c>
    </row>
    <row r="316" customFormat="false" ht="17.15" hidden="false" customHeight="false" outlineLevel="0" collapsed="false">
      <c r="A316" s="0" t="s">
        <v>524</v>
      </c>
      <c r="B316" s="0" t="s">
        <v>86</v>
      </c>
      <c r="C316" s="38" t="n">
        <f aca="false">Q!$D$15</f>
        <v>5.425</v>
      </c>
      <c r="D316" s="38" t="n">
        <f aca="false">Q!$E$15</f>
        <v>5.935</v>
      </c>
      <c r="E316" s="38" t="n">
        <f aca="false">Q!$P$15</f>
        <v>3.474</v>
      </c>
      <c r="F316" s="38" t="n">
        <f aca="false">Sens!$O$316*(1+Sens!$F$317)*Sens!$F$318</f>
        <v>3.22246550883619</v>
      </c>
      <c r="G316" s="38" t="n">
        <f aca="false">Sens!$E$316+Sens!$F$316</f>
        <v>6.69646550883619</v>
      </c>
      <c r="H316" s="38" t="n">
        <f aca="false">Sens!$G$316*(1+Sens!$H$317)</f>
        <v>7.16251344209196</v>
      </c>
      <c r="I316" s="38" t="n">
        <f aca="false">Sens!$H$316*(1+Sens!$I$317)</f>
        <v>7.61421070299826</v>
      </c>
      <c r="J316" s="38" t="n">
        <f aca="false">Sens!$I$316*(1+Sens!$J$317)</f>
        <v>8.04465753523932</v>
      </c>
      <c r="K316" s="38" t="n">
        <f aca="false">Sens!$J$316*(1+Sens!$K$317)</f>
        <v>8.44689041200128</v>
      </c>
      <c r="L316" s="38" t="n">
        <f aca="false">Sens!$K$316*(1+Sens!$L$317)</f>
        <v>8.86923493260135</v>
      </c>
      <c r="M316" s="38" t="n">
        <f aca="false">Sens!$L$316*(1+Sens!$M$317)</f>
        <v>9.31269667923142</v>
      </c>
      <c r="N316" s="38" t="n">
        <f aca="false">Q!$N$15</f>
        <v>2.811</v>
      </c>
      <c r="O316" s="38" t="n">
        <f aca="false">Q!$O$15</f>
        <v>3.124</v>
      </c>
      <c r="P316" s="8" t="s">
        <v>667</v>
      </c>
    </row>
    <row r="317" customFormat="false" ht="17.15" hidden="false" customHeight="false" outlineLevel="0" collapsed="false">
      <c r="A317" s="0" t="s">
        <v>678</v>
      </c>
      <c r="B317" s="0" t="s">
        <v>52</v>
      </c>
      <c r="E317" s="13" t="n">
        <f aca="false">Sens!$E$316/Sens!$N$316-1</f>
        <v>0.235859124866596</v>
      </c>
      <c r="F317" s="13" t="n">
        <f aca="false">Sens!$O$316/(Q!$F$15+Q!$G$15)-1</f>
        <v>0.0761281433000345</v>
      </c>
      <c r="G317" s="13" t="n">
        <f aca="false">Sens!$G$316/Sens!$D$316-1</f>
        <v>0.128300843948811</v>
      </c>
      <c r="H317" s="13" t="n">
        <f aca="false">Sens!$F$317+(g_ot-Sens!$F$317)*1/4</f>
        <v>0.0695961074750259</v>
      </c>
      <c r="I317" s="13" t="n">
        <f aca="false">Sens!$F$317+(g_ot-Sens!$F$317)*2/4</f>
        <v>0.0630640716500172</v>
      </c>
      <c r="J317" s="13" t="n">
        <f aca="false">Sens!$F$317+(g_ot-Sens!$F$317)*3/4</f>
        <v>0.0565320358250086</v>
      </c>
      <c r="K317" s="13" t="n">
        <f aca="false">Sens!$F$317+(g_ot-Sens!$F$317)*4/4</f>
        <v>0.05</v>
      </c>
      <c r="L317" s="13" t="n">
        <f aca="false">g_ot</f>
        <v>0.05</v>
      </c>
      <c r="M317" s="13" t="n">
        <f aca="false">g_ot</f>
        <v>0.05</v>
      </c>
      <c r="P317" s="8" t="s">
        <v>679</v>
      </c>
    </row>
    <row r="318" customFormat="false" ht="17.15" hidden="false" customHeight="false" outlineLevel="0" collapsed="false">
      <c r="A318" s="0" t="s">
        <v>680</v>
      </c>
      <c r="B318" s="0" t="s">
        <v>57</v>
      </c>
      <c r="F318" s="40" t="n">
        <f aca="false">(g26q3_mid*Q!$O$8/Q!$J$8-Thesis!$F$86-Thesis!$F$90)/(Sens!$O$306*(1+Sens!$F$307)+Sens!$O$308*(1+Sens!$F$309)+Sens!$O$310*(1+Sens!$F$311)+Sens!$O$312*(1+Sens!$F$313)+Sens!$O$314*(1+Sens!$F$315)+Sens!$O$316*(1+Sens!$F$317))</f>
        <v>0.958546670622329</v>
      </c>
      <c r="P318" s="8" t="s">
        <v>681</v>
      </c>
    </row>
    <row r="319" customFormat="false" ht="17.15" hidden="false" customHeight="false" outlineLevel="0" collapsed="false">
      <c r="A319" s="3" t="s">
        <v>682</v>
      </c>
      <c r="B319" s="8" t="s">
        <v>86</v>
      </c>
      <c r="C319" s="38" t="n">
        <f aca="false">Sens!$C$306+Sens!$C$308+Sens!$C$310+Sens!$C$312+Sens!$C$314+Sens!$C$316</f>
        <v>530.403</v>
      </c>
      <c r="D319" s="38" t="n">
        <f aca="false">Sens!$D$306+Sens!$D$308+Sens!$D$310+Sens!$D$312+Sens!$D$314+Sens!$D$316</f>
        <v>588.199</v>
      </c>
      <c r="E319" s="38" t="n">
        <f aca="false">Sens!$E$306+Sens!$E$308+Sens!$E$310+Sens!$E$312+Sens!$E$314+Sens!$E$316</f>
        <v>302.306</v>
      </c>
      <c r="F319" s="38" t="n">
        <f aca="false">Sens!$F$306+Sens!$F$308+Sens!$F$310+Sens!$F$312+Sens!$F$314+Sens!$F$316</f>
        <v>349.048241645537</v>
      </c>
      <c r="G319" s="38" t="n">
        <f aca="false">Sens!$G$306+Sens!$G$308+Sens!$G$310+Sens!$G$312+Sens!$G$314+Sens!$G$316</f>
        <v>651.354241645537</v>
      </c>
      <c r="H319" s="38" t="n">
        <f aca="false">Sens!$H$306+Sens!$H$308+Sens!$H$310+Sens!$H$312+Sens!$H$314+Sens!$H$316</f>
        <v>721.096889521386</v>
      </c>
      <c r="I319" s="38" t="n">
        <f aca="false">Sens!$I$306+Sens!$I$308+Sens!$I$310+Sens!$I$312+Sens!$I$314+Sens!$I$316</f>
        <v>788.529391152531</v>
      </c>
      <c r="J319" s="38" t="n">
        <f aca="false">Sens!$J$306+Sens!$J$308+Sens!$J$310+Sens!$J$312+Sens!$J$314+Sens!$J$316</f>
        <v>851.108405741443</v>
      </c>
      <c r="K319" s="38" t="n">
        <f aca="false">Sens!$K$306+Sens!$K$308+Sens!$K$310+Sens!$K$312+Sens!$K$314+Sens!$K$316</f>
        <v>906.176455431088</v>
      </c>
      <c r="L319" s="38" t="n">
        <f aca="false">Sens!$L$306+Sens!$L$308+Sens!$L$310+Sens!$L$312+Sens!$L$314+Sens!$L$316</f>
        <v>965.093106475589</v>
      </c>
      <c r="M319" s="38" t="n">
        <f aca="false">Sens!$M$306+Sens!$M$308+Sens!$M$310+Sens!$M$312+Sens!$M$314+Sens!$M$316</f>
        <v>1028.14790794689</v>
      </c>
      <c r="N319" s="38" t="n">
        <f aca="false">Sens!$N$306+Sens!$N$308+Sens!$N$310+Sens!$N$312+Sens!$N$314+Sens!$N$316</f>
        <v>263.229</v>
      </c>
      <c r="O319" s="38" t="n">
        <f aca="false">Sens!$O$306+Sens!$O$308+Sens!$O$310+Sens!$O$312+Sens!$O$314+Sens!$O$316</f>
        <v>324.97</v>
      </c>
    </row>
    <row r="320" customFormat="false" ht="17.15" hidden="false" customHeight="false" outlineLevel="0" collapsed="false">
      <c r="A320" s="5" t="s">
        <v>683</v>
      </c>
      <c r="B320" s="0" t="s">
        <v>52</v>
      </c>
      <c r="C320" s="13" t="n">
        <f aca="false">Q!$D$5/(Q!$D$5+Q!$D$6)</f>
        <v>0.730570905519011</v>
      </c>
      <c r="D320" s="13" t="n">
        <f aca="false">Q!$E$5/(Q!$E$5+Q!$E$6)</f>
        <v>0.724763217890544</v>
      </c>
      <c r="E320" s="13" t="n">
        <f aca="false">Q!$P$5/(Q!$P$5+Q!$P$6)</f>
        <v>0.728797972914861</v>
      </c>
      <c r="F320" s="13" t="n">
        <f aca="false">Sens!$O$320</f>
        <v>0.718066283041511</v>
      </c>
      <c r="G320" s="13" t="n">
        <f aca="false">Sens!$G$321/Sens!$G$319</f>
        <v>0.723047066202847</v>
      </c>
      <c r="H320" s="13" t="n">
        <f aca="false">Sens!$G$320</f>
        <v>0.723047066202847</v>
      </c>
      <c r="I320" s="13" t="n">
        <f aca="false">Sens!$G$320</f>
        <v>0.723047066202847</v>
      </c>
      <c r="J320" s="13" t="n">
        <f aca="false">Sens!$G$320</f>
        <v>0.723047066202847</v>
      </c>
      <c r="K320" s="13" t="n">
        <f aca="false">Sens!$G$320</f>
        <v>0.723047066202847</v>
      </c>
      <c r="L320" s="13" t="n">
        <f aca="false">Sens!$G$320</f>
        <v>0.723047066202847</v>
      </c>
      <c r="M320" s="13" t="n">
        <f aca="false">Sens!$G$320</f>
        <v>0.723047066202847</v>
      </c>
      <c r="N320" s="13" t="n">
        <f aca="false">Q!$N$5/(Q!$N$5+Q!$N$6)</f>
        <v>0.733030935041352</v>
      </c>
      <c r="O320" s="13" t="n">
        <f aca="false">Q!$O$5/(Q!$O$5+Q!$O$6)</f>
        <v>0.718066283041511</v>
      </c>
      <c r="P320" s="8" t="s">
        <v>684</v>
      </c>
    </row>
    <row r="321" customFormat="false" ht="17.15" hidden="false" customHeight="false" outlineLevel="0" collapsed="false">
      <c r="A321" s="1" t="s">
        <v>512</v>
      </c>
      <c r="B321" s="8" t="s">
        <v>86</v>
      </c>
      <c r="C321" s="38" t="n">
        <f aca="false">Q!$D$5</f>
        <v>387.497</v>
      </c>
      <c r="D321" s="38" t="n">
        <f aca="false">Q!$E$5</f>
        <v>426.305</v>
      </c>
      <c r="E321" s="38" t="n">
        <f aca="false">Q!$P$5</f>
        <v>220.32</v>
      </c>
      <c r="F321" s="38" t="n">
        <f aca="false">Sens!$F$319*Sens!$F$320</f>
        <v>250.639773480586</v>
      </c>
      <c r="G321" s="38" t="n">
        <f aca="false">Sens!$E$321+Sens!$F$321</f>
        <v>470.959773480586</v>
      </c>
      <c r="H321" s="38" t="n">
        <f aca="false">Sens!$H$319*Sens!$H$320</f>
        <v>521.386990416437</v>
      </c>
      <c r="I321" s="38" t="n">
        <f aca="false">Sens!$I$319*Sens!$I$320</f>
        <v>570.143862887555</v>
      </c>
      <c r="J321" s="38" t="n">
        <f aca="false">Sens!$J$319*Sens!$J$320</f>
        <v>615.391435791933</v>
      </c>
      <c r="K321" s="38" t="n">
        <f aca="false">Sens!$K$319*Sens!$K$320</f>
        <v>655.208227561543</v>
      </c>
      <c r="L321" s="38" t="n">
        <f aca="false">Sens!$L$319*Sens!$L$320</f>
        <v>697.807739249767</v>
      </c>
      <c r="M321" s="38" t="n">
        <f aca="false">Sens!$M$319*Sens!$M$320</f>
        <v>743.399328463592</v>
      </c>
      <c r="N321" s="38" t="n">
        <f aca="false">Q!$N$5</f>
        <v>192.955</v>
      </c>
      <c r="O321" s="38" t="n">
        <f aca="false">Q!$O$5</f>
        <v>233.35</v>
      </c>
      <c r="P321" s="5" t="s">
        <v>685</v>
      </c>
    </row>
    <row r="322" customFormat="false" ht="17.15" hidden="false" customHeight="false" outlineLevel="0" collapsed="false">
      <c r="A322" s="1" t="s">
        <v>515</v>
      </c>
      <c r="B322" s="8" t="s">
        <v>86</v>
      </c>
      <c r="C322" s="38" t="n">
        <f aca="false">Q!$D$6</f>
        <v>142.906</v>
      </c>
      <c r="D322" s="38" t="n">
        <f aca="false">Q!$E$6</f>
        <v>161.894</v>
      </c>
      <c r="E322" s="38" t="n">
        <f aca="false">Q!$P$6</f>
        <v>81.986</v>
      </c>
      <c r="F322" s="38" t="n">
        <f aca="false">Sens!$F$319*(1-Sens!$F$320)</f>
        <v>98.408468164951</v>
      </c>
      <c r="G322" s="38" t="n">
        <f aca="false">Sens!$E$322+Sens!$F$322</f>
        <v>180.394468164951</v>
      </c>
      <c r="H322" s="38" t="n">
        <f aca="false">Sens!$H$319*(1-Sens!$H$320)</f>
        <v>199.709899104949</v>
      </c>
      <c r="I322" s="38" t="n">
        <f aca="false">Sens!$I$319*(1-Sens!$I$320)</f>
        <v>218.385528264976</v>
      </c>
      <c r="J322" s="38" t="n">
        <f aca="false">Sens!$J$319*(1-Sens!$J$320)</f>
        <v>235.71696994951</v>
      </c>
      <c r="K322" s="38" t="n">
        <f aca="false">Sens!$K$319*(1-Sens!$K$320)</f>
        <v>250.968227869545</v>
      </c>
      <c r="L322" s="38" t="n">
        <f aca="false">Sens!$L$319*(1-Sens!$L$320)</f>
        <v>267.285367225822</v>
      </c>
      <c r="M322" s="38" t="n">
        <f aca="false">Sens!$M$319*(1-Sens!$M$320)</f>
        <v>284.748579483295</v>
      </c>
      <c r="N322" s="38" t="n">
        <f aca="false">Q!$N$6</f>
        <v>70.274</v>
      </c>
      <c r="O322" s="38" t="n">
        <f aca="false">Q!$O$6</f>
        <v>91.62</v>
      </c>
      <c r="P322" s="5" t="s">
        <v>686</v>
      </c>
    </row>
    <row r="323" customFormat="false" ht="17.15" hidden="false" customHeight="false" outlineLevel="0" collapsed="false">
      <c r="A323" s="5" t="s">
        <v>687</v>
      </c>
      <c r="B323" s="0" t="s">
        <v>86</v>
      </c>
      <c r="C323" s="38" t="n">
        <f aca="false">Sens!$C$312*Sens!$C$320</f>
        <v>41.0683128828457</v>
      </c>
      <c r="D323" s="38" t="n">
        <f aca="false">Sens!$D$312*Sens!$D$320</f>
        <v>49.7441234599175</v>
      </c>
      <c r="E323" s="38" t="n">
        <f aca="false">Sens!$E$312*Sens!$E$320</f>
        <v>27.0034224924414</v>
      </c>
      <c r="F323" s="38" t="n">
        <f aca="false">Sens!$F$312*Sens!$F$320</f>
        <v>33.1439448330513</v>
      </c>
      <c r="G323" s="38" t="n">
        <f aca="false">Sens!$G$312*Sens!$G$320</f>
        <v>60.164183844083</v>
      </c>
      <c r="H323" s="38" t="n">
        <f aca="false">Sens!$H$312*Sens!$H$320</f>
        <v>72.2301766552629</v>
      </c>
      <c r="I323" s="38" t="n">
        <f aca="false">Sens!$I$312*Sens!$I$320</f>
        <v>84.2950764463991</v>
      </c>
      <c r="J323" s="38" t="n">
        <f aca="false">Sens!$J$312*Sens!$J$320</f>
        <v>95.5499047729386</v>
      </c>
      <c r="K323" s="38" t="n">
        <f aca="false">Sens!$K$312*Sens!$K$320</f>
        <v>105.104895250232</v>
      </c>
      <c r="L323" s="38" t="n">
        <f aca="false">Sens!$L$312*Sens!$L$320</f>
        <v>115.615384775256</v>
      </c>
      <c r="M323" s="38" t="n">
        <f aca="false">Sens!$M$312*Sens!$M$320</f>
        <v>127.176923252781</v>
      </c>
      <c r="N323" s="38" t="n">
        <f aca="false">Sens!$N$312*Sens!$N$320</f>
        <v>21.7087111412496</v>
      </c>
      <c r="O323" s="38" t="n">
        <f aca="false">Sens!$O$312*Sens!$O$320</f>
        <v>28.0189463642798</v>
      </c>
      <c r="P323" s="5" t="s">
        <v>688</v>
      </c>
    </row>
    <row r="324" customFormat="false" ht="15" hidden="false" customHeight="false" outlineLevel="0" collapsed="false">
      <c r="A324" s="5" t="s">
        <v>689</v>
      </c>
      <c r="B324" s="0" t="s">
        <v>86</v>
      </c>
      <c r="C324" s="38" t="n">
        <f aca="false">Sens!$C$312-Sens!$C$323</f>
        <v>15.1456871171543</v>
      </c>
      <c r="D324" s="38" t="n">
        <f aca="false">Sens!$D$312-Sens!$D$323</f>
        <v>18.8908765400825</v>
      </c>
      <c r="E324" s="38" t="n">
        <f aca="false">Sens!$E$312-Sens!$E$323</f>
        <v>10.0485775075586</v>
      </c>
      <c r="F324" s="38" t="n">
        <f aca="false">Sens!$F$312-Sens!$F$323</f>
        <v>13.0132771613635</v>
      </c>
      <c r="G324" s="38" t="n">
        <f aca="false">Sens!$G$312-Sens!$G$323</f>
        <v>23.0450381503318</v>
      </c>
      <c r="H324" s="38" t="n">
        <f aca="false">Sens!$H$312-Sens!$H$323</f>
        <v>27.6667457326347</v>
      </c>
      <c r="I324" s="38" t="n">
        <f aca="false">Sens!$I$312-Sens!$I$323</f>
        <v>32.2880346490971</v>
      </c>
      <c r="J324" s="38" t="n">
        <f aca="false">Sens!$J$312-Sens!$J$323</f>
        <v>36.5990371690132</v>
      </c>
      <c r="K324" s="38" t="n">
        <f aca="false">Sens!$K$312-Sens!$K$323</f>
        <v>40.2589408859145</v>
      </c>
      <c r="L324" s="38" t="n">
        <f aca="false">Sens!$L$312-Sens!$L$323</f>
        <v>44.2848349745059</v>
      </c>
      <c r="M324" s="38" t="n">
        <f aca="false">Sens!$M$312-Sens!$M$323</f>
        <v>48.7133184719565</v>
      </c>
      <c r="N324" s="38" t="n">
        <f aca="false">Sens!$N$312-Sens!$N$323</f>
        <v>7.90628885875037</v>
      </c>
      <c r="O324" s="38" t="n">
        <f aca="false">Sens!$O$312-Sens!$O$323</f>
        <v>11.0010536357202</v>
      </c>
    </row>
    <row r="325" customFormat="false" ht="19.4" hidden="false" customHeight="false" outlineLevel="0" collapsed="false">
      <c r="A325" s="31" t="s">
        <v>1141</v>
      </c>
    </row>
    <row r="326" customFormat="false" ht="17.15" hidden="false" customHeight="false" outlineLevel="0" collapsed="false">
      <c r="A326" s="6" t="s">
        <v>16</v>
      </c>
      <c r="B326" s="6" t="s">
        <v>17</v>
      </c>
      <c r="C326" s="20" t="s">
        <v>497</v>
      </c>
      <c r="D326" s="20" t="s">
        <v>498</v>
      </c>
      <c r="E326" s="20" t="s">
        <v>580</v>
      </c>
      <c r="F326" s="20" t="s">
        <v>581</v>
      </c>
      <c r="G326" s="20" t="s">
        <v>582</v>
      </c>
      <c r="H326" s="20" t="s">
        <v>583</v>
      </c>
      <c r="I326" s="20" t="s">
        <v>584</v>
      </c>
      <c r="J326" s="20" t="s">
        <v>585</v>
      </c>
      <c r="K326" s="20" t="s">
        <v>586</v>
      </c>
      <c r="L326" s="20" t="s">
        <v>587</v>
      </c>
      <c r="M326" s="20" t="s">
        <v>588</v>
      </c>
      <c r="N326" s="20" t="s">
        <v>589</v>
      </c>
      <c r="O326" s="20" t="s">
        <v>590</v>
      </c>
      <c r="P326" s="6" t="s">
        <v>23</v>
      </c>
      <c r="R326" s="20" t="n">
        <v>2023</v>
      </c>
      <c r="S326" s="20" t="n">
        <v>2024</v>
      </c>
      <c r="T326" s="20" t="n">
        <v>2025</v>
      </c>
      <c r="U326" s="20" t="n">
        <v>2026</v>
      </c>
      <c r="V326" s="20" t="n">
        <v>2027</v>
      </c>
      <c r="W326" s="20" t="n">
        <v>2028</v>
      </c>
      <c r="X326" s="20" t="n">
        <v>2029</v>
      </c>
      <c r="Y326" s="20" t="n">
        <v>2030</v>
      </c>
      <c r="Z326" s="20" t="n">
        <v>2031</v>
      </c>
      <c r="AA326" s="20" t="n">
        <v>2032</v>
      </c>
    </row>
    <row r="327" customFormat="false" ht="17.15" hidden="false" customHeight="false" outlineLevel="0" collapsed="false">
      <c r="A327" s="1" t="s">
        <v>591</v>
      </c>
    </row>
    <row r="328" customFormat="false" ht="17.15" hidden="false" customHeight="false" outlineLevel="0" collapsed="false">
      <c r="A328" s="5" t="s">
        <v>592</v>
      </c>
      <c r="B328" s="0" t="s">
        <v>144</v>
      </c>
      <c r="H328" s="32" t="n">
        <f aca="false">pace_B</f>
        <v>3634.3</v>
      </c>
      <c r="I328" s="32" t="n">
        <f aca="false">pace_B</f>
        <v>3634.3</v>
      </c>
      <c r="J328" s="32" t="n">
        <f aca="false">pace_B</f>
        <v>3634.3</v>
      </c>
      <c r="K328" s="32" t="n">
        <f aca="false">pace_B+(Sens!$J$329*tg-pace_B)*1/3</f>
        <v>2570.86716666667</v>
      </c>
      <c r="L328" s="32" t="n">
        <f aca="false">pace_B+(Sens!$J$329*tg-pace_B)*2/3</f>
        <v>1507.43433333333</v>
      </c>
      <c r="M328" s="32" t="n">
        <f aca="false">pace_B+(Sens!$J$329*tg-pace_B)*3/3</f>
        <v>444.0015</v>
      </c>
      <c r="P328" s="5" t="s">
        <v>593</v>
      </c>
    </row>
    <row r="329" customFormat="false" ht="17.15" hidden="false" customHeight="false" outlineLevel="0" collapsed="false">
      <c r="A329" s="15" t="s">
        <v>594</v>
      </c>
      <c r="B329" s="14" t="s">
        <v>129</v>
      </c>
      <c r="C329" s="33" t="n">
        <f aca="false">mw_ye24</f>
        <v>360</v>
      </c>
      <c r="D329" s="33" t="n">
        <f aca="false">mw_ye25</f>
        <v>1440</v>
      </c>
      <c r="E329" s="33" t="n">
        <f aca="false">mw_open</f>
        <v>2080</v>
      </c>
      <c r="F329" s="33" t="n">
        <f aca="false">Sens!$E$329+pace_B*0.5</f>
        <v>3897.15</v>
      </c>
      <c r="G329" s="33" t="n">
        <f aca="false">Sens!$F$329</f>
        <v>3897.15</v>
      </c>
      <c r="H329" s="33" t="n">
        <f aca="false">Sens!$G$329+Sens!$H$328</f>
        <v>7531.45</v>
      </c>
      <c r="I329" s="33" t="n">
        <f aca="false">Sens!$H$329+Sens!$I$328</f>
        <v>11165.75</v>
      </c>
      <c r="J329" s="33" t="n">
        <f aca="false">Sens!$I$329+Sens!$J$328</f>
        <v>14800.05</v>
      </c>
      <c r="K329" s="33" t="n">
        <f aca="false">Sens!$J$329+Sens!$K$328</f>
        <v>17370.9171666667</v>
      </c>
      <c r="L329" s="33" t="n">
        <f aca="false">Sens!$K$329+Sens!$L$328</f>
        <v>18878.3515</v>
      </c>
      <c r="M329" s="33" t="n">
        <f aca="false">Sens!$L$329+Sens!$M$328</f>
        <v>19322.353</v>
      </c>
      <c r="N329" s="33" t="n">
        <f aca="false">(mw_ye24+mw_ye25)/2</f>
        <v>900</v>
      </c>
      <c r="O329" s="33" t="n">
        <f aca="false">mw_ye25</f>
        <v>1440</v>
      </c>
      <c r="P329" s="5" t="s">
        <v>595</v>
      </c>
    </row>
    <row r="330" customFormat="false" ht="17.15" hidden="false" customHeight="false" outlineLevel="0" collapsed="false">
      <c r="A330" s="5" t="s">
        <v>596</v>
      </c>
      <c r="B330" s="0" t="s">
        <v>129</v>
      </c>
      <c r="C330" s="32" t="n">
        <f aca="false">(mw_ye23+mw_ye24)/2</f>
        <v>240</v>
      </c>
      <c r="D330" s="32" t="n">
        <f aca="false">(Sens!$C$329+Sens!$D$329)/2</f>
        <v>900</v>
      </c>
      <c r="E330" s="32" t="n">
        <f aca="false">(Sens!$D$329+Sens!$E$329)/2</f>
        <v>1760</v>
      </c>
      <c r="F330" s="32" t="n">
        <f aca="false">(Sens!$E$329+Sens!$F$329)/2</f>
        <v>2988.575</v>
      </c>
      <c r="G330" s="32" t="n">
        <f aca="false">(Sens!$E$330+Sens!$F$330)/2</f>
        <v>2374.2875</v>
      </c>
      <c r="H330" s="32" t="n">
        <f aca="false">(Sens!$G$329+Sens!$H$329)/2</f>
        <v>5714.3</v>
      </c>
      <c r="I330" s="32" t="n">
        <f aca="false">(Sens!$H$329+Sens!$I$329)/2</f>
        <v>9348.6</v>
      </c>
      <c r="J330" s="32" t="n">
        <f aca="false">(Sens!$I$329+Sens!$J$329)/2</f>
        <v>12982.9</v>
      </c>
      <c r="K330" s="32" t="n">
        <f aca="false">(Sens!$J$329+Sens!$K$329)/2</f>
        <v>16085.4835833333</v>
      </c>
      <c r="L330" s="32" t="n">
        <f aca="false">(Sens!$K$329+Sens!$L$329)/2</f>
        <v>18124.6343333333</v>
      </c>
      <c r="M330" s="32" t="n">
        <f aca="false">(Sens!$L$329+Sens!$M$329)/2</f>
        <v>19100.35225</v>
      </c>
      <c r="N330" s="32" t="n">
        <f aca="false">(Sens!$C$329+Sens!$N$329)/2</f>
        <v>630</v>
      </c>
      <c r="O330" s="32" t="n">
        <f aca="false">(Sens!$N$329+Sens!$O$329)/2</f>
        <v>1170</v>
      </c>
    </row>
    <row r="331" customFormat="false" ht="15" hidden="false" customHeight="false" outlineLevel="0" collapsed="false">
      <c r="A331" s="5" t="s">
        <v>597</v>
      </c>
      <c r="B331" s="5" t="s">
        <v>123</v>
      </c>
      <c r="C331" s="34" t="n">
        <v>1</v>
      </c>
      <c r="D331" s="34" t="n">
        <v>1</v>
      </c>
      <c r="E331" s="34" t="n">
        <v>0.5</v>
      </c>
      <c r="F331" s="34" t="n">
        <v>0.5</v>
      </c>
      <c r="G331" s="34" t="n">
        <v>1</v>
      </c>
      <c r="H331" s="34" t="n">
        <v>1</v>
      </c>
      <c r="I331" s="34" t="n">
        <v>1</v>
      </c>
      <c r="J331" s="34" t="n">
        <v>1</v>
      </c>
      <c r="K331" s="34" t="n">
        <v>1</v>
      </c>
      <c r="L331" s="34" t="n">
        <v>1</v>
      </c>
      <c r="M331" s="34" t="n">
        <v>1</v>
      </c>
      <c r="N331" s="34" t="n">
        <v>0.5</v>
      </c>
      <c r="O331" s="34" t="n">
        <v>0.5</v>
      </c>
    </row>
    <row r="332" customFormat="false" ht="17.15" hidden="false" customHeight="false" outlineLevel="0" collapsed="false">
      <c r="A332" s="5" t="s">
        <v>598</v>
      </c>
      <c r="B332" s="0" t="s">
        <v>129</v>
      </c>
      <c r="C332" s="32" t="n">
        <f aca="false">Sens!$C$329-mw_ye23</f>
        <v>240</v>
      </c>
      <c r="D332" s="32" t="n">
        <f aca="false">Sens!$D$329-Sens!$C$329</f>
        <v>1080</v>
      </c>
      <c r="E332" s="32" t="n">
        <f aca="false">Sens!$E$329-Sens!$D$329</f>
        <v>640</v>
      </c>
      <c r="F332" s="32" t="n">
        <f aca="false">Sens!$F$329-Sens!$E$329</f>
        <v>1817.15</v>
      </c>
      <c r="G332" s="32" t="n">
        <f aca="false">Sens!$E$332+Sens!$F$332</f>
        <v>2457.15</v>
      </c>
      <c r="H332" s="32" t="n">
        <f aca="false">Sens!$H$329-Sens!$G$329</f>
        <v>3634.3</v>
      </c>
      <c r="I332" s="32" t="n">
        <f aca="false">Sens!$I$329-Sens!$H$329</f>
        <v>3634.3</v>
      </c>
      <c r="J332" s="32" t="n">
        <f aca="false">Sens!$J$329-Sens!$I$329</f>
        <v>3634.3</v>
      </c>
      <c r="K332" s="32" t="n">
        <f aca="false">Sens!$K$329-Sens!$J$329</f>
        <v>2570.86716666667</v>
      </c>
      <c r="L332" s="32" t="n">
        <f aca="false">Sens!$L$329-Sens!$K$329</f>
        <v>1507.43433333333</v>
      </c>
      <c r="M332" s="32" t="n">
        <f aca="false">Sens!$M$329-Sens!$L$329</f>
        <v>444.001499999999</v>
      </c>
      <c r="N332" s="32" t="n">
        <f aca="false">Sens!$N$329-Sens!$C$329</f>
        <v>540</v>
      </c>
      <c r="O332" s="32" t="n">
        <f aca="false">Sens!$O$329-Sens!$N$329</f>
        <v>540</v>
      </c>
    </row>
    <row r="333" customFormat="false" ht="17.15" hidden="false" customHeight="false" outlineLevel="0" collapsed="false">
      <c r="A333" s="5" t="s">
        <v>599</v>
      </c>
      <c r="B333" s="0" t="s">
        <v>129</v>
      </c>
      <c r="C333" s="32" t="n">
        <f aca="false">Sens!$C$332/ext_sh</f>
        <v>300</v>
      </c>
      <c r="D333" s="32" t="n">
        <f aca="false">Sens!$D$332/ext_sh</f>
        <v>1350</v>
      </c>
      <c r="E333" s="32" t="n">
        <f aca="false">Sens!$E$332/ext_sh</f>
        <v>800</v>
      </c>
      <c r="F333" s="32" t="n">
        <f aca="false">Sens!$F$332/ext_sh</f>
        <v>2271.4375</v>
      </c>
      <c r="G333" s="32" t="n">
        <f aca="false">Sens!$G$332/ext_sh</f>
        <v>3071.4375</v>
      </c>
      <c r="H333" s="32" t="n">
        <f aca="false">Sens!$H$332/ext_sh</f>
        <v>4542.875</v>
      </c>
      <c r="I333" s="32" t="n">
        <f aca="false">Sens!$I$332/ext_sh</f>
        <v>4542.875</v>
      </c>
      <c r="J333" s="32" t="n">
        <f aca="false">Sens!$J$332/ext_sh</f>
        <v>4542.875</v>
      </c>
      <c r="K333" s="32" t="n">
        <f aca="false">Sens!$K$332/ext_sh</f>
        <v>3213.58395833333</v>
      </c>
      <c r="L333" s="32" t="n">
        <f aca="false">Sens!$L$332/ext_sh</f>
        <v>1884.29291666667</v>
      </c>
      <c r="M333" s="32" t="n">
        <f aca="false">Sens!$M$332/ext_sh</f>
        <v>555.001874999998</v>
      </c>
      <c r="N333" s="32" t="n">
        <f aca="false">Sens!$N$332/ext_sh</f>
        <v>675</v>
      </c>
      <c r="O333" s="32" t="n">
        <f aca="false">Sens!$O$332/ext_sh</f>
        <v>675</v>
      </c>
      <c r="P333" s="8" t="s">
        <v>600</v>
      </c>
      <c r="R333" s="32" t="n">
        <f aca="false">mw_ye23/ext_sh</f>
        <v>150</v>
      </c>
      <c r="S333" s="32" t="n">
        <f aca="false">Sens!$C$333</f>
        <v>300</v>
      </c>
      <c r="T333" s="32" t="n">
        <f aca="false">Sens!$D$333</f>
        <v>1350</v>
      </c>
      <c r="U333" s="32" t="n">
        <f aca="false">Sens!$G$333</f>
        <v>3071.4375</v>
      </c>
      <c r="V333" s="32" t="n">
        <f aca="false">Sens!$H$333</f>
        <v>4542.875</v>
      </c>
      <c r="W333" s="32" t="n">
        <f aca="false">Sens!$I$333</f>
        <v>4542.875</v>
      </c>
      <c r="X333" s="32" t="n">
        <f aca="false">Sens!$J$333</f>
        <v>4542.875</v>
      </c>
      <c r="Y333" s="32" t="n">
        <f aca="false">Sens!$K$333</f>
        <v>3213.58395833333</v>
      </c>
      <c r="Z333" s="32" t="n">
        <f aca="false">Sens!$L$333</f>
        <v>1884.29291666667</v>
      </c>
      <c r="AA333" s="32" t="n">
        <f aca="false">Sens!$M$333</f>
        <v>555.001874999998</v>
      </c>
    </row>
    <row r="334" customFormat="false" ht="17.15" hidden="false" customHeight="false" outlineLevel="0" collapsed="false">
      <c r="A334" s="1" t="s">
        <v>601</v>
      </c>
    </row>
    <row r="335" customFormat="false" ht="17.15" hidden="false" customHeight="false" outlineLevel="0" collapsed="false">
      <c r="A335" s="0" t="s">
        <v>602</v>
      </c>
      <c r="B335" s="0" t="s">
        <v>52</v>
      </c>
      <c r="F335" s="35" t="n">
        <f aca="false">na_vr26</f>
        <v>0</v>
      </c>
      <c r="G335" s="35" t="n">
        <f aca="false">na_vr26</f>
        <v>0</v>
      </c>
      <c r="H335" s="35" t="n">
        <f aca="false">na_vr27</f>
        <v>0.5</v>
      </c>
      <c r="I335" s="35" t="n">
        <f aca="false">na_vr28</f>
        <v>1</v>
      </c>
      <c r="J335" s="35" t="n">
        <f aca="false">na_vr28</f>
        <v>1</v>
      </c>
      <c r="K335" s="35" t="n">
        <f aca="false">na_vr28</f>
        <v>1</v>
      </c>
      <c r="L335" s="35" t="n">
        <f aca="false">na_vr28</f>
        <v>1</v>
      </c>
      <c r="M335" s="35" t="n">
        <f aca="false">na_vr28</f>
        <v>1</v>
      </c>
    </row>
    <row r="336" customFormat="false" ht="17.15" hidden="false" customHeight="false" outlineLevel="0" collapsed="false">
      <c r="A336" s="5" t="s">
        <v>603</v>
      </c>
      <c r="B336" s="0" t="s">
        <v>173</v>
      </c>
      <c r="F336" s="36" t="n">
        <f aca="false">cust_sh*tk_he_gb300*cf_chip+(1-cust_sh)*((1-Sens!$F$335)*tk_he_gb300+Sens!$F$335*tk_he_vr200)</f>
        <v>10.8864110021101</v>
      </c>
      <c r="G336" s="36" t="n">
        <f aca="false">cust_sh*tk_he_gb300*cf_chip+(1-cust_sh)*((1-Sens!$G$335)*tk_he_gb300+Sens!$G$335*tk_he_vr200)</f>
        <v>10.8864110021101</v>
      </c>
      <c r="H336" s="36" t="n">
        <f aca="false">cust_sh*tk_he_gb300*cf_chip+(1-cust_sh)*((1-Sens!$H$335)*tk_he_gb300+Sens!$H$335*tk_he_vr200)</f>
        <v>11.2211760027286</v>
      </c>
      <c r="I336" s="36" t="n">
        <f aca="false">cust_sh*tk_he_gb300*cf_chip+(1-cust_sh)*((1-Sens!$I$335)*tk_he_gb300+Sens!$I$335*tk_he_vr200)</f>
        <v>11.5559410033471</v>
      </c>
      <c r="J336" s="36" t="n">
        <f aca="false">cust_sh*tk_he_gb300*cf_chip+(1-cust_sh)*((1-Sens!$J$335)*tk_he_gb300+Sens!$J$335*tk_he_vr200)</f>
        <v>11.5559410033471</v>
      </c>
      <c r="K336" s="36" t="n">
        <f aca="false">cust_sh*tk_he_gb300*cf_chip+(1-cust_sh)*((1-Sens!$K$335)*tk_he_gb300+Sens!$K$335*tk_he_vr200)</f>
        <v>11.5559410033471</v>
      </c>
      <c r="L336" s="36" t="n">
        <f aca="false">cust_sh*tk_he_gb300*cf_chip+(1-cust_sh)*((1-Sens!$L$335)*tk_he_gb300+Sens!$L$335*tk_he_vr200)</f>
        <v>11.5559410033471</v>
      </c>
      <c r="M336" s="36" t="n">
        <f aca="false">cust_sh*tk_he_gb300*cf_chip+(1-cust_sh)*((1-Sens!$M$335)*tk_he_gb300+Sens!$M$335*tk_he_vr200)</f>
        <v>11.5559410033471</v>
      </c>
    </row>
    <row r="337" customFormat="false" ht="17.15" hidden="false" customHeight="false" outlineLevel="0" collapsed="false">
      <c r="A337" s="5" t="s">
        <v>604</v>
      </c>
      <c r="B337" s="0" t="s">
        <v>173</v>
      </c>
      <c r="F337" s="36" t="n">
        <f aca="false">cust_sh*tk_ox_gb300+(1-cust_sh)*((1-Sens!$F$335)*tk_ox_gb300+Sens!$F$335*tk_ox_vr200)</f>
        <v>1.98263481314457</v>
      </c>
      <c r="G337" s="36" t="n">
        <f aca="false">cust_sh*tk_ox_gb300+(1-cust_sh)*((1-Sens!$G$335)*tk_ox_gb300+Sens!$G$335*tk_ox_vr200)</f>
        <v>1.98263481314457</v>
      </c>
      <c r="H337" s="36" t="n">
        <f aca="false">cust_sh*tk_ox_gb300+(1-cust_sh)*((1-Sens!$H$335)*tk_ox_gb300+Sens!$H$335*tk_ox_vr200)</f>
        <v>2.01034999693694</v>
      </c>
      <c r="I337" s="36" t="n">
        <f aca="false">cust_sh*tk_ox_gb300+(1-cust_sh)*((1-Sens!$I$335)*tk_ox_gb300+Sens!$I$335*tk_ox_vr200)</f>
        <v>2.0380651807293</v>
      </c>
      <c r="J337" s="36" t="n">
        <f aca="false">cust_sh*tk_ox_gb300+(1-cust_sh)*((1-Sens!$J$335)*tk_ox_gb300+Sens!$J$335*tk_ox_vr200)</f>
        <v>2.0380651807293</v>
      </c>
      <c r="K337" s="36" t="n">
        <f aca="false">cust_sh*tk_ox_gb300+(1-cust_sh)*((1-Sens!$K$335)*tk_ox_gb300+Sens!$K$335*tk_ox_vr200)</f>
        <v>2.0380651807293</v>
      </c>
      <c r="L337" s="36" t="n">
        <f aca="false">cust_sh*tk_ox_gb300+(1-cust_sh)*((1-Sens!$L$335)*tk_ox_gb300+Sens!$L$335*tk_ox_vr200)</f>
        <v>2.0380651807293</v>
      </c>
      <c r="M337" s="36" t="n">
        <f aca="false">cust_sh*tk_ox_gb300+(1-cust_sh)*((1-Sens!$M$335)*tk_ox_gb300+Sens!$M$335*tk_ox_vr200)</f>
        <v>2.0380651807293</v>
      </c>
    </row>
    <row r="338" customFormat="false" ht="17.15" hidden="false" customHeight="false" outlineLevel="0" collapsed="false">
      <c r="A338" s="5" t="s">
        <v>605</v>
      </c>
      <c r="B338" s="0" t="s">
        <v>192</v>
      </c>
      <c r="F338" s="36" t="n">
        <f aca="false">cust_sh*tk_cx_gb300*cf_cx+(1-cust_sh)*((1-Sens!$F$335)*tk_cx_gb300+Sens!$F$335*tk_cx_vr200)</f>
        <v>32.237224</v>
      </c>
      <c r="G338" s="36" t="n">
        <f aca="false">cust_sh*tk_cx_gb300*cf_cx+(1-cust_sh)*((1-Sens!$G$335)*tk_cx_gb300+Sens!$G$335*tk_cx_vr200)</f>
        <v>32.237224</v>
      </c>
      <c r="H338" s="36" t="n">
        <f aca="false">cust_sh*tk_cx_gb300*cf_cx+(1-cust_sh)*((1-Sens!$H$335)*tk_cx_gb300+Sens!$H$335*tk_cx_vr200)</f>
        <v>33.574506</v>
      </c>
      <c r="I338" s="36" t="n">
        <f aca="false">cust_sh*tk_cx_gb300*cf_cx+(1-cust_sh)*((1-Sens!$I$335)*tk_cx_gb300+Sens!$I$335*tk_cx_vr200)</f>
        <v>34.911788</v>
      </c>
      <c r="J338" s="36" t="n">
        <f aca="false">cust_sh*tk_cx_gb300*cf_cx+(1-cust_sh)*((1-Sens!$J$335)*tk_cx_gb300+Sens!$J$335*tk_cx_vr200)</f>
        <v>34.911788</v>
      </c>
      <c r="K338" s="36" t="n">
        <f aca="false">cust_sh*tk_cx_gb300*cf_cx+(1-cust_sh)*((1-Sens!$K$335)*tk_cx_gb300+Sens!$K$335*tk_cx_vr200)</f>
        <v>34.911788</v>
      </c>
      <c r="L338" s="36" t="n">
        <f aca="false">cust_sh*tk_cx_gb300*cf_cx+(1-cust_sh)*((1-Sens!$L$335)*tk_cx_gb300+Sens!$L$335*tk_cx_vr200)</f>
        <v>34.911788</v>
      </c>
      <c r="M338" s="36" t="n">
        <f aca="false">cust_sh*tk_cx_gb300*cf_cx+(1-cust_sh)*((1-Sens!$M$335)*tk_cx_gb300+Sens!$M$335*tk_cx_vr200)</f>
        <v>34.911788</v>
      </c>
    </row>
    <row r="339" customFormat="false" ht="17.15" hidden="false" customHeight="false" outlineLevel="0" collapsed="false">
      <c r="A339" s="5" t="s">
        <v>606</v>
      </c>
      <c r="B339" s="0" t="s">
        <v>129</v>
      </c>
      <c r="F339" s="32" t="n">
        <f aca="false">Sens!$F$329-mw_open</f>
        <v>1817.15</v>
      </c>
      <c r="G339" s="32" t="n">
        <f aca="false">Sens!$F$339</f>
        <v>1817.15</v>
      </c>
      <c r="H339" s="32" t="n">
        <f aca="false">Sens!$H$329-mw_open</f>
        <v>5451.45</v>
      </c>
      <c r="I339" s="32" t="n">
        <f aca="false">Sens!$I$329-mw_open</f>
        <v>9085.75</v>
      </c>
      <c r="J339" s="32" t="n">
        <f aca="false">Sens!$J$329-mw_open</f>
        <v>12720.05</v>
      </c>
      <c r="K339" s="32" t="n">
        <f aca="false">Sens!$K$329-mw_open</f>
        <v>15290.9171666667</v>
      </c>
      <c r="L339" s="32" t="n">
        <f aca="false">Sens!$L$329-mw_open</f>
        <v>16798.3515</v>
      </c>
      <c r="M339" s="32" t="n">
        <f aca="false">Sens!$M$329-mw_open</f>
        <v>17242.353</v>
      </c>
    </row>
    <row r="340" customFormat="false" ht="17.15" hidden="false" customHeight="false" outlineLevel="0" collapsed="false">
      <c r="A340" s="0" t="s">
        <v>607</v>
      </c>
      <c r="B340" s="0" t="s">
        <v>608</v>
      </c>
      <c r="F340" s="32" t="n">
        <f aca="false">Sens!$F$332*Sens!$F$336</f>
        <v>19782.2417524844</v>
      </c>
      <c r="G340" s="32" t="n">
        <f aca="false">Sens!$F$340</f>
        <v>19782.2417524844</v>
      </c>
      <c r="H340" s="32" t="n">
        <f aca="false">Sens!$G$340+Sens!$H$332*Sens!$H$336</f>
        <v>60563.3616992009</v>
      </c>
      <c r="I340" s="32" t="n">
        <f aca="false">Sens!$H$340+Sens!$I$332*Sens!$I$336</f>
        <v>102561.118087665</v>
      </c>
      <c r="J340" s="32" t="n">
        <f aca="false">Sens!$I$340+Sens!$J$332*Sens!$J$336</f>
        <v>144558.87447613</v>
      </c>
      <c r="K340" s="32" t="n">
        <f aca="false">Sens!$J$340+Sens!$K$332*Sens!$K$336</f>
        <v>174267.663781572</v>
      </c>
      <c r="L340" s="32" t="n">
        <f aca="false">Sens!$K$340+Sens!$L$332*Sens!$L$336</f>
        <v>191687.486003992</v>
      </c>
      <c r="M340" s="32" t="n">
        <f aca="false">Sens!$L$340+Sens!$M$332*Sens!$M$336</f>
        <v>196818.341143389</v>
      </c>
    </row>
    <row r="341" customFormat="false" ht="17.15" hidden="false" customHeight="false" outlineLevel="0" collapsed="false">
      <c r="A341" s="0" t="s">
        <v>609</v>
      </c>
      <c r="B341" s="0" t="s">
        <v>608</v>
      </c>
      <c r="F341" s="32" t="n">
        <f aca="false">Sens!$F$332*Sens!$F$337</f>
        <v>3602.74485070566</v>
      </c>
      <c r="G341" s="32" t="n">
        <f aca="false">Sens!$F$341</f>
        <v>3602.74485070566</v>
      </c>
      <c r="H341" s="32" t="n">
        <f aca="false">Sens!$G$341+Sens!$H$332*Sens!$H$337</f>
        <v>10908.9598445736</v>
      </c>
      <c r="I341" s="32" t="n">
        <f aca="false">Sens!$H$341+Sens!$I$332*Sens!$I$337</f>
        <v>18315.9001308981</v>
      </c>
      <c r="J341" s="32" t="n">
        <f aca="false">Sens!$I$341+Sens!$J$332*Sens!$J$337</f>
        <v>25722.8404172225</v>
      </c>
      <c r="K341" s="32" t="n">
        <f aca="false">Sens!$J$341+Sens!$K$332*Sens!$K$337</f>
        <v>30962.4352738861</v>
      </c>
      <c r="L341" s="32" t="n">
        <f aca="false">Sens!$K$341+Sens!$L$332*Sens!$L$337</f>
        <v>34034.6847008886</v>
      </c>
      <c r="M341" s="32" t="n">
        <f aca="false">Sens!$L$341+Sens!$M$332*Sens!$M$337</f>
        <v>34939.5886982302</v>
      </c>
    </row>
    <row r="342" customFormat="false" ht="17.15" hidden="false" customHeight="false" outlineLevel="0" collapsed="false">
      <c r="A342" s="5" t="s">
        <v>610</v>
      </c>
      <c r="B342" s="0" t="s">
        <v>173</v>
      </c>
      <c r="F342" s="36" t="n">
        <f aca="false">IF(Sens!$F$339&gt;0,Sens!$F$340/Sens!$F$339,Sens!$F$336)</f>
        <v>10.8864110021101</v>
      </c>
      <c r="G342" s="36" t="n">
        <f aca="false">IF(Sens!$G$339&gt;0,Sens!$G$340/Sens!$G$339,Sens!$G$336)</f>
        <v>10.8864110021101</v>
      </c>
      <c r="H342" s="36" t="n">
        <f aca="false">IF(Sens!$H$339&gt;0,Sens!$H$340/Sens!$H$339,Sens!$H$336)</f>
        <v>11.1095876691891</v>
      </c>
      <c r="I342" s="36" t="n">
        <f aca="false">IF(Sens!$I$339&gt;0,Sens!$I$340/Sens!$I$339,Sens!$I$336)</f>
        <v>11.2881290028523</v>
      </c>
      <c r="J342" s="36" t="n">
        <f aca="false">IF(Sens!$J$339&gt;0,Sens!$J$340/Sens!$J$339,Sens!$J$336)</f>
        <v>11.3646467172794</v>
      </c>
      <c r="K342" s="36" t="n">
        <f aca="false">IF(Sens!$K$339&gt;0,Sens!$K$340/Sens!$K$339,Sens!$K$336)</f>
        <v>11.3968090914432</v>
      </c>
      <c r="L342" s="36" t="n">
        <f aca="false">IF(Sens!$L$339&gt;0,Sens!$L$340/Sens!$L$339,Sens!$L$336)</f>
        <v>11.4110891181192</v>
      </c>
      <c r="M342" s="36" t="n">
        <f aca="false">IF(Sens!$M$339&gt;0,Sens!$M$340/Sens!$M$339,Sens!$M$336)</f>
        <v>11.4148191458201</v>
      </c>
    </row>
    <row r="343" customFormat="false" ht="17.15" hidden="false" customHeight="false" outlineLevel="0" collapsed="false">
      <c r="A343" s="5" t="s">
        <v>611</v>
      </c>
      <c r="B343" s="0" t="s">
        <v>173</v>
      </c>
      <c r="F343" s="36" t="n">
        <f aca="false">IF(Sens!$F$339&gt;0,Sens!$F$341/Sens!$F$339,Sens!$F$337)</f>
        <v>1.98263481314457</v>
      </c>
      <c r="G343" s="36" t="n">
        <f aca="false">IF(Sens!$G$339&gt;0,Sens!$G$341/Sens!$G$339,Sens!$G$337)</f>
        <v>1.98263481314457</v>
      </c>
      <c r="H343" s="36" t="n">
        <f aca="false">IF(Sens!$H$339&gt;0,Sens!$H$341/Sens!$H$339,Sens!$H$337)</f>
        <v>2.00111160233948</v>
      </c>
      <c r="I343" s="36" t="n">
        <f aca="false">IF(Sens!$I$339&gt;0,Sens!$I$341/Sens!$I$339,Sens!$I$337)</f>
        <v>2.01589303369541</v>
      </c>
      <c r="J343" s="36" t="n">
        <f aca="false">IF(Sens!$J$339&gt;0,Sens!$J$341/Sens!$J$339,Sens!$J$337)</f>
        <v>2.02222793284795</v>
      </c>
      <c r="K343" s="36" t="n">
        <f aca="false">IF(Sens!$K$339&gt;0,Sens!$K$341/Sens!$K$339,Sens!$K$337)</f>
        <v>2.02489065478573</v>
      </c>
      <c r="L343" s="36" t="n">
        <f aca="false">IF(Sens!$L$339&gt;0,Sens!$L$341/Sens!$L$339,Sens!$L$337)</f>
        <v>2.0260728977417</v>
      </c>
      <c r="M343" s="36" t="n">
        <f aca="false">IF(Sens!$M$339&gt;0,Sens!$M$341/Sens!$M$339,Sens!$M$337)</f>
        <v>2.02638170661685</v>
      </c>
    </row>
    <row r="344" customFormat="false" ht="17.15" hidden="false" customHeight="false" outlineLevel="0" collapsed="false">
      <c r="A344" s="15" t="s">
        <v>612</v>
      </c>
      <c r="B344" s="14" t="s">
        <v>173</v>
      </c>
      <c r="C344" s="14"/>
      <c r="D344" s="14"/>
      <c r="E344" s="14"/>
      <c r="F344" s="37" t="n">
        <f aca="false">Sens!$F$342*k_C</f>
        <v>8.98049677377134</v>
      </c>
      <c r="G344" s="37" t="n">
        <f aca="false">Sens!$G$342*k_C</f>
        <v>8.98049677377134</v>
      </c>
      <c r="H344" s="37" t="n">
        <f aca="false">Sens!$H$342*k_C</f>
        <v>9.16460128151917</v>
      </c>
      <c r="I344" s="37" t="n">
        <f aca="false">Sens!$I$342*k_C</f>
        <v>9.31188488771743</v>
      </c>
      <c r="J344" s="37" t="n">
        <f aca="false">Sens!$J$342*k_C</f>
        <v>9.37500643323097</v>
      </c>
      <c r="K344" s="37" t="n">
        <f aca="false">Sens!$K$342*k_C</f>
        <v>9.40153805116815</v>
      </c>
      <c r="L344" s="37" t="n">
        <f aca="false">Sens!$L$342*k_C</f>
        <v>9.41331803388866</v>
      </c>
      <c r="M344" s="37" t="n">
        <f aca="false">Sens!$M$342*k_C</f>
        <v>9.41639503527393</v>
      </c>
      <c r="N344" s="14"/>
      <c r="O344" s="14"/>
      <c r="P344" s="5" t="s">
        <v>613</v>
      </c>
    </row>
    <row r="345" customFormat="false" ht="17.15" hidden="false" customHeight="false" outlineLevel="0" collapsed="false">
      <c r="A345" s="5" t="s">
        <v>614</v>
      </c>
      <c r="B345" s="0" t="s">
        <v>129</v>
      </c>
      <c r="F345" s="32" t="n">
        <f aca="false">Sens!$F$339/2</f>
        <v>908.575</v>
      </c>
      <c r="H345" s="32" t="n">
        <f aca="false">(Sens!$G$339+Sens!$H$339)/2</f>
        <v>3634.3</v>
      </c>
      <c r="I345" s="32" t="n">
        <f aca="false">(Sens!$H$339+Sens!$I$339)/2</f>
        <v>7268.6</v>
      </c>
      <c r="J345" s="32" t="n">
        <f aca="false">(Sens!$I$339+Sens!$J$339)/2</f>
        <v>10902.9</v>
      </c>
      <c r="K345" s="32" t="n">
        <f aca="false">(Sens!$J$339+Sens!$K$339)/2</f>
        <v>14005.4835833333</v>
      </c>
      <c r="L345" s="32" t="n">
        <f aca="false">(Sens!$K$339+Sens!$L$339)/2</f>
        <v>16044.6343333333</v>
      </c>
      <c r="M345" s="32" t="n">
        <f aca="false">(Sens!$L$339+Sens!$M$339)/2</f>
        <v>17020.35225</v>
      </c>
    </row>
    <row r="346" customFormat="false" ht="17.15" hidden="false" customHeight="false" outlineLevel="0" collapsed="false">
      <c r="A346" s="1" t="s">
        <v>615</v>
      </c>
    </row>
    <row r="347" customFormat="false" ht="17.15" hidden="false" customHeight="false" outlineLevel="0" collapsed="false">
      <c r="A347" s="1" t="s">
        <v>616</v>
      </c>
      <c r="B347" s="8" t="s">
        <v>86</v>
      </c>
      <c r="C347" s="38" t="n">
        <f aca="false">Sens!$C$330*rpm_open*Sens!$C$331/1000</f>
        <v>2.32100535697364</v>
      </c>
      <c r="D347" s="38" t="n">
        <f aca="false">Sens!$D$330*rpm_open*Sens!$D$331/1000</f>
        <v>8.70377008865116</v>
      </c>
      <c r="E347" s="38" t="n">
        <f aca="false">Sens!$E$330*rpm_open*Sens!$E$331/1000</f>
        <v>8.51035297557002</v>
      </c>
      <c r="F347" s="38" t="n">
        <f aca="false">(mw_open*rpm_open+Sens!$F$345*Sens!$F$344)*Sens!$F$331/1000</f>
        <v>14.1374173083338</v>
      </c>
      <c r="G347" s="38" t="n">
        <f aca="false">Sens!$E$347+Sens!$F$347</f>
        <v>22.6477702839038</v>
      </c>
      <c r="H347" s="38" t="n">
        <f aca="false">(mw_open*rpm_open+Sens!$H$345*Sens!$H$344)/1000</f>
        <v>53.4222901978634</v>
      </c>
      <c r="I347" s="38" t="n">
        <f aca="false">(mw_open*rpm_open+Sens!$I$345*Sens!$I$344)/1000</f>
        <v>87.7997462553011</v>
      </c>
      <c r="J347" s="38" t="n">
        <f aca="false">(mw_open*rpm_open+Sens!$J$345*Sens!$J$344)/1000</f>
        <v>122.330137401312</v>
      </c>
      <c r="K347" s="38" t="n">
        <f aca="false">(mw_open*rpm_open+Sens!$K$345*Sens!$K$344)/1000</f>
        <v>151.788466594157</v>
      </c>
      <c r="L347" s="38" t="n">
        <f aca="false">(mw_open*rpm_open+Sens!$L$345*Sens!$L$344)/1000</f>
        <v>171.148625477554</v>
      </c>
      <c r="M347" s="38" t="n">
        <f aca="false">(mw_open*rpm_open+Sens!$M$345*Sens!$M$344)/1000</f>
        <v>180.385740185952</v>
      </c>
      <c r="N347" s="38" t="n">
        <f aca="false">Sens!$N$330*rpm_open*Sens!$N$331/1000</f>
        <v>3.04631953102791</v>
      </c>
      <c r="O347" s="38" t="n">
        <f aca="false">Sens!$O$330*rpm_open*Sens!$O$331/1000</f>
        <v>5.65745055762326</v>
      </c>
      <c r="P347" s="5" t="s">
        <v>617</v>
      </c>
    </row>
    <row r="348" customFormat="false" ht="17.15" hidden="false" customHeight="false" outlineLevel="0" collapsed="false">
      <c r="A348" s="5" t="s">
        <v>618</v>
      </c>
      <c r="B348" s="0" t="s">
        <v>173</v>
      </c>
      <c r="C348" s="36" t="n">
        <f aca="false">Sens!$C$347*1000/(Sens!$C$330*Sens!$C$331)</f>
        <v>9.67085565405685</v>
      </c>
      <c r="D348" s="36" t="n">
        <f aca="false">Sens!$D$347*1000/(Sens!$D$330*Sens!$D$331)</f>
        <v>9.67085565405685</v>
      </c>
      <c r="E348" s="36" t="n">
        <f aca="false">Sens!$E$347*1000/(Sens!$E$330*Sens!$E$331)</f>
        <v>9.67085565405685</v>
      </c>
      <c r="F348" s="36" t="n">
        <f aca="false">Sens!$F$347*1000/(Sens!$F$330*Sens!$F$331)</f>
        <v>9.46097542028142</v>
      </c>
      <c r="G348" s="36" t="n">
        <f aca="false">Sens!$G$347*1000/(Sens!$G$330*Sens!$G$331)</f>
        <v>9.53876490690525</v>
      </c>
      <c r="H348" s="36" t="n">
        <f aca="false">Sens!$H$347*1000/(Sens!$H$330*Sens!$H$331)</f>
        <v>9.34887741243255</v>
      </c>
      <c r="I348" s="36" t="n">
        <f aca="false">Sens!$I$347*1000/(Sens!$I$330*Sens!$I$331)</f>
        <v>9.39175344493305</v>
      </c>
      <c r="J348" s="36" t="n">
        <f aca="false">Sens!$J$347*1000/(Sens!$J$330*Sens!$J$331)</f>
        <v>9.42240465545542</v>
      </c>
      <c r="K348" s="36" t="n">
        <f aca="false">Sens!$K$347*1000/(Sens!$K$330*Sens!$K$331)</f>
        <v>9.43636327797009</v>
      </c>
      <c r="L348" s="36" t="n">
        <f aca="false">Sens!$L$347*1000/(Sens!$L$330*Sens!$L$331)</f>
        <v>9.4428732922237</v>
      </c>
      <c r="M348" s="36" t="n">
        <f aca="false">Sens!$M$347*1000/(Sens!$M$330*Sens!$M$331)</f>
        <v>9.44410541883864</v>
      </c>
      <c r="N348" s="36" t="n">
        <f aca="false">Sens!$N$347*1000/(Sens!$N$330*Sens!$N$331)</f>
        <v>9.67085565405685</v>
      </c>
      <c r="O348" s="36" t="n">
        <f aca="false">Sens!$O$347*1000/(Sens!$O$330*Sens!$O$331)</f>
        <v>9.67085565405685</v>
      </c>
    </row>
    <row r="349" customFormat="false" ht="17.15" hidden="false" customHeight="false" outlineLevel="0" collapsed="false">
      <c r="A349" s="0" t="s">
        <v>619</v>
      </c>
      <c r="B349" s="0" t="s">
        <v>86</v>
      </c>
      <c r="C349" s="38" t="n">
        <f aca="false">Sens!$C$330/ext_sh*(ox_open+rent_mw)*Sens!$C$331/1000</f>
        <v>0.642569210675032</v>
      </c>
      <c r="D349" s="38" t="n">
        <f aca="false">Sens!$D$330/ext_sh*(ox_open+rent_mw)*Sens!$D$331/1000</f>
        <v>2.40963454003137</v>
      </c>
      <c r="E349" s="38" t="n">
        <f aca="false">Sens!$E$330/ext_sh*(ox_open+rent_mw)*Sens!$E$331/1000</f>
        <v>2.35608710580845</v>
      </c>
      <c r="F349" s="38" t="n">
        <f aca="false">((mw_open*ox_open+Sens!$F$345*Sens!$F$343)/ext_sh+Sens!$F$330/ext_sh*rent_mw)*Sens!$F$331/1000</f>
        <v>4.05421991106232</v>
      </c>
      <c r="G349" s="38" t="n">
        <f aca="false">Sens!$E$349+Sens!$F$349</f>
        <v>6.41030701687077</v>
      </c>
      <c r="H349" s="38" t="n">
        <f aca="false">((mw_open*ox_open+Sens!$H$345*Sens!$H$343)/ext_sh+Sens!$H$330/ext_sh*rent_mw)*Sens!$H$331/1000</f>
        <v>15.8108975546616</v>
      </c>
      <c r="I349" s="38" t="n">
        <f aca="false">((mw_open*ox_open+Sens!$I$345*Sens!$I$343)/ext_sh+Sens!$I$330/ext_sh*rent_mw)*Sens!$I$331/1000</f>
        <v>26.1871623400817</v>
      </c>
      <c r="J349" s="38" t="n">
        <f aca="false">((mw_open*ox_open+Sens!$J$345*Sens!$J$343)/ext_sh+Sens!$J$330/ext_sh*rent_mw)*Sens!$J$331/1000</f>
        <v>36.5826128954935</v>
      </c>
      <c r="K349" s="38" t="n">
        <f aca="false">((mw_open*ox_open+Sens!$K$345*Sens!$K$343)/ext_sh+Sens!$K$330/ext_sh*rent_mw)*Sens!$K$331/1000</f>
        <v>45.4546361137628</v>
      </c>
      <c r="L349" s="38" t="n">
        <f aca="false">((mw_open*ox_open+Sens!$L$345*Sens!$L$343)/ext_sh+Sens!$L$330/ext_sh*rent_mw)*Sens!$L$331/1000</f>
        <v>51.2855695554452</v>
      </c>
      <c r="M349" s="38" t="n">
        <f aca="false">((mw_open*ox_open+Sens!$M$345*Sens!$M$343)/ext_sh+Sens!$M$330/ext_sh*rent_mw)*Sens!$M$331/1000</f>
        <v>54.0722927838398</v>
      </c>
      <c r="N349" s="38" t="n">
        <f aca="false">Sens!$N$330/ext_sh*(ox_open+rent_mw)*Sens!$N$331/1000</f>
        <v>0.84337208901098</v>
      </c>
      <c r="O349" s="38" t="n">
        <f aca="false">Sens!$O$330/ext_sh*(ox_open+rent_mw)*Sens!$O$331/1000</f>
        <v>1.56626245102039</v>
      </c>
    </row>
    <row r="350" customFormat="false" ht="17.15" hidden="false" customHeight="false" outlineLevel="0" collapsed="false">
      <c r="A350" s="0" t="s">
        <v>620</v>
      </c>
      <c r="B350" s="0" t="s">
        <v>86</v>
      </c>
      <c r="C350" s="38" t="n">
        <f aca="false">Q!$D$7</f>
        <v>107.556</v>
      </c>
      <c r="D350" s="38" t="n">
        <f aca="false">Q!$E$7</f>
        <v>128.725</v>
      </c>
      <c r="E350" s="38" t="n">
        <f aca="false">Q!$P$7</f>
        <v>79.819</v>
      </c>
      <c r="N350" s="38" t="n">
        <f aca="false">Q!$N$7</f>
        <v>60.14</v>
      </c>
      <c r="O350" s="38" t="n">
        <f aca="false">Q!$O$7</f>
        <v>68.585</v>
      </c>
    </row>
    <row r="351" customFormat="false" ht="17.15" hidden="false" customHeight="false" outlineLevel="0" collapsed="false">
      <c r="A351" s="1" t="s">
        <v>621</v>
      </c>
      <c r="B351" s="8" t="s">
        <v>86</v>
      </c>
      <c r="C351" s="38" t="n">
        <f aca="false">Sens!$C$350-Sens!$C$347</f>
        <v>105.234994643026</v>
      </c>
      <c r="D351" s="38" t="n">
        <f aca="false">Sens!$D$350-Sens!$D$347</f>
        <v>120.021229911349</v>
      </c>
      <c r="E351" s="38" t="n">
        <f aca="false">Sens!$E$350-Sens!$E$347</f>
        <v>71.30864702443</v>
      </c>
      <c r="F351" s="38" t="n">
        <f aca="false">Sens!$O$351*(1+Sens!$F$352)</f>
        <v>71.7692997942464</v>
      </c>
      <c r="G351" s="38" t="n">
        <f aca="false">Sens!$E$351+Sens!$F$351</f>
        <v>143.077946818676</v>
      </c>
      <c r="H351" s="38" t="n">
        <f aca="false">Sens!$G$351*(1+Sens!$H$352)</f>
        <v>161.017077079203</v>
      </c>
      <c r="I351" s="38" t="n">
        <f aca="false">Sens!$H$351*(1+Sens!$I$352)</f>
        <v>178.769759521457</v>
      </c>
      <c r="J351" s="38" t="n">
        <f aca="false">Sens!$I$351*(1+Sens!$J$352)</f>
        <v>195.775538045907</v>
      </c>
      <c r="K351" s="38" t="n">
        <f aca="false">Sens!$J$351*(1+Sens!$K$352)</f>
        <v>211.43758108958</v>
      </c>
      <c r="L351" s="38" t="n">
        <f aca="false">Sens!$K$351*(1+Sens!$L$352)</f>
        <v>228.352587576746</v>
      </c>
      <c r="M351" s="38" t="n">
        <f aca="false">Sens!$L$351*(1+Sens!$M$352)</f>
        <v>246.620794582886</v>
      </c>
      <c r="N351" s="38" t="n">
        <f aca="false">Sens!$N$350-Sens!$N$347</f>
        <v>57.0936804689721</v>
      </c>
      <c r="O351" s="38" t="n">
        <f aca="false">Sens!$O$350-Sens!$O$347</f>
        <v>62.9275494423768</v>
      </c>
      <c r="P351" s="5" t="s">
        <v>622</v>
      </c>
    </row>
    <row r="352" customFormat="false" ht="17.15" hidden="false" customHeight="false" outlineLevel="0" collapsed="false">
      <c r="A352" s="0" t="s">
        <v>623</v>
      </c>
      <c r="B352" s="0" t="s">
        <v>52</v>
      </c>
      <c r="D352" s="13" t="n">
        <f aca="false">Sens!$D$351/Sens!$C$351-1</f>
        <v>0.140506827776062</v>
      </c>
      <c r="E352" s="13" t="n">
        <f aca="false">Sens!$E$351/Sens!$N$351-1</f>
        <v>0.248976181579029</v>
      </c>
      <c r="F352" s="13" t="n">
        <f aca="false">Sens!$D$352</f>
        <v>0.140506827776062</v>
      </c>
      <c r="G352" s="13" t="n">
        <f aca="false">Sens!$G$351/Sens!$D$351-1</f>
        <v>0.19210532106993</v>
      </c>
      <c r="H352" s="13" t="n">
        <f aca="false">Sens!$F$352+(g_awso_lt-Sens!$F$352)*1/4</f>
        <v>0.125380120832046</v>
      </c>
      <c r="I352" s="13" t="n">
        <f aca="false">Sens!$F$352+(g_awso_lt-Sens!$F$352)*2/4</f>
        <v>0.110253413888031</v>
      </c>
      <c r="J352" s="13" t="n">
        <f aca="false">Sens!$F$352+(g_awso_lt-Sens!$F$352)*3/4</f>
        <v>0.0951267069440154</v>
      </c>
      <c r="K352" s="13" t="n">
        <f aca="false">Sens!$F$352+(g_awso_lt-Sens!$F$352)*4/4</f>
        <v>0.08</v>
      </c>
      <c r="L352" s="13" t="n">
        <f aca="false">g_awso_lt</f>
        <v>0.08</v>
      </c>
      <c r="M352" s="13" t="n">
        <f aca="false">g_awso_lt</f>
        <v>0.08</v>
      </c>
      <c r="P352" s="5" t="s">
        <v>624</v>
      </c>
    </row>
    <row r="353" customFormat="false" ht="17.15" hidden="false" customHeight="false" outlineLevel="0" collapsed="false">
      <c r="A353" s="1" t="s">
        <v>625</v>
      </c>
    </row>
    <row r="354" customFormat="false" ht="17.15" hidden="false" customHeight="false" outlineLevel="0" collapsed="false">
      <c r="A354" s="0" t="s">
        <v>626</v>
      </c>
      <c r="B354" s="0" t="s">
        <v>86</v>
      </c>
      <c r="F354" s="38" t="n">
        <f aca="false">cx_rt*Sens!$F$319+cx_awso*Sens!$F$351</f>
        <v>34.9734495387866</v>
      </c>
    </row>
    <row r="355" customFormat="false" ht="17.15" hidden="false" customHeight="false" outlineLevel="0" collapsed="false">
      <c r="A355" s="0" t="s">
        <v>627</v>
      </c>
      <c r="B355" s="0" t="s">
        <v>52</v>
      </c>
      <c r="C355" s="13" t="n">
        <f aca="false">tk_cx_h100/(tk_cx_h100+tk_fac*(1-colo_sh))</f>
        <v>0.730756458006641</v>
      </c>
      <c r="D355" s="13" t="n">
        <f aca="false">tk_cx_h100/(tk_cx_h100+tk_fac*(1-colo_sh))</f>
        <v>0.730756458006641</v>
      </c>
      <c r="E355" s="13" t="n">
        <f aca="false">Sens!$F$355</f>
        <v>0.760792334328868</v>
      </c>
      <c r="F355" s="13" t="n">
        <f aca="false">Sens!$F$338/(Sens!$F$338+tk_fac*(1-colo_sh))</f>
        <v>0.760792334328868</v>
      </c>
      <c r="G355" s="13" t="n">
        <f aca="false">Sens!$G$338/(Sens!$G$338+tk_fac*(1-colo_sh))</f>
        <v>0.760792334328868</v>
      </c>
      <c r="H355" s="13" t="n">
        <f aca="false">Sens!$H$338/(Sens!$H$338+tk_fac*(1-colo_sh))</f>
        <v>0.768110668862996</v>
      </c>
      <c r="I355" s="13" t="n">
        <f aca="false">Sens!$I$338/(Sens!$I$338+tk_fac*(1-colo_sh))</f>
        <v>0.77499450139483</v>
      </c>
      <c r="J355" s="13" t="n">
        <f aca="false">Sens!$J$338/(Sens!$J$338+tk_fac*(1-colo_sh))</f>
        <v>0.77499450139483</v>
      </c>
      <c r="K355" s="13" t="n">
        <f aca="false">Sens!$K$338/(Sens!$K$338+tk_fac*(1-colo_sh))</f>
        <v>0.77499450139483</v>
      </c>
      <c r="L355" s="13" t="n">
        <f aca="false">Sens!$L$338/(Sens!$L$338+tk_fac*(1-colo_sh))</f>
        <v>0.77499450139483</v>
      </c>
      <c r="M355" s="13" t="n">
        <f aca="false">Sens!$M$338/(Sens!$M$338+tk_fac*(1-colo_sh))</f>
        <v>0.77499450139483</v>
      </c>
    </row>
    <row r="356" customFormat="false" ht="17.15" hidden="false" customHeight="false" outlineLevel="0" collapsed="false">
      <c r="A356" s="1" t="s">
        <v>628</v>
      </c>
      <c r="B356" s="8" t="s">
        <v>86</v>
      </c>
      <c r="C356" s="38" t="n">
        <f aca="false">Q!$D$46-cx_rt*Q!$D$16-cx_awso*Sens!$C$351</f>
        <v>25.2781053077374</v>
      </c>
      <c r="D356" s="38" t="n">
        <f aca="false">Q!$E$46-cx_rt*Q!$E$16-cx_awso*Sens!$D$351</f>
        <v>69.5686316310026</v>
      </c>
      <c r="E356" s="38" t="n">
        <f aca="false">Q!$P$46-cx_rt*Q!$P$16-cx_awso*Sens!$E$351</f>
        <v>64.1899206485108</v>
      </c>
      <c r="F356" s="38" t="n">
        <f aca="false">MAX(Sens!$F$333*(Sens!$F$338+tk_fac*(1-colo_sh))/1000,capex_g26-Q!$P$46-Sens!$F$354)</f>
        <v>96.2481299895</v>
      </c>
      <c r="G356" s="38" t="n">
        <f aca="false">Sens!$E$356+Sens!$F$356</f>
        <v>160.438050638011</v>
      </c>
      <c r="H356" s="38" t="n">
        <f aca="false">Sens!$H$333*(Sens!$H$338+tk_fac*(1-colo_sh))/1000+Sens!$H$357</f>
        <v>198.57136494475</v>
      </c>
      <c r="I356" s="38" t="n">
        <f aca="false">Sens!$I$333*(Sens!$I$338+tk_fac*(1-colo_sh))/1000+Sens!$I$357</f>
        <v>204.6464699105</v>
      </c>
      <c r="J356" s="38" t="n">
        <f aca="false">Sens!$J$333*(Sens!$J$338+tk_fac*(1-colo_sh))/1000+Sens!$J$357</f>
        <v>209.8832381105</v>
      </c>
      <c r="K356" s="38" t="n">
        <f aca="false">Sens!$K$333*(Sens!$K$338+tk_fac*(1-colo_sh))/1000+Sens!$K$357</f>
        <v>155.238385275201</v>
      </c>
      <c r="L356" s="38" t="n">
        <f aca="false">Sens!$L$333*(Sens!$L$338+tk_fac*(1-colo_sh))/1000+Sens!$L$357</f>
        <v>132.014141639902</v>
      </c>
      <c r="M356" s="38" t="n">
        <f aca="false">Sens!$M$333*(Sens!$M$338+tk_fac*(1-colo_sh))/1000+Sens!$M$357</f>
        <v>132.230981659852</v>
      </c>
      <c r="P356" s="5" t="s">
        <v>629</v>
      </c>
      <c r="R356" s="38" t="n">
        <f aca="false">Q!$C$46-cx_rt*Q!$C$16-cx_awso*(Q!$C$7-mw_ye23/2*rpm_open/1000)</f>
        <v>1.50429979529945</v>
      </c>
      <c r="S356" s="38" t="n">
        <f aca="false">Sens!$C$356</f>
        <v>25.2781053077374</v>
      </c>
      <c r="T356" s="38" t="n">
        <f aca="false">Sens!$D$356</f>
        <v>69.5686316310026</v>
      </c>
      <c r="U356" s="38" t="n">
        <f aca="false">Sens!$G$356</f>
        <v>160.438050638011</v>
      </c>
      <c r="V356" s="38" t="n">
        <f aca="false">Sens!$H$356</f>
        <v>198.57136494475</v>
      </c>
      <c r="W356" s="38" t="n">
        <f aca="false">Sens!$I$356</f>
        <v>204.6464699105</v>
      </c>
      <c r="X356" s="38" t="n">
        <f aca="false">Sens!$J$356</f>
        <v>209.8832381105</v>
      </c>
      <c r="Y356" s="38" t="n">
        <f aca="false">Sens!$K$356</f>
        <v>155.238385275201</v>
      </c>
      <c r="Z356" s="38" t="n">
        <f aca="false">Sens!$L$356</f>
        <v>132.014141639902</v>
      </c>
      <c r="AA356" s="38" t="n">
        <f aca="false">Sens!$M$356</f>
        <v>132.230981659852</v>
      </c>
    </row>
    <row r="357" customFormat="false" ht="17.15" hidden="false" customHeight="false" outlineLevel="0" collapsed="false">
      <c r="A357" s="0" t="s">
        <v>630</v>
      </c>
      <c r="B357" s="0" t="s">
        <v>86</v>
      </c>
      <c r="H357" s="38" t="n">
        <f aca="false">SUMPRODUCT(--(Sens!$R$326:$AA$326=2027-tk_life),Sens!$R$333:$AA$333)*Sens!$H$338/1000</f>
        <v>0</v>
      </c>
      <c r="I357" s="38" t="n">
        <f aca="false">SUMPRODUCT(--(Sens!$R$326:$AA$326=2028-tk_life),Sens!$R$333:$AA$333)*Sens!$I$338/1000</f>
        <v>0</v>
      </c>
      <c r="J357" s="38" t="n">
        <f aca="false">SUMPRODUCT(--(Sens!$R$326:$AA$326=2029-tk_life),Sens!$R$333:$AA$333)*Sens!$J$338/1000</f>
        <v>5.2367682</v>
      </c>
      <c r="K357" s="38" t="n">
        <f aca="false">SUMPRODUCT(--(Sens!$R$326:$AA$326=2030-tk_life),Sens!$R$333:$AA$333)*Sens!$K$338/1000</f>
        <v>10.4735364</v>
      </c>
      <c r="L357" s="38" t="n">
        <f aca="false">SUMPRODUCT(--(Sens!$R$326:$AA$326=2031-tk_life),Sens!$R$333:$AA$333)*Sens!$L$338/1000</f>
        <v>47.1309138</v>
      </c>
      <c r="M357" s="38" t="n">
        <f aca="false">SUMPRODUCT(--(Sens!$R$326:$AA$326=2032-tk_life),Sens!$R$333:$AA$333)*Sens!$M$338/1000</f>
        <v>107.22937485525</v>
      </c>
    </row>
    <row r="358" customFormat="false" ht="17.15" hidden="false" customHeight="false" outlineLevel="0" collapsed="false">
      <c r="A358" s="0" t="s">
        <v>631</v>
      </c>
      <c r="B358" s="0" t="s">
        <v>86</v>
      </c>
      <c r="C358" s="38" t="n">
        <f aca="false">MIN(Sens!$C$356,Sens!$C$333*(tk_cx_h100+tk_fac*(1-colo_sh))/1000)</f>
        <v>11.2938642</v>
      </c>
      <c r="D358" s="38" t="n">
        <f aca="false">MIN(Sens!$D$356,Sens!$D$333*(tk_cx_h100+tk_fac*(1-colo_sh))/1000)</f>
        <v>50.8223889</v>
      </c>
      <c r="E358" s="38" t="n">
        <f aca="false">MIN(Sens!$E$356,Sens!$E$333*(Sens!$F$338+tk_fac*(1-colo_sh))/1000)</f>
        <v>33.8985792</v>
      </c>
      <c r="F358" s="38" t="n">
        <f aca="false">Sens!$F$356</f>
        <v>96.2481299895</v>
      </c>
      <c r="G358" s="38" t="n">
        <f aca="false">Sens!$E$358+Sens!$F$358</f>
        <v>130.1467091895</v>
      </c>
      <c r="H358" s="38" t="n">
        <f aca="false">Sens!$H$356</f>
        <v>198.57136494475</v>
      </c>
      <c r="I358" s="38" t="n">
        <f aca="false">Sens!$I$356</f>
        <v>204.6464699105</v>
      </c>
      <c r="J358" s="38" t="n">
        <f aca="false">Sens!$J$356</f>
        <v>209.8832381105</v>
      </c>
      <c r="K358" s="38" t="n">
        <f aca="false">Sens!$K$356</f>
        <v>155.238385275201</v>
      </c>
      <c r="L358" s="38" t="n">
        <f aca="false">Sens!$L$356</f>
        <v>132.014141639902</v>
      </c>
      <c r="M358" s="38" t="n">
        <f aca="false">Sens!$M$356</f>
        <v>132.230981659852</v>
      </c>
      <c r="P358" s="5" t="s">
        <v>632</v>
      </c>
      <c r="R358" s="38" t="n">
        <f aca="false">MIN(Sens!$R$356,Sens!$R$333*(tk_cx_h100+tk_fac*(1-colo_sh))/1000)</f>
        <v>1.50429979529945</v>
      </c>
      <c r="S358" s="38" t="n">
        <f aca="false">Sens!$C$358</f>
        <v>11.2938642</v>
      </c>
      <c r="T358" s="38" t="n">
        <f aca="false">Sens!$D$358</f>
        <v>50.8223889</v>
      </c>
      <c r="U358" s="38" t="n">
        <f aca="false">Sens!$G$358</f>
        <v>130.1467091895</v>
      </c>
      <c r="V358" s="38" t="n">
        <f aca="false">Sens!$H$358</f>
        <v>198.57136494475</v>
      </c>
      <c r="W358" s="38" t="n">
        <f aca="false">Sens!$I$358</f>
        <v>204.6464699105</v>
      </c>
      <c r="X358" s="38" t="n">
        <f aca="false">Sens!$J$358</f>
        <v>209.8832381105</v>
      </c>
      <c r="Y358" s="38" t="n">
        <f aca="false">Sens!$K$358</f>
        <v>155.238385275201</v>
      </c>
      <c r="Z358" s="38" t="n">
        <f aca="false">Sens!$L$358</f>
        <v>132.014141639902</v>
      </c>
      <c r="AA358" s="38" t="n">
        <f aca="false">Sens!$M$358</f>
        <v>132.230981659852</v>
      </c>
    </row>
    <row r="359" customFormat="false" ht="17.15" hidden="false" customHeight="false" outlineLevel="0" collapsed="false">
      <c r="A359" s="5" t="s">
        <v>633</v>
      </c>
      <c r="B359" s="0" t="s">
        <v>86</v>
      </c>
      <c r="C359" s="38" t="n">
        <f aca="false">Sens!$C$356-Sens!$C$358</f>
        <v>13.9842411077374</v>
      </c>
      <c r="D359" s="38" t="n">
        <f aca="false">Sens!$D$356-Sens!$D$358</f>
        <v>18.7462427310026</v>
      </c>
      <c r="E359" s="38" t="n">
        <f aca="false">Sens!$E$356-Sens!$E$358</f>
        <v>30.2913414485108</v>
      </c>
      <c r="F359" s="38" t="n">
        <f aca="false">Sens!$F$356-Sens!$F$358</f>
        <v>0</v>
      </c>
      <c r="G359" s="38" t="n">
        <f aca="false">Sens!$G$356-Sens!$G$358</f>
        <v>30.2913414485108</v>
      </c>
      <c r="H359" s="38" t="n">
        <f aca="false">Sens!$H$356-Sens!$H$358</f>
        <v>0</v>
      </c>
      <c r="I359" s="38" t="n">
        <f aca="false">Sens!$I$356-Sens!$I$358</f>
        <v>0</v>
      </c>
      <c r="J359" s="38" t="n">
        <f aca="false">Sens!$J$356-Sens!$J$358</f>
        <v>0</v>
      </c>
      <c r="K359" s="38" t="n">
        <f aca="false">Sens!$K$356-Sens!$K$358</f>
        <v>0</v>
      </c>
      <c r="L359" s="38" t="n">
        <f aca="false">Sens!$L$356-Sens!$L$358</f>
        <v>0</v>
      </c>
      <c r="M359" s="38" t="n">
        <f aca="false">Sens!$M$356-Sens!$M$358</f>
        <v>0</v>
      </c>
    </row>
    <row r="360" customFormat="false" ht="17.15" hidden="false" customHeight="false" outlineLevel="0" collapsed="false">
      <c r="A360" s="5" t="s">
        <v>634</v>
      </c>
      <c r="B360" s="0" t="s">
        <v>86</v>
      </c>
      <c r="C360" s="38" t="n">
        <f aca="false">Sens!$C$358*Sens!$C$355</f>
        <v>8.2530642</v>
      </c>
      <c r="D360" s="38" t="n">
        <f aca="false">Sens!$D$358*Sens!$D$355</f>
        <v>37.1387889</v>
      </c>
      <c r="E360" s="38" t="n">
        <f aca="false">Sens!$E$358*Sens!$E$355</f>
        <v>25.7897792</v>
      </c>
      <c r="F360" s="38" t="n">
        <f aca="false">Sens!$F$358*Sens!$F$355</f>
        <v>73.2248394895</v>
      </c>
      <c r="G360" s="38" t="n">
        <f aca="false">Sens!$E$360+Sens!$F$360</f>
        <v>99.0146186895</v>
      </c>
      <c r="H360" s="38" t="n">
        <f aca="false">(Sens!$H$358-Sens!$H$357)*Sens!$H$355+Sens!$H$357</f>
        <v>152.52478394475</v>
      </c>
      <c r="I360" s="38" t="n">
        <f aca="false">(Sens!$I$358-Sens!$I$357)*Sens!$I$355+Sens!$I$357</f>
        <v>158.5998889105</v>
      </c>
      <c r="J360" s="38" t="n">
        <f aca="false">(Sens!$J$358-Sens!$J$357)*Sens!$J$355+Sens!$J$357</f>
        <v>163.8366571105</v>
      </c>
      <c r="K360" s="38" t="n">
        <f aca="false">(Sens!$K$358-Sens!$K$357)*Sens!$K$355+Sens!$K$357</f>
        <v>122.665498273534</v>
      </c>
      <c r="L360" s="38" t="n">
        <f aca="false">(Sens!$L$358-Sens!$L$357)*Sens!$L$355+Sens!$L$357</f>
        <v>112.914948636568</v>
      </c>
      <c r="M360" s="38" t="n">
        <f aca="false">(Sens!$M$358-Sens!$M$357)*Sens!$M$355+Sens!$M$357</f>
        <v>126.605482654852</v>
      </c>
      <c r="R360" s="38" t="n">
        <f aca="false">Sens!$R$358*Sens!$C$355</f>
        <v>1.09927679019314</v>
      </c>
      <c r="S360" s="38" t="n">
        <f aca="false">Sens!$C$360</f>
        <v>8.2530642</v>
      </c>
      <c r="T360" s="38" t="n">
        <f aca="false">Sens!$D$360</f>
        <v>37.1387889</v>
      </c>
      <c r="U360" s="38" t="n">
        <f aca="false">Sens!$G$360</f>
        <v>99.0146186895</v>
      </c>
      <c r="V360" s="38" t="n">
        <f aca="false">Sens!$H$360</f>
        <v>152.52478394475</v>
      </c>
      <c r="W360" s="38" t="n">
        <f aca="false">Sens!$I$360</f>
        <v>158.5998889105</v>
      </c>
      <c r="X360" s="38" t="n">
        <f aca="false">Sens!$J$360</f>
        <v>163.8366571105</v>
      </c>
      <c r="Y360" s="38" t="n">
        <f aca="false">Sens!$K$360</f>
        <v>122.665498273534</v>
      </c>
      <c r="Z360" s="38" t="n">
        <f aca="false">Sens!$L$360</f>
        <v>112.914948636568</v>
      </c>
      <c r="AA360" s="38" t="n">
        <f aca="false">Sens!$M$360</f>
        <v>126.605482654852</v>
      </c>
    </row>
    <row r="361" customFormat="false" ht="15" hidden="false" customHeight="false" outlineLevel="0" collapsed="false">
      <c r="A361" s="5" t="s">
        <v>635</v>
      </c>
      <c r="B361" s="0" t="s">
        <v>86</v>
      </c>
      <c r="C361" s="38" t="n">
        <f aca="false">Sens!$C$358-Sens!$C$360</f>
        <v>3.0408</v>
      </c>
      <c r="D361" s="38" t="n">
        <f aca="false">Sens!$D$358-Sens!$D$360</f>
        <v>13.6836</v>
      </c>
      <c r="E361" s="38" t="n">
        <f aca="false">Sens!$E$358-Sens!$E$360</f>
        <v>8.1088</v>
      </c>
      <c r="F361" s="38" t="n">
        <f aca="false">Sens!$F$358-Sens!$F$360</f>
        <v>23.0232905</v>
      </c>
      <c r="G361" s="38" t="n">
        <f aca="false">Sens!$G$358-Sens!$G$360</f>
        <v>31.1320905</v>
      </c>
      <c r="H361" s="38" t="n">
        <f aca="false">Sens!$H$358-Sens!$H$360</f>
        <v>46.046581</v>
      </c>
      <c r="I361" s="38" t="n">
        <f aca="false">Sens!$I$358-Sens!$I$360</f>
        <v>46.046581</v>
      </c>
      <c r="J361" s="38" t="n">
        <f aca="false">Sens!$J$358-Sens!$J$360</f>
        <v>46.046581</v>
      </c>
      <c r="K361" s="38" t="n">
        <f aca="false">Sens!$K$358-Sens!$K$360</f>
        <v>32.5728870016667</v>
      </c>
      <c r="L361" s="38" t="n">
        <f aca="false">Sens!$L$358-Sens!$L$360</f>
        <v>19.0991930033334</v>
      </c>
      <c r="M361" s="38" t="n">
        <f aca="false">Sens!$M$358-Sens!$M$360</f>
        <v>5.62549900499998</v>
      </c>
      <c r="R361" s="38" t="n">
        <f aca="false">Sens!$R$358-Sens!$R$360</f>
        <v>0.405023005106309</v>
      </c>
      <c r="S361" s="38" t="n">
        <f aca="false">Sens!$S$358-Sens!$S$360</f>
        <v>3.0408</v>
      </c>
      <c r="T361" s="38" t="n">
        <f aca="false">Sens!$T$358-Sens!$T$360</f>
        <v>13.6836</v>
      </c>
      <c r="U361" s="38" t="n">
        <f aca="false">Sens!$U$358-Sens!$U$360</f>
        <v>31.1320905</v>
      </c>
      <c r="V361" s="38" t="n">
        <f aca="false">Sens!$V$358-Sens!$V$360</f>
        <v>46.046581</v>
      </c>
      <c r="W361" s="38" t="n">
        <f aca="false">Sens!$W$358-Sens!$W$360</f>
        <v>46.046581</v>
      </c>
      <c r="X361" s="38" t="n">
        <f aca="false">Sens!$X$358-Sens!$X$360</f>
        <v>46.046581</v>
      </c>
      <c r="Y361" s="38" t="n">
        <f aca="false">Sens!$Y$358-Sens!$Y$360</f>
        <v>32.5728870016667</v>
      </c>
      <c r="Z361" s="38" t="n">
        <f aca="false">Sens!$Z$358-Sens!$Z$360</f>
        <v>19.0991930033334</v>
      </c>
      <c r="AA361" s="38" t="n">
        <f aca="false">Sens!$AA$358-Sens!$AA$360</f>
        <v>5.62549900499998</v>
      </c>
    </row>
    <row r="362" customFormat="false" ht="17.15" hidden="false" customHeight="false" outlineLevel="0" collapsed="false">
      <c r="A362" s="0" t="s">
        <v>636</v>
      </c>
      <c r="B362" s="0" t="s">
        <v>52</v>
      </c>
      <c r="C362" s="13" t="n">
        <f aca="false">Sens!$C$356/Sens!$C$478</f>
        <v>0.325505489553393</v>
      </c>
      <c r="D362" s="13" t="n">
        <f aca="false">Sens!$D$356/Sens!$D$478</f>
        <v>0.54214956071542</v>
      </c>
      <c r="E362" s="13" t="n">
        <f aca="false">Sens!$E$356/Sens!$E$478</f>
        <v>0.666492790452817</v>
      </c>
      <c r="F362" s="13" t="n">
        <f aca="false">Sens!$F$356/Sens!$F$478</f>
        <v>0.733477910687338</v>
      </c>
      <c r="G362" s="13" t="n">
        <f aca="false">Sens!$G$356/Sens!$G$478</f>
        <v>0.705124321514523</v>
      </c>
      <c r="H362" s="13" t="n">
        <f aca="false">Sens!$H$356/Sens!$H$478</f>
        <v>0.726376041178204</v>
      </c>
      <c r="I362" s="13" t="n">
        <f aca="false">Sens!$I$356/Sens!$I$478</f>
        <v>0.713099092661699</v>
      </c>
      <c r="J362" s="13" t="n">
        <f aca="false">Sens!$J$356/Sens!$J$478</f>
        <v>0.701208348786245</v>
      </c>
      <c r="K362" s="13" t="n">
        <f aca="false">Sens!$K$356/Sens!$K$478</f>
        <v>0.618338844562383</v>
      </c>
      <c r="L362" s="13" t="n">
        <f aca="false">Sens!$L$356/Sens!$L$478</f>
        <v>0.562489158462506</v>
      </c>
      <c r="M362" s="13" t="n">
        <f aca="false">Sens!$M$356/Sens!$M$478</f>
        <v>0.545751190895923</v>
      </c>
    </row>
    <row r="363" customFormat="false" ht="17.15" hidden="false" customHeight="false" outlineLevel="0" collapsed="false">
      <c r="A363" s="0" t="s">
        <v>637</v>
      </c>
      <c r="B363" s="0" t="s">
        <v>86</v>
      </c>
      <c r="C363" s="38" t="n">
        <f aca="false">Sens!$S$363</f>
        <v>0.183212798365523</v>
      </c>
      <c r="D363" s="38" t="n">
        <f aca="false">Sens!$T$363</f>
        <v>1.55872349836552</v>
      </c>
      <c r="E363" s="38" t="n">
        <f aca="false">Sens!$G$363/2</f>
        <v>3.87426082418276</v>
      </c>
      <c r="F363" s="38" t="n">
        <f aca="false">Sens!$G$363/2</f>
        <v>3.87426082418276</v>
      </c>
      <c r="G363" s="38" t="n">
        <f aca="false">Sens!$U$363</f>
        <v>7.74852164836552</v>
      </c>
      <c r="H363" s="38" t="n">
        <f aca="false">Sens!$V$363</f>
        <v>24.2509580966155</v>
      </c>
      <c r="I363" s="38" t="n">
        <f aca="false">Sens!$W$363</f>
        <v>49.6717554207405</v>
      </c>
      <c r="J363" s="38" t="n">
        <f aca="false">Sens!$X$363</f>
        <v>76.1050702391572</v>
      </c>
      <c r="K363" s="38" t="n">
        <f aca="false">Sens!$Y$363</f>
        <v>103.227966959208</v>
      </c>
      <c r="L363" s="38" t="n">
        <f aca="false">Sens!$Z$363</f>
        <v>122.296705971464</v>
      </c>
      <c r="M363" s="38" t="n">
        <f aca="false">Sens!$AA$363</f>
        <v>134.926065927559</v>
      </c>
      <c r="N363" s="38" t="n">
        <f aca="false">Sens!$D$363/2</f>
        <v>0.779361749182762</v>
      </c>
      <c r="O363" s="38" t="n">
        <f aca="false">Sens!$D$363/2</f>
        <v>0.779361749182762</v>
      </c>
      <c r="R363" s="38" t="n">
        <f aca="false">SUMPRODUCT(--(Sens!$R$326:$AA$326&lt;Sens!R$326),--(Sens!$R$326:$AA$326&gt;=Sens!R$326-tk_life),Sens!$R$360:$AA$360)/tk_life</f>
        <v>0</v>
      </c>
      <c r="S363" s="38" t="n">
        <f aca="false">SUMPRODUCT(--(Sens!$R$326:$AA$326&lt;Sens!S$326),--(Sens!$R$326:$AA$326&gt;=Sens!S$326-tk_life),Sens!$R$360:$AA$360)/tk_life</f>
        <v>0.183212798365523</v>
      </c>
      <c r="T363" s="38" t="n">
        <f aca="false">SUMPRODUCT(--(Sens!$R$326:$AA$326&lt;Sens!T$326),--(Sens!$R$326:$AA$326&gt;=Sens!T$326-tk_life),Sens!$R$360:$AA$360)/tk_life</f>
        <v>1.55872349836552</v>
      </c>
      <c r="U363" s="38" t="n">
        <f aca="false">SUMPRODUCT(--(Sens!$R$326:$AA$326&lt;Sens!U$326),--(Sens!$R$326:$AA$326&gt;=Sens!U$326-tk_life),Sens!$R$360:$AA$360)/tk_life</f>
        <v>7.74852164836552</v>
      </c>
      <c r="V363" s="38" t="n">
        <f aca="false">SUMPRODUCT(--(Sens!$R$326:$AA$326&lt;Sens!V$326),--(Sens!$R$326:$AA$326&gt;=Sens!V$326-tk_life),Sens!$R$360:$AA$360)/tk_life</f>
        <v>24.2509580966155</v>
      </c>
      <c r="W363" s="38" t="n">
        <f aca="false">SUMPRODUCT(--(Sens!$R$326:$AA$326&lt;Sens!W$326),--(Sens!$R$326:$AA$326&gt;=Sens!W$326-tk_life),Sens!$R$360:$AA$360)/tk_life</f>
        <v>49.6717554207405</v>
      </c>
      <c r="X363" s="38" t="n">
        <f aca="false">SUMPRODUCT(--(Sens!$R$326:$AA$326&lt;Sens!X$326),--(Sens!$R$326:$AA$326&gt;=Sens!X$326-tk_life),Sens!$R$360:$AA$360)/tk_life</f>
        <v>76.1050702391572</v>
      </c>
      <c r="Y363" s="38" t="n">
        <f aca="false">SUMPRODUCT(--(Sens!$R$326:$AA$326&lt;Sens!Y$326),--(Sens!$R$326:$AA$326&gt;=Sens!Y$326-tk_life),Sens!$R$360:$AA$360)/tk_life</f>
        <v>103.227966959208</v>
      </c>
      <c r="Z363" s="38" t="n">
        <f aca="false">SUMPRODUCT(--(Sens!$R$326:$AA$326&lt;Sens!Z$326),--(Sens!$R$326:$AA$326&gt;=Sens!Z$326-tk_life),Sens!$R$360:$AA$360)/tk_life</f>
        <v>122.296705971464</v>
      </c>
      <c r="AA363" s="38" t="n">
        <f aca="false">SUMPRODUCT(--(Sens!$R$326:$AA$326&lt;Sens!AA$326),--(Sens!$R$326:$AA$326&gt;=Sens!AA$326-tk_life),Sens!$R$360:$AA$360)/tk_life</f>
        <v>134.926065927559</v>
      </c>
    </row>
    <row r="364" customFormat="false" ht="17.15" hidden="false" customHeight="false" outlineLevel="0" collapsed="false">
      <c r="A364" s="0" t="s">
        <v>638</v>
      </c>
      <c r="B364" s="0" t="s">
        <v>86</v>
      </c>
      <c r="C364" s="38" t="n">
        <f aca="false">Sens!$S$364</f>
        <v>0.0202511502553155</v>
      </c>
      <c r="D364" s="38" t="n">
        <f aca="false">Sens!$T$364</f>
        <v>0.172291150255315</v>
      </c>
      <c r="E364" s="38" t="n">
        <f aca="false">Sens!$G$364/2</f>
        <v>0.428235575127658</v>
      </c>
      <c r="F364" s="38" t="n">
        <f aca="false">Sens!$G$364/2</f>
        <v>0.428235575127658</v>
      </c>
      <c r="G364" s="38" t="n">
        <f aca="false">Sens!$U$364</f>
        <v>0.856471150255315</v>
      </c>
      <c r="H364" s="38" t="n">
        <f aca="false">Sens!$V$364</f>
        <v>2.41307567525532</v>
      </c>
      <c r="I364" s="38" t="n">
        <f aca="false">Sens!$W$364</f>
        <v>4.71540472525532</v>
      </c>
      <c r="J364" s="38" t="n">
        <f aca="false">Sens!$X$364</f>
        <v>7.01773377525532</v>
      </c>
      <c r="K364" s="38" t="n">
        <f aca="false">Sens!$Y$364</f>
        <v>9.32006282525532</v>
      </c>
      <c r="L364" s="38" t="n">
        <f aca="false">Sens!$Z$364</f>
        <v>10.9487071753387</v>
      </c>
      <c r="M364" s="38" t="n">
        <f aca="false">Sens!$AA$364</f>
        <v>11.9036668255053</v>
      </c>
      <c r="N364" s="38" t="n">
        <f aca="false">Sens!$D$364/2</f>
        <v>0.0861455751276577</v>
      </c>
      <c r="O364" s="38" t="n">
        <f aca="false">Sens!$D$364/2</f>
        <v>0.0861455751276577</v>
      </c>
      <c r="R364" s="38" t="n">
        <f aca="false">SUMPRODUCT(--(Sens!$R$326:$AA$326&lt;Sens!R$326),Sens!$R$361:$AA$361)/fac_life</f>
        <v>0</v>
      </c>
      <c r="S364" s="38" t="n">
        <f aca="false">SUMPRODUCT(--(Sens!$R$326:$AA$326&lt;Sens!S$326),Sens!$R$361:$AA$361)/fac_life</f>
        <v>0.0202511502553155</v>
      </c>
      <c r="T364" s="38" t="n">
        <f aca="false">SUMPRODUCT(--(Sens!$R$326:$AA$326&lt;Sens!T$326),Sens!$R$361:$AA$361)/fac_life</f>
        <v>0.172291150255315</v>
      </c>
      <c r="U364" s="38" t="n">
        <f aca="false">SUMPRODUCT(--(Sens!$R$326:$AA$326&lt;Sens!U$326),Sens!$R$361:$AA$361)/fac_life</f>
        <v>0.856471150255315</v>
      </c>
      <c r="V364" s="38" t="n">
        <f aca="false">SUMPRODUCT(--(Sens!$R$326:$AA$326&lt;Sens!V$326),Sens!$R$361:$AA$361)/fac_life</f>
        <v>2.41307567525532</v>
      </c>
      <c r="W364" s="38" t="n">
        <f aca="false">SUMPRODUCT(--(Sens!$R$326:$AA$326&lt;Sens!W$326),Sens!$R$361:$AA$361)/fac_life</f>
        <v>4.71540472525532</v>
      </c>
      <c r="X364" s="38" t="n">
        <f aca="false">SUMPRODUCT(--(Sens!$R$326:$AA$326&lt;Sens!X$326),Sens!$R$361:$AA$361)/fac_life</f>
        <v>7.01773377525532</v>
      </c>
      <c r="Y364" s="38" t="n">
        <f aca="false">SUMPRODUCT(--(Sens!$R$326:$AA$326&lt;Sens!Y$326),Sens!$R$361:$AA$361)/fac_life</f>
        <v>9.32006282525532</v>
      </c>
      <c r="Z364" s="38" t="n">
        <f aca="false">SUMPRODUCT(--(Sens!$R$326:$AA$326&lt;Sens!Z$326),Sens!$R$361:$AA$361)/fac_life</f>
        <v>10.9487071753387</v>
      </c>
      <c r="AA364" s="38" t="n">
        <f aca="false">SUMPRODUCT(--(Sens!$R$326:$AA$326&lt;Sens!AA$326),Sens!$R$361:$AA$361)/fac_life</f>
        <v>11.9036668255053</v>
      </c>
    </row>
    <row r="365" customFormat="false" ht="17.15" hidden="false" customHeight="false" outlineLevel="0" collapsed="false">
      <c r="A365" s="1" t="s">
        <v>639</v>
      </c>
      <c r="B365" s="8" t="s">
        <v>86</v>
      </c>
      <c r="C365" s="38" t="n">
        <f aca="false">Sens!$C$363+Sens!$C$364</f>
        <v>0.203463948620839</v>
      </c>
      <c r="D365" s="38" t="n">
        <f aca="false">Sens!$D$363+Sens!$D$364</f>
        <v>1.73101464862084</v>
      </c>
      <c r="E365" s="38" t="n">
        <f aca="false">Sens!$E$363+Sens!$E$364</f>
        <v>4.30249639931042</v>
      </c>
      <c r="F365" s="38" t="n">
        <f aca="false">Sens!$F$363+Sens!$F$364</f>
        <v>4.30249639931042</v>
      </c>
      <c r="G365" s="38" t="n">
        <f aca="false">Sens!$G$363+Sens!$G$364</f>
        <v>8.60499279862084</v>
      </c>
      <c r="H365" s="38" t="n">
        <f aca="false">Sens!$H$363+Sens!$H$364</f>
        <v>26.6640337718708</v>
      </c>
      <c r="I365" s="38" t="n">
        <f aca="false">Sens!$I$363+Sens!$I$364</f>
        <v>54.3871601459959</v>
      </c>
      <c r="J365" s="38" t="n">
        <f aca="false">Sens!$J$363+Sens!$J$364</f>
        <v>83.1228040144125</v>
      </c>
      <c r="K365" s="38" t="n">
        <f aca="false">Sens!$K$363+Sens!$K$364</f>
        <v>112.548029784464</v>
      </c>
      <c r="L365" s="38" t="n">
        <f aca="false">Sens!$L$363+Sens!$L$364</f>
        <v>133.245413146803</v>
      </c>
      <c r="M365" s="38" t="n">
        <f aca="false">Sens!$M$363+Sens!$M$364</f>
        <v>146.829732753064</v>
      </c>
      <c r="N365" s="38" t="n">
        <f aca="false">Sens!$N$363+Sens!$N$364</f>
        <v>0.865507324310419</v>
      </c>
      <c r="O365" s="38" t="n">
        <f aca="false">Sens!$O$363+Sens!$O$364</f>
        <v>0.865507324310419</v>
      </c>
      <c r="R365" s="38" t="n">
        <f aca="false">Sens!$R$363+Sens!$R$364</f>
        <v>0</v>
      </c>
      <c r="S365" s="38" t="n">
        <f aca="false">Sens!$S$363+Sens!$S$364</f>
        <v>0.203463948620839</v>
      </c>
      <c r="T365" s="38" t="n">
        <f aca="false">Sens!$T$363+Sens!$T$364</f>
        <v>1.73101464862084</v>
      </c>
      <c r="U365" s="38" t="n">
        <f aca="false">Sens!$U$363+Sens!$U$364</f>
        <v>8.60499279862084</v>
      </c>
      <c r="V365" s="38" t="n">
        <f aca="false">Sens!$V$363+Sens!$V$364</f>
        <v>26.6640337718708</v>
      </c>
      <c r="W365" s="38" t="n">
        <f aca="false">Sens!$W$363+Sens!$W$364</f>
        <v>54.3871601459959</v>
      </c>
      <c r="X365" s="38" t="n">
        <f aca="false">Sens!$X$363+Sens!$X$364</f>
        <v>83.1228040144125</v>
      </c>
      <c r="Y365" s="38" t="n">
        <f aca="false">Sens!$Y$363+Sens!$Y$364</f>
        <v>112.548029784464</v>
      </c>
      <c r="Z365" s="38" t="n">
        <f aca="false">Sens!$Z$363+Sens!$Z$364</f>
        <v>133.245413146803</v>
      </c>
      <c r="AA365" s="38" t="n">
        <f aca="false">Sens!$AA$363+Sens!$AA$364</f>
        <v>146.829732753064</v>
      </c>
    </row>
    <row r="366" customFormat="false" ht="17.15" hidden="false" customHeight="false" outlineLevel="0" collapsed="false">
      <c r="A366" s="0" t="s">
        <v>640</v>
      </c>
      <c r="B366" s="0" t="s">
        <v>86</v>
      </c>
      <c r="C366" s="38" t="n">
        <f aca="false">Sens!$S$366</f>
        <v>12.5947000466786</v>
      </c>
      <c r="D366" s="38" t="n">
        <f aca="false">Sens!$T$366</f>
        <v>61.6860742980578</v>
      </c>
      <c r="G366" s="38" t="n">
        <f aca="false">Sens!$U$366</f>
        <v>183.227790688937</v>
      </c>
      <c r="H366" s="38" t="n">
        <f aca="false">Sens!$V$366</f>
        <v>355.135121861816</v>
      </c>
      <c r="I366" s="38" t="n">
        <f aca="false">Sens!$W$366</f>
        <v>505.39443162632</v>
      </c>
      <c r="J366" s="38" t="n">
        <f aca="false">Sens!$X$366</f>
        <v>632.154865722408</v>
      </c>
      <c r="K366" s="38" t="n">
        <f aca="false">Sens!$Y$366</f>
        <v>674.845221213145</v>
      </c>
      <c r="L366" s="38" t="n">
        <f aca="false">Sens!$Z$366</f>
        <v>673.613949706244</v>
      </c>
      <c r="M366" s="38" t="n">
        <f aca="false">Sens!$AA$366</f>
        <v>659.015198613032</v>
      </c>
      <c r="R366" s="38" t="n">
        <f aca="false">SUM(Sens!$R$358:$R$358)-SUM(Sens!$R$365:$R$365)</f>
        <v>1.50429979529945</v>
      </c>
      <c r="S366" s="38" t="n">
        <f aca="false">SUM(Sens!$R$358:$S$358)-SUM(Sens!$R$365:$S$365)</f>
        <v>12.5947000466786</v>
      </c>
      <c r="T366" s="38" t="n">
        <f aca="false">SUM(Sens!$R$358:$T$358)-SUM(Sens!$R$365:$T$365)</f>
        <v>61.6860742980578</v>
      </c>
      <c r="U366" s="38" t="n">
        <f aca="false">SUM(Sens!$R$358:$U$358)-SUM(Sens!$R$365:$U$365)</f>
        <v>183.227790688937</v>
      </c>
      <c r="V366" s="38" t="n">
        <f aca="false">SUM(Sens!$R$358:$V$358)-SUM(Sens!$R$365:$V$365)</f>
        <v>355.135121861816</v>
      </c>
      <c r="W366" s="38" t="n">
        <f aca="false">SUM(Sens!$R$358:$W$358)-SUM(Sens!$R$365:$W$365)</f>
        <v>505.39443162632</v>
      </c>
      <c r="X366" s="38" t="n">
        <f aca="false">SUM(Sens!$R$358:$X$358)-SUM(Sens!$R$365:$X$365)</f>
        <v>632.154865722408</v>
      </c>
      <c r="Y366" s="38" t="n">
        <f aca="false">SUM(Sens!$R$358:$Y$358)-SUM(Sens!$R$365:$Y$365)</f>
        <v>674.845221213145</v>
      </c>
      <c r="Z366" s="38" t="n">
        <f aca="false">SUM(Sens!$R$358:$Z$358)-SUM(Sens!$R$365:$Z$365)</f>
        <v>673.613949706244</v>
      </c>
      <c r="AA366" s="38" t="n">
        <f aca="false">SUM(Sens!$R$358:$AA$358)-SUM(Sens!$R$365:$AA$365)</f>
        <v>659.015198613032</v>
      </c>
    </row>
    <row r="367" customFormat="false" ht="17.15" hidden="false" customHeight="false" outlineLevel="0" collapsed="false">
      <c r="A367" s="1" t="s">
        <v>641</v>
      </c>
    </row>
    <row r="368" customFormat="false" ht="17.15" hidden="false" customHeight="false" outlineLevel="0" collapsed="false">
      <c r="A368" s="0" t="s">
        <v>642</v>
      </c>
      <c r="B368" s="0" t="s">
        <v>86</v>
      </c>
      <c r="C368" s="38" t="n">
        <f aca="false">Sens!$C$347-ext_sh*Sens!$C$349</f>
        <v>1.80694998843362</v>
      </c>
      <c r="D368" s="38" t="n">
        <f aca="false">Sens!$D$347-ext_sh*Sens!$D$349</f>
        <v>6.77606245662607</v>
      </c>
      <c r="E368" s="38" t="n">
        <f aca="false">Sens!$E$347-ext_sh*Sens!$E$349</f>
        <v>6.62548329092326</v>
      </c>
      <c r="F368" s="38" t="n">
        <f aca="false">Sens!$F$347-ext_sh*Sens!$F$349</f>
        <v>10.8940413794839</v>
      </c>
      <c r="G368" s="38" t="n">
        <f aca="false">Sens!$G$347-ext_sh*Sens!$G$349</f>
        <v>17.5195246704072</v>
      </c>
      <c r="H368" s="38" t="n">
        <f aca="false">Sens!$H$347-ext_sh*Sens!$H$349</f>
        <v>40.7735721541341</v>
      </c>
      <c r="I368" s="38" t="n">
        <f aca="false">Sens!$I$347-ext_sh*Sens!$I$349</f>
        <v>66.8500163832358</v>
      </c>
      <c r="J368" s="38" t="n">
        <f aca="false">Sens!$J$347-ext_sh*Sens!$J$349</f>
        <v>93.0640470849174</v>
      </c>
      <c r="K368" s="38" t="n">
        <f aca="false">Sens!$K$347-ext_sh*Sens!$K$349</f>
        <v>115.424757703147</v>
      </c>
      <c r="L368" s="38" t="n">
        <f aca="false">Sens!$L$347-ext_sh*Sens!$L$349</f>
        <v>130.120169833198</v>
      </c>
      <c r="M368" s="38" t="n">
        <f aca="false">Sens!$M$347-ext_sh*Sens!$M$349</f>
        <v>137.12790595888</v>
      </c>
      <c r="N368" s="38" t="n">
        <f aca="false">Sens!$N$347-ext_sh*Sens!$N$349</f>
        <v>2.37162185981912</v>
      </c>
      <c r="O368" s="38" t="n">
        <f aca="false">Sens!$O$347-ext_sh*Sens!$O$349</f>
        <v>4.40444059680694</v>
      </c>
    </row>
    <row r="369" customFormat="false" ht="17.15" hidden="false" customHeight="false" outlineLevel="0" collapsed="false">
      <c r="A369" s="1" t="s">
        <v>643</v>
      </c>
      <c r="B369" s="8" t="s">
        <v>86</v>
      </c>
      <c r="C369" s="38" t="n">
        <f aca="false">Sens!$C$368-ext_sh*Sens!$C$365</f>
        <v>1.64417882953695</v>
      </c>
      <c r="D369" s="38" t="n">
        <f aca="false">Sens!$D$368-ext_sh*Sens!$D$365</f>
        <v>5.39125073772939</v>
      </c>
      <c r="E369" s="38" t="n">
        <f aca="false">Sens!$E$368-ext_sh*Sens!$E$365</f>
        <v>3.18348617147493</v>
      </c>
      <c r="F369" s="38" t="n">
        <f aca="false">Sens!$F$368-ext_sh*Sens!$F$365</f>
        <v>7.45204426003557</v>
      </c>
      <c r="G369" s="38" t="n">
        <f aca="false">Sens!$G$368-ext_sh*Sens!$G$365</f>
        <v>10.6355304315105</v>
      </c>
      <c r="H369" s="38" t="n">
        <f aca="false">Sens!$H$368-ext_sh*Sens!$H$365</f>
        <v>19.4423451366374</v>
      </c>
      <c r="I369" s="38" t="n">
        <f aca="false">Sens!$I$368-ext_sh*Sens!$I$365</f>
        <v>23.3402882664391</v>
      </c>
      <c r="J369" s="38" t="n">
        <f aca="false">Sens!$J$368-ext_sh*Sens!$J$365</f>
        <v>26.5658038733873</v>
      </c>
      <c r="K369" s="38" t="n">
        <f aca="false">Sens!$K$368-ext_sh*Sens!$K$365</f>
        <v>25.3863338755762</v>
      </c>
      <c r="L369" s="38" t="n">
        <f aca="false">Sens!$L$368-ext_sh*Sens!$L$365</f>
        <v>23.5238393157556</v>
      </c>
      <c r="M369" s="38" t="n">
        <f aca="false">Sens!$M$368-ext_sh*Sens!$M$365</f>
        <v>19.6641197564286</v>
      </c>
      <c r="N369" s="38" t="n">
        <f aca="false">Sens!$N$368-ext_sh*Sens!$N$365</f>
        <v>1.67921600037079</v>
      </c>
      <c r="O369" s="38" t="n">
        <f aca="false">Sens!$O$368-ext_sh*Sens!$O$365</f>
        <v>3.71203473735861</v>
      </c>
    </row>
    <row r="370" customFormat="false" ht="17.15" hidden="false" customHeight="false" outlineLevel="0" collapsed="false">
      <c r="A370" s="0" t="s">
        <v>644</v>
      </c>
      <c r="B370" s="0" t="s">
        <v>52</v>
      </c>
      <c r="C370" s="13" t="n">
        <f aca="false">Sens!$C$369/Sens!$C$347</f>
        <v>0.708390794789371</v>
      </c>
      <c r="D370" s="13" t="n">
        <f aca="false">Sens!$D$369/Sens!$D$347</f>
        <v>0.619415573115729</v>
      </c>
      <c r="E370" s="13" t="n">
        <f aca="false">Sens!$E$369/Sens!$E$347</f>
        <v>0.374072166056273</v>
      </c>
      <c r="F370" s="13" t="n">
        <f aca="false">Sens!$F$369/Sens!$F$347</f>
        <v>0.527114967147693</v>
      </c>
      <c r="G370" s="13" t="n">
        <f aca="false">Sens!$G$369/Sens!$G$347</f>
        <v>0.469606071511127</v>
      </c>
      <c r="H370" s="13" t="n">
        <f aca="false">Sens!$H$369/Sens!$H$347</f>
        <v>0.363936945882096</v>
      </c>
      <c r="I370" s="13" t="n">
        <f aca="false">Sens!$I$369/Sens!$I$347</f>
        <v>0.265835486569301</v>
      </c>
      <c r="J370" s="13" t="n">
        <f aca="false">Sens!$J$369/Sens!$J$347</f>
        <v>0.217164833112518</v>
      </c>
      <c r="K370" s="13" t="n">
        <f aca="false">Sens!$K$369/Sens!$K$347</f>
        <v>0.167248108141527</v>
      </c>
      <c r="L370" s="13" t="n">
        <f aca="false">Sens!$L$369/Sens!$L$347</f>
        <v>0.137446849193894</v>
      </c>
      <c r="M370" s="13" t="n">
        <f aca="false">Sens!$M$369/Sens!$M$347</f>
        <v>0.109011498005096</v>
      </c>
      <c r="N370" s="13" t="n">
        <f aca="false">Sens!$N$369/Sens!$N$347</f>
        <v>0.551227795793364</v>
      </c>
      <c r="O370" s="13" t="n">
        <f aca="false">Sens!$O$369/Sens!$O$347</f>
        <v>0.656132068597002</v>
      </c>
    </row>
    <row r="371" customFormat="false" ht="17.15" hidden="false" customHeight="false" outlineLevel="0" collapsed="false">
      <c r="A371" s="5" t="s">
        <v>645</v>
      </c>
      <c r="B371" s="0" t="s">
        <v>86</v>
      </c>
      <c r="C371" s="39" t="n">
        <v>0</v>
      </c>
      <c r="D371" s="39" t="n">
        <v>0</v>
      </c>
      <c r="E371" s="39" t="n">
        <v>0</v>
      </c>
      <c r="F371" s="38" t="n">
        <f aca="false">IF(internal_ai_reading=2,1,0)*(1-ext_sh)/ext_sh*(mw_open*he_open+Sens!$F$345*Sens!$F$342)*Sens!$F$331/1000</f>
        <v>3.77122048175818</v>
      </c>
      <c r="G371" s="38" t="n">
        <f aca="false">Sens!$E$371+Sens!$F$371</f>
        <v>3.77122048175818</v>
      </c>
      <c r="H371" s="38" t="n">
        <f aca="false">IF(internal_ai_reading=2,1,0)*(1-ext_sh)/ext_sh*(mw_open*he_open+Sens!$H$345*Sens!$H$342)*Sens!$H$331/1000</f>
        <v>15.1635543609893</v>
      </c>
      <c r="I371" s="38" t="n">
        <f aca="false">IF(internal_ai_reading=2,1,0)*(1-ext_sh)/ext_sh*(mw_open*he_open+Sens!$I$345*Sens!$I$342)*Sens!$I$331/1000</f>
        <v>25.5818843619889</v>
      </c>
      <c r="J371" s="38" t="n">
        <f aca="false">IF(internal_ai_reading=2,1,0)*(1-ext_sh)/ext_sh*(mw_open*he_open+Sens!$J$345*Sens!$J$342)*Sens!$J$331/1000</f>
        <v>36.0465624179122</v>
      </c>
      <c r="K371" s="38" t="n">
        <f aca="false">IF(internal_ai_reading=2,1,0)*(1-ext_sh)/ext_sh*(mw_open*he_open+Sens!$K$345*Sens!$K$342)*Sens!$K$331/1000</f>
        <v>44.9741164026038</v>
      </c>
      <c r="L371" s="38" t="n">
        <f aca="false">IF(internal_ai_reading=2,1,0)*(1-ext_sh)/ext_sh*(mw_open*he_open+Sens!$L$345*Sens!$L$342)*Sens!$L$331/1000</f>
        <v>50.8413488057813</v>
      </c>
      <c r="M371" s="38" t="n">
        <f aca="false">IF(internal_ai_reading=2,1,0)*(1-ext_sh)/ext_sh*(mw_open*he_open+Sens!$M$345*Sens!$M$342)*Sens!$M$331/1000</f>
        <v>53.6407214274315</v>
      </c>
      <c r="N371" s="39" t="n">
        <v>0</v>
      </c>
      <c r="O371" s="39" t="n">
        <v>0</v>
      </c>
      <c r="P371" s="8" t="s">
        <v>646</v>
      </c>
    </row>
    <row r="372" customFormat="false" ht="17.15" hidden="false" customHeight="false" outlineLevel="0" collapsed="false">
      <c r="A372" s="5" t="s">
        <v>647</v>
      </c>
      <c r="B372" s="0" t="s">
        <v>86</v>
      </c>
      <c r="C372" s="38" t="n">
        <f aca="false">(1-ext_sh)*(Sens!$C$349+Sens!$C$365)</f>
        <v>0.169206631859174</v>
      </c>
      <c r="D372" s="38" t="n">
        <f aca="false">(1-ext_sh)*(Sens!$D$349+Sens!$D$365)</f>
        <v>0.828129837730442</v>
      </c>
      <c r="E372" s="38" t="n">
        <f aca="false">(1-ext_sh)*(Sens!$E$349+Sens!$E$365)</f>
        <v>1.33171670102377</v>
      </c>
      <c r="F372" s="38" t="n">
        <f aca="false">(1-ext_sh)*(Sens!$F$349+Sens!$F$365)</f>
        <v>1.67134326207455</v>
      </c>
      <c r="G372" s="38" t="n">
        <f aca="false">(1-ext_sh)*(Sens!$G$349+Sens!$G$365)</f>
        <v>3.00305996309832</v>
      </c>
      <c r="H372" s="38" t="n">
        <f aca="false">(1-ext_sh)*(Sens!$H$349+Sens!$H$365)</f>
        <v>8.49498626530648</v>
      </c>
      <c r="I372" s="38" t="n">
        <f aca="false">(1-ext_sh)*(Sens!$I$349+Sens!$I$365)</f>
        <v>16.1148644972155</v>
      </c>
      <c r="J372" s="38" t="n">
        <f aca="false">(1-ext_sh)*(Sens!$J$349+Sens!$J$365)</f>
        <v>23.9410833819812</v>
      </c>
      <c r="K372" s="38" t="n">
        <f aca="false">(1-ext_sh)*(Sens!$K$349+Sens!$K$365)</f>
        <v>31.6005331796453</v>
      </c>
      <c r="L372" s="38" t="n">
        <f aca="false">(1-ext_sh)*(Sens!$L$349+Sens!$L$365)</f>
        <v>36.9061965404496</v>
      </c>
      <c r="M372" s="38" t="n">
        <f aca="false">(1-ext_sh)*(Sens!$M$349+Sens!$M$365)</f>
        <v>40.1804051073808</v>
      </c>
      <c r="N372" s="38" t="n">
        <f aca="false">(1-ext_sh)*(Sens!$N$349+Sens!$N$365)</f>
        <v>0.34177588266428</v>
      </c>
      <c r="O372" s="38" t="n">
        <f aca="false">(1-ext_sh)*(Sens!$O$349+Sens!$O$365)</f>
        <v>0.486353955066162</v>
      </c>
    </row>
    <row r="373" customFormat="false" ht="17.15" hidden="false" customHeight="false" outlineLevel="0" collapsed="false">
      <c r="A373" s="0" t="s">
        <v>648</v>
      </c>
      <c r="B373" s="0" t="s">
        <v>86</v>
      </c>
      <c r="C373" s="38" t="n">
        <f aca="false">Q!$D$24</f>
        <v>39.834</v>
      </c>
      <c r="D373" s="38" t="n">
        <f aca="false">Q!$E$24</f>
        <v>45.606</v>
      </c>
      <c r="E373" s="38" t="n">
        <f aca="false">Q!$P$24</f>
        <v>30.782</v>
      </c>
      <c r="N373" s="38" t="n">
        <f aca="false">Q!$N$24</f>
        <v>21.707</v>
      </c>
      <c r="O373" s="38" t="n">
        <f aca="false">Q!$O$24</f>
        <v>23.899</v>
      </c>
    </row>
    <row r="374" customFormat="false" ht="17.15" hidden="false" customHeight="false" outlineLevel="0" collapsed="false">
      <c r="A374" s="0" t="s">
        <v>649</v>
      </c>
      <c r="B374" s="0" t="s">
        <v>86</v>
      </c>
      <c r="C374" s="38" t="n">
        <f aca="false">Sens!$C$373-Sens!$C$369</f>
        <v>38.1898211704631</v>
      </c>
      <c r="D374" s="38" t="n">
        <f aca="false">Sens!$D$373-Sens!$D$369</f>
        <v>40.2147492622706</v>
      </c>
      <c r="E374" s="38" t="n">
        <f aca="false">Sens!$E$373-Sens!$E$369</f>
        <v>27.5985138285251</v>
      </c>
      <c r="F374" s="38" t="n">
        <f aca="false">Sens!$F$351*Sens!$F$375</f>
        <v>25.5484769754606</v>
      </c>
      <c r="G374" s="38" t="n">
        <f aca="false">Sens!$E$374+Sens!$F$374</f>
        <v>53.1469908039857</v>
      </c>
      <c r="H374" s="38" t="n">
        <f aca="false">Sens!$H$351*Sens!$H$375</f>
        <v>57.3189525076539</v>
      </c>
      <c r="I374" s="38" t="n">
        <f aca="false">Sens!$I$351*Sens!$I$375</f>
        <v>63.6385627021087</v>
      </c>
      <c r="J374" s="38" t="n">
        <f aca="false">Sens!$J$351*Sens!$J$375</f>
        <v>69.6922896066105</v>
      </c>
      <c r="K374" s="38" t="n">
        <f aca="false">Sens!$K$351*Sens!$K$375</f>
        <v>75.2676727751394</v>
      </c>
      <c r="L374" s="38" t="n">
        <f aca="false">Sens!$L$351*Sens!$L$375</f>
        <v>81.2890865971505</v>
      </c>
      <c r="M374" s="38" t="n">
        <f aca="false">Sens!$M$351*Sens!$M$375</f>
        <v>87.7922135249226</v>
      </c>
      <c r="N374" s="38" t="n">
        <f aca="false">Sens!$N$373-Sens!$N$369</f>
        <v>20.0277839996292</v>
      </c>
      <c r="O374" s="38" t="n">
        <f aca="false">Sens!$O$373-Sens!$O$369</f>
        <v>20.1869652626414</v>
      </c>
      <c r="P374" s="5" t="s">
        <v>650</v>
      </c>
    </row>
    <row r="375" customFormat="false" ht="17.15" hidden="false" customHeight="false" outlineLevel="0" collapsed="false">
      <c r="A375" s="0" t="s">
        <v>651</v>
      </c>
      <c r="B375" s="0" t="s">
        <v>52</v>
      </c>
      <c r="C375" s="13" t="n">
        <f aca="false">Sens!$C$374/Sens!$C$351</f>
        <v>0.362900395443635</v>
      </c>
      <c r="D375" s="13" t="n">
        <f aca="false">Sens!$D$374/Sens!$D$351</f>
        <v>0.335063632425483</v>
      </c>
      <c r="E375" s="13" t="n">
        <f aca="false">Sens!$E$374/Sens!$E$351</f>
        <v>0.387028992698038</v>
      </c>
      <c r="F375" s="13" t="n">
        <f aca="false">(Sens!$O$374+Sens!$E$374)/(Sens!$O$351+Sens!$E$351)</f>
        <v>0.355980580118587</v>
      </c>
      <c r="G375" s="13" t="n">
        <f aca="false">Sens!$G$374/Sens!$G$351</f>
        <v>0.371454804780916</v>
      </c>
      <c r="H375" s="13" t="n">
        <f aca="false">Sens!$F$375</f>
        <v>0.355980580118587</v>
      </c>
      <c r="I375" s="13" t="n">
        <f aca="false">Sens!$F$375</f>
        <v>0.355980580118587</v>
      </c>
      <c r="J375" s="13" t="n">
        <f aca="false">Sens!$F$375</f>
        <v>0.355980580118587</v>
      </c>
      <c r="K375" s="13" t="n">
        <f aca="false">Sens!$F$375</f>
        <v>0.355980580118587</v>
      </c>
      <c r="L375" s="13" t="n">
        <f aca="false">Sens!$F$375</f>
        <v>0.355980580118587</v>
      </c>
      <c r="M375" s="13" t="n">
        <f aca="false">Sens!$F$375</f>
        <v>0.355980580118587</v>
      </c>
      <c r="N375" s="13" t="n">
        <f aca="false">Sens!$N$374/Sens!$N$351</f>
        <v>0.35078810535806</v>
      </c>
      <c r="O375" s="13" t="n">
        <f aca="false">Sens!$O$374/Sens!$O$351</f>
        <v>0.320796939361619</v>
      </c>
      <c r="P375" s="8" t="s">
        <v>652</v>
      </c>
    </row>
    <row r="376" customFormat="false" ht="17.15" hidden="false" customHeight="false" outlineLevel="0" collapsed="false">
      <c r="A376" s="0" t="s">
        <v>653</v>
      </c>
      <c r="B376" s="0" t="s">
        <v>52</v>
      </c>
      <c r="D376" s="13" t="n">
        <f aca="false">(Q!$E$31-ext_sh*Sens!$D$365)/Sens!$D$351</f>
        <v>0.167180325480118</v>
      </c>
    </row>
    <row r="377" customFormat="false" ht="17.15" hidden="false" customHeight="false" outlineLevel="0" collapsed="false">
      <c r="A377" s="0" t="s">
        <v>654</v>
      </c>
      <c r="B377" s="0" t="s">
        <v>86</v>
      </c>
      <c r="C377" s="38" t="n">
        <f aca="false">Q!$D$31</f>
        <v>13.32</v>
      </c>
      <c r="D377" s="38" t="n">
        <f aca="false">Q!$E$31</f>
        <v>21.45</v>
      </c>
      <c r="E377" s="38" t="n">
        <f aca="false">Q!$P$31</f>
        <v>15.353</v>
      </c>
      <c r="F377" s="38" t="n">
        <f aca="false">ext_sh*Sens!$F$365+Sens!$D$376*Sens!$F$351</f>
        <v>15.4404120185306</v>
      </c>
      <c r="G377" s="38" t="n">
        <f aca="false">Sens!$E$377+Sens!$F$377</f>
        <v>30.7934120185306</v>
      </c>
      <c r="H377" s="38" t="n">
        <f aca="false">ext_sh*Sens!$H$365+Sens!$D$376*Sens!$H$351</f>
        <v>48.250114371455</v>
      </c>
      <c r="I377" s="38" t="n">
        <f aca="false">ext_sh*Sens!$I$365+Sens!$D$376*Sens!$I$351</f>
        <v>73.3965146995963</v>
      </c>
      <c r="J377" s="38" t="n">
        <f aca="false">ext_sh*Sens!$J$365+Sens!$D$376*Sens!$J$351</f>
        <v>99.22806138309</v>
      </c>
      <c r="K377" s="38" t="n">
        <f aca="false">ext_sh*Sens!$K$365+Sens!$D$376*Sens!$K$351</f>
        <v>125.386627452856</v>
      </c>
      <c r="L377" s="38" t="n">
        <f aca="false">ext_sh*Sens!$L$365+Sens!$D$376*Sens!$L$351</f>
        <v>144.77239043275</v>
      </c>
      <c r="M377" s="38" t="n">
        <f aca="false">ext_sh*Sens!$M$365+Sens!$D$376*Sens!$M$351</f>
        <v>158.693930910983</v>
      </c>
      <c r="N377" s="38" t="n">
        <f aca="false">Q!$N$31</f>
        <v>9.234</v>
      </c>
      <c r="O377" s="38" t="n">
        <f aca="false">Q!$O$31</f>
        <v>12.216</v>
      </c>
    </row>
    <row r="378" customFormat="false" ht="17.15" hidden="false" customHeight="false" outlineLevel="0" collapsed="false">
      <c r="A378" s="1" t="s">
        <v>655</v>
      </c>
    </row>
    <row r="379" customFormat="false" ht="17.15" hidden="false" customHeight="false" outlineLevel="0" collapsed="false">
      <c r="A379" s="15" t="s">
        <v>656</v>
      </c>
      <c r="B379" s="14" t="s">
        <v>52</v>
      </c>
      <c r="C379" s="14"/>
      <c r="D379" s="14"/>
      <c r="E379" s="14"/>
      <c r="F379" s="14"/>
      <c r="G379" s="17" t="n">
        <f aca="false">Sens!$G$369*(1-tax)/(ext_sh*(Sens!$D$366+Sens!$G$366)/2)</f>
        <v>0.0897189601399247</v>
      </c>
      <c r="H379" s="17" t="n">
        <f aca="false">Sens!$H$369*(1-tax)/(ext_sh*(Sens!$G$366+Sens!$H$366)/2)</f>
        <v>0.0746125637795345</v>
      </c>
      <c r="I379" s="17" t="n">
        <f aca="false">Sens!$I$369*(1-tax)/(ext_sh*(Sens!$H$366+Sens!$I$366)/2)</f>
        <v>0.0560375157899122</v>
      </c>
      <c r="J379" s="17" t="n">
        <f aca="false">Sens!$J$369*(1-tax)/(ext_sh*(Sens!$I$366+Sens!$J$366)/2)</f>
        <v>0.0482493185897244</v>
      </c>
      <c r="K379" s="17" t="n">
        <f aca="false">Sens!$K$369*(1-tax)/(ext_sh*(Sens!$J$366+Sens!$K$366)/2)</f>
        <v>0.0401294141768781</v>
      </c>
      <c r="L379" s="17" t="n">
        <f aca="false">Sens!$L$369*(1-tax)/(ext_sh*(Sens!$K$366+Sens!$L$366)/2)</f>
        <v>0.0360419974573024</v>
      </c>
      <c r="M379" s="17" t="n">
        <f aca="false">Sens!$M$369*(1-tax)/(ext_sh*(Sens!$L$366+Sens!$M$366)/2)</f>
        <v>0.0304862250266425</v>
      </c>
      <c r="N379" s="14"/>
      <c r="O379" s="14"/>
      <c r="P379" s="8" t="s">
        <v>657</v>
      </c>
    </row>
    <row r="380" customFormat="false" ht="17.15" hidden="false" customHeight="false" outlineLevel="0" collapsed="false">
      <c r="A380" s="5" t="s">
        <v>658</v>
      </c>
      <c r="B380" s="0" t="s">
        <v>57</v>
      </c>
      <c r="H380" s="36" t="n">
        <f aca="false">Sens!$H$347*1000/(mw_open*he_open+Sens!$H$345*Sens!$H$342)</f>
        <v>0.880767940782091</v>
      </c>
      <c r="I380" s="36" t="n">
        <f aca="false">Sens!$I$347*1000/(mw_open*he_open+Sens!$I$345*Sens!$I$342)</f>
        <v>0.858026572758645</v>
      </c>
      <c r="J380" s="36" t="n">
        <f aca="false">Sens!$J$347*1000/(mw_open*he_open+Sens!$J$345*Sens!$J$342)</f>
        <v>0.848417499448742</v>
      </c>
      <c r="K380" s="36" t="n">
        <f aca="false">Sens!$K$347*1000/(mw_open*he_open+Sens!$K$345*Sens!$K$342)</f>
        <v>0.843754578941374</v>
      </c>
      <c r="L380" s="36" t="n">
        <f aca="false">Sens!$L$347*1000/(mw_open*he_open+Sens!$L$345*Sens!$L$342)</f>
        <v>0.841581849703465</v>
      </c>
      <c r="M380" s="36" t="n">
        <f aca="false">Sens!$M$347*1000/(mw_open*he_open+Sens!$M$345*Sens!$M$342)</f>
        <v>0.840712687048722</v>
      </c>
    </row>
    <row r="381" customFormat="false" ht="17.15" hidden="false" customHeight="false" outlineLevel="0" collapsed="false">
      <c r="A381" s="5" t="s">
        <v>659</v>
      </c>
      <c r="B381" s="0" t="s">
        <v>57</v>
      </c>
      <c r="H381" s="36" t="n">
        <f aca="false">Sens!$H$380*(Sens!$H$347+wacc*ext_sh*(Sens!$G$366+Sens!$H$366)/2/(1-tax)-Sens!$H$369)/Sens!$H$347</f>
        <v>1.04696246089528</v>
      </c>
      <c r="I381" s="36" t="n">
        <f aca="false">Sens!$I$380*(Sens!$I$347+wacc*ext_sh*(Sens!$H$366+Sens!$I$366)/2/(1-tax)-Sens!$I$369)/Sens!$I$347</f>
        <v>1.09109607940198</v>
      </c>
      <c r="J381" s="36" t="n">
        <f aca="false">Sens!$J$380*(Sens!$J$347+wacc*ext_sh*(Sens!$I$366+Sens!$J$366)/2/(1-tax)-Sens!$J$369)/Sens!$J$347</f>
        <v>1.09681234280071</v>
      </c>
      <c r="K381" s="36" t="n">
        <f aca="false">Sens!$K$380*(Sens!$K$347+wacc*ext_sh*(Sens!$J$366+Sens!$K$366)/2/(1-tax)-Sens!$K$369)/Sens!$K$347</f>
        <v>1.10105220068984</v>
      </c>
      <c r="L381" s="36" t="n">
        <f aca="false">Sens!$L$380*(Sens!$L$347+wacc*ext_sh*(Sens!$K$366+Sens!$L$366)/2/(1-tax)-Sens!$L$369)/Sens!$L$347</f>
        <v>1.08952452639895</v>
      </c>
      <c r="M381" s="36" t="n">
        <f aca="false">Sens!$M$380*(Sens!$M$347+wacc*ext_sh*(Sens!$L$366+Sens!$M$366)/2/(1-tax)-Sens!$M$369)/Sens!$M$347</f>
        <v>1.08965878549519</v>
      </c>
    </row>
    <row r="382" customFormat="false" ht="17.15" hidden="false" customHeight="false" outlineLevel="0" collapsed="false">
      <c r="A382" s="5" t="s">
        <v>660</v>
      </c>
      <c r="B382" s="0" t="s">
        <v>52</v>
      </c>
      <c r="C382" s="13" t="n">
        <f aca="false">Sens!$C$348/tk_pq</f>
        <v>0.195316432429398</v>
      </c>
      <c r="D382" s="13" t="n">
        <f aca="false">Sens!$D$348/tk_pq</f>
        <v>0.195316432429398</v>
      </c>
      <c r="E382" s="13" t="n">
        <f aca="false">Sens!$E$348/tk_pq</f>
        <v>0.195316432429398</v>
      </c>
      <c r="F382" s="13" t="n">
        <f aca="false">Sens!$F$348/tk_pq</f>
        <v>0.191077608072499</v>
      </c>
      <c r="G382" s="13" t="n">
        <f aca="false">Sens!$G$348/tk_pq</f>
        <v>0.192648675364927</v>
      </c>
      <c r="H382" s="13" t="n">
        <f aca="false">Sens!$H$348/tk_pq</f>
        <v>0.188813632292207</v>
      </c>
      <c r="I382" s="13" t="n">
        <f aca="false">Sens!$I$348/tk_pq</f>
        <v>0.18967957363228</v>
      </c>
      <c r="J382" s="13" t="n">
        <f aca="false">Sens!$J$348/tk_pq</f>
        <v>0.190298617624149</v>
      </c>
      <c r="K382" s="13" t="n">
        <f aca="false">Sens!$K$348/tk_pq</f>
        <v>0.190580531494929</v>
      </c>
      <c r="L382" s="13" t="n">
        <f aca="false">Sens!$L$348/tk_pq</f>
        <v>0.190712010322094</v>
      </c>
      <c r="M382" s="13" t="n">
        <f aca="false">Sens!$M$348/tk_pq</f>
        <v>0.190736894839384</v>
      </c>
      <c r="N382" s="13" t="n">
        <f aca="false">Sens!$N$348/tk_pq</f>
        <v>0.195316432429398</v>
      </c>
      <c r="O382" s="13" t="n">
        <f aca="false">Sens!$O$348/tk_pq</f>
        <v>0.195316432429398</v>
      </c>
      <c r="P382" s="5" t="s">
        <v>661</v>
      </c>
    </row>
    <row r="385" customFormat="false" ht="17.15" hidden="false" customHeight="false" outlineLevel="0" collapsed="false">
      <c r="A385" s="1" t="s">
        <v>690</v>
      </c>
    </row>
    <row r="386" customFormat="false" ht="17.15" hidden="false" customHeight="false" outlineLevel="0" collapsed="false">
      <c r="A386" s="0" t="s">
        <v>691</v>
      </c>
      <c r="B386" s="0" t="s">
        <v>86</v>
      </c>
      <c r="C386" s="38" t="n">
        <f aca="false">Sens!$C$347</f>
        <v>2.32100535697364</v>
      </c>
      <c r="D386" s="38" t="n">
        <f aca="false">Sens!$D$347</f>
        <v>8.70377008865116</v>
      </c>
      <c r="E386" s="38" t="n">
        <f aca="false">Sens!$E$347</f>
        <v>8.51035297557002</v>
      </c>
      <c r="F386" s="38" t="n">
        <f aca="false">Sens!$F$347</f>
        <v>14.1374173083338</v>
      </c>
      <c r="G386" s="38" t="n">
        <f aca="false">Sens!$G$347</f>
        <v>22.6477702839038</v>
      </c>
      <c r="H386" s="38" t="n">
        <f aca="false">Sens!$H$347</f>
        <v>53.4222901978634</v>
      </c>
      <c r="I386" s="38" t="n">
        <f aca="false">Sens!$I$347</f>
        <v>87.7997462553011</v>
      </c>
      <c r="J386" s="38" t="n">
        <f aca="false">Sens!$J$347</f>
        <v>122.330137401312</v>
      </c>
      <c r="K386" s="38" t="n">
        <f aca="false">Sens!$K$347</f>
        <v>151.788466594157</v>
      </c>
      <c r="L386" s="38" t="n">
        <f aca="false">Sens!$L$347</f>
        <v>171.148625477554</v>
      </c>
      <c r="M386" s="38" t="n">
        <f aca="false">Sens!$M$347</f>
        <v>180.385740185952</v>
      </c>
      <c r="N386" s="38" t="n">
        <f aca="false">Sens!$N$347</f>
        <v>3.04631953102791</v>
      </c>
      <c r="O386" s="38" t="n">
        <f aca="false">Sens!$O$347</f>
        <v>5.65745055762326</v>
      </c>
      <c r="P386" s="8" t="s">
        <v>692</v>
      </c>
    </row>
    <row r="387" customFormat="false" ht="17.15" hidden="false" customHeight="false" outlineLevel="0" collapsed="false">
      <c r="A387" s="0" t="s">
        <v>693</v>
      </c>
      <c r="B387" s="0" t="s">
        <v>86</v>
      </c>
      <c r="C387" s="38" t="n">
        <f aca="false">Sens!$C$351</f>
        <v>105.234994643026</v>
      </c>
      <c r="D387" s="38" t="n">
        <f aca="false">Sens!$D$351</f>
        <v>120.021229911349</v>
      </c>
      <c r="E387" s="38" t="n">
        <f aca="false">Sens!$E$351</f>
        <v>71.30864702443</v>
      </c>
      <c r="F387" s="38" t="n">
        <f aca="false">Sens!$F$351</f>
        <v>71.7692997942464</v>
      </c>
      <c r="G387" s="38" t="n">
        <f aca="false">Sens!$G$351</f>
        <v>143.077946818676</v>
      </c>
      <c r="H387" s="38" t="n">
        <f aca="false">Sens!$H$351</f>
        <v>161.017077079203</v>
      </c>
      <c r="I387" s="38" t="n">
        <f aca="false">Sens!$I$351</f>
        <v>178.769759521457</v>
      </c>
      <c r="J387" s="38" t="n">
        <f aca="false">Sens!$J$351</f>
        <v>195.775538045907</v>
      </c>
      <c r="K387" s="38" t="n">
        <f aca="false">Sens!$K$351</f>
        <v>211.43758108958</v>
      </c>
      <c r="L387" s="38" t="n">
        <f aca="false">Sens!$L$351</f>
        <v>228.352587576746</v>
      </c>
      <c r="M387" s="38" t="n">
        <f aca="false">Sens!$M$351</f>
        <v>246.620794582886</v>
      </c>
      <c r="N387" s="38" t="n">
        <f aca="false">Sens!$N$351</f>
        <v>57.0936804689721</v>
      </c>
      <c r="O387" s="38" t="n">
        <f aca="false">Sens!$O$351</f>
        <v>62.9275494423768</v>
      </c>
      <c r="P387" s="8" t="s">
        <v>692</v>
      </c>
    </row>
    <row r="388" customFormat="false" ht="17.15" hidden="false" customHeight="false" outlineLevel="0" collapsed="false">
      <c r="A388" s="1" t="s">
        <v>516</v>
      </c>
      <c r="B388" s="8" t="s">
        <v>86</v>
      </c>
      <c r="C388" s="38" t="n">
        <f aca="false">Q!$D$7</f>
        <v>107.556</v>
      </c>
      <c r="D388" s="38" t="n">
        <f aca="false">Q!$E$7</f>
        <v>128.725</v>
      </c>
      <c r="E388" s="38" t="n">
        <f aca="false">Q!$P$7</f>
        <v>79.819</v>
      </c>
      <c r="F388" s="38" t="n">
        <f aca="false">Sens!$F$386+Sens!$F$387</f>
        <v>85.9067171025802</v>
      </c>
      <c r="G388" s="38" t="n">
        <f aca="false">Sens!$G$386+Sens!$G$387</f>
        <v>165.72571710258</v>
      </c>
      <c r="H388" s="38" t="n">
        <f aca="false">Sens!$H$386+Sens!$H$387</f>
        <v>214.439367277066</v>
      </c>
      <c r="I388" s="38" t="n">
        <f aca="false">Sens!$I$386+Sens!$I$387</f>
        <v>266.569505776759</v>
      </c>
      <c r="J388" s="38" t="n">
        <f aca="false">Sens!$J$386+Sens!$J$387</f>
        <v>318.105675447219</v>
      </c>
      <c r="K388" s="38" t="n">
        <f aca="false">Sens!$K$386+Sens!$K$387</f>
        <v>363.226047683737</v>
      </c>
      <c r="L388" s="38" t="n">
        <f aca="false">Sens!$L$386+Sens!$L$387</f>
        <v>399.5012130543</v>
      </c>
      <c r="M388" s="38" t="n">
        <f aca="false">Sens!$M$386+Sens!$M$387</f>
        <v>427.006534768838</v>
      </c>
      <c r="N388" s="38" t="n">
        <f aca="false">Q!$N$7</f>
        <v>60.14</v>
      </c>
      <c r="O388" s="38" t="n">
        <f aca="false">Q!$O$7</f>
        <v>68.585</v>
      </c>
      <c r="P388" s="5" t="s">
        <v>694</v>
      </c>
    </row>
    <row r="389" customFormat="false" ht="15" hidden="false" customHeight="false" outlineLevel="0" collapsed="false">
      <c r="A389" s="3" t="s">
        <v>695</v>
      </c>
      <c r="B389" s="8" t="s">
        <v>86</v>
      </c>
      <c r="C389" s="38" t="n">
        <f aca="false">Q!$D$8</f>
        <v>637.959</v>
      </c>
      <c r="D389" s="38" t="n">
        <f aca="false">Q!$E$8</f>
        <v>716.924</v>
      </c>
      <c r="E389" s="38" t="n">
        <f aca="false">Q!$P$8</f>
        <v>382.125</v>
      </c>
      <c r="F389" s="38" t="n">
        <f aca="false">Sens!$F$319+Sens!$F$388</f>
        <v>434.954958748117</v>
      </c>
      <c r="G389" s="38" t="n">
        <f aca="false">Sens!$G$319+Sens!$G$388</f>
        <v>817.079958748117</v>
      </c>
      <c r="H389" s="38" t="n">
        <f aca="false">Sens!$H$319+Sens!$H$388</f>
        <v>935.536256798453</v>
      </c>
      <c r="I389" s="38" t="n">
        <f aca="false">Sens!$I$319+Sens!$I$388</f>
        <v>1055.09889692929</v>
      </c>
      <c r="J389" s="38" t="n">
        <f aca="false">Sens!$J$319+Sens!$J$388</f>
        <v>1169.21408118866</v>
      </c>
      <c r="K389" s="38" t="n">
        <f aca="false">Sens!$K$319+Sens!$K$388</f>
        <v>1269.40250311482</v>
      </c>
      <c r="L389" s="38" t="n">
        <f aca="false">Sens!$L$319+Sens!$L$388</f>
        <v>1364.59431952989</v>
      </c>
      <c r="M389" s="38" t="n">
        <f aca="false">Sens!$M$319+Sens!$M$388</f>
        <v>1455.15444271572</v>
      </c>
      <c r="N389" s="38" t="n">
        <f aca="false">Q!$N$8</f>
        <v>323.369</v>
      </c>
      <c r="O389" s="38" t="n">
        <f aca="false">Q!$O$8</f>
        <v>393.555</v>
      </c>
    </row>
    <row r="390" customFormat="false" ht="17.15" hidden="false" customHeight="false" outlineLevel="0" collapsed="false">
      <c r="A390" s="24" t="s">
        <v>703</v>
      </c>
      <c r="B390" s="25" t="s">
        <v>86</v>
      </c>
      <c r="C390" s="41" t="n">
        <f aca="false">Sens!$C$319-(Sens!$C$321+Sens!$C$322)</f>
        <v>0</v>
      </c>
      <c r="D390" s="41" t="n">
        <f aca="false">Sens!$D$319-(Sens!$D$321+Sens!$D$322)</f>
        <v>0</v>
      </c>
      <c r="E390" s="41" t="n">
        <f aca="false">Sens!$E$319-(Sens!$E$321+Sens!$E$322)</f>
        <v>0</v>
      </c>
      <c r="F390" s="41" t="n">
        <f aca="false">Sens!$F$319-(Sens!$F$321+Sens!$F$322)</f>
        <v>0</v>
      </c>
      <c r="G390" s="41" t="n">
        <f aca="false">Sens!$G$319-(Sens!$G$321+Sens!$G$322)</f>
        <v>0</v>
      </c>
      <c r="H390" s="41" t="n">
        <f aca="false">Sens!$H$319-(Sens!$H$321+Sens!$H$322)</f>
        <v>0</v>
      </c>
      <c r="I390" s="41" t="n">
        <f aca="false">Sens!$I$319-(Sens!$I$321+Sens!$I$322)</f>
        <v>0</v>
      </c>
      <c r="J390" s="41" t="n">
        <f aca="false">Sens!$J$319-(Sens!$J$321+Sens!$J$322)</f>
        <v>0</v>
      </c>
      <c r="K390" s="41" t="n">
        <f aca="false">Sens!$K$319-(Sens!$K$321+Sens!$K$322)</f>
        <v>0</v>
      </c>
      <c r="L390" s="41" t="n">
        <f aca="false">Sens!$L$319-(Sens!$L$321+Sens!$L$322)</f>
        <v>0</v>
      </c>
      <c r="M390" s="41" t="n">
        <f aca="false">Sens!$M$319-(Sens!$M$321+Sens!$M$322)</f>
        <v>0</v>
      </c>
      <c r="N390" s="41" t="n">
        <f aca="false">Sens!$N$319-(Sens!$N$321+Sens!$N$322)</f>
        <v>0</v>
      </c>
      <c r="O390" s="41" t="n">
        <f aca="false">Sens!$O$319-(Sens!$O$321+Sens!$O$322)</f>
        <v>0</v>
      </c>
    </row>
    <row r="391" customFormat="false" ht="17.15" hidden="false" customHeight="false" outlineLevel="0" collapsed="false">
      <c r="A391" s="24" t="s">
        <v>704</v>
      </c>
      <c r="B391" s="25" t="s">
        <v>86</v>
      </c>
      <c r="C391" s="41" t="n">
        <f aca="false">Sens!$C$386+Sens!$C$387-Sens!$C$388</f>
        <v>0</v>
      </c>
      <c r="D391" s="41" t="n">
        <f aca="false">Sens!$D$386+Sens!$D$387-Sens!$D$388</f>
        <v>0</v>
      </c>
      <c r="E391" s="41" t="n">
        <f aca="false">Sens!$E$386+Sens!$E$387-Sens!$E$388</f>
        <v>0</v>
      </c>
      <c r="F391" s="41" t="n">
        <f aca="false">Sens!$F$386+Sens!$F$387-Sens!$F$388</f>
        <v>0</v>
      </c>
      <c r="G391" s="41" t="n">
        <f aca="false">Sens!$G$386+Sens!$G$387-Sens!$G$388</f>
        <v>0</v>
      </c>
      <c r="H391" s="41" t="n">
        <f aca="false">Sens!$H$386+Sens!$H$387-Sens!$H$388</f>
        <v>0</v>
      </c>
      <c r="I391" s="41" t="n">
        <f aca="false">Sens!$I$386+Sens!$I$387-Sens!$I$388</f>
        <v>0</v>
      </c>
      <c r="J391" s="41" t="n">
        <f aca="false">Sens!$J$386+Sens!$J$387-Sens!$J$388</f>
        <v>0</v>
      </c>
      <c r="K391" s="41" t="n">
        <f aca="false">Sens!$K$386+Sens!$K$387-Sens!$K$388</f>
        <v>0</v>
      </c>
      <c r="L391" s="41" t="n">
        <f aca="false">Sens!$L$386+Sens!$L$387-Sens!$L$388</f>
        <v>0</v>
      </c>
      <c r="M391" s="41" t="n">
        <f aca="false">Sens!$M$386+Sens!$M$387-Sens!$M$388</f>
        <v>0</v>
      </c>
      <c r="N391" s="41" t="n">
        <f aca="false">Sens!$N$386+Sens!$N$387-Sens!$N$388</f>
        <v>0</v>
      </c>
      <c r="O391" s="41" t="n">
        <f aca="false">Sens!$O$386+Sens!$O$387-Sens!$O$388</f>
        <v>0</v>
      </c>
    </row>
    <row r="392" customFormat="false" ht="17.15" hidden="false" customHeight="false" outlineLevel="0" collapsed="false">
      <c r="A392" s="24" t="s">
        <v>705</v>
      </c>
      <c r="B392" s="25" t="s">
        <v>86</v>
      </c>
      <c r="C392" s="41" t="n">
        <f aca="false">Sens!$C$321+Sens!$C$322+Sens!$C$388-Sens!$C$389</f>
        <v>0</v>
      </c>
      <c r="D392" s="41" t="n">
        <f aca="false">Sens!$D$321+Sens!$D$322+Sens!$D$388-Sens!$D$389</f>
        <v>0</v>
      </c>
      <c r="E392" s="41" t="n">
        <f aca="false">Sens!$E$321+Sens!$E$322+Sens!$E$388-Sens!$E$389</f>
        <v>0</v>
      </c>
      <c r="F392" s="41" t="n">
        <f aca="false">Sens!$F$321+Sens!$F$322+Sens!$F$388-Sens!$F$389</f>
        <v>0</v>
      </c>
      <c r="G392" s="41" t="n">
        <f aca="false">Sens!$G$321+Sens!$G$322+Sens!$G$388-Sens!$G$389</f>
        <v>0</v>
      </c>
      <c r="H392" s="41" t="n">
        <f aca="false">Sens!$H$321+Sens!$H$322+Sens!$H$388-Sens!$H$389</f>
        <v>0</v>
      </c>
      <c r="I392" s="41" t="n">
        <f aca="false">Sens!$I$321+Sens!$I$322+Sens!$I$388-Sens!$I$389</f>
        <v>0</v>
      </c>
      <c r="J392" s="41" t="n">
        <f aca="false">Sens!$J$321+Sens!$J$322+Sens!$J$388-Sens!$J$389</f>
        <v>0</v>
      </c>
      <c r="K392" s="41" t="n">
        <f aca="false">Sens!$K$321+Sens!$K$322+Sens!$K$388-Sens!$K$389</f>
        <v>0</v>
      </c>
      <c r="L392" s="41" t="n">
        <f aca="false">Sens!$L$321+Sens!$L$322+Sens!$L$388-Sens!$L$389</f>
        <v>0</v>
      </c>
      <c r="M392" s="41" t="n">
        <f aca="false">Sens!$M$321+Sens!$M$322+Sens!$M$388-Sens!$M$389</f>
        <v>0</v>
      </c>
      <c r="N392" s="41" t="n">
        <f aca="false">Sens!$N$321+Sens!$N$322+Sens!$N$388-Sens!$N$389</f>
        <v>0</v>
      </c>
      <c r="O392" s="41" t="n">
        <f aca="false">Sens!$O$321+Sens!$O$322+Sens!$O$388-Sens!$O$389</f>
        <v>0</v>
      </c>
    </row>
    <row r="393" customFormat="false" ht="15" hidden="false" customHeight="false" outlineLevel="0" collapsed="false">
      <c r="A393" s="5" t="s">
        <v>699</v>
      </c>
      <c r="B393" s="0" t="s">
        <v>52</v>
      </c>
      <c r="G393" s="13" t="n">
        <f aca="false">Sens!$G$389/Sens!$D$389-1</f>
        <v>0.139702337692862</v>
      </c>
      <c r="H393" s="13" t="n">
        <f aca="false">Sens!$H$389/Sens!$G$389-1</f>
        <v>0.144975160364754</v>
      </c>
      <c r="I393" s="13" t="n">
        <f aca="false">Sens!$I$389/Sens!$H$389-1</f>
        <v>0.127801182756934</v>
      </c>
      <c r="J393" s="13" t="n">
        <f aca="false">Sens!$J$389/Sens!$I$389-1</f>
        <v>0.108155912769398</v>
      </c>
      <c r="K393" s="13" t="n">
        <f aca="false">Sens!$K$389/Sens!$J$389-1</f>
        <v>0.0856886891272366</v>
      </c>
      <c r="L393" s="13" t="n">
        <f aca="false">Sens!$L$389/Sens!$K$389-1</f>
        <v>0.0749894664469983</v>
      </c>
      <c r="M393" s="13" t="n">
        <f aca="false">Sens!$M$389/Sens!$L$389-1</f>
        <v>0.0663641361317064</v>
      </c>
    </row>
    <row r="394" customFormat="false" ht="17.15" hidden="false" customHeight="false" outlineLevel="0" collapsed="false">
      <c r="A394" s="0" t="s">
        <v>700</v>
      </c>
      <c r="B394" s="0" t="s">
        <v>52</v>
      </c>
      <c r="C394" s="13" t="n">
        <f aca="false">Sens!$C$388/Sens!$C$389</f>
        <v>0.168593906504964</v>
      </c>
      <c r="D394" s="13" t="n">
        <f aca="false">Sens!$D$388/Sens!$D$389</f>
        <v>0.179551807444025</v>
      </c>
      <c r="E394" s="13" t="n">
        <f aca="false">Sens!$E$388/Sens!$E$389</f>
        <v>0.208881910369643</v>
      </c>
      <c r="F394" s="13" t="n">
        <f aca="false">Sens!$F$388/Sens!$F$389</f>
        <v>0.197507156487734</v>
      </c>
      <c r="G394" s="13" t="n">
        <f aca="false">Sens!$G$388/Sens!$G$389</f>
        <v>0.202826804559612</v>
      </c>
      <c r="H394" s="13" t="n">
        <f aca="false">Sens!$H$388/Sens!$H$389</f>
        <v>0.229215453403068</v>
      </c>
      <c r="I394" s="13" t="n">
        <f aca="false">Sens!$I$388/Sens!$I$389</f>
        <v>0.252648833727881</v>
      </c>
      <c r="J394" s="13" t="n">
        <f aca="false">Sens!$J$388/Sens!$J$389</f>
        <v>0.272067947662606</v>
      </c>
      <c r="K394" s="13" t="n">
        <f aca="false">Sens!$K$388/Sens!$K$389</f>
        <v>0.286139381947383</v>
      </c>
      <c r="L394" s="13" t="n">
        <f aca="false">Sens!$L$388/Sens!$L$389</f>
        <v>0.292761890722168</v>
      </c>
      <c r="M394" s="13" t="n">
        <f aca="false">Sens!$M$388/Sens!$M$389</f>
        <v>0.293444133649432</v>
      </c>
      <c r="N394" s="13" t="n">
        <f aca="false">Sens!$N$388/Sens!$N$389</f>
        <v>0.185979484737251</v>
      </c>
      <c r="O394" s="13" t="n">
        <f aca="false">Sens!$O$388/Sens!$O$389</f>
        <v>0.174270432341096</v>
      </c>
    </row>
    <row r="395" customFormat="false" ht="17.15" hidden="false" customHeight="false" outlineLevel="0" collapsed="false">
      <c r="A395" s="0" t="s">
        <v>701</v>
      </c>
      <c r="B395" s="0" t="s">
        <v>52</v>
      </c>
      <c r="C395" s="13" t="n">
        <f aca="false">Sens!$C$386/Sens!$C$388</f>
        <v>0.0215795060896058</v>
      </c>
      <c r="D395" s="13" t="n">
        <f aca="false">Sens!$D$386/Sens!$D$388</f>
        <v>0.0676152269462122</v>
      </c>
      <c r="E395" s="13" t="n">
        <f aca="false">Sens!$E$386/Sens!$E$388</f>
        <v>0.106620641395783</v>
      </c>
      <c r="F395" s="13" t="n">
        <f aca="false">Sens!$F$386/Sens!$F$388</f>
        <v>0.16456707676831</v>
      </c>
      <c r="G395" s="13" t="n">
        <f aca="false">Sens!$G$386/Sens!$G$388</f>
        <v>0.136658152276302</v>
      </c>
      <c r="H395" s="13" t="n">
        <f aca="false">Sens!$H$386/Sens!$H$388</f>
        <v>0.249125386239547</v>
      </c>
      <c r="I395" s="13" t="n">
        <f aca="false">Sens!$I$386/Sens!$I$388</f>
        <v>0.329369055171787</v>
      </c>
      <c r="J395" s="13" t="n">
        <f aca="false">Sens!$J$386/Sens!$J$388</f>
        <v>0.384558173095561</v>
      </c>
      <c r="K395" s="13" t="n">
        <f aca="false">Sens!$K$386/Sens!$K$388</f>
        <v>0.417889816994403</v>
      </c>
      <c r="L395" s="13" t="n">
        <f aca="false">Sens!$L$386/Sens!$L$388</f>
        <v>0.428405771709863</v>
      </c>
      <c r="M395" s="13" t="n">
        <f aca="false">Sens!$M$386/Sens!$M$388</f>
        <v>0.422442575225704</v>
      </c>
      <c r="N395" s="13" t="n">
        <f aca="false">Sens!$N$386/Sens!$N$388</f>
        <v>0.0506537999838362</v>
      </c>
      <c r="O395" s="13" t="n">
        <f aca="false">Sens!$O$386/Sens!$O$388</f>
        <v>0.0824881615167056</v>
      </c>
    </row>
    <row r="398" customFormat="false" ht="19.4" hidden="false" customHeight="false" outlineLevel="0" collapsed="false">
      <c r="A398" s="31" t="s">
        <v>1142</v>
      </c>
    </row>
    <row r="399" customFormat="false" ht="17.15" hidden="false" customHeight="false" outlineLevel="0" collapsed="false">
      <c r="A399" s="6" t="s">
        <v>16</v>
      </c>
      <c r="B399" s="6" t="s">
        <v>17</v>
      </c>
      <c r="C399" s="20" t="s">
        <v>497</v>
      </c>
      <c r="D399" s="20" t="s">
        <v>498</v>
      </c>
      <c r="E399" s="20" t="s">
        <v>580</v>
      </c>
      <c r="F399" s="20" t="s">
        <v>581</v>
      </c>
      <c r="G399" s="20" t="s">
        <v>582</v>
      </c>
      <c r="H399" s="20" t="s">
        <v>583</v>
      </c>
      <c r="I399" s="20" t="s">
        <v>584</v>
      </c>
      <c r="J399" s="20" t="s">
        <v>585</v>
      </c>
      <c r="K399" s="20" t="s">
        <v>586</v>
      </c>
      <c r="L399" s="20" t="s">
        <v>587</v>
      </c>
      <c r="M399" s="20" t="s">
        <v>588</v>
      </c>
      <c r="N399" s="20" t="s">
        <v>589</v>
      </c>
      <c r="O399" s="20" t="s">
        <v>590</v>
      </c>
      <c r="P399" s="6" t="s">
        <v>23</v>
      </c>
      <c r="R399" s="20" t="n">
        <v>2023</v>
      </c>
      <c r="S399" s="20" t="n">
        <v>2024</v>
      </c>
      <c r="T399" s="20" t="n">
        <v>2025</v>
      </c>
      <c r="U399" s="20" t="n">
        <v>2026</v>
      </c>
      <c r="V399" s="20" t="n">
        <v>2027</v>
      </c>
      <c r="W399" s="20" t="n">
        <v>2028</v>
      </c>
      <c r="X399" s="20" t="n">
        <v>2029</v>
      </c>
      <c r="Y399" s="20" t="n">
        <v>2030</v>
      </c>
      <c r="Z399" s="20" t="n">
        <v>2031</v>
      </c>
      <c r="AA399" s="20" t="n">
        <v>2032</v>
      </c>
    </row>
    <row r="400" customFormat="false" ht="17.15" hidden="false" customHeight="false" outlineLevel="0" collapsed="false">
      <c r="A400" s="1" t="s">
        <v>716</v>
      </c>
    </row>
    <row r="401" customFormat="false" ht="15" hidden="false" customHeight="false" outlineLevel="0" collapsed="false">
      <c r="A401" s="0" t="s">
        <v>519</v>
      </c>
      <c r="B401" s="0" t="s">
        <v>86</v>
      </c>
      <c r="C401" s="38" t="n">
        <f aca="false">Sens!$C$306</f>
        <v>247.029</v>
      </c>
      <c r="D401" s="38" t="n">
        <f aca="false">Sens!$D$306</f>
        <v>269.287</v>
      </c>
      <c r="E401" s="38" t="n">
        <f aca="false">Sens!$E$306</f>
        <v>134.686</v>
      </c>
      <c r="F401" s="38" t="n">
        <f aca="false">Sens!$F$306</f>
        <v>158.293876822267</v>
      </c>
      <c r="G401" s="38" t="n">
        <f aca="false">Sens!$G$306</f>
        <v>292.979876822267</v>
      </c>
      <c r="H401" s="38" t="n">
        <f aca="false">Sens!$H$306</f>
        <v>318.184543087396</v>
      </c>
      <c r="I401" s="38" t="n">
        <f aca="false">Sens!$I$306</f>
        <v>341.736278761793</v>
      </c>
      <c r="J401" s="38" t="n">
        <f aca="false">Sens!$J$306</f>
        <v>362.927192787048</v>
      </c>
      <c r="K401" s="38" t="n">
        <f aca="false">Sens!$K$306</f>
        <v>381.0735524264</v>
      </c>
      <c r="L401" s="38" t="n">
        <f aca="false">Sens!$L$306</f>
        <v>400.12723004772</v>
      </c>
      <c r="M401" s="38" t="n">
        <f aca="false">Sens!$M$306</f>
        <v>420.133591550106</v>
      </c>
      <c r="N401" s="38" t="n">
        <f aca="false">Sens!$N$306</f>
        <v>118.892</v>
      </c>
      <c r="O401" s="38" t="n">
        <f aca="false">Sens!$O$306</f>
        <v>150.395</v>
      </c>
    </row>
    <row r="402" customFormat="false" ht="15" hidden="false" customHeight="false" outlineLevel="0" collapsed="false">
      <c r="A402" s="0" t="s">
        <v>520</v>
      </c>
      <c r="B402" s="0" t="s">
        <v>86</v>
      </c>
      <c r="C402" s="38" t="n">
        <f aca="false">Sens!$C$308</f>
        <v>21.215</v>
      </c>
      <c r="D402" s="38" t="n">
        <f aca="false">Sens!$D$308</f>
        <v>22.561</v>
      </c>
      <c r="E402" s="38" t="n">
        <f aca="false">Sens!$E$308</f>
        <v>11.579</v>
      </c>
      <c r="F402" s="38" t="n">
        <f aca="false">Sens!$F$308</f>
        <v>11.5938724610325</v>
      </c>
      <c r="G402" s="38" t="n">
        <f aca="false">Sens!$G$308</f>
        <v>23.1728724610325</v>
      </c>
      <c r="H402" s="38" t="n">
        <f aca="false">Sens!$H$308</f>
        <v>24.353392759506</v>
      </c>
      <c r="I402" s="38" t="n">
        <f aca="false">Sens!$I$308</f>
        <v>25.4240338872015</v>
      </c>
      <c r="J402" s="38" t="n">
        <f aca="false">Sens!$J$308</f>
        <v>26.3642491017174</v>
      </c>
      <c r="K402" s="38" t="n">
        <f aca="false">Sens!$K$308</f>
        <v>27.155176574769</v>
      </c>
      <c r="L402" s="38" t="n">
        <f aca="false">Sens!$L$308</f>
        <v>27.969831872012</v>
      </c>
      <c r="M402" s="38" t="n">
        <f aca="false">Sens!$M$308</f>
        <v>28.8089268281724</v>
      </c>
      <c r="N402" s="38" t="n">
        <f aca="false">Sens!$N$308</f>
        <v>11.128</v>
      </c>
      <c r="O402" s="38" t="n">
        <f aca="false">Sens!$O$308</f>
        <v>11.433</v>
      </c>
    </row>
    <row r="403" customFormat="false" ht="15" hidden="false" customHeight="false" outlineLevel="0" collapsed="false">
      <c r="A403" s="0" t="s">
        <v>521</v>
      </c>
      <c r="B403" s="0" t="s">
        <v>86</v>
      </c>
      <c r="C403" s="38" t="n">
        <f aca="false">Sens!$C$310</f>
        <v>156.146</v>
      </c>
      <c r="D403" s="38" t="n">
        <f aca="false">Sens!$D$310</f>
        <v>172.162</v>
      </c>
      <c r="E403" s="38" t="n">
        <f aca="false">Sens!$E$310</f>
        <v>88.358</v>
      </c>
      <c r="F403" s="38" t="n">
        <f aca="false">Sens!$F$310</f>
        <v>102.004388260171</v>
      </c>
      <c r="G403" s="38" t="n">
        <f aca="false">Sens!$G$310</f>
        <v>190.362388260171</v>
      </c>
      <c r="H403" s="38" t="n">
        <f aca="false">Sens!$H$310</f>
        <v>210.343106588311</v>
      </c>
      <c r="I403" s="38" t="n">
        <f aca="false">Sens!$I$310</f>
        <v>229.969728494648</v>
      </c>
      <c r="J403" s="38" t="n">
        <f aca="false">Sens!$J$310</f>
        <v>248.747636972598</v>
      </c>
      <c r="K403" s="38" t="n">
        <f aca="false">Sens!$K$310</f>
        <v>266.15997156068</v>
      </c>
      <c r="L403" s="38" t="n">
        <f aca="false">Sens!$L$310</f>
        <v>284.791169569927</v>
      </c>
      <c r="M403" s="38" t="n">
        <f aca="false">Sens!$M$310</f>
        <v>304.726551439822</v>
      </c>
      <c r="N403" s="38" t="n">
        <f aca="false">Sens!$N$310</f>
        <v>76.86</v>
      </c>
      <c r="O403" s="38" t="n">
        <f aca="false">Sens!$O$310</f>
        <v>95.302</v>
      </c>
    </row>
    <row r="404" customFormat="false" ht="15" hidden="false" customHeight="false" outlineLevel="0" collapsed="false">
      <c r="A404" s="0" t="s">
        <v>522</v>
      </c>
      <c r="B404" s="0" t="s">
        <v>86</v>
      </c>
      <c r="C404" s="38" t="n">
        <f aca="false">Sens!$C$312</f>
        <v>56.214</v>
      </c>
      <c r="D404" s="38" t="n">
        <f aca="false">Sens!$D$312</f>
        <v>68.635</v>
      </c>
      <c r="E404" s="38" t="n">
        <f aca="false">Sens!$E$312</f>
        <v>37.052</v>
      </c>
      <c r="F404" s="38" t="n">
        <f aca="false">Sens!$F$312</f>
        <v>46.1572219944148</v>
      </c>
      <c r="G404" s="38" t="n">
        <f aca="false">Sens!$G$312</f>
        <v>83.2092219944148</v>
      </c>
      <c r="H404" s="38" t="n">
        <f aca="false">Sens!$H$312</f>
        <v>99.8969223878976</v>
      </c>
      <c r="I404" s="38" t="n">
        <f aca="false">Sens!$I$312</f>
        <v>116.583111095496</v>
      </c>
      <c r="J404" s="38" t="n">
        <f aca="false">Sens!$J$312</f>
        <v>132.148941941952</v>
      </c>
      <c r="K404" s="38" t="n">
        <f aca="false">Sens!$K$312</f>
        <v>145.363836136147</v>
      </c>
      <c r="L404" s="38" t="n">
        <f aca="false">Sens!$L$312</f>
        <v>159.900219749762</v>
      </c>
      <c r="M404" s="38" t="n">
        <f aca="false">Sens!$M$312</f>
        <v>175.890241724738</v>
      </c>
      <c r="N404" s="38" t="n">
        <f aca="false">Sens!$N$312</f>
        <v>29.615</v>
      </c>
      <c r="O404" s="38" t="n">
        <f aca="false">Sens!$O$312</f>
        <v>39.02</v>
      </c>
    </row>
    <row r="405" customFormat="false" ht="15" hidden="false" customHeight="false" outlineLevel="0" collapsed="false">
      <c r="A405" s="0" t="s">
        <v>523</v>
      </c>
      <c r="B405" s="0" t="s">
        <v>86</v>
      </c>
      <c r="C405" s="38" t="n">
        <f aca="false">Sens!$C$314</f>
        <v>44.374</v>
      </c>
      <c r="D405" s="38" t="n">
        <f aca="false">Sens!$D$314</f>
        <v>49.619</v>
      </c>
      <c r="E405" s="38" t="n">
        <f aca="false">Sens!$E$314</f>
        <v>27.157</v>
      </c>
      <c r="F405" s="38" t="n">
        <f aca="false">Sens!$F$314</f>
        <v>27.7764165988154</v>
      </c>
      <c r="G405" s="38" t="n">
        <f aca="false">Sens!$G$314</f>
        <v>54.9334165988154</v>
      </c>
      <c r="H405" s="38" t="n">
        <f aca="false">Sens!$H$314</f>
        <v>61.1564112561829</v>
      </c>
      <c r="I405" s="38" t="n">
        <f aca="false">Sens!$I$314</f>
        <v>67.2020282103945</v>
      </c>
      <c r="J405" s="38" t="n">
        <f aca="false">Sens!$J$314</f>
        <v>72.8757274028885</v>
      </c>
      <c r="K405" s="38" t="n">
        <f aca="false">Sens!$K$314</f>
        <v>77.9770283210907</v>
      </c>
      <c r="L405" s="38" t="n">
        <f aca="false">Sens!$L$314</f>
        <v>83.4354203035671</v>
      </c>
      <c r="M405" s="38" t="n">
        <f aca="false">Sens!$M$314</f>
        <v>89.2758997248168</v>
      </c>
      <c r="N405" s="38" t="n">
        <f aca="false">Sens!$N$314</f>
        <v>23.923</v>
      </c>
      <c r="O405" s="38" t="n">
        <f aca="false">Sens!$O$314</f>
        <v>25.696</v>
      </c>
    </row>
    <row r="406" customFormat="false" ht="15" hidden="false" customHeight="false" outlineLevel="0" collapsed="false">
      <c r="A406" s="0" t="s">
        <v>524</v>
      </c>
      <c r="B406" s="0" t="s">
        <v>86</v>
      </c>
      <c r="C406" s="38" t="n">
        <f aca="false">Sens!$C$316</f>
        <v>5.425</v>
      </c>
      <c r="D406" s="38" t="n">
        <f aca="false">Sens!$D$316</f>
        <v>5.935</v>
      </c>
      <c r="E406" s="38" t="n">
        <f aca="false">Sens!$E$316</f>
        <v>3.474</v>
      </c>
      <c r="F406" s="38" t="n">
        <f aca="false">Sens!$F$316</f>
        <v>3.22246550883619</v>
      </c>
      <c r="G406" s="38" t="n">
        <f aca="false">Sens!$G$316</f>
        <v>6.69646550883619</v>
      </c>
      <c r="H406" s="38" t="n">
        <f aca="false">Sens!$H$316</f>
        <v>7.16251344209196</v>
      </c>
      <c r="I406" s="38" t="n">
        <f aca="false">Sens!$I$316</f>
        <v>7.61421070299826</v>
      </c>
      <c r="J406" s="38" t="n">
        <f aca="false">Sens!$J$316</f>
        <v>8.04465753523932</v>
      </c>
      <c r="K406" s="38" t="n">
        <f aca="false">Sens!$K$316</f>
        <v>8.44689041200128</v>
      </c>
      <c r="L406" s="38" t="n">
        <f aca="false">Sens!$L$316</f>
        <v>8.86923493260135</v>
      </c>
      <c r="M406" s="38" t="n">
        <f aca="false">Sens!$M$316</f>
        <v>9.31269667923142</v>
      </c>
      <c r="N406" s="38" t="n">
        <f aca="false">Sens!$N$316</f>
        <v>2.811</v>
      </c>
      <c r="O406" s="38" t="n">
        <f aca="false">Sens!$O$316</f>
        <v>3.124</v>
      </c>
    </row>
    <row r="407" customFormat="false" ht="17.15" hidden="false" customHeight="false" outlineLevel="0" collapsed="false">
      <c r="A407" s="0" t="s">
        <v>717</v>
      </c>
      <c r="B407" s="0" t="s">
        <v>86</v>
      </c>
      <c r="C407" s="38" t="n">
        <f aca="false">Sens!$C$388</f>
        <v>107.556</v>
      </c>
      <c r="D407" s="38" t="n">
        <f aca="false">Sens!$D$388</f>
        <v>128.725</v>
      </c>
      <c r="E407" s="38" t="n">
        <f aca="false">Sens!$E$388</f>
        <v>79.819</v>
      </c>
      <c r="F407" s="38" t="n">
        <f aca="false">Sens!$F$388</f>
        <v>85.9067171025802</v>
      </c>
      <c r="G407" s="38" t="n">
        <f aca="false">Sens!$G$388</f>
        <v>165.72571710258</v>
      </c>
      <c r="H407" s="38" t="n">
        <f aca="false">Sens!$H$388</f>
        <v>214.439367277066</v>
      </c>
      <c r="I407" s="38" t="n">
        <f aca="false">Sens!$I$388</f>
        <v>266.569505776759</v>
      </c>
      <c r="J407" s="38" t="n">
        <f aca="false">Sens!$J$388</f>
        <v>318.105675447219</v>
      </c>
      <c r="K407" s="38" t="n">
        <f aca="false">Sens!$K$388</f>
        <v>363.226047683737</v>
      </c>
      <c r="L407" s="38" t="n">
        <f aca="false">Sens!$L$388</f>
        <v>399.5012130543</v>
      </c>
      <c r="M407" s="38" t="n">
        <f aca="false">Sens!$M$388</f>
        <v>427.006534768838</v>
      </c>
      <c r="N407" s="38" t="n">
        <f aca="false">Sens!$N$388</f>
        <v>60.14</v>
      </c>
      <c r="O407" s="38" t="n">
        <f aca="false">Sens!$O$388</f>
        <v>68.585</v>
      </c>
    </row>
    <row r="408" customFormat="false" ht="15" hidden="false" customHeight="false" outlineLevel="0" collapsed="false">
      <c r="A408" s="1" t="s">
        <v>512</v>
      </c>
      <c r="B408" s="8" t="s">
        <v>86</v>
      </c>
      <c r="C408" s="38" t="n">
        <f aca="false">Sens!$C$321</f>
        <v>387.497</v>
      </c>
      <c r="D408" s="38" t="n">
        <f aca="false">Sens!$D$321</f>
        <v>426.305</v>
      </c>
      <c r="E408" s="38" t="n">
        <f aca="false">Sens!$E$321</f>
        <v>220.32</v>
      </c>
      <c r="F408" s="38" t="n">
        <f aca="false">Sens!$F$321</f>
        <v>250.639773480586</v>
      </c>
      <c r="G408" s="38" t="n">
        <f aca="false">Sens!$G$321</f>
        <v>470.959773480586</v>
      </c>
      <c r="H408" s="38" t="n">
        <f aca="false">Sens!$H$321</f>
        <v>521.386990416437</v>
      </c>
      <c r="I408" s="38" t="n">
        <f aca="false">Sens!$I$321</f>
        <v>570.143862887555</v>
      </c>
      <c r="J408" s="38" t="n">
        <f aca="false">Sens!$J$321</f>
        <v>615.391435791933</v>
      </c>
      <c r="K408" s="38" t="n">
        <f aca="false">Sens!$K$321</f>
        <v>655.208227561543</v>
      </c>
      <c r="L408" s="38" t="n">
        <f aca="false">Sens!$L$321</f>
        <v>697.807739249767</v>
      </c>
      <c r="M408" s="38" t="n">
        <f aca="false">Sens!$M$321</f>
        <v>743.399328463592</v>
      </c>
      <c r="N408" s="38" t="n">
        <f aca="false">Sens!$N$321</f>
        <v>192.955</v>
      </c>
      <c r="O408" s="38" t="n">
        <f aca="false">Sens!$O$321</f>
        <v>233.35</v>
      </c>
    </row>
    <row r="409" customFormat="false" ht="15" hidden="false" customHeight="false" outlineLevel="0" collapsed="false">
      <c r="A409" s="1" t="s">
        <v>515</v>
      </c>
      <c r="B409" s="8" t="s">
        <v>86</v>
      </c>
      <c r="C409" s="38" t="n">
        <f aca="false">Sens!$C$322</f>
        <v>142.906</v>
      </c>
      <c r="D409" s="38" t="n">
        <f aca="false">Sens!$D$322</f>
        <v>161.894</v>
      </c>
      <c r="E409" s="38" t="n">
        <f aca="false">Sens!$E$322</f>
        <v>81.986</v>
      </c>
      <c r="F409" s="38" t="n">
        <f aca="false">Sens!$F$322</f>
        <v>98.408468164951</v>
      </c>
      <c r="G409" s="38" t="n">
        <f aca="false">Sens!$G$322</f>
        <v>180.394468164951</v>
      </c>
      <c r="H409" s="38" t="n">
        <f aca="false">Sens!$H$322</f>
        <v>199.709899104949</v>
      </c>
      <c r="I409" s="38" t="n">
        <f aca="false">Sens!$I$322</f>
        <v>218.385528264976</v>
      </c>
      <c r="J409" s="38" t="n">
        <f aca="false">Sens!$J$322</f>
        <v>235.71696994951</v>
      </c>
      <c r="K409" s="38" t="n">
        <f aca="false">Sens!$K$322</f>
        <v>250.968227869545</v>
      </c>
      <c r="L409" s="38" t="n">
        <f aca="false">Sens!$L$322</f>
        <v>267.285367225822</v>
      </c>
      <c r="M409" s="38" t="n">
        <f aca="false">Sens!$M$322</f>
        <v>284.748579483295</v>
      </c>
      <c r="N409" s="38" t="n">
        <f aca="false">Sens!$N$322</f>
        <v>70.274</v>
      </c>
      <c r="O409" s="38" t="n">
        <f aca="false">Sens!$O$322</f>
        <v>91.62</v>
      </c>
    </row>
    <row r="410" customFormat="false" ht="15" hidden="false" customHeight="false" outlineLevel="0" collapsed="false">
      <c r="A410" s="1" t="s">
        <v>516</v>
      </c>
      <c r="B410" s="8" t="s">
        <v>86</v>
      </c>
      <c r="C410" s="38" t="n">
        <f aca="false">Sens!$C$388</f>
        <v>107.556</v>
      </c>
      <c r="D410" s="38" t="n">
        <f aca="false">Sens!$D$388</f>
        <v>128.725</v>
      </c>
      <c r="E410" s="38" t="n">
        <f aca="false">Sens!$E$388</f>
        <v>79.819</v>
      </c>
      <c r="F410" s="38" t="n">
        <f aca="false">Sens!$F$388</f>
        <v>85.9067171025802</v>
      </c>
      <c r="G410" s="38" t="n">
        <f aca="false">Sens!$G$388</f>
        <v>165.72571710258</v>
      </c>
      <c r="H410" s="38" t="n">
        <f aca="false">Sens!$H$388</f>
        <v>214.439367277066</v>
      </c>
      <c r="I410" s="38" t="n">
        <f aca="false">Sens!$I$388</f>
        <v>266.569505776759</v>
      </c>
      <c r="J410" s="38" t="n">
        <f aca="false">Sens!$J$388</f>
        <v>318.105675447219</v>
      </c>
      <c r="K410" s="38" t="n">
        <f aca="false">Sens!$K$388</f>
        <v>363.226047683737</v>
      </c>
      <c r="L410" s="38" t="n">
        <f aca="false">Sens!$L$388</f>
        <v>399.5012130543</v>
      </c>
      <c r="M410" s="38" t="n">
        <f aca="false">Sens!$M$388</f>
        <v>427.006534768838</v>
      </c>
      <c r="N410" s="38" t="n">
        <f aca="false">Sens!$N$388</f>
        <v>60.14</v>
      </c>
      <c r="O410" s="38" t="n">
        <f aca="false">Sens!$O$388</f>
        <v>68.585</v>
      </c>
    </row>
    <row r="411" customFormat="false" ht="17.15" hidden="false" customHeight="false" outlineLevel="0" collapsed="false">
      <c r="A411" s="0" t="s">
        <v>691</v>
      </c>
      <c r="B411" s="0" t="s">
        <v>86</v>
      </c>
      <c r="C411" s="38" t="n">
        <f aca="false">Sens!$C$386</f>
        <v>2.32100535697364</v>
      </c>
      <c r="D411" s="38" t="n">
        <f aca="false">Sens!$D$386</f>
        <v>8.70377008865116</v>
      </c>
      <c r="E411" s="38" t="n">
        <f aca="false">Sens!$E$386</f>
        <v>8.51035297557002</v>
      </c>
      <c r="F411" s="38" t="n">
        <f aca="false">Sens!$F$386</f>
        <v>14.1374173083338</v>
      </c>
      <c r="G411" s="38" t="n">
        <f aca="false">Sens!$G$386</f>
        <v>22.6477702839038</v>
      </c>
      <c r="H411" s="38" t="n">
        <f aca="false">Sens!$H$386</f>
        <v>53.4222901978634</v>
      </c>
      <c r="I411" s="38" t="n">
        <f aca="false">Sens!$I$386</f>
        <v>87.7997462553011</v>
      </c>
      <c r="J411" s="38" t="n">
        <f aca="false">Sens!$J$386</f>
        <v>122.330137401312</v>
      </c>
      <c r="K411" s="38" t="n">
        <f aca="false">Sens!$K$386</f>
        <v>151.788466594157</v>
      </c>
      <c r="L411" s="38" t="n">
        <f aca="false">Sens!$L$386</f>
        <v>171.148625477554</v>
      </c>
      <c r="M411" s="38" t="n">
        <f aca="false">Sens!$M$386</f>
        <v>180.385740185952</v>
      </c>
      <c r="N411" s="38" t="n">
        <f aca="false">Sens!$N$386</f>
        <v>3.04631953102791</v>
      </c>
      <c r="O411" s="38" t="n">
        <f aca="false">Sens!$O$386</f>
        <v>5.65745055762326</v>
      </c>
    </row>
    <row r="412" customFormat="false" ht="17.15" hidden="false" customHeight="false" outlineLevel="0" collapsed="false">
      <c r="A412" s="0" t="s">
        <v>693</v>
      </c>
      <c r="B412" s="0" t="s">
        <v>86</v>
      </c>
      <c r="C412" s="38" t="n">
        <f aca="false">Sens!$C$387</f>
        <v>105.234994643026</v>
      </c>
      <c r="D412" s="38" t="n">
        <f aca="false">Sens!$D$387</f>
        <v>120.021229911349</v>
      </c>
      <c r="E412" s="38" t="n">
        <f aca="false">Sens!$E$387</f>
        <v>71.30864702443</v>
      </c>
      <c r="F412" s="38" t="n">
        <f aca="false">Sens!$F$387</f>
        <v>71.7692997942464</v>
      </c>
      <c r="G412" s="38" t="n">
        <f aca="false">Sens!$G$387</f>
        <v>143.077946818676</v>
      </c>
      <c r="H412" s="38" t="n">
        <f aca="false">Sens!$H$387</f>
        <v>161.017077079203</v>
      </c>
      <c r="I412" s="38" t="n">
        <f aca="false">Sens!$I$387</f>
        <v>178.769759521457</v>
      </c>
      <c r="J412" s="38" t="n">
        <f aca="false">Sens!$J$387</f>
        <v>195.775538045907</v>
      </c>
      <c r="K412" s="38" t="n">
        <f aca="false">Sens!$K$387</f>
        <v>211.43758108958</v>
      </c>
      <c r="L412" s="38" t="n">
        <f aca="false">Sens!$L$387</f>
        <v>228.352587576746</v>
      </c>
      <c r="M412" s="38" t="n">
        <f aca="false">Sens!$M$387</f>
        <v>246.620794582886</v>
      </c>
      <c r="N412" s="38" t="n">
        <f aca="false">Sens!$N$387</f>
        <v>57.0936804689721</v>
      </c>
      <c r="O412" s="38" t="n">
        <f aca="false">Sens!$O$387</f>
        <v>62.9275494423768</v>
      </c>
    </row>
    <row r="413" customFormat="false" ht="15" hidden="false" customHeight="false" outlineLevel="0" collapsed="false">
      <c r="A413" s="3" t="s">
        <v>517</v>
      </c>
      <c r="B413" s="8" t="s">
        <v>86</v>
      </c>
      <c r="C413" s="38" t="n">
        <f aca="false">Sens!$C$389</f>
        <v>637.959</v>
      </c>
      <c r="D413" s="38" t="n">
        <f aca="false">Sens!$D$389</f>
        <v>716.924</v>
      </c>
      <c r="E413" s="38" t="n">
        <f aca="false">Sens!$E$389</f>
        <v>382.125</v>
      </c>
      <c r="F413" s="38" t="n">
        <f aca="false">Sens!$F$389</f>
        <v>434.954958748117</v>
      </c>
      <c r="G413" s="38" t="n">
        <f aca="false">Sens!$G$389</f>
        <v>817.079958748117</v>
      </c>
      <c r="H413" s="38" t="n">
        <f aca="false">Sens!$H$389</f>
        <v>935.536256798453</v>
      </c>
      <c r="I413" s="38" t="n">
        <f aca="false">Sens!$I$389</f>
        <v>1055.09889692929</v>
      </c>
      <c r="J413" s="38" t="n">
        <f aca="false">Sens!$J$389</f>
        <v>1169.21408118866</v>
      </c>
      <c r="K413" s="38" t="n">
        <f aca="false">Sens!$K$389</f>
        <v>1269.40250311482</v>
      </c>
      <c r="L413" s="38" t="n">
        <f aca="false">Sens!$L$389</f>
        <v>1364.59431952989</v>
      </c>
      <c r="M413" s="38" t="n">
        <f aca="false">Sens!$M$389</f>
        <v>1455.15444271572</v>
      </c>
      <c r="N413" s="38" t="n">
        <f aca="false">Sens!$N$389</f>
        <v>323.369</v>
      </c>
      <c r="O413" s="38" t="n">
        <f aca="false">Sens!$O$389</f>
        <v>393.555</v>
      </c>
    </row>
    <row r="414" customFormat="false" ht="17.15" hidden="false" customHeight="false" outlineLevel="0" collapsed="false">
      <c r="A414" s="24" t="s">
        <v>703</v>
      </c>
      <c r="B414" s="25" t="s">
        <v>86</v>
      </c>
      <c r="C414" s="41" t="n">
        <f aca="false">Sens!$C$401+Sens!$C$402+Sens!$C$403+Sens!$C$404+Sens!$C$405+Sens!$C$406-(Sens!$C$408+Sens!$C$409)</f>
        <v>0</v>
      </c>
      <c r="D414" s="41" t="n">
        <f aca="false">Sens!$D$401+Sens!$D$402+Sens!$D$403+Sens!$D$404+Sens!$D$405+Sens!$D$406-(Sens!$D$408+Sens!$D$409)</f>
        <v>0</v>
      </c>
      <c r="E414" s="41" t="n">
        <f aca="false">Sens!$E$401+Sens!$E$402+Sens!$E$403+Sens!$E$404+Sens!$E$405+Sens!$E$406-(Sens!$E$408+Sens!$E$409)</f>
        <v>0</v>
      </c>
      <c r="F414" s="41" t="n">
        <f aca="false">Sens!$F$401+Sens!$F$402+Sens!$F$403+Sens!$F$404+Sens!$F$405+Sens!$F$406-(Sens!$F$408+Sens!$F$409)</f>
        <v>0</v>
      </c>
      <c r="G414" s="41" t="n">
        <f aca="false">Sens!$G$401+Sens!$G$402+Sens!$G$403+Sens!$G$404+Sens!$G$405+Sens!$G$406-(Sens!$G$408+Sens!$G$409)</f>
        <v>0</v>
      </c>
      <c r="H414" s="41" t="n">
        <f aca="false">Sens!$H$401+Sens!$H$402+Sens!$H$403+Sens!$H$404+Sens!$H$405+Sens!$H$406-(Sens!$H$408+Sens!$H$409)</f>
        <v>0</v>
      </c>
      <c r="I414" s="41" t="n">
        <f aca="false">Sens!$I$401+Sens!$I$402+Sens!$I$403+Sens!$I$404+Sens!$I$405+Sens!$I$406-(Sens!$I$408+Sens!$I$409)</f>
        <v>0</v>
      </c>
      <c r="J414" s="41" t="n">
        <f aca="false">Sens!$J$401+Sens!$J$402+Sens!$J$403+Sens!$J$404+Sens!$J$405+Sens!$J$406-(Sens!$J$408+Sens!$J$409)</f>
        <v>0</v>
      </c>
      <c r="K414" s="41" t="n">
        <f aca="false">Sens!$K$401+Sens!$K$402+Sens!$K$403+Sens!$K$404+Sens!$K$405+Sens!$K$406-(Sens!$K$408+Sens!$K$409)</f>
        <v>0</v>
      </c>
      <c r="L414" s="41" t="n">
        <f aca="false">Sens!$L$401+Sens!$L$402+Sens!$L$403+Sens!$L$404+Sens!$L$405+Sens!$L$406-(Sens!$L$408+Sens!$L$409)</f>
        <v>0</v>
      </c>
      <c r="M414" s="41" t="n">
        <f aca="false">Sens!$M$401+Sens!$M$402+Sens!$M$403+Sens!$M$404+Sens!$M$405+Sens!$M$406-(Sens!$M$408+Sens!$M$409)</f>
        <v>0</v>
      </c>
      <c r="N414" s="41" t="n">
        <f aca="false">Sens!$N$401+Sens!$N$402+Sens!$N$403+Sens!$N$404+Sens!$N$405+Sens!$N$406-(Sens!$N$408+Sens!$N$409)</f>
        <v>0</v>
      </c>
      <c r="O414" s="41" t="n">
        <f aca="false">Sens!$O$401+Sens!$O$402+Sens!$O$403+Sens!$O$404+Sens!$O$405+Sens!$O$406-(Sens!$O$408+Sens!$O$409)</f>
        <v>0</v>
      </c>
    </row>
    <row r="415" customFormat="false" ht="17.15" hidden="false" customHeight="false" outlineLevel="0" collapsed="false">
      <c r="A415" s="24" t="s">
        <v>704</v>
      </c>
      <c r="B415" s="25" t="s">
        <v>86</v>
      </c>
      <c r="C415" s="41" t="n">
        <f aca="false">Sens!$C$411+Sens!$C$412-Sens!$C$410</f>
        <v>0</v>
      </c>
      <c r="D415" s="41" t="n">
        <f aca="false">Sens!$D$411+Sens!$D$412-Sens!$D$410</f>
        <v>0</v>
      </c>
      <c r="E415" s="41" t="n">
        <f aca="false">Sens!$E$411+Sens!$E$412-Sens!$E$410</f>
        <v>0</v>
      </c>
      <c r="F415" s="41" t="n">
        <f aca="false">Sens!$F$411+Sens!$F$412-Sens!$F$410</f>
        <v>0</v>
      </c>
      <c r="G415" s="41" t="n">
        <f aca="false">Sens!$G$411+Sens!$G$412-Sens!$G$410</f>
        <v>0</v>
      </c>
      <c r="H415" s="41" t="n">
        <f aca="false">Sens!$H$411+Sens!$H$412-Sens!$H$410</f>
        <v>0</v>
      </c>
      <c r="I415" s="41" t="n">
        <f aca="false">Sens!$I$411+Sens!$I$412-Sens!$I$410</f>
        <v>0</v>
      </c>
      <c r="J415" s="41" t="n">
        <f aca="false">Sens!$J$411+Sens!$J$412-Sens!$J$410</f>
        <v>0</v>
      </c>
      <c r="K415" s="41" t="n">
        <f aca="false">Sens!$K$411+Sens!$K$412-Sens!$K$410</f>
        <v>0</v>
      </c>
      <c r="L415" s="41" t="n">
        <f aca="false">Sens!$L$411+Sens!$L$412-Sens!$L$410</f>
        <v>0</v>
      </c>
      <c r="M415" s="41" t="n">
        <f aca="false">Sens!$M$411+Sens!$M$412-Sens!$M$410</f>
        <v>0</v>
      </c>
      <c r="N415" s="41" t="n">
        <f aca="false">Sens!$N$411+Sens!$N$412-Sens!$N$410</f>
        <v>0</v>
      </c>
      <c r="O415" s="41" t="n">
        <f aca="false">Sens!$O$411+Sens!$O$412-Sens!$O$410</f>
        <v>0</v>
      </c>
    </row>
    <row r="416" customFormat="false" ht="17.15" hidden="false" customHeight="false" outlineLevel="0" collapsed="false">
      <c r="A416" s="24" t="s">
        <v>763</v>
      </c>
      <c r="B416" s="25" t="s">
        <v>86</v>
      </c>
      <c r="C416" s="41" t="n">
        <f aca="false">Sens!$C$401+Sens!$C$402+Sens!$C$403+Sens!$C$404+Sens!$C$405+Sens!$C$406+Sens!$C$407-Sens!$C$413</f>
        <v>0</v>
      </c>
      <c r="D416" s="41" t="n">
        <f aca="false">Sens!$D$401+Sens!$D$402+Sens!$D$403+Sens!$D$404+Sens!$D$405+Sens!$D$406+Sens!$D$407-Sens!$D$413</f>
        <v>0</v>
      </c>
      <c r="E416" s="41" t="n">
        <f aca="false">Sens!$E$401+Sens!$E$402+Sens!$E$403+Sens!$E$404+Sens!$E$405+Sens!$E$406+Sens!$E$407-Sens!$E$413</f>
        <v>0</v>
      </c>
      <c r="F416" s="41" t="n">
        <f aca="false">Sens!$F$401+Sens!$F$402+Sens!$F$403+Sens!$F$404+Sens!$F$405+Sens!$F$406+Sens!$F$407-Sens!$F$413</f>
        <v>0</v>
      </c>
      <c r="G416" s="41" t="n">
        <f aca="false">Sens!$G$401+Sens!$G$402+Sens!$G$403+Sens!$G$404+Sens!$G$405+Sens!$G$406+Sens!$G$407-Sens!$G$413</f>
        <v>0</v>
      </c>
      <c r="H416" s="41" t="n">
        <f aca="false">Sens!$H$401+Sens!$H$402+Sens!$H$403+Sens!$H$404+Sens!$H$405+Sens!$H$406+Sens!$H$407-Sens!$H$413</f>
        <v>0</v>
      </c>
      <c r="I416" s="41" t="n">
        <f aca="false">Sens!$I$401+Sens!$I$402+Sens!$I$403+Sens!$I$404+Sens!$I$405+Sens!$I$406+Sens!$I$407-Sens!$I$413</f>
        <v>0</v>
      </c>
      <c r="J416" s="41" t="n">
        <f aca="false">Sens!$J$401+Sens!$J$402+Sens!$J$403+Sens!$J$404+Sens!$J$405+Sens!$J$406+Sens!$J$407-Sens!$J$413</f>
        <v>0</v>
      </c>
      <c r="K416" s="41" t="n">
        <f aca="false">Sens!$K$401+Sens!$K$402+Sens!$K$403+Sens!$K$404+Sens!$K$405+Sens!$K$406+Sens!$K$407-Sens!$K$413</f>
        <v>0</v>
      </c>
      <c r="L416" s="41" t="n">
        <f aca="false">Sens!$L$401+Sens!$L$402+Sens!$L$403+Sens!$L$404+Sens!$L$405+Sens!$L$406+Sens!$L$407-Sens!$L$413</f>
        <v>0</v>
      </c>
      <c r="M416" s="41" t="n">
        <f aca="false">Sens!$M$401+Sens!$M$402+Sens!$M$403+Sens!$M$404+Sens!$M$405+Sens!$M$406+Sens!$M$407-Sens!$M$413</f>
        <v>0</v>
      </c>
      <c r="N416" s="41" t="n">
        <f aca="false">Sens!$N$401+Sens!$N$402+Sens!$N$403+Sens!$N$404+Sens!$N$405+Sens!$N$406+Sens!$N$407-Sens!$N$413</f>
        <v>0</v>
      </c>
      <c r="O416" s="41" t="n">
        <f aca="false">Sens!$O$401+Sens!$O$402+Sens!$O$403+Sens!$O$404+Sens!$O$405+Sens!$O$406+Sens!$O$407-Sens!$O$413</f>
        <v>0</v>
      </c>
    </row>
    <row r="417" customFormat="false" ht="17.15" hidden="false" customHeight="false" outlineLevel="0" collapsed="false">
      <c r="A417" s="24" t="s">
        <v>705</v>
      </c>
      <c r="B417" s="25" t="s">
        <v>86</v>
      </c>
      <c r="C417" s="41" t="n">
        <f aca="false">Sens!$C$408+Sens!$C$409+Sens!$C$410-Sens!$C$413</f>
        <v>0</v>
      </c>
      <c r="D417" s="41" t="n">
        <f aca="false">Sens!$D$408+Sens!$D$409+Sens!$D$410-Sens!$D$413</f>
        <v>0</v>
      </c>
      <c r="E417" s="41" t="n">
        <f aca="false">Sens!$E$408+Sens!$E$409+Sens!$E$410-Sens!$E$413</f>
        <v>0</v>
      </c>
      <c r="F417" s="41" t="n">
        <f aca="false">Sens!$F$408+Sens!$F$409+Sens!$F$410-Sens!$F$413</f>
        <v>0</v>
      </c>
      <c r="G417" s="41" t="n">
        <f aca="false">Sens!$G$408+Sens!$G$409+Sens!$G$410-Sens!$G$413</f>
        <v>0</v>
      </c>
      <c r="H417" s="41" t="n">
        <f aca="false">Sens!$H$408+Sens!$H$409+Sens!$H$410-Sens!$H$413</f>
        <v>0</v>
      </c>
      <c r="I417" s="41" t="n">
        <f aca="false">Sens!$I$408+Sens!$I$409+Sens!$I$410-Sens!$I$413</f>
        <v>0</v>
      </c>
      <c r="J417" s="41" t="n">
        <f aca="false">Sens!$J$408+Sens!$J$409+Sens!$J$410-Sens!$J$413</f>
        <v>0</v>
      </c>
      <c r="K417" s="41" t="n">
        <f aca="false">Sens!$K$408+Sens!$K$409+Sens!$K$410-Sens!$K$413</f>
        <v>0</v>
      </c>
      <c r="L417" s="41" t="n">
        <f aca="false">Sens!$L$408+Sens!$L$409+Sens!$L$410-Sens!$L$413</f>
        <v>0</v>
      </c>
      <c r="M417" s="41" t="n">
        <f aca="false">Sens!$M$408+Sens!$M$409+Sens!$M$410-Sens!$M$413</f>
        <v>0</v>
      </c>
      <c r="N417" s="41" t="n">
        <f aca="false">Sens!$N$408+Sens!$N$409+Sens!$N$410-Sens!$N$413</f>
        <v>0</v>
      </c>
      <c r="O417" s="41" t="n">
        <f aca="false">Sens!$O$408+Sens!$O$409+Sens!$O$410-Sens!$O$413</f>
        <v>0</v>
      </c>
    </row>
    <row r="418" customFormat="false" ht="17.15" hidden="false" customHeight="false" outlineLevel="0" collapsed="false">
      <c r="A418" s="1" t="s">
        <v>719</v>
      </c>
    </row>
    <row r="419" customFormat="false" ht="17.15" hidden="false" customHeight="false" outlineLevel="0" collapsed="false">
      <c r="A419" s="0" t="s">
        <v>720</v>
      </c>
      <c r="B419" s="0" t="s">
        <v>86</v>
      </c>
      <c r="C419" s="38" t="n">
        <f aca="false">Sens!$C$323*m_ad</f>
        <v>20.5341564414228</v>
      </c>
      <c r="D419" s="38" t="n">
        <f aca="false">Sens!$D$323*m_ad</f>
        <v>24.8720617299587</v>
      </c>
      <c r="E419" s="38" t="n">
        <f aca="false">Sens!$E$323*m_ad</f>
        <v>13.5017112462207</v>
      </c>
      <c r="F419" s="38" t="n">
        <f aca="false">Sens!$F$323*m_ad</f>
        <v>16.5719724165257</v>
      </c>
      <c r="G419" s="38" t="n">
        <f aca="false">Sens!$G$323*m_ad</f>
        <v>30.0820919220415</v>
      </c>
      <c r="H419" s="38" t="n">
        <f aca="false">Sens!$H$323*m_ad</f>
        <v>36.1150883276314</v>
      </c>
      <c r="I419" s="38" t="n">
        <f aca="false">Sens!$I$323*m_ad</f>
        <v>42.1475382231996</v>
      </c>
      <c r="J419" s="38" t="n">
        <f aca="false">Sens!$J$323*m_ad</f>
        <v>47.7749523864693</v>
      </c>
      <c r="K419" s="38" t="n">
        <f aca="false">Sens!$K$323*m_ad</f>
        <v>52.5524476251162</v>
      </c>
      <c r="L419" s="38" t="n">
        <f aca="false">Sens!$L$323*m_ad</f>
        <v>57.8076923876279</v>
      </c>
      <c r="M419" s="38" t="n">
        <f aca="false">Sens!$M$323*m_ad</f>
        <v>63.5884616263907</v>
      </c>
      <c r="N419" s="38" t="n">
        <f aca="false">Sens!$N$323*m_ad</f>
        <v>10.8543555706248</v>
      </c>
      <c r="O419" s="38" t="n">
        <f aca="false">Sens!$O$323*m_ad</f>
        <v>14.0094731821399</v>
      </c>
    </row>
    <row r="420" customFormat="false" ht="17.15" hidden="false" customHeight="false" outlineLevel="0" collapsed="false">
      <c r="A420" s="0" t="s">
        <v>721</v>
      </c>
      <c r="B420" s="0" t="s">
        <v>86</v>
      </c>
      <c r="C420" s="38" t="n">
        <f aca="false">Sens!$C$321-Sens!$C$323</f>
        <v>346.428687117154</v>
      </c>
      <c r="D420" s="38" t="n">
        <f aca="false">Sens!$D$321-Sens!$D$323</f>
        <v>376.560876540083</v>
      </c>
      <c r="E420" s="38" t="n">
        <f aca="false">Sens!$E$321-Sens!$E$323</f>
        <v>193.316577507559</v>
      </c>
      <c r="F420" s="38" t="n">
        <f aca="false">Sens!$F$321-Sens!$F$323</f>
        <v>217.495828647535</v>
      </c>
      <c r="G420" s="38" t="n">
        <f aca="false">Sens!$G$321-Sens!$G$323</f>
        <v>410.795589636503</v>
      </c>
      <c r="H420" s="38" t="n">
        <f aca="false">Sens!$H$321-Sens!$H$323</f>
        <v>449.156813761174</v>
      </c>
      <c r="I420" s="38" t="n">
        <f aca="false">Sens!$I$321-Sens!$I$323</f>
        <v>485.848786441156</v>
      </c>
      <c r="J420" s="38" t="n">
        <f aca="false">Sens!$J$321-Sens!$J$323</f>
        <v>519.841531018994</v>
      </c>
      <c r="K420" s="38" t="n">
        <f aca="false">Sens!$K$321-Sens!$K$323</f>
        <v>550.103332311311</v>
      </c>
      <c r="L420" s="38" t="n">
        <f aca="false">Sens!$L$321-Sens!$L$323</f>
        <v>582.192354474511</v>
      </c>
      <c r="M420" s="38" t="n">
        <f aca="false">Sens!$M$321-Sens!$M$323</f>
        <v>616.22240521081</v>
      </c>
      <c r="N420" s="38" t="n">
        <f aca="false">Sens!$N$321-Sens!$N$323</f>
        <v>171.24628885875</v>
      </c>
      <c r="O420" s="38" t="n">
        <f aca="false">Sens!$O$321-Sens!$O$323</f>
        <v>205.33105363572</v>
      </c>
    </row>
    <row r="421" customFormat="false" ht="17.15" hidden="false" customHeight="false" outlineLevel="0" collapsed="false">
      <c r="A421" s="0" t="s">
        <v>722</v>
      </c>
      <c r="B421" s="0" t="s">
        <v>86</v>
      </c>
      <c r="C421" s="38" t="n">
        <f aca="false">Sens!$C$372*Sens!$C$320</f>
        <v>0.123617442257179</v>
      </c>
      <c r="D421" s="38" t="n">
        <f aca="false">Sens!$D$372*Sens!$D$320</f>
        <v>0.600198046024689</v>
      </c>
      <c r="E421" s="38" t="n">
        <f aca="false">Sens!$E$372*Sens!$E$320</f>
        <v>0.970552432202993</v>
      </c>
      <c r="F421" s="38" t="n">
        <f aca="false">Sens!$F$372*Sens!$F$320</f>
        <v>1.20013524388435</v>
      </c>
      <c r="G421" s="38" t="n">
        <f aca="false">Sens!$G$372*Sens!$G$320</f>
        <v>2.17135369594947</v>
      </c>
      <c r="H421" s="38" t="n">
        <f aca="false">Sens!$H$372*Sens!$H$320</f>
        <v>6.14227489656333</v>
      </c>
      <c r="I421" s="38" t="n">
        <f aca="false">Sens!$I$372*Sens!$I$320</f>
        <v>11.6518054969681</v>
      </c>
      <c r="J421" s="38" t="n">
        <f aca="false">Sens!$J$372*Sens!$J$320</f>
        <v>17.3105301010592</v>
      </c>
      <c r="K421" s="38" t="n">
        <f aca="false">Sens!$K$372*Sens!$K$320</f>
        <v>22.8486728059883</v>
      </c>
      <c r="L421" s="38" t="n">
        <f aca="false">Sens!$L$372*Sens!$L$320</f>
        <v>26.6849171332777</v>
      </c>
      <c r="M421" s="38" t="n">
        <f aca="false">Sens!$M$372*Sens!$M$320</f>
        <v>29.0523240317336</v>
      </c>
      <c r="N421" s="38" t="n">
        <f aca="false">Sens!$N$372*Sens!$N$320</f>
        <v>0.25053229484398</v>
      </c>
      <c r="O421" s="38" t="n">
        <f aca="false">Sens!$O$372*Sens!$O$320</f>
        <v>0.349234376756897</v>
      </c>
    </row>
    <row r="422" customFormat="false" ht="17.15" hidden="false" customHeight="false" outlineLevel="0" collapsed="false">
      <c r="A422" s="0" t="s">
        <v>723</v>
      </c>
      <c r="B422" s="0" t="s">
        <v>52</v>
      </c>
      <c r="C422" s="28" t="n">
        <f aca="false">(Sens!$C$423-Sens!$C$419+Sens!$C$421)/Sens!$C$420</f>
        <v>0.0131526665379575</v>
      </c>
      <c r="D422" s="28" t="n">
        <f aca="false">(Sens!$D$423-Sens!$D$419+Sens!$D$421)/Sens!$D$420</f>
        <v>0.0141999252954702</v>
      </c>
      <c r="E422" s="28" t="n">
        <f aca="false">(Sens!$E$423-Sens!$E$419+Sens!$E$421)/Sens!$E$420</f>
        <v>0.0251341154940129</v>
      </c>
      <c r="F422" s="28" t="n">
        <f aca="false">Sens!$O$422+(Sens!$E$422-Sens!$N$422)</f>
        <v>0.0217171685713677</v>
      </c>
      <c r="G422" s="28" t="n">
        <f aca="false">(Sens!$G$423-Sens!$G$419+Sens!$G$421)/Sens!$G$420</f>
        <v>0.0233071940458981</v>
      </c>
      <c r="H422" s="28" t="n">
        <f aca="false">Sens!$G$422+step_na</f>
        <v>0.0263071940458981</v>
      </c>
      <c r="I422" s="28" t="n">
        <f aca="false">Sens!$H$422+step_na</f>
        <v>0.0293071940458981</v>
      </c>
      <c r="J422" s="28" t="n">
        <f aca="false">Sens!$I$422+step_na</f>
        <v>0.0323071940458981</v>
      </c>
      <c r="K422" s="28" t="n">
        <f aca="false">Sens!$J$422+step_na</f>
        <v>0.0353071940458981</v>
      </c>
      <c r="L422" s="28" t="n">
        <f aca="false">Sens!$K$422</f>
        <v>0.0353071940458981</v>
      </c>
      <c r="M422" s="28" t="n">
        <f aca="false">Sens!$L$422</f>
        <v>0.0353071940458981</v>
      </c>
      <c r="N422" s="28" t="n">
        <f aca="false">(Sens!$N$423-Sens!$N$419+Sens!$N$421)/Sens!$N$420</f>
        <v>0.0160831323269779</v>
      </c>
      <c r="O422" s="28" t="n">
        <f aca="false">(Sens!$O$423-Sens!$O$419+Sens!$O$421)/Sens!$O$420</f>
        <v>0.0126661854043327</v>
      </c>
      <c r="P422" s="8" t="s">
        <v>724</v>
      </c>
    </row>
    <row r="423" customFormat="false" ht="17.15" hidden="false" customHeight="false" outlineLevel="0" collapsed="false">
      <c r="A423" s="1" t="s">
        <v>725</v>
      </c>
      <c r="B423" s="8" t="s">
        <v>86</v>
      </c>
      <c r="C423" s="38" t="n">
        <f aca="false">Q!$D$22</f>
        <v>24.967</v>
      </c>
      <c r="D423" s="38" t="n">
        <f aca="false">Q!$E$22</f>
        <v>29.619</v>
      </c>
      <c r="E423" s="38" t="n">
        <f aca="false">Q!$P$22</f>
        <v>17.39</v>
      </c>
      <c r="F423" s="38" t="n">
        <f aca="false">Sens!$F$419+Sens!$F$420*Sens!$F$422-Sens!$F$421</f>
        <v>20.0952307469491</v>
      </c>
      <c r="G423" s="38" t="n">
        <f aca="false">Sens!$E$423+Sens!$F$423</f>
        <v>37.4852307469491</v>
      </c>
      <c r="H423" s="38" t="n">
        <f aca="false">Sens!$H$419+Sens!$H$420*Sens!$H$422-Sens!$H$421</f>
        <v>41.7888688877206</v>
      </c>
      <c r="I423" s="38" t="n">
        <f aca="false">Sens!$I$419+Sens!$I$420*Sens!$I$422-Sens!$I$421</f>
        <v>44.7345973874265</v>
      </c>
      <c r="J423" s="38" t="n">
        <f aca="false">Sens!$J$419+Sens!$J$420*Sens!$J$422-Sens!$J$421</f>
        <v>47.2590435011574</v>
      </c>
      <c r="K423" s="38" t="n">
        <f aca="false">Sens!$K$419+Sens!$K$420*Sens!$K$422-Sens!$K$421</f>
        <v>49.1263799183386</v>
      </c>
      <c r="L423" s="38" t="n">
        <f aca="false">Sens!$L$419+Sens!$L$420*Sens!$L$422-Sens!$L$421</f>
        <v>51.67835368582</v>
      </c>
      <c r="M423" s="38" t="n">
        <f aca="false">Sens!$M$419+Sens!$M$420*Sens!$M$422-Sens!$M$421</f>
        <v>56.2932216308652</v>
      </c>
      <c r="N423" s="38" t="n">
        <f aca="false">Q!$N$22</f>
        <v>13.358</v>
      </c>
      <c r="O423" s="38" t="n">
        <f aca="false">Q!$O$22</f>
        <v>16.261</v>
      </c>
    </row>
    <row r="424" customFormat="false" ht="17.15" hidden="false" customHeight="false" outlineLevel="0" collapsed="false">
      <c r="A424" s="0" t="s">
        <v>726</v>
      </c>
      <c r="B424" s="0" t="s">
        <v>86</v>
      </c>
      <c r="C424" s="38" t="n">
        <f aca="false">Sens!$C$324*m_ad</f>
        <v>7.57284355857716</v>
      </c>
      <c r="D424" s="38" t="n">
        <f aca="false">Sens!$D$324*m_ad</f>
        <v>9.44543827004127</v>
      </c>
      <c r="E424" s="38" t="n">
        <f aca="false">Sens!$E$324*m_ad</f>
        <v>5.02428875377928</v>
      </c>
      <c r="F424" s="38" t="n">
        <f aca="false">Sens!$F$324*m_ad</f>
        <v>6.50663858068173</v>
      </c>
      <c r="G424" s="38" t="n">
        <f aca="false">Sens!$G$324*m_ad</f>
        <v>11.5225190751659</v>
      </c>
      <c r="H424" s="38" t="n">
        <f aca="false">Sens!$H$324*m_ad</f>
        <v>13.8333728663174</v>
      </c>
      <c r="I424" s="38" t="n">
        <f aca="false">Sens!$I$324*m_ad</f>
        <v>16.1440173245485</v>
      </c>
      <c r="J424" s="38" t="n">
        <f aca="false">Sens!$J$324*m_ad</f>
        <v>18.2995185845066</v>
      </c>
      <c r="K424" s="38" t="n">
        <f aca="false">Sens!$K$324*m_ad</f>
        <v>20.1294704429572</v>
      </c>
      <c r="L424" s="38" t="n">
        <f aca="false">Sens!$L$324*m_ad</f>
        <v>22.142417487253</v>
      </c>
      <c r="M424" s="38" t="n">
        <f aca="false">Sens!$M$324*m_ad</f>
        <v>24.3566592359783</v>
      </c>
      <c r="N424" s="38" t="n">
        <f aca="false">Sens!$N$324*m_ad</f>
        <v>3.95314442937518</v>
      </c>
      <c r="O424" s="38" t="n">
        <f aca="false">Sens!$O$324*m_ad</f>
        <v>5.50052681786011</v>
      </c>
    </row>
    <row r="425" customFormat="false" ht="17.15" hidden="false" customHeight="false" outlineLevel="0" collapsed="false">
      <c r="A425" s="0" t="s">
        <v>727</v>
      </c>
      <c r="B425" s="0" t="s">
        <v>86</v>
      </c>
      <c r="C425" s="38" t="n">
        <f aca="false">Sens!$C$322-Sens!$C$324</f>
        <v>127.760312882846</v>
      </c>
      <c r="D425" s="38" t="n">
        <f aca="false">Sens!$D$322-Sens!$D$324</f>
        <v>143.003123459917</v>
      </c>
      <c r="E425" s="38" t="n">
        <f aca="false">Sens!$E$322-Sens!$E$324</f>
        <v>71.9374224924414</v>
      </c>
      <c r="F425" s="38" t="n">
        <f aca="false">Sens!$F$322-Sens!$F$324</f>
        <v>85.3951910035875</v>
      </c>
      <c r="G425" s="38" t="n">
        <f aca="false">Sens!$G$322-Sens!$G$324</f>
        <v>157.349430014619</v>
      </c>
      <c r="H425" s="38" t="n">
        <f aca="false">Sens!$H$322-Sens!$H$324</f>
        <v>172.043153372315</v>
      </c>
      <c r="I425" s="38" t="n">
        <f aca="false">Sens!$I$322-Sens!$I$324</f>
        <v>186.097493615879</v>
      </c>
      <c r="J425" s="38" t="n">
        <f aca="false">Sens!$J$322-Sens!$J$324</f>
        <v>199.117932780497</v>
      </c>
      <c r="K425" s="38" t="n">
        <f aca="false">Sens!$K$322-Sens!$K$324</f>
        <v>210.70928698363</v>
      </c>
      <c r="L425" s="38" t="n">
        <f aca="false">Sens!$L$322-Sens!$L$324</f>
        <v>223.000532251316</v>
      </c>
      <c r="M425" s="38" t="n">
        <f aca="false">Sens!$M$322-Sens!$M$324</f>
        <v>236.035261011339</v>
      </c>
      <c r="N425" s="38" t="n">
        <f aca="false">Sens!$N$322-Sens!$N$324</f>
        <v>62.3677111412496</v>
      </c>
      <c r="O425" s="38" t="n">
        <f aca="false">Sens!$O$322-Sens!$O$324</f>
        <v>80.6189463642798</v>
      </c>
    </row>
    <row r="426" customFormat="false" ht="17.15" hidden="false" customHeight="false" outlineLevel="0" collapsed="false">
      <c r="A426" s="0" t="s">
        <v>728</v>
      </c>
      <c r="B426" s="0" t="s">
        <v>86</v>
      </c>
      <c r="C426" s="38" t="n">
        <f aca="false">Sens!$C$372*(1-Sens!$C$320)</f>
        <v>0.0455891896019953</v>
      </c>
      <c r="D426" s="38" t="n">
        <f aca="false">Sens!$D$372*(1-Sens!$D$320)</f>
        <v>0.227931791705753</v>
      </c>
      <c r="E426" s="38" t="n">
        <f aca="false">Sens!$E$372*(1-Sens!$E$320)</f>
        <v>0.361164268820781</v>
      </c>
      <c r="F426" s="38" t="n">
        <f aca="false">Sens!$F$372*(1-Sens!$F$320)</f>
        <v>0.471208018190203</v>
      </c>
      <c r="G426" s="38" t="n">
        <f aca="false">Sens!$G$372*(1-Sens!$G$320)</f>
        <v>0.83170626714885</v>
      </c>
      <c r="H426" s="38" t="n">
        <f aca="false">Sens!$H$372*(1-Sens!$H$320)</f>
        <v>2.35271136874315</v>
      </c>
      <c r="I426" s="38" t="n">
        <f aca="false">Sens!$I$372*(1-Sens!$I$320)</f>
        <v>4.46305900024741</v>
      </c>
      <c r="J426" s="38" t="n">
        <f aca="false">Sens!$J$372*(1-Sens!$J$320)</f>
        <v>6.63055328092195</v>
      </c>
      <c r="K426" s="38" t="n">
        <f aca="false">Sens!$K$372*(1-Sens!$K$320)</f>
        <v>8.75186037365703</v>
      </c>
      <c r="L426" s="38" t="n">
        <f aca="false">Sens!$L$372*(1-Sens!$L$320)</f>
        <v>10.2212794071718</v>
      </c>
      <c r="M426" s="38" t="n">
        <f aca="false">Sens!$M$372*(1-Sens!$M$320)</f>
        <v>11.1280810756472</v>
      </c>
      <c r="N426" s="38" t="n">
        <f aca="false">Sens!$N$372*(1-Sens!$N$320)</f>
        <v>0.0912435878202994</v>
      </c>
      <c r="O426" s="38" t="n">
        <f aca="false">Sens!$O$372*(1-Sens!$O$320)</f>
        <v>0.137119578309265</v>
      </c>
    </row>
    <row r="427" customFormat="false" ht="17.15" hidden="false" customHeight="false" outlineLevel="0" collapsed="false">
      <c r="A427" s="0" t="s">
        <v>729</v>
      </c>
      <c r="B427" s="0" t="s">
        <v>52</v>
      </c>
      <c r="C427" s="28" t="n">
        <f aca="false">(Sens!$C$428-Sens!$C$424+Sens!$C$426)/Sens!$C$425</f>
        <v>-0.0292364215826579</v>
      </c>
      <c r="D427" s="28" t="n">
        <f aca="false">(Sens!$D$428-Sens!$D$424+Sens!$D$426)/Sens!$D$425</f>
        <v>-0.0312406216748665</v>
      </c>
      <c r="E427" s="28" t="n">
        <f aca="false">(Sens!$E$428-Sens!$E$424+Sens!$E$426)/Sens!$E$425</f>
        <v>-0.0211590078184749</v>
      </c>
      <c r="F427" s="28" t="n">
        <f aca="false">Sens!$O$427+(Sens!$E$427-Sens!$N$427)</f>
        <v>-0.0382539955245511</v>
      </c>
      <c r="G427" s="28" t="n">
        <f aca="false">(Sens!$G$428-Sens!$G$424+Sens!$G$426)/Sens!$G$425</f>
        <v>-0.030385172031133</v>
      </c>
      <c r="H427" s="28" t="n">
        <f aca="false">Sens!$G$427+step_in</f>
        <v>-0.030385172031133</v>
      </c>
      <c r="I427" s="28" t="n">
        <f aca="false">Sens!$H$427+step_in</f>
        <v>-0.030385172031133</v>
      </c>
      <c r="J427" s="28" t="n">
        <f aca="false">Sens!$I$427+step_in</f>
        <v>-0.030385172031133</v>
      </c>
      <c r="K427" s="28" t="n">
        <f aca="false">Sens!$J$427+step_in</f>
        <v>-0.030385172031133</v>
      </c>
      <c r="L427" s="28" t="n">
        <f aca="false">Sens!$K$427</f>
        <v>-0.030385172031133</v>
      </c>
      <c r="M427" s="28" t="n">
        <f aca="false">Sens!$L$427</f>
        <v>-0.030385172031133</v>
      </c>
      <c r="N427" s="28" t="n">
        <f aca="false">(Sens!$N$428-Sens!$N$424+Sens!$N$426)/Sens!$N$425</f>
        <v>-0.0216602600421776</v>
      </c>
      <c r="O427" s="28" t="n">
        <f aca="false">(Sens!$O$428-Sens!$O$424+Sens!$O$426)/Sens!$O$425</f>
        <v>-0.0387552477482538</v>
      </c>
      <c r="P427" s="8" t="s">
        <v>724</v>
      </c>
    </row>
    <row r="428" customFormat="false" ht="17.15" hidden="false" customHeight="false" outlineLevel="0" collapsed="false">
      <c r="A428" s="1" t="s">
        <v>730</v>
      </c>
      <c r="B428" s="8" t="s">
        <v>86</v>
      </c>
      <c r="C428" s="38" t="n">
        <f aca="false">Q!$D$23</f>
        <v>3.792</v>
      </c>
      <c r="D428" s="38" t="n">
        <f aca="false">Q!$E$23</f>
        <v>4.75</v>
      </c>
      <c r="E428" s="38" t="n">
        <f aca="false">Q!$P$23</f>
        <v>3.141</v>
      </c>
      <c r="F428" s="38" t="n">
        <f aca="false">Sens!$F$424+Sens!$F$425*Sens!$F$427-Sens!$F$426</f>
        <v>2.7687233080221</v>
      </c>
      <c r="G428" s="38" t="n">
        <f aca="false">Sens!$E$428+Sens!$F$428</f>
        <v>5.9097233080221</v>
      </c>
      <c r="H428" s="38" t="n">
        <f aca="false">Sens!$H$424+Sens!$H$425*Sens!$H$427-Sens!$H$426</f>
        <v>6.25310068557783</v>
      </c>
      <c r="I428" s="38" t="n">
        <f aca="false">Sens!$I$424+Sens!$I$425*Sens!$I$427-Sens!$I$426</f>
        <v>6.02635396621997</v>
      </c>
      <c r="J428" s="38" t="n">
        <f aca="false">Sens!$J$424+Sens!$J$425*Sens!$J$427-Sens!$J$426</f>
        <v>5.61873266156566</v>
      </c>
      <c r="K428" s="38" t="n">
        <f aca="false">Sens!$K$424+Sens!$K$425*Sens!$K$427-Sens!$K$426</f>
        <v>4.97517213574524</v>
      </c>
      <c r="L428" s="38" t="n">
        <f aca="false">Sens!$L$424+Sens!$L$425*Sens!$L$427-Sens!$L$426</f>
        <v>5.14522854459066</v>
      </c>
      <c r="M428" s="38" t="n">
        <f aca="false">Sens!$M$424+Sens!$M$425*Sens!$M$427-Sens!$M$426</f>
        <v>6.05660614908815</v>
      </c>
      <c r="N428" s="38" t="n">
        <f aca="false">Q!$N$23</f>
        <v>2.511</v>
      </c>
      <c r="O428" s="38" t="n">
        <f aca="false">Q!$O$23</f>
        <v>2.239</v>
      </c>
    </row>
    <row r="429" customFormat="false" ht="17.15" hidden="false" customHeight="false" outlineLevel="0" collapsed="false">
      <c r="A429" s="0" t="s">
        <v>731</v>
      </c>
      <c r="B429" s="0" t="s">
        <v>86</v>
      </c>
      <c r="C429" s="38" t="n">
        <f aca="false">Sens!$C$369</f>
        <v>1.64417882953695</v>
      </c>
      <c r="D429" s="38" t="n">
        <f aca="false">Sens!$D$369</f>
        <v>5.39125073772939</v>
      </c>
      <c r="E429" s="38" t="n">
        <f aca="false">Sens!$E$369</f>
        <v>3.18348617147493</v>
      </c>
      <c r="F429" s="38" t="n">
        <f aca="false">Sens!$F$369</f>
        <v>7.45204426003557</v>
      </c>
      <c r="G429" s="38" t="n">
        <f aca="false">Sens!$G$369</f>
        <v>10.6355304315105</v>
      </c>
      <c r="H429" s="38" t="n">
        <f aca="false">Sens!$H$369</f>
        <v>19.4423451366374</v>
      </c>
      <c r="I429" s="38" t="n">
        <f aca="false">Sens!$I$369</f>
        <v>23.3402882664391</v>
      </c>
      <c r="J429" s="38" t="n">
        <f aca="false">Sens!$J$369</f>
        <v>26.5658038733873</v>
      </c>
      <c r="K429" s="38" t="n">
        <f aca="false">Sens!$K$369</f>
        <v>25.3863338755762</v>
      </c>
      <c r="L429" s="38" t="n">
        <f aca="false">Sens!$L$369</f>
        <v>23.5238393157556</v>
      </c>
      <c r="M429" s="38" t="n">
        <f aca="false">Sens!$M$369</f>
        <v>19.6641197564286</v>
      </c>
      <c r="N429" s="38" t="n">
        <f aca="false">Sens!$N$369</f>
        <v>1.67921600037079</v>
      </c>
      <c r="O429" s="38" t="n">
        <f aca="false">Sens!$O$369</f>
        <v>3.71203473735861</v>
      </c>
    </row>
    <row r="430" customFormat="false" ht="17.15" hidden="false" customHeight="false" outlineLevel="0" collapsed="false">
      <c r="A430" s="0" t="s">
        <v>649</v>
      </c>
      <c r="B430" s="0" t="s">
        <v>86</v>
      </c>
      <c r="C430" s="38" t="n">
        <f aca="false">Sens!$C$374</f>
        <v>38.1898211704631</v>
      </c>
      <c r="D430" s="38" t="n">
        <f aca="false">Sens!$D$374</f>
        <v>40.2147492622706</v>
      </c>
      <c r="E430" s="38" t="n">
        <f aca="false">Sens!$E$374</f>
        <v>27.5985138285251</v>
      </c>
      <c r="F430" s="38" t="n">
        <f aca="false">Sens!$F$374</f>
        <v>25.5484769754606</v>
      </c>
      <c r="G430" s="38" t="n">
        <f aca="false">Sens!$G$374</f>
        <v>53.1469908039857</v>
      </c>
      <c r="H430" s="38" t="n">
        <f aca="false">Sens!$H$374</f>
        <v>57.3189525076539</v>
      </c>
      <c r="I430" s="38" t="n">
        <f aca="false">Sens!$I$374</f>
        <v>63.6385627021087</v>
      </c>
      <c r="J430" s="38" t="n">
        <f aca="false">Sens!$J$374</f>
        <v>69.6922896066105</v>
      </c>
      <c r="K430" s="38" t="n">
        <f aca="false">Sens!$K$374</f>
        <v>75.2676727751394</v>
      </c>
      <c r="L430" s="38" t="n">
        <f aca="false">Sens!$L$374</f>
        <v>81.2890865971505</v>
      </c>
      <c r="M430" s="38" t="n">
        <f aca="false">Sens!$M$374</f>
        <v>87.7922135249226</v>
      </c>
      <c r="N430" s="38" t="n">
        <f aca="false">Sens!$N$374</f>
        <v>20.0277839996292</v>
      </c>
      <c r="O430" s="38" t="n">
        <f aca="false">Sens!$O$374</f>
        <v>20.1869652626414</v>
      </c>
    </row>
    <row r="431" customFormat="false" ht="17.15" hidden="false" customHeight="false" outlineLevel="0" collapsed="false">
      <c r="A431" s="1" t="s">
        <v>732</v>
      </c>
      <c r="B431" s="8" t="s">
        <v>86</v>
      </c>
      <c r="C431" s="38" t="n">
        <f aca="false">Q!$D$24</f>
        <v>39.834</v>
      </c>
      <c r="D431" s="38" t="n">
        <f aca="false">Q!$E$24</f>
        <v>45.606</v>
      </c>
      <c r="E431" s="38" t="n">
        <f aca="false">Q!$P$24</f>
        <v>30.782</v>
      </c>
      <c r="F431" s="38" t="n">
        <f aca="false">Sens!$F$429+Sens!$F$430</f>
        <v>33.0005212354962</v>
      </c>
      <c r="G431" s="38" t="n">
        <f aca="false">Sens!$G$429+Sens!$G$430</f>
        <v>63.7825212354962</v>
      </c>
      <c r="H431" s="38" t="n">
        <f aca="false">Sens!$H$429+Sens!$H$430</f>
        <v>76.7612976442914</v>
      </c>
      <c r="I431" s="38" t="n">
        <f aca="false">Sens!$I$429+Sens!$I$430</f>
        <v>86.9788509685478</v>
      </c>
      <c r="J431" s="38" t="n">
        <f aca="false">Sens!$J$429+Sens!$J$430</f>
        <v>96.2580934799979</v>
      </c>
      <c r="K431" s="38" t="n">
        <f aca="false">Sens!$K$429+Sens!$K$430</f>
        <v>100.654006650716</v>
      </c>
      <c r="L431" s="38" t="n">
        <f aca="false">Sens!$L$429+Sens!$L$430</f>
        <v>104.812925912906</v>
      </c>
      <c r="M431" s="38" t="n">
        <f aca="false">Sens!$M$429+Sens!$M$430</f>
        <v>107.456333281351</v>
      </c>
      <c r="N431" s="38" t="n">
        <f aca="false">Q!$N$24</f>
        <v>21.707</v>
      </c>
      <c r="O431" s="38" t="n">
        <f aca="false">Q!$O$24</f>
        <v>23.899</v>
      </c>
    </row>
    <row r="432" customFormat="false" ht="17.15" hidden="false" customHeight="false" outlineLevel="0" collapsed="false">
      <c r="A432" s="5" t="s">
        <v>733</v>
      </c>
      <c r="B432" s="0" t="s">
        <v>86</v>
      </c>
      <c r="C432" s="38" t="n">
        <f aca="false">Q!$D$26</f>
        <v>0</v>
      </c>
      <c r="D432" s="38" t="n">
        <f aca="false">Q!$E$26</f>
        <v>0</v>
      </c>
      <c r="E432" s="38" t="n">
        <f aca="false">Q!$P$26</f>
        <v>0</v>
      </c>
      <c r="F432" s="39" t="n">
        <v>0</v>
      </c>
      <c r="G432" s="38" t="n">
        <f aca="false">Sens!$E$432+Sens!$F$432</f>
        <v>0</v>
      </c>
      <c r="H432" s="39" t="n">
        <v>0</v>
      </c>
      <c r="I432" s="39" t="n">
        <v>0</v>
      </c>
      <c r="J432" s="39" t="n">
        <v>0</v>
      </c>
      <c r="K432" s="39" t="n">
        <v>0</v>
      </c>
      <c r="L432" s="39" t="n">
        <v>0</v>
      </c>
      <c r="M432" s="39" t="n">
        <v>0</v>
      </c>
      <c r="N432" s="38" t="n">
        <f aca="false">Q!$N$26</f>
        <v>0</v>
      </c>
      <c r="O432" s="38" t="n">
        <f aca="false">Q!$O$26</f>
        <v>0</v>
      </c>
    </row>
    <row r="433" customFormat="false" ht="15" hidden="false" customHeight="false" outlineLevel="0" collapsed="false">
      <c r="A433" s="3" t="s">
        <v>534</v>
      </c>
      <c r="B433" s="8" t="s">
        <v>86</v>
      </c>
      <c r="C433" s="38" t="n">
        <f aca="false">Q!$D$25</f>
        <v>68.593</v>
      </c>
      <c r="D433" s="38" t="n">
        <f aca="false">Q!$E$25</f>
        <v>79.975</v>
      </c>
      <c r="E433" s="38" t="n">
        <f aca="false">Q!$P$25</f>
        <v>51.313</v>
      </c>
      <c r="F433" s="38" t="n">
        <f aca="false">Sens!$F$423+Sens!$F$428+Sens!$F$431+Sens!$F$432</f>
        <v>55.8644752904674</v>
      </c>
      <c r="G433" s="38" t="n">
        <f aca="false">Sens!$G$423+Sens!$G$428+Sens!$G$431+Sens!$G$432</f>
        <v>107.177475290467</v>
      </c>
      <c r="H433" s="38" t="n">
        <f aca="false">Sens!$H$423+Sens!$H$428+Sens!$H$431+Sens!$H$432</f>
        <v>124.80326721759</v>
      </c>
      <c r="I433" s="38" t="n">
        <f aca="false">Sens!$I$423+Sens!$I$428+Sens!$I$431+Sens!$I$432</f>
        <v>137.739802322194</v>
      </c>
      <c r="J433" s="38" t="n">
        <f aca="false">Sens!$J$423+Sens!$J$428+Sens!$J$431+Sens!$J$432</f>
        <v>149.135869642721</v>
      </c>
      <c r="K433" s="38" t="n">
        <f aca="false">Sens!$K$423+Sens!$K$428+Sens!$K$431+Sens!$K$432</f>
        <v>154.755558704799</v>
      </c>
      <c r="L433" s="38" t="n">
        <f aca="false">Sens!$L$423+Sens!$L$428+Sens!$L$431+Sens!$L$432</f>
        <v>161.636508143317</v>
      </c>
      <c r="M433" s="38" t="n">
        <f aca="false">Sens!$M$423+Sens!$M$428+Sens!$M$431+Sens!$M$432</f>
        <v>169.806161061305</v>
      </c>
      <c r="N433" s="38" t="n">
        <f aca="false">Q!$N$25</f>
        <v>37.576</v>
      </c>
      <c r="O433" s="38" t="n">
        <f aca="false">Q!$O$25</f>
        <v>42.399</v>
      </c>
    </row>
    <row r="434" customFormat="false" ht="17.15" hidden="false" customHeight="false" outlineLevel="0" collapsed="false">
      <c r="A434" s="24" t="s">
        <v>764</v>
      </c>
      <c r="B434" s="25" t="s">
        <v>86</v>
      </c>
      <c r="C434" s="41" t="n">
        <f aca="false">Sens!$C$423+Sens!$C$428+Sens!$C$431+Sens!$C$432-Sens!$C$433</f>
        <v>0</v>
      </c>
      <c r="D434" s="41" t="n">
        <f aca="false">Sens!$D$423+Sens!$D$428+Sens!$D$431+Sens!$D$432-Sens!$D$433</f>
        <v>0</v>
      </c>
      <c r="E434" s="41" t="n">
        <f aca="false">Sens!$E$423+Sens!$E$428+Sens!$E$431+Sens!$E$432-Sens!$E$433</f>
        <v>0</v>
      </c>
      <c r="F434" s="41" t="n">
        <f aca="false">Sens!$F$423+Sens!$F$428+Sens!$F$431+Sens!$F$432-Sens!$F$433</f>
        <v>0</v>
      </c>
      <c r="G434" s="41" t="n">
        <f aca="false">Sens!$G$423+Sens!$G$428+Sens!$G$431+Sens!$G$432-Sens!$G$433</f>
        <v>0</v>
      </c>
      <c r="H434" s="41" t="n">
        <f aca="false">Sens!$H$423+Sens!$H$428+Sens!$H$431+Sens!$H$432-Sens!$H$433</f>
        <v>0</v>
      </c>
      <c r="I434" s="41" t="n">
        <f aca="false">Sens!$I$423+Sens!$I$428+Sens!$I$431+Sens!$I$432-Sens!$I$433</f>
        <v>0</v>
      </c>
      <c r="J434" s="41" t="n">
        <f aca="false">Sens!$J$423+Sens!$J$428+Sens!$J$431+Sens!$J$432-Sens!$J$433</f>
        <v>0</v>
      </c>
      <c r="K434" s="41" t="n">
        <f aca="false">Sens!$K$423+Sens!$K$428+Sens!$K$431+Sens!$K$432-Sens!$K$433</f>
        <v>0</v>
      </c>
      <c r="L434" s="41" t="n">
        <f aca="false">Sens!$L$423+Sens!$L$428+Sens!$L$431+Sens!$L$432-Sens!$L$433</f>
        <v>0</v>
      </c>
      <c r="M434" s="41" t="n">
        <f aca="false">Sens!$M$423+Sens!$M$428+Sens!$M$431+Sens!$M$432-Sens!$M$433</f>
        <v>0</v>
      </c>
      <c r="N434" s="41" t="n">
        <f aca="false">Sens!$N$423+Sens!$N$428+Sens!$N$431+Sens!$N$432-Sens!$N$433</f>
        <v>0</v>
      </c>
      <c r="O434" s="41" t="n">
        <f aca="false">Sens!$O$423+Sens!$O$428+Sens!$O$431+Sens!$O$432-Sens!$O$433</f>
        <v>0</v>
      </c>
    </row>
    <row r="435" customFormat="false" ht="17.15" hidden="false" customHeight="false" outlineLevel="0" collapsed="false">
      <c r="A435" s="5" t="s">
        <v>735</v>
      </c>
      <c r="B435" s="0" t="s">
        <v>86</v>
      </c>
      <c r="C435" s="38" t="n">
        <f aca="false">Sens!$C$371</f>
        <v>0</v>
      </c>
      <c r="D435" s="38" t="n">
        <f aca="false">Sens!$D$371</f>
        <v>0</v>
      </c>
      <c r="E435" s="38" t="n">
        <f aca="false">Sens!$E$371</f>
        <v>0</v>
      </c>
      <c r="F435" s="38" t="n">
        <f aca="false">Sens!$F$371</f>
        <v>3.77122048175818</v>
      </c>
      <c r="G435" s="38" t="n">
        <f aca="false">Sens!$G$371</f>
        <v>3.77122048175818</v>
      </c>
      <c r="H435" s="38" t="n">
        <f aca="false">Sens!$H$371</f>
        <v>15.1635543609893</v>
      </c>
      <c r="I435" s="38" t="n">
        <f aca="false">Sens!$I$371</f>
        <v>25.5818843619889</v>
      </c>
      <c r="J435" s="38" t="n">
        <f aca="false">Sens!$J$371</f>
        <v>36.0465624179122</v>
      </c>
      <c r="K435" s="38" t="n">
        <f aca="false">Sens!$K$371</f>
        <v>44.9741164026038</v>
      </c>
      <c r="L435" s="38" t="n">
        <f aca="false">Sens!$L$371</f>
        <v>50.8413488057813</v>
      </c>
      <c r="M435" s="38" t="n">
        <f aca="false">Sens!$M$371</f>
        <v>53.6407214274315</v>
      </c>
      <c r="N435" s="38" t="n">
        <f aca="false">Sens!$N$371</f>
        <v>0</v>
      </c>
      <c r="O435" s="38" t="n">
        <f aca="false">Sens!$O$371</f>
        <v>0</v>
      </c>
      <c r="P435" s="5" t="s">
        <v>736</v>
      </c>
    </row>
    <row r="436" customFormat="false" ht="17.15" hidden="false" customHeight="false" outlineLevel="0" collapsed="false">
      <c r="A436" s="5" t="s">
        <v>737</v>
      </c>
      <c r="B436" s="0" t="s">
        <v>86</v>
      </c>
      <c r="C436" s="38" t="n">
        <f aca="false">Sens!$C$433+Sens!$C$435</f>
        <v>68.593</v>
      </c>
      <c r="D436" s="38" t="n">
        <f aca="false">Sens!$D$433+Sens!$D$435</f>
        <v>79.975</v>
      </c>
      <c r="E436" s="38" t="n">
        <f aca="false">Sens!$E$433+Sens!$E$435</f>
        <v>51.313</v>
      </c>
      <c r="F436" s="38" t="n">
        <f aca="false">Sens!$F$433+Sens!$F$435</f>
        <v>59.6356957722256</v>
      </c>
      <c r="G436" s="38" t="n">
        <f aca="false">Sens!$G$433+Sens!$G$435</f>
        <v>110.948695772226</v>
      </c>
      <c r="H436" s="38" t="n">
        <f aca="false">Sens!$H$433+Sens!$H$435</f>
        <v>139.966821578579</v>
      </c>
      <c r="I436" s="38" t="n">
        <f aca="false">Sens!$I$433+Sens!$I$435</f>
        <v>163.321686684183</v>
      </c>
      <c r="J436" s="38" t="n">
        <f aca="false">Sens!$J$433+Sens!$J$435</f>
        <v>185.182432060633</v>
      </c>
      <c r="K436" s="38" t="n">
        <f aca="false">Sens!$K$433+Sens!$K$435</f>
        <v>199.729675107403</v>
      </c>
      <c r="L436" s="38" t="n">
        <f aca="false">Sens!$L$433+Sens!$L$435</f>
        <v>212.477856949098</v>
      </c>
      <c r="M436" s="38" t="n">
        <f aca="false">Sens!$M$433+Sens!$M$435</f>
        <v>223.446882488736</v>
      </c>
      <c r="N436" s="38" t="n">
        <f aca="false">Sens!$N$433+Sens!$N$435</f>
        <v>37.576</v>
      </c>
      <c r="O436" s="38" t="n">
        <f aca="false">Sens!$O$433+Sens!$O$435</f>
        <v>42.399</v>
      </c>
    </row>
    <row r="437" customFormat="false" ht="17.15" hidden="false" customHeight="false" outlineLevel="0" collapsed="false">
      <c r="A437" s="0" t="s">
        <v>738</v>
      </c>
      <c r="B437" s="0" t="s">
        <v>52</v>
      </c>
      <c r="C437" s="13" t="n">
        <f aca="false">Sens!$C$423/Sens!$C$408</f>
        <v>0.0644314665661928</v>
      </c>
      <c r="D437" s="13" t="n">
        <f aca="false">Sens!$D$423/Sens!$D$408</f>
        <v>0.0694784250712518</v>
      </c>
      <c r="E437" s="13" t="n">
        <f aca="false">Sens!$E$423/Sens!$E$408</f>
        <v>0.0789306463326071</v>
      </c>
      <c r="F437" s="13" t="n">
        <f aca="false">Sens!$F$423/Sens!$F$408</f>
        <v>0.0801757457241943</v>
      </c>
      <c r="G437" s="13" t="n">
        <f aca="false">Sens!$G$423/Sens!$G$408</f>
        <v>0.0795932749625682</v>
      </c>
      <c r="H437" s="13" t="n">
        <f aca="false">Sens!$H$423/Sens!$H$408</f>
        <v>0.0801494276915951</v>
      </c>
      <c r="I437" s="13" t="n">
        <f aca="false">Sens!$I$423/Sens!$I$408</f>
        <v>0.0784619467108939</v>
      </c>
      <c r="J437" s="13" t="n">
        <f aca="false">Sens!$J$423/Sens!$J$408</f>
        <v>0.0767950945569155</v>
      </c>
      <c r="K437" s="13" t="n">
        <f aca="false">Sens!$K$423/Sens!$K$408</f>
        <v>0.0749782708028101</v>
      </c>
      <c r="L437" s="13" t="n">
        <f aca="false">Sens!$L$423/Sens!$L$408</f>
        <v>0.0740581549602486</v>
      </c>
      <c r="M437" s="13" t="n">
        <f aca="false">Sens!$M$423/Sens!$M$408</f>
        <v>0.075724068445432</v>
      </c>
      <c r="N437" s="13" t="n">
        <f aca="false">Sens!$N$423/Sens!$N$408</f>
        <v>0.069228576611127</v>
      </c>
      <c r="O437" s="13" t="n">
        <f aca="false">Sens!$O$423/Sens!$O$408</f>
        <v>0.069685022498393</v>
      </c>
    </row>
    <row r="438" customFormat="false" ht="17.15" hidden="false" customHeight="false" outlineLevel="0" collapsed="false">
      <c r="A438" s="0" t="s">
        <v>739</v>
      </c>
      <c r="B438" s="0" t="s">
        <v>52</v>
      </c>
      <c r="C438" s="13" t="n">
        <f aca="false">Sens!$C$428/Sens!$C$409</f>
        <v>0.026534925055631</v>
      </c>
      <c r="D438" s="13" t="n">
        <f aca="false">Sens!$D$428/Sens!$D$409</f>
        <v>0.0293401855535103</v>
      </c>
      <c r="E438" s="13" t="n">
        <f aca="false">Sens!$E$428/Sens!$E$409</f>
        <v>0.03831141902276</v>
      </c>
      <c r="F438" s="13" t="n">
        <f aca="false">Sens!$F$428/Sens!$F$409</f>
        <v>0.0281350107328284</v>
      </c>
      <c r="G438" s="13" t="n">
        <f aca="false">Sens!$G$428/Sens!$G$409</f>
        <v>0.0327600029432073</v>
      </c>
      <c r="H438" s="13" t="n">
        <f aca="false">Sens!$H$428/Sens!$H$409</f>
        <v>0.031310920057557</v>
      </c>
      <c r="I438" s="13" t="n">
        <f aca="false">Sens!$I$428/Sens!$I$409</f>
        <v>0.0275950243319601</v>
      </c>
      <c r="J438" s="13" t="n">
        <f aca="false">Sens!$J$428/Sens!$J$409</f>
        <v>0.0238367762099147</v>
      </c>
      <c r="K438" s="13" t="n">
        <f aca="false">Sens!$K$428/Sens!$K$409</f>
        <v>0.0198239122855479</v>
      </c>
      <c r="L438" s="13" t="n">
        <f aca="false">Sens!$L$428/Sens!$L$409</f>
        <v>0.0192499447238486</v>
      </c>
      <c r="M438" s="13" t="n">
        <f aca="false">Sens!$M$428/Sens!$M$409</f>
        <v>0.0212700135680342</v>
      </c>
      <c r="N438" s="13" t="n">
        <f aca="false">Sens!$N$428/Sens!$N$409</f>
        <v>0.0357315650169337</v>
      </c>
      <c r="O438" s="13" t="n">
        <f aca="false">Sens!$O$428/Sens!$O$409</f>
        <v>0.0244378956559703</v>
      </c>
    </row>
    <row r="439" customFormat="false" ht="17.15" hidden="false" customHeight="false" outlineLevel="0" collapsed="false">
      <c r="A439" s="14" t="s">
        <v>740</v>
      </c>
      <c r="B439" s="14" t="s">
        <v>52</v>
      </c>
      <c r="C439" s="17" t="n">
        <f aca="false">Sens!$C$431/Sens!$C$410</f>
        <v>0.370355907620217</v>
      </c>
      <c r="D439" s="17" t="n">
        <f aca="false">Sens!$D$431/Sens!$D$410</f>
        <v>0.35429015342785</v>
      </c>
      <c r="E439" s="17" t="n">
        <f aca="false">Sens!$E$431/Sens!$E$410</f>
        <v>0.385647527531039</v>
      </c>
      <c r="F439" s="17" t="n">
        <f aca="false">Sens!$F$431/Sens!$F$410</f>
        <v>0.384143665926503</v>
      </c>
      <c r="G439" s="17" t="n">
        <f aca="false">Sens!$G$431/Sens!$G$410</f>
        <v>0.384867975535845</v>
      </c>
      <c r="H439" s="17" t="n">
        <f aca="false">Sens!$H$431/Sens!$H$410</f>
        <v>0.357962712812484</v>
      </c>
      <c r="I439" s="17" t="n">
        <f aca="false">Sens!$I$431/Sens!$I$410</f>
        <v>0.326289575827886</v>
      </c>
      <c r="J439" s="17" t="n">
        <f aca="false">Sens!$J$431/Sens!$J$410</f>
        <v>0.302597850053037</v>
      </c>
      <c r="K439" s="17" t="n">
        <f aca="false">Sens!$K$431/Sens!$K$410</f>
        <v>0.277111201943192</v>
      </c>
      <c r="L439" s="17" t="n">
        <f aca="false">Sens!$L$431/Sens!$L$410</f>
        <v>0.262359468477158</v>
      </c>
      <c r="M439" s="17" t="n">
        <f aca="false">Sens!$M$431/Sens!$M$410</f>
        <v>0.251650325069435</v>
      </c>
      <c r="N439" s="17" t="n">
        <f aca="false">Sens!$N$431/Sens!$N$410</f>
        <v>0.360941137346192</v>
      </c>
      <c r="O439" s="17" t="n">
        <f aca="false">Sens!$O$431/Sens!$O$410</f>
        <v>0.348458117664212</v>
      </c>
    </row>
    <row r="440" customFormat="false" ht="17.15" hidden="false" customHeight="false" outlineLevel="0" collapsed="false">
      <c r="A440" s="0" t="s">
        <v>741</v>
      </c>
      <c r="B440" s="0" t="s">
        <v>52</v>
      </c>
      <c r="C440" s="13" t="n">
        <f aca="false">Sens!$C$429/Sens!$C$411</f>
        <v>0.708390794789371</v>
      </c>
      <c r="D440" s="13" t="n">
        <f aca="false">Sens!$D$429/Sens!$D$411</f>
        <v>0.619415573115729</v>
      </c>
      <c r="E440" s="13" t="n">
        <f aca="false">Sens!$E$429/Sens!$E$411</f>
        <v>0.374072166056273</v>
      </c>
      <c r="F440" s="13" t="n">
        <f aca="false">Sens!$F$429/Sens!$F$411</f>
        <v>0.527114967147693</v>
      </c>
      <c r="G440" s="13" t="n">
        <f aca="false">Sens!$G$429/Sens!$G$411</f>
        <v>0.469606071511127</v>
      </c>
      <c r="H440" s="13" t="n">
        <f aca="false">Sens!$H$429/Sens!$H$411</f>
        <v>0.363936945882096</v>
      </c>
      <c r="I440" s="13" t="n">
        <f aca="false">Sens!$I$429/Sens!$I$411</f>
        <v>0.265835486569301</v>
      </c>
      <c r="J440" s="13" t="n">
        <f aca="false">Sens!$J$429/Sens!$J$411</f>
        <v>0.217164833112518</v>
      </c>
      <c r="K440" s="13" t="n">
        <f aca="false">Sens!$K$429/Sens!$K$411</f>
        <v>0.167248108141527</v>
      </c>
      <c r="L440" s="13" t="n">
        <f aca="false">Sens!$L$429/Sens!$L$411</f>
        <v>0.137446849193894</v>
      </c>
      <c r="M440" s="13" t="n">
        <f aca="false">Sens!$M$429/Sens!$M$411</f>
        <v>0.109011498005096</v>
      </c>
      <c r="N440" s="13" t="n">
        <f aca="false">Sens!$N$429/Sens!$N$411</f>
        <v>0.551227795793364</v>
      </c>
      <c r="O440" s="13" t="n">
        <f aca="false">Sens!$O$429/Sens!$O$411</f>
        <v>0.656132068597002</v>
      </c>
    </row>
    <row r="441" customFormat="false" ht="15" hidden="false" customHeight="false" outlineLevel="0" collapsed="false">
      <c r="A441" s="5" t="s">
        <v>742</v>
      </c>
      <c r="B441" s="0" t="s">
        <v>52</v>
      </c>
      <c r="C441" s="13" t="n">
        <f aca="false">Sens!$C$433/Sens!$C$413</f>
        <v>0.107519448742004</v>
      </c>
      <c r="D441" s="13" t="n">
        <f aca="false">Sens!$D$433/Sens!$D$413</f>
        <v>0.111552967957552</v>
      </c>
      <c r="E441" s="13" t="n">
        <f aca="false">Sens!$E$433/Sens!$E$413</f>
        <v>0.13428328426562</v>
      </c>
      <c r="F441" s="13" t="n">
        <f aca="false">Sens!$F$433/Sens!$F$413</f>
        <v>0.128437379932984</v>
      </c>
      <c r="G441" s="13" t="n">
        <f aca="false">Sens!$G$433/Sens!$G$413</f>
        <v>0.131171342710056</v>
      </c>
      <c r="H441" s="13" t="n">
        <f aca="false">Sens!$H$433/Sens!$H$413</f>
        <v>0.133402918711762</v>
      </c>
      <c r="I441" s="13" t="n">
        <f aca="false">Sens!$I$433/Sens!$I$413</f>
        <v>0.13054681672312</v>
      </c>
      <c r="J441" s="13" t="n">
        <f aca="false">Sens!$J$433/Sens!$J$413</f>
        <v>0.127552235336667</v>
      </c>
      <c r="K441" s="13" t="n">
        <f aca="false">Sens!$K$433/Sens!$K$413</f>
        <v>0.121912126630493</v>
      </c>
      <c r="L441" s="13" t="n">
        <f aca="false">Sens!$L$433/Sens!$L$413</f>
        <v>0.118450227902899</v>
      </c>
      <c r="M441" s="13" t="n">
        <f aca="false">Sens!$M$433/Sens!$M$413</f>
        <v>0.116692878828998</v>
      </c>
      <c r="N441" s="13" t="n">
        <f aca="false">Sens!$N$433/Sens!$N$413</f>
        <v>0.116201614873411</v>
      </c>
      <c r="O441" s="13" t="n">
        <f aca="false">Sens!$O$433/Sens!$O$413</f>
        <v>0.107733353660861</v>
      </c>
    </row>
    <row r="442" customFormat="false" ht="17.15" hidden="false" customHeight="false" outlineLevel="0" collapsed="false">
      <c r="A442" s="1" t="s">
        <v>743</v>
      </c>
    </row>
    <row r="443" customFormat="false" ht="17.15" hidden="false" customHeight="false" outlineLevel="0" collapsed="false">
      <c r="A443" s="5" t="s">
        <v>744</v>
      </c>
      <c r="B443" s="0" t="s">
        <v>52</v>
      </c>
      <c r="D443" s="28" t="n">
        <f aca="false">(Q!$E$29+Q!$E$30-(1-ext_sh)*Sens!$D$365)/Sens!$D$319</f>
        <v>0.0341105596409988</v>
      </c>
    </row>
    <row r="444" customFormat="false" ht="17.15" hidden="false" customHeight="false" outlineLevel="0" collapsed="false">
      <c r="A444" s="0" t="s">
        <v>538</v>
      </c>
      <c r="B444" s="0" t="s">
        <v>86</v>
      </c>
      <c r="C444" s="38" t="n">
        <f aca="false">Q!$D$29</f>
        <v>14.285</v>
      </c>
      <c r="D444" s="38" t="n">
        <f aca="false">Q!$E$29</f>
        <v>15.503</v>
      </c>
      <c r="E444" s="38" t="n">
        <f aca="false">Q!$P$29</f>
        <v>8.78</v>
      </c>
      <c r="F444" s="38" t="n">
        <f aca="false">(Sens!$D$443*Sens!$F$319+(1-ext_sh)*Sens!$F$365)*Sens!$F$320</f>
        <v>9.16735846116642</v>
      </c>
      <c r="G444" s="38" t="n">
        <f aca="false">Sens!$E$444+Sens!$F$444</f>
        <v>17.9473584611664</v>
      </c>
      <c r="H444" s="38" t="n">
        <f aca="false">(Sens!$D$443*Sens!$H$319+(1-ext_sh)*Sens!$H$365)*Sens!$H$320</f>
        <v>21.6406723110177</v>
      </c>
      <c r="I444" s="38" t="n">
        <f aca="false">(Sens!$D$443*Sens!$I$319+(1-ext_sh)*Sens!$I$365)*Sens!$I$320</f>
        <v>27.3128215555087</v>
      </c>
      <c r="J444" s="38" t="n">
        <f aca="false">(Sens!$D$443*Sens!$J$319+(1-ext_sh)*Sens!$J$365)*Sens!$J$320</f>
        <v>33.0116861885756</v>
      </c>
      <c r="K444" s="38" t="n">
        <f aca="false">(Sens!$D$443*Sens!$K$319+(1-ext_sh)*Sens!$K$365)*Sens!$K$320</f>
        <v>38.6250238720245</v>
      </c>
      <c r="L444" s="38" t="n">
        <f aca="false">(Sens!$D$443*Sens!$L$319+(1-ext_sh)*Sens!$L$365)*Sens!$L$320</f>
        <v>43.0711535197861</v>
      </c>
      <c r="M444" s="38" t="n">
        <f aca="false">(Sens!$D$443*Sens!$M$319+(1-ext_sh)*Sens!$M$365)*Sens!$M$320</f>
        <v>46.590728630326</v>
      </c>
      <c r="N444" s="38" t="n">
        <f aca="false">Q!$N$29</f>
        <v>7.272</v>
      </c>
      <c r="O444" s="38" t="n">
        <f aca="false">Q!$O$29</f>
        <v>8.231</v>
      </c>
    </row>
    <row r="445" customFormat="false" ht="17.15" hidden="false" customHeight="false" outlineLevel="0" collapsed="false">
      <c r="A445" s="0" t="s">
        <v>540</v>
      </c>
      <c r="B445" s="0" t="s">
        <v>86</v>
      </c>
      <c r="C445" s="38" t="n">
        <f aca="false">Q!$D$30</f>
        <v>4.462</v>
      </c>
      <c r="D445" s="38" t="n">
        <f aca="false">Q!$E$30</f>
        <v>4.907</v>
      </c>
      <c r="E445" s="38" t="n">
        <f aca="false">Q!$P$30</f>
        <v>2.57</v>
      </c>
      <c r="F445" s="38" t="n">
        <f aca="false">(Sens!$D$443*Sens!$F$319+(1-ext_sh)*Sens!$F$365)*(1-Sens!$F$320)</f>
        <v>3.59937168293151</v>
      </c>
      <c r="G445" s="38" t="n">
        <f aca="false">Sens!$E$445+Sens!$F$445</f>
        <v>6.16937168293151</v>
      </c>
      <c r="H445" s="38" t="n">
        <f aca="false">(Sens!$D$443*Sens!$H$319+(1-ext_sh)*Sens!$H$365)*(1-Sens!$H$320)</f>
        <v>8.28915290031442</v>
      </c>
      <c r="I445" s="38" t="n">
        <f aca="false">(Sens!$D$443*Sens!$I$319+(1-ext_sh)*Sens!$I$365)*(1-Sens!$I$320)</f>
        <v>10.4617892992793</v>
      </c>
      <c r="J445" s="38" t="n">
        <f aca="false">(Sens!$D$443*Sens!$J$319+(1-ext_sh)*Sens!$J$365)*(1-Sens!$J$320)</f>
        <v>12.6446586493057</v>
      </c>
      <c r="K445" s="38" t="n">
        <f aca="false">(Sens!$D$443*Sens!$K$319+(1-ext_sh)*Sens!$K$365)*(1-Sens!$K$320)</f>
        <v>14.7947681131192</v>
      </c>
      <c r="L445" s="38" t="n">
        <f aca="false">(Sens!$D$443*Sens!$L$319+(1-ext_sh)*Sens!$L$365)*(1-Sens!$L$320)</f>
        <v>16.4977950771268</v>
      </c>
      <c r="M445" s="38" t="n">
        <f aca="false">(Sens!$D$443*Sens!$M$319+(1-ext_sh)*Sens!$M$365)*(1-Sens!$M$320)</f>
        <v>17.8459184540772</v>
      </c>
      <c r="N445" s="38" t="n">
        <f aca="false">Q!$N$30</f>
        <v>2.316</v>
      </c>
      <c r="O445" s="38" t="n">
        <f aca="false">Q!$O$30</f>
        <v>2.591</v>
      </c>
    </row>
    <row r="446" customFormat="false" ht="17.15" hidden="false" customHeight="false" outlineLevel="0" collapsed="false">
      <c r="A446" s="0" t="s">
        <v>541</v>
      </c>
      <c r="B446" s="0" t="s">
        <v>86</v>
      </c>
      <c r="C446" s="38" t="n">
        <f aca="false">Sens!$C$377</f>
        <v>13.32</v>
      </c>
      <c r="D446" s="38" t="n">
        <f aca="false">Sens!$D$377</f>
        <v>21.45</v>
      </c>
      <c r="E446" s="38" t="n">
        <f aca="false">Sens!$E$377</f>
        <v>15.353</v>
      </c>
      <c r="F446" s="38" t="n">
        <f aca="false">Sens!$F$377</f>
        <v>15.4404120185306</v>
      </c>
      <c r="G446" s="38" t="n">
        <f aca="false">Sens!$G$377</f>
        <v>30.7934120185306</v>
      </c>
      <c r="H446" s="38" t="n">
        <f aca="false">Sens!$H$377</f>
        <v>48.250114371455</v>
      </c>
      <c r="I446" s="38" t="n">
        <f aca="false">Sens!$I$377</f>
        <v>73.3965146995963</v>
      </c>
      <c r="J446" s="38" t="n">
        <f aca="false">Sens!$J$377</f>
        <v>99.22806138309</v>
      </c>
      <c r="K446" s="38" t="n">
        <f aca="false">Sens!$K$377</f>
        <v>125.386627452856</v>
      </c>
      <c r="L446" s="38" t="n">
        <f aca="false">Sens!$L$377</f>
        <v>144.77239043275</v>
      </c>
      <c r="M446" s="38" t="n">
        <f aca="false">Sens!$M$377</f>
        <v>158.693930910983</v>
      </c>
      <c r="N446" s="38" t="n">
        <f aca="false">Sens!$N$377</f>
        <v>9.234</v>
      </c>
      <c r="O446" s="38" t="n">
        <f aca="false">Sens!$O$377</f>
        <v>12.216</v>
      </c>
    </row>
    <row r="447" customFormat="false" ht="17.15" hidden="false" customHeight="false" outlineLevel="0" collapsed="false">
      <c r="A447" s="5" t="s">
        <v>745</v>
      </c>
      <c r="B447" s="0" t="s">
        <v>86</v>
      </c>
      <c r="C447" s="38" t="n">
        <f aca="false">Sens!$C$444+Sens!$C$445+Sens!$C$446</f>
        <v>32.067</v>
      </c>
      <c r="D447" s="38" t="n">
        <f aca="false">Sens!$D$444+Sens!$D$445+Sens!$D$446</f>
        <v>41.86</v>
      </c>
      <c r="E447" s="38" t="n">
        <f aca="false">Sens!$E$444+Sens!$E$445+Sens!$E$446</f>
        <v>26.703</v>
      </c>
      <c r="F447" s="38" t="n">
        <f aca="false">Sens!$F$444+Sens!$F$445+Sens!$F$446</f>
        <v>28.2071421626285</v>
      </c>
      <c r="G447" s="38" t="n">
        <f aca="false">Sens!$G$444+Sens!$G$445+Sens!$G$446</f>
        <v>54.9101421626285</v>
      </c>
      <c r="H447" s="38" t="n">
        <f aca="false">Sens!$H$444+Sens!$H$445+Sens!$H$446</f>
        <v>78.1799395827871</v>
      </c>
      <c r="I447" s="38" t="n">
        <f aca="false">Sens!$I$444+Sens!$I$445+Sens!$I$446</f>
        <v>111.171125554384</v>
      </c>
      <c r="J447" s="38" t="n">
        <f aca="false">Sens!$J$444+Sens!$J$445+Sens!$J$446</f>
        <v>144.884406220971</v>
      </c>
      <c r="K447" s="38" t="n">
        <f aca="false">Sens!$K$444+Sens!$K$445+Sens!$K$446</f>
        <v>178.806419437999</v>
      </c>
      <c r="L447" s="38" t="n">
        <f aca="false">Sens!$L$444+Sens!$L$445+Sens!$L$446</f>
        <v>204.341339029663</v>
      </c>
      <c r="M447" s="38" t="n">
        <f aca="false">Sens!$M$444+Sens!$M$445+Sens!$M$446</f>
        <v>223.130577995387</v>
      </c>
      <c r="N447" s="38" t="n">
        <f aca="false">Sens!$N$444+Sens!$N$445+Sens!$N$446</f>
        <v>18.822</v>
      </c>
      <c r="O447" s="38" t="n">
        <f aca="false">Sens!$O$444+Sens!$O$445+Sens!$O$446</f>
        <v>23.038</v>
      </c>
    </row>
    <row r="448" customFormat="false" ht="17.15" hidden="false" customHeight="false" outlineLevel="0" collapsed="false">
      <c r="A448" s="0" t="s">
        <v>746</v>
      </c>
      <c r="B448" s="0" t="s">
        <v>86</v>
      </c>
      <c r="C448" s="38" t="n">
        <f aca="false">Sens!$C$419+Sens!$C$424</f>
        <v>28.107</v>
      </c>
      <c r="D448" s="38" t="n">
        <f aca="false">Sens!$D$419+Sens!$D$424</f>
        <v>34.3175</v>
      </c>
      <c r="E448" s="38" t="n">
        <f aca="false">Sens!$E$419+Sens!$E$424</f>
        <v>18.526</v>
      </c>
      <c r="F448" s="38" t="n">
        <f aca="false">Sens!$F$419+Sens!$F$424</f>
        <v>23.0786109972074</v>
      </c>
      <c r="G448" s="38" t="n">
        <f aca="false">Sens!$G$419+Sens!$G$424</f>
        <v>41.6046109972074</v>
      </c>
      <c r="H448" s="38" t="n">
        <f aca="false">Sens!$H$419+Sens!$H$424</f>
        <v>49.9484611939488</v>
      </c>
      <c r="I448" s="38" t="n">
        <f aca="false">Sens!$I$419+Sens!$I$424</f>
        <v>58.2915555477481</v>
      </c>
      <c r="J448" s="38" t="n">
        <f aca="false">Sens!$J$419+Sens!$J$424</f>
        <v>66.0744709709759</v>
      </c>
      <c r="K448" s="38" t="n">
        <f aca="false">Sens!$K$419+Sens!$K$424</f>
        <v>72.6819180680735</v>
      </c>
      <c r="L448" s="38" t="n">
        <f aca="false">Sens!$L$419+Sens!$L$424</f>
        <v>79.9501098748808</v>
      </c>
      <c r="M448" s="38" t="n">
        <f aca="false">Sens!$M$419+Sens!$M$424</f>
        <v>87.9451208623689</v>
      </c>
      <c r="N448" s="38" t="n">
        <f aca="false">Sens!$N$419+Sens!$N$424</f>
        <v>14.8075</v>
      </c>
      <c r="O448" s="38" t="n">
        <f aca="false">Sens!$O$419+Sens!$O$424</f>
        <v>19.51</v>
      </c>
    </row>
    <row r="449" customFormat="false" ht="17.15" hidden="false" customHeight="false" outlineLevel="0" collapsed="false">
      <c r="A449" s="0" t="s">
        <v>747</v>
      </c>
      <c r="B449" s="0" t="s">
        <v>86</v>
      </c>
      <c r="C449" s="38" t="n">
        <f aca="false">Sens!$C$423+Sens!$C$428+Sens!$C$444+Sens!$C$445-Sens!$C$448</f>
        <v>19.399</v>
      </c>
      <c r="D449" s="38" t="n">
        <f aca="false">Sens!$D$423+Sens!$D$428+Sens!$D$444+Sens!$D$445-Sens!$D$448</f>
        <v>20.4615</v>
      </c>
      <c r="E449" s="38" t="n">
        <f aca="false">Sens!$E$423+Sens!$E$428+Sens!$E$444+Sens!$E$445-Sens!$E$448</f>
        <v>13.355</v>
      </c>
      <c r="F449" s="38" t="n">
        <f aca="false">Sens!$F$423+Sens!$F$428+Sens!$F$444+Sens!$F$445-Sens!$F$448</f>
        <v>12.5520732018618</v>
      </c>
      <c r="G449" s="38" t="n">
        <f aca="false">Sens!$G$423+Sens!$G$428+Sens!$G$444+Sens!$G$445-Sens!$G$448</f>
        <v>25.9070732018618</v>
      </c>
      <c r="H449" s="38" t="n">
        <f aca="false">Sens!$H$423+Sens!$H$428+Sens!$H$444+Sens!$H$445-Sens!$H$448</f>
        <v>28.0233335906818</v>
      </c>
      <c r="I449" s="38" t="n">
        <f aca="false">Sens!$I$423+Sens!$I$428+Sens!$I$444+Sens!$I$445-Sens!$I$448</f>
        <v>30.2440066606864</v>
      </c>
      <c r="J449" s="38" t="n">
        <f aca="false">Sens!$J$423+Sens!$J$428+Sens!$J$444+Sens!$J$445-Sens!$J$448</f>
        <v>32.4596500296286</v>
      </c>
      <c r="K449" s="38" t="n">
        <f aca="false">Sens!$K$423+Sens!$K$428+Sens!$K$444+Sens!$K$445-Sens!$K$448</f>
        <v>34.839425971154</v>
      </c>
      <c r="L449" s="38" t="n">
        <f aca="false">Sens!$L$423+Sens!$L$428+Sens!$L$444+Sens!$L$445-Sens!$L$448</f>
        <v>36.4424209524427</v>
      </c>
      <c r="M449" s="38" t="n">
        <f aca="false">Sens!$M$423+Sens!$M$428+Sens!$M$444+Sens!$M$445-Sens!$M$448</f>
        <v>38.8413540019876</v>
      </c>
      <c r="N449" s="38" t="n">
        <f aca="false">Sens!$N$423+Sens!$N$428+Sens!$N$444+Sens!$N$445-Sens!$N$448</f>
        <v>10.6495</v>
      </c>
      <c r="O449" s="38" t="n">
        <f aca="false">Sens!$O$423+Sens!$O$428+Sens!$O$444+Sens!$O$445-Sens!$O$448</f>
        <v>9.81200000000001</v>
      </c>
    </row>
    <row r="450" customFormat="false" ht="17.15" hidden="false" customHeight="false" outlineLevel="0" collapsed="false">
      <c r="A450" s="0" t="s">
        <v>748</v>
      </c>
      <c r="B450" s="0" t="s">
        <v>86</v>
      </c>
      <c r="C450" s="38" t="n">
        <f aca="false">Sens!$C$430+Sens!$C$446-ext_sh*Sens!$C$365</f>
        <v>51.3470500115664</v>
      </c>
      <c r="D450" s="38" t="n">
        <f aca="false">Sens!$D$430+Sens!$D$446-ext_sh*Sens!$D$365</f>
        <v>60.2799375433739</v>
      </c>
      <c r="E450" s="38" t="n">
        <f aca="false">Sens!$E$430+Sens!$E$446-ext_sh*Sens!$E$365</f>
        <v>39.5095167090767</v>
      </c>
      <c r="F450" s="38" t="n">
        <f aca="false">Sens!$F$430+Sens!$F$446-ext_sh*Sens!$F$365</f>
        <v>37.5468918745429</v>
      </c>
      <c r="G450" s="38" t="n">
        <f aca="false">Sens!$G$430+Sens!$G$446-ext_sh*Sens!$G$365</f>
        <v>77.0564085836196</v>
      </c>
      <c r="H450" s="38" t="n">
        <f aca="false">Sens!$H$430+Sens!$H$446-ext_sh*Sens!$H$365</f>
        <v>84.2378398616123</v>
      </c>
      <c r="I450" s="38" t="n">
        <f aca="false">Sens!$I$430+Sens!$I$446-ext_sh*Sens!$I$365</f>
        <v>93.5253492849083</v>
      </c>
      <c r="J450" s="38" t="n">
        <f aca="false">Sens!$J$430+Sens!$J$446-ext_sh*Sens!$J$365</f>
        <v>102.42210777817</v>
      </c>
      <c r="K450" s="38" t="n">
        <f aca="false">Sens!$K$430+Sens!$K$446-ext_sh*Sens!$K$365</f>
        <v>110.615876400424</v>
      </c>
      <c r="L450" s="38" t="n">
        <f aca="false">Sens!$L$430+Sens!$L$446-ext_sh*Sens!$L$365</f>
        <v>119.465146512458</v>
      </c>
      <c r="M450" s="38" t="n">
        <f aca="false">Sens!$M$430+Sens!$M$446-ext_sh*Sens!$M$365</f>
        <v>129.022358233455</v>
      </c>
      <c r="N450" s="38" t="n">
        <f aca="false">Sens!$N$430+Sens!$N$446-ext_sh*Sens!$N$365</f>
        <v>28.5693781401809</v>
      </c>
      <c r="O450" s="38" t="n">
        <f aca="false">Sens!$O$430+Sens!$O$446-ext_sh*Sens!$O$365</f>
        <v>31.7105594031931</v>
      </c>
    </row>
    <row r="451" customFormat="false" ht="17.15" hidden="false" customHeight="false" outlineLevel="0" collapsed="false">
      <c r="A451" s="0" t="s">
        <v>749</v>
      </c>
      <c r="B451" s="0" t="s">
        <v>86</v>
      </c>
      <c r="C451" s="38" t="n">
        <f aca="false">Sens!$C$368</f>
        <v>1.80694998843362</v>
      </c>
      <c r="D451" s="38" t="n">
        <f aca="false">Sens!$D$368</f>
        <v>6.77606245662607</v>
      </c>
      <c r="E451" s="38" t="n">
        <f aca="false">Sens!$E$368</f>
        <v>6.62548329092326</v>
      </c>
      <c r="F451" s="38" t="n">
        <f aca="false">Sens!$F$368</f>
        <v>10.8940413794839</v>
      </c>
      <c r="G451" s="38" t="n">
        <f aca="false">Sens!$G$368</f>
        <v>17.5195246704072</v>
      </c>
      <c r="H451" s="38" t="n">
        <f aca="false">Sens!$H$368</f>
        <v>40.7735721541341</v>
      </c>
      <c r="I451" s="38" t="n">
        <f aca="false">Sens!$I$368</f>
        <v>66.8500163832358</v>
      </c>
      <c r="J451" s="38" t="n">
        <f aca="false">Sens!$J$368</f>
        <v>93.0640470849174</v>
      </c>
      <c r="K451" s="38" t="n">
        <f aca="false">Sens!$K$368</f>
        <v>115.424757703147</v>
      </c>
      <c r="L451" s="38" t="n">
        <f aca="false">Sens!$L$368</f>
        <v>130.120169833198</v>
      </c>
      <c r="M451" s="38" t="n">
        <f aca="false">Sens!$M$368</f>
        <v>137.12790595888</v>
      </c>
      <c r="N451" s="38" t="n">
        <f aca="false">Sens!$N$368</f>
        <v>2.37162185981912</v>
      </c>
      <c r="O451" s="38" t="n">
        <f aca="false">Sens!$O$368</f>
        <v>4.40444059680694</v>
      </c>
    </row>
    <row r="452" customFormat="false" ht="17.15" hidden="false" customHeight="false" outlineLevel="0" collapsed="false">
      <c r="A452" s="0" t="s">
        <v>750</v>
      </c>
      <c r="B452" s="0" t="s">
        <v>86</v>
      </c>
      <c r="C452" s="38" t="n">
        <f aca="false">Sens!$C$433+Sens!$C$447</f>
        <v>100.66</v>
      </c>
      <c r="D452" s="38" t="n">
        <f aca="false">Sens!$D$433+Sens!$D$447</f>
        <v>121.835</v>
      </c>
      <c r="E452" s="38" t="n">
        <f aca="false">Sens!$E$433+Sens!$E$447</f>
        <v>78.016</v>
      </c>
      <c r="F452" s="38" t="n">
        <f aca="false">Sens!$F$433+Sens!$F$447</f>
        <v>84.0716174530959</v>
      </c>
      <c r="G452" s="38" t="n">
        <f aca="false">Sens!$G$433+Sens!$G$447</f>
        <v>162.087617453096</v>
      </c>
      <c r="H452" s="38" t="n">
        <f aca="false">Sens!$H$433+Sens!$H$447</f>
        <v>202.983206800377</v>
      </c>
      <c r="I452" s="38" t="n">
        <f aca="false">Sens!$I$433+Sens!$I$447</f>
        <v>248.910927876579</v>
      </c>
      <c r="J452" s="38" t="n">
        <f aca="false">Sens!$J$433+Sens!$J$447</f>
        <v>294.020275863692</v>
      </c>
      <c r="K452" s="38" t="n">
        <f aca="false">Sens!$K$433+Sens!$K$447</f>
        <v>333.561978142799</v>
      </c>
      <c r="L452" s="38" t="n">
        <f aca="false">Sens!$L$433+Sens!$L$447</f>
        <v>365.977847172979</v>
      </c>
      <c r="M452" s="38" t="n">
        <f aca="false">Sens!$M$433+Sens!$M$447</f>
        <v>392.936739056691</v>
      </c>
      <c r="N452" s="38" t="n">
        <f aca="false">Sens!$N$433+Sens!$N$447</f>
        <v>56.398</v>
      </c>
      <c r="O452" s="38" t="n">
        <f aca="false">Sens!$O$433+Sens!$O$447</f>
        <v>65.437</v>
      </c>
    </row>
    <row r="453" customFormat="false" ht="17.15" hidden="false" customHeight="false" outlineLevel="0" collapsed="false">
      <c r="A453" s="1" t="s">
        <v>751</v>
      </c>
    </row>
    <row r="454" customFormat="false" ht="15" hidden="false" customHeight="false" outlineLevel="0" collapsed="false">
      <c r="A454" s="5" t="s">
        <v>544</v>
      </c>
      <c r="B454" s="0" t="s">
        <v>86</v>
      </c>
      <c r="C454" s="38" t="n">
        <f aca="false">Q!$D$34</f>
        <v>2.406</v>
      </c>
      <c r="D454" s="38" t="n">
        <f aca="false">Q!$E$34</f>
        <v>2.274</v>
      </c>
      <c r="E454" s="38" t="n">
        <f aca="false">Q!$P$34</f>
        <v>2.114</v>
      </c>
      <c r="F454" s="38" t="n">
        <f aca="false">Sens!$F$492</f>
        <v>3.24888962733561</v>
      </c>
      <c r="G454" s="38" t="n">
        <f aca="false">Sens!$E$454+Sens!$F$454</f>
        <v>5.36288962733561</v>
      </c>
      <c r="H454" s="38" t="n">
        <f aca="false">Sens!$H$492</f>
        <v>7.42354172302123</v>
      </c>
      <c r="I454" s="38" t="n">
        <f aca="false">Sens!$I$492</f>
        <v>8.90490718570369</v>
      </c>
      <c r="J454" s="38" t="n">
        <f aca="false">Sens!$J$492</f>
        <v>10.8218145638744</v>
      </c>
      <c r="K454" s="38" t="n">
        <f aca="false">Sens!$K$492</f>
        <v>10.8218145638744</v>
      </c>
      <c r="L454" s="38" t="n">
        <f aca="false">Sens!$L$492</f>
        <v>10.8218145638744</v>
      </c>
      <c r="M454" s="38" t="n">
        <f aca="false">Sens!$M$492</f>
        <v>10.8218145638744</v>
      </c>
      <c r="N454" s="38" t="n">
        <f aca="false">Q!$N$34</f>
        <v>1.057</v>
      </c>
      <c r="O454" s="38" t="n">
        <f aca="false">Q!$O$34</f>
        <v>1.217</v>
      </c>
    </row>
    <row r="455" customFormat="false" ht="15" hidden="false" customHeight="false" outlineLevel="0" collapsed="false">
      <c r="A455" s="5" t="s">
        <v>752</v>
      </c>
      <c r="B455" s="0" t="s">
        <v>86</v>
      </c>
      <c r="F455" s="38" t="n">
        <f aca="false">Sens!$F$493</f>
        <v>2.59</v>
      </c>
      <c r="H455" s="38" t="n">
        <f aca="false">Sens!$H$493</f>
        <v>3.73961737597883</v>
      </c>
      <c r="I455" s="38" t="n">
        <f aca="false">Sens!$I$493</f>
        <v>2.10589651022864</v>
      </c>
      <c r="J455" s="38" t="n">
        <f aca="false">Sens!$J$493</f>
        <v>2.10589651022864</v>
      </c>
      <c r="K455" s="38" t="n">
        <f aca="false">Sens!$K$493</f>
        <v>2.23808086414032</v>
      </c>
      <c r="L455" s="38" t="n">
        <f aca="false">Sens!$L$493</f>
        <v>6.18742041223063</v>
      </c>
      <c r="M455" s="38" t="n">
        <f aca="false">Sens!$M$493</f>
        <v>12.4261689219062</v>
      </c>
    </row>
    <row r="456" customFormat="false" ht="17.15" hidden="false" customHeight="false" outlineLevel="0" collapsed="false">
      <c r="A456" s="5" t="s">
        <v>753</v>
      </c>
      <c r="B456" s="0" t="s">
        <v>86</v>
      </c>
      <c r="C456" s="38" t="n">
        <f aca="false">Q!$D$39</f>
        <v>2.427</v>
      </c>
      <c r="D456" s="38" t="n">
        <f aca="false">Q!$E$39</f>
        <v>19.61</v>
      </c>
      <c r="E456" s="38" t="n">
        <f aca="false">Q!$P$39</f>
        <v>71.492</v>
      </c>
      <c r="F456" s="39" t="n">
        <v>0</v>
      </c>
      <c r="G456" s="38" t="n">
        <f aca="false">Sens!$E$456+Sens!$F$456</f>
        <v>71.492</v>
      </c>
      <c r="H456" s="39" t="n">
        <v>0</v>
      </c>
      <c r="I456" s="39" t="n">
        <v>0</v>
      </c>
      <c r="J456" s="39" t="n">
        <v>0</v>
      </c>
      <c r="K456" s="39" t="n">
        <v>0</v>
      </c>
      <c r="L456" s="39" t="n">
        <v>0</v>
      </c>
      <c r="M456" s="39" t="n">
        <v>0</v>
      </c>
      <c r="N456" s="38" t="n">
        <f aca="false">Q!$N$39</f>
        <v>6.017</v>
      </c>
      <c r="O456" s="38" t="n">
        <f aca="false">Q!$O$39</f>
        <v>13.593</v>
      </c>
      <c r="P456" s="5" t="s">
        <v>754</v>
      </c>
    </row>
    <row r="457" customFormat="false" ht="15" hidden="false" customHeight="false" outlineLevel="0" collapsed="false">
      <c r="A457" s="5" t="s">
        <v>547</v>
      </c>
      <c r="B457" s="0" t="s">
        <v>86</v>
      </c>
      <c r="C457" s="38" t="n">
        <f aca="false">Q!$D$36</f>
        <v>68.614</v>
      </c>
      <c r="D457" s="38" t="n">
        <f aca="false">Q!$E$36</f>
        <v>97.311</v>
      </c>
      <c r="E457" s="38" t="n">
        <f aca="false">Q!$P$36</f>
        <v>120.691</v>
      </c>
      <c r="F457" s="38" t="n">
        <f aca="false">Sens!$F$433-Sens!$F$454+Sens!$F$455+Sens!$F$456</f>
        <v>55.2055856631318</v>
      </c>
      <c r="G457" s="38" t="n">
        <f aca="false">Sens!$E$457+Sens!$F$457</f>
        <v>175.896585663132</v>
      </c>
      <c r="H457" s="38" t="n">
        <f aca="false">Sens!$H$433-Sens!$H$454+Sens!$H$455+Sens!$H$456</f>
        <v>121.119342870547</v>
      </c>
      <c r="I457" s="38" t="n">
        <f aca="false">Sens!$I$433-Sens!$I$454+Sens!$I$455+Sens!$I$456</f>
        <v>130.940791646719</v>
      </c>
      <c r="J457" s="38" t="n">
        <f aca="false">Sens!$J$433-Sens!$J$454+Sens!$J$455+Sens!$J$456</f>
        <v>140.419951589075</v>
      </c>
      <c r="K457" s="38" t="n">
        <f aca="false">Sens!$K$433-Sens!$K$454+Sens!$K$455+Sens!$K$456</f>
        <v>146.171825005065</v>
      </c>
      <c r="L457" s="38" t="n">
        <f aca="false">Sens!$L$433-Sens!$L$454+Sens!$L$455+Sens!$L$456</f>
        <v>157.002113991673</v>
      </c>
      <c r="M457" s="38" t="n">
        <f aca="false">Sens!$M$433-Sens!$M$454+Sens!$M$455+Sens!$M$456</f>
        <v>171.410515419336</v>
      </c>
      <c r="N457" s="38" t="n">
        <f aca="false">Q!$N$36</f>
        <v>42.536</v>
      </c>
      <c r="O457" s="38" t="n">
        <f aca="false">Q!$O$36</f>
        <v>54.775</v>
      </c>
    </row>
    <row r="458" customFormat="false" ht="15" hidden="false" customHeight="false" outlineLevel="0" collapsed="false">
      <c r="A458" s="5" t="s">
        <v>548</v>
      </c>
      <c r="B458" s="0" t="s">
        <v>86</v>
      </c>
      <c r="C458" s="38" t="n">
        <f aca="false">Q!$D$37</f>
        <v>9.265</v>
      </c>
      <c r="D458" s="38" t="n">
        <f aca="false">Q!$E$37</f>
        <v>19.087</v>
      </c>
      <c r="E458" s="38" t="n">
        <f aca="false">Q!$P$37</f>
        <v>27.759</v>
      </c>
      <c r="F458" s="38" t="n">
        <f aca="false">Sens!$F$457*tax</f>
        <v>9.58283545417122</v>
      </c>
      <c r="G458" s="38" t="n">
        <f aca="false">Sens!$E$458+Sens!$F$458</f>
        <v>37.3418354541712</v>
      </c>
      <c r="H458" s="38" t="n">
        <f aca="false">Sens!$H$457*tax</f>
        <v>21.0244437968337</v>
      </c>
      <c r="I458" s="38" t="n">
        <f aca="false">Sens!$I$457*tax</f>
        <v>22.7292953333781</v>
      </c>
      <c r="J458" s="38" t="n">
        <f aca="false">Sens!$J$457*tax</f>
        <v>24.374730824737</v>
      </c>
      <c r="K458" s="38" t="n">
        <f aca="false">Sens!$K$457*tax</f>
        <v>25.3731670488357</v>
      </c>
      <c r="L458" s="38" t="n">
        <f aca="false">Sens!$L$457*tax</f>
        <v>27.2531376357449</v>
      </c>
      <c r="M458" s="38" t="n">
        <f aca="false">Sens!$M$457*tax</f>
        <v>29.7542131769315</v>
      </c>
      <c r="N458" s="38" t="n">
        <f aca="false">Q!$N$37</f>
        <v>7.231</v>
      </c>
      <c r="O458" s="38" t="n">
        <f aca="false">Q!$O$37</f>
        <v>11.856</v>
      </c>
    </row>
    <row r="459" customFormat="false" ht="15" hidden="false" customHeight="false" outlineLevel="0" collapsed="false">
      <c r="A459" s="3" t="s">
        <v>549</v>
      </c>
      <c r="B459" s="8" t="s">
        <v>86</v>
      </c>
      <c r="C459" s="38" t="n">
        <f aca="false">Q!$D$38</f>
        <v>59.248</v>
      </c>
      <c r="D459" s="38" t="n">
        <f aca="false">Q!$E$38</f>
        <v>77.67</v>
      </c>
      <c r="E459" s="38" t="n">
        <f aca="false">Q!$P$38</f>
        <v>92.902</v>
      </c>
      <c r="F459" s="38" t="n">
        <f aca="false">Sens!$F$457-Sens!$F$458</f>
        <v>45.6227502089606</v>
      </c>
      <c r="G459" s="38" t="n">
        <f aca="false">Sens!$E$459+Sens!$F$459</f>
        <v>138.524750208961</v>
      </c>
      <c r="H459" s="38" t="n">
        <f aca="false">Sens!$H$457-Sens!$H$458</f>
        <v>100.094899073714</v>
      </c>
      <c r="I459" s="38" t="n">
        <f aca="false">Sens!$I$457-Sens!$I$458</f>
        <v>108.211496313341</v>
      </c>
      <c r="J459" s="38" t="n">
        <f aca="false">Sens!$J$457-Sens!$J$458</f>
        <v>116.045220764338</v>
      </c>
      <c r="K459" s="38" t="n">
        <f aca="false">Sens!$K$457-Sens!$K$458</f>
        <v>120.79865795623</v>
      </c>
      <c r="L459" s="38" t="n">
        <f aca="false">Sens!$L$457-Sens!$L$458</f>
        <v>129.748976355928</v>
      </c>
      <c r="M459" s="38" t="n">
        <f aca="false">Sens!$M$457-Sens!$M$458</f>
        <v>141.656302242405</v>
      </c>
      <c r="N459" s="38" t="n">
        <f aca="false">Q!$N$38</f>
        <v>35.291</v>
      </c>
      <c r="O459" s="38" t="n">
        <f aca="false">Q!$O$38</f>
        <v>42.379</v>
      </c>
    </row>
    <row r="460" customFormat="false" ht="17.15" hidden="false" customHeight="false" outlineLevel="0" collapsed="false">
      <c r="A460" s="5" t="s">
        <v>552</v>
      </c>
      <c r="B460" s="5" t="s">
        <v>33</v>
      </c>
      <c r="C460" s="22" t="n">
        <f aca="false">Q!$D$41</f>
        <v>10.721</v>
      </c>
      <c r="D460" s="22" t="n">
        <f aca="false">Q!$E$41</f>
        <v>10.827</v>
      </c>
      <c r="E460" s="22" t="n">
        <f aca="false">(Q!$L$41+Q!$M$41)/2</f>
        <v>10.8885</v>
      </c>
      <c r="F460" s="22" t="n">
        <f aca="false">Sens!$G$460</f>
        <v>10.924806</v>
      </c>
      <c r="G460" s="22" t="n">
        <f aca="false">Q!$M$41*(1+sh_g*0.25)</f>
        <v>10.924806</v>
      </c>
      <c r="H460" s="22" t="n">
        <f aca="false">Sens!$G$460*(1+sh_g)</f>
        <v>11.012204448</v>
      </c>
      <c r="I460" s="22" t="n">
        <f aca="false">Sens!$H$460*(1+sh_g)</f>
        <v>11.100302083584</v>
      </c>
      <c r="J460" s="22" t="n">
        <f aca="false">Sens!$I$460*(1+sh_g)</f>
        <v>11.1891045002527</v>
      </c>
      <c r="K460" s="22" t="n">
        <f aca="false">Sens!$J$460*(1+sh_g)</f>
        <v>11.2786173362547</v>
      </c>
      <c r="L460" s="22" t="n">
        <f aca="false">Sens!$K$460*(1+sh_g)</f>
        <v>11.3688462749447</v>
      </c>
      <c r="M460" s="22" t="n">
        <f aca="false">Sens!$L$460*(1+sh_g)</f>
        <v>11.4597970451443</v>
      </c>
      <c r="P460" s="5" t="s">
        <v>755</v>
      </c>
    </row>
    <row r="461" customFormat="false" ht="17.15" hidden="false" customHeight="false" outlineLevel="0" collapsed="false">
      <c r="A461" s="5" t="s">
        <v>756</v>
      </c>
      <c r="B461" s="0" t="s">
        <v>86</v>
      </c>
      <c r="C461" s="38" t="n">
        <f aca="false">Sens!$C$459+Sens!$C$435*(1-tax)</f>
        <v>59.248</v>
      </c>
      <c r="D461" s="38" t="n">
        <f aca="false">Sens!$D$459+Sens!$D$435*(1-tax)</f>
        <v>77.67</v>
      </c>
      <c r="E461" s="38" t="n">
        <f aca="false">Sens!$E$459+Sens!$E$435*(1-tax)</f>
        <v>92.902</v>
      </c>
      <c r="F461" s="38" t="n">
        <f aca="false">Sens!$F$459+Sens!$F$435*(1-tax)</f>
        <v>48.7393451686092</v>
      </c>
      <c r="G461" s="38" t="n">
        <f aca="false">Sens!$G$459+Sens!$G$435*(1-tax)</f>
        <v>141.641345168609</v>
      </c>
      <c r="H461" s="38" t="n">
        <f aca="false">Sens!$H$459+Sens!$H$435*(1-tax)</f>
        <v>112.626295029058</v>
      </c>
      <c r="I461" s="38" t="n">
        <f aca="false">Sens!$I$459+Sens!$I$435*(1-tax)</f>
        <v>129.35276138828</v>
      </c>
      <c r="J461" s="38" t="n">
        <f aca="false">Sens!$J$459+Sens!$J$435*(1-tax)</f>
        <v>145.834657708622</v>
      </c>
      <c r="K461" s="38" t="n">
        <f aca="false">Sens!$K$459+Sens!$K$435*(1-tax)</f>
        <v>157.965963652889</v>
      </c>
      <c r="L461" s="38" t="n">
        <f aca="false">Sens!$L$459+Sens!$L$435*(1-tax)</f>
        <v>171.765053696483</v>
      </c>
      <c r="M461" s="38" t="n">
        <f aca="false">Sens!$M$459+Sens!$M$435*(1-tax)</f>
        <v>185.985824433245</v>
      </c>
      <c r="N461" s="38" t="n">
        <f aca="false">Sens!$N$459+Sens!$N$435*(1-tax)</f>
        <v>35.291</v>
      </c>
      <c r="O461" s="38" t="n">
        <f aca="false">Sens!$O$459+Sens!$O$435*(1-tax)</f>
        <v>42.379</v>
      </c>
    </row>
    <row r="462" customFormat="false" ht="17.15" hidden="false" customHeight="false" outlineLevel="0" collapsed="false">
      <c r="A462" s="43" t="s">
        <v>757</v>
      </c>
      <c r="B462" s="14" t="s">
        <v>27</v>
      </c>
      <c r="C462" s="44" t="n">
        <f aca="false">Sens!$C$461/Sens!$C$460</f>
        <v>5.52635015390355</v>
      </c>
      <c r="D462" s="44" t="n">
        <f aca="false">Sens!$D$461/Sens!$D$460</f>
        <v>7.1737323358271</v>
      </c>
      <c r="E462" s="44" t="n">
        <f aca="false">Sens!$E$461/Sens!$E$460</f>
        <v>8.53212104513937</v>
      </c>
      <c r="F462" s="14"/>
      <c r="G462" s="44" t="n">
        <f aca="false">Sens!$G$461/Sens!$G$460</f>
        <v>12.9651130801416</v>
      </c>
      <c r="H462" s="44" t="n">
        <f aca="false">Sens!$H$461/Sens!$H$460</f>
        <v>10.2274068340162</v>
      </c>
      <c r="I462" s="44" t="n">
        <f aca="false">Sens!$I$461/Sens!$I$460</f>
        <v>11.6530847912308</v>
      </c>
      <c r="J462" s="44" t="n">
        <f aca="false">Sens!$J$461/Sens!$J$460</f>
        <v>13.0336308598538</v>
      </c>
      <c r="K462" s="44" t="n">
        <f aca="false">Sens!$K$461/Sens!$K$460</f>
        <v>14.0057915738583</v>
      </c>
      <c r="L462" s="44" t="n">
        <f aca="false">Sens!$L$461/Sens!$L$460</f>
        <v>15.1083979449197</v>
      </c>
      <c r="M462" s="44" t="n">
        <f aca="false">Sens!$M$461/Sens!$M$460</f>
        <v>16.2294169522008</v>
      </c>
      <c r="N462" s="14"/>
      <c r="O462" s="14"/>
    </row>
    <row r="463" customFormat="false" ht="17.15" hidden="false" customHeight="false" outlineLevel="0" collapsed="false">
      <c r="A463" s="0" t="s">
        <v>758</v>
      </c>
      <c r="B463" s="0" t="s">
        <v>27</v>
      </c>
      <c r="C463" s="30" t="n">
        <f aca="false">Sens!$C$459/Sens!$C$460</f>
        <v>5.52635015390355</v>
      </c>
      <c r="D463" s="30" t="n">
        <f aca="false">Sens!$D$459/Sens!$D$460</f>
        <v>7.1737323358271</v>
      </c>
      <c r="E463" s="30" t="n">
        <f aca="false">Sens!$E$459/Sens!$E$460</f>
        <v>8.53212104513937</v>
      </c>
      <c r="G463" s="30" t="n">
        <f aca="false">Sens!$G$459/Sens!$G$460</f>
        <v>12.6798361645013</v>
      </c>
      <c r="H463" s="30" t="n">
        <f aca="false">Sens!$H$459/Sens!$H$460</f>
        <v>9.0894515758734</v>
      </c>
      <c r="I463" s="30" t="n">
        <f aca="false">Sens!$I$459/Sens!$I$460</f>
        <v>9.74851814829191</v>
      </c>
      <c r="J463" s="30" t="n">
        <f aca="false">Sens!$J$459/Sens!$J$460</f>
        <v>10.3712697259837</v>
      </c>
      <c r="K463" s="30" t="n">
        <f aca="false">Sens!$K$459/Sens!$K$460</f>
        <v>10.7104137284565</v>
      </c>
      <c r="L463" s="30" t="n">
        <f aca="false">Sens!$L$459/Sens!$L$460</f>
        <v>11.4126775240049</v>
      </c>
      <c r="M463" s="30" t="n">
        <f aca="false">Sens!$M$459/Sens!$M$460</f>
        <v>12.3611527921803</v>
      </c>
    </row>
    <row r="464" customFormat="false" ht="17.15" hidden="false" customHeight="false" outlineLevel="0" collapsed="false">
      <c r="A464" s="0" t="s">
        <v>759</v>
      </c>
      <c r="B464" s="0" t="s">
        <v>27</v>
      </c>
      <c r="C464" s="30" t="n">
        <f aca="false">(Sens!$C$459-Sens!$C$456*(1-tax))/Sens!$C$460</f>
        <v>5.33926775917445</v>
      </c>
      <c r="D464" s="30" t="n">
        <f aca="false">(Sens!$D$459-Sens!$D$456*(1-tax))/Sens!$D$460</f>
        <v>5.67691812755503</v>
      </c>
      <c r="E464" s="30" t="n">
        <f aca="false">(Sens!$E$459-Sens!$E$456*(1-tax))/Sens!$E$460</f>
        <v>3.10602057006846</v>
      </c>
      <c r="G464" s="30" t="n">
        <f aca="false">(Sens!$G$459-Sens!$G$456*(1-tax))/Sens!$G$460</f>
        <v>7.2717680466043</v>
      </c>
      <c r="H464" s="30" t="n">
        <f aca="false">(Sens!$H$459-Sens!$H$456*(1-tax))/Sens!$H$460</f>
        <v>9.0894515758734</v>
      </c>
      <c r="I464" s="30" t="n">
        <f aca="false">(Sens!$I$459-Sens!$I$456*(1-tax))/Sens!$I$460</f>
        <v>9.74851814829191</v>
      </c>
      <c r="J464" s="30" t="n">
        <f aca="false">(Sens!$J$459-Sens!$J$456*(1-tax))/Sens!$J$460</f>
        <v>10.3712697259837</v>
      </c>
      <c r="K464" s="30" t="n">
        <f aca="false">(Sens!$K$459-Sens!$K$456*(1-tax))/Sens!$K$460</f>
        <v>10.7104137284565</v>
      </c>
      <c r="L464" s="30" t="n">
        <f aca="false">(Sens!$L$459-Sens!$L$456*(1-tax))/Sens!$L$460</f>
        <v>11.4126775240049</v>
      </c>
      <c r="M464" s="30" t="n">
        <f aca="false">(Sens!$M$459-Sens!$M$456*(1-tax))/Sens!$M$460</f>
        <v>12.3611527921803</v>
      </c>
      <c r="P464" s="5" t="s">
        <v>760</v>
      </c>
    </row>
    <row r="465" customFormat="false" ht="17.15" hidden="false" customHeight="false" outlineLevel="0" collapsed="false">
      <c r="A465" s="0" t="s">
        <v>761</v>
      </c>
      <c r="B465" s="0" t="s">
        <v>52</v>
      </c>
      <c r="H465" s="13" t="n">
        <f aca="false">Sens!$H$462/Sens!$G$462-1</f>
        <v>-0.211159457630856</v>
      </c>
      <c r="I465" s="13" t="n">
        <f aca="false">Sens!$I$462/Sens!$H$462-1</f>
        <v>0.139397794607413</v>
      </c>
      <c r="J465" s="13" t="n">
        <f aca="false">Sens!$J$462/Sens!$I$462-1</f>
        <v>0.118470438802766</v>
      </c>
      <c r="K465" s="13" t="n">
        <f aca="false">Sens!$K$462/Sens!$J$462-1</f>
        <v>0.0745886333944772</v>
      </c>
      <c r="L465" s="13" t="n">
        <f aca="false">Sens!$L$462/Sens!$K$462-1</f>
        <v>0.0787250306594169</v>
      </c>
      <c r="M465" s="13" t="n">
        <f aca="false">Sens!$M$462/Sens!$L$462-1</f>
        <v>0.0741984035215326</v>
      </c>
    </row>
    <row r="468" customFormat="false" ht="19.4" hidden="false" customHeight="false" outlineLevel="0" collapsed="false">
      <c r="A468" s="31" t="s">
        <v>1143</v>
      </c>
    </row>
    <row r="469" customFormat="false" ht="17.15" hidden="false" customHeight="false" outlineLevel="0" collapsed="false">
      <c r="A469" s="6" t="s">
        <v>16</v>
      </c>
      <c r="B469" s="6" t="s">
        <v>17</v>
      </c>
      <c r="C469" s="20" t="s">
        <v>497</v>
      </c>
      <c r="D469" s="20" t="s">
        <v>498</v>
      </c>
      <c r="E469" s="20" t="s">
        <v>580</v>
      </c>
      <c r="F469" s="20" t="s">
        <v>581</v>
      </c>
      <c r="G469" s="20" t="s">
        <v>582</v>
      </c>
      <c r="H469" s="20" t="s">
        <v>583</v>
      </c>
      <c r="I469" s="20" t="s">
        <v>584</v>
      </c>
      <c r="J469" s="20" t="s">
        <v>585</v>
      </c>
      <c r="K469" s="20" t="s">
        <v>586</v>
      </c>
      <c r="L469" s="20" t="s">
        <v>587</v>
      </c>
      <c r="M469" s="20" t="s">
        <v>588</v>
      </c>
      <c r="N469" s="20" t="s">
        <v>589</v>
      </c>
      <c r="O469" s="20" t="s">
        <v>590</v>
      </c>
      <c r="P469" s="6" t="s">
        <v>23</v>
      </c>
      <c r="R469" s="20" t="n">
        <v>2023</v>
      </c>
      <c r="S469" s="20" t="n">
        <v>2024</v>
      </c>
      <c r="T469" s="20" t="n">
        <v>2025</v>
      </c>
      <c r="U469" s="20" t="n">
        <v>2026</v>
      </c>
      <c r="V469" s="20" t="n">
        <v>2027</v>
      </c>
      <c r="W469" s="20" t="n">
        <v>2028</v>
      </c>
      <c r="X469" s="20" t="n">
        <v>2029</v>
      </c>
      <c r="Y469" s="20" t="n">
        <v>2030</v>
      </c>
      <c r="Z469" s="20" t="n">
        <v>2031</v>
      </c>
      <c r="AA469" s="20" t="n">
        <v>2032</v>
      </c>
    </row>
    <row r="470" customFormat="false" ht="15" hidden="false" customHeight="false" outlineLevel="0" collapsed="false">
      <c r="A470" s="5" t="s">
        <v>549</v>
      </c>
      <c r="B470" s="0" t="s">
        <v>86</v>
      </c>
      <c r="C470" s="38" t="n">
        <f aca="false">Sens!$C$459</f>
        <v>59.248</v>
      </c>
      <c r="D470" s="38" t="n">
        <f aca="false">Sens!$D$459</f>
        <v>77.67</v>
      </c>
      <c r="E470" s="38" t="n">
        <f aca="false">Sens!$E$459</f>
        <v>92.902</v>
      </c>
      <c r="F470" s="38" t="n">
        <f aca="false">Sens!$F$459</f>
        <v>45.6227502089606</v>
      </c>
      <c r="G470" s="38" t="n">
        <f aca="false">Sens!$G$459</f>
        <v>138.524750208961</v>
      </c>
      <c r="H470" s="38" t="n">
        <f aca="false">Sens!$H$459</f>
        <v>100.094899073714</v>
      </c>
      <c r="I470" s="38" t="n">
        <f aca="false">Sens!$I$459</f>
        <v>108.211496313341</v>
      </c>
      <c r="J470" s="38" t="n">
        <f aca="false">Sens!$J$459</f>
        <v>116.045220764338</v>
      </c>
      <c r="K470" s="38" t="n">
        <f aca="false">Sens!$K$459</f>
        <v>120.79865795623</v>
      </c>
      <c r="L470" s="38" t="n">
        <f aca="false">Sens!$L$459</f>
        <v>129.748976355928</v>
      </c>
      <c r="M470" s="38" t="n">
        <f aca="false">Sens!$M$459</f>
        <v>141.656302242405</v>
      </c>
    </row>
    <row r="471" customFormat="false" ht="17.15" hidden="false" customHeight="false" outlineLevel="0" collapsed="false">
      <c r="A471" s="5" t="s">
        <v>784</v>
      </c>
      <c r="B471" s="0" t="s">
        <v>86</v>
      </c>
      <c r="C471" s="38" t="n">
        <f aca="false">Sens!$C$447</f>
        <v>32.067</v>
      </c>
      <c r="D471" s="38" t="n">
        <f aca="false">Sens!$D$447</f>
        <v>41.86</v>
      </c>
      <c r="E471" s="38" t="n">
        <f aca="false">Sens!$E$447</f>
        <v>26.703</v>
      </c>
      <c r="F471" s="38" t="n">
        <f aca="false">Sens!$F$447</f>
        <v>28.2071421626285</v>
      </c>
      <c r="G471" s="38" t="n">
        <f aca="false">Sens!$G$447</f>
        <v>54.9101421626285</v>
      </c>
      <c r="H471" s="38" t="n">
        <f aca="false">Sens!$H$447</f>
        <v>78.1799395827871</v>
      </c>
      <c r="I471" s="38" t="n">
        <f aca="false">Sens!$I$447</f>
        <v>111.171125554384</v>
      </c>
      <c r="J471" s="38" t="n">
        <f aca="false">Sens!$J$447</f>
        <v>144.884406220971</v>
      </c>
      <c r="K471" s="38" t="n">
        <f aca="false">Sens!$K$447</f>
        <v>178.806419437999</v>
      </c>
      <c r="L471" s="38" t="n">
        <f aca="false">Sens!$L$447</f>
        <v>204.341339029663</v>
      </c>
      <c r="M471" s="38" t="n">
        <f aca="false">Sens!$M$447</f>
        <v>223.130577995387</v>
      </c>
    </row>
    <row r="472" customFormat="false" ht="15" hidden="false" customHeight="false" outlineLevel="0" collapsed="false">
      <c r="A472" s="5" t="s">
        <v>785</v>
      </c>
      <c r="B472" s="0" t="s">
        <v>86</v>
      </c>
      <c r="C472" s="38" t="n">
        <f aca="false">Q!$D$48</f>
        <v>22.011</v>
      </c>
      <c r="D472" s="38" t="n">
        <f aca="false">Q!$E$48</f>
        <v>19.467</v>
      </c>
      <c r="E472" s="38" t="n">
        <f aca="false">Q!$P$48</f>
        <v>10.07</v>
      </c>
      <c r="F472" s="38" t="n">
        <f aca="false">sbc_r*Sens!$F$389</f>
        <v>10.8301362330615</v>
      </c>
      <c r="G472" s="38" t="n">
        <f aca="false">Sens!$E$472+Sens!$F$472</f>
        <v>20.9001362330615</v>
      </c>
      <c r="H472" s="38" t="n">
        <f aca="false">sbc_r*Sens!$H$389</f>
        <v>23.2943317654256</v>
      </c>
      <c r="I472" s="38" t="n">
        <f aca="false">sbc_r*Sens!$I$389</f>
        <v>26.2713749165794</v>
      </c>
      <c r="J472" s="38" t="n">
        <f aca="false">sbc_r*Sens!$J$389</f>
        <v>29.1127794503891</v>
      </c>
      <c r="K472" s="38" t="n">
        <f aca="false">sbc_r*Sens!$K$389</f>
        <v>31.6074153583433</v>
      </c>
      <c r="L472" s="38" t="n">
        <f aca="false">sbc_r*Sens!$L$389</f>
        <v>33.9776385718341</v>
      </c>
      <c r="M472" s="38" t="n">
        <f aca="false">sbc_r*Sens!$M$389</f>
        <v>36.2325352034492</v>
      </c>
    </row>
    <row r="473" customFormat="false" ht="17.15" hidden="false" customHeight="false" outlineLevel="0" collapsed="false">
      <c r="A473" s="5" t="s">
        <v>786</v>
      </c>
      <c r="B473" s="0" t="s">
        <v>86</v>
      </c>
      <c r="C473" s="38" t="n">
        <f aca="false">Q!$D$44-Sens!$C$470-Sens!$C$471-Sens!$C$472</f>
        <v>2.551</v>
      </c>
      <c r="D473" s="38" t="n">
        <f aca="false">Q!$E$44-Sens!$D$470-Sens!$D$471-Sens!$D$472</f>
        <v>0.51700000000001</v>
      </c>
      <c r="E473" s="38" t="n">
        <f aca="false">Q!$P$44-Sens!$E$470-Sens!$E$471-Sens!$E$472</f>
        <v>-58.256</v>
      </c>
      <c r="F473" s="38" t="n">
        <f aca="false">oth_r*Sens!$F$389</f>
        <v>5.21275305044778</v>
      </c>
      <c r="G473" s="38" t="n">
        <f aca="false">Sens!$E$473+Sens!$F$473</f>
        <v>-53.0432469495522</v>
      </c>
      <c r="H473" s="38" t="n">
        <f aca="false">oth_r*Sens!$H$389</f>
        <v>11.2120102974955</v>
      </c>
      <c r="I473" s="38" t="n">
        <f aca="false">oth_r*Sens!$I$389</f>
        <v>12.6449184745984</v>
      </c>
      <c r="J473" s="38" t="n">
        <f aca="false">oth_r*Sens!$J$389</f>
        <v>14.0125411741132</v>
      </c>
      <c r="K473" s="38" t="n">
        <f aca="false">oth_r*Sens!$K$389</f>
        <v>15.2132574586644</v>
      </c>
      <c r="L473" s="38" t="n">
        <f aca="false">oth_r*Sens!$L$389</f>
        <v>16.3540915184104</v>
      </c>
      <c r="M473" s="38" t="n">
        <f aca="false">oth_r*Sens!$M$389</f>
        <v>17.4394166742486</v>
      </c>
      <c r="P473" s="8" t="s">
        <v>787</v>
      </c>
    </row>
    <row r="474" customFormat="false" ht="15" hidden="false" customHeight="false" outlineLevel="0" collapsed="false">
      <c r="A474" s="3" t="s">
        <v>555</v>
      </c>
      <c r="B474" s="8" t="s">
        <v>86</v>
      </c>
      <c r="C474" s="38" t="n">
        <f aca="false">Q!$D$44</f>
        <v>115.877</v>
      </c>
      <c r="D474" s="38" t="n">
        <f aca="false">Q!$E$44</f>
        <v>139.514</v>
      </c>
      <c r="E474" s="38" t="n">
        <f aca="false">Q!$P$44</f>
        <v>71.419</v>
      </c>
      <c r="F474" s="38" t="n">
        <f aca="false">Sens!$F$470+Sens!$F$471+Sens!$F$472+Sens!$F$473</f>
        <v>89.8727816550984</v>
      </c>
      <c r="G474" s="38" t="n">
        <f aca="false">Sens!$E$474+Sens!$F$474</f>
        <v>161.291781655098</v>
      </c>
      <c r="H474" s="38" t="n">
        <f aca="false">Sens!$H$470+Sens!$H$471+Sens!$H$472+Sens!$H$473</f>
        <v>212.781180719422</v>
      </c>
      <c r="I474" s="38" t="n">
        <f aca="false">Sens!$I$470+Sens!$I$471+Sens!$I$472+Sens!$I$473</f>
        <v>258.298915258903</v>
      </c>
      <c r="J474" s="38" t="n">
        <f aca="false">Sens!$J$470+Sens!$J$471+Sens!$J$472+Sens!$J$473</f>
        <v>304.054947609812</v>
      </c>
      <c r="K474" s="38" t="n">
        <f aca="false">Sens!$K$470+Sens!$K$471+Sens!$K$472+Sens!$K$473</f>
        <v>346.425750211237</v>
      </c>
      <c r="L474" s="38" t="n">
        <f aca="false">Sens!$L$470+Sens!$L$471+Sens!$L$472+Sens!$L$473</f>
        <v>384.422045475835</v>
      </c>
      <c r="M474" s="38" t="n">
        <f aca="false">Sens!$M$470+Sens!$M$471+Sens!$M$472+Sens!$M$473</f>
        <v>418.458832115489</v>
      </c>
    </row>
    <row r="475" customFormat="false" ht="17.15" hidden="false" customHeight="false" outlineLevel="0" collapsed="false">
      <c r="A475" s="5" t="s">
        <v>788</v>
      </c>
      <c r="B475" s="0" t="s">
        <v>86</v>
      </c>
      <c r="C475" s="38" t="n">
        <f aca="false">Sens!$C$356</f>
        <v>25.2781053077374</v>
      </c>
      <c r="D475" s="38" t="n">
        <f aca="false">Sens!$D$356</f>
        <v>69.5686316310026</v>
      </c>
      <c r="E475" s="38" t="n">
        <f aca="false">Sens!$E$356</f>
        <v>64.1899206485108</v>
      </c>
      <c r="F475" s="38" t="n">
        <f aca="false">Sens!$F$356</f>
        <v>96.2481299895</v>
      </c>
      <c r="G475" s="38" t="n">
        <f aca="false">Sens!$G$356</f>
        <v>160.438050638011</v>
      </c>
      <c r="H475" s="38" t="n">
        <f aca="false">Sens!$H$356</f>
        <v>198.57136494475</v>
      </c>
      <c r="I475" s="38" t="n">
        <f aca="false">Sens!$I$356</f>
        <v>204.6464699105</v>
      </c>
      <c r="J475" s="38" t="n">
        <f aca="false">Sens!$J$356</f>
        <v>209.8832381105</v>
      </c>
      <c r="K475" s="38" t="n">
        <f aca="false">Sens!$K$356</f>
        <v>155.238385275201</v>
      </c>
      <c r="L475" s="38" t="n">
        <f aca="false">Sens!$L$356</f>
        <v>132.014141639902</v>
      </c>
      <c r="M475" s="38" t="n">
        <f aca="false">Sens!$M$356</f>
        <v>132.230981659852</v>
      </c>
    </row>
    <row r="476" customFormat="false" ht="17.15" hidden="false" customHeight="false" outlineLevel="0" collapsed="false">
      <c r="A476" s="5" t="s">
        <v>789</v>
      </c>
      <c r="B476" s="0" t="s">
        <v>86</v>
      </c>
      <c r="C476" s="38" t="n">
        <f aca="false">cx_awso*Sens!$C$387</f>
        <v>21.0469989286053</v>
      </c>
      <c r="D476" s="38" t="n">
        <f aca="false">cx_awso*Sens!$D$387</f>
        <v>24.0042459822698</v>
      </c>
      <c r="E476" s="38" t="n">
        <f aca="false">cx_awso*Sens!$E$387</f>
        <v>14.261729404886</v>
      </c>
      <c r="F476" s="38" t="n">
        <f aca="false">cx_awso*Sens!$F$387</f>
        <v>14.3538599588493</v>
      </c>
      <c r="G476" s="38" t="n">
        <f aca="false">Sens!$E$476+Sens!$F$476</f>
        <v>28.6155893637353</v>
      </c>
      <c r="H476" s="38" t="n">
        <f aca="false">cx_awso*Sens!$H$387</f>
        <v>32.2034154158406</v>
      </c>
      <c r="I476" s="38" t="n">
        <f aca="false">cx_awso*Sens!$I$387</f>
        <v>35.7539519042915</v>
      </c>
      <c r="J476" s="38" t="n">
        <f aca="false">cx_awso*Sens!$J$387</f>
        <v>39.1551076091815</v>
      </c>
      <c r="K476" s="38" t="n">
        <f aca="false">cx_awso*Sens!$K$387</f>
        <v>42.287516217916</v>
      </c>
      <c r="L476" s="38" t="n">
        <f aca="false">cx_awso*Sens!$L$387</f>
        <v>45.6705175153492</v>
      </c>
      <c r="M476" s="38" t="n">
        <f aca="false">cx_awso*Sens!$M$387</f>
        <v>49.3241589165772</v>
      </c>
    </row>
    <row r="477" customFormat="false" ht="17.15" hidden="false" customHeight="false" outlineLevel="0" collapsed="false">
      <c r="A477" s="5" t="s">
        <v>790</v>
      </c>
      <c r="B477" s="0" t="s">
        <v>86</v>
      </c>
      <c r="C477" s="38" t="n">
        <f aca="false">Q!$D$46-Sens!$C$475-Sens!$C$476</f>
        <v>31.3328957636573</v>
      </c>
      <c r="D477" s="38" t="n">
        <f aca="false">Q!$E$46-Sens!$D$475-Sens!$D$476</f>
        <v>34.7471223867276</v>
      </c>
      <c r="E477" s="38" t="n">
        <f aca="false">Q!$P$46-Sens!$E$475-Sens!$E$476</f>
        <v>17.8583499466032</v>
      </c>
      <c r="F477" s="38" t="n">
        <f aca="false">cx_rt*Sens!$F$319</f>
        <v>20.6195895799373</v>
      </c>
      <c r="G477" s="38" t="n">
        <f aca="false">Sens!$E$477+Sens!$F$477</f>
        <v>38.4779395265405</v>
      </c>
      <c r="H477" s="38" t="n">
        <f aca="false">cx_rt*Sens!$H$319</f>
        <v>42.5978994743075</v>
      </c>
      <c r="I477" s="38" t="n">
        <f aca="false">cx_rt*Sens!$I$319</f>
        <v>46.5813904136335</v>
      </c>
      <c r="J477" s="38" t="n">
        <f aca="false">cx_rt*Sens!$J$319</f>
        <v>50.2781676586844</v>
      </c>
      <c r="K477" s="38" t="n">
        <f aca="false">cx_rt*Sens!$K$319</f>
        <v>53.5312440191755</v>
      </c>
      <c r="L477" s="38" t="n">
        <f aca="false">cx_rt*Sens!$L$319</f>
        <v>57.0116717051447</v>
      </c>
      <c r="M477" s="38" t="n">
        <f aca="false">cx_rt*Sens!$M$319</f>
        <v>60.7365554669226</v>
      </c>
    </row>
    <row r="478" customFormat="false" ht="15" hidden="false" customHeight="false" outlineLevel="0" collapsed="false">
      <c r="A478" s="3" t="s">
        <v>791</v>
      </c>
      <c r="B478" s="8" t="s">
        <v>86</v>
      </c>
      <c r="C478" s="38" t="n">
        <f aca="false">Q!$D$46</f>
        <v>77.658</v>
      </c>
      <c r="D478" s="38" t="n">
        <f aca="false">Q!$E$46</f>
        <v>128.32</v>
      </c>
      <c r="E478" s="38" t="n">
        <f aca="false">Q!$P$46</f>
        <v>96.31</v>
      </c>
      <c r="F478" s="38" t="n">
        <f aca="false">Sens!$F$475+Sens!$F$476+Sens!$F$477</f>
        <v>131.221579528287</v>
      </c>
      <c r="G478" s="38" t="n">
        <f aca="false">Sens!$E$478+Sens!$F$478</f>
        <v>227.531579528287</v>
      </c>
      <c r="H478" s="38" t="n">
        <f aca="false">Sens!$H$475+Sens!$H$476+Sens!$H$477</f>
        <v>273.372679834898</v>
      </c>
      <c r="I478" s="38" t="n">
        <f aca="false">Sens!$I$475+Sens!$I$476+Sens!$I$477</f>
        <v>286.981812228425</v>
      </c>
      <c r="J478" s="38" t="n">
        <f aca="false">Sens!$J$475+Sens!$J$476+Sens!$J$477</f>
        <v>299.316513378366</v>
      </c>
      <c r="K478" s="38" t="n">
        <f aca="false">Sens!$K$475+Sens!$K$476+Sens!$K$477</f>
        <v>251.057145512292</v>
      </c>
      <c r="L478" s="38" t="n">
        <f aca="false">Sens!$L$475+Sens!$L$476+Sens!$L$477</f>
        <v>234.696330860396</v>
      </c>
      <c r="M478" s="38" t="n">
        <f aca="false">Sens!$M$475+Sens!$M$476+Sens!$M$477</f>
        <v>242.291696043352</v>
      </c>
    </row>
    <row r="479" customFormat="false" ht="17.15" hidden="false" customHeight="false" outlineLevel="0" collapsed="false">
      <c r="A479" s="5" t="s">
        <v>563</v>
      </c>
      <c r="B479" s="0" t="s">
        <v>86</v>
      </c>
      <c r="C479" s="38" t="n">
        <f aca="false">Q!$D$50</f>
        <v>2.043</v>
      </c>
      <c r="D479" s="38" t="n">
        <f aca="false">Q!$E$50</f>
        <v>1.557</v>
      </c>
      <c r="E479" s="38" t="n">
        <f aca="false">lease_pr/2</f>
        <v>0.8</v>
      </c>
      <c r="F479" s="38" t="n">
        <f aca="false">lease_pr/2</f>
        <v>0.8</v>
      </c>
      <c r="G479" s="38" t="n">
        <f aca="false">Sens!$E$479+Sens!$F$479</f>
        <v>1.6</v>
      </c>
      <c r="H479" s="38" t="n">
        <f aca="false">lease_pr</f>
        <v>1.6</v>
      </c>
      <c r="I479" s="38" t="n">
        <f aca="false">lease_pr</f>
        <v>1.6</v>
      </c>
      <c r="J479" s="38" t="n">
        <f aca="false">lease_pr</f>
        <v>1.6</v>
      </c>
      <c r="K479" s="38" t="n">
        <f aca="false">lease_pr</f>
        <v>1.6</v>
      </c>
      <c r="L479" s="38" t="n">
        <f aca="false">lease_pr</f>
        <v>1.6</v>
      </c>
      <c r="M479" s="38" t="n">
        <f aca="false">lease_pr</f>
        <v>1.6</v>
      </c>
      <c r="P479" s="8" t="s">
        <v>792</v>
      </c>
    </row>
    <row r="480" customFormat="false" ht="15" hidden="false" customHeight="false" outlineLevel="0" collapsed="false">
      <c r="A480" s="47" t="s">
        <v>793</v>
      </c>
      <c r="B480" s="14" t="s">
        <v>86</v>
      </c>
      <c r="C480" s="48" t="n">
        <f aca="false">Sens!$C$474-Sens!$C$478-Sens!$C$479</f>
        <v>36.176</v>
      </c>
      <c r="D480" s="48" t="n">
        <f aca="false">Sens!$D$474-Sens!$D$478-Sens!$D$479</f>
        <v>9.63700000000002</v>
      </c>
      <c r="E480" s="48" t="n">
        <f aca="false">Sens!$E$474-Sens!$E$478-Sens!$E$479</f>
        <v>-25.691</v>
      </c>
      <c r="F480" s="48" t="n">
        <f aca="false">Sens!$F$474-Sens!$F$478-Sens!$F$479</f>
        <v>-42.1487978731882</v>
      </c>
      <c r="G480" s="48" t="n">
        <f aca="false">Sens!$G$474-Sens!$G$478-Sens!$G$479</f>
        <v>-67.8397978731883</v>
      </c>
      <c r="H480" s="48" t="n">
        <f aca="false">Sens!$H$474-Sens!$H$478-Sens!$H$479</f>
        <v>-62.1914991154763</v>
      </c>
      <c r="I480" s="48" t="n">
        <f aca="false">Sens!$I$474-Sens!$I$478-Sens!$I$479</f>
        <v>-30.2828969695217</v>
      </c>
      <c r="J480" s="48" t="n">
        <f aca="false">Sens!$J$474-Sens!$J$478-Sens!$J$479</f>
        <v>3.13843423144587</v>
      </c>
      <c r="K480" s="48" t="n">
        <f aca="false">Sens!$K$474-Sens!$K$478-Sens!$K$479</f>
        <v>93.7686046989443</v>
      </c>
      <c r="L480" s="48" t="n">
        <f aca="false">Sens!$L$474-Sens!$L$478-Sens!$L$479</f>
        <v>148.125714615439</v>
      </c>
      <c r="M480" s="48" t="n">
        <f aca="false">Sens!$M$474-Sens!$M$478-Sens!$M$479</f>
        <v>174.567136072137</v>
      </c>
      <c r="N480" s="14"/>
      <c r="O480" s="14"/>
    </row>
    <row r="481" customFormat="false" ht="17.15" hidden="false" customHeight="false" outlineLevel="0" collapsed="false">
      <c r="A481" s="5" t="s">
        <v>794</v>
      </c>
      <c r="B481" s="0" t="s">
        <v>86</v>
      </c>
      <c r="C481" s="38" t="n">
        <f aca="false">dps*Sens!$C$460</f>
        <v>0</v>
      </c>
      <c r="D481" s="38" t="n">
        <f aca="false">dps*Sens!$D$460</f>
        <v>0</v>
      </c>
      <c r="E481" s="38" t="n">
        <f aca="false">dps*Sens!$E$460</f>
        <v>0</v>
      </c>
      <c r="F481" s="38" t="n">
        <f aca="false">0</f>
        <v>0</v>
      </c>
      <c r="G481" s="38" t="n">
        <f aca="false">dps*Sens!$G$460</f>
        <v>0</v>
      </c>
      <c r="H481" s="38" t="n">
        <f aca="false">dps*Sens!$H$460</f>
        <v>0</v>
      </c>
      <c r="I481" s="38" t="n">
        <f aca="false">dps*Sens!$I$460</f>
        <v>0</v>
      </c>
      <c r="J481" s="38" t="n">
        <f aca="false">dps*Sens!$J$460</f>
        <v>0</v>
      </c>
      <c r="K481" s="38" t="n">
        <f aca="false">dps*Sens!$K$460</f>
        <v>0</v>
      </c>
      <c r="L481" s="38" t="n">
        <f aca="false">dps*Sens!$L$460</f>
        <v>0</v>
      </c>
      <c r="M481" s="38" t="n">
        <f aca="false">dps*Sens!$M$460</f>
        <v>0</v>
      </c>
      <c r="P481" s="8" t="s">
        <v>795</v>
      </c>
    </row>
    <row r="482" customFormat="false" ht="17.15" hidden="false" customHeight="false" outlineLevel="0" collapsed="false">
      <c r="A482" s="5" t="s">
        <v>796</v>
      </c>
      <c r="B482" s="0" t="s">
        <v>86</v>
      </c>
      <c r="C482" s="38" t="n">
        <f aca="false">0</f>
        <v>0</v>
      </c>
      <c r="D482" s="38" t="n">
        <f aca="false">0</f>
        <v>0</v>
      </c>
      <c r="E482" s="38" t="n">
        <f aca="false">0</f>
        <v>0</v>
      </c>
      <c r="F482" s="38" t="n">
        <f aca="false">0</f>
        <v>0</v>
      </c>
      <c r="G482" s="38" t="n">
        <f aca="false">0</f>
        <v>0</v>
      </c>
      <c r="H482" s="38" t="n">
        <f aca="false">0</f>
        <v>0</v>
      </c>
      <c r="I482" s="38" t="n">
        <f aca="false">0</f>
        <v>0</v>
      </c>
      <c r="J482" s="38" t="n">
        <f aca="false">0</f>
        <v>0</v>
      </c>
      <c r="K482" s="38" t="n">
        <f aca="false">0</f>
        <v>0</v>
      </c>
      <c r="L482" s="38" t="n">
        <f aca="false">0</f>
        <v>0</v>
      </c>
      <c r="M482" s="38" t="n">
        <f aca="false">0</f>
        <v>0</v>
      </c>
      <c r="P482" s="8" t="s">
        <v>797</v>
      </c>
    </row>
    <row r="483" customFormat="false" ht="15" hidden="false" customHeight="false" outlineLevel="0" collapsed="false">
      <c r="A483" s="3" t="s">
        <v>798</v>
      </c>
      <c r="B483" s="8" t="s">
        <v>86</v>
      </c>
      <c r="C483" s="38" t="n">
        <f aca="false">Sens!$C$480-Sens!$C$481</f>
        <v>36.176</v>
      </c>
      <c r="D483" s="38" t="n">
        <f aca="false">Sens!$D$480-Sens!$D$481</f>
        <v>9.63700000000002</v>
      </c>
      <c r="E483" s="38" t="n">
        <f aca="false">Sens!$E$480-Sens!$E$481</f>
        <v>-25.691</v>
      </c>
      <c r="F483" s="38" t="n">
        <f aca="false">Sens!$F$480-Sens!$F$481</f>
        <v>-42.1487978731882</v>
      </c>
      <c r="G483" s="38" t="n">
        <f aca="false">Sens!$G$480-Sens!$G$481</f>
        <v>-67.8397978731883</v>
      </c>
      <c r="H483" s="38" t="n">
        <f aca="false">Sens!$H$480-Sens!$H$481</f>
        <v>-62.1914991154763</v>
      </c>
      <c r="I483" s="38" t="n">
        <f aca="false">Sens!$I$480-Sens!$I$481</f>
        <v>-30.2828969695217</v>
      </c>
      <c r="J483" s="38" t="n">
        <f aca="false">Sens!$J$480-Sens!$J$481</f>
        <v>3.13843423144587</v>
      </c>
      <c r="K483" s="38" t="n">
        <f aca="false">Sens!$K$480-Sens!$K$481</f>
        <v>93.7686046989443</v>
      </c>
      <c r="L483" s="38" t="n">
        <f aca="false">Sens!$L$480-Sens!$L$481</f>
        <v>148.125714615439</v>
      </c>
      <c r="M483" s="38" t="n">
        <f aca="false">Sens!$M$480-Sens!$M$481</f>
        <v>174.567136072137</v>
      </c>
    </row>
    <row r="484" customFormat="false" ht="17.15" hidden="false" customHeight="false" outlineLevel="0" collapsed="false">
      <c r="A484" s="5" t="s">
        <v>799</v>
      </c>
      <c r="B484" s="0" t="s">
        <v>86</v>
      </c>
      <c r="E484" s="38" t="n">
        <f aca="false">Q!$P$53</f>
        <v>39.767</v>
      </c>
      <c r="F484" s="38" t="n">
        <f aca="false">inv_2h26</f>
        <v>21.3</v>
      </c>
      <c r="G484" s="38" t="n">
        <f aca="false">Sens!$E$484+Sens!$F$484</f>
        <v>61.067</v>
      </c>
      <c r="H484" s="39" t="n">
        <v>0</v>
      </c>
      <c r="I484" s="39" t="n">
        <v>0</v>
      </c>
      <c r="J484" s="39" t="n">
        <v>0</v>
      </c>
      <c r="K484" s="39" t="n">
        <v>0</v>
      </c>
      <c r="L484" s="39" t="n">
        <v>0</v>
      </c>
      <c r="M484" s="39" t="n">
        <v>0</v>
      </c>
    </row>
    <row r="485" customFormat="false" ht="17.15" hidden="false" customHeight="false" outlineLevel="0" collapsed="false">
      <c r="A485" s="5" t="s">
        <v>800</v>
      </c>
      <c r="B485" s="0" t="s">
        <v>86</v>
      </c>
      <c r="F485" s="38" t="n">
        <f aca="false">iss_2h26</f>
        <v>29.249999</v>
      </c>
      <c r="G485" s="38" t="n">
        <f aca="false">Sens!$F$485</f>
        <v>29.249999</v>
      </c>
      <c r="H485" s="39" t="n">
        <v>0</v>
      </c>
      <c r="I485" s="39" t="n">
        <v>0</v>
      </c>
      <c r="J485" s="39" t="n">
        <v>0</v>
      </c>
      <c r="K485" s="39" t="n">
        <v>0</v>
      </c>
      <c r="L485" s="39" t="n">
        <v>0</v>
      </c>
      <c r="M485" s="39" t="n">
        <v>0</v>
      </c>
    </row>
    <row r="486" customFormat="false" ht="17.15" hidden="false" customHeight="false" outlineLevel="0" collapsed="false">
      <c r="A486" s="5" t="s">
        <v>801</v>
      </c>
      <c r="B486" s="0" t="s">
        <v>86</v>
      </c>
      <c r="F486" s="38" t="n">
        <f aca="false">cash_q2</f>
        <v>122.988</v>
      </c>
      <c r="G486" s="38" t="n">
        <f aca="false">cash_q2</f>
        <v>122.988</v>
      </c>
      <c r="H486" s="38" t="n">
        <f aca="false">Sens!$G$489</f>
        <v>88.7892011268118</v>
      </c>
      <c r="I486" s="38" t="n">
        <f aca="false">Sens!$H$489</f>
        <v>50</v>
      </c>
      <c r="J486" s="38" t="n">
        <f aca="false">Sens!$I$489</f>
        <v>50</v>
      </c>
      <c r="K486" s="38" t="n">
        <f aca="false">Sens!$J$489</f>
        <v>53.1384342314459</v>
      </c>
      <c r="L486" s="38" t="n">
        <f aca="false">Sens!$K$489</f>
        <v>146.90703893039</v>
      </c>
      <c r="M486" s="38" t="n">
        <f aca="false">Sens!$L$489</f>
        <v>295.03275354583</v>
      </c>
    </row>
    <row r="487" customFormat="false" ht="15" hidden="false" customHeight="false" outlineLevel="0" collapsed="false">
      <c r="A487" s="5" t="s">
        <v>802</v>
      </c>
      <c r="B487" s="0" t="s">
        <v>86</v>
      </c>
      <c r="F487" s="38" t="n">
        <f aca="false">Sens!$F$486+Sens!$F$483-Sens!$F$482-Sens!$F$484+Sens!$F$485</f>
        <v>88.7892011268118</v>
      </c>
      <c r="H487" s="38" t="n">
        <f aca="false">Sens!$H$486+Sens!$H$483-Sens!$H$482-Sens!$H$484+Sens!$H$485</f>
        <v>26.5977020113355</v>
      </c>
      <c r="I487" s="38" t="n">
        <f aca="false">Sens!$I$486+Sens!$I$483-Sens!$I$482-Sens!$I$484+Sens!$I$485</f>
        <v>19.7171030304783</v>
      </c>
      <c r="J487" s="38" t="n">
        <f aca="false">Sens!$J$486+Sens!$J$483-Sens!$J$482-Sens!$J$484+Sens!$J$485</f>
        <v>53.1384342314459</v>
      </c>
      <c r="K487" s="38" t="n">
        <f aca="false">Sens!$K$486+Sens!$K$483-Sens!$K$482-Sens!$K$484+Sens!$K$485</f>
        <v>146.90703893039</v>
      </c>
      <c r="L487" s="38" t="n">
        <f aca="false">Sens!$L$486+Sens!$L$483-Sens!$L$482-Sens!$L$484+Sens!$L$485</f>
        <v>295.03275354583</v>
      </c>
      <c r="M487" s="38" t="n">
        <f aca="false">Sens!$M$486+Sens!$M$483-Sens!$M$482-Sens!$M$484+Sens!$M$485</f>
        <v>469.599889617967</v>
      </c>
    </row>
    <row r="488" customFormat="false" ht="17.15" hidden="false" customHeight="false" outlineLevel="0" collapsed="false">
      <c r="A488" s="5" t="s">
        <v>803</v>
      </c>
      <c r="B488" s="0" t="s">
        <v>86</v>
      </c>
      <c r="F488" s="38" t="n">
        <f aca="false">MAX(0,min_cash-Sens!$F$487)</f>
        <v>0</v>
      </c>
      <c r="G488" s="38" t="n">
        <f aca="false">Sens!$F$488</f>
        <v>0</v>
      </c>
      <c r="H488" s="38" t="n">
        <f aca="false">MAX(0,min_cash-Sens!$H$487)</f>
        <v>23.4022979886645</v>
      </c>
      <c r="I488" s="38" t="n">
        <f aca="false">MAX(0,min_cash-Sens!$I$487)</f>
        <v>30.2828969695217</v>
      </c>
      <c r="J488" s="38" t="n">
        <f aca="false">MAX(0,min_cash-Sens!$J$487)</f>
        <v>0</v>
      </c>
      <c r="K488" s="38" t="n">
        <f aca="false">MAX(0,min_cash-Sens!$K$487)</f>
        <v>0</v>
      </c>
      <c r="L488" s="38" t="n">
        <f aca="false">MAX(0,min_cash-Sens!$L$487)</f>
        <v>0</v>
      </c>
      <c r="M488" s="38" t="n">
        <f aca="false">MAX(0,min_cash-Sens!$M$487)</f>
        <v>0</v>
      </c>
      <c r="P488" s="5" t="s">
        <v>804</v>
      </c>
    </row>
    <row r="489" customFormat="false" ht="15" hidden="false" customHeight="false" outlineLevel="0" collapsed="false">
      <c r="A489" s="5" t="s">
        <v>805</v>
      </c>
      <c r="B489" s="0" t="s">
        <v>86</v>
      </c>
      <c r="D489" s="38" t="n">
        <f aca="false">Q!$E$61</f>
        <v>123.029</v>
      </c>
      <c r="E489" s="38" t="n">
        <f aca="false">Q!$M$61</f>
        <v>122.988</v>
      </c>
      <c r="F489" s="38" t="n">
        <f aca="false">Sens!$F$487+Sens!$F$488</f>
        <v>88.7892011268118</v>
      </c>
      <c r="G489" s="38" t="n">
        <f aca="false">Sens!$F$489</f>
        <v>88.7892011268118</v>
      </c>
      <c r="H489" s="38" t="n">
        <f aca="false">Sens!$H$487+Sens!$H$488</f>
        <v>50</v>
      </c>
      <c r="I489" s="38" t="n">
        <f aca="false">Sens!$I$487+Sens!$I$488</f>
        <v>50</v>
      </c>
      <c r="J489" s="38" t="n">
        <f aca="false">Sens!$J$487+Sens!$J$488</f>
        <v>53.1384342314459</v>
      </c>
      <c r="K489" s="38" t="n">
        <f aca="false">Sens!$K$487+Sens!$K$488</f>
        <v>146.90703893039</v>
      </c>
      <c r="L489" s="38" t="n">
        <f aca="false">Sens!$L$487+Sens!$L$488</f>
        <v>295.03275354583</v>
      </c>
      <c r="M489" s="38" t="n">
        <f aca="false">Sens!$M$487+Sens!$M$488</f>
        <v>469.599889617967</v>
      </c>
    </row>
    <row r="490" customFormat="false" ht="15" hidden="false" customHeight="false" outlineLevel="0" collapsed="false">
      <c r="A490" s="5" t="s">
        <v>806</v>
      </c>
      <c r="B490" s="0" t="s">
        <v>86</v>
      </c>
      <c r="D490" s="38" t="n">
        <f aca="false">Q!$E$62</f>
        <v>68.836</v>
      </c>
      <c r="E490" s="38" t="n">
        <f aca="false">Q!$M$62</f>
        <v>132.995</v>
      </c>
      <c r="F490" s="38" t="n">
        <f aca="false">debt_q2+Sens!$F$485+Sens!$F$488</f>
        <v>162.244999</v>
      </c>
      <c r="G490" s="38" t="n">
        <f aca="false">Sens!$F$490</f>
        <v>162.244999</v>
      </c>
      <c r="H490" s="38" t="n">
        <f aca="false">Sens!$G$490+Sens!$H$488</f>
        <v>185.647296988665</v>
      </c>
      <c r="I490" s="38" t="n">
        <f aca="false">Sens!$H$490+Sens!$I$488</f>
        <v>215.930193958186</v>
      </c>
      <c r="J490" s="38" t="n">
        <f aca="false">Sens!$I$490+Sens!$J$488</f>
        <v>215.930193958186</v>
      </c>
      <c r="K490" s="38" t="n">
        <f aca="false">Sens!$J$490+Sens!$K$488</f>
        <v>215.930193958186</v>
      </c>
      <c r="L490" s="38" t="n">
        <f aca="false">Sens!$K$490+Sens!$L$488</f>
        <v>215.930193958186</v>
      </c>
      <c r="M490" s="38" t="n">
        <f aca="false">Sens!$L$490+Sens!$M$488</f>
        <v>215.930193958186</v>
      </c>
    </row>
    <row r="491" customFormat="false" ht="15" hidden="false" customHeight="false" outlineLevel="0" collapsed="false">
      <c r="A491" s="5" t="s">
        <v>807</v>
      </c>
      <c r="B491" s="0" t="s">
        <v>86</v>
      </c>
      <c r="D491" s="38" t="n">
        <f aca="false">Sens!$D$490-Sens!$D$489</f>
        <v>-54.193</v>
      </c>
      <c r="E491" s="38" t="n">
        <f aca="false">Sens!$E$490-Sens!$E$489</f>
        <v>10.007</v>
      </c>
      <c r="F491" s="38" t="n">
        <f aca="false">Sens!$F$490-Sens!$F$489</f>
        <v>73.4557978731883</v>
      </c>
      <c r="G491" s="38" t="n">
        <f aca="false">Sens!$G$490-Sens!$G$489</f>
        <v>73.4557978731883</v>
      </c>
      <c r="H491" s="38" t="n">
        <f aca="false">Sens!$H$490-Sens!$H$489</f>
        <v>135.647296988665</v>
      </c>
      <c r="I491" s="38" t="n">
        <f aca="false">Sens!$I$490-Sens!$I$489</f>
        <v>165.930193958186</v>
      </c>
      <c r="J491" s="38" t="n">
        <f aca="false">Sens!$J$490-Sens!$J$489</f>
        <v>162.79175972674</v>
      </c>
      <c r="K491" s="38" t="n">
        <f aca="false">Sens!$K$490-Sens!$K$489</f>
        <v>69.0231550277961</v>
      </c>
      <c r="L491" s="38" t="n">
        <f aca="false">Sens!$L$490-Sens!$L$489</f>
        <v>-79.1025595876434</v>
      </c>
      <c r="M491" s="38" t="n">
        <f aca="false">Sens!$M$490-Sens!$M$489</f>
        <v>-253.66969565978</v>
      </c>
    </row>
    <row r="492" customFormat="false" ht="17.15" hidden="false" customHeight="false" outlineLevel="0" collapsed="false">
      <c r="A492" s="5" t="s">
        <v>808</v>
      </c>
      <c r="B492" s="0" t="s">
        <v>86</v>
      </c>
      <c r="F492" s="38" t="n">
        <f aca="false">debt_q2*kd_book*0.5+iss_2h26*kd_new*iss_t</f>
        <v>3.24888962733561</v>
      </c>
      <c r="H492" s="38" t="n">
        <f aca="false">debt_q2*kd_book+(Sens!$G$490-debt_q2)*kd_new</f>
        <v>7.42354172302123</v>
      </c>
      <c r="I492" s="38" t="n">
        <f aca="false">debt_q2*kd_book+(Sens!$H$490-debt_q2)*kd_new</f>
        <v>8.90490718570369</v>
      </c>
      <c r="J492" s="38" t="n">
        <f aca="false">debt_q2*kd_book+(Sens!$I$490-debt_q2)*kd_new</f>
        <v>10.8218145638744</v>
      </c>
      <c r="K492" s="38" t="n">
        <f aca="false">debt_q2*kd_book+(Sens!$J$490-debt_q2)*kd_new</f>
        <v>10.8218145638744</v>
      </c>
      <c r="L492" s="38" t="n">
        <f aca="false">debt_q2*kd_book+(Sens!$K$490-debt_q2)*kd_new</f>
        <v>10.8218145638744</v>
      </c>
      <c r="M492" s="38" t="n">
        <f aca="false">debt_q2*kd_book+(Sens!$L$490-debt_q2)*kd_new</f>
        <v>10.8218145638744</v>
      </c>
    </row>
    <row r="493" customFormat="false" ht="17.15" hidden="false" customHeight="false" outlineLevel="0" collapsed="false">
      <c r="A493" s="5" t="s">
        <v>809</v>
      </c>
      <c r="B493" s="0" t="s">
        <v>86</v>
      </c>
      <c r="F493" s="38" t="n">
        <f aca="false">cash_q2*y_cash*0.5</f>
        <v>2.59</v>
      </c>
      <c r="H493" s="38" t="n">
        <f aca="false">Sens!$G$489*y_cash</f>
        <v>3.73961737597883</v>
      </c>
      <c r="I493" s="38" t="n">
        <f aca="false">Sens!$H$489*y_cash</f>
        <v>2.10589651022864</v>
      </c>
      <c r="J493" s="38" t="n">
        <f aca="false">Sens!$I$489*y_cash</f>
        <v>2.10589651022864</v>
      </c>
      <c r="K493" s="38" t="n">
        <f aca="false">Sens!$J$489*y_cash</f>
        <v>2.23808086414032</v>
      </c>
      <c r="L493" s="38" t="n">
        <f aca="false">Sens!$K$489*y_cash</f>
        <v>6.18742041223063</v>
      </c>
      <c r="M493" s="38" t="n">
        <f aca="false">Sens!$L$489*y_cash</f>
        <v>12.4261689219062</v>
      </c>
    </row>
    <row r="494" customFormat="false" ht="17.15" hidden="false" customHeight="false" outlineLevel="0" collapsed="false">
      <c r="A494" s="47" t="s">
        <v>810</v>
      </c>
      <c r="B494" s="14" t="s">
        <v>86</v>
      </c>
      <c r="C494" s="14"/>
      <c r="D494" s="14"/>
      <c r="E494" s="14"/>
      <c r="F494" s="14"/>
      <c r="G494" s="48" t="n">
        <f aca="false">SUM(Sens!$G$483:$K$483)</f>
        <v>-63.4071550277961</v>
      </c>
      <c r="H494" s="14"/>
      <c r="I494" s="14"/>
      <c r="J494" s="14"/>
      <c r="K494" s="14"/>
      <c r="L494" s="14"/>
      <c r="M494" s="14"/>
      <c r="N494" s="14"/>
      <c r="O494" s="14"/>
    </row>
    <row r="495" customFormat="false" ht="17.15" hidden="false" customHeight="false" outlineLevel="0" collapsed="false">
      <c r="A495" s="0" t="s">
        <v>776</v>
      </c>
      <c r="B495" s="0" t="s">
        <v>86</v>
      </c>
      <c r="G495" s="38" t="n">
        <f aca="false">SUM(Sens!$G$488:$K$488)</f>
        <v>53.6851949581862</v>
      </c>
    </row>
    <row r="496" customFormat="false" ht="17.15" hidden="false" customHeight="false" outlineLevel="0" collapsed="false">
      <c r="A496" s="24" t="s">
        <v>813</v>
      </c>
      <c r="B496" s="25" t="s">
        <v>86</v>
      </c>
      <c r="C496" s="25"/>
      <c r="D496" s="25"/>
      <c r="E496" s="25"/>
      <c r="F496" s="25"/>
      <c r="G496" s="41" t="n">
        <f aca="false">Sens!$G$494-(Sens!$G$483+Sens!$H$483+Sens!$I$483+Sens!$J$483+Sens!$K$483)</f>
        <v>0</v>
      </c>
      <c r="H496" s="25"/>
      <c r="I496" s="25"/>
      <c r="J496" s="25"/>
      <c r="K496" s="25"/>
      <c r="L496" s="25"/>
      <c r="M496" s="25"/>
      <c r="N496" s="25"/>
      <c r="O496" s="25"/>
    </row>
    <row r="499" customFormat="false" ht="19.4" hidden="false" customHeight="false" outlineLevel="0" collapsed="false">
      <c r="A499" s="31" t="s">
        <v>1144</v>
      </c>
    </row>
    <row r="500" customFormat="false" ht="17.15" hidden="false" customHeight="false" outlineLevel="0" collapsed="false">
      <c r="A500" s="6" t="s">
        <v>16</v>
      </c>
      <c r="B500" s="6" t="s">
        <v>17</v>
      </c>
      <c r="C500" s="20" t="s">
        <v>497</v>
      </c>
      <c r="D500" s="20" t="s">
        <v>498</v>
      </c>
      <c r="E500" s="20" t="s">
        <v>580</v>
      </c>
      <c r="F500" s="20" t="s">
        <v>581</v>
      </c>
      <c r="G500" s="20" t="s">
        <v>582</v>
      </c>
      <c r="H500" s="20" t="s">
        <v>583</v>
      </c>
      <c r="I500" s="20" t="s">
        <v>584</v>
      </c>
      <c r="J500" s="20" t="s">
        <v>585</v>
      </c>
      <c r="K500" s="20" t="s">
        <v>586</v>
      </c>
      <c r="L500" s="20" t="s">
        <v>587</v>
      </c>
      <c r="M500" s="20" t="s">
        <v>588</v>
      </c>
      <c r="N500" s="20" t="s">
        <v>589</v>
      </c>
      <c r="O500" s="20" t="s">
        <v>590</v>
      </c>
      <c r="P500" s="6" t="s">
        <v>23</v>
      </c>
      <c r="R500" s="20" t="n">
        <v>2023</v>
      </c>
      <c r="S500" s="20" t="n">
        <v>2024</v>
      </c>
      <c r="T500" s="20" t="n">
        <v>2025</v>
      </c>
      <c r="U500" s="20" t="n">
        <v>2026</v>
      </c>
      <c r="V500" s="20" t="n">
        <v>2027</v>
      </c>
      <c r="W500" s="20" t="n">
        <v>2028</v>
      </c>
      <c r="X500" s="20" t="n">
        <v>2029</v>
      </c>
      <c r="Y500" s="20" t="n">
        <v>2030</v>
      </c>
      <c r="Z500" s="20" t="n">
        <v>2031</v>
      </c>
      <c r="AA500" s="20" t="n">
        <v>2032</v>
      </c>
    </row>
    <row r="501" customFormat="false" ht="17.15" hidden="false" customHeight="false" outlineLevel="0" collapsed="false">
      <c r="A501" s="1" t="s">
        <v>915</v>
      </c>
    </row>
    <row r="502" customFormat="false" ht="17.15" hidden="false" customHeight="false" outlineLevel="0" collapsed="false">
      <c r="A502" s="0" t="s">
        <v>916</v>
      </c>
      <c r="B502" s="0" t="s">
        <v>86</v>
      </c>
      <c r="H502" s="38" t="n">
        <f aca="false">Sens!$H$436*(1-tax)</f>
        <v>115.670747112212</v>
      </c>
      <c r="I502" s="38" t="n">
        <f aca="false">Sens!$I$436*(1-tax)</f>
        <v>134.971569014162</v>
      </c>
      <c r="J502" s="38" t="n">
        <f aca="false">Sens!$J$436*(1-tax)</f>
        <v>153.037627252858</v>
      </c>
      <c r="K502" s="38" t="n">
        <f aca="false">Sens!$K$436*(1-tax)</f>
        <v>165.059694001713</v>
      </c>
      <c r="L502" s="38" t="n">
        <f aca="false">Sens!$L$436*(1-tax)</f>
        <v>175.594988733139</v>
      </c>
      <c r="M502" s="38" t="n">
        <f aca="false">Sens!$M$436*(1-tax)</f>
        <v>184.659961166985</v>
      </c>
    </row>
    <row r="503" customFormat="false" ht="15" hidden="false" customHeight="false" outlineLevel="0" collapsed="false">
      <c r="A503" s="5" t="s">
        <v>917</v>
      </c>
      <c r="B503" s="0" t="s">
        <v>86</v>
      </c>
      <c r="H503" s="38" t="n">
        <f aca="false">Sens!$H$447</f>
        <v>78.1799395827871</v>
      </c>
      <c r="I503" s="38" t="n">
        <f aca="false">Sens!$I$447</f>
        <v>111.171125554384</v>
      </c>
      <c r="J503" s="38" t="n">
        <f aca="false">Sens!$J$447</f>
        <v>144.884406220971</v>
      </c>
      <c r="K503" s="38" t="n">
        <f aca="false">Sens!$K$447</f>
        <v>178.806419437999</v>
      </c>
      <c r="L503" s="38" t="n">
        <f aca="false">Sens!$L$447</f>
        <v>204.341339029663</v>
      </c>
      <c r="M503" s="38" t="n">
        <f aca="false">Sens!$M$447</f>
        <v>223.130577995387</v>
      </c>
    </row>
    <row r="504" customFormat="false" ht="15" hidden="false" customHeight="false" outlineLevel="0" collapsed="false">
      <c r="A504" s="5" t="s">
        <v>918</v>
      </c>
      <c r="B504" s="0" t="s">
        <v>86</v>
      </c>
      <c r="H504" s="38" t="n">
        <f aca="false">Sens!$H$478</f>
        <v>273.372679834898</v>
      </c>
      <c r="I504" s="38" t="n">
        <f aca="false">Sens!$I$478</f>
        <v>286.981812228425</v>
      </c>
      <c r="J504" s="38" t="n">
        <f aca="false">Sens!$J$478</f>
        <v>299.316513378366</v>
      </c>
      <c r="K504" s="38" t="n">
        <f aca="false">Sens!$K$478</f>
        <v>251.057145512292</v>
      </c>
      <c r="L504" s="38" t="n">
        <f aca="false">Sens!$L$478</f>
        <v>234.696330860396</v>
      </c>
      <c r="M504" s="38" t="n">
        <f aca="false">Sens!$M$478</f>
        <v>242.291696043352</v>
      </c>
    </row>
    <row r="505" customFormat="false" ht="15" hidden="false" customHeight="false" outlineLevel="0" collapsed="false">
      <c r="A505" s="5" t="s">
        <v>919</v>
      </c>
      <c r="B505" s="0" t="s">
        <v>86</v>
      </c>
      <c r="H505" s="38" t="n">
        <f aca="false">Sens!$H$479</f>
        <v>1.6</v>
      </c>
      <c r="I505" s="38" t="n">
        <f aca="false">Sens!$I$479</f>
        <v>1.6</v>
      </c>
      <c r="J505" s="38" t="n">
        <f aca="false">Sens!$J$479</f>
        <v>1.6</v>
      </c>
      <c r="K505" s="38" t="n">
        <f aca="false">Sens!$K$479</f>
        <v>1.6</v>
      </c>
      <c r="L505" s="38" t="n">
        <f aca="false">Sens!$L$479</f>
        <v>1.6</v>
      </c>
      <c r="M505" s="38" t="n">
        <f aca="false">Sens!$M$479</f>
        <v>1.6</v>
      </c>
    </row>
    <row r="506" customFormat="false" ht="15" hidden="false" customHeight="false" outlineLevel="0" collapsed="false">
      <c r="A506" s="5" t="s">
        <v>920</v>
      </c>
      <c r="B506" s="0" t="s">
        <v>86</v>
      </c>
      <c r="H506" s="38" t="n">
        <f aca="false">Sens!$H$473</f>
        <v>11.2120102974955</v>
      </c>
      <c r="I506" s="38" t="n">
        <f aca="false">Sens!$I$473</f>
        <v>12.6449184745984</v>
      </c>
      <c r="J506" s="38" t="n">
        <f aca="false">Sens!$J$473</f>
        <v>14.0125411741132</v>
      </c>
      <c r="K506" s="38" t="n">
        <f aca="false">Sens!$K$473</f>
        <v>15.2132574586644</v>
      </c>
      <c r="L506" s="38" t="n">
        <f aca="false">Sens!$L$473</f>
        <v>16.3540915184104</v>
      </c>
      <c r="M506" s="38" t="n">
        <f aca="false">Sens!$M$473</f>
        <v>17.4394166742486</v>
      </c>
    </row>
    <row r="507" customFormat="false" ht="17.15" hidden="false" customHeight="false" outlineLevel="0" collapsed="false">
      <c r="A507" s="1" t="s">
        <v>921</v>
      </c>
      <c r="B507" s="8" t="s">
        <v>86</v>
      </c>
      <c r="H507" s="38" t="n">
        <f aca="false">Sens!$H$502+Sens!$H$503-Sens!$H$504+Sens!$H$506</f>
        <v>-68.3099828424037</v>
      </c>
      <c r="I507" s="38" t="n">
        <f aca="false">Sens!$I$502+Sens!$I$503-Sens!$I$504+Sens!$I$506</f>
        <v>-28.1941991852805</v>
      </c>
      <c r="J507" s="38" t="n">
        <f aca="false">Sens!$J$502+Sens!$J$503-Sens!$J$504+Sens!$J$506</f>
        <v>12.6180612695765</v>
      </c>
      <c r="K507" s="38" t="n">
        <f aca="false">Sens!$K$502+Sens!$K$503-Sens!$K$504+Sens!$K$506</f>
        <v>108.022225386085</v>
      </c>
      <c r="L507" s="38" t="n">
        <f aca="false">Sens!$L$502+Sens!$L$503-Sens!$L$504+Sens!$L$506</f>
        <v>161.594088420816</v>
      </c>
      <c r="M507" s="38" t="n">
        <f aca="false">Sens!$M$502+Sens!$M$503-Sens!$M$504+Sens!$M$506</f>
        <v>182.938259793268</v>
      </c>
    </row>
    <row r="508" customFormat="false" ht="15" hidden="false" customHeight="false" outlineLevel="0" collapsed="false">
      <c r="A508" s="5" t="s">
        <v>922</v>
      </c>
      <c r="B508" s="0" t="s">
        <v>57</v>
      </c>
      <c r="H508" s="40" t="n">
        <f aca="false">1/(1+wacc)^(2027-2026-0.5)</f>
        <v>0.947751320380232</v>
      </c>
      <c r="I508" s="40" t="n">
        <f aca="false">1/(1+wacc)^(2028-2026-0.5)</f>
        <v>0.851301099754987</v>
      </c>
      <c r="J508" s="40" t="n">
        <f aca="false">1/(1+wacc)^(2029-2026-0.5)</f>
        <v>0.764666370660713</v>
      </c>
      <c r="K508" s="40" t="n">
        <f aca="false">1/(1+wacc)^(2030-2026-0.5)</f>
        <v>0.686848235703811</v>
      </c>
      <c r="L508" s="40" t="n">
        <f aca="false">1/(1+wacc)^(2031-2026-0.5)</f>
        <v>0.616949452715975</v>
      </c>
      <c r="M508" s="40" t="n">
        <f aca="false">1/(1+wacc)^(2032-2026-0.5)</f>
        <v>0.554164089562688</v>
      </c>
    </row>
    <row r="509" customFormat="false" ht="15" hidden="false" customHeight="false" outlineLevel="0" collapsed="false">
      <c r="A509" s="5" t="s">
        <v>923</v>
      </c>
      <c r="B509" s="0" t="s">
        <v>86</v>
      </c>
      <c r="H509" s="38" t="n">
        <f aca="false">Sens!$H$507*Sens!$H$508</f>
        <v>-64.7408764340391</v>
      </c>
      <c r="I509" s="38" t="n">
        <f aca="false">Sens!$I$507*Sens!$I$508</f>
        <v>-24.0017527731405</v>
      </c>
      <c r="J509" s="38" t="n">
        <f aca="false">Sens!$J$507*Sens!$J$508</f>
        <v>9.64860711578156</v>
      </c>
      <c r="K509" s="38" t="n">
        <f aca="false">Sens!$K$507*Sens!$K$508</f>
        <v>74.1948749232317</v>
      </c>
      <c r="L509" s="38" t="n">
        <f aca="false">Sens!$L$507*Sens!$L$508</f>
        <v>99.6953844133594</v>
      </c>
      <c r="M509" s="38" t="n">
        <f aca="false">Sens!$M$507*Sens!$M$508</f>
        <v>101.377814184519</v>
      </c>
    </row>
    <row r="510" customFormat="false" ht="15" hidden="false" customHeight="false" outlineLevel="0" collapsed="false">
      <c r="A510" s="5" t="s">
        <v>924</v>
      </c>
      <c r="B510" s="0" t="s">
        <v>86</v>
      </c>
      <c r="C510" s="38" t="n">
        <f aca="false">SUM(Sens!$H$509:$M$509)</f>
        <v>196.174051429712</v>
      </c>
    </row>
    <row r="511" customFormat="false" ht="17.15" hidden="false" customHeight="false" outlineLevel="0" collapsed="false">
      <c r="A511" s="5" t="s">
        <v>925</v>
      </c>
      <c r="B511" s="0" t="s">
        <v>86</v>
      </c>
      <c r="C511" s="38" t="n">
        <f aca="false">Sens!$M$502*(1+tg)*(1-tg/ronic)/(wacc-tg)</f>
        <v>1678.76510611581</v>
      </c>
    </row>
    <row r="512" customFormat="false" ht="15" hidden="false" customHeight="false" outlineLevel="0" collapsed="false">
      <c r="A512" s="5" t="s">
        <v>926</v>
      </c>
      <c r="B512" s="0" t="s">
        <v>86</v>
      </c>
      <c r="C512" s="38" t="n">
        <f aca="false">Sens!$C$511/(1+wacc)^6</f>
        <v>881.703797646566</v>
      </c>
    </row>
    <row r="513" customFormat="false" ht="17.15" hidden="false" customHeight="false" outlineLevel="0" collapsed="false">
      <c r="A513" s="5" t="s">
        <v>927</v>
      </c>
      <c r="B513" s="0" t="s">
        <v>86</v>
      </c>
      <c r="C513" s="38" t="n">
        <f aca="false">Sens!$C$510+Sens!$C$512</f>
        <v>1077.87784907628</v>
      </c>
    </row>
    <row r="514" customFormat="false" ht="17.15" hidden="false" customHeight="false" outlineLevel="0" collapsed="false">
      <c r="A514" s="5" t="s">
        <v>928</v>
      </c>
      <c r="B514" s="0" t="s">
        <v>52</v>
      </c>
      <c r="C514" s="13" t="n">
        <f aca="false">Sens!$C$512/Sens!$C$513</f>
        <v>0.817999737541847</v>
      </c>
    </row>
    <row r="515" customFormat="false" ht="17.15" hidden="false" customHeight="false" outlineLevel="0" collapsed="false">
      <c r="A515" s="5" t="s">
        <v>929</v>
      </c>
      <c r="B515" s="0" t="s">
        <v>86</v>
      </c>
      <c r="C515" s="38" t="n">
        <f aca="false">Sens!$G$491+fin_debt</f>
        <v>97.9767978731883</v>
      </c>
    </row>
    <row r="516" customFormat="false" ht="17.15" hidden="false" customHeight="false" outlineLevel="0" collapsed="false">
      <c r="A516" s="5" t="s">
        <v>930</v>
      </c>
      <c r="B516" s="0" t="s">
        <v>86</v>
      </c>
      <c r="C516" s="38" t="n">
        <f aca="false">(ant_val*ant_sh+oai_val*oai_sh)*(1-liq_disc)</f>
        <v>178.944</v>
      </c>
    </row>
    <row r="517" customFormat="false" ht="15" hidden="false" customHeight="false" outlineLevel="0" collapsed="false">
      <c r="A517" s="5" t="s">
        <v>931</v>
      </c>
      <c r="B517" s="0" t="s">
        <v>86</v>
      </c>
      <c r="C517" s="38" t="n">
        <f aca="false">Sens!$C$513-Sens!$C$515+Sens!$C$516</f>
        <v>1158.84505120309</v>
      </c>
    </row>
    <row r="518" customFormat="false" ht="17.15" hidden="false" customHeight="false" outlineLevel="0" collapsed="false">
      <c r="A518" s="5" t="s">
        <v>932</v>
      </c>
      <c r="B518" s="0" t="s">
        <v>27</v>
      </c>
      <c r="C518" s="30" t="n">
        <f aca="false">Sens!$C$517/sh_out</f>
        <v>107.436613768437</v>
      </c>
    </row>
    <row r="519" customFormat="false" ht="17.15" hidden="false" customHeight="false" outlineLevel="0" collapsed="false">
      <c r="A519" s="1" t="s">
        <v>933</v>
      </c>
      <c r="B519" s="8" t="s">
        <v>27</v>
      </c>
      <c r="C519" s="30" t="n">
        <f aca="false">Sens!$C$518*(1+ke)^tp_yf-dps*tp_yf</f>
        <v>117.682719692674</v>
      </c>
    </row>
    <row r="520" customFormat="false" ht="17.15" hidden="false" customHeight="false" outlineLevel="0" collapsed="false">
      <c r="A520" s="3" t="s">
        <v>934</v>
      </c>
    </row>
    <row r="521" customFormat="false" ht="17.15" hidden="false" customHeight="false" outlineLevel="0" collapsed="false">
      <c r="A521" s="5" t="s">
        <v>935</v>
      </c>
      <c r="B521" s="0" t="s">
        <v>86</v>
      </c>
      <c r="C521" s="38" t="n">
        <f aca="false">(1-tp_yf)*(Sens!$H$448+sbc_ab*Sens!$H$472*Sens!$H$312/Sens!$H$389)+tp_yf*(Sens!$I$448+sbc_ab*Sens!$I$472*Sens!$I$312/Sens!$I$389)</f>
        <v>59.634664536349</v>
      </c>
    </row>
    <row r="522" customFormat="false" ht="15" hidden="false" customHeight="false" outlineLevel="0" collapsed="false">
      <c r="A522" s="5" t="s">
        <v>936</v>
      </c>
      <c r="B522" s="0" t="s">
        <v>57</v>
      </c>
      <c r="C522" s="30" t="n">
        <f aca="false">m_ads*m_x</f>
        <v>9.11</v>
      </c>
    </row>
    <row r="523" customFormat="false" ht="17.15" hidden="false" customHeight="false" outlineLevel="0" collapsed="false">
      <c r="A523" s="5" t="s">
        <v>937</v>
      </c>
      <c r="B523" s="0" t="s">
        <v>86</v>
      </c>
      <c r="C523" s="38" t="n">
        <f aca="false">Sens!$C$521*Sens!$C$522</f>
        <v>543.271793926139</v>
      </c>
    </row>
    <row r="524" customFormat="false" ht="17.15" hidden="false" customHeight="false" outlineLevel="0" collapsed="false">
      <c r="A524" s="5" t="s">
        <v>938</v>
      </c>
      <c r="B524" s="0" t="s">
        <v>86</v>
      </c>
      <c r="C524" s="38" t="n">
        <f aca="false">(1-tp_yf)*(Sens!$H$449+sbc_ab*Sens!$H$472*(Sens!$H$319-Sens!$H$312)/Sens!$H$389+IF(internal_ai_reading=2,1,0)*(1-ext_sh)*Sens!$H$349)+tp_yf*(Sens!$I$449+sbc_ab*Sens!$I$472*(Sens!$I$319-Sens!$I$312)/Sens!$I$389+IF(internal_ai_reading=2,1,0)*(1-ext_sh)*Sens!$I$349)</f>
        <v>51.2224827206816</v>
      </c>
    </row>
    <row r="525" customFormat="false" ht="17.15" hidden="false" customHeight="false" outlineLevel="0" collapsed="false">
      <c r="A525" s="5" t="s">
        <v>939</v>
      </c>
      <c r="B525" s="0" t="s">
        <v>57</v>
      </c>
      <c r="C525" s="30" t="n">
        <f aca="false">m_retail*m_x</f>
        <v>17.72</v>
      </c>
    </row>
    <row r="526" customFormat="false" ht="17.15" hidden="false" customHeight="false" outlineLevel="0" collapsed="false">
      <c r="A526" s="5" t="s">
        <v>940</v>
      </c>
      <c r="B526" s="0" t="s">
        <v>86</v>
      </c>
      <c r="C526" s="38" t="n">
        <f aca="false">Sens!$C$524*Sens!$C$525</f>
        <v>907.662393810478</v>
      </c>
    </row>
    <row r="527" customFormat="false" ht="17.15" hidden="false" customHeight="false" outlineLevel="0" collapsed="false">
      <c r="A527" s="0" t="s">
        <v>941</v>
      </c>
      <c r="B527" s="0" t="s">
        <v>86</v>
      </c>
      <c r="C527" s="38" t="n">
        <f aca="false">(1-tp_yf)*(Sens!$H$450+sbc_ab*Sens!$H$472*Sens!$H$387/Sens!$H$389)+tp_yf*(Sens!$I$450+sbc_ab*Sens!$I$472*Sens!$I$387/Sens!$I$389)</f>
        <v>96.2439586897193</v>
      </c>
    </row>
    <row r="528" customFormat="false" ht="17.15" hidden="false" customHeight="false" outlineLevel="0" collapsed="false">
      <c r="A528" s="0" t="s">
        <v>942</v>
      </c>
      <c r="B528" s="0" t="s">
        <v>57</v>
      </c>
      <c r="C528" s="30" t="n">
        <f aca="false">m_cloud*m_x</f>
        <v>13.82</v>
      </c>
    </row>
    <row r="529" customFormat="false" ht="17.15" hidden="false" customHeight="false" outlineLevel="0" collapsed="false">
      <c r="A529" s="0" t="s">
        <v>943</v>
      </c>
      <c r="B529" s="0" t="s">
        <v>86</v>
      </c>
      <c r="C529" s="38" t="n">
        <f aca="false">Sens!$C$527*Sens!$C$528</f>
        <v>1330.09150909192</v>
      </c>
    </row>
    <row r="530" customFormat="false" ht="17.15" hidden="false" customHeight="false" outlineLevel="0" collapsed="false">
      <c r="A530" s="0" t="s">
        <v>944</v>
      </c>
      <c r="B530" s="0" t="s">
        <v>86</v>
      </c>
      <c r="H530" s="38" t="n">
        <f aca="false">Sens!$H$368-tax*Sens!$H$369-ext_sh*Sens!$H$356</f>
        <v>-121.458410078612</v>
      </c>
      <c r="I530" s="38" t="n">
        <f aca="false">Sens!$I$368-tax*Sens!$I$369-ext_sh*Sens!$I$356</f>
        <v>-100.918672435092</v>
      </c>
      <c r="J530" s="38" t="n">
        <f aca="false">Sens!$J$368-tax*Sens!$J$369-ext_sh*Sens!$J$356</f>
        <v>-79.4539558931516</v>
      </c>
      <c r="K530" s="38" t="n">
        <f aca="false">Sens!$K$368-tax*Sens!$K$369-ext_sh*Sens!$K$356</f>
        <v>-13.1726252654488</v>
      </c>
      <c r="L530" s="38" t="n">
        <f aca="false">Sens!$L$368-tax*Sens!$L$369-ext_sh*Sens!$L$356</f>
        <v>20.4254820093419</v>
      </c>
      <c r="M530" s="38" t="n">
        <f aca="false">Sens!$M$368-tax*Sens!$M$369-ext_sh*Sens!$M$356</f>
        <v>27.9297337116591</v>
      </c>
    </row>
    <row r="531" customFormat="false" ht="17.15" hidden="false" customHeight="false" outlineLevel="0" collapsed="false">
      <c r="A531" s="5" t="s">
        <v>945</v>
      </c>
      <c r="B531" s="0" t="s">
        <v>86</v>
      </c>
      <c r="H531" s="38" t="n">
        <f aca="false">Sens!$H$530*Sens!$H$508</f>
        <v>-115.112368523288</v>
      </c>
      <c r="I531" s="38" t="n">
        <f aca="false">Sens!$I$530*Sens!$I$508</f>
        <v>-85.9121768298074</v>
      </c>
      <c r="J531" s="38" t="n">
        <f aca="false">Sens!$J$530*Sens!$J$508</f>
        <v>-60.7557680874526</v>
      </c>
      <c r="K531" s="38" t="n">
        <f aca="false">Sens!$K$530*Sens!$K$508</f>
        <v>-9.04759442316094</v>
      </c>
      <c r="L531" s="38" t="n">
        <f aca="false">Sens!$L$530*Sens!$L$508</f>
        <v>12.6014899471235</v>
      </c>
      <c r="M531" s="38" t="n">
        <f aca="false">Sens!$M$530*Sens!$M$508</f>
        <v>15.4776554540499</v>
      </c>
    </row>
    <row r="532" customFormat="false" ht="17.15" hidden="false" customHeight="false" outlineLevel="0" collapsed="false">
      <c r="A532" s="5" t="s">
        <v>946</v>
      </c>
      <c r="B532" s="0" t="s">
        <v>86</v>
      </c>
      <c r="C532" s="38" t="n">
        <f aca="false">Sens!$M$369*(1-tax)*(1+tg)*(1-tg/ronic)/(wacc-tg)</f>
        <v>147.737295422946</v>
      </c>
    </row>
    <row r="533" customFormat="false" ht="17.15" hidden="false" customHeight="false" outlineLevel="0" collapsed="false">
      <c r="A533" s="0" t="s">
        <v>947</v>
      </c>
      <c r="B533" s="0" t="s">
        <v>86</v>
      </c>
      <c r="C533" s="38" t="n">
        <f aca="false">(SUM(Sens!$I$531:$M$531)+Sens!$C$532/(1+wacc)^6)*(1+wacc)^tp_yf</f>
        <v>-54.6583789411211</v>
      </c>
    </row>
    <row r="534" customFormat="false" ht="17.15" hidden="false" customHeight="false" outlineLevel="0" collapsed="false">
      <c r="A534" s="5" t="s">
        <v>948</v>
      </c>
      <c r="B534" s="0" t="s">
        <v>86</v>
      </c>
      <c r="C534" s="38" t="n">
        <f aca="false">(1-tp_yf)*(Sens!$H$451)+tp_yf*(Sens!$I$451)</f>
        <v>62.206266041067</v>
      </c>
    </row>
    <row r="535" customFormat="false" ht="17.15" hidden="false" customHeight="false" outlineLevel="0" collapsed="false">
      <c r="A535" s="5" t="s">
        <v>949</v>
      </c>
      <c r="B535" s="0" t="s">
        <v>86</v>
      </c>
      <c r="C535" s="38" t="n">
        <f aca="false">Sens!$C$534*m_ai</f>
        <v>373.237596246402</v>
      </c>
    </row>
    <row r="536" customFormat="false" ht="17.15" hidden="false" customHeight="false" outlineLevel="0" collapsed="false">
      <c r="A536" s="0" t="s">
        <v>950</v>
      </c>
      <c r="B536" s="0" t="s">
        <v>86</v>
      </c>
      <c r="C536" s="38" t="n">
        <f aca="false">IF(ai_leg=1,Sens!$C$533,Sens!$C$535)</f>
        <v>-54.6583789411211</v>
      </c>
    </row>
    <row r="537" customFormat="false" ht="17.15" hidden="false" customHeight="false" outlineLevel="0" collapsed="false">
      <c r="A537" s="5" t="s">
        <v>951</v>
      </c>
      <c r="B537" s="0" t="s">
        <v>86</v>
      </c>
      <c r="C537" s="38" t="n">
        <f aca="false">Sens!$C$523+Sens!$C$526+Sens!$C$529+Sens!$C$536</f>
        <v>2726.36731788742</v>
      </c>
    </row>
    <row r="538" customFormat="false" ht="17.15" hidden="false" customHeight="false" outlineLevel="0" collapsed="false">
      <c r="A538" s="5" t="s">
        <v>952</v>
      </c>
      <c r="B538" s="0" t="s">
        <v>86</v>
      </c>
      <c r="C538" s="38" t="n">
        <f aca="false">Sens!$H$491+fin_debt</f>
        <v>160.168296988665</v>
      </c>
    </row>
    <row r="539" customFormat="false" ht="15" hidden="false" customHeight="false" outlineLevel="0" collapsed="false">
      <c r="A539" s="5" t="s">
        <v>953</v>
      </c>
      <c r="B539" s="0" t="s">
        <v>86</v>
      </c>
      <c r="C539" s="38" t="n">
        <f aca="false">Sens!$C$537-Sens!$C$538+Sens!$C$516</f>
        <v>2745.14302089875</v>
      </c>
    </row>
    <row r="540" customFormat="false" ht="15" hidden="false" customHeight="false" outlineLevel="0" collapsed="false">
      <c r="A540" s="3" t="s">
        <v>954</v>
      </c>
      <c r="B540" s="8" t="s">
        <v>27</v>
      </c>
      <c r="C540" s="30" t="n">
        <f aca="false">Sens!$C$539/sh_val</f>
        <v>248.872608785095</v>
      </c>
    </row>
    <row r="541" customFormat="false" ht="17.15" hidden="false" customHeight="false" outlineLevel="0" collapsed="false">
      <c r="A541" s="47" t="s">
        <v>955</v>
      </c>
      <c r="B541" s="14" t="s">
        <v>27</v>
      </c>
      <c r="C541" s="44" t="n">
        <f aca="false">w_dcf*Sens!$C$519+(1-w_dcf)*Sens!$C$540</f>
        <v>183.277664238884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 customFormat="false" ht="17.15" hidden="false" customHeight="false" outlineLevel="0" collapsed="false">
      <c r="A542" s="5" t="s">
        <v>956</v>
      </c>
      <c r="B542" s="0" t="s">
        <v>27</v>
      </c>
      <c r="C542" s="30" t="n">
        <f aca="false">v022_wdcf*Sens!$C$519+(1-v022_wdcf)*Sens!$C$540</f>
        <v>189.837158693505</v>
      </c>
    </row>
    <row r="543" customFormat="false" ht="17.15" hidden="false" customHeight="false" outlineLevel="0" collapsed="false">
      <c r="A543" s="5" t="s">
        <v>957</v>
      </c>
      <c r="B543" s="0" t="s">
        <v>27</v>
      </c>
      <c r="C543" s="30" t="n">
        <f aca="false">(Sens!$C$539-Sens!$C$536+Sens!$C$535)/sh_val</f>
        <v>287.665337186799</v>
      </c>
    </row>
    <row r="546" customFormat="false" ht="19.4" hidden="false" customHeight="false" outlineLevel="0" collapsed="false">
      <c r="A546" s="31" t="s">
        <v>1145</v>
      </c>
    </row>
    <row r="547" customFormat="false" ht="17.15" hidden="false" customHeight="false" outlineLevel="0" collapsed="false">
      <c r="A547" s="6" t="s">
        <v>16</v>
      </c>
      <c r="B547" s="6" t="s">
        <v>17</v>
      </c>
      <c r="C547" s="20" t="s">
        <v>497</v>
      </c>
      <c r="D547" s="20" t="s">
        <v>498</v>
      </c>
      <c r="E547" s="20" t="s">
        <v>580</v>
      </c>
      <c r="F547" s="20" t="s">
        <v>581</v>
      </c>
      <c r="G547" s="20" t="s">
        <v>582</v>
      </c>
      <c r="H547" s="20" t="s">
        <v>583</v>
      </c>
      <c r="I547" s="20" t="s">
        <v>584</v>
      </c>
      <c r="J547" s="20" t="s">
        <v>585</v>
      </c>
      <c r="K547" s="20" t="s">
        <v>586</v>
      </c>
      <c r="L547" s="20" t="s">
        <v>587</v>
      </c>
      <c r="M547" s="20" t="s">
        <v>588</v>
      </c>
      <c r="N547" s="20" t="s">
        <v>589</v>
      </c>
      <c r="O547" s="20" t="s">
        <v>590</v>
      </c>
      <c r="P547" s="6" t="s">
        <v>23</v>
      </c>
      <c r="R547" s="20" t="n">
        <v>2023</v>
      </c>
      <c r="S547" s="20" t="n">
        <v>2024</v>
      </c>
      <c r="T547" s="20" t="n">
        <v>2025</v>
      </c>
      <c r="U547" s="20" t="n">
        <v>2026</v>
      </c>
      <c r="V547" s="20" t="n">
        <v>2027</v>
      </c>
      <c r="W547" s="20" t="n">
        <v>2028</v>
      </c>
      <c r="X547" s="20" t="n">
        <v>2029</v>
      </c>
      <c r="Y547" s="20" t="n">
        <v>2030</v>
      </c>
      <c r="Z547" s="20" t="n">
        <v>2031</v>
      </c>
      <c r="AA547" s="20" t="n">
        <v>2032</v>
      </c>
    </row>
    <row r="548" customFormat="false" ht="17.15" hidden="false" customHeight="false" outlineLevel="0" collapsed="false">
      <c r="A548" s="1" t="s">
        <v>666</v>
      </c>
    </row>
    <row r="549" customFormat="false" ht="17.15" hidden="false" customHeight="false" outlineLevel="0" collapsed="false">
      <c r="A549" s="0" t="s">
        <v>519</v>
      </c>
      <c r="B549" s="0" t="s">
        <v>86</v>
      </c>
      <c r="C549" s="38" t="n">
        <f aca="false">Q!$D$10</f>
        <v>247.029</v>
      </c>
      <c r="D549" s="38" t="n">
        <f aca="false">Q!$E$10</f>
        <v>269.287</v>
      </c>
      <c r="E549" s="38" t="n">
        <f aca="false">Q!$P$10</f>
        <v>134.686</v>
      </c>
      <c r="F549" s="38" t="n">
        <f aca="false">Sens!$O$549*(1+Sens!$F$550)*Sens!$F$561</f>
        <v>158.293876822267</v>
      </c>
      <c r="G549" s="38" t="n">
        <f aca="false">Sens!$E$549+Sens!$F$549</f>
        <v>292.979876822267</v>
      </c>
      <c r="H549" s="38" t="n">
        <f aca="false">Sens!$G$549*(1+Sens!$H$550)</f>
        <v>318.184543087396</v>
      </c>
      <c r="I549" s="38" t="n">
        <f aca="false">Sens!$H$549*(1+Sens!$I$550)</f>
        <v>341.736278761793</v>
      </c>
      <c r="J549" s="38" t="n">
        <f aca="false">Sens!$I$549*(1+Sens!$J$550)</f>
        <v>362.927192787048</v>
      </c>
      <c r="K549" s="38" t="n">
        <f aca="false">Sens!$J$549*(1+Sens!$K$550)</f>
        <v>381.0735524264</v>
      </c>
      <c r="L549" s="38" t="n">
        <f aca="false">Sens!$K$549*(1+Sens!$L$550)</f>
        <v>400.12723004772</v>
      </c>
      <c r="M549" s="38" t="n">
        <f aca="false">Sens!$L$549*(1+Sens!$M$550)</f>
        <v>420.133591550106</v>
      </c>
      <c r="N549" s="38" t="n">
        <f aca="false">Q!$N$10</f>
        <v>118.892</v>
      </c>
      <c r="O549" s="38" t="n">
        <f aca="false">Q!$O$10</f>
        <v>150.395</v>
      </c>
      <c r="P549" s="8" t="s">
        <v>667</v>
      </c>
    </row>
    <row r="550" customFormat="false" ht="17.15" hidden="false" customHeight="false" outlineLevel="0" collapsed="false">
      <c r="A550" s="0" t="s">
        <v>668</v>
      </c>
      <c r="B550" s="0" t="s">
        <v>52</v>
      </c>
      <c r="E550" s="13" t="n">
        <f aca="false">Sens!$E$549/Sens!$N$549-1</f>
        <v>0.132843252699929</v>
      </c>
      <c r="F550" s="13" t="n">
        <f aca="false">Sens!$O$549/(Q!$F$10+Q!$G$10)-1</f>
        <v>0.0980382135842941</v>
      </c>
      <c r="G550" s="13" t="n">
        <f aca="false">Sens!$G$549/Sens!$D$549-1</f>
        <v>0.0879837378791657</v>
      </c>
      <c r="H550" s="13" t="n">
        <f aca="false">Sens!$F$550+(g_os-Sens!$F$550)*1/4</f>
        <v>0.0860286601882206</v>
      </c>
      <c r="I550" s="13" t="n">
        <f aca="false">Sens!$F$550+(g_os-Sens!$F$550)*2/4</f>
        <v>0.074019106792147</v>
      </c>
      <c r="J550" s="13" t="n">
        <f aca="false">Sens!$F$550+(g_os-Sens!$F$550)*3/4</f>
        <v>0.0620095533960735</v>
      </c>
      <c r="K550" s="13" t="n">
        <f aca="false">Sens!$F$550+(g_os-Sens!$F$550)*4/4</f>
        <v>0.05</v>
      </c>
      <c r="L550" s="13" t="n">
        <f aca="false">g_os</f>
        <v>0.05</v>
      </c>
      <c r="M550" s="13" t="n">
        <f aca="false">g_os</f>
        <v>0.05</v>
      </c>
      <c r="P550" s="8" t="s">
        <v>669</v>
      </c>
    </row>
    <row r="551" customFormat="false" ht="17.15" hidden="false" customHeight="false" outlineLevel="0" collapsed="false">
      <c r="A551" s="0" t="s">
        <v>520</v>
      </c>
      <c r="B551" s="0" t="s">
        <v>86</v>
      </c>
      <c r="C551" s="38" t="n">
        <f aca="false">Q!$D$11</f>
        <v>21.215</v>
      </c>
      <c r="D551" s="38" t="n">
        <f aca="false">Q!$E$11</f>
        <v>22.561</v>
      </c>
      <c r="E551" s="38" t="n">
        <f aca="false">Q!$P$11</f>
        <v>11.579</v>
      </c>
      <c r="F551" s="38" t="n">
        <f aca="false">Sens!$O$551*(1+Sens!$F$552)*Sens!$F$561</f>
        <v>11.5938724610325</v>
      </c>
      <c r="G551" s="38" t="n">
        <f aca="false">Sens!$E$551+Sens!$F$551</f>
        <v>23.1728724610325</v>
      </c>
      <c r="H551" s="38" t="n">
        <f aca="false">Sens!$G$551*(1+Sens!$H$552)</f>
        <v>24.353392759506</v>
      </c>
      <c r="I551" s="38" t="n">
        <f aca="false">Sens!$H$551*(1+Sens!$I$552)</f>
        <v>25.4240338872015</v>
      </c>
      <c r="J551" s="38" t="n">
        <f aca="false">Sens!$I$551*(1+Sens!$J$552)</f>
        <v>26.3642491017174</v>
      </c>
      <c r="K551" s="38" t="n">
        <f aca="false">Sens!$J$551*(1+Sens!$K$552)</f>
        <v>27.155176574769</v>
      </c>
      <c r="L551" s="38" t="n">
        <f aca="false">Sens!$K$551*(1+Sens!$L$552)</f>
        <v>27.969831872012</v>
      </c>
      <c r="M551" s="38" t="n">
        <f aca="false">Sens!$L$551*(1+Sens!$M$552)</f>
        <v>28.8089268281724</v>
      </c>
      <c r="N551" s="38" t="n">
        <f aca="false">Q!$N$11</f>
        <v>11.128</v>
      </c>
      <c r="O551" s="38" t="n">
        <f aca="false">Q!$O$11</f>
        <v>11.433</v>
      </c>
      <c r="P551" s="8" t="s">
        <v>667</v>
      </c>
    </row>
    <row r="552" customFormat="false" ht="17.15" hidden="false" customHeight="false" outlineLevel="0" collapsed="false">
      <c r="A552" s="0" t="s">
        <v>670</v>
      </c>
      <c r="B552" s="0" t="s">
        <v>52</v>
      </c>
      <c r="E552" s="13" t="n">
        <f aca="false">Sens!$E$551/Sens!$N$551-1</f>
        <v>0.0405283968368082</v>
      </c>
      <c r="F552" s="13" t="n">
        <f aca="false">Sens!$O$551/(Q!$F$11+Q!$G$11)-1</f>
        <v>0.0579254187100955</v>
      </c>
      <c r="G552" s="13" t="n">
        <f aca="false">Sens!$G$551/Sens!$D$551-1</f>
        <v>0.0271208040881397</v>
      </c>
      <c r="H552" s="13" t="n">
        <f aca="false">Sens!$F$552+(g_ps-Sens!$F$552)*1/4</f>
        <v>0.0509440640325716</v>
      </c>
      <c r="I552" s="13" t="n">
        <f aca="false">Sens!$F$552+(g_ps-Sens!$F$552)*2/4</f>
        <v>0.0439627093550477</v>
      </c>
      <c r="J552" s="13" t="n">
        <f aca="false">Sens!$F$552+(g_ps-Sens!$F$552)*3/4</f>
        <v>0.0369813546775239</v>
      </c>
      <c r="K552" s="13" t="n">
        <f aca="false">Sens!$F$552+(g_ps-Sens!$F$552)*4/4</f>
        <v>0.03</v>
      </c>
      <c r="L552" s="13" t="n">
        <f aca="false">g_ps</f>
        <v>0.03</v>
      </c>
      <c r="M552" s="13" t="n">
        <f aca="false">g_ps</f>
        <v>0.03</v>
      </c>
      <c r="P552" s="8" t="s">
        <v>671</v>
      </c>
    </row>
    <row r="553" customFormat="false" ht="17.15" hidden="false" customHeight="false" outlineLevel="0" collapsed="false">
      <c r="A553" s="0" t="s">
        <v>521</v>
      </c>
      <c r="B553" s="0" t="s">
        <v>86</v>
      </c>
      <c r="C553" s="38" t="n">
        <f aca="false">Q!$D$12</f>
        <v>156.146</v>
      </c>
      <c r="D553" s="38" t="n">
        <f aca="false">Q!$E$12</f>
        <v>172.162</v>
      </c>
      <c r="E553" s="38" t="n">
        <f aca="false">Q!$P$12</f>
        <v>88.358</v>
      </c>
      <c r="F553" s="38" t="n">
        <f aca="false">Sens!$O$553*(1+Sens!$F$554)*Sens!$F$561</f>
        <v>102.004388260171</v>
      </c>
      <c r="G553" s="38" t="n">
        <f aca="false">Sens!$E$553+Sens!$F$553</f>
        <v>190.362388260171</v>
      </c>
      <c r="H553" s="38" t="n">
        <f aca="false">Sens!$G$553*(1+Sens!$H$554)</f>
        <v>210.343106588311</v>
      </c>
      <c r="I553" s="38" t="n">
        <f aca="false">Sens!$H$553*(1+Sens!$I$554)</f>
        <v>229.969728494648</v>
      </c>
      <c r="J553" s="38" t="n">
        <f aca="false">Sens!$I$553*(1+Sens!$J$554)</f>
        <v>248.747636972598</v>
      </c>
      <c r="K553" s="38" t="n">
        <f aca="false">Sens!$J$553*(1+Sens!$K$554)</f>
        <v>266.15997156068</v>
      </c>
      <c r="L553" s="38" t="n">
        <f aca="false">Sens!$K$553*(1+Sens!$L$554)</f>
        <v>284.791169569927</v>
      </c>
      <c r="M553" s="38" t="n">
        <f aca="false">Sens!$L$553*(1+Sens!$M$554)</f>
        <v>304.726551439822</v>
      </c>
      <c r="N553" s="38" t="n">
        <f aca="false">Q!$N$12</f>
        <v>76.86</v>
      </c>
      <c r="O553" s="38" t="n">
        <f aca="false">Q!$O$12</f>
        <v>95.302</v>
      </c>
      <c r="P553" s="8" t="s">
        <v>667</v>
      </c>
    </row>
    <row r="554" customFormat="false" ht="17.15" hidden="false" customHeight="false" outlineLevel="0" collapsed="false">
      <c r="A554" s="0" t="s">
        <v>672</v>
      </c>
      <c r="B554" s="0" t="s">
        <v>52</v>
      </c>
      <c r="E554" s="13" t="n">
        <f aca="false">Sens!$E$553/Sens!$N$553-1</f>
        <v>0.1495966692688</v>
      </c>
      <c r="F554" s="13" t="n">
        <f aca="false">Sens!$O$553/(Q!$F$12+Q!$G$12)-1</f>
        <v>0.11661530890813</v>
      </c>
      <c r="G554" s="13" t="n">
        <f aca="false">Sens!$G$553/Sens!$D$553-1</f>
        <v>0.105716640490767</v>
      </c>
      <c r="H554" s="13" t="n">
        <f aca="false">Sens!$F$554+(g_sp-Sens!$F$554)*1/4</f>
        <v>0.104961481681098</v>
      </c>
      <c r="I554" s="13" t="n">
        <f aca="false">Sens!$F$554+(g_sp-Sens!$F$554)*2/4</f>
        <v>0.0933076544540651</v>
      </c>
      <c r="J554" s="13" t="n">
        <f aca="false">Sens!$F$554+(g_sp-Sens!$F$554)*3/4</f>
        <v>0.0816538272270325</v>
      </c>
      <c r="K554" s="13" t="n">
        <f aca="false">Sens!$F$554+(g_sp-Sens!$F$554)*4/4</f>
        <v>0.07</v>
      </c>
      <c r="L554" s="13" t="n">
        <f aca="false">g_sp</f>
        <v>0.07</v>
      </c>
      <c r="M554" s="13" t="n">
        <f aca="false">g_sp</f>
        <v>0.07</v>
      </c>
      <c r="P554" s="8" t="s">
        <v>673</v>
      </c>
    </row>
    <row r="555" customFormat="false" ht="17.15" hidden="false" customHeight="false" outlineLevel="0" collapsed="false">
      <c r="A555" s="0" t="s">
        <v>522</v>
      </c>
      <c r="B555" s="0" t="s">
        <v>86</v>
      </c>
      <c r="C555" s="38" t="n">
        <f aca="false">Q!$D$13</f>
        <v>56.214</v>
      </c>
      <c r="D555" s="38" t="n">
        <f aca="false">Q!$E$13</f>
        <v>68.635</v>
      </c>
      <c r="E555" s="38" t="n">
        <f aca="false">Q!$P$13</f>
        <v>37.052</v>
      </c>
      <c r="F555" s="38" t="n">
        <f aca="false">Sens!$O$555*(1+Sens!$F$556)*Sens!$F$561</f>
        <v>46.1572219944148</v>
      </c>
      <c r="G555" s="38" t="n">
        <f aca="false">Sens!$E$555+Sens!$F$555</f>
        <v>83.2092219944148</v>
      </c>
      <c r="H555" s="38" t="n">
        <f aca="false">Sens!$G$555*(1+Sens!$H$556)</f>
        <v>99.8969223878976</v>
      </c>
      <c r="I555" s="38" t="n">
        <f aca="false">Sens!$H$555*(1+Sens!$I$556)</f>
        <v>116.583111095496</v>
      </c>
      <c r="J555" s="38" t="n">
        <f aca="false">Sens!$I$555*(1+Sens!$J$556)</f>
        <v>132.148941941952</v>
      </c>
      <c r="K555" s="38" t="n">
        <f aca="false">Sens!$J$555*(1+Sens!$K$556)</f>
        <v>145.363836136147</v>
      </c>
      <c r="L555" s="38" t="n">
        <f aca="false">Sens!$K$555*(1+Sens!$L$556)</f>
        <v>159.900219749762</v>
      </c>
      <c r="M555" s="38" t="n">
        <f aca="false">Sens!$L$555*(1+Sens!$M$556)</f>
        <v>175.890241724738</v>
      </c>
      <c r="N555" s="38" t="n">
        <f aca="false">Q!$N$13</f>
        <v>29.615</v>
      </c>
      <c r="O555" s="38" t="n">
        <f aca="false">Q!$O$13</f>
        <v>39.02</v>
      </c>
      <c r="P555" s="8" t="s">
        <v>667</v>
      </c>
    </row>
    <row r="556" customFormat="false" ht="17.15" hidden="false" customHeight="false" outlineLevel="0" collapsed="false">
      <c r="A556" s="0" t="s">
        <v>674</v>
      </c>
      <c r="B556" s="0" t="s">
        <v>52</v>
      </c>
      <c r="E556" s="13" t="n">
        <f aca="false">Sens!$E$555/Sens!$N$555-1</f>
        <v>0.25112274185379</v>
      </c>
      <c r="F556" s="13" t="n">
        <f aca="false">Sens!$O$555/(Q!$F$13+Q!$G$13)-1</f>
        <v>0.234068123596572</v>
      </c>
      <c r="G556" s="13" t="n">
        <f aca="false">Sens!$G$555/Sens!$D$555-1</f>
        <v>0.212343876949294</v>
      </c>
      <c r="H556" s="13" t="n">
        <f aca="false">Sens!$F$556+(g_ad-Sens!$F$556)*1/4</f>
        <v>0.200551092697429</v>
      </c>
      <c r="I556" s="13" t="n">
        <f aca="false">Sens!$F$556+(g_ad-Sens!$F$556)*2/4</f>
        <v>0.167034061798286</v>
      </c>
      <c r="J556" s="13" t="n">
        <f aca="false">Sens!$F$556+(g_ad-Sens!$F$556)*3/4</f>
        <v>0.133517030899143</v>
      </c>
      <c r="K556" s="13" t="n">
        <f aca="false">Sens!$F$556+(g_ad-Sens!$F$556)*4/4</f>
        <v>0.1</v>
      </c>
      <c r="L556" s="13" t="n">
        <f aca="false">g_ad</f>
        <v>0.1</v>
      </c>
      <c r="M556" s="13" t="n">
        <f aca="false">g_ad</f>
        <v>0.1</v>
      </c>
      <c r="P556" s="8" t="s">
        <v>675</v>
      </c>
    </row>
    <row r="557" customFormat="false" ht="17.15" hidden="false" customHeight="false" outlineLevel="0" collapsed="false">
      <c r="A557" s="0" t="s">
        <v>523</v>
      </c>
      <c r="B557" s="0" t="s">
        <v>86</v>
      </c>
      <c r="C557" s="38" t="n">
        <f aca="false">Q!$D$14</f>
        <v>44.374</v>
      </c>
      <c r="D557" s="38" t="n">
        <f aca="false">Q!$E$14</f>
        <v>49.619</v>
      </c>
      <c r="E557" s="38" t="n">
        <f aca="false">Q!$P$14</f>
        <v>27.157</v>
      </c>
      <c r="F557" s="38" t="n">
        <f aca="false">Sens!$O$557*(1+Sens!$F$558)*Sens!$F$561</f>
        <v>27.7764165988154</v>
      </c>
      <c r="G557" s="38" t="n">
        <f aca="false">Sens!$E$557+Sens!$F$557</f>
        <v>54.9334165988154</v>
      </c>
      <c r="H557" s="38" t="n">
        <f aca="false">Sens!$G$557*(1+Sens!$H$558)</f>
        <v>61.1564112561829</v>
      </c>
      <c r="I557" s="38" t="n">
        <f aca="false">Sens!$H$557*(1+Sens!$I$558)</f>
        <v>67.2020282103945</v>
      </c>
      <c r="J557" s="38" t="n">
        <f aca="false">Sens!$I$557*(1+Sens!$J$558)</f>
        <v>72.8757274028885</v>
      </c>
      <c r="K557" s="38" t="n">
        <f aca="false">Sens!$J$557*(1+Sens!$K$558)</f>
        <v>77.9770283210907</v>
      </c>
      <c r="L557" s="38" t="n">
        <f aca="false">Sens!$K$557*(1+Sens!$L$558)</f>
        <v>83.4354203035671</v>
      </c>
      <c r="M557" s="38" t="n">
        <f aca="false">Sens!$L$557*(1+Sens!$M$558)</f>
        <v>89.2758997248168</v>
      </c>
      <c r="N557" s="38" t="n">
        <f aca="false">Q!$N$14</f>
        <v>23.923</v>
      </c>
      <c r="O557" s="38" t="n">
        <f aca="false">Q!$O$14</f>
        <v>25.696</v>
      </c>
      <c r="P557" s="8" t="s">
        <v>667</v>
      </c>
    </row>
    <row r="558" customFormat="false" ht="17.15" hidden="false" customHeight="false" outlineLevel="0" collapsed="false">
      <c r="A558" s="0" t="s">
        <v>676</v>
      </c>
      <c r="B558" s="0" t="s">
        <v>52</v>
      </c>
      <c r="E558" s="13" t="n">
        <f aca="false">Sens!$E$557/Sens!$N$557-1</f>
        <v>0.135183714417088</v>
      </c>
      <c r="F558" s="13" t="n">
        <f aca="false">Sens!$O$557/(Q!$F$14+Q!$G$14)-1</f>
        <v>0.127709997366804</v>
      </c>
      <c r="G558" s="13" t="n">
        <f aca="false">Sens!$G$557/Sens!$D$557-1</f>
        <v>0.107104468022641</v>
      </c>
      <c r="H558" s="13" t="n">
        <f aca="false">Sens!$F$558+(g_sub-Sens!$F$558)*1/4</f>
        <v>0.113282498025103</v>
      </c>
      <c r="I558" s="13" t="n">
        <f aca="false">Sens!$F$558+(g_sub-Sens!$F$558)*2/4</f>
        <v>0.0988549986834021</v>
      </c>
      <c r="J558" s="13" t="n">
        <f aca="false">Sens!$F$558+(g_sub-Sens!$F$558)*3/4</f>
        <v>0.084427499341701</v>
      </c>
      <c r="K558" s="13" t="n">
        <f aca="false">Sens!$F$558+(g_sub-Sens!$F$558)*4/4</f>
        <v>0.07</v>
      </c>
      <c r="L558" s="13" t="n">
        <f aca="false">g_sub</f>
        <v>0.07</v>
      </c>
      <c r="M558" s="13" t="n">
        <f aca="false">g_sub</f>
        <v>0.07</v>
      </c>
      <c r="P558" s="8" t="s">
        <v>677</v>
      </c>
    </row>
    <row r="559" customFormat="false" ht="17.15" hidden="false" customHeight="false" outlineLevel="0" collapsed="false">
      <c r="A559" s="0" t="s">
        <v>524</v>
      </c>
      <c r="B559" s="0" t="s">
        <v>86</v>
      </c>
      <c r="C559" s="38" t="n">
        <f aca="false">Q!$D$15</f>
        <v>5.425</v>
      </c>
      <c r="D559" s="38" t="n">
        <f aca="false">Q!$E$15</f>
        <v>5.935</v>
      </c>
      <c r="E559" s="38" t="n">
        <f aca="false">Q!$P$15</f>
        <v>3.474</v>
      </c>
      <c r="F559" s="38" t="n">
        <f aca="false">Sens!$O$559*(1+Sens!$F$560)*Sens!$F$561</f>
        <v>3.22246550883619</v>
      </c>
      <c r="G559" s="38" t="n">
        <f aca="false">Sens!$E$559+Sens!$F$559</f>
        <v>6.69646550883619</v>
      </c>
      <c r="H559" s="38" t="n">
        <f aca="false">Sens!$G$559*(1+Sens!$H$560)</f>
        <v>7.16251344209196</v>
      </c>
      <c r="I559" s="38" t="n">
        <f aca="false">Sens!$H$559*(1+Sens!$I$560)</f>
        <v>7.61421070299826</v>
      </c>
      <c r="J559" s="38" t="n">
        <f aca="false">Sens!$I$559*(1+Sens!$J$560)</f>
        <v>8.04465753523932</v>
      </c>
      <c r="K559" s="38" t="n">
        <f aca="false">Sens!$J$559*(1+Sens!$K$560)</f>
        <v>8.44689041200128</v>
      </c>
      <c r="L559" s="38" t="n">
        <f aca="false">Sens!$K$559*(1+Sens!$L$560)</f>
        <v>8.86923493260135</v>
      </c>
      <c r="M559" s="38" t="n">
        <f aca="false">Sens!$L$559*(1+Sens!$M$560)</f>
        <v>9.31269667923142</v>
      </c>
      <c r="N559" s="38" t="n">
        <f aca="false">Q!$N$15</f>
        <v>2.811</v>
      </c>
      <c r="O559" s="38" t="n">
        <f aca="false">Q!$O$15</f>
        <v>3.124</v>
      </c>
      <c r="P559" s="8" t="s">
        <v>667</v>
      </c>
    </row>
    <row r="560" customFormat="false" ht="17.15" hidden="false" customHeight="false" outlineLevel="0" collapsed="false">
      <c r="A560" s="0" t="s">
        <v>678</v>
      </c>
      <c r="B560" s="0" t="s">
        <v>52</v>
      </c>
      <c r="E560" s="13" t="n">
        <f aca="false">Sens!$E$559/Sens!$N$559-1</f>
        <v>0.235859124866596</v>
      </c>
      <c r="F560" s="13" t="n">
        <f aca="false">Sens!$O$559/(Q!$F$15+Q!$G$15)-1</f>
        <v>0.0761281433000345</v>
      </c>
      <c r="G560" s="13" t="n">
        <f aca="false">Sens!$G$559/Sens!$D$559-1</f>
        <v>0.128300843948811</v>
      </c>
      <c r="H560" s="13" t="n">
        <f aca="false">Sens!$F$560+(g_ot-Sens!$F$560)*1/4</f>
        <v>0.0695961074750259</v>
      </c>
      <c r="I560" s="13" t="n">
        <f aca="false">Sens!$F$560+(g_ot-Sens!$F$560)*2/4</f>
        <v>0.0630640716500172</v>
      </c>
      <c r="J560" s="13" t="n">
        <f aca="false">Sens!$F$560+(g_ot-Sens!$F$560)*3/4</f>
        <v>0.0565320358250086</v>
      </c>
      <c r="K560" s="13" t="n">
        <f aca="false">Sens!$F$560+(g_ot-Sens!$F$560)*4/4</f>
        <v>0.05</v>
      </c>
      <c r="L560" s="13" t="n">
        <f aca="false">g_ot</f>
        <v>0.05</v>
      </c>
      <c r="M560" s="13" t="n">
        <f aca="false">g_ot</f>
        <v>0.05</v>
      </c>
      <c r="P560" s="8" t="s">
        <v>679</v>
      </c>
    </row>
    <row r="561" customFormat="false" ht="17.15" hidden="false" customHeight="false" outlineLevel="0" collapsed="false">
      <c r="A561" s="0" t="s">
        <v>680</v>
      </c>
      <c r="B561" s="0" t="s">
        <v>57</v>
      </c>
      <c r="F561" s="40" t="n">
        <f aca="false">(g26q3_mid*Q!$O$8/Q!$J$8-Thesis!$F$86-Thesis!$F$90)/(Sens!$O$549*(1+Sens!$F$550)+Sens!$O$551*(1+Sens!$F$552)+Sens!$O$553*(1+Sens!$F$554)+Sens!$O$555*(1+Sens!$F$556)+Sens!$O$557*(1+Sens!$F$558)+Sens!$O$559*(1+Sens!$F$560))</f>
        <v>0.958546670622329</v>
      </c>
      <c r="P561" s="8" t="s">
        <v>681</v>
      </c>
    </row>
    <row r="562" customFormat="false" ht="17.15" hidden="false" customHeight="false" outlineLevel="0" collapsed="false">
      <c r="A562" s="3" t="s">
        <v>682</v>
      </c>
      <c r="B562" s="8" t="s">
        <v>86</v>
      </c>
      <c r="C562" s="38" t="n">
        <f aca="false">Sens!$C$549+Sens!$C$551+Sens!$C$553+Sens!$C$555+Sens!$C$557+Sens!$C$559</f>
        <v>530.403</v>
      </c>
      <c r="D562" s="38" t="n">
        <f aca="false">Sens!$D$549+Sens!$D$551+Sens!$D$553+Sens!$D$555+Sens!$D$557+Sens!$D$559</f>
        <v>588.199</v>
      </c>
      <c r="E562" s="38" t="n">
        <f aca="false">Sens!$E$549+Sens!$E$551+Sens!$E$553+Sens!$E$555+Sens!$E$557+Sens!$E$559</f>
        <v>302.306</v>
      </c>
      <c r="F562" s="38" t="n">
        <f aca="false">Sens!$F$549+Sens!$F$551+Sens!$F$553+Sens!$F$555+Sens!$F$557+Sens!$F$559</f>
        <v>349.048241645537</v>
      </c>
      <c r="G562" s="38" t="n">
        <f aca="false">Sens!$G$549+Sens!$G$551+Sens!$G$553+Sens!$G$555+Sens!$G$557+Sens!$G$559</f>
        <v>651.354241645537</v>
      </c>
      <c r="H562" s="38" t="n">
        <f aca="false">Sens!$H$549+Sens!$H$551+Sens!$H$553+Sens!$H$555+Sens!$H$557+Sens!$H$559</f>
        <v>721.096889521386</v>
      </c>
      <c r="I562" s="38" t="n">
        <f aca="false">Sens!$I$549+Sens!$I$551+Sens!$I$553+Sens!$I$555+Sens!$I$557+Sens!$I$559</f>
        <v>788.529391152531</v>
      </c>
      <c r="J562" s="38" t="n">
        <f aca="false">Sens!$J$549+Sens!$J$551+Sens!$J$553+Sens!$J$555+Sens!$J$557+Sens!$J$559</f>
        <v>851.108405741443</v>
      </c>
      <c r="K562" s="38" t="n">
        <f aca="false">Sens!$K$549+Sens!$K$551+Sens!$K$553+Sens!$K$555+Sens!$K$557+Sens!$K$559</f>
        <v>906.176455431088</v>
      </c>
      <c r="L562" s="38" t="n">
        <f aca="false">Sens!$L$549+Sens!$L$551+Sens!$L$553+Sens!$L$555+Sens!$L$557+Sens!$L$559</f>
        <v>965.093106475589</v>
      </c>
      <c r="M562" s="38" t="n">
        <f aca="false">Sens!$M$549+Sens!$M$551+Sens!$M$553+Sens!$M$555+Sens!$M$557+Sens!$M$559</f>
        <v>1028.14790794689</v>
      </c>
      <c r="N562" s="38" t="n">
        <f aca="false">Sens!$N$549+Sens!$N$551+Sens!$N$553+Sens!$N$555+Sens!$N$557+Sens!$N$559</f>
        <v>263.229</v>
      </c>
      <c r="O562" s="38" t="n">
        <f aca="false">Sens!$O$549+Sens!$O$551+Sens!$O$553+Sens!$O$555+Sens!$O$557+Sens!$O$559</f>
        <v>324.97</v>
      </c>
    </row>
    <row r="563" customFormat="false" ht="17.15" hidden="false" customHeight="false" outlineLevel="0" collapsed="false">
      <c r="A563" s="5" t="s">
        <v>683</v>
      </c>
      <c r="B563" s="0" t="s">
        <v>52</v>
      </c>
      <c r="C563" s="13" t="n">
        <f aca="false">Q!$D$5/(Q!$D$5+Q!$D$6)</f>
        <v>0.730570905519011</v>
      </c>
      <c r="D563" s="13" t="n">
        <f aca="false">Q!$E$5/(Q!$E$5+Q!$E$6)</f>
        <v>0.724763217890544</v>
      </c>
      <c r="E563" s="13" t="n">
        <f aca="false">Q!$P$5/(Q!$P$5+Q!$P$6)</f>
        <v>0.728797972914861</v>
      </c>
      <c r="F563" s="13" t="n">
        <f aca="false">Sens!$O$563</f>
        <v>0.718066283041511</v>
      </c>
      <c r="G563" s="13" t="n">
        <f aca="false">Sens!$G$564/Sens!$G$562</f>
        <v>0.723047066202847</v>
      </c>
      <c r="H563" s="13" t="n">
        <f aca="false">Sens!$G$563</f>
        <v>0.723047066202847</v>
      </c>
      <c r="I563" s="13" t="n">
        <f aca="false">Sens!$G$563</f>
        <v>0.723047066202847</v>
      </c>
      <c r="J563" s="13" t="n">
        <f aca="false">Sens!$G$563</f>
        <v>0.723047066202847</v>
      </c>
      <c r="K563" s="13" t="n">
        <f aca="false">Sens!$G$563</f>
        <v>0.723047066202847</v>
      </c>
      <c r="L563" s="13" t="n">
        <f aca="false">Sens!$G$563</f>
        <v>0.723047066202847</v>
      </c>
      <c r="M563" s="13" t="n">
        <f aca="false">Sens!$G$563</f>
        <v>0.723047066202847</v>
      </c>
      <c r="N563" s="13" t="n">
        <f aca="false">Q!$N$5/(Q!$N$5+Q!$N$6)</f>
        <v>0.733030935041352</v>
      </c>
      <c r="O563" s="13" t="n">
        <f aca="false">Q!$O$5/(Q!$O$5+Q!$O$6)</f>
        <v>0.718066283041511</v>
      </c>
      <c r="P563" s="8" t="s">
        <v>684</v>
      </c>
    </row>
    <row r="564" customFormat="false" ht="17.15" hidden="false" customHeight="false" outlineLevel="0" collapsed="false">
      <c r="A564" s="1" t="s">
        <v>512</v>
      </c>
      <c r="B564" s="8" t="s">
        <v>86</v>
      </c>
      <c r="C564" s="38" t="n">
        <f aca="false">Q!$D$5</f>
        <v>387.497</v>
      </c>
      <c r="D564" s="38" t="n">
        <f aca="false">Q!$E$5</f>
        <v>426.305</v>
      </c>
      <c r="E564" s="38" t="n">
        <f aca="false">Q!$P$5</f>
        <v>220.32</v>
      </c>
      <c r="F564" s="38" t="n">
        <f aca="false">Sens!$F$562*Sens!$F$563</f>
        <v>250.639773480586</v>
      </c>
      <c r="G564" s="38" t="n">
        <f aca="false">Sens!$E$564+Sens!$F$564</f>
        <v>470.959773480586</v>
      </c>
      <c r="H564" s="38" t="n">
        <f aca="false">Sens!$H$562*Sens!$H$563</f>
        <v>521.386990416437</v>
      </c>
      <c r="I564" s="38" t="n">
        <f aca="false">Sens!$I$562*Sens!$I$563</f>
        <v>570.143862887555</v>
      </c>
      <c r="J564" s="38" t="n">
        <f aca="false">Sens!$J$562*Sens!$J$563</f>
        <v>615.391435791933</v>
      </c>
      <c r="K564" s="38" t="n">
        <f aca="false">Sens!$K$562*Sens!$K$563</f>
        <v>655.208227561543</v>
      </c>
      <c r="L564" s="38" t="n">
        <f aca="false">Sens!$L$562*Sens!$L$563</f>
        <v>697.807739249767</v>
      </c>
      <c r="M564" s="38" t="n">
        <f aca="false">Sens!$M$562*Sens!$M$563</f>
        <v>743.399328463592</v>
      </c>
      <c r="N564" s="38" t="n">
        <f aca="false">Q!$N$5</f>
        <v>192.955</v>
      </c>
      <c r="O564" s="38" t="n">
        <f aca="false">Q!$O$5</f>
        <v>233.35</v>
      </c>
      <c r="P564" s="5" t="s">
        <v>685</v>
      </c>
    </row>
    <row r="565" customFormat="false" ht="17.15" hidden="false" customHeight="false" outlineLevel="0" collapsed="false">
      <c r="A565" s="1" t="s">
        <v>515</v>
      </c>
      <c r="B565" s="8" t="s">
        <v>86</v>
      </c>
      <c r="C565" s="38" t="n">
        <f aca="false">Q!$D$6</f>
        <v>142.906</v>
      </c>
      <c r="D565" s="38" t="n">
        <f aca="false">Q!$E$6</f>
        <v>161.894</v>
      </c>
      <c r="E565" s="38" t="n">
        <f aca="false">Q!$P$6</f>
        <v>81.986</v>
      </c>
      <c r="F565" s="38" t="n">
        <f aca="false">Sens!$F$562*(1-Sens!$F$563)</f>
        <v>98.408468164951</v>
      </c>
      <c r="G565" s="38" t="n">
        <f aca="false">Sens!$E$565+Sens!$F$565</f>
        <v>180.394468164951</v>
      </c>
      <c r="H565" s="38" t="n">
        <f aca="false">Sens!$H$562*(1-Sens!$H$563)</f>
        <v>199.709899104949</v>
      </c>
      <c r="I565" s="38" t="n">
        <f aca="false">Sens!$I$562*(1-Sens!$I$563)</f>
        <v>218.385528264976</v>
      </c>
      <c r="J565" s="38" t="n">
        <f aca="false">Sens!$J$562*(1-Sens!$J$563)</f>
        <v>235.71696994951</v>
      </c>
      <c r="K565" s="38" t="n">
        <f aca="false">Sens!$K$562*(1-Sens!$K$563)</f>
        <v>250.968227869545</v>
      </c>
      <c r="L565" s="38" t="n">
        <f aca="false">Sens!$L$562*(1-Sens!$L$563)</f>
        <v>267.285367225822</v>
      </c>
      <c r="M565" s="38" t="n">
        <f aca="false">Sens!$M$562*(1-Sens!$M$563)</f>
        <v>284.748579483295</v>
      </c>
      <c r="N565" s="38" t="n">
        <f aca="false">Q!$N$6</f>
        <v>70.274</v>
      </c>
      <c r="O565" s="38" t="n">
        <f aca="false">Q!$O$6</f>
        <v>91.62</v>
      </c>
      <c r="P565" s="5" t="s">
        <v>686</v>
      </c>
    </row>
    <row r="566" customFormat="false" ht="17.15" hidden="false" customHeight="false" outlineLevel="0" collapsed="false">
      <c r="A566" s="5" t="s">
        <v>687</v>
      </c>
      <c r="B566" s="0" t="s">
        <v>86</v>
      </c>
      <c r="C566" s="38" t="n">
        <f aca="false">Sens!$C$555*Sens!$C$563</f>
        <v>41.0683128828457</v>
      </c>
      <c r="D566" s="38" t="n">
        <f aca="false">Sens!$D$555*Sens!$D$563</f>
        <v>49.7441234599175</v>
      </c>
      <c r="E566" s="38" t="n">
        <f aca="false">Sens!$E$555*Sens!$E$563</f>
        <v>27.0034224924414</v>
      </c>
      <c r="F566" s="38" t="n">
        <f aca="false">Sens!$F$555*Sens!$F$563</f>
        <v>33.1439448330513</v>
      </c>
      <c r="G566" s="38" t="n">
        <f aca="false">Sens!$G$555*Sens!$G$563</f>
        <v>60.164183844083</v>
      </c>
      <c r="H566" s="38" t="n">
        <f aca="false">Sens!$H$555*Sens!$H$563</f>
        <v>72.2301766552629</v>
      </c>
      <c r="I566" s="38" t="n">
        <f aca="false">Sens!$I$555*Sens!$I$563</f>
        <v>84.2950764463991</v>
      </c>
      <c r="J566" s="38" t="n">
        <f aca="false">Sens!$J$555*Sens!$J$563</f>
        <v>95.5499047729386</v>
      </c>
      <c r="K566" s="38" t="n">
        <f aca="false">Sens!$K$555*Sens!$K$563</f>
        <v>105.104895250232</v>
      </c>
      <c r="L566" s="38" t="n">
        <f aca="false">Sens!$L$555*Sens!$L$563</f>
        <v>115.615384775256</v>
      </c>
      <c r="M566" s="38" t="n">
        <f aca="false">Sens!$M$555*Sens!$M$563</f>
        <v>127.176923252781</v>
      </c>
      <c r="N566" s="38" t="n">
        <f aca="false">Sens!$N$555*Sens!$N$563</f>
        <v>21.7087111412496</v>
      </c>
      <c r="O566" s="38" t="n">
        <f aca="false">Sens!$O$555*Sens!$O$563</f>
        <v>28.0189463642798</v>
      </c>
      <c r="P566" s="5" t="s">
        <v>688</v>
      </c>
    </row>
    <row r="567" customFormat="false" ht="15" hidden="false" customHeight="false" outlineLevel="0" collapsed="false">
      <c r="A567" s="5" t="s">
        <v>689</v>
      </c>
      <c r="B567" s="0" t="s">
        <v>86</v>
      </c>
      <c r="C567" s="38" t="n">
        <f aca="false">Sens!$C$555-Sens!$C$566</f>
        <v>15.1456871171543</v>
      </c>
      <c r="D567" s="38" t="n">
        <f aca="false">Sens!$D$555-Sens!$D$566</f>
        <v>18.8908765400825</v>
      </c>
      <c r="E567" s="38" t="n">
        <f aca="false">Sens!$E$555-Sens!$E$566</f>
        <v>10.0485775075586</v>
      </c>
      <c r="F567" s="38" t="n">
        <f aca="false">Sens!$F$555-Sens!$F$566</f>
        <v>13.0132771613635</v>
      </c>
      <c r="G567" s="38" t="n">
        <f aca="false">Sens!$G$555-Sens!$G$566</f>
        <v>23.0450381503318</v>
      </c>
      <c r="H567" s="38" t="n">
        <f aca="false">Sens!$H$555-Sens!$H$566</f>
        <v>27.6667457326347</v>
      </c>
      <c r="I567" s="38" t="n">
        <f aca="false">Sens!$I$555-Sens!$I$566</f>
        <v>32.2880346490971</v>
      </c>
      <c r="J567" s="38" t="n">
        <f aca="false">Sens!$J$555-Sens!$J$566</f>
        <v>36.5990371690132</v>
      </c>
      <c r="K567" s="38" t="n">
        <f aca="false">Sens!$K$555-Sens!$K$566</f>
        <v>40.2589408859145</v>
      </c>
      <c r="L567" s="38" t="n">
        <f aca="false">Sens!$L$555-Sens!$L$566</f>
        <v>44.2848349745059</v>
      </c>
      <c r="M567" s="38" t="n">
        <f aca="false">Sens!$M$555-Sens!$M$566</f>
        <v>48.7133184719565</v>
      </c>
      <c r="N567" s="38" t="n">
        <f aca="false">Sens!$N$555-Sens!$N$566</f>
        <v>7.90628885875037</v>
      </c>
      <c r="O567" s="38" t="n">
        <f aca="false">Sens!$O$555-Sens!$O$566</f>
        <v>11.0010536357202</v>
      </c>
    </row>
    <row r="568" customFormat="false" ht="19.4" hidden="false" customHeight="false" outlineLevel="0" collapsed="false">
      <c r="A568" s="31" t="s">
        <v>1146</v>
      </c>
    </row>
    <row r="569" customFormat="false" ht="17.15" hidden="false" customHeight="false" outlineLevel="0" collapsed="false">
      <c r="A569" s="6" t="s">
        <v>16</v>
      </c>
      <c r="B569" s="6" t="s">
        <v>17</v>
      </c>
      <c r="C569" s="20" t="s">
        <v>497</v>
      </c>
      <c r="D569" s="20" t="s">
        <v>498</v>
      </c>
      <c r="E569" s="20" t="s">
        <v>580</v>
      </c>
      <c r="F569" s="20" t="s">
        <v>581</v>
      </c>
      <c r="G569" s="20" t="s">
        <v>582</v>
      </c>
      <c r="H569" s="20" t="s">
        <v>583</v>
      </c>
      <c r="I569" s="20" t="s">
        <v>584</v>
      </c>
      <c r="J569" s="20" t="s">
        <v>585</v>
      </c>
      <c r="K569" s="20" t="s">
        <v>586</v>
      </c>
      <c r="L569" s="20" t="s">
        <v>587</v>
      </c>
      <c r="M569" s="20" t="s">
        <v>588</v>
      </c>
      <c r="N569" s="20" t="s">
        <v>589</v>
      </c>
      <c r="O569" s="20" t="s">
        <v>590</v>
      </c>
      <c r="P569" s="6" t="s">
        <v>23</v>
      </c>
      <c r="R569" s="20" t="n">
        <v>2023</v>
      </c>
      <c r="S569" s="20" t="n">
        <v>2024</v>
      </c>
      <c r="T569" s="20" t="n">
        <v>2025</v>
      </c>
      <c r="U569" s="20" t="n">
        <v>2026</v>
      </c>
      <c r="V569" s="20" t="n">
        <v>2027</v>
      </c>
      <c r="W569" s="20" t="n">
        <v>2028</v>
      </c>
      <c r="X569" s="20" t="n">
        <v>2029</v>
      </c>
      <c r="Y569" s="20" t="n">
        <v>2030</v>
      </c>
      <c r="Z569" s="20" t="n">
        <v>2031</v>
      </c>
      <c r="AA569" s="20" t="n">
        <v>2032</v>
      </c>
    </row>
    <row r="570" customFormat="false" ht="17.15" hidden="false" customHeight="false" outlineLevel="0" collapsed="false">
      <c r="A570" s="1" t="s">
        <v>591</v>
      </c>
    </row>
    <row r="571" customFormat="false" ht="17.15" hidden="false" customHeight="false" outlineLevel="0" collapsed="false">
      <c r="A571" s="5" t="s">
        <v>592</v>
      </c>
      <c r="B571" s="0" t="s">
        <v>144</v>
      </c>
      <c r="H571" s="32" t="n">
        <f aca="false">pace_B</f>
        <v>3634.3</v>
      </c>
      <c r="I571" s="32" t="n">
        <f aca="false">pace_B</f>
        <v>3634.3</v>
      </c>
      <c r="J571" s="32" t="n">
        <f aca="false">pace_B</f>
        <v>3634.3</v>
      </c>
      <c r="K571" s="32" t="n">
        <f aca="false">pace_B+(Sens!$J$572*tg-pace_B)*1/3</f>
        <v>2570.86716666667</v>
      </c>
      <c r="L571" s="32" t="n">
        <f aca="false">pace_B+(Sens!$J$572*tg-pace_B)*2/3</f>
        <v>1507.43433333333</v>
      </c>
      <c r="M571" s="32" t="n">
        <f aca="false">pace_B+(Sens!$J$572*tg-pace_B)*3/3</f>
        <v>444.0015</v>
      </c>
      <c r="P571" s="5" t="s">
        <v>593</v>
      </c>
    </row>
    <row r="572" customFormat="false" ht="17.15" hidden="false" customHeight="false" outlineLevel="0" collapsed="false">
      <c r="A572" s="15" t="s">
        <v>594</v>
      </c>
      <c r="B572" s="14" t="s">
        <v>129</v>
      </c>
      <c r="C572" s="33" t="n">
        <f aca="false">mw_ye24</f>
        <v>360</v>
      </c>
      <c r="D572" s="33" t="n">
        <f aca="false">mw_ye25</f>
        <v>1440</v>
      </c>
      <c r="E572" s="33" t="n">
        <f aca="false">mw_open</f>
        <v>2080</v>
      </c>
      <c r="F572" s="33" t="n">
        <f aca="false">Sens!$E$572+pace_B*0.5</f>
        <v>3897.15</v>
      </c>
      <c r="G572" s="33" t="n">
        <f aca="false">Sens!$F$572</f>
        <v>3897.15</v>
      </c>
      <c r="H572" s="33" t="n">
        <f aca="false">Sens!$G$572+Sens!$H$571</f>
        <v>7531.45</v>
      </c>
      <c r="I572" s="33" t="n">
        <f aca="false">Sens!$H$572+Sens!$I$571</f>
        <v>11165.75</v>
      </c>
      <c r="J572" s="33" t="n">
        <f aca="false">Sens!$I$572+Sens!$J$571</f>
        <v>14800.05</v>
      </c>
      <c r="K572" s="33" t="n">
        <f aca="false">Sens!$J$572+Sens!$K$571</f>
        <v>17370.9171666667</v>
      </c>
      <c r="L572" s="33" t="n">
        <f aca="false">Sens!$K$572+Sens!$L$571</f>
        <v>18878.3515</v>
      </c>
      <c r="M572" s="33" t="n">
        <f aca="false">Sens!$L$572+Sens!$M$571</f>
        <v>19322.353</v>
      </c>
      <c r="N572" s="33" t="n">
        <f aca="false">(mw_ye24+mw_ye25)/2</f>
        <v>900</v>
      </c>
      <c r="O572" s="33" t="n">
        <f aca="false">mw_ye25</f>
        <v>1440</v>
      </c>
      <c r="P572" s="5" t="s">
        <v>595</v>
      </c>
    </row>
    <row r="573" customFormat="false" ht="17.15" hidden="false" customHeight="false" outlineLevel="0" collapsed="false">
      <c r="A573" s="5" t="s">
        <v>596</v>
      </c>
      <c r="B573" s="0" t="s">
        <v>129</v>
      </c>
      <c r="C573" s="32" t="n">
        <f aca="false">(mw_ye23+mw_ye24)/2</f>
        <v>240</v>
      </c>
      <c r="D573" s="32" t="n">
        <f aca="false">(Sens!$C$572+Sens!$D$572)/2</f>
        <v>900</v>
      </c>
      <c r="E573" s="32" t="n">
        <f aca="false">(Sens!$D$572+Sens!$E$572)/2</f>
        <v>1760</v>
      </c>
      <c r="F573" s="32" t="n">
        <f aca="false">(Sens!$E$572+Sens!$F$572)/2</f>
        <v>2988.575</v>
      </c>
      <c r="G573" s="32" t="n">
        <f aca="false">(Sens!$E$573+Sens!$F$573)/2</f>
        <v>2374.2875</v>
      </c>
      <c r="H573" s="32" t="n">
        <f aca="false">(Sens!$G$572+Sens!$H$572)/2</f>
        <v>5714.3</v>
      </c>
      <c r="I573" s="32" t="n">
        <f aca="false">(Sens!$H$572+Sens!$I$572)/2</f>
        <v>9348.6</v>
      </c>
      <c r="J573" s="32" t="n">
        <f aca="false">(Sens!$I$572+Sens!$J$572)/2</f>
        <v>12982.9</v>
      </c>
      <c r="K573" s="32" t="n">
        <f aca="false">(Sens!$J$572+Sens!$K$572)/2</f>
        <v>16085.4835833333</v>
      </c>
      <c r="L573" s="32" t="n">
        <f aca="false">(Sens!$K$572+Sens!$L$572)/2</f>
        <v>18124.6343333333</v>
      </c>
      <c r="M573" s="32" t="n">
        <f aca="false">(Sens!$L$572+Sens!$M$572)/2</f>
        <v>19100.35225</v>
      </c>
      <c r="N573" s="32" t="n">
        <f aca="false">(Sens!$C$572+Sens!$N$572)/2</f>
        <v>630</v>
      </c>
      <c r="O573" s="32" t="n">
        <f aca="false">(Sens!$N$572+Sens!$O$572)/2</f>
        <v>1170</v>
      </c>
    </row>
    <row r="574" customFormat="false" ht="15" hidden="false" customHeight="false" outlineLevel="0" collapsed="false">
      <c r="A574" s="5" t="s">
        <v>597</v>
      </c>
      <c r="B574" s="5" t="s">
        <v>123</v>
      </c>
      <c r="C574" s="34" t="n">
        <v>1</v>
      </c>
      <c r="D574" s="34" t="n">
        <v>1</v>
      </c>
      <c r="E574" s="34" t="n">
        <v>0.5</v>
      </c>
      <c r="F574" s="34" t="n">
        <v>0.5</v>
      </c>
      <c r="G574" s="34" t="n">
        <v>1</v>
      </c>
      <c r="H574" s="34" t="n">
        <v>1</v>
      </c>
      <c r="I574" s="34" t="n">
        <v>1</v>
      </c>
      <c r="J574" s="34" t="n">
        <v>1</v>
      </c>
      <c r="K574" s="34" t="n">
        <v>1</v>
      </c>
      <c r="L574" s="34" t="n">
        <v>1</v>
      </c>
      <c r="M574" s="34" t="n">
        <v>1</v>
      </c>
      <c r="N574" s="34" t="n">
        <v>0.5</v>
      </c>
      <c r="O574" s="34" t="n">
        <v>0.5</v>
      </c>
    </row>
    <row r="575" customFormat="false" ht="17.15" hidden="false" customHeight="false" outlineLevel="0" collapsed="false">
      <c r="A575" s="5" t="s">
        <v>598</v>
      </c>
      <c r="B575" s="0" t="s">
        <v>129</v>
      </c>
      <c r="C575" s="32" t="n">
        <f aca="false">Sens!$C$572-mw_ye23</f>
        <v>240</v>
      </c>
      <c r="D575" s="32" t="n">
        <f aca="false">Sens!$D$572-Sens!$C$572</f>
        <v>1080</v>
      </c>
      <c r="E575" s="32" t="n">
        <f aca="false">Sens!$E$572-Sens!$D$572</f>
        <v>640</v>
      </c>
      <c r="F575" s="32" t="n">
        <f aca="false">Sens!$F$572-Sens!$E$572</f>
        <v>1817.15</v>
      </c>
      <c r="G575" s="32" t="n">
        <f aca="false">Sens!$E$575+Sens!$F$575</f>
        <v>2457.15</v>
      </c>
      <c r="H575" s="32" t="n">
        <f aca="false">Sens!$H$572-Sens!$G$572</f>
        <v>3634.3</v>
      </c>
      <c r="I575" s="32" t="n">
        <f aca="false">Sens!$I$572-Sens!$H$572</f>
        <v>3634.3</v>
      </c>
      <c r="J575" s="32" t="n">
        <f aca="false">Sens!$J$572-Sens!$I$572</f>
        <v>3634.3</v>
      </c>
      <c r="K575" s="32" t="n">
        <f aca="false">Sens!$K$572-Sens!$J$572</f>
        <v>2570.86716666667</v>
      </c>
      <c r="L575" s="32" t="n">
        <f aca="false">Sens!$L$572-Sens!$K$572</f>
        <v>1507.43433333333</v>
      </c>
      <c r="M575" s="32" t="n">
        <f aca="false">Sens!$M$572-Sens!$L$572</f>
        <v>444.001499999999</v>
      </c>
      <c r="N575" s="32" t="n">
        <f aca="false">Sens!$N$572-Sens!$C$572</f>
        <v>540</v>
      </c>
      <c r="O575" s="32" t="n">
        <f aca="false">Sens!$O$572-Sens!$N$572</f>
        <v>540</v>
      </c>
    </row>
    <row r="576" customFormat="false" ht="17.15" hidden="false" customHeight="false" outlineLevel="0" collapsed="false">
      <c r="A576" s="5" t="s">
        <v>599</v>
      </c>
      <c r="B576" s="0" t="s">
        <v>129</v>
      </c>
      <c r="C576" s="32" t="n">
        <f aca="false">Sens!$C$575/ext_sh</f>
        <v>300</v>
      </c>
      <c r="D576" s="32" t="n">
        <f aca="false">Sens!$D$575/ext_sh</f>
        <v>1350</v>
      </c>
      <c r="E576" s="32" t="n">
        <f aca="false">Sens!$E$575/ext_sh</f>
        <v>800</v>
      </c>
      <c r="F576" s="32" t="n">
        <f aca="false">Sens!$F$575/ext_sh</f>
        <v>2271.4375</v>
      </c>
      <c r="G576" s="32" t="n">
        <f aca="false">Sens!$G$575/ext_sh</f>
        <v>3071.4375</v>
      </c>
      <c r="H576" s="32" t="n">
        <f aca="false">Sens!$H$575/ext_sh</f>
        <v>4542.875</v>
      </c>
      <c r="I576" s="32" t="n">
        <f aca="false">Sens!$I$575/ext_sh</f>
        <v>4542.875</v>
      </c>
      <c r="J576" s="32" t="n">
        <f aca="false">Sens!$J$575/ext_sh</f>
        <v>4542.875</v>
      </c>
      <c r="K576" s="32" t="n">
        <f aca="false">Sens!$K$575/ext_sh</f>
        <v>3213.58395833333</v>
      </c>
      <c r="L576" s="32" t="n">
        <f aca="false">Sens!$L$575/ext_sh</f>
        <v>1884.29291666667</v>
      </c>
      <c r="M576" s="32" t="n">
        <f aca="false">Sens!$M$575/ext_sh</f>
        <v>555.001874999998</v>
      </c>
      <c r="N576" s="32" t="n">
        <f aca="false">Sens!$N$575/ext_sh</f>
        <v>675</v>
      </c>
      <c r="O576" s="32" t="n">
        <f aca="false">Sens!$O$575/ext_sh</f>
        <v>675</v>
      </c>
      <c r="P576" s="8" t="s">
        <v>600</v>
      </c>
      <c r="R576" s="32" t="n">
        <f aca="false">mw_ye23/ext_sh</f>
        <v>150</v>
      </c>
      <c r="S576" s="32" t="n">
        <f aca="false">Sens!$C$576</f>
        <v>300</v>
      </c>
      <c r="T576" s="32" t="n">
        <f aca="false">Sens!$D$576</f>
        <v>1350</v>
      </c>
      <c r="U576" s="32" t="n">
        <f aca="false">Sens!$G$576</f>
        <v>3071.4375</v>
      </c>
      <c r="V576" s="32" t="n">
        <f aca="false">Sens!$H$576</f>
        <v>4542.875</v>
      </c>
      <c r="W576" s="32" t="n">
        <f aca="false">Sens!$I$576</f>
        <v>4542.875</v>
      </c>
      <c r="X576" s="32" t="n">
        <f aca="false">Sens!$J$576</f>
        <v>4542.875</v>
      </c>
      <c r="Y576" s="32" t="n">
        <f aca="false">Sens!$K$576</f>
        <v>3213.58395833333</v>
      </c>
      <c r="Z576" s="32" t="n">
        <f aca="false">Sens!$L$576</f>
        <v>1884.29291666667</v>
      </c>
      <c r="AA576" s="32" t="n">
        <f aca="false">Sens!$M$576</f>
        <v>555.001874999998</v>
      </c>
    </row>
    <row r="577" customFormat="false" ht="17.15" hidden="false" customHeight="false" outlineLevel="0" collapsed="false">
      <c r="A577" s="1" t="s">
        <v>601</v>
      </c>
    </row>
    <row r="578" customFormat="false" ht="17.15" hidden="false" customHeight="false" outlineLevel="0" collapsed="false">
      <c r="A578" s="0" t="s">
        <v>602</v>
      </c>
      <c r="B578" s="0" t="s">
        <v>52</v>
      </c>
      <c r="F578" s="35" t="n">
        <f aca="false">na_vr26</f>
        <v>0</v>
      </c>
      <c r="G578" s="35" t="n">
        <f aca="false">na_vr26</f>
        <v>0</v>
      </c>
      <c r="H578" s="35" t="n">
        <f aca="false">na_vr27</f>
        <v>0.5</v>
      </c>
      <c r="I578" s="35" t="n">
        <f aca="false">na_vr28</f>
        <v>1</v>
      </c>
      <c r="J578" s="35" t="n">
        <f aca="false">na_vr28</f>
        <v>1</v>
      </c>
      <c r="K578" s="35" t="n">
        <f aca="false">na_vr28</f>
        <v>1</v>
      </c>
      <c r="L578" s="35" t="n">
        <f aca="false">na_vr28</f>
        <v>1</v>
      </c>
      <c r="M578" s="35" t="n">
        <f aca="false">na_vr28</f>
        <v>1</v>
      </c>
    </row>
    <row r="579" customFormat="false" ht="17.15" hidden="false" customHeight="false" outlineLevel="0" collapsed="false">
      <c r="A579" s="5" t="s">
        <v>603</v>
      </c>
      <c r="B579" s="0" t="s">
        <v>173</v>
      </c>
      <c r="F579" s="36" t="n">
        <f aca="false">cust_sh*tk_he_gb300*cf_chip+(1-cust_sh)*((1-Sens!$F$578)*tk_he_gb300+Sens!$F$578*tk_he_vr200)</f>
        <v>10.8864110021101</v>
      </c>
      <c r="G579" s="36" t="n">
        <f aca="false">cust_sh*tk_he_gb300*cf_chip+(1-cust_sh)*((1-Sens!$G$578)*tk_he_gb300+Sens!$G$578*tk_he_vr200)</f>
        <v>10.8864110021101</v>
      </c>
      <c r="H579" s="36" t="n">
        <f aca="false">cust_sh*tk_he_gb300*cf_chip+(1-cust_sh)*((1-Sens!$H$578)*tk_he_gb300+Sens!$H$578*tk_he_vr200)</f>
        <v>11.2211760027286</v>
      </c>
      <c r="I579" s="36" t="n">
        <f aca="false">cust_sh*tk_he_gb300*cf_chip+(1-cust_sh)*((1-Sens!$I$578)*tk_he_gb300+Sens!$I$578*tk_he_vr200)</f>
        <v>11.5559410033471</v>
      </c>
      <c r="J579" s="36" t="n">
        <f aca="false">cust_sh*tk_he_gb300*cf_chip+(1-cust_sh)*((1-Sens!$J$578)*tk_he_gb300+Sens!$J$578*tk_he_vr200)</f>
        <v>11.5559410033471</v>
      </c>
      <c r="K579" s="36" t="n">
        <f aca="false">cust_sh*tk_he_gb300*cf_chip+(1-cust_sh)*((1-Sens!$K$578)*tk_he_gb300+Sens!$K$578*tk_he_vr200)</f>
        <v>11.5559410033471</v>
      </c>
      <c r="L579" s="36" t="n">
        <f aca="false">cust_sh*tk_he_gb300*cf_chip+(1-cust_sh)*((1-Sens!$L$578)*tk_he_gb300+Sens!$L$578*tk_he_vr200)</f>
        <v>11.5559410033471</v>
      </c>
      <c r="M579" s="36" t="n">
        <f aca="false">cust_sh*tk_he_gb300*cf_chip+(1-cust_sh)*((1-Sens!$M$578)*tk_he_gb300+Sens!$M$578*tk_he_vr200)</f>
        <v>11.5559410033471</v>
      </c>
    </row>
    <row r="580" customFormat="false" ht="17.15" hidden="false" customHeight="false" outlineLevel="0" collapsed="false">
      <c r="A580" s="5" t="s">
        <v>604</v>
      </c>
      <c r="B580" s="0" t="s">
        <v>173</v>
      </c>
      <c r="F580" s="36" t="n">
        <f aca="false">cust_sh*tk_ox_gb300+(1-cust_sh)*((1-Sens!$F$578)*tk_ox_gb300+Sens!$F$578*tk_ox_vr200)</f>
        <v>1.98263481314457</v>
      </c>
      <c r="G580" s="36" t="n">
        <f aca="false">cust_sh*tk_ox_gb300+(1-cust_sh)*((1-Sens!$G$578)*tk_ox_gb300+Sens!$G$578*tk_ox_vr200)</f>
        <v>1.98263481314457</v>
      </c>
      <c r="H580" s="36" t="n">
        <f aca="false">cust_sh*tk_ox_gb300+(1-cust_sh)*((1-Sens!$H$578)*tk_ox_gb300+Sens!$H$578*tk_ox_vr200)</f>
        <v>2.01034999693694</v>
      </c>
      <c r="I580" s="36" t="n">
        <f aca="false">cust_sh*tk_ox_gb300+(1-cust_sh)*((1-Sens!$I$578)*tk_ox_gb300+Sens!$I$578*tk_ox_vr200)</f>
        <v>2.0380651807293</v>
      </c>
      <c r="J580" s="36" t="n">
        <f aca="false">cust_sh*tk_ox_gb300+(1-cust_sh)*((1-Sens!$J$578)*tk_ox_gb300+Sens!$J$578*tk_ox_vr200)</f>
        <v>2.0380651807293</v>
      </c>
      <c r="K580" s="36" t="n">
        <f aca="false">cust_sh*tk_ox_gb300+(1-cust_sh)*((1-Sens!$K$578)*tk_ox_gb300+Sens!$K$578*tk_ox_vr200)</f>
        <v>2.0380651807293</v>
      </c>
      <c r="L580" s="36" t="n">
        <f aca="false">cust_sh*tk_ox_gb300+(1-cust_sh)*((1-Sens!$L$578)*tk_ox_gb300+Sens!$L$578*tk_ox_vr200)</f>
        <v>2.0380651807293</v>
      </c>
      <c r="M580" s="36" t="n">
        <f aca="false">cust_sh*tk_ox_gb300+(1-cust_sh)*((1-Sens!$M$578)*tk_ox_gb300+Sens!$M$578*tk_ox_vr200)</f>
        <v>2.0380651807293</v>
      </c>
    </row>
    <row r="581" customFormat="false" ht="17.15" hidden="false" customHeight="false" outlineLevel="0" collapsed="false">
      <c r="A581" s="5" t="s">
        <v>605</v>
      </c>
      <c r="B581" s="0" t="s">
        <v>192</v>
      </c>
      <c r="F581" s="36" t="n">
        <f aca="false">cust_sh*tk_cx_gb300*cf_cx+(1-cust_sh)*((1-Sens!$F$578)*tk_cx_gb300+Sens!$F$578*tk_cx_vr200)</f>
        <v>32.237224</v>
      </c>
      <c r="G581" s="36" t="n">
        <f aca="false">cust_sh*tk_cx_gb300*cf_cx+(1-cust_sh)*((1-Sens!$G$578)*tk_cx_gb300+Sens!$G$578*tk_cx_vr200)</f>
        <v>32.237224</v>
      </c>
      <c r="H581" s="36" t="n">
        <f aca="false">cust_sh*tk_cx_gb300*cf_cx+(1-cust_sh)*((1-Sens!$H$578)*tk_cx_gb300+Sens!$H$578*tk_cx_vr200)</f>
        <v>33.574506</v>
      </c>
      <c r="I581" s="36" t="n">
        <f aca="false">cust_sh*tk_cx_gb300*cf_cx+(1-cust_sh)*((1-Sens!$I$578)*tk_cx_gb300+Sens!$I$578*tk_cx_vr200)</f>
        <v>34.911788</v>
      </c>
      <c r="J581" s="36" t="n">
        <f aca="false">cust_sh*tk_cx_gb300*cf_cx+(1-cust_sh)*((1-Sens!$J$578)*tk_cx_gb300+Sens!$J$578*tk_cx_vr200)</f>
        <v>34.911788</v>
      </c>
      <c r="K581" s="36" t="n">
        <f aca="false">cust_sh*tk_cx_gb300*cf_cx+(1-cust_sh)*((1-Sens!$K$578)*tk_cx_gb300+Sens!$K$578*tk_cx_vr200)</f>
        <v>34.911788</v>
      </c>
      <c r="L581" s="36" t="n">
        <f aca="false">cust_sh*tk_cx_gb300*cf_cx+(1-cust_sh)*((1-Sens!$L$578)*tk_cx_gb300+Sens!$L$578*tk_cx_vr200)</f>
        <v>34.911788</v>
      </c>
      <c r="M581" s="36" t="n">
        <f aca="false">cust_sh*tk_cx_gb300*cf_cx+(1-cust_sh)*((1-Sens!$M$578)*tk_cx_gb300+Sens!$M$578*tk_cx_vr200)</f>
        <v>34.911788</v>
      </c>
    </row>
    <row r="582" customFormat="false" ht="17.15" hidden="false" customHeight="false" outlineLevel="0" collapsed="false">
      <c r="A582" s="5" t="s">
        <v>606</v>
      </c>
      <c r="B582" s="0" t="s">
        <v>129</v>
      </c>
      <c r="F582" s="32" t="n">
        <f aca="false">Sens!$F$572-mw_open</f>
        <v>1817.15</v>
      </c>
      <c r="G582" s="32" t="n">
        <f aca="false">Sens!$F$582</f>
        <v>1817.15</v>
      </c>
      <c r="H582" s="32" t="n">
        <f aca="false">Sens!$H$572-mw_open</f>
        <v>5451.45</v>
      </c>
      <c r="I582" s="32" t="n">
        <f aca="false">Sens!$I$572-mw_open</f>
        <v>9085.75</v>
      </c>
      <c r="J582" s="32" t="n">
        <f aca="false">Sens!$J$572-mw_open</f>
        <v>12720.05</v>
      </c>
      <c r="K582" s="32" t="n">
        <f aca="false">Sens!$K$572-mw_open</f>
        <v>15290.9171666667</v>
      </c>
      <c r="L582" s="32" t="n">
        <f aca="false">Sens!$L$572-mw_open</f>
        <v>16798.3515</v>
      </c>
      <c r="M582" s="32" t="n">
        <f aca="false">Sens!$M$572-mw_open</f>
        <v>17242.353</v>
      </c>
    </row>
    <row r="583" customFormat="false" ht="17.15" hidden="false" customHeight="false" outlineLevel="0" collapsed="false">
      <c r="A583" s="0" t="s">
        <v>607</v>
      </c>
      <c r="B583" s="0" t="s">
        <v>608</v>
      </c>
      <c r="F583" s="32" t="n">
        <f aca="false">Sens!$F$575*Sens!$F$579</f>
        <v>19782.2417524844</v>
      </c>
      <c r="G583" s="32" t="n">
        <f aca="false">Sens!$F$583</f>
        <v>19782.2417524844</v>
      </c>
      <c r="H583" s="32" t="n">
        <f aca="false">Sens!$G$583+Sens!$H$575*Sens!$H$579</f>
        <v>60563.3616992009</v>
      </c>
      <c r="I583" s="32" t="n">
        <f aca="false">Sens!$H$583+Sens!$I$575*Sens!$I$579</f>
        <v>102561.118087665</v>
      </c>
      <c r="J583" s="32" t="n">
        <f aca="false">Sens!$I$583+Sens!$J$575*Sens!$J$579</f>
        <v>144558.87447613</v>
      </c>
      <c r="K583" s="32" t="n">
        <f aca="false">Sens!$J$583+Sens!$K$575*Sens!$K$579</f>
        <v>174267.663781572</v>
      </c>
      <c r="L583" s="32" t="n">
        <f aca="false">Sens!$K$583+Sens!$L$575*Sens!$L$579</f>
        <v>191687.486003992</v>
      </c>
      <c r="M583" s="32" t="n">
        <f aca="false">Sens!$L$583+Sens!$M$575*Sens!$M$579</f>
        <v>196818.341143389</v>
      </c>
    </row>
    <row r="584" customFormat="false" ht="17.15" hidden="false" customHeight="false" outlineLevel="0" collapsed="false">
      <c r="A584" s="0" t="s">
        <v>609</v>
      </c>
      <c r="B584" s="0" t="s">
        <v>608</v>
      </c>
      <c r="F584" s="32" t="n">
        <f aca="false">Sens!$F$575*Sens!$F$580</f>
        <v>3602.74485070566</v>
      </c>
      <c r="G584" s="32" t="n">
        <f aca="false">Sens!$F$584</f>
        <v>3602.74485070566</v>
      </c>
      <c r="H584" s="32" t="n">
        <f aca="false">Sens!$G$584+Sens!$H$575*Sens!$H$580</f>
        <v>10908.9598445736</v>
      </c>
      <c r="I584" s="32" t="n">
        <f aca="false">Sens!$H$584+Sens!$I$575*Sens!$I$580</f>
        <v>18315.9001308981</v>
      </c>
      <c r="J584" s="32" t="n">
        <f aca="false">Sens!$I$584+Sens!$J$575*Sens!$J$580</f>
        <v>25722.8404172225</v>
      </c>
      <c r="K584" s="32" t="n">
        <f aca="false">Sens!$J$584+Sens!$K$575*Sens!$K$580</f>
        <v>30962.4352738861</v>
      </c>
      <c r="L584" s="32" t="n">
        <f aca="false">Sens!$K$584+Sens!$L$575*Sens!$L$580</f>
        <v>34034.6847008886</v>
      </c>
      <c r="M584" s="32" t="n">
        <f aca="false">Sens!$L$584+Sens!$M$575*Sens!$M$580</f>
        <v>34939.5886982302</v>
      </c>
    </row>
    <row r="585" customFormat="false" ht="17.15" hidden="false" customHeight="false" outlineLevel="0" collapsed="false">
      <c r="A585" s="5" t="s">
        <v>610</v>
      </c>
      <c r="B585" s="0" t="s">
        <v>173</v>
      </c>
      <c r="F585" s="36" t="n">
        <f aca="false">IF(Sens!$F$582&gt;0,Sens!$F$583/Sens!$F$582,Sens!$F$579)</f>
        <v>10.8864110021101</v>
      </c>
      <c r="G585" s="36" t="n">
        <f aca="false">IF(Sens!$G$582&gt;0,Sens!$G$583/Sens!$G$582,Sens!$G$579)</f>
        <v>10.8864110021101</v>
      </c>
      <c r="H585" s="36" t="n">
        <f aca="false">IF(Sens!$H$582&gt;0,Sens!$H$583/Sens!$H$582,Sens!$H$579)</f>
        <v>11.1095876691891</v>
      </c>
      <c r="I585" s="36" t="n">
        <f aca="false">IF(Sens!$I$582&gt;0,Sens!$I$583/Sens!$I$582,Sens!$I$579)</f>
        <v>11.2881290028523</v>
      </c>
      <c r="J585" s="36" t="n">
        <f aca="false">IF(Sens!$J$582&gt;0,Sens!$J$583/Sens!$J$582,Sens!$J$579)</f>
        <v>11.3646467172794</v>
      </c>
      <c r="K585" s="36" t="n">
        <f aca="false">IF(Sens!$K$582&gt;0,Sens!$K$583/Sens!$K$582,Sens!$K$579)</f>
        <v>11.3968090914432</v>
      </c>
      <c r="L585" s="36" t="n">
        <f aca="false">IF(Sens!$L$582&gt;0,Sens!$L$583/Sens!$L$582,Sens!$L$579)</f>
        <v>11.4110891181192</v>
      </c>
      <c r="M585" s="36" t="n">
        <f aca="false">IF(Sens!$M$582&gt;0,Sens!$M$583/Sens!$M$582,Sens!$M$579)</f>
        <v>11.4148191458201</v>
      </c>
    </row>
    <row r="586" customFormat="false" ht="17.15" hidden="false" customHeight="false" outlineLevel="0" collapsed="false">
      <c r="A586" s="5" t="s">
        <v>611</v>
      </c>
      <c r="B586" s="0" t="s">
        <v>173</v>
      </c>
      <c r="F586" s="36" t="n">
        <f aca="false">IF(Sens!$F$582&gt;0,Sens!$F$584/Sens!$F$582,Sens!$F$580)</f>
        <v>1.98263481314457</v>
      </c>
      <c r="G586" s="36" t="n">
        <f aca="false">IF(Sens!$G$582&gt;0,Sens!$G$584/Sens!$G$582,Sens!$G$580)</f>
        <v>1.98263481314457</v>
      </c>
      <c r="H586" s="36" t="n">
        <f aca="false">IF(Sens!$H$582&gt;0,Sens!$H$584/Sens!$H$582,Sens!$H$580)</f>
        <v>2.00111160233948</v>
      </c>
      <c r="I586" s="36" t="n">
        <f aca="false">IF(Sens!$I$582&gt;0,Sens!$I$584/Sens!$I$582,Sens!$I$580)</f>
        <v>2.01589303369541</v>
      </c>
      <c r="J586" s="36" t="n">
        <f aca="false">IF(Sens!$J$582&gt;0,Sens!$J$584/Sens!$J$582,Sens!$J$580)</f>
        <v>2.02222793284795</v>
      </c>
      <c r="K586" s="36" t="n">
        <f aca="false">IF(Sens!$K$582&gt;0,Sens!$K$584/Sens!$K$582,Sens!$K$580)</f>
        <v>2.02489065478573</v>
      </c>
      <c r="L586" s="36" t="n">
        <f aca="false">IF(Sens!$L$582&gt;0,Sens!$L$584/Sens!$L$582,Sens!$L$580)</f>
        <v>2.0260728977417</v>
      </c>
      <c r="M586" s="36" t="n">
        <f aca="false">IF(Sens!$M$582&gt;0,Sens!$M$584/Sens!$M$582,Sens!$M$580)</f>
        <v>2.02638170661685</v>
      </c>
    </row>
    <row r="587" customFormat="false" ht="17.15" hidden="false" customHeight="false" outlineLevel="0" collapsed="false">
      <c r="A587" s="15" t="s">
        <v>612</v>
      </c>
      <c r="B587" s="14" t="s">
        <v>173</v>
      </c>
      <c r="C587" s="14"/>
      <c r="D587" s="14"/>
      <c r="E587" s="14"/>
      <c r="F587" s="37" t="n">
        <f aca="false">Sens!$F$585*k_A</f>
        <v>16.5292102673303</v>
      </c>
      <c r="G587" s="37" t="n">
        <f aca="false">Sens!$G$585*k_A</f>
        <v>16.5292102673303</v>
      </c>
      <c r="H587" s="37" t="n">
        <f aca="false">Sens!$H$585*k_A</f>
        <v>16.8680670362136</v>
      </c>
      <c r="I587" s="37" t="n">
        <f aca="false">Sens!$I$585*k_A</f>
        <v>17.1391524513203</v>
      </c>
      <c r="J587" s="37" t="n">
        <f aca="false">Sens!$J$585*k_A</f>
        <v>17.2553319149374</v>
      </c>
      <c r="K587" s="37" t="n">
        <f aca="false">Sens!$K$585*k_A</f>
        <v>17.3041651479604</v>
      </c>
      <c r="L587" s="37" t="n">
        <f aca="false">Sens!$L$585*k_A</f>
        <v>17.3258470010069</v>
      </c>
      <c r="M587" s="37" t="n">
        <f aca="false">Sens!$M$585*k_A</f>
        <v>17.3315104296758</v>
      </c>
      <c r="N587" s="14"/>
      <c r="O587" s="14"/>
      <c r="P587" s="5" t="s">
        <v>613</v>
      </c>
    </row>
    <row r="588" customFormat="false" ht="17.15" hidden="false" customHeight="false" outlineLevel="0" collapsed="false">
      <c r="A588" s="5" t="s">
        <v>614</v>
      </c>
      <c r="B588" s="0" t="s">
        <v>129</v>
      </c>
      <c r="F588" s="32" t="n">
        <f aca="false">Sens!$F$582/2</f>
        <v>908.575</v>
      </c>
      <c r="H588" s="32" t="n">
        <f aca="false">(Sens!$G$582+Sens!$H$582)/2</f>
        <v>3634.3</v>
      </c>
      <c r="I588" s="32" t="n">
        <f aca="false">(Sens!$H$582+Sens!$I$582)/2</f>
        <v>7268.6</v>
      </c>
      <c r="J588" s="32" t="n">
        <f aca="false">(Sens!$I$582+Sens!$J$582)/2</f>
        <v>10902.9</v>
      </c>
      <c r="K588" s="32" t="n">
        <f aca="false">(Sens!$J$582+Sens!$K$582)/2</f>
        <v>14005.4835833333</v>
      </c>
      <c r="L588" s="32" t="n">
        <f aca="false">(Sens!$K$582+Sens!$L$582)/2</f>
        <v>16044.6343333333</v>
      </c>
      <c r="M588" s="32" t="n">
        <f aca="false">(Sens!$L$582+Sens!$M$582)/2</f>
        <v>17020.35225</v>
      </c>
    </row>
    <row r="589" customFormat="false" ht="17.15" hidden="false" customHeight="false" outlineLevel="0" collapsed="false">
      <c r="A589" s="1" t="s">
        <v>615</v>
      </c>
    </row>
    <row r="590" customFormat="false" ht="17.15" hidden="false" customHeight="false" outlineLevel="0" collapsed="false">
      <c r="A590" s="1" t="s">
        <v>616</v>
      </c>
      <c r="B590" s="8" t="s">
        <v>86</v>
      </c>
      <c r="C590" s="38" t="n">
        <f aca="false">Sens!$C$573*rpm_open*Sens!$C$574/1000</f>
        <v>2.32100535697364</v>
      </c>
      <c r="D590" s="38" t="n">
        <f aca="false">Sens!$D$573*rpm_open*Sens!$D$574/1000</f>
        <v>8.70377008865116</v>
      </c>
      <c r="E590" s="38" t="n">
        <f aca="false">Sens!$E$573*rpm_open*Sens!$E$574/1000</f>
        <v>8.51035297557002</v>
      </c>
      <c r="F590" s="38" t="n">
        <f aca="false">(mw_open*rpm_open+Sens!$F$588*Sens!$F$587)*Sens!$F$574/1000</f>
        <v>17.5667034895389</v>
      </c>
      <c r="G590" s="38" t="n">
        <f aca="false">Sens!$E$590+Sens!$F$590</f>
        <v>26.077056465109</v>
      </c>
      <c r="H590" s="38" t="n">
        <f aca="false">(mw_open*rpm_open+Sens!$H$588*Sens!$H$587)/1000</f>
        <v>81.4189957901494</v>
      </c>
      <c r="I590" s="38" t="n">
        <f aca="false">(mw_open*rpm_open+Sens!$I$588*Sens!$I$587)/1000</f>
        <v>144.693023268105</v>
      </c>
      <c r="J590" s="38" t="n">
        <f aca="false">(mw_open*rpm_open+Sens!$J$588*Sens!$J$587)/1000</f>
        <v>208.248538095809</v>
      </c>
      <c r="K590" s="38" t="n">
        <f aca="false">(mw_open*rpm_open+Sens!$K$588*Sens!$K$587)/1000</f>
        <v>262.468580663487</v>
      </c>
      <c r="L590" s="38" t="n">
        <f aca="false">(mw_open*rpm_open+Sens!$L$588*Sens!$L$587)/1000</f>
        <v>298.102259406873</v>
      </c>
      <c r="M590" s="38" t="n">
        <f aca="false">(mw_open*rpm_open+Sens!$M$588*Sens!$M$587)/1000</f>
        <v>315.103792298069</v>
      </c>
      <c r="N590" s="38" t="n">
        <f aca="false">Sens!$N$573*rpm_open*Sens!$N$574/1000</f>
        <v>3.04631953102791</v>
      </c>
      <c r="O590" s="38" t="n">
        <f aca="false">Sens!$O$573*rpm_open*Sens!$O$574/1000</f>
        <v>5.65745055762326</v>
      </c>
      <c r="P590" s="5" t="s">
        <v>617</v>
      </c>
    </row>
    <row r="591" customFormat="false" ht="17.15" hidden="false" customHeight="false" outlineLevel="0" collapsed="false">
      <c r="A591" s="5" t="s">
        <v>618</v>
      </c>
      <c r="B591" s="0" t="s">
        <v>173</v>
      </c>
      <c r="C591" s="36" t="n">
        <f aca="false">Sens!$C$590*1000/(Sens!$C$573*Sens!$C$574)</f>
        <v>9.67085565405685</v>
      </c>
      <c r="D591" s="36" t="n">
        <f aca="false">Sens!$D$590*1000/(Sens!$D$573*Sens!$D$574)</f>
        <v>9.67085565405685</v>
      </c>
      <c r="E591" s="36" t="n">
        <f aca="false">Sens!$E$590*1000/(Sens!$E$573*Sens!$E$574)</f>
        <v>9.67085565405685</v>
      </c>
      <c r="F591" s="36" t="n">
        <f aca="false">Sens!$F$590*1000/(Sens!$F$573*Sens!$F$574)</f>
        <v>11.7559060686374</v>
      </c>
      <c r="G591" s="36" t="n">
        <f aca="false">Sens!$G$590*1000/(Sens!$G$573*Sens!$G$574)</f>
        <v>10.9831081809212</v>
      </c>
      <c r="H591" s="36" t="n">
        <f aca="false">Sens!$H$590*1000/(Sens!$H$573*Sens!$H$574)</f>
        <v>14.2482886425545</v>
      </c>
      <c r="I591" s="36" t="n">
        <f aca="false">Sens!$I$590*1000/(Sens!$I$573*Sens!$I$574)</f>
        <v>15.4775071420432</v>
      </c>
      <c r="J591" s="36" t="n">
        <f aca="false">Sens!$J$590*1000/(Sens!$J$573*Sens!$J$574)</f>
        <v>16.0402173702185</v>
      </c>
      <c r="K591" s="36" t="n">
        <f aca="false">Sens!$K$590*1000/(Sens!$K$573*Sens!$K$574)</f>
        <v>16.3171084850342</v>
      </c>
      <c r="L591" s="36" t="n">
        <f aca="false">Sens!$L$590*1000/(Sens!$L$573*Sens!$L$574)</f>
        <v>16.4473530292762</v>
      </c>
      <c r="M591" s="36" t="n">
        <f aca="false">Sens!$M$590*1000/(Sens!$M$573*Sens!$M$574)</f>
        <v>16.4972764990797</v>
      </c>
      <c r="N591" s="36" t="n">
        <f aca="false">Sens!$N$590*1000/(Sens!$N$573*Sens!$N$574)</f>
        <v>9.67085565405685</v>
      </c>
      <c r="O591" s="36" t="n">
        <f aca="false">Sens!$O$590*1000/(Sens!$O$573*Sens!$O$574)</f>
        <v>9.67085565405685</v>
      </c>
    </row>
    <row r="592" customFormat="false" ht="17.15" hidden="false" customHeight="false" outlineLevel="0" collapsed="false">
      <c r="A592" s="0" t="s">
        <v>619</v>
      </c>
      <c r="B592" s="0" t="s">
        <v>86</v>
      </c>
      <c r="C592" s="38" t="n">
        <f aca="false">Sens!$C$573/ext_sh*(ox_open+rent_mw)*Sens!$C$574/1000</f>
        <v>0.642569210675032</v>
      </c>
      <c r="D592" s="38" t="n">
        <f aca="false">Sens!$D$573/ext_sh*(ox_open+rent_mw)*Sens!$D$574/1000</f>
        <v>2.40963454003137</v>
      </c>
      <c r="E592" s="38" t="n">
        <f aca="false">Sens!$E$573/ext_sh*(ox_open+rent_mw)*Sens!$E$574/1000</f>
        <v>2.35608710580845</v>
      </c>
      <c r="F592" s="38" t="n">
        <f aca="false">((mw_open*ox_open+Sens!$F$588*Sens!$F$586)/ext_sh+Sens!$F$573/ext_sh*rent_mw)*Sens!$F$574/1000</f>
        <v>4.05421991106232</v>
      </c>
      <c r="G592" s="38" t="n">
        <f aca="false">Sens!$E$592+Sens!$F$592</f>
        <v>6.41030701687077</v>
      </c>
      <c r="H592" s="38" t="n">
        <f aca="false">((mw_open*ox_open+Sens!$H$588*Sens!$H$586)/ext_sh+Sens!$H$573/ext_sh*rent_mw)*Sens!$H$574/1000</f>
        <v>15.8108975546616</v>
      </c>
      <c r="I592" s="38" t="n">
        <f aca="false">((mw_open*ox_open+Sens!$I$588*Sens!$I$586)/ext_sh+Sens!$I$573/ext_sh*rent_mw)*Sens!$I$574/1000</f>
        <v>26.1871623400817</v>
      </c>
      <c r="J592" s="38" t="n">
        <f aca="false">((mw_open*ox_open+Sens!$J$588*Sens!$J$586)/ext_sh+Sens!$J$573/ext_sh*rent_mw)*Sens!$J$574/1000</f>
        <v>36.5826128954935</v>
      </c>
      <c r="K592" s="38" t="n">
        <f aca="false">((mw_open*ox_open+Sens!$K$588*Sens!$K$586)/ext_sh+Sens!$K$573/ext_sh*rent_mw)*Sens!$K$574/1000</f>
        <v>45.4546361137628</v>
      </c>
      <c r="L592" s="38" t="n">
        <f aca="false">((mw_open*ox_open+Sens!$L$588*Sens!$L$586)/ext_sh+Sens!$L$573/ext_sh*rent_mw)*Sens!$L$574/1000</f>
        <v>51.2855695554452</v>
      </c>
      <c r="M592" s="38" t="n">
        <f aca="false">((mw_open*ox_open+Sens!$M$588*Sens!$M$586)/ext_sh+Sens!$M$573/ext_sh*rent_mw)*Sens!$M$574/1000</f>
        <v>54.0722927838398</v>
      </c>
      <c r="N592" s="38" t="n">
        <f aca="false">Sens!$N$573/ext_sh*(ox_open+rent_mw)*Sens!$N$574/1000</f>
        <v>0.84337208901098</v>
      </c>
      <c r="O592" s="38" t="n">
        <f aca="false">Sens!$O$573/ext_sh*(ox_open+rent_mw)*Sens!$O$574/1000</f>
        <v>1.56626245102039</v>
      </c>
    </row>
    <row r="593" customFormat="false" ht="17.15" hidden="false" customHeight="false" outlineLevel="0" collapsed="false">
      <c r="A593" s="0" t="s">
        <v>620</v>
      </c>
      <c r="B593" s="0" t="s">
        <v>86</v>
      </c>
      <c r="C593" s="38" t="n">
        <f aca="false">Q!$D$7</f>
        <v>107.556</v>
      </c>
      <c r="D593" s="38" t="n">
        <f aca="false">Q!$E$7</f>
        <v>128.725</v>
      </c>
      <c r="E593" s="38" t="n">
        <f aca="false">Q!$P$7</f>
        <v>79.819</v>
      </c>
      <c r="N593" s="38" t="n">
        <f aca="false">Q!$N$7</f>
        <v>60.14</v>
      </c>
      <c r="O593" s="38" t="n">
        <f aca="false">Q!$O$7</f>
        <v>68.585</v>
      </c>
    </row>
    <row r="594" customFormat="false" ht="17.15" hidden="false" customHeight="false" outlineLevel="0" collapsed="false">
      <c r="A594" s="1" t="s">
        <v>621</v>
      </c>
      <c r="B594" s="8" t="s">
        <v>86</v>
      </c>
      <c r="C594" s="38" t="n">
        <f aca="false">Sens!$C$593-Sens!$C$590</f>
        <v>105.234994643026</v>
      </c>
      <c r="D594" s="38" t="n">
        <f aca="false">Sens!$D$593-Sens!$D$590</f>
        <v>120.021229911349</v>
      </c>
      <c r="E594" s="38" t="n">
        <f aca="false">Sens!$E$593-Sens!$E$590</f>
        <v>71.30864702443</v>
      </c>
      <c r="F594" s="38" t="n">
        <f aca="false">Sens!$O$594*(1+Sens!$F$595)</f>
        <v>71.7692997942464</v>
      </c>
      <c r="G594" s="38" t="n">
        <f aca="false">Sens!$E$594+Sens!$F$594</f>
        <v>143.077946818676</v>
      </c>
      <c r="H594" s="38" t="n">
        <f aca="false">Sens!$G$594*(1+Sens!$H$595)</f>
        <v>161.017077079203</v>
      </c>
      <c r="I594" s="38" t="n">
        <f aca="false">Sens!$H$594*(1+Sens!$I$595)</f>
        <v>178.769759521457</v>
      </c>
      <c r="J594" s="38" t="n">
        <f aca="false">Sens!$I$594*(1+Sens!$J$595)</f>
        <v>195.775538045907</v>
      </c>
      <c r="K594" s="38" t="n">
        <f aca="false">Sens!$J$594*(1+Sens!$K$595)</f>
        <v>211.43758108958</v>
      </c>
      <c r="L594" s="38" t="n">
        <f aca="false">Sens!$K$594*(1+Sens!$L$595)</f>
        <v>228.352587576746</v>
      </c>
      <c r="M594" s="38" t="n">
        <f aca="false">Sens!$L$594*(1+Sens!$M$595)</f>
        <v>246.620794582886</v>
      </c>
      <c r="N594" s="38" t="n">
        <f aca="false">Sens!$N$593-Sens!$N$590</f>
        <v>57.0936804689721</v>
      </c>
      <c r="O594" s="38" t="n">
        <f aca="false">Sens!$O$593-Sens!$O$590</f>
        <v>62.9275494423768</v>
      </c>
      <c r="P594" s="5" t="s">
        <v>622</v>
      </c>
    </row>
    <row r="595" customFormat="false" ht="17.15" hidden="false" customHeight="false" outlineLevel="0" collapsed="false">
      <c r="A595" s="0" t="s">
        <v>623</v>
      </c>
      <c r="B595" s="0" t="s">
        <v>52</v>
      </c>
      <c r="D595" s="13" t="n">
        <f aca="false">Sens!$D$594/Sens!$C$594-1</f>
        <v>0.140506827776062</v>
      </c>
      <c r="E595" s="13" t="n">
        <f aca="false">Sens!$E$594/Sens!$N$594-1</f>
        <v>0.248976181579029</v>
      </c>
      <c r="F595" s="13" t="n">
        <f aca="false">Sens!$D$595</f>
        <v>0.140506827776062</v>
      </c>
      <c r="G595" s="13" t="n">
        <f aca="false">Sens!$G$594/Sens!$D$594-1</f>
        <v>0.19210532106993</v>
      </c>
      <c r="H595" s="13" t="n">
        <f aca="false">Sens!$F$595+(g_awso_lt-Sens!$F$595)*1/4</f>
        <v>0.125380120832046</v>
      </c>
      <c r="I595" s="13" t="n">
        <f aca="false">Sens!$F$595+(g_awso_lt-Sens!$F$595)*2/4</f>
        <v>0.110253413888031</v>
      </c>
      <c r="J595" s="13" t="n">
        <f aca="false">Sens!$F$595+(g_awso_lt-Sens!$F$595)*3/4</f>
        <v>0.0951267069440154</v>
      </c>
      <c r="K595" s="13" t="n">
        <f aca="false">Sens!$F$595+(g_awso_lt-Sens!$F$595)*4/4</f>
        <v>0.08</v>
      </c>
      <c r="L595" s="13" t="n">
        <f aca="false">g_awso_lt</f>
        <v>0.08</v>
      </c>
      <c r="M595" s="13" t="n">
        <f aca="false">g_awso_lt</f>
        <v>0.08</v>
      </c>
      <c r="P595" s="5" t="s">
        <v>624</v>
      </c>
    </row>
    <row r="596" customFormat="false" ht="17.15" hidden="false" customHeight="false" outlineLevel="0" collapsed="false">
      <c r="A596" s="1" t="s">
        <v>625</v>
      </c>
    </row>
    <row r="597" customFormat="false" ht="17.15" hidden="false" customHeight="false" outlineLevel="0" collapsed="false">
      <c r="A597" s="0" t="s">
        <v>626</v>
      </c>
      <c r="B597" s="0" t="s">
        <v>86</v>
      </c>
      <c r="F597" s="38" t="n">
        <f aca="false">cx_rt*Sens!$F$562+cx_awso*Sens!$F$594</f>
        <v>34.9734495387866</v>
      </c>
    </row>
    <row r="598" customFormat="false" ht="17.15" hidden="false" customHeight="false" outlineLevel="0" collapsed="false">
      <c r="A598" s="0" t="s">
        <v>627</v>
      </c>
      <c r="B598" s="0" t="s">
        <v>52</v>
      </c>
      <c r="C598" s="13" t="n">
        <f aca="false">tk_cx_h100/(tk_cx_h100+tk_fac*(1-colo_sh))</f>
        <v>0.730756458006641</v>
      </c>
      <c r="D598" s="13" t="n">
        <f aca="false">tk_cx_h100/(tk_cx_h100+tk_fac*(1-colo_sh))</f>
        <v>0.730756458006641</v>
      </c>
      <c r="E598" s="13" t="n">
        <f aca="false">Sens!$F$598</f>
        <v>0.760792334328868</v>
      </c>
      <c r="F598" s="13" t="n">
        <f aca="false">Sens!$F$581/(Sens!$F$581+tk_fac*(1-colo_sh))</f>
        <v>0.760792334328868</v>
      </c>
      <c r="G598" s="13" t="n">
        <f aca="false">Sens!$G$581/(Sens!$G$581+tk_fac*(1-colo_sh))</f>
        <v>0.760792334328868</v>
      </c>
      <c r="H598" s="13" t="n">
        <f aca="false">Sens!$H$581/(Sens!$H$581+tk_fac*(1-colo_sh))</f>
        <v>0.768110668862996</v>
      </c>
      <c r="I598" s="13" t="n">
        <f aca="false">Sens!$I$581/(Sens!$I$581+tk_fac*(1-colo_sh))</f>
        <v>0.77499450139483</v>
      </c>
      <c r="J598" s="13" t="n">
        <f aca="false">Sens!$J$581/(Sens!$J$581+tk_fac*(1-colo_sh))</f>
        <v>0.77499450139483</v>
      </c>
      <c r="K598" s="13" t="n">
        <f aca="false">Sens!$K$581/(Sens!$K$581+tk_fac*(1-colo_sh))</f>
        <v>0.77499450139483</v>
      </c>
      <c r="L598" s="13" t="n">
        <f aca="false">Sens!$L$581/(Sens!$L$581+tk_fac*(1-colo_sh))</f>
        <v>0.77499450139483</v>
      </c>
      <c r="M598" s="13" t="n">
        <f aca="false">Sens!$M$581/(Sens!$M$581+tk_fac*(1-colo_sh))</f>
        <v>0.77499450139483</v>
      </c>
    </row>
    <row r="599" customFormat="false" ht="17.15" hidden="false" customHeight="false" outlineLevel="0" collapsed="false">
      <c r="A599" s="1" t="s">
        <v>628</v>
      </c>
      <c r="B599" s="8" t="s">
        <v>86</v>
      </c>
      <c r="C599" s="38" t="n">
        <f aca="false">Q!$D$46-cx_rt*Q!$D$16-cx_awso*Sens!$C$594</f>
        <v>25.2781053077374</v>
      </c>
      <c r="D599" s="38" t="n">
        <f aca="false">Q!$E$46-cx_rt*Q!$E$16-cx_awso*Sens!$D$594</f>
        <v>69.5686316310026</v>
      </c>
      <c r="E599" s="38" t="n">
        <f aca="false">Q!$P$46-cx_rt*Q!$P$16-cx_awso*Sens!$E$594</f>
        <v>64.1899206485108</v>
      </c>
      <c r="F599" s="38" t="n">
        <f aca="false">MAX(Sens!$F$576*(Sens!$F$581+tk_fac*(1-colo_sh))/1000,capex_g26-Q!$P$46-Sens!$F$597)</f>
        <v>96.2481299895</v>
      </c>
      <c r="G599" s="38" t="n">
        <f aca="false">Sens!$E$599+Sens!$F$599</f>
        <v>160.438050638011</v>
      </c>
      <c r="H599" s="38" t="n">
        <f aca="false">Sens!$H$576*(Sens!$H$581+tk_fac*(1-colo_sh))/1000+Sens!$H$600</f>
        <v>198.57136494475</v>
      </c>
      <c r="I599" s="38" t="n">
        <f aca="false">Sens!$I$576*(Sens!$I$581+tk_fac*(1-colo_sh))/1000+Sens!$I$600</f>
        <v>204.6464699105</v>
      </c>
      <c r="J599" s="38" t="n">
        <f aca="false">Sens!$J$576*(Sens!$J$581+tk_fac*(1-colo_sh))/1000+Sens!$J$600</f>
        <v>209.8832381105</v>
      </c>
      <c r="K599" s="38" t="n">
        <f aca="false">Sens!$K$576*(Sens!$K$581+tk_fac*(1-colo_sh))/1000+Sens!$K$600</f>
        <v>155.238385275201</v>
      </c>
      <c r="L599" s="38" t="n">
        <f aca="false">Sens!$L$576*(Sens!$L$581+tk_fac*(1-colo_sh))/1000+Sens!$L$600</f>
        <v>132.014141639902</v>
      </c>
      <c r="M599" s="38" t="n">
        <f aca="false">Sens!$M$576*(Sens!$M$581+tk_fac*(1-colo_sh))/1000+Sens!$M$600</f>
        <v>132.230981659852</v>
      </c>
      <c r="P599" s="5" t="s">
        <v>629</v>
      </c>
      <c r="R599" s="38" t="n">
        <f aca="false">Q!$C$46-cx_rt*Q!$C$16-cx_awso*(Q!$C$7-mw_ye23/2*rpm_open/1000)</f>
        <v>1.50429979529945</v>
      </c>
      <c r="S599" s="38" t="n">
        <f aca="false">Sens!$C$599</f>
        <v>25.2781053077374</v>
      </c>
      <c r="T599" s="38" t="n">
        <f aca="false">Sens!$D$599</f>
        <v>69.5686316310026</v>
      </c>
      <c r="U599" s="38" t="n">
        <f aca="false">Sens!$G$599</f>
        <v>160.438050638011</v>
      </c>
      <c r="V599" s="38" t="n">
        <f aca="false">Sens!$H$599</f>
        <v>198.57136494475</v>
      </c>
      <c r="W599" s="38" t="n">
        <f aca="false">Sens!$I$599</f>
        <v>204.6464699105</v>
      </c>
      <c r="X599" s="38" t="n">
        <f aca="false">Sens!$J$599</f>
        <v>209.8832381105</v>
      </c>
      <c r="Y599" s="38" t="n">
        <f aca="false">Sens!$K$599</f>
        <v>155.238385275201</v>
      </c>
      <c r="Z599" s="38" t="n">
        <f aca="false">Sens!$L$599</f>
        <v>132.014141639902</v>
      </c>
      <c r="AA599" s="38" t="n">
        <f aca="false">Sens!$M$599</f>
        <v>132.230981659852</v>
      </c>
    </row>
    <row r="600" customFormat="false" ht="17.15" hidden="false" customHeight="false" outlineLevel="0" collapsed="false">
      <c r="A600" s="0" t="s">
        <v>630</v>
      </c>
      <c r="B600" s="0" t="s">
        <v>86</v>
      </c>
      <c r="H600" s="38" t="n">
        <f aca="false">SUMPRODUCT(--(Sens!$R$569:$AA$569=2027-tk_life),Sens!$R$576:$AA$576)*Sens!$H$581/1000</f>
        <v>0</v>
      </c>
      <c r="I600" s="38" t="n">
        <f aca="false">SUMPRODUCT(--(Sens!$R$569:$AA$569=2028-tk_life),Sens!$R$576:$AA$576)*Sens!$I$581/1000</f>
        <v>0</v>
      </c>
      <c r="J600" s="38" t="n">
        <f aca="false">SUMPRODUCT(--(Sens!$R$569:$AA$569=2029-tk_life),Sens!$R$576:$AA$576)*Sens!$J$581/1000</f>
        <v>5.2367682</v>
      </c>
      <c r="K600" s="38" t="n">
        <f aca="false">SUMPRODUCT(--(Sens!$R$569:$AA$569=2030-tk_life),Sens!$R$576:$AA$576)*Sens!$K$581/1000</f>
        <v>10.4735364</v>
      </c>
      <c r="L600" s="38" t="n">
        <f aca="false">SUMPRODUCT(--(Sens!$R$569:$AA$569=2031-tk_life),Sens!$R$576:$AA$576)*Sens!$L$581/1000</f>
        <v>47.1309138</v>
      </c>
      <c r="M600" s="38" t="n">
        <f aca="false">SUMPRODUCT(--(Sens!$R$569:$AA$569=2032-tk_life),Sens!$R$576:$AA$576)*Sens!$M$581/1000</f>
        <v>107.22937485525</v>
      </c>
    </row>
    <row r="601" customFormat="false" ht="17.15" hidden="false" customHeight="false" outlineLevel="0" collapsed="false">
      <c r="A601" s="0" t="s">
        <v>631</v>
      </c>
      <c r="B601" s="0" t="s">
        <v>86</v>
      </c>
      <c r="C601" s="38" t="n">
        <f aca="false">MIN(Sens!$C$599,Sens!$C$576*(tk_cx_h100+tk_fac*(1-colo_sh))/1000)</f>
        <v>11.2938642</v>
      </c>
      <c r="D601" s="38" t="n">
        <f aca="false">MIN(Sens!$D$599,Sens!$D$576*(tk_cx_h100+tk_fac*(1-colo_sh))/1000)</f>
        <v>50.8223889</v>
      </c>
      <c r="E601" s="38" t="n">
        <f aca="false">MIN(Sens!$E$599,Sens!$E$576*(Sens!$F$581+tk_fac*(1-colo_sh))/1000)</f>
        <v>33.8985792</v>
      </c>
      <c r="F601" s="38" t="n">
        <f aca="false">Sens!$F$599</f>
        <v>96.2481299895</v>
      </c>
      <c r="G601" s="38" t="n">
        <f aca="false">Sens!$E$601+Sens!$F$601</f>
        <v>130.1467091895</v>
      </c>
      <c r="H601" s="38" t="n">
        <f aca="false">Sens!$H$599</f>
        <v>198.57136494475</v>
      </c>
      <c r="I601" s="38" t="n">
        <f aca="false">Sens!$I$599</f>
        <v>204.6464699105</v>
      </c>
      <c r="J601" s="38" t="n">
        <f aca="false">Sens!$J$599</f>
        <v>209.8832381105</v>
      </c>
      <c r="K601" s="38" t="n">
        <f aca="false">Sens!$K$599</f>
        <v>155.238385275201</v>
      </c>
      <c r="L601" s="38" t="n">
        <f aca="false">Sens!$L$599</f>
        <v>132.014141639902</v>
      </c>
      <c r="M601" s="38" t="n">
        <f aca="false">Sens!$M$599</f>
        <v>132.230981659852</v>
      </c>
      <c r="P601" s="5" t="s">
        <v>632</v>
      </c>
      <c r="R601" s="38" t="n">
        <f aca="false">MIN(Sens!$R$599,Sens!$R$576*(tk_cx_h100+tk_fac*(1-colo_sh))/1000)</f>
        <v>1.50429979529945</v>
      </c>
      <c r="S601" s="38" t="n">
        <f aca="false">Sens!$C$601</f>
        <v>11.2938642</v>
      </c>
      <c r="T601" s="38" t="n">
        <f aca="false">Sens!$D$601</f>
        <v>50.8223889</v>
      </c>
      <c r="U601" s="38" t="n">
        <f aca="false">Sens!$G$601</f>
        <v>130.1467091895</v>
      </c>
      <c r="V601" s="38" t="n">
        <f aca="false">Sens!$H$601</f>
        <v>198.57136494475</v>
      </c>
      <c r="W601" s="38" t="n">
        <f aca="false">Sens!$I$601</f>
        <v>204.6464699105</v>
      </c>
      <c r="X601" s="38" t="n">
        <f aca="false">Sens!$J$601</f>
        <v>209.8832381105</v>
      </c>
      <c r="Y601" s="38" t="n">
        <f aca="false">Sens!$K$601</f>
        <v>155.238385275201</v>
      </c>
      <c r="Z601" s="38" t="n">
        <f aca="false">Sens!$L$601</f>
        <v>132.014141639902</v>
      </c>
      <c r="AA601" s="38" t="n">
        <f aca="false">Sens!$M$601</f>
        <v>132.230981659852</v>
      </c>
    </row>
    <row r="602" customFormat="false" ht="17.15" hidden="false" customHeight="false" outlineLevel="0" collapsed="false">
      <c r="A602" s="5" t="s">
        <v>633</v>
      </c>
      <c r="B602" s="0" t="s">
        <v>86</v>
      </c>
      <c r="C602" s="38" t="n">
        <f aca="false">Sens!$C$599-Sens!$C$601</f>
        <v>13.9842411077374</v>
      </c>
      <c r="D602" s="38" t="n">
        <f aca="false">Sens!$D$599-Sens!$D$601</f>
        <v>18.7462427310026</v>
      </c>
      <c r="E602" s="38" t="n">
        <f aca="false">Sens!$E$599-Sens!$E$601</f>
        <v>30.2913414485108</v>
      </c>
      <c r="F602" s="38" t="n">
        <f aca="false">Sens!$F$599-Sens!$F$601</f>
        <v>0</v>
      </c>
      <c r="G602" s="38" t="n">
        <f aca="false">Sens!$G$599-Sens!$G$601</f>
        <v>30.2913414485108</v>
      </c>
      <c r="H602" s="38" t="n">
        <f aca="false">Sens!$H$599-Sens!$H$601</f>
        <v>0</v>
      </c>
      <c r="I602" s="38" t="n">
        <f aca="false">Sens!$I$599-Sens!$I$601</f>
        <v>0</v>
      </c>
      <c r="J602" s="38" t="n">
        <f aca="false">Sens!$J$599-Sens!$J$601</f>
        <v>0</v>
      </c>
      <c r="K602" s="38" t="n">
        <f aca="false">Sens!$K$599-Sens!$K$601</f>
        <v>0</v>
      </c>
      <c r="L602" s="38" t="n">
        <f aca="false">Sens!$L$599-Sens!$L$601</f>
        <v>0</v>
      </c>
      <c r="M602" s="38" t="n">
        <f aca="false">Sens!$M$599-Sens!$M$601</f>
        <v>0</v>
      </c>
    </row>
    <row r="603" customFormat="false" ht="17.15" hidden="false" customHeight="false" outlineLevel="0" collapsed="false">
      <c r="A603" s="5" t="s">
        <v>634</v>
      </c>
      <c r="B603" s="0" t="s">
        <v>86</v>
      </c>
      <c r="C603" s="38" t="n">
        <f aca="false">Sens!$C$601*Sens!$C$598</f>
        <v>8.2530642</v>
      </c>
      <c r="D603" s="38" t="n">
        <f aca="false">Sens!$D$601*Sens!$D$598</f>
        <v>37.1387889</v>
      </c>
      <c r="E603" s="38" t="n">
        <f aca="false">Sens!$E$601*Sens!$E$598</f>
        <v>25.7897792</v>
      </c>
      <c r="F603" s="38" t="n">
        <f aca="false">Sens!$F$601*Sens!$F$598</f>
        <v>73.2248394895</v>
      </c>
      <c r="G603" s="38" t="n">
        <f aca="false">Sens!$E$603+Sens!$F$603</f>
        <v>99.0146186895</v>
      </c>
      <c r="H603" s="38" t="n">
        <f aca="false">(Sens!$H$601-Sens!$H$600)*Sens!$H$598+Sens!$H$600</f>
        <v>152.52478394475</v>
      </c>
      <c r="I603" s="38" t="n">
        <f aca="false">(Sens!$I$601-Sens!$I$600)*Sens!$I$598+Sens!$I$600</f>
        <v>158.5998889105</v>
      </c>
      <c r="J603" s="38" t="n">
        <f aca="false">(Sens!$J$601-Sens!$J$600)*Sens!$J$598+Sens!$J$600</f>
        <v>163.8366571105</v>
      </c>
      <c r="K603" s="38" t="n">
        <f aca="false">(Sens!$K$601-Sens!$K$600)*Sens!$K$598+Sens!$K$600</f>
        <v>122.665498273534</v>
      </c>
      <c r="L603" s="38" t="n">
        <f aca="false">(Sens!$L$601-Sens!$L$600)*Sens!$L$598+Sens!$L$600</f>
        <v>112.914948636568</v>
      </c>
      <c r="M603" s="38" t="n">
        <f aca="false">(Sens!$M$601-Sens!$M$600)*Sens!$M$598+Sens!$M$600</f>
        <v>126.605482654852</v>
      </c>
      <c r="R603" s="38" t="n">
        <f aca="false">Sens!$R$601*Sens!$C$598</f>
        <v>1.09927679019314</v>
      </c>
      <c r="S603" s="38" t="n">
        <f aca="false">Sens!$C$603</f>
        <v>8.2530642</v>
      </c>
      <c r="T603" s="38" t="n">
        <f aca="false">Sens!$D$603</f>
        <v>37.1387889</v>
      </c>
      <c r="U603" s="38" t="n">
        <f aca="false">Sens!$G$603</f>
        <v>99.0146186895</v>
      </c>
      <c r="V603" s="38" t="n">
        <f aca="false">Sens!$H$603</f>
        <v>152.52478394475</v>
      </c>
      <c r="W603" s="38" t="n">
        <f aca="false">Sens!$I$603</f>
        <v>158.5998889105</v>
      </c>
      <c r="X603" s="38" t="n">
        <f aca="false">Sens!$J$603</f>
        <v>163.8366571105</v>
      </c>
      <c r="Y603" s="38" t="n">
        <f aca="false">Sens!$K$603</f>
        <v>122.665498273534</v>
      </c>
      <c r="Z603" s="38" t="n">
        <f aca="false">Sens!$L$603</f>
        <v>112.914948636568</v>
      </c>
      <c r="AA603" s="38" t="n">
        <f aca="false">Sens!$M$603</f>
        <v>126.605482654852</v>
      </c>
    </row>
    <row r="604" customFormat="false" ht="15" hidden="false" customHeight="false" outlineLevel="0" collapsed="false">
      <c r="A604" s="5" t="s">
        <v>635</v>
      </c>
      <c r="B604" s="0" t="s">
        <v>86</v>
      </c>
      <c r="C604" s="38" t="n">
        <f aca="false">Sens!$C$601-Sens!$C$603</f>
        <v>3.0408</v>
      </c>
      <c r="D604" s="38" t="n">
        <f aca="false">Sens!$D$601-Sens!$D$603</f>
        <v>13.6836</v>
      </c>
      <c r="E604" s="38" t="n">
        <f aca="false">Sens!$E$601-Sens!$E$603</f>
        <v>8.1088</v>
      </c>
      <c r="F604" s="38" t="n">
        <f aca="false">Sens!$F$601-Sens!$F$603</f>
        <v>23.0232905</v>
      </c>
      <c r="G604" s="38" t="n">
        <f aca="false">Sens!$G$601-Sens!$G$603</f>
        <v>31.1320905</v>
      </c>
      <c r="H604" s="38" t="n">
        <f aca="false">Sens!$H$601-Sens!$H$603</f>
        <v>46.046581</v>
      </c>
      <c r="I604" s="38" t="n">
        <f aca="false">Sens!$I$601-Sens!$I$603</f>
        <v>46.046581</v>
      </c>
      <c r="J604" s="38" t="n">
        <f aca="false">Sens!$J$601-Sens!$J$603</f>
        <v>46.046581</v>
      </c>
      <c r="K604" s="38" t="n">
        <f aca="false">Sens!$K$601-Sens!$K$603</f>
        <v>32.5728870016667</v>
      </c>
      <c r="L604" s="38" t="n">
        <f aca="false">Sens!$L$601-Sens!$L$603</f>
        <v>19.0991930033334</v>
      </c>
      <c r="M604" s="38" t="n">
        <f aca="false">Sens!$M$601-Sens!$M$603</f>
        <v>5.62549900499998</v>
      </c>
      <c r="R604" s="38" t="n">
        <f aca="false">Sens!$R$601-Sens!$R$603</f>
        <v>0.405023005106309</v>
      </c>
      <c r="S604" s="38" t="n">
        <f aca="false">Sens!$S$601-Sens!$S$603</f>
        <v>3.0408</v>
      </c>
      <c r="T604" s="38" t="n">
        <f aca="false">Sens!$T$601-Sens!$T$603</f>
        <v>13.6836</v>
      </c>
      <c r="U604" s="38" t="n">
        <f aca="false">Sens!$U$601-Sens!$U$603</f>
        <v>31.1320905</v>
      </c>
      <c r="V604" s="38" t="n">
        <f aca="false">Sens!$V$601-Sens!$V$603</f>
        <v>46.046581</v>
      </c>
      <c r="W604" s="38" t="n">
        <f aca="false">Sens!$W$601-Sens!$W$603</f>
        <v>46.046581</v>
      </c>
      <c r="X604" s="38" t="n">
        <f aca="false">Sens!$X$601-Sens!$X$603</f>
        <v>46.046581</v>
      </c>
      <c r="Y604" s="38" t="n">
        <f aca="false">Sens!$Y$601-Sens!$Y$603</f>
        <v>32.5728870016667</v>
      </c>
      <c r="Z604" s="38" t="n">
        <f aca="false">Sens!$Z$601-Sens!$Z$603</f>
        <v>19.0991930033334</v>
      </c>
      <c r="AA604" s="38" t="n">
        <f aca="false">Sens!$AA$601-Sens!$AA$603</f>
        <v>5.62549900499998</v>
      </c>
    </row>
    <row r="605" customFormat="false" ht="17.15" hidden="false" customHeight="false" outlineLevel="0" collapsed="false">
      <c r="A605" s="0" t="s">
        <v>636</v>
      </c>
      <c r="B605" s="0" t="s">
        <v>52</v>
      </c>
      <c r="C605" s="13" t="n">
        <f aca="false">Sens!$C$599/Sens!$C$721</f>
        <v>0.325505489553393</v>
      </c>
      <c r="D605" s="13" t="n">
        <f aca="false">Sens!$D$599/Sens!$D$721</f>
        <v>0.54214956071542</v>
      </c>
      <c r="E605" s="13" t="n">
        <f aca="false">Sens!$E$599/Sens!$E$721</f>
        <v>0.666492790452817</v>
      </c>
      <c r="F605" s="13" t="n">
        <f aca="false">Sens!$F$599/Sens!$F$721</f>
        <v>0.733477910687338</v>
      </c>
      <c r="G605" s="13" t="n">
        <f aca="false">Sens!$G$599/Sens!$G$721</f>
        <v>0.705124321514523</v>
      </c>
      <c r="H605" s="13" t="n">
        <f aca="false">Sens!$H$599/Sens!$H$721</f>
        <v>0.726376041178204</v>
      </c>
      <c r="I605" s="13" t="n">
        <f aca="false">Sens!$I$599/Sens!$I$721</f>
        <v>0.713099092661699</v>
      </c>
      <c r="J605" s="13" t="n">
        <f aca="false">Sens!$J$599/Sens!$J$721</f>
        <v>0.701208348786245</v>
      </c>
      <c r="K605" s="13" t="n">
        <f aca="false">Sens!$K$599/Sens!$K$721</f>
        <v>0.618338844562383</v>
      </c>
      <c r="L605" s="13" t="n">
        <f aca="false">Sens!$L$599/Sens!$L$721</f>
        <v>0.562489158462506</v>
      </c>
      <c r="M605" s="13" t="n">
        <f aca="false">Sens!$M$599/Sens!$M$721</f>
        <v>0.545751190895923</v>
      </c>
    </row>
    <row r="606" customFormat="false" ht="17.15" hidden="false" customHeight="false" outlineLevel="0" collapsed="false">
      <c r="A606" s="0" t="s">
        <v>637</v>
      </c>
      <c r="B606" s="0" t="s">
        <v>86</v>
      </c>
      <c r="C606" s="38" t="n">
        <f aca="false">Sens!$S$606</f>
        <v>0.183212798365523</v>
      </c>
      <c r="D606" s="38" t="n">
        <f aca="false">Sens!$T$606</f>
        <v>1.55872349836552</v>
      </c>
      <c r="E606" s="38" t="n">
        <f aca="false">Sens!$G$606/2</f>
        <v>3.87426082418276</v>
      </c>
      <c r="F606" s="38" t="n">
        <f aca="false">Sens!$G$606/2</f>
        <v>3.87426082418276</v>
      </c>
      <c r="G606" s="38" t="n">
        <f aca="false">Sens!$U$606</f>
        <v>7.74852164836552</v>
      </c>
      <c r="H606" s="38" t="n">
        <f aca="false">Sens!$V$606</f>
        <v>24.2509580966155</v>
      </c>
      <c r="I606" s="38" t="n">
        <f aca="false">Sens!$W$606</f>
        <v>49.6717554207405</v>
      </c>
      <c r="J606" s="38" t="n">
        <f aca="false">Sens!$X$606</f>
        <v>76.1050702391572</v>
      </c>
      <c r="K606" s="38" t="n">
        <f aca="false">Sens!$Y$606</f>
        <v>103.227966959208</v>
      </c>
      <c r="L606" s="38" t="n">
        <f aca="false">Sens!$Z$606</f>
        <v>122.296705971464</v>
      </c>
      <c r="M606" s="38" t="n">
        <f aca="false">Sens!$AA$606</f>
        <v>134.926065927559</v>
      </c>
      <c r="N606" s="38" t="n">
        <f aca="false">Sens!$D$606/2</f>
        <v>0.779361749182762</v>
      </c>
      <c r="O606" s="38" t="n">
        <f aca="false">Sens!$D$606/2</f>
        <v>0.779361749182762</v>
      </c>
      <c r="R606" s="38" t="n">
        <f aca="false">SUMPRODUCT(--(Sens!$R$569:$AA$569&lt;Sens!R$569),--(Sens!$R$569:$AA$569&gt;=Sens!R$569-tk_life),Sens!$R$603:$AA$603)/tk_life</f>
        <v>0</v>
      </c>
      <c r="S606" s="38" t="n">
        <f aca="false">SUMPRODUCT(--(Sens!$R$569:$AA$569&lt;Sens!S$569),--(Sens!$R$569:$AA$569&gt;=Sens!S$569-tk_life),Sens!$R$603:$AA$603)/tk_life</f>
        <v>0.183212798365523</v>
      </c>
      <c r="T606" s="38" t="n">
        <f aca="false">SUMPRODUCT(--(Sens!$R$569:$AA$569&lt;Sens!T$569),--(Sens!$R$569:$AA$569&gt;=Sens!T$569-tk_life),Sens!$R$603:$AA$603)/tk_life</f>
        <v>1.55872349836552</v>
      </c>
      <c r="U606" s="38" t="n">
        <f aca="false">SUMPRODUCT(--(Sens!$R$569:$AA$569&lt;Sens!U$569),--(Sens!$R$569:$AA$569&gt;=Sens!U$569-tk_life),Sens!$R$603:$AA$603)/tk_life</f>
        <v>7.74852164836552</v>
      </c>
      <c r="V606" s="38" t="n">
        <f aca="false">SUMPRODUCT(--(Sens!$R$569:$AA$569&lt;Sens!V$569),--(Sens!$R$569:$AA$569&gt;=Sens!V$569-tk_life),Sens!$R$603:$AA$603)/tk_life</f>
        <v>24.2509580966155</v>
      </c>
      <c r="W606" s="38" t="n">
        <f aca="false">SUMPRODUCT(--(Sens!$R$569:$AA$569&lt;Sens!W$569),--(Sens!$R$569:$AA$569&gt;=Sens!W$569-tk_life),Sens!$R$603:$AA$603)/tk_life</f>
        <v>49.6717554207405</v>
      </c>
      <c r="X606" s="38" t="n">
        <f aca="false">SUMPRODUCT(--(Sens!$R$569:$AA$569&lt;Sens!X$569),--(Sens!$R$569:$AA$569&gt;=Sens!X$569-tk_life),Sens!$R$603:$AA$603)/tk_life</f>
        <v>76.1050702391572</v>
      </c>
      <c r="Y606" s="38" t="n">
        <f aca="false">SUMPRODUCT(--(Sens!$R$569:$AA$569&lt;Sens!Y$569),--(Sens!$R$569:$AA$569&gt;=Sens!Y$569-tk_life),Sens!$R$603:$AA$603)/tk_life</f>
        <v>103.227966959208</v>
      </c>
      <c r="Z606" s="38" t="n">
        <f aca="false">SUMPRODUCT(--(Sens!$R$569:$AA$569&lt;Sens!Z$569),--(Sens!$R$569:$AA$569&gt;=Sens!Z$569-tk_life),Sens!$R$603:$AA$603)/tk_life</f>
        <v>122.296705971464</v>
      </c>
      <c r="AA606" s="38" t="n">
        <f aca="false">SUMPRODUCT(--(Sens!$R$569:$AA$569&lt;Sens!AA$569),--(Sens!$R$569:$AA$569&gt;=Sens!AA$569-tk_life),Sens!$R$603:$AA$603)/tk_life</f>
        <v>134.926065927559</v>
      </c>
    </row>
    <row r="607" customFormat="false" ht="17.15" hidden="false" customHeight="false" outlineLevel="0" collapsed="false">
      <c r="A607" s="0" t="s">
        <v>638</v>
      </c>
      <c r="B607" s="0" t="s">
        <v>86</v>
      </c>
      <c r="C607" s="38" t="n">
        <f aca="false">Sens!$S$607</f>
        <v>0.0202511502553155</v>
      </c>
      <c r="D607" s="38" t="n">
        <f aca="false">Sens!$T$607</f>
        <v>0.172291150255315</v>
      </c>
      <c r="E607" s="38" t="n">
        <f aca="false">Sens!$G$607/2</f>
        <v>0.428235575127658</v>
      </c>
      <c r="F607" s="38" t="n">
        <f aca="false">Sens!$G$607/2</f>
        <v>0.428235575127658</v>
      </c>
      <c r="G607" s="38" t="n">
        <f aca="false">Sens!$U$607</f>
        <v>0.856471150255315</v>
      </c>
      <c r="H607" s="38" t="n">
        <f aca="false">Sens!$V$607</f>
        <v>2.41307567525532</v>
      </c>
      <c r="I607" s="38" t="n">
        <f aca="false">Sens!$W$607</f>
        <v>4.71540472525532</v>
      </c>
      <c r="J607" s="38" t="n">
        <f aca="false">Sens!$X$607</f>
        <v>7.01773377525532</v>
      </c>
      <c r="K607" s="38" t="n">
        <f aca="false">Sens!$Y$607</f>
        <v>9.32006282525532</v>
      </c>
      <c r="L607" s="38" t="n">
        <f aca="false">Sens!$Z$607</f>
        <v>10.9487071753387</v>
      </c>
      <c r="M607" s="38" t="n">
        <f aca="false">Sens!$AA$607</f>
        <v>11.9036668255053</v>
      </c>
      <c r="N607" s="38" t="n">
        <f aca="false">Sens!$D$607/2</f>
        <v>0.0861455751276577</v>
      </c>
      <c r="O607" s="38" t="n">
        <f aca="false">Sens!$D$607/2</f>
        <v>0.0861455751276577</v>
      </c>
      <c r="R607" s="38" t="n">
        <f aca="false">SUMPRODUCT(--(Sens!$R$569:$AA$569&lt;Sens!R$569),Sens!$R$604:$AA$604)/fac_life</f>
        <v>0</v>
      </c>
      <c r="S607" s="38" t="n">
        <f aca="false">SUMPRODUCT(--(Sens!$R$569:$AA$569&lt;Sens!S$569),Sens!$R$604:$AA$604)/fac_life</f>
        <v>0.0202511502553155</v>
      </c>
      <c r="T607" s="38" t="n">
        <f aca="false">SUMPRODUCT(--(Sens!$R$569:$AA$569&lt;Sens!T$569),Sens!$R$604:$AA$604)/fac_life</f>
        <v>0.172291150255315</v>
      </c>
      <c r="U607" s="38" t="n">
        <f aca="false">SUMPRODUCT(--(Sens!$R$569:$AA$569&lt;Sens!U$569),Sens!$R$604:$AA$604)/fac_life</f>
        <v>0.856471150255315</v>
      </c>
      <c r="V607" s="38" t="n">
        <f aca="false">SUMPRODUCT(--(Sens!$R$569:$AA$569&lt;Sens!V$569),Sens!$R$604:$AA$604)/fac_life</f>
        <v>2.41307567525532</v>
      </c>
      <c r="W607" s="38" t="n">
        <f aca="false">SUMPRODUCT(--(Sens!$R$569:$AA$569&lt;Sens!W$569),Sens!$R$604:$AA$604)/fac_life</f>
        <v>4.71540472525532</v>
      </c>
      <c r="X607" s="38" t="n">
        <f aca="false">SUMPRODUCT(--(Sens!$R$569:$AA$569&lt;Sens!X$569),Sens!$R$604:$AA$604)/fac_life</f>
        <v>7.01773377525532</v>
      </c>
      <c r="Y607" s="38" t="n">
        <f aca="false">SUMPRODUCT(--(Sens!$R$569:$AA$569&lt;Sens!Y$569),Sens!$R$604:$AA$604)/fac_life</f>
        <v>9.32006282525532</v>
      </c>
      <c r="Z607" s="38" t="n">
        <f aca="false">SUMPRODUCT(--(Sens!$R$569:$AA$569&lt;Sens!Z$569),Sens!$R$604:$AA$604)/fac_life</f>
        <v>10.9487071753387</v>
      </c>
      <c r="AA607" s="38" t="n">
        <f aca="false">SUMPRODUCT(--(Sens!$R$569:$AA$569&lt;Sens!AA$569),Sens!$R$604:$AA$604)/fac_life</f>
        <v>11.9036668255053</v>
      </c>
    </row>
    <row r="608" customFormat="false" ht="17.15" hidden="false" customHeight="false" outlineLevel="0" collapsed="false">
      <c r="A608" s="1" t="s">
        <v>639</v>
      </c>
      <c r="B608" s="8" t="s">
        <v>86</v>
      </c>
      <c r="C608" s="38" t="n">
        <f aca="false">Sens!$C$606+Sens!$C$607</f>
        <v>0.203463948620839</v>
      </c>
      <c r="D608" s="38" t="n">
        <f aca="false">Sens!$D$606+Sens!$D$607</f>
        <v>1.73101464862084</v>
      </c>
      <c r="E608" s="38" t="n">
        <f aca="false">Sens!$E$606+Sens!$E$607</f>
        <v>4.30249639931042</v>
      </c>
      <c r="F608" s="38" t="n">
        <f aca="false">Sens!$F$606+Sens!$F$607</f>
        <v>4.30249639931042</v>
      </c>
      <c r="G608" s="38" t="n">
        <f aca="false">Sens!$G$606+Sens!$G$607</f>
        <v>8.60499279862084</v>
      </c>
      <c r="H608" s="38" t="n">
        <f aca="false">Sens!$H$606+Sens!$H$607</f>
        <v>26.6640337718708</v>
      </c>
      <c r="I608" s="38" t="n">
        <f aca="false">Sens!$I$606+Sens!$I$607</f>
        <v>54.3871601459959</v>
      </c>
      <c r="J608" s="38" t="n">
        <f aca="false">Sens!$J$606+Sens!$J$607</f>
        <v>83.1228040144125</v>
      </c>
      <c r="K608" s="38" t="n">
        <f aca="false">Sens!$K$606+Sens!$K$607</f>
        <v>112.548029784464</v>
      </c>
      <c r="L608" s="38" t="n">
        <f aca="false">Sens!$L$606+Sens!$L$607</f>
        <v>133.245413146803</v>
      </c>
      <c r="M608" s="38" t="n">
        <f aca="false">Sens!$M$606+Sens!$M$607</f>
        <v>146.829732753064</v>
      </c>
      <c r="N608" s="38" t="n">
        <f aca="false">Sens!$N$606+Sens!$N$607</f>
        <v>0.865507324310419</v>
      </c>
      <c r="O608" s="38" t="n">
        <f aca="false">Sens!$O$606+Sens!$O$607</f>
        <v>0.865507324310419</v>
      </c>
      <c r="R608" s="38" t="n">
        <f aca="false">Sens!$R$606+Sens!$R$607</f>
        <v>0</v>
      </c>
      <c r="S608" s="38" t="n">
        <f aca="false">Sens!$S$606+Sens!$S$607</f>
        <v>0.203463948620839</v>
      </c>
      <c r="T608" s="38" t="n">
        <f aca="false">Sens!$T$606+Sens!$T$607</f>
        <v>1.73101464862084</v>
      </c>
      <c r="U608" s="38" t="n">
        <f aca="false">Sens!$U$606+Sens!$U$607</f>
        <v>8.60499279862084</v>
      </c>
      <c r="V608" s="38" t="n">
        <f aca="false">Sens!$V$606+Sens!$V$607</f>
        <v>26.6640337718708</v>
      </c>
      <c r="W608" s="38" t="n">
        <f aca="false">Sens!$W$606+Sens!$W$607</f>
        <v>54.3871601459959</v>
      </c>
      <c r="X608" s="38" t="n">
        <f aca="false">Sens!$X$606+Sens!$X$607</f>
        <v>83.1228040144125</v>
      </c>
      <c r="Y608" s="38" t="n">
        <f aca="false">Sens!$Y$606+Sens!$Y$607</f>
        <v>112.548029784464</v>
      </c>
      <c r="Z608" s="38" t="n">
        <f aca="false">Sens!$Z$606+Sens!$Z$607</f>
        <v>133.245413146803</v>
      </c>
      <c r="AA608" s="38" t="n">
        <f aca="false">Sens!$AA$606+Sens!$AA$607</f>
        <v>146.829732753064</v>
      </c>
    </row>
    <row r="609" customFormat="false" ht="17.15" hidden="false" customHeight="false" outlineLevel="0" collapsed="false">
      <c r="A609" s="0" t="s">
        <v>640</v>
      </c>
      <c r="B609" s="0" t="s">
        <v>86</v>
      </c>
      <c r="C609" s="38" t="n">
        <f aca="false">Sens!$S$609</f>
        <v>12.5947000466786</v>
      </c>
      <c r="D609" s="38" t="n">
        <f aca="false">Sens!$T$609</f>
        <v>61.6860742980578</v>
      </c>
      <c r="G609" s="38" t="n">
        <f aca="false">Sens!$U$609</f>
        <v>183.227790688937</v>
      </c>
      <c r="H609" s="38" t="n">
        <f aca="false">Sens!$V$609</f>
        <v>355.135121861816</v>
      </c>
      <c r="I609" s="38" t="n">
        <f aca="false">Sens!$W$609</f>
        <v>505.39443162632</v>
      </c>
      <c r="J609" s="38" t="n">
        <f aca="false">Sens!$X$609</f>
        <v>632.154865722408</v>
      </c>
      <c r="K609" s="38" t="n">
        <f aca="false">Sens!$Y$609</f>
        <v>674.845221213145</v>
      </c>
      <c r="L609" s="38" t="n">
        <f aca="false">Sens!$Z$609</f>
        <v>673.613949706244</v>
      </c>
      <c r="M609" s="38" t="n">
        <f aca="false">Sens!$AA$609</f>
        <v>659.015198613032</v>
      </c>
      <c r="R609" s="38" t="n">
        <f aca="false">SUM(Sens!$R$601:$R$601)-SUM(Sens!$R$608:$R$608)</f>
        <v>1.50429979529945</v>
      </c>
      <c r="S609" s="38" t="n">
        <f aca="false">SUM(Sens!$R$601:$S$601)-SUM(Sens!$R$608:$S$608)</f>
        <v>12.5947000466786</v>
      </c>
      <c r="T609" s="38" t="n">
        <f aca="false">SUM(Sens!$R$601:$T$601)-SUM(Sens!$R$608:$T$608)</f>
        <v>61.6860742980578</v>
      </c>
      <c r="U609" s="38" t="n">
        <f aca="false">SUM(Sens!$R$601:$U$601)-SUM(Sens!$R$608:$U$608)</f>
        <v>183.227790688937</v>
      </c>
      <c r="V609" s="38" t="n">
        <f aca="false">SUM(Sens!$R$601:$V$601)-SUM(Sens!$R$608:$V$608)</f>
        <v>355.135121861816</v>
      </c>
      <c r="W609" s="38" t="n">
        <f aca="false">SUM(Sens!$R$601:$W$601)-SUM(Sens!$R$608:$W$608)</f>
        <v>505.39443162632</v>
      </c>
      <c r="X609" s="38" t="n">
        <f aca="false">SUM(Sens!$R$601:$X$601)-SUM(Sens!$R$608:$X$608)</f>
        <v>632.154865722408</v>
      </c>
      <c r="Y609" s="38" t="n">
        <f aca="false">SUM(Sens!$R$601:$Y$601)-SUM(Sens!$R$608:$Y$608)</f>
        <v>674.845221213145</v>
      </c>
      <c r="Z609" s="38" t="n">
        <f aca="false">SUM(Sens!$R$601:$Z$601)-SUM(Sens!$R$608:$Z$608)</f>
        <v>673.613949706244</v>
      </c>
      <c r="AA609" s="38" t="n">
        <f aca="false">SUM(Sens!$R$601:$AA$601)-SUM(Sens!$R$608:$AA$608)</f>
        <v>659.015198613032</v>
      </c>
    </row>
    <row r="610" customFormat="false" ht="17.15" hidden="false" customHeight="false" outlineLevel="0" collapsed="false">
      <c r="A610" s="1" t="s">
        <v>641</v>
      </c>
    </row>
    <row r="611" customFormat="false" ht="17.15" hidden="false" customHeight="false" outlineLevel="0" collapsed="false">
      <c r="A611" s="0" t="s">
        <v>642</v>
      </c>
      <c r="B611" s="0" t="s">
        <v>86</v>
      </c>
      <c r="C611" s="38" t="n">
        <f aca="false">Sens!$C$590-ext_sh*Sens!$C$592</f>
        <v>1.80694998843362</v>
      </c>
      <c r="D611" s="38" t="n">
        <f aca="false">Sens!$D$590-ext_sh*Sens!$D$592</f>
        <v>6.77606245662607</v>
      </c>
      <c r="E611" s="38" t="n">
        <f aca="false">Sens!$E$590-ext_sh*Sens!$E$592</f>
        <v>6.62548329092326</v>
      </c>
      <c r="F611" s="38" t="n">
        <f aca="false">Sens!$F$590-ext_sh*Sens!$F$592</f>
        <v>14.3233275606891</v>
      </c>
      <c r="G611" s="38" t="n">
        <f aca="false">Sens!$G$590-ext_sh*Sens!$G$592</f>
        <v>20.9488108516123</v>
      </c>
      <c r="H611" s="38" t="n">
        <f aca="false">Sens!$H$590-ext_sh*Sens!$H$592</f>
        <v>68.7702777464201</v>
      </c>
      <c r="I611" s="38" t="n">
        <f aca="false">Sens!$I$590-ext_sh*Sens!$I$592</f>
        <v>123.743293396039</v>
      </c>
      <c r="J611" s="38" t="n">
        <f aca="false">Sens!$J$590-ext_sh*Sens!$J$592</f>
        <v>178.982447779414</v>
      </c>
      <c r="K611" s="38" t="n">
        <f aca="false">Sens!$K$590-ext_sh*Sens!$K$592</f>
        <v>226.104871772476</v>
      </c>
      <c r="L611" s="38" t="n">
        <f aca="false">Sens!$L$590-ext_sh*Sens!$L$592</f>
        <v>257.073803762517</v>
      </c>
      <c r="M611" s="38" t="n">
        <f aca="false">Sens!$M$590-ext_sh*Sens!$M$592</f>
        <v>271.845958070998</v>
      </c>
      <c r="N611" s="38" t="n">
        <f aca="false">Sens!$N$590-ext_sh*Sens!$N$592</f>
        <v>2.37162185981912</v>
      </c>
      <c r="O611" s="38" t="n">
        <f aca="false">Sens!$O$590-ext_sh*Sens!$O$592</f>
        <v>4.40444059680694</v>
      </c>
    </row>
    <row r="612" customFormat="false" ht="17.15" hidden="false" customHeight="false" outlineLevel="0" collapsed="false">
      <c r="A612" s="1" t="s">
        <v>643</v>
      </c>
      <c r="B612" s="8" t="s">
        <v>86</v>
      </c>
      <c r="C612" s="38" t="n">
        <f aca="false">Sens!$C$611-ext_sh*Sens!$C$608</f>
        <v>1.64417882953695</v>
      </c>
      <c r="D612" s="38" t="n">
        <f aca="false">Sens!$D$611-ext_sh*Sens!$D$608</f>
        <v>5.39125073772939</v>
      </c>
      <c r="E612" s="38" t="n">
        <f aca="false">Sens!$E$611-ext_sh*Sens!$E$608</f>
        <v>3.18348617147493</v>
      </c>
      <c r="F612" s="38" t="n">
        <f aca="false">Sens!$F$611-ext_sh*Sens!$F$608</f>
        <v>10.8813304412407</v>
      </c>
      <c r="G612" s="38" t="n">
        <f aca="false">Sens!$G$611-ext_sh*Sens!$G$608</f>
        <v>14.0648166127157</v>
      </c>
      <c r="H612" s="38" t="n">
        <f aca="false">Sens!$H$611-ext_sh*Sens!$H$608</f>
        <v>47.4390507289235</v>
      </c>
      <c r="I612" s="38" t="n">
        <f aca="false">Sens!$I$611-ext_sh*Sens!$I$608</f>
        <v>80.2335652792427</v>
      </c>
      <c r="J612" s="38" t="n">
        <f aca="false">Sens!$J$611-ext_sh*Sens!$J$608</f>
        <v>112.484204567884</v>
      </c>
      <c r="K612" s="38" t="n">
        <f aca="false">Sens!$K$611-ext_sh*Sens!$K$608</f>
        <v>136.066447944906</v>
      </c>
      <c r="L612" s="38" t="n">
        <f aca="false">Sens!$L$611-ext_sh*Sens!$L$608</f>
        <v>150.477473245075</v>
      </c>
      <c r="M612" s="38" t="n">
        <f aca="false">Sens!$M$611-ext_sh*Sens!$M$608</f>
        <v>154.382171868546</v>
      </c>
      <c r="N612" s="38" t="n">
        <f aca="false">Sens!$N$611-ext_sh*Sens!$N$608</f>
        <v>1.67921600037079</v>
      </c>
      <c r="O612" s="38" t="n">
        <f aca="false">Sens!$O$611-ext_sh*Sens!$O$608</f>
        <v>3.71203473735861</v>
      </c>
    </row>
    <row r="613" customFormat="false" ht="17.15" hidden="false" customHeight="false" outlineLevel="0" collapsed="false">
      <c r="A613" s="0" t="s">
        <v>644</v>
      </c>
      <c r="B613" s="0" t="s">
        <v>52</v>
      </c>
      <c r="C613" s="13" t="n">
        <f aca="false">Sens!$C$612/Sens!$C$590</f>
        <v>0.708390794789371</v>
      </c>
      <c r="D613" s="13" t="n">
        <f aca="false">Sens!$D$612/Sens!$D$590</f>
        <v>0.619415573115729</v>
      </c>
      <c r="E613" s="13" t="n">
        <f aca="false">Sens!$E$612/Sens!$E$590</f>
        <v>0.374072166056273</v>
      </c>
      <c r="F613" s="13" t="n">
        <f aca="false">Sens!$F$612/Sens!$F$590</f>
        <v>0.61942927696825</v>
      </c>
      <c r="G613" s="13" t="n">
        <f aca="false">Sens!$G$612/Sens!$G$590</f>
        <v>0.539355990256583</v>
      </c>
      <c r="H613" s="13" t="n">
        <f aca="false">Sens!$H$612/Sens!$H$590</f>
        <v>0.582653350959936</v>
      </c>
      <c r="I613" s="13" t="n">
        <f aca="false">Sens!$I$612/Sens!$I$590</f>
        <v>0.554508873109771</v>
      </c>
      <c r="J613" s="13" t="n">
        <f aca="false">Sens!$J$612/Sens!$J$590</f>
        <v>0.540144029804107</v>
      </c>
      <c r="K613" s="13" t="n">
        <f aca="false">Sens!$K$612/Sens!$K$590</f>
        <v>0.518410423072153</v>
      </c>
      <c r="L613" s="13" t="n">
        <f aca="false">Sens!$L$612/Sens!$L$590</f>
        <v>0.504784745826738</v>
      </c>
      <c r="M613" s="13" t="n">
        <f aca="false">Sens!$M$612/Sens!$M$590</f>
        <v>0.489940697770181</v>
      </c>
      <c r="N613" s="13" t="n">
        <f aca="false">Sens!$N$612/Sens!$N$590</f>
        <v>0.551227795793364</v>
      </c>
      <c r="O613" s="13" t="n">
        <f aca="false">Sens!$O$612/Sens!$O$590</f>
        <v>0.656132068597002</v>
      </c>
    </row>
    <row r="614" customFormat="false" ht="17.15" hidden="false" customHeight="false" outlineLevel="0" collapsed="false">
      <c r="A614" s="5" t="s">
        <v>645</v>
      </c>
      <c r="B614" s="0" t="s">
        <v>86</v>
      </c>
      <c r="C614" s="39" t="n">
        <v>0</v>
      </c>
      <c r="D614" s="39" t="n">
        <v>0</v>
      </c>
      <c r="E614" s="39" t="n">
        <v>0</v>
      </c>
      <c r="F614" s="38" t="n">
        <f aca="false">IF(internal_ai_reading=2,1,0)*(1-ext_sh)/ext_sh*(mw_open*he_open+Sens!$F$588*Sens!$F$585)*Sens!$F$574/1000</f>
        <v>3.77122048175818</v>
      </c>
      <c r="G614" s="38" t="n">
        <f aca="false">Sens!$E$614+Sens!$F$614</f>
        <v>3.77122048175818</v>
      </c>
      <c r="H614" s="38" t="n">
        <f aca="false">IF(internal_ai_reading=2,1,0)*(1-ext_sh)/ext_sh*(mw_open*he_open+Sens!$H$588*Sens!$H$585)*Sens!$H$574/1000</f>
        <v>15.1635543609893</v>
      </c>
      <c r="I614" s="38" t="n">
        <f aca="false">IF(internal_ai_reading=2,1,0)*(1-ext_sh)/ext_sh*(mw_open*he_open+Sens!$I$588*Sens!$I$585)*Sens!$I$574/1000</f>
        <v>25.5818843619889</v>
      </c>
      <c r="J614" s="38" t="n">
        <f aca="false">IF(internal_ai_reading=2,1,0)*(1-ext_sh)/ext_sh*(mw_open*he_open+Sens!$J$588*Sens!$J$585)*Sens!$J$574/1000</f>
        <v>36.0465624179122</v>
      </c>
      <c r="K614" s="38" t="n">
        <f aca="false">IF(internal_ai_reading=2,1,0)*(1-ext_sh)/ext_sh*(mw_open*he_open+Sens!$K$588*Sens!$K$585)*Sens!$K$574/1000</f>
        <v>44.9741164026038</v>
      </c>
      <c r="L614" s="38" t="n">
        <f aca="false">IF(internal_ai_reading=2,1,0)*(1-ext_sh)/ext_sh*(mw_open*he_open+Sens!$L$588*Sens!$L$585)*Sens!$L$574/1000</f>
        <v>50.8413488057813</v>
      </c>
      <c r="M614" s="38" t="n">
        <f aca="false">IF(internal_ai_reading=2,1,0)*(1-ext_sh)/ext_sh*(mw_open*he_open+Sens!$M$588*Sens!$M$585)*Sens!$M$574/1000</f>
        <v>53.6407214274315</v>
      </c>
      <c r="N614" s="39" t="n">
        <v>0</v>
      </c>
      <c r="O614" s="39" t="n">
        <v>0</v>
      </c>
      <c r="P614" s="8" t="s">
        <v>646</v>
      </c>
    </row>
    <row r="615" customFormat="false" ht="17.15" hidden="false" customHeight="false" outlineLevel="0" collapsed="false">
      <c r="A615" s="5" t="s">
        <v>647</v>
      </c>
      <c r="B615" s="0" t="s">
        <v>86</v>
      </c>
      <c r="C615" s="38" t="n">
        <f aca="false">(1-ext_sh)*(Sens!$C$592+Sens!$C$608)</f>
        <v>0.169206631859174</v>
      </c>
      <c r="D615" s="38" t="n">
        <f aca="false">(1-ext_sh)*(Sens!$D$592+Sens!$D$608)</f>
        <v>0.828129837730442</v>
      </c>
      <c r="E615" s="38" t="n">
        <f aca="false">(1-ext_sh)*(Sens!$E$592+Sens!$E$608)</f>
        <v>1.33171670102377</v>
      </c>
      <c r="F615" s="38" t="n">
        <f aca="false">(1-ext_sh)*(Sens!$F$592+Sens!$F$608)</f>
        <v>1.67134326207455</v>
      </c>
      <c r="G615" s="38" t="n">
        <f aca="false">(1-ext_sh)*(Sens!$G$592+Sens!$G$608)</f>
        <v>3.00305996309832</v>
      </c>
      <c r="H615" s="38" t="n">
        <f aca="false">(1-ext_sh)*(Sens!$H$592+Sens!$H$608)</f>
        <v>8.49498626530648</v>
      </c>
      <c r="I615" s="38" t="n">
        <f aca="false">(1-ext_sh)*(Sens!$I$592+Sens!$I$608)</f>
        <v>16.1148644972155</v>
      </c>
      <c r="J615" s="38" t="n">
        <f aca="false">(1-ext_sh)*(Sens!$J$592+Sens!$J$608)</f>
        <v>23.9410833819812</v>
      </c>
      <c r="K615" s="38" t="n">
        <f aca="false">(1-ext_sh)*(Sens!$K$592+Sens!$K$608)</f>
        <v>31.6005331796453</v>
      </c>
      <c r="L615" s="38" t="n">
        <f aca="false">(1-ext_sh)*(Sens!$L$592+Sens!$L$608)</f>
        <v>36.9061965404496</v>
      </c>
      <c r="M615" s="38" t="n">
        <f aca="false">(1-ext_sh)*(Sens!$M$592+Sens!$M$608)</f>
        <v>40.1804051073808</v>
      </c>
      <c r="N615" s="38" t="n">
        <f aca="false">(1-ext_sh)*(Sens!$N$592+Sens!$N$608)</f>
        <v>0.34177588266428</v>
      </c>
      <c r="O615" s="38" t="n">
        <f aca="false">(1-ext_sh)*(Sens!$O$592+Sens!$O$608)</f>
        <v>0.486353955066162</v>
      </c>
    </row>
    <row r="616" customFormat="false" ht="17.15" hidden="false" customHeight="false" outlineLevel="0" collapsed="false">
      <c r="A616" s="0" t="s">
        <v>648</v>
      </c>
      <c r="B616" s="0" t="s">
        <v>86</v>
      </c>
      <c r="C616" s="38" t="n">
        <f aca="false">Q!$D$24</f>
        <v>39.834</v>
      </c>
      <c r="D616" s="38" t="n">
        <f aca="false">Q!$E$24</f>
        <v>45.606</v>
      </c>
      <c r="E616" s="38" t="n">
        <f aca="false">Q!$P$24</f>
        <v>30.782</v>
      </c>
      <c r="N616" s="38" t="n">
        <f aca="false">Q!$N$24</f>
        <v>21.707</v>
      </c>
      <c r="O616" s="38" t="n">
        <f aca="false">Q!$O$24</f>
        <v>23.899</v>
      </c>
    </row>
    <row r="617" customFormat="false" ht="17.15" hidden="false" customHeight="false" outlineLevel="0" collapsed="false">
      <c r="A617" s="0" t="s">
        <v>649</v>
      </c>
      <c r="B617" s="0" t="s">
        <v>86</v>
      </c>
      <c r="C617" s="38" t="n">
        <f aca="false">Sens!$C$616-Sens!$C$612</f>
        <v>38.1898211704631</v>
      </c>
      <c r="D617" s="38" t="n">
        <f aca="false">Sens!$D$616-Sens!$D$612</f>
        <v>40.2147492622706</v>
      </c>
      <c r="E617" s="38" t="n">
        <f aca="false">Sens!$E$616-Sens!$E$612</f>
        <v>27.5985138285251</v>
      </c>
      <c r="F617" s="38" t="n">
        <f aca="false">Sens!$F$594*Sens!$F$618</f>
        <v>25.5484769754606</v>
      </c>
      <c r="G617" s="38" t="n">
        <f aca="false">Sens!$E$617+Sens!$F$617</f>
        <v>53.1469908039857</v>
      </c>
      <c r="H617" s="38" t="n">
        <f aca="false">Sens!$H$594*Sens!$H$618</f>
        <v>57.3189525076539</v>
      </c>
      <c r="I617" s="38" t="n">
        <f aca="false">Sens!$I$594*Sens!$I$618</f>
        <v>63.6385627021087</v>
      </c>
      <c r="J617" s="38" t="n">
        <f aca="false">Sens!$J$594*Sens!$J$618</f>
        <v>69.6922896066105</v>
      </c>
      <c r="K617" s="38" t="n">
        <f aca="false">Sens!$K$594*Sens!$K$618</f>
        <v>75.2676727751394</v>
      </c>
      <c r="L617" s="38" t="n">
        <f aca="false">Sens!$L$594*Sens!$L$618</f>
        <v>81.2890865971505</v>
      </c>
      <c r="M617" s="38" t="n">
        <f aca="false">Sens!$M$594*Sens!$M$618</f>
        <v>87.7922135249226</v>
      </c>
      <c r="N617" s="38" t="n">
        <f aca="false">Sens!$N$616-Sens!$N$612</f>
        <v>20.0277839996292</v>
      </c>
      <c r="O617" s="38" t="n">
        <f aca="false">Sens!$O$616-Sens!$O$612</f>
        <v>20.1869652626414</v>
      </c>
      <c r="P617" s="5" t="s">
        <v>650</v>
      </c>
    </row>
    <row r="618" customFormat="false" ht="17.15" hidden="false" customHeight="false" outlineLevel="0" collapsed="false">
      <c r="A618" s="0" t="s">
        <v>651</v>
      </c>
      <c r="B618" s="0" t="s">
        <v>52</v>
      </c>
      <c r="C618" s="13" t="n">
        <f aca="false">Sens!$C$617/Sens!$C$594</f>
        <v>0.362900395443635</v>
      </c>
      <c r="D618" s="13" t="n">
        <f aca="false">Sens!$D$617/Sens!$D$594</f>
        <v>0.335063632425483</v>
      </c>
      <c r="E618" s="13" t="n">
        <f aca="false">Sens!$E$617/Sens!$E$594</f>
        <v>0.387028992698038</v>
      </c>
      <c r="F618" s="13" t="n">
        <f aca="false">(Sens!$O$617+Sens!$E$617)/(Sens!$O$594+Sens!$E$594)</f>
        <v>0.355980580118587</v>
      </c>
      <c r="G618" s="13" t="n">
        <f aca="false">Sens!$G$617/Sens!$G$594</f>
        <v>0.371454804780916</v>
      </c>
      <c r="H618" s="13" t="n">
        <f aca="false">Sens!$F$618</f>
        <v>0.355980580118587</v>
      </c>
      <c r="I618" s="13" t="n">
        <f aca="false">Sens!$F$618</f>
        <v>0.355980580118587</v>
      </c>
      <c r="J618" s="13" t="n">
        <f aca="false">Sens!$F$618</f>
        <v>0.355980580118587</v>
      </c>
      <c r="K618" s="13" t="n">
        <f aca="false">Sens!$F$618</f>
        <v>0.355980580118587</v>
      </c>
      <c r="L618" s="13" t="n">
        <f aca="false">Sens!$F$618</f>
        <v>0.355980580118587</v>
      </c>
      <c r="M618" s="13" t="n">
        <f aca="false">Sens!$F$618</f>
        <v>0.355980580118587</v>
      </c>
      <c r="N618" s="13" t="n">
        <f aca="false">Sens!$N$617/Sens!$N$594</f>
        <v>0.35078810535806</v>
      </c>
      <c r="O618" s="13" t="n">
        <f aca="false">Sens!$O$617/Sens!$O$594</f>
        <v>0.320796939361619</v>
      </c>
      <c r="P618" s="8" t="s">
        <v>652</v>
      </c>
    </row>
    <row r="619" customFormat="false" ht="17.15" hidden="false" customHeight="false" outlineLevel="0" collapsed="false">
      <c r="A619" s="0" t="s">
        <v>653</v>
      </c>
      <c r="B619" s="0" t="s">
        <v>52</v>
      </c>
      <c r="D619" s="13" t="n">
        <f aca="false">(Q!$E$31-ext_sh*Sens!$D$608)/Sens!$D$594</f>
        <v>0.167180325480118</v>
      </c>
    </row>
    <row r="620" customFormat="false" ht="17.15" hidden="false" customHeight="false" outlineLevel="0" collapsed="false">
      <c r="A620" s="0" t="s">
        <v>654</v>
      </c>
      <c r="B620" s="0" t="s">
        <v>86</v>
      </c>
      <c r="C620" s="38" t="n">
        <f aca="false">Q!$D$31</f>
        <v>13.32</v>
      </c>
      <c r="D620" s="38" t="n">
        <f aca="false">Q!$E$31</f>
        <v>21.45</v>
      </c>
      <c r="E620" s="38" t="n">
        <f aca="false">Q!$P$31</f>
        <v>15.353</v>
      </c>
      <c r="F620" s="38" t="n">
        <f aca="false">ext_sh*Sens!$F$608+Sens!$D$619*Sens!$F$594</f>
        <v>15.4404120185306</v>
      </c>
      <c r="G620" s="38" t="n">
        <f aca="false">Sens!$E$620+Sens!$F$620</f>
        <v>30.7934120185306</v>
      </c>
      <c r="H620" s="38" t="n">
        <f aca="false">ext_sh*Sens!$H$608+Sens!$D$619*Sens!$H$594</f>
        <v>48.250114371455</v>
      </c>
      <c r="I620" s="38" t="n">
        <f aca="false">ext_sh*Sens!$I$608+Sens!$D$619*Sens!$I$594</f>
        <v>73.3965146995963</v>
      </c>
      <c r="J620" s="38" t="n">
        <f aca="false">ext_sh*Sens!$J$608+Sens!$D$619*Sens!$J$594</f>
        <v>99.22806138309</v>
      </c>
      <c r="K620" s="38" t="n">
        <f aca="false">ext_sh*Sens!$K$608+Sens!$D$619*Sens!$K$594</f>
        <v>125.386627452856</v>
      </c>
      <c r="L620" s="38" t="n">
        <f aca="false">ext_sh*Sens!$L$608+Sens!$D$619*Sens!$L$594</f>
        <v>144.77239043275</v>
      </c>
      <c r="M620" s="38" t="n">
        <f aca="false">ext_sh*Sens!$M$608+Sens!$D$619*Sens!$M$594</f>
        <v>158.693930910983</v>
      </c>
      <c r="N620" s="38" t="n">
        <f aca="false">Q!$N$31</f>
        <v>9.234</v>
      </c>
      <c r="O620" s="38" t="n">
        <f aca="false">Q!$O$31</f>
        <v>12.216</v>
      </c>
    </row>
    <row r="621" customFormat="false" ht="17.15" hidden="false" customHeight="false" outlineLevel="0" collapsed="false">
      <c r="A621" s="1" t="s">
        <v>655</v>
      </c>
    </row>
    <row r="622" customFormat="false" ht="17.15" hidden="false" customHeight="false" outlineLevel="0" collapsed="false">
      <c r="A622" s="15" t="s">
        <v>656</v>
      </c>
      <c r="B622" s="14" t="s">
        <v>52</v>
      </c>
      <c r="C622" s="14"/>
      <c r="D622" s="14"/>
      <c r="E622" s="14"/>
      <c r="F622" s="14"/>
      <c r="G622" s="17" t="n">
        <f aca="false">Sens!$G$612*(1-tax)/(ext_sh*(Sens!$D$609+Sens!$G$609)/2)</f>
        <v>0.118647652712547</v>
      </c>
      <c r="H622" s="17" t="n">
        <f aca="false">Sens!$H$612*(1-tax)/(ext_sh*(Sens!$G$609+Sens!$H$609)/2)</f>
        <v>0.182053614071607</v>
      </c>
      <c r="I622" s="17" t="n">
        <f aca="false">Sens!$I$612*(1-tax)/(ext_sh*(Sens!$H$609+Sens!$I$609)/2)</f>
        <v>0.192632140181465</v>
      </c>
      <c r="J622" s="17" t="n">
        <f aca="false">Sens!$J$612*(1-tax)/(ext_sh*(Sens!$I$609+Sens!$J$609)/2)</f>
        <v>0.204295953112281</v>
      </c>
      <c r="K622" s="17" t="n">
        <f aca="false">Sens!$K$612*(1-tax)/(ext_sh*(Sens!$J$609+Sens!$K$609)/2)</f>
        <v>0.215086860194925</v>
      </c>
      <c r="L622" s="17" t="n">
        <f aca="false">Sens!$L$612*(1-tax)/(ext_sh*(Sens!$K$609+Sens!$L$609)/2)</f>
        <v>0.230553721919354</v>
      </c>
      <c r="M622" s="17" t="n">
        <f aca="false">Sens!$M$612*(1-tax)/(ext_sh*(Sens!$L$609+Sens!$M$609)/2)</f>
        <v>0.239346062268953</v>
      </c>
      <c r="N622" s="14"/>
      <c r="O622" s="14"/>
      <c r="P622" s="8" t="s">
        <v>657</v>
      </c>
    </row>
    <row r="623" customFormat="false" ht="17.15" hidden="false" customHeight="false" outlineLevel="0" collapsed="false">
      <c r="A623" s="5" t="s">
        <v>658</v>
      </c>
      <c r="B623" s="0" t="s">
        <v>57</v>
      </c>
      <c r="H623" s="36" t="n">
        <f aca="false">Sens!$H$590*1000/(mw_open*he_open+Sens!$H$588*Sens!$H$585)</f>
        <v>1.34234681809848</v>
      </c>
      <c r="I623" s="36" t="n">
        <f aca="false">Sens!$I$590*1000/(mw_open*he_open+Sens!$I$588*Sens!$I$585)</f>
        <v>1.41401842433369</v>
      </c>
      <c r="J623" s="36" t="n">
        <f aca="false">Sens!$J$590*1000/(mw_open*he_open+Sens!$J$588*Sens!$J$585)</f>
        <v>1.44430234207525</v>
      </c>
      <c r="K623" s="36" t="n">
        <f aca="false">Sens!$K$590*1000/(mw_open*he_open+Sens!$K$588*Sens!$K$585)</f>
        <v>1.45899798405095</v>
      </c>
      <c r="L623" s="36" t="n">
        <f aca="false">Sens!$L$590*1000/(mw_open*he_open+Sens!$L$588*Sens!$L$585)</f>
        <v>1.46584554899228</v>
      </c>
      <c r="M623" s="36" t="n">
        <f aca="false">Sens!$M$590*1000/(mw_open*he_open+Sens!$M$588*Sens!$M$585)</f>
        <v>1.46858479860474</v>
      </c>
    </row>
    <row r="624" customFormat="false" ht="17.15" hidden="false" customHeight="false" outlineLevel="0" collapsed="false">
      <c r="A624" s="5" t="s">
        <v>659</v>
      </c>
      <c r="B624" s="0" t="s">
        <v>57</v>
      </c>
      <c r="H624" s="36" t="n">
        <f aca="false">Sens!$H$623*(Sens!$H$590+wacc*ext_sh*(Sens!$G$609+Sens!$H$609)/2/(1-tax)-Sens!$H$612)/Sens!$H$590</f>
        <v>1.04696246089529</v>
      </c>
      <c r="I624" s="36" t="n">
        <f aca="false">Sens!$I$623*(Sens!$I$590+wacc*ext_sh*(Sens!$H$609+Sens!$I$609)/2/(1-tax)-Sens!$I$612)/Sens!$I$590</f>
        <v>1.09109607940198</v>
      </c>
      <c r="J624" s="36" t="n">
        <f aca="false">Sens!$J$623*(Sens!$J$590+wacc*ext_sh*(Sens!$I$609+Sens!$J$609)/2/(1-tax)-Sens!$J$612)/Sens!$J$590</f>
        <v>1.09681234280071</v>
      </c>
      <c r="K624" s="36" t="n">
        <f aca="false">Sens!$K$623*(Sens!$K$590+wacc*ext_sh*(Sens!$J$609+Sens!$K$609)/2/(1-tax)-Sens!$K$612)/Sens!$K$590</f>
        <v>1.10105220068984</v>
      </c>
      <c r="L624" s="36" t="n">
        <f aca="false">Sens!$L$623*(Sens!$L$590+wacc*ext_sh*(Sens!$K$609+Sens!$L$609)/2/(1-tax)-Sens!$L$612)/Sens!$L$590</f>
        <v>1.08952452639895</v>
      </c>
      <c r="M624" s="36" t="n">
        <f aca="false">Sens!$M$623*(Sens!$M$590+wacc*ext_sh*(Sens!$L$609+Sens!$M$609)/2/(1-tax)-Sens!$M$612)/Sens!$M$590</f>
        <v>1.08965878549519</v>
      </c>
    </row>
    <row r="625" customFormat="false" ht="17.15" hidden="false" customHeight="false" outlineLevel="0" collapsed="false">
      <c r="A625" s="5" t="s">
        <v>660</v>
      </c>
      <c r="B625" s="0" t="s">
        <v>52</v>
      </c>
      <c r="C625" s="13" t="n">
        <f aca="false">Sens!$C$591/tk_pq</f>
        <v>0.195316432429398</v>
      </c>
      <c r="D625" s="13" t="n">
        <f aca="false">Sens!$D$591/tk_pq</f>
        <v>0.195316432429398</v>
      </c>
      <c r="E625" s="13" t="n">
        <f aca="false">Sens!$E$591/tk_pq</f>
        <v>0.195316432429398</v>
      </c>
      <c r="F625" s="13" t="n">
        <f aca="false">Sens!$F$591/tk_pq</f>
        <v>0.237426936709385</v>
      </c>
      <c r="G625" s="13" t="n">
        <f aca="false">Sens!$G$591/tk_pq</f>
        <v>0.221819204382786</v>
      </c>
      <c r="H625" s="13" t="n">
        <f aca="false">Sens!$H$591/tk_pq</f>
        <v>0.287764082666319</v>
      </c>
      <c r="I625" s="13" t="n">
        <f aca="false">Sens!$I$591/tk_pq</f>
        <v>0.312589866504342</v>
      </c>
      <c r="J625" s="13" t="n">
        <f aca="false">Sens!$J$591/tk_pq</f>
        <v>0.323954585221101</v>
      </c>
      <c r="K625" s="13" t="n">
        <f aca="false">Sens!$K$591/tk_pq</f>
        <v>0.329546787881527</v>
      </c>
      <c r="L625" s="13" t="n">
        <f aca="false">Sens!$L$591/tk_pq</f>
        <v>0.33217725830056</v>
      </c>
      <c r="M625" s="13" t="n">
        <f aca="false">Sens!$M$591/tk_pq</f>
        <v>0.333185532476634</v>
      </c>
      <c r="N625" s="13" t="n">
        <f aca="false">Sens!$N$591/tk_pq</f>
        <v>0.195316432429398</v>
      </c>
      <c r="O625" s="13" t="n">
        <f aca="false">Sens!$O$591/tk_pq</f>
        <v>0.195316432429398</v>
      </c>
      <c r="P625" s="5" t="s">
        <v>661</v>
      </c>
    </row>
    <row r="628" customFormat="false" ht="17.15" hidden="false" customHeight="false" outlineLevel="0" collapsed="false">
      <c r="A628" s="1" t="s">
        <v>690</v>
      </c>
    </row>
    <row r="629" customFormat="false" ht="17.15" hidden="false" customHeight="false" outlineLevel="0" collapsed="false">
      <c r="A629" s="0" t="s">
        <v>691</v>
      </c>
      <c r="B629" s="0" t="s">
        <v>86</v>
      </c>
      <c r="C629" s="38" t="n">
        <f aca="false">Sens!$C$590</f>
        <v>2.32100535697364</v>
      </c>
      <c r="D629" s="38" t="n">
        <f aca="false">Sens!$D$590</f>
        <v>8.70377008865116</v>
      </c>
      <c r="E629" s="38" t="n">
        <f aca="false">Sens!$E$590</f>
        <v>8.51035297557002</v>
      </c>
      <c r="F629" s="38" t="n">
        <f aca="false">Sens!$F$590</f>
        <v>17.5667034895389</v>
      </c>
      <c r="G629" s="38" t="n">
        <f aca="false">Sens!$G$590</f>
        <v>26.077056465109</v>
      </c>
      <c r="H629" s="38" t="n">
        <f aca="false">Sens!$H$590</f>
        <v>81.4189957901494</v>
      </c>
      <c r="I629" s="38" t="n">
        <f aca="false">Sens!$I$590</f>
        <v>144.693023268105</v>
      </c>
      <c r="J629" s="38" t="n">
        <f aca="false">Sens!$J$590</f>
        <v>208.248538095809</v>
      </c>
      <c r="K629" s="38" t="n">
        <f aca="false">Sens!$K$590</f>
        <v>262.468580663487</v>
      </c>
      <c r="L629" s="38" t="n">
        <f aca="false">Sens!$L$590</f>
        <v>298.102259406873</v>
      </c>
      <c r="M629" s="38" t="n">
        <f aca="false">Sens!$M$590</f>
        <v>315.103792298069</v>
      </c>
      <c r="N629" s="38" t="n">
        <f aca="false">Sens!$N$590</f>
        <v>3.04631953102791</v>
      </c>
      <c r="O629" s="38" t="n">
        <f aca="false">Sens!$O$590</f>
        <v>5.65745055762326</v>
      </c>
      <c r="P629" s="8" t="s">
        <v>692</v>
      </c>
    </row>
    <row r="630" customFormat="false" ht="17.15" hidden="false" customHeight="false" outlineLevel="0" collapsed="false">
      <c r="A630" s="0" t="s">
        <v>693</v>
      </c>
      <c r="B630" s="0" t="s">
        <v>86</v>
      </c>
      <c r="C630" s="38" t="n">
        <f aca="false">Sens!$C$594</f>
        <v>105.234994643026</v>
      </c>
      <c r="D630" s="38" t="n">
        <f aca="false">Sens!$D$594</f>
        <v>120.021229911349</v>
      </c>
      <c r="E630" s="38" t="n">
        <f aca="false">Sens!$E$594</f>
        <v>71.30864702443</v>
      </c>
      <c r="F630" s="38" t="n">
        <f aca="false">Sens!$F$594</f>
        <v>71.7692997942464</v>
      </c>
      <c r="G630" s="38" t="n">
        <f aca="false">Sens!$G$594</f>
        <v>143.077946818676</v>
      </c>
      <c r="H630" s="38" t="n">
        <f aca="false">Sens!$H$594</f>
        <v>161.017077079203</v>
      </c>
      <c r="I630" s="38" t="n">
        <f aca="false">Sens!$I$594</f>
        <v>178.769759521457</v>
      </c>
      <c r="J630" s="38" t="n">
        <f aca="false">Sens!$J$594</f>
        <v>195.775538045907</v>
      </c>
      <c r="K630" s="38" t="n">
        <f aca="false">Sens!$K$594</f>
        <v>211.43758108958</v>
      </c>
      <c r="L630" s="38" t="n">
        <f aca="false">Sens!$L$594</f>
        <v>228.352587576746</v>
      </c>
      <c r="M630" s="38" t="n">
        <f aca="false">Sens!$M$594</f>
        <v>246.620794582886</v>
      </c>
      <c r="N630" s="38" t="n">
        <f aca="false">Sens!$N$594</f>
        <v>57.0936804689721</v>
      </c>
      <c r="O630" s="38" t="n">
        <f aca="false">Sens!$O$594</f>
        <v>62.9275494423768</v>
      </c>
      <c r="P630" s="8" t="s">
        <v>692</v>
      </c>
    </row>
    <row r="631" customFormat="false" ht="17.15" hidden="false" customHeight="false" outlineLevel="0" collapsed="false">
      <c r="A631" s="1" t="s">
        <v>516</v>
      </c>
      <c r="B631" s="8" t="s">
        <v>86</v>
      </c>
      <c r="C631" s="38" t="n">
        <f aca="false">Q!$D$7</f>
        <v>107.556</v>
      </c>
      <c r="D631" s="38" t="n">
        <f aca="false">Q!$E$7</f>
        <v>128.725</v>
      </c>
      <c r="E631" s="38" t="n">
        <f aca="false">Q!$P$7</f>
        <v>79.819</v>
      </c>
      <c r="F631" s="38" t="n">
        <f aca="false">Sens!$F$629+Sens!$F$630</f>
        <v>89.3360032837853</v>
      </c>
      <c r="G631" s="38" t="n">
        <f aca="false">Sens!$G$629+Sens!$G$630</f>
        <v>169.155003283785</v>
      </c>
      <c r="H631" s="38" t="n">
        <f aca="false">Sens!$H$629+Sens!$H$630</f>
        <v>242.436072869352</v>
      </c>
      <c r="I631" s="38" t="n">
        <f aca="false">Sens!$I$629+Sens!$I$630</f>
        <v>323.462782789562</v>
      </c>
      <c r="J631" s="38" t="n">
        <f aca="false">Sens!$J$629+Sens!$J$630</f>
        <v>404.024076141716</v>
      </c>
      <c r="K631" s="38" t="n">
        <f aca="false">Sens!$K$629+Sens!$K$630</f>
        <v>473.906161753067</v>
      </c>
      <c r="L631" s="38" t="n">
        <f aca="false">Sens!$L$629+Sens!$L$630</f>
        <v>526.454846983619</v>
      </c>
      <c r="M631" s="38" t="n">
        <f aca="false">Sens!$M$629+Sens!$M$630</f>
        <v>561.724586880955</v>
      </c>
      <c r="N631" s="38" t="n">
        <f aca="false">Q!$N$7</f>
        <v>60.14</v>
      </c>
      <c r="O631" s="38" t="n">
        <f aca="false">Q!$O$7</f>
        <v>68.585</v>
      </c>
      <c r="P631" s="5" t="s">
        <v>694</v>
      </c>
    </row>
    <row r="632" customFormat="false" ht="15" hidden="false" customHeight="false" outlineLevel="0" collapsed="false">
      <c r="A632" s="3" t="s">
        <v>695</v>
      </c>
      <c r="B632" s="8" t="s">
        <v>86</v>
      </c>
      <c r="C632" s="38" t="n">
        <f aca="false">Q!$D$8</f>
        <v>637.959</v>
      </c>
      <c r="D632" s="38" t="n">
        <f aca="false">Q!$E$8</f>
        <v>716.924</v>
      </c>
      <c r="E632" s="38" t="n">
        <f aca="false">Q!$P$8</f>
        <v>382.125</v>
      </c>
      <c r="F632" s="38" t="n">
        <f aca="false">Sens!$F$562+Sens!$F$631</f>
        <v>438.384244929323</v>
      </c>
      <c r="G632" s="38" t="n">
        <f aca="false">Sens!$G$562+Sens!$G$631</f>
        <v>820.509244929323</v>
      </c>
      <c r="H632" s="38" t="n">
        <f aca="false">Sens!$H$562+Sens!$H$631</f>
        <v>963.532962390739</v>
      </c>
      <c r="I632" s="38" t="n">
        <f aca="false">Sens!$I$562+Sens!$I$631</f>
        <v>1111.99217394209</v>
      </c>
      <c r="J632" s="38" t="n">
        <f aca="false">Sens!$J$562+Sens!$J$631</f>
        <v>1255.13248188316</v>
      </c>
      <c r="K632" s="38" t="n">
        <f aca="false">Sens!$K$562+Sens!$K$631</f>
        <v>1380.08261718415</v>
      </c>
      <c r="L632" s="38" t="n">
        <f aca="false">Sens!$L$562+Sens!$L$631</f>
        <v>1491.54795345921</v>
      </c>
      <c r="M632" s="38" t="n">
        <f aca="false">Sens!$M$562+Sens!$M$631</f>
        <v>1589.87249482784</v>
      </c>
      <c r="N632" s="38" t="n">
        <f aca="false">Q!$N$8</f>
        <v>323.369</v>
      </c>
      <c r="O632" s="38" t="n">
        <f aca="false">Q!$O$8</f>
        <v>393.555</v>
      </c>
    </row>
    <row r="633" customFormat="false" ht="17.15" hidden="false" customHeight="false" outlineLevel="0" collapsed="false">
      <c r="A633" s="24" t="s">
        <v>703</v>
      </c>
      <c r="B633" s="25" t="s">
        <v>86</v>
      </c>
      <c r="C633" s="41" t="n">
        <f aca="false">Sens!$C$562-(Sens!$C$564+Sens!$C$565)</f>
        <v>0</v>
      </c>
      <c r="D633" s="41" t="n">
        <f aca="false">Sens!$D$562-(Sens!$D$564+Sens!$D$565)</f>
        <v>0</v>
      </c>
      <c r="E633" s="41" t="n">
        <f aca="false">Sens!$E$562-(Sens!$E$564+Sens!$E$565)</f>
        <v>0</v>
      </c>
      <c r="F633" s="41" t="n">
        <f aca="false">Sens!$F$562-(Sens!$F$564+Sens!$F$565)</f>
        <v>0</v>
      </c>
      <c r="G633" s="41" t="n">
        <f aca="false">Sens!$G$562-(Sens!$G$564+Sens!$G$565)</f>
        <v>0</v>
      </c>
      <c r="H633" s="41" t="n">
        <f aca="false">Sens!$H$562-(Sens!$H$564+Sens!$H$565)</f>
        <v>0</v>
      </c>
      <c r="I633" s="41" t="n">
        <f aca="false">Sens!$I$562-(Sens!$I$564+Sens!$I$565)</f>
        <v>0</v>
      </c>
      <c r="J633" s="41" t="n">
        <f aca="false">Sens!$J$562-(Sens!$J$564+Sens!$J$565)</f>
        <v>0</v>
      </c>
      <c r="K633" s="41" t="n">
        <f aca="false">Sens!$K$562-(Sens!$K$564+Sens!$K$565)</f>
        <v>0</v>
      </c>
      <c r="L633" s="41" t="n">
        <f aca="false">Sens!$L$562-(Sens!$L$564+Sens!$L$565)</f>
        <v>0</v>
      </c>
      <c r="M633" s="41" t="n">
        <f aca="false">Sens!$M$562-(Sens!$M$564+Sens!$M$565)</f>
        <v>0</v>
      </c>
      <c r="N633" s="41" t="n">
        <f aca="false">Sens!$N$562-(Sens!$N$564+Sens!$N$565)</f>
        <v>0</v>
      </c>
      <c r="O633" s="41" t="n">
        <f aca="false">Sens!$O$562-(Sens!$O$564+Sens!$O$565)</f>
        <v>0</v>
      </c>
    </row>
    <row r="634" customFormat="false" ht="17.15" hidden="false" customHeight="false" outlineLevel="0" collapsed="false">
      <c r="A634" s="24" t="s">
        <v>704</v>
      </c>
      <c r="B634" s="25" t="s">
        <v>86</v>
      </c>
      <c r="C634" s="41" t="n">
        <f aca="false">Sens!$C$629+Sens!$C$630-Sens!$C$631</f>
        <v>0</v>
      </c>
      <c r="D634" s="41" t="n">
        <f aca="false">Sens!$D$629+Sens!$D$630-Sens!$D$631</f>
        <v>0</v>
      </c>
      <c r="E634" s="41" t="n">
        <f aca="false">Sens!$E$629+Sens!$E$630-Sens!$E$631</f>
        <v>0</v>
      </c>
      <c r="F634" s="41" t="n">
        <f aca="false">Sens!$F$629+Sens!$F$630-Sens!$F$631</f>
        <v>0</v>
      </c>
      <c r="G634" s="41" t="n">
        <f aca="false">Sens!$G$629+Sens!$G$630-Sens!$G$631</f>
        <v>0</v>
      </c>
      <c r="H634" s="41" t="n">
        <f aca="false">Sens!$H$629+Sens!$H$630-Sens!$H$631</f>
        <v>0</v>
      </c>
      <c r="I634" s="41" t="n">
        <f aca="false">Sens!$I$629+Sens!$I$630-Sens!$I$631</f>
        <v>0</v>
      </c>
      <c r="J634" s="41" t="n">
        <f aca="false">Sens!$J$629+Sens!$J$630-Sens!$J$631</f>
        <v>0</v>
      </c>
      <c r="K634" s="41" t="n">
        <f aca="false">Sens!$K$629+Sens!$K$630-Sens!$K$631</f>
        <v>0</v>
      </c>
      <c r="L634" s="41" t="n">
        <f aca="false">Sens!$L$629+Sens!$L$630-Sens!$L$631</f>
        <v>0</v>
      </c>
      <c r="M634" s="41" t="n">
        <f aca="false">Sens!$M$629+Sens!$M$630-Sens!$M$631</f>
        <v>0</v>
      </c>
      <c r="N634" s="41" t="n">
        <f aca="false">Sens!$N$629+Sens!$N$630-Sens!$N$631</f>
        <v>0</v>
      </c>
      <c r="O634" s="41" t="n">
        <f aca="false">Sens!$O$629+Sens!$O$630-Sens!$O$631</f>
        <v>0</v>
      </c>
    </row>
    <row r="635" customFormat="false" ht="17.15" hidden="false" customHeight="false" outlineLevel="0" collapsed="false">
      <c r="A635" s="24" t="s">
        <v>705</v>
      </c>
      <c r="B635" s="25" t="s">
        <v>86</v>
      </c>
      <c r="C635" s="41" t="n">
        <f aca="false">Sens!$C$564+Sens!$C$565+Sens!$C$631-Sens!$C$632</f>
        <v>0</v>
      </c>
      <c r="D635" s="41" t="n">
        <f aca="false">Sens!$D$564+Sens!$D$565+Sens!$D$631-Sens!$D$632</f>
        <v>0</v>
      </c>
      <c r="E635" s="41" t="n">
        <f aca="false">Sens!$E$564+Sens!$E$565+Sens!$E$631-Sens!$E$632</f>
        <v>0</v>
      </c>
      <c r="F635" s="41" t="n">
        <f aca="false">Sens!$F$564+Sens!$F$565+Sens!$F$631-Sens!$F$632</f>
        <v>0</v>
      </c>
      <c r="G635" s="41" t="n">
        <f aca="false">Sens!$G$564+Sens!$G$565+Sens!$G$631-Sens!$G$632</f>
        <v>0</v>
      </c>
      <c r="H635" s="41" t="n">
        <f aca="false">Sens!$H$564+Sens!$H$565+Sens!$H$631-Sens!$H$632</f>
        <v>0</v>
      </c>
      <c r="I635" s="41" t="n">
        <f aca="false">Sens!$I$564+Sens!$I$565+Sens!$I$631-Sens!$I$632</f>
        <v>0</v>
      </c>
      <c r="J635" s="41" t="n">
        <f aca="false">Sens!$J$564+Sens!$J$565+Sens!$J$631-Sens!$J$632</f>
        <v>0</v>
      </c>
      <c r="K635" s="41" t="n">
        <f aca="false">Sens!$K$564+Sens!$K$565+Sens!$K$631-Sens!$K$632</f>
        <v>0</v>
      </c>
      <c r="L635" s="41" t="n">
        <f aca="false">Sens!$L$564+Sens!$L$565+Sens!$L$631-Sens!$L$632</f>
        <v>0</v>
      </c>
      <c r="M635" s="41" t="n">
        <f aca="false">Sens!$M$564+Sens!$M$565+Sens!$M$631-Sens!$M$632</f>
        <v>0</v>
      </c>
      <c r="N635" s="41" t="n">
        <f aca="false">Sens!$N$564+Sens!$N$565+Sens!$N$631-Sens!$N$632</f>
        <v>0</v>
      </c>
      <c r="O635" s="41" t="n">
        <f aca="false">Sens!$O$564+Sens!$O$565+Sens!$O$631-Sens!$O$632</f>
        <v>0</v>
      </c>
    </row>
    <row r="636" customFormat="false" ht="15" hidden="false" customHeight="false" outlineLevel="0" collapsed="false">
      <c r="A636" s="5" t="s">
        <v>699</v>
      </c>
      <c r="B636" s="0" t="s">
        <v>52</v>
      </c>
      <c r="G636" s="13" t="n">
        <f aca="false">Sens!$G$632/Sens!$D$632-1</f>
        <v>0.14448567062802</v>
      </c>
      <c r="H636" s="13" t="n">
        <f aca="false">Sens!$H$632/Sens!$G$632-1</f>
        <v>0.174310915258165</v>
      </c>
      <c r="I636" s="13" t="n">
        <f aca="false">Sens!$I$632/Sens!$H$632-1</f>
        <v>0.154077979006545</v>
      </c>
      <c r="J636" s="13" t="n">
        <f aca="false">Sens!$J$632/Sens!$I$632-1</f>
        <v>0.128724204446172</v>
      </c>
      <c r="K636" s="13" t="n">
        <f aca="false">Sens!$K$632/Sens!$J$632-1</f>
        <v>0.0995513518330147</v>
      </c>
      <c r="L636" s="13" t="n">
        <f aca="false">Sens!$L$632/Sens!$K$632-1</f>
        <v>0.0807671474788099</v>
      </c>
      <c r="M636" s="13" t="n">
        <f aca="false">Sens!$M$632/Sens!$L$632-1</f>
        <v>0.0659211399409576</v>
      </c>
    </row>
    <row r="637" customFormat="false" ht="17.15" hidden="false" customHeight="false" outlineLevel="0" collapsed="false">
      <c r="A637" s="0" t="s">
        <v>700</v>
      </c>
      <c r="B637" s="0" t="s">
        <v>52</v>
      </c>
      <c r="C637" s="13" t="n">
        <f aca="false">Sens!$C$631/Sens!$C$632</f>
        <v>0.168593906504964</v>
      </c>
      <c r="D637" s="13" t="n">
        <f aca="false">Sens!$D$631/Sens!$D$632</f>
        <v>0.179551807444025</v>
      </c>
      <c r="E637" s="13" t="n">
        <f aca="false">Sens!$E$631/Sens!$E$632</f>
        <v>0.208881910369643</v>
      </c>
      <c r="F637" s="13" t="n">
        <f aca="false">Sens!$F$631/Sens!$F$632</f>
        <v>0.203784703298788</v>
      </c>
      <c r="G637" s="13" t="n">
        <f aca="false">Sens!$G$631/Sens!$G$632</f>
        <v>0.206158558638003</v>
      </c>
      <c r="H637" s="13" t="n">
        <f aca="false">Sens!$H$631/Sens!$H$632</f>
        <v>0.25161160264597</v>
      </c>
      <c r="I637" s="13" t="n">
        <f aca="false">Sens!$I$631/Sens!$I$632</f>
        <v>0.290885844675384</v>
      </c>
      <c r="J637" s="13" t="n">
        <f aca="false">Sens!$J$631/Sens!$J$632</f>
        <v>0.321897554221155</v>
      </c>
      <c r="K637" s="13" t="n">
        <f aca="false">Sens!$K$631/Sens!$K$632</f>
        <v>0.343389704248285</v>
      </c>
      <c r="L637" s="13" t="n">
        <f aca="false">Sens!$L$631/Sens!$L$632</f>
        <v>0.352958713638848</v>
      </c>
      <c r="M637" s="13" t="n">
        <f aca="false">Sens!$M$631/Sens!$M$632</f>
        <v>0.353314236650016</v>
      </c>
      <c r="N637" s="13" t="n">
        <f aca="false">Sens!$N$631/Sens!$N$632</f>
        <v>0.185979484737251</v>
      </c>
      <c r="O637" s="13" t="n">
        <f aca="false">Sens!$O$631/Sens!$O$632</f>
        <v>0.174270432341096</v>
      </c>
    </row>
    <row r="638" customFormat="false" ht="17.15" hidden="false" customHeight="false" outlineLevel="0" collapsed="false">
      <c r="A638" s="0" t="s">
        <v>701</v>
      </c>
      <c r="B638" s="0" t="s">
        <v>52</v>
      </c>
      <c r="C638" s="13" t="n">
        <f aca="false">Sens!$C$629/Sens!$C$631</f>
        <v>0.0215795060896058</v>
      </c>
      <c r="D638" s="13" t="n">
        <f aca="false">Sens!$D$629/Sens!$D$631</f>
        <v>0.0676152269462122</v>
      </c>
      <c r="E638" s="13" t="n">
        <f aca="false">Sens!$E$629/Sens!$E$631</f>
        <v>0.106620641395783</v>
      </c>
      <c r="F638" s="13" t="n">
        <f aca="false">Sens!$F$629/Sens!$F$631</f>
        <v>0.196636326271911</v>
      </c>
      <c r="G638" s="13" t="n">
        <f aca="false">Sens!$G$629/Sens!$G$631</f>
        <v>0.154160716259515</v>
      </c>
      <c r="H638" s="13" t="n">
        <f aca="false">Sens!$H$629/Sens!$H$631</f>
        <v>0.335836968593472</v>
      </c>
      <c r="I638" s="13" t="n">
        <f aca="false">Sens!$I$629/Sens!$I$631</f>
        <v>0.44732510497889</v>
      </c>
      <c r="J638" s="13" t="n">
        <f aca="false">Sens!$J$629/Sens!$J$631</f>
        <v>0.515435961352866</v>
      </c>
      <c r="K638" s="13" t="n">
        <f aca="false">Sens!$K$629/Sens!$K$631</f>
        <v>0.553840827248515</v>
      </c>
      <c r="L638" s="13" t="n">
        <f aca="false">Sens!$L$629/Sens!$L$631</f>
        <v>0.566244685778624</v>
      </c>
      <c r="M638" s="13" t="n">
        <f aca="false">Sens!$M$629/Sens!$M$631</f>
        <v>0.560957806827937</v>
      </c>
      <c r="N638" s="13" t="n">
        <f aca="false">Sens!$N$629/Sens!$N$631</f>
        <v>0.0506537999838362</v>
      </c>
      <c r="O638" s="13" t="n">
        <f aca="false">Sens!$O$629/Sens!$O$631</f>
        <v>0.0824881615167056</v>
      </c>
    </row>
    <row r="641" customFormat="false" ht="19.4" hidden="false" customHeight="false" outlineLevel="0" collapsed="false">
      <c r="A641" s="31" t="s">
        <v>1147</v>
      </c>
    </row>
    <row r="642" customFormat="false" ht="17.15" hidden="false" customHeight="false" outlineLevel="0" collapsed="false">
      <c r="A642" s="6" t="s">
        <v>16</v>
      </c>
      <c r="B642" s="6" t="s">
        <v>17</v>
      </c>
      <c r="C642" s="20" t="s">
        <v>497</v>
      </c>
      <c r="D642" s="20" t="s">
        <v>498</v>
      </c>
      <c r="E642" s="20" t="s">
        <v>580</v>
      </c>
      <c r="F642" s="20" t="s">
        <v>581</v>
      </c>
      <c r="G642" s="20" t="s">
        <v>582</v>
      </c>
      <c r="H642" s="20" t="s">
        <v>583</v>
      </c>
      <c r="I642" s="20" t="s">
        <v>584</v>
      </c>
      <c r="J642" s="20" t="s">
        <v>585</v>
      </c>
      <c r="K642" s="20" t="s">
        <v>586</v>
      </c>
      <c r="L642" s="20" t="s">
        <v>587</v>
      </c>
      <c r="M642" s="20" t="s">
        <v>588</v>
      </c>
      <c r="N642" s="20" t="s">
        <v>589</v>
      </c>
      <c r="O642" s="20" t="s">
        <v>590</v>
      </c>
      <c r="P642" s="6" t="s">
        <v>23</v>
      </c>
      <c r="R642" s="20" t="n">
        <v>2023</v>
      </c>
      <c r="S642" s="20" t="n">
        <v>2024</v>
      </c>
      <c r="T642" s="20" t="n">
        <v>2025</v>
      </c>
      <c r="U642" s="20" t="n">
        <v>2026</v>
      </c>
      <c r="V642" s="20" t="n">
        <v>2027</v>
      </c>
      <c r="W642" s="20" t="n">
        <v>2028</v>
      </c>
      <c r="X642" s="20" t="n">
        <v>2029</v>
      </c>
      <c r="Y642" s="20" t="n">
        <v>2030</v>
      </c>
      <c r="Z642" s="20" t="n">
        <v>2031</v>
      </c>
      <c r="AA642" s="20" t="n">
        <v>2032</v>
      </c>
    </row>
    <row r="643" customFormat="false" ht="17.15" hidden="false" customHeight="false" outlineLevel="0" collapsed="false">
      <c r="A643" s="1" t="s">
        <v>716</v>
      </c>
    </row>
    <row r="644" customFormat="false" ht="15" hidden="false" customHeight="false" outlineLevel="0" collapsed="false">
      <c r="A644" s="0" t="s">
        <v>519</v>
      </c>
      <c r="B644" s="0" t="s">
        <v>86</v>
      </c>
      <c r="C644" s="38" t="n">
        <f aca="false">Sens!$C$549</f>
        <v>247.029</v>
      </c>
      <c r="D644" s="38" t="n">
        <f aca="false">Sens!$D$549</f>
        <v>269.287</v>
      </c>
      <c r="E644" s="38" t="n">
        <f aca="false">Sens!$E$549</f>
        <v>134.686</v>
      </c>
      <c r="F644" s="38" t="n">
        <f aca="false">Sens!$F$549</f>
        <v>158.293876822267</v>
      </c>
      <c r="G644" s="38" t="n">
        <f aca="false">Sens!$G$549</f>
        <v>292.979876822267</v>
      </c>
      <c r="H644" s="38" t="n">
        <f aca="false">Sens!$H$549</f>
        <v>318.184543087396</v>
      </c>
      <c r="I644" s="38" t="n">
        <f aca="false">Sens!$I$549</f>
        <v>341.736278761793</v>
      </c>
      <c r="J644" s="38" t="n">
        <f aca="false">Sens!$J$549</f>
        <v>362.927192787048</v>
      </c>
      <c r="K644" s="38" t="n">
        <f aca="false">Sens!$K$549</f>
        <v>381.0735524264</v>
      </c>
      <c r="L644" s="38" t="n">
        <f aca="false">Sens!$L$549</f>
        <v>400.12723004772</v>
      </c>
      <c r="M644" s="38" t="n">
        <f aca="false">Sens!$M$549</f>
        <v>420.133591550106</v>
      </c>
      <c r="N644" s="38" t="n">
        <f aca="false">Sens!$N$549</f>
        <v>118.892</v>
      </c>
      <c r="O644" s="38" t="n">
        <f aca="false">Sens!$O$549</f>
        <v>150.395</v>
      </c>
    </row>
    <row r="645" customFormat="false" ht="15" hidden="false" customHeight="false" outlineLevel="0" collapsed="false">
      <c r="A645" s="0" t="s">
        <v>520</v>
      </c>
      <c r="B645" s="0" t="s">
        <v>86</v>
      </c>
      <c r="C645" s="38" t="n">
        <f aca="false">Sens!$C$551</f>
        <v>21.215</v>
      </c>
      <c r="D645" s="38" t="n">
        <f aca="false">Sens!$D$551</f>
        <v>22.561</v>
      </c>
      <c r="E645" s="38" t="n">
        <f aca="false">Sens!$E$551</f>
        <v>11.579</v>
      </c>
      <c r="F645" s="38" t="n">
        <f aca="false">Sens!$F$551</f>
        <v>11.5938724610325</v>
      </c>
      <c r="G645" s="38" t="n">
        <f aca="false">Sens!$G$551</f>
        <v>23.1728724610325</v>
      </c>
      <c r="H645" s="38" t="n">
        <f aca="false">Sens!$H$551</f>
        <v>24.353392759506</v>
      </c>
      <c r="I645" s="38" t="n">
        <f aca="false">Sens!$I$551</f>
        <v>25.4240338872015</v>
      </c>
      <c r="J645" s="38" t="n">
        <f aca="false">Sens!$J$551</f>
        <v>26.3642491017174</v>
      </c>
      <c r="K645" s="38" t="n">
        <f aca="false">Sens!$K$551</f>
        <v>27.155176574769</v>
      </c>
      <c r="L645" s="38" t="n">
        <f aca="false">Sens!$L$551</f>
        <v>27.969831872012</v>
      </c>
      <c r="M645" s="38" t="n">
        <f aca="false">Sens!$M$551</f>
        <v>28.8089268281724</v>
      </c>
      <c r="N645" s="38" t="n">
        <f aca="false">Sens!$N$551</f>
        <v>11.128</v>
      </c>
      <c r="O645" s="38" t="n">
        <f aca="false">Sens!$O$551</f>
        <v>11.433</v>
      </c>
    </row>
    <row r="646" customFormat="false" ht="15" hidden="false" customHeight="false" outlineLevel="0" collapsed="false">
      <c r="A646" s="0" t="s">
        <v>521</v>
      </c>
      <c r="B646" s="0" t="s">
        <v>86</v>
      </c>
      <c r="C646" s="38" t="n">
        <f aca="false">Sens!$C$553</f>
        <v>156.146</v>
      </c>
      <c r="D646" s="38" t="n">
        <f aca="false">Sens!$D$553</f>
        <v>172.162</v>
      </c>
      <c r="E646" s="38" t="n">
        <f aca="false">Sens!$E$553</f>
        <v>88.358</v>
      </c>
      <c r="F646" s="38" t="n">
        <f aca="false">Sens!$F$553</f>
        <v>102.004388260171</v>
      </c>
      <c r="G646" s="38" t="n">
        <f aca="false">Sens!$G$553</f>
        <v>190.362388260171</v>
      </c>
      <c r="H646" s="38" t="n">
        <f aca="false">Sens!$H$553</f>
        <v>210.343106588311</v>
      </c>
      <c r="I646" s="38" t="n">
        <f aca="false">Sens!$I$553</f>
        <v>229.969728494648</v>
      </c>
      <c r="J646" s="38" t="n">
        <f aca="false">Sens!$J$553</f>
        <v>248.747636972598</v>
      </c>
      <c r="K646" s="38" t="n">
        <f aca="false">Sens!$K$553</f>
        <v>266.15997156068</v>
      </c>
      <c r="L646" s="38" t="n">
        <f aca="false">Sens!$L$553</f>
        <v>284.791169569927</v>
      </c>
      <c r="M646" s="38" t="n">
        <f aca="false">Sens!$M$553</f>
        <v>304.726551439822</v>
      </c>
      <c r="N646" s="38" t="n">
        <f aca="false">Sens!$N$553</f>
        <v>76.86</v>
      </c>
      <c r="O646" s="38" t="n">
        <f aca="false">Sens!$O$553</f>
        <v>95.302</v>
      </c>
    </row>
    <row r="647" customFormat="false" ht="15" hidden="false" customHeight="false" outlineLevel="0" collapsed="false">
      <c r="A647" s="0" t="s">
        <v>522</v>
      </c>
      <c r="B647" s="0" t="s">
        <v>86</v>
      </c>
      <c r="C647" s="38" t="n">
        <f aca="false">Sens!$C$555</f>
        <v>56.214</v>
      </c>
      <c r="D647" s="38" t="n">
        <f aca="false">Sens!$D$555</f>
        <v>68.635</v>
      </c>
      <c r="E647" s="38" t="n">
        <f aca="false">Sens!$E$555</f>
        <v>37.052</v>
      </c>
      <c r="F647" s="38" t="n">
        <f aca="false">Sens!$F$555</f>
        <v>46.1572219944148</v>
      </c>
      <c r="G647" s="38" t="n">
        <f aca="false">Sens!$G$555</f>
        <v>83.2092219944148</v>
      </c>
      <c r="H647" s="38" t="n">
        <f aca="false">Sens!$H$555</f>
        <v>99.8969223878976</v>
      </c>
      <c r="I647" s="38" t="n">
        <f aca="false">Sens!$I$555</f>
        <v>116.583111095496</v>
      </c>
      <c r="J647" s="38" t="n">
        <f aca="false">Sens!$J$555</f>
        <v>132.148941941952</v>
      </c>
      <c r="K647" s="38" t="n">
        <f aca="false">Sens!$K$555</f>
        <v>145.363836136147</v>
      </c>
      <c r="L647" s="38" t="n">
        <f aca="false">Sens!$L$555</f>
        <v>159.900219749762</v>
      </c>
      <c r="M647" s="38" t="n">
        <f aca="false">Sens!$M$555</f>
        <v>175.890241724738</v>
      </c>
      <c r="N647" s="38" t="n">
        <f aca="false">Sens!$N$555</f>
        <v>29.615</v>
      </c>
      <c r="O647" s="38" t="n">
        <f aca="false">Sens!$O$555</f>
        <v>39.02</v>
      </c>
    </row>
    <row r="648" customFormat="false" ht="15" hidden="false" customHeight="false" outlineLevel="0" collapsed="false">
      <c r="A648" s="0" t="s">
        <v>523</v>
      </c>
      <c r="B648" s="0" t="s">
        <v>86</v>
      </c>
      <c r="C648" s="38" t="n">
        <f aca="false">Sens!$C$557</f>
        <v>44.374</v>
      </c>
      <c r="D648" s="38" t="n">
        <f aca="false">Sens!$D$557</f>
        <v>49.619</v>
      </c>
      <c r="E648" s="38" t="n">
        <f aca="false">Sens!$E$557</f>
        <v>27.157</v>
      </c>
      <c r="F648" s="38" t="n">
        <f aca="false">Sens!$F$557</f>
        <v>27.7764165988154</v>
      </c>
      <c r="G648" s="38" t="n">
        <f aca="false">Sens!$G$557</f>
        <v>54.9334165988154</v>
      </c>
      <c r="H648" s="38" t="n">
        <f aca="false">Sens!$H$557</f>
        <v>61.1564112561829</v>
      </c>
      <c r="I648" s="38" t="n">
        <f aca="false">Sens!$I$557</f>
        <v>67.2020282103945</v>
      </c>
      <c r="J648" s="38" t="n">
        <f aca="false">Sens!$J$557</f>
        <v>72.8757274028885</v>
      </c>
      <c r="K648" s="38" t="n">
        <f aca="false">Sens!$K$557</f>
        <v>77.9770283210907</v>
      </c>
      <c r="L648" s="38" t="n">
        <f aca="false">Sens!$L$557</f>
        <v>83.4354203035671</v>
      </c>
      <c r="M648" s="38" t="n">
        <f aca="false">Sens!$M$557</f>
        <v>89.2758997248168</v>
      </c>
      <c r="N648" s="38" t="n">
        <f aca="false">Sens!$N$557</f>
        <v>23.923</v>
      </c>
      <c r="O648" s="38" t="n">
        <f aca="false">Sens!$O$557</f>
        <v>25.696</v>
      </c>
    </row>
    <row r="649" customFormat="false" ht="15" hidden="false" customHeight="false" outlineLevel="0" collapsed="false">
      <c r="A649" s="0" t="s">
        <v>524</v>
      </c>
      <c r="B649" s="0" t="s">
        <v>86</v>
      </c>
      <c r="C649" s="38" t="n">
        <f aca="false">Sens!$C$559</f>
        <v>5.425</v>
      </c>
      <c r="D649" s="38" t="n">
        <f aca="false">Sens!$D$559</f>
        <v>5.935</v>
      </c>
      <c r="E649" s="38" t="n">
        <f aca="false">Sens!$E$559</f>
        <v>3.474</v>
      </c>
      <c r="F649" s="38" t="n">
        <f aca="false">Sens!$F$559</f>
        <v>3.22246550883619</v>
      </c>
      <c r="G649" s="38" t="n">
        <f aca="false">Sens!$G$559</f>
        <v>6.69646550883619</v>
      </c>
      <c r="H649" s="38" t="n">
        <f aca="false">Sens!$H$559</f>
        <v>7.16251344209196</v>
      </c>
      <c r="I649" s="38" t="n">
        <f aca="false">Sens!$I$559</f>
        <v>7.61421070299826</v>
      </c>
      <c r="J649" s="38" t="n">
        <f aca="false">Sens!$J$559</f>
        <v>8.04465753523932</v>
      </c>
      <c r="K649" s="38" t="n">
        <f aca="false">Sens!$K$559</f>
        <v>8.44689041200128</v>
      </c>
      <c r="L649" s="38" t="n">
        <f aca="false">Sens!$L$559</f>
        <v>8.86923493260135</v>
      </c>
      <c r="M649" s="38" t="n">
        <f aca="false">Sens!$M$559</f>
        <v>9.31269667923142</v>
      </c>
      <c r="N649" s="38" t="n">
        <f aca="false">Sens!$N$559</f>
        <v>2.811</v>
      </c>
      <c r="O649" s="38" t="n">
        <f aca="false">Sens!$O$559</f>
        <v>3.124</v>
      </c>
    </row>
    <row r="650" customFormat="false" ht="17.15" hidden="false" customHeight="false" outlineLevel="0" collapsed="false">
      <c r="A650" s="0" t="s">
        <v>717</v>
      </c>
      <c r="B650" s="0" t="s">
        <v>86</v>
      </c>
      <c r="C650" s="38" t="n">
        <f aca="false">Sens!$C$631</f>
        <v>107.556</v>
      </c>
      <c r="D650" s="38" t="n">
        <f aca="false">Sens!$D$631</f>
        <v>128.725</v>
      </c>
      <c r="E650" s="38" t="n">
        <f aca="false">Sens!$E$631</f>
        <v>79.819</v>
      </c>
      <c r="F650" s="38" t="n">
        <f aca="false">Sens!$F$631</f>
        <v>89.3360032837853</v>
      </c>
      <c r="G650" s="38" t="n">
        <f aca="false">Sens!$G$631</f>
        <v>169.155003283785</v>
      </c>
      <c r="H650" s="38" t="n">
        <f aca="false">Sens!$H$631</f>
        <v>242.436072869352</v>
      </c>
      <c r="I650" s="38" t="n">
        <f aca="false">Sens!$I$631</f>
        <v>323.462782789562</v>
      </c>
      <c r="J650" s="38" t="n">
        <f aca="false">Sens!$J$631</f>
        <v>404.024076141716</v>
      </c>
      <c r="K650" s="38" t="n">
        <f aca="false">Sens!$K$631</f>
        <v>473.906161753067</v>
      </c>
      <c r="L650" s="38" t="n">
        <f aca="false">Sens!$L$631</f>
        <v>526.454846983619</v>
      </c>
      <c r="M650" s="38" t="n">
        <f aca="false">Sens!$M$631</f>
        <v>561.724586880955</v>
      </c>
      <c r="N650" s="38" t="n">
        <f aca="false">Sens!$N$631</f>
        <v>60.14</v>
      </c>
      <c r="O650" s="38" t="n">
        <f aca="false">Sens!$O$631</f>
        <v>68.585</v>
      </c>
    </row>
    <row r="651" customFormat="false" ht="15" hidden="false" customHeight="false" outlineLevel="0" collapsed="false">
      <c r="A651" s="1" t="s">
        <v>512</v>
      </c>
      <c r="B651" s="8" t="s">
        <v>86</v>
      </c>
      <c r="C651" s="38" t="n">
        <f aca="false">Sens!$C$564</f>
        <v>387.497</v>
      </c>
      <c r="D651" s="38" t="n">
        <f aca="false">Sens!$D$564</f>
        <v>426.305</v>
      </c>
      <c r="E651" s="38" t="n">
        <f aca="false">Sens!$E$564</f>
        <v>220.32</v>
      </c>
      <c r="F651" s="38" t="n">
        <f aca="false">Sens!$F$564</f>
        <v>250.639773480586</v>
      </c>
      <c r="G651" s="38" t="n">
        <f aca="false">Sens!$G$564</f>
        <v>470.959773480586</v>
      </c>
      <c r="H651" s="38" t="n">
        <f aca="false">Sens!$H$564</f>
        <v>521.386990416437</v>
      </c>
      <c r="I651" s="38" t="n">
        <f aca="false">Sens!$I$564</f>
        <v>570.143862887555</v>
      </c>
      <c r="J651" s="38" t="n">
        <f aca="false">Sens!$J$564</f>
        <v>615.391435791933</v>
      </c>
      <c r="K651" s="38" t="n">
        <f aca="false">Sens!$K$564</f>
        <v>655.208227561543</v>
      </c>
      <c r="L651" s="38" t="n">
        <f aca="false">Sens!$L$564</f>
        <v>697.807739249767</v>
      </c>
      <c r="M651" s="38" t="n">
        <f aca="false">Sens!$M$564</f>
        <v>743.399328463592</v>
      </c>
      <c r="N651" s="38" t="n">
        <f aca="false">Sens!$N$564</f>
        <v>192.955</v>
      </c>
      <c r="O651" s="38" t="n">
        <f aca="false">Sens!$O$564</f>
        <v>233.35</v>
      </c>
    </row>
    <row r="652" customFormat="false" ht="15" hidden="false" customHeight="false" outlineLevel="0" collapsed="false">
      <c r="A652" s="1" t="s">
        <v>515</v>
      </c>
      <c r="B652" s="8" t="s">
        <v>86</v>
      </c>
      <c r="C652" s="38" t="n">
        <f aca="false">Sens!$C$565</f>
        <v>142.906</v>
      </c>
      <c r="D652" s="38" t="n">
        <f aca="false">Sens!$D$565</f>
        <v>161.894</v>
      </c>
      <c r="E652" s="38" t="n">
        <f aca="false">Sens!$E$565</f>
        <v>81.986</v>
      </c>
      <c r="F652" s="38" t="n">
        <f aca="false">Sens!$F$565</f>
        <v>98.408468164951</v>
      </c>
      <c r="G652" s="38" t="n">
        <f aca="false">Sens!$G$565</f>
        <v>180.394468164951</v>
      </c>
      <c r="H652" s="38" t="n">
        <f aca="false">Sens!$H$565</f>
        <v>199.709899104949</v>
      </c>
      <c r="I652" s="38" t="n">
        <f aca="false">Sens!$I$565</f>
        <v>218.385528264976</v>
      </c>
      <c r="J652" s="38" t="n">
        <f aca="false">Sens!$J$565</f>
        <v>235.71696994951</v>
      </c>
      <c r="K652" s="38" t="n">
        <f aca="false">Sens!$K$565</f>
        <v>250.968227869545</v>
      </c>
      <c r="L652" s="38" t="n">
        <f aca="false">Sens!$L$565</f>
        <v>267.285367225822</v>
      </c>
      <c r="M652" s="38" t="n">
        <f aca="false">Sens!$M$565</f>
        <v>284.748579483295</v>
      </c>
      <c r="N652" s="38" t="n">
        <f aca="false">Sens!$N$565</f>
        <v>70.274</v>
      </c>
      <c r="O652" s="38" t="n">
        <f aca="false">Sens!$O$565</f>
        <v>91.62</v>
      </c>
    </row>
    <row r="653" customFormat="false" ht="15" hidden="false" customHeight="false" outlineLevel="0" collapsed="false">
      <c r="A653" s="1" t="s">
        <v>516</v>
      </c>
      <c r="B653" s="8" t="s">
        <v>86</v>
      </c>
      <c r="C653" s="38" t="n">
        <f aca="false">Sens!$C$631</f>
        <v>107.556</v>
      </c>
      <c r="D653" s="38" t="n">
        <f aca="false">Sens!$D$631</f>
        <v>128.725</v>
      </c>
      <c r="E653" s="38" t="n">
        <f aca="false">Sens!$E$631</f>
        <v>79.819</v>
      </c>
      <c r="F653" s="38" t="n">
        <f aca="false">Sens!$F$631</f>
        <v>89.3360032837853</v>
      </c>
      <c r="G653" s="38" t="n">
        <f aca="false">Sens!$G$631</f>
        <v>169.155003283785</v>
      </c>
      <c r="H653" s="38" t="n">
        <f aca="false">Sens!$H$631</f>
        <v>242.436072869352</v>
      </c>
      <c r="I653" s="38" t="n">
        <f aca="false">Sens!$I$631</f>
        <v>323.462782789562</v>
      </c>
      <c r="J653" s="38" t="n">
        <f aca="false">Sens!$J$631</f>
        <v>404.024076141716</v>
      </c>
      <c r="K653" s="38" t="n">
        <f aca="false">Sens!$K$631</f>
        <v>473.906161753067</v>
      </c>
      <c r="L653" s="38" t="n">
        <f aca="false">Sens!$L$631</f>
        <v>526.454846983619</v>
      </c>
      <c r="M653" s="38" t="n">
        <f aca="false">Sens!$M$631</f>
        <v>561.724586880955</v>
      </c>
      <c r="N653" s="38" t="n">
        <f aca="false">Sens!$N$631</f>
        <v>60.14</v>
      </c>
      <c r="O653" s="38" t="n">
        <f aca="false">Sens!$O$631</f>
        <v>68.585</v>
      </c>
    </row>
    <row r="654" customFormat="false" ht="17.15" hidden="false" customHeight="false" outlineLevel="0" collapsed="false">
      <c r="A654" s="0" t="s">
        <v>691</v>
      </c>
      <c r="B654" s="0" t="s">
        <v>86</v>
      </c>
      <c r="C654" s="38" t="n">
        <f aca="false">Sens!$C$629</f>
        <v>2.32100535697364</v>
      </c>
      <c r="D654" s="38" t="n">
        <f aca="false">Sens!$D$629</f>
        <v>8.70377008865116</v>
      </c>
      <c r="E654" s="38" t="n">
        <f aca="false">Sens!$E$629</f>
        <v>8.51035297557002</v>
      </c>
      <c r="F654" s="38" t="n">
        <f aca="false">Sens!$F$629</f>
        <v>17.5667034895389</v>
      </c>
      <c r="G654" s="38" t="n">
        <f aca="false">Sens!$G$629</f>
        <v>26.077056465109</v>
      </c>
      <c r="H654" s="38" t="n">
        <f aca="false">Sens!$H$629</f>
        <v>81.4189957901494</v>
      </c>
      <c r="I654" s="38" t="n">
        <f aca="false">Sens!$I$629</f>
        <v>144.693023268105</v>
      </c>
      <c r="J654" s="38" t="n">
        <f aca="false">Sens!$J$629</f>
        <v>208.248538095809</v>
      </c>
      <c r="K654" s="38" t="n">
        <f aca="false">Sens!$K$629</f>
        <v>262.468580663487</v>
      </c>
      <c r="L654" s="38" t="n">
        <f aca="false">Sens!$L$629</f>
        <v>298.102259406873</v>
      </c>
      <c r="M654" s="38" t="n">
        <f aca="false">Sens!$M$629</f>
        <v>315.103792298069</v>
      </c>
      <c r="N654" s="38" t="n">
        <f aca="false">Sens!$N$629</f>
        <v>3.04631953102791</v>
      </c>
      <c r="O654" s="38" t="n">
        <f aca="false">Sens!$O$629</f>
        <v>5.65745055762326</v>
      </c>
    </row>
    <row r="655" customFormat="false" ht="17.15" hidden="false" customHeight="false" outlineLevel="0" collapsed="false">
      <c r="A655" s="0" t="s">
        <v>693</v>
      </c>
      <c r="B655" s="0" t="s">
        <v>86</v>
      </c>
      <c r="C655" s="38" t="n">
        <f aca="false">Sens!$C$630</f>
        <v>105.234994643026</v>
      </c>
      <c r="D655" s="38" t="n">
        <f aca="false">Sens!$D$630</f>
        <v>120.021229911349</v>
      </c>
      <c r="E655" s="38" t="n">
        <f aca="false">Sens!$E$630</f>
        <v>71.30864702443</v>
      </c>
      <c r="F655" s="38" t="n">
        <f aca="false">Sens!$F$630</f>
        <v>71.7692997942464</v>
      </c>
      <c r="G655" s="38" t="n">
        <f aca="false">Sens!$G$630</f>
        <v>143.077946818676</v>
      </c>
      <c r="H655" s="38" t="n">
        <f aca="false">Sens!$H$630</f>
        <v>161.017077079203</v>
      </c>
      <c r="I655" s="38" t="n">
        <f aca="false">Sens!$I$630</f>
        <v>178.769759521457</v>
      </c>
      <c r="J655" s="38" t="n">
        <f aca="false">Sens!$J$630</f>
        <v>195.775538045907</v>
      </c>
      <c r="K655" s="38" t="n">
        <f aca="false">Sens!$K$630</f>
        <v>211.43758108958</v>
      </c>
      <c r="L655" s="38" t="n">
        <f aca="false">Sens!$L$630</f>
        <v>228.352587576746</v>
      </c>
      <c r="M655" s="38" t="n">
        <f aca="false">Sens!$M$630</f>
        <v>246.620794582886</v>
      </c>
      <c r="N655" s="38" t="n">
        <f aca="false">Sens!$N$630</f>
        <v>57.0936804689721</v>
      </c>
      <c r="O655" s="38" t="n">
        <f aca="false">Sens!$O$630</f>
        <v>62.9275494423768</v>
      </c>
    </row>
    <row r="656" customFormat="false" ht="15" hidden="false" customHeight="false" outlineLevel="0" collapsed="false">
      <c r="A656" s="3" t="s">
        <v>517</v>
      </c>
      <c r="B656" s="8" t="s">
        <v>86</v>
      </c>
      <c r="C656" s="38" t="n">
        <f aca="false">Sens!$C$632</f>
        <v>637.959</v>
      </c>
      <c r="D656" s="38" t="n">
        <f aca="false">Sens!$D$632</f>
        <v>716.924</v>
      </c>
      <c r="E656" s="38" t="n">
        <f aca="false">Sens!$E$632</f>
        <v>382.125</v>
      </c>
      <c r="F656" s="38" t="n">
        <f aca="false">Sens!$F$632</f>
        <v>438.384244929323</v>
      </c>
      <c r="G656" s="38" t="n">
        <f aca="false">Sens!$G$632</f>
        <v>820.509244929323</v>
      </c>
      <c r="H656" s="38" t="n">
        <f aca="false">Sens!$H$632</f>
        <v>963.532962390739</v>
      </c>
      <c r="I656" s="38" t="n">
        <f aca="false">Sens!$I$632</f>
        <v>1111.99217394209</v>
      </c>
      <c r="J656" s="38" t="n">
        <f aca="false">Sens!$J$632</f>
        <v>1255.13248188316</v>
      </c>
      <c r="K656" s="38" t="n">
        <f aca="false">Sens!$K$632</f>
        <v>1380.08261718415</v>
      </c>
      <c r="L656" s="38" t="n">
        <f aca="false">Sens!$L$632</f>
        <v>1491.54795345921</v>
      </c>
      <c r="M656" s="38" t="n">
        <f aca="false">Sens!$M$632</f>
        <v>1589.87249482784</v>
      </c>
      <c r="N656" s="38" t="n">
        <f aca="false">Sens!$N$632</f>
        <v>323.369</v>
      </c>
      <c r="O656" s="38" t="n">
        <f aca="false">Sens!$O$632</f>
        <v>393.555</v>
      </c>
    </row>
    <row r="657" customFormat="false" ht="17.15" hidden="false" customHeight="false" outlineLevel="0" collapsed="false">
      <c r="A657" s="24" t="s">
        <v>703</v>
      </c>
      <c r="B657" s="25" t="s">
        <v>86</v>
      </c>
      <c r="C657" s="41" t="n">
        <f aca="false">Sens!$C$644+Sens!$C$645+Sens!$C$646+Sens!$C$647+Sens!$C$648+Sens!$C$649-(Sens!$C$651+Sens!$C$652)</f>
        <v>0</v>
      </c>
      <c r="D657" s="41" t="n">
        <f aca="false">Sens!$D$644+Sens!$D$645+Sens!$D$646+Sens!$D$647+Sens!$D$648+Sens!$D$649-(Sens!$D$651+Sens!$D$652)</f>
        <v>0</v>
      </c>
      <c r="E657" s="41" t="n">
        <f aca="false">Sens!$E$644+Sens!$E$645+Sens!$E$646+Sens!$E$647+Sens!$E$648+Sens!$E$649-(Sens!$E$651+Sens!$E$652)</f>
        <v>0</v>
      </c>
      <c r="F657" s="41" t="n">
        <f aca="false">Sens!$F$644+Sens!$F$645+Sens!$F$646+Sens!$F$647+Sens!$F$648+Sens!$F$649-(Sens!$F$651+Sens!$F$652)</f>
        <v>0</v>
      </c>
      <c r="G657" s="41" t="n">
        <f aca="false">Sens!$G$644+Sens!$G$645+Sens!$G$646+Sens!$G$647+Sens!$G$648+Sens!$G$649-(Sens!$G$651+Sens!$G$652)</f>
        <v>0</v>
      </c>
      <c r="H657" s="41" t="n">
        <f aca="false">Sens!$H$644+Sens!$H$645+Sens!$H$646+Sens!$H$647+Sens!$H$648+Sens!$H$649-(Sens!$H$651+Sens!$H$652)</f>
        <v>0</v>
      </c>
      <c r="I657" s="41" t="n">
        <f aca="false">Sens!$I$644+Sens!$I$645+Sens!$I$646+Sens!$I$647+Sens!$I$648+Sens!$I$649-(Sens!$I$651+Sens!$I$652)</f>
        <v>0</v>
      </c>
      <c r="J657" s="41" t="n">
        <f aca="false">Sens!$J$644+Sens!$J$645+Sens!$J$646+Sens!$J$647+Sens!$J$648+Sens!$J$649-(Sens!$J$651+Sens!$J$652)</f>
        <v>0</v>
      </c>
      <c r="K657" s="41" t="n">
        <f aca="false">Sens!$K$644+Sens!$K$645+Sens!$K$646+Sens!$K$647+Sens!$K$648+Sens!$K$649-(Sens!$K$651+Sens!$K$652)</f>
        <v>0</v>
      </c>
      <c r="L657" s="41" t="n">
        <f aca="false">Sens!$L$644+Sens!$L$645+Sens!$L$646+Sens!$L$647+Sens!$L$648+Sens!$L$649-(Sens!$L$651+Sens!$L$652)</f>
        <v>0</v>
      </c>
      <c r="M657" s="41" t="n">
        <f aca="false">Sens!$M$644+Sens!$M$645+Sens!$M$646+Sens!$M$647+Sens!$M$648+Sens!$M$649-(Sens!$M$651+Sens!$M$652)</f>
        <v>0</v>
      </c>
      <c r="N657" s="41" t="n">
        <f aca="false">Sens!$N$644+Sens!$N$645+Sens!$N$646+Sens!$N$647+Sens!$N$648+Sens!$N$649-(Sens!$N$651+Sens!$N$652)</f>
        <v>0</v>
      </c>
      <c r="O657" s="41" t="n">
        <f aca="false">Sens!$O$644+Sens!$O$645+Sens!$O$646+Sens!$O$647+Sens!$O$648+Sens!$O$649-(Sens!$O$651+Sens!$O$652)</f>
        <v>0</v>
      </c>
    </row>
    <row r="658" customFormat="false" ht="17.15" hidden="false" customHeight="false" outlineLevel="0" collapsed="false">
      <c r="A658" s="24" t="s">
        <v>704</v>
      </c>
      <c r="B658" s="25" t="s">
        <v>86</v>
      </c>
      <c r="C658" s="41" t="n">
        <f aca="false">Sens!$C$654+Sens!$C$655-Sens!$C$653</f>
        <v>0</v>
      </c>
      <c r="D658" s="41" t="n">
        <f aca="false">Sens!$D$654+Sens!$D$655-Sens!$D$653</f>
        <v>0</v>
      </c>
      <c r="E658" s="41" t="n">
        <f aca="false">Sens!$E$654+Sens!$E$655-Sens!$E$653</f>
        <v>0</v>
      </c>
      <c r="F658" s="41" t="n">
        <f aca="false">Sens!$F$654+Sens!$F$655-Sens!$F$653</f>
        <v>0</v>
      </c>
      <c r="G658" s="41" t="n">
        <f aca="false">Sens!$G$654+Sens!$G$655-Sens!$G$653</f>
        <v>0</v>
      </c>
      <c r="H658" s="41" t="n">
        <f aca="false">Sens!$H$654+Sens!$H$655-Sens!$H$653</f>
        <v>0</v>
      </c>
      <c r="I658" s="41" t="n">
        <f aca="false">Sens!$I$654+Sens!$I$655-Sens!$I$653</f>
        <v>0</v>
      </c>
      <c r="J658" s="41" t="n">
        <f aca="false">Sens!$J$654+Sens!$J$655-Sens!$J$653</f>
        <v>0</v>
      </c>
      <c r="K658" s="41" t="n">
        <f aca="false">Sens!$K$654+Sens!$K$655-Sens!$K$653</f>
        <v>0</v>
      </c>
      <c r="L658" s="41" t="n">
        <f aca="false">Sens!$L$654+Sens!$L$655-Sens!$L$653</f>
        <v>0</v>
      </c>
      <c r="M658" s="41" t="n">
        <f aca="false">Sens!$M$654+Sens!$M$655-Sens!$M$653</f>
        <v>0</v>
      </c>
      <c r="N658" s="41" t="n">
        <f aca="false">Sens!$N$654+Sens!$N$655-Sens!$N$653</f>
        <v>0</v>
      </c>
      <c r="O658" s="41" t="n">
        <f aca="false">Sens!$O$654+Sens!$O$655-Sens!$O$653</f>
        <v>0</v>
      </c>
    </row>
    <row r="659" customFormat="false" ht="17.15" hidden="false" customHeight="false" outlineLevel="0" collapsed="false">
      <c r="A659" s="24" t="s">
        <v>763</v>
      </c>
      <c r="B659" s="25" t="s">
        <v>86</v>
      </c>
      <c r="C659" s="41" t="n">
        <f aca="false">Sens!$C$644+Sens!$C$645+Sens!$C$646+Sens!$C$647+Sens!$C$648+Sens!$C$649+Sens!$C$650-Sens!$C$656</f>
        <v>0</v>
      </c>
      <c r="D659" s="41" t="n">
        <f aca="false">Sens!$D$644+Sens!$D$645+Sens!$D$646+Sens!$D$647+Sens!$D$648+Sens!$D$649+Sens!$D$650-Sens!$D$656</f>
        <v>0</v>
      </c>
      <c r="E659" s="41" t="n">
        <f aca="false">Sens!$E$644+Sens!$E$645+Sens!$E$646+Sens!$E$647+Sens!$E$648+Sens!$E$649+Sens!$E$650-Sens!$E$656</f>
        <v>0</v>
      </c>
      <c r="F659" s="41" t="n">
        <f aca="false">Sens!$F$644+Sens!$F$645+Sens!$F$646+Sens!$F$647+Sens!$F$648+Sens!$F$649+Sens!$F$650-Sens!$F$656</f>
        <v>0</v>
      </c>
      <c r="G659" s="41" t="n">
        <f aca="false">Sens!$G$644+Sens!$G$645+Sens!$G$646+Sens!$G$647+Sens!$G$648+Sens!$G$649+Sens!$G$650-Sens!$G$656</f>
        <v>0</v>
      </c>
      <c r="H659" s="41" t="n">
        <f aca="false">Sens!$H$644+Sens!$H$645+Sens!$H$646+Sens!$H$647+Sens!$H$648+Sens!$H$649+Sens!$H$650-Sens!$H$656</f>
        <v>0</v>
      </c>
      <c r="I659" s="41" t="n">
        <f aca="false">Sens!$I$644+Sens!$I$645+Sens!$I$646+Sens!$I$647+Sens!$I$648+Sens!$I$649+Sens!$I$650-Sens!$I$656</f>
        <v>0</v>
      </c>
      <c r="J659" s="41" t="n">
        <f aca="false">Sens!$J$644+Sens!$J$645+Sens!$J$646+Sens!$J$647+Sens!$J$648+Sens!$J$649+Sens!$J$650-Sens!$J$656</f>
        <v>0</v>
      </c>
      <c r="K659" s="41" t="n">
        <f aca="false">Sens!$K$644+Sens!$K$645+Sens!$K$646+Sens!$K$647+Sens!$K$648+Sens!$K$649+Sens!$K$650-Sens!$K$656</f>
        <v>0</v>
      </c>
      <c r="L659" s="41" t="n">
        <f aca="false">Sens!$L$644+Sens!$L$645+Sens!$L$646+Sens!$L$647+Sens!$L$648+Sens!$L$649+Sens!$L$650-Sens!$L$656</f>
        <v>0</v>
      </c>
      <c r="M659" s="41" t="n">
        <f aca="false">Sens!$M$644+Sens!$M$645+Sens!$M$646+Sens!$M$647+Sens!$M$648+Sens!$M$649+Sens!$M$650-Sens!$M$656</f>
        <v>0</v>
      </c>
      <c r="N659" s="41" t="n">
        <f aca="false">Sens!$N$644+Sens!$N$645+Sens!$N$646+Sens!$N$647+Sens!$N$648+Sens!$N$649+Sens!$N$650-Sens!$N$656</f>
        <v>0</v>
      </c>
      <c r="O659" s="41" t="n">
        <f aca="false">Sens!$O$644+Sens!$O$645+Sens!$O$646+Sens!$O$647+Sens!$O$648+Sens!$O$649+Sens!$O$650-Sens!$O$656</f>
        <v>0</v>
      </c>
    </row>
    <row r="660" customFormat="false" ht="17.15" hidden="false" customHeight="false" outlineLevel="0" collapsed="false">
      <c r="A660" s="24" t="s">
        <v>705</v>
      </c>
      <c r="B660" s="25" t="s">
        <v>86</v>
      </c>
      <c r="C660" s="41" t="n">
        <f aca="false">Sens!$C$651+Sens!$C$652+Sens!$C$653-Sens!$C$656</f>
        <v>0</v>
      </c>
      <c r="D660" s="41" t="n">
        <f aca="false">Sens!$D$651+Sens!$D$652+Sens!$D$653-Sens!$D$656</f>
        <v>0</v>
      </c>
      <c r="E660" s="41" t="n">
        <f aca="false">Sens!$E$651+Sens!$E$652+Sens!$E$653-Sens!$E$656</f>
        <v>0</v>
      </c>
      <c r="F660" s="41" t="n">
        <f aca="false">Sens!$F$651+Sens!$F$652+Sens!$F$653-Sens!$F$656</f>
        <v>0</v>
      </c>
      <c r="G660" s="41" t="n">
        <f aca="false">Sens!$G$651+Sens!$G$652+Sens!$G$653-Sens!$G$656</f>
        <v>0</v>
      </c>
      <c r="H660" s="41" t="n">
        <f aca="false">Sens!$H$651+Sens!$H$652+Sens!$H$653-Sens!$H$656</f>
        <v>0</v>
      </c>
      <c r="I660" s="41" t="n">
        <f aca="false">Sens!$I$651+Sens!$I$652+Sens!$I$653-Sens!$I$656</f>
        <v>0</v>
      </c>
      <c r="J660" s="41" t="n">
        <f aca="false">Sens!$J$651+Sens!$J$652+Sens!$J$653-Sens!$J$656</f>
        <v>0</v>
      </c>
      <c r="K660" s="41" t="n">
        <f aca="false">Sens!$K$651+Sens!$K$652+Sens!$K$653-Sens!$K$656</f>
        <v>0</v>
      </c>
      <c r="L660" s="41" t="n">
        <f aca="false">Sens!$L$651+Sens!$L$652+Sens!$L$653-Sens!$L$656</f>
        <v>0</v>
      </c>
      <c r="M660" s="41" t="n">
        <f aca="false">Sens!$M$651+Sens!$M$652+Sens!$M$653-Sens!$M$656</f>
        <v>0</v>
      </c>
      <c r="N660" s="41" t="n">
        <f aca="false">Sens!$N$651+Sens!$N$652+Sens!$N$653-Sens!$N$656</f>
        <v>0</v>
      </c>
      <c r="O660" s="41" t="n">
        <f aca="false">Sens!$O$651+Sens!$O$652+Sens!$O$653-Sens!$O$656</f>
        <v>0</v>
      </c>
    </row>
    <row r="661" customFormat="false" ht="17.15" hidden="false" customHeight="false" outlineLevel="0" collapsed="false">
      <c r="A661" s="1" t="s">
        <v>719</v>
      </c>
    </row>
    <row r="662" customFormat="false" ht="17.15" hidden="false" customHeight="false" outlineLevel="0" collapsed="false">
      <c r="A662" s="0" t="s">
        <v>720</v>
      </c>
      <c r="B662" s="0" t="s">
        <v>86</v>
      </c>
      <c r="C662" s="38" t="n">
        <f aca="false">Sens!$C$566*m_ad</f>
        <v>20.5341564414228</v>
      </c>
      <c r="D662" s="38" t="n">
        <f aca="false">Sens!$D$566*m_ad</f>
        <v>24.8720617299587</v>
      </c>
      <c r="E662" s="38" t="n">
        <f aca="false">Sens!$E$566*m_ad</f>
        <v>13.5017112462207</v>
      </c>
      <c r="F662" s="38" t="n">
        <f aca="false">Sens!$F$566*m_ad</f>
        <v>16.5719724165257</v>
      </c>
      <c r="G662" s="38" t="n">
        <f aca="false">Sens!$G$566*m_ad</f>
        <v>30.0820919220415</v>
      </c>
      <c r="H662" s="38" t="n">
        <f aca="false">Sens!$H$566*m_ad</f>
        <v>36.1150883276314</v>
      </c>
      <c r="I662" s="38" t="n">
        <f aca="false">Sens!$I$566*m_ad</f>
        <v>42.1475382231996</v>
      </c>
      <c r="J662" s="38" t="n">
        <f aca="false">Sens!$J$566*m_ad</f>
        <v>47.7749523864693</v>
      </c>
      <c r="K662" s="38" t="n">
        <f aca="false">Sens!$K$566*m_ad</f>
        <v>52.5524476251162</v>
      </c>
      <c r="L662" s="38" t="n">
        <f aca="false">Sens!$L$566*m_ad</f>
        <v>57.8076923876279</v>
      </c>
      <c r="M662" s="38" t="n">
        <f aca="false">Sens!$M$566*m_ad</f>
        <v>63.5884616263907</v>
      </c>
      <c r="N662" s="38" t="n">
        <f aca="false">Sens!$N$566*m_ad</f>
        <v>10.8543555706248</v>
      </c>
      <c r="O662" s="38" t="n">
        <f aca="false">Sens!$O$566*m_ad</f>
        <v>14.0094731821399</v>
      </c>
    </row>
    <row r="663" customFormat="false" ht="17.15" hidden="false" customHeight="false" outlineLevel="0" collapsed="false">
      <c r="A663" s="0" t="s">
        <v>721</v>
      </c>
      <c r="B663" s="0" t="s">
        <v>86</v>
      </c>
      <c r="C663" s="38" t="n">
        <f aca="false">Sens!$C$564-Sens!$C$566</f>
        <v>346.428687117154</v>
      </c>
      <c r="D663" s="38" t="n">
        <f aca="false">Sens!$D$564-Sens!$D$566</f>
        <v>376.560876540083</v>
      </c>
      <c r="E663" s="38" t="n">
        <f aca="false">Sens!$E$564-Sens!$E$566</f>
        <v>193.316577507559</v>
      </c>
      <c r="F663" s="38" t="n">
        <f aca="false">Sens!$F$564-Sens!$F$566</f>
        <v>217.495828647535</v>
      </c>
      <c r="G663" s="38" t="n">
        <f aca="false">Sens!$G$564-Sens!$G$566</f>
        <v>410.795589636503</v>
      </c>
      <c r="H663" s="38" t="n">
        <f aca="false">Sens!$H$564-Sens!$H$566</f>
        <v>449.156813761174</v>
      </c>
      <c r="I663" s="38" t="n">
        <f aca="false">Sens!$I$564-Sens!$I$566</f>
        <v>485.848786441156</v>
      </c>
      <c r="J663" s="38" t="n">
        <f aca="false">Sens!$J$564-Sens!$J$566</f>
        <v>519.841531018994</v>
      </c>
      <c r="K663" s="38" t="n">
        <f aca="false">Sens!$K$564-Sens!$K$566</f>
        <v>550.103332311311</v>
      </c>
      <c r="L663" s="38" t="n">
        <f aca="false">Sens!$L$564-Sens!$L$566</f>
        <v>582.192354474511</v>
      </c>
      <c r="M663" s="38" t="n">
        <f aca="false">Sens!$M$564-Sens!$M$566</f>
        <v>616.22240521081</v>
      </c>
      <c r="N663" s="38" t="n">
        <f aca="false">Sens!$N$564-Sens!$N$566</f>
        <v>171.24628885875</v>
      </c>
      <c r="O663" s="38" t="n">
        <f aca="false">Sens!$O$564-Sens!$O$566</f>
        <v>205.33105363572</v>
      </c>
    </row>
    <row r="664" customFormat="false" ht="17.15" hidden="false" customHeight="false" outlineLevel="0" collapsed="false">
      <c r="A664" s="0" t="s">
        <v>722</v>
      </c>
      <c r="B664" s="0" t="s">
        <v>86</v>
      </c>
      <c r="C664" s="38" t="n">
        <f aca="false">Sens!$C$615*Sens!$C$563</f>
        <v>0.123617442257179</v>
      </c>
      <c r="D664" s="38" t="n">
        <f aca="false">Sens!$D$615*Sens!$D$563</f>
        <v>0.600198046024689</v>
      </c>
      <c r="E664" s="38" t="n">
        <f aca="false">Sens!$E$615*Sens!$E$563</f>
        <v>0.970552432202993</v>
      </c>
      <c r="F664" s="38" t="n">
        <f aca="false">Sens!$F$615*Sens!$F$563</f>
        <v>1.20013524388435</v>
      </c>
      <c r="G664" s="38" t="n">
        <f aca="false">Sens!$G$615*Sens!$G$563</f>
        <v>2.17135369594947</v>
      </c>
      <c r="H664" s="38" t="n">
        <f aca="false">Sens!$H$615*Sens!$H$563</f>
        <v>6.14227489656333</v>
      </c>
      <c r="I664" s="38" t="n">
        <f aca="false">Sens!$I$615*Sens!$I$563</f>
        <v>11.6518054969681</v>
      </c>
      <c r="J664" s="38" t="n">
        <f aca="false">Sens!$J$615*Sens!$J$563</f>
        <v>17.3105301010592</v>
      </c>
      <c r="K664" s="38" t="n">
        <f aca="false">Sens!$K$615*Sens!$K$563</f>
        <v>22.8486728059883</v>
      </c>
      <c r="L664" s="38" t="n">
        <f aca="false">Sens!$L$615*Sens!$L$563</f>
        <v>26.6849171332777</v>
      </c>
      <c r="M664" s="38" t="n">
        <f aca="false">Sens!$M$615*Sens!$M$563</f>
        <v>29.0523240317336</v>
      </c>
      <c r="N664" s="38" t="n">
        <f aca="false">Sens!$N$615*Sens!$N$563</f>
        <v>0.25053229484398</v>
      </c>
      <c r="O664" s="38" t="n">
        <f aca="false">Sens!$O$615*Sens!$O$563</f>
        <v>0.349234376756897</v>
      </c>
    </row>
    <row r="665" customFormat="false" ht="17.15" hidden="false" customHeight="false" outlineLevel="0" collapsed="false">
      <c r="A665" s="0" t="s">
        <v>723</v>
      </c>
      <c r="B665" s="0" t="s">
        <v>52</v>
      </c>
      <c r="C665" s="28" t="n">
        <f aca="false">(Sens!$C$666-Sens!$C$662+Sens!$C$664)/Sens!$C$663</f>
        <v>0.0131526665379575</v>
      </c>
      <c r="D665" s="28" t="n">
        <f aca="false">(Sens!$D$666-Sens!$D$662+Sens!$D$664)/Sens!$D$663</f>
        <v>0.0141999252954702</v>
      </c>
      <c r="E665" s="28" t="n">
        <f aca="false">(Sens!$E$666-Sens!$E$662+Sens!$E$664)/Sens!$E$663</f>
        <v>0.0251341154940129</v>
      </c>
      <c r="F665" s="28" t="n">
        <f aca="false">Sens!$O$665+(Sens!$E$665-Sens!$N$665)</f>
        <v>0.0217171685713677</v>
      </c>
      <c r="G665" s="28" t="n">
        <f aca="false">(Sens!$G$666-Sens!$G$662+Sens!$G$664)/Sens!$G$663</f>
        <v>0.0233071940458981</v>
      </c>
      <c r="H665" s="28" t="n">
        <f aca="false">Sens!$G$665+step_na</f>
        <v>0.0263071940458981</v>
      </c>
      <c r="I665" s="28" t="n">
        <f aca="false">Sens!$H$665+step_na</f>
        <v>0.0293071940458981</v>
      </c>
      <c r="J665" s="28" t="n">
        <f aca="false">Sens!$I$665+step_na</f>
        <v>0.0323071940458981</v>
      </c>
      <c r="K665" s="28" t="n">
        <f aca="false">Sens!$J$665+step_na</f>
        <v>0.0353071940458981</v>
      </c>
      <c r="L665" s="28" t="n">
        <f aca="false">Sens!$K$665</f>
        <v>0.0353071940458981</v>
      </c>
      <c r="M665" s="28" t="n">
        <f aca="false">Sens!$L$665</f>
        <v>0.0353071940458981</v>
      </c>
      <c r="N665" s="28" t="n">
        <f aca="false">(Sens!$N$666-Sens!$N$662+Sens!$N$664)/Sens!$N$663</f>
        <v>0.0160831323269779</v>
      </c>
      <c r="O665" s="28" t="n">
        <f aca="false">(Sens!$O$666-Sens!$O$662+Sens!$O$664)/Sens!$O$663</f>
        <v>0.0126661854043327</v>
      </c>
      <c r="P665" s="8" t="s">
        <v>724</v>
      </c>
    </row>
    <row r="666" customFormat="false" ht="17.15" hidden="false" customHeight="false" outlineLevel="0" collapsed="false">
      <c r="A666" s="1" t="s">
        <v>725</v>
      </c>
      <c r="B666" s="8" t="s">
        <v>86</v>
      </c>
      <c r="C666" s="38" t="n">
        <f aca="false">Q!$D$22</f>
        <v>24.967</v>
      </c>
      <c r="D666" s="38" t="n">
        <f aca="false">Q!$E$22</f>
        <v>29.619</v>
      </c>
      <c r="E666" s="38" t="n">
        <f aca="false">Q!$P$22</f>
        <v>17.39</v>
      </c>
      <c r="F666" s="38" t="n">
        <f aca="false">Sens!$F$662+Sens!$F$663*Sens!$F$665-Sens!$F$664</f>
        <v>20.0952307469491</v>
      </c>
      <c r="G666" s="38" t="n">
        <f aca="false">Sens!$E$666+Sens!$F$666</f>
        <v>37.4852307469491</v>
      </c>
      <c r="H666" s="38" t="n">
        <f aca="false">Sens!$H$662+Sens!$H$663*Sens!$H$665-Sens!$H$664</f>
        <v>41.7888688877206</v>
      </c>
      <c r="I666" s="38" t="n">
        <f aca="false">Sens!$I$662+Sens!$I$663*Sens!$I$665-Sens!$I$664</f>
        <v>44.7345973874265</v>
      </c>
      <c r="J666" s="38" t="n">
        <f aca="false">Sens!$J$662+Sens!$J$663*Sens!$J$665-Sens!$J$664</f>
        <v>47.2590435011574</v>
      </c>
      <c r="K666" s="38" t="n">
        <f aca="false">Sens!$K$662+Sens!$K$663*Sens!$K$665-Sens!$K$664</f>
        <v>49.1263799183386</v>
      </c>
      <c r="L666" s="38" t="n">
        <f aca="false">Sens!$L$662+Sens!$L$663*Sens!$L$665-Sens!$L$664</f>
        <v>51.67835368582</v>
      </c>
      <c r="M666" s="38" t="n">
        <f aca="false">Sens!$M$662+Sens!$M$663*Sens!$M$665-Sens!$M$664</f>
        <v>56.2932216308652</v>
      </c>
      <c r="N666" s="38" t="n">
        <f aca="false">Q!$N$22</f>
        <v>13.358</v>
      </c>
      <c r="O666" s="38" t="n">
        <f aca="false">Q!$O$22</f>
        <v>16.261</v>
      </c>
    </row>
    <row r="667" customFormat="false" ht="17.15" hidden="false" customHeight="false" outlineLevel="0" collapsed="false">
      <c r="A667" s="0" t="s">
        <v>726</v>
      </c>
      <c r="B667" s="0" t="s">
        <v>86</v>
      </c>
      <c r="C667" s="38" t="n">
        <f aca="false">Sens!$C$567*m_ad</f>
        <v>7.57284355857716</v>
      </c>
      <c r="D667" s="38" t="n">
        <f aca="false">Sens!$D$567*m_ad</f>
        <v>9.44543827004127</v>
      </c>
      <c r="E667" s="38" t="n">
        <f aca="false">Sens!$E$567*m_ad</f>
        <v>5.02428875377928</v>
      </c>
      <c r="F667" s="38" t="n">
        <f aca="false">Sens!$F$567*m_ad</f>
        <v>6.50663858068173</v>
      </c>
      <c r="G667" s="38" t="n">
        <f aca="false">Sens!$G$567*m_ad</f>
        <v>11.5225190751659</v>
      </c>
      <c r="H667" s="38" t="n">
        <f aca="false">Sens!$H$567*m_ad</f>
        <v>13.8333728663174</v>
      </c>
      <c r="I667" s="38" t="n">
        <f aca="false">Sens!$I$567*m_ad</f>
        <v>16.1440173245485</v>
      </c>
      <c r="J667" s="38" t="n">
        <f aca="false">Sens!$J$567*m_ad</f>
        <v>18.2995185845066</v>
      </c>
      <c r="K667" s="38" t="n">
        <f aca="false">Sens!$K$567*m_ad</f>
        <v>20.1294704429572</v>
      </c>
      <c r="L667" s="38" t="n">
        <f aca="false">Sens!$L$567*m_ad</f>
        <v>22.142417487253</v>
      </c>
      <c r="M667" s="38" t="n">
        <f aca="false">Sens!$M$567*m_ad</f>
        <v>24.3566592359783</v>
      </c>
      <c r="N667" s="38" t="n">
        <f aca="false">Sens!$N$567*m_ad</f>
        <v>3.95314442937518</v>
      </c>
      <c r="O667" s="38" t="n">
        <f aca="false">Sens!$O$567*m_ad</f>
        <v>5.50052681786011</v>
      </c>
    </row>
    <row r="668" customFormat="false" ht="17.15" hidden="false" customHeight="false" outlineLevel="0" collapsed="false">
      <c r="A668" s="0" t="s">
        <v>727</v>
      </c>
      <c r="B668" s="0" t="s">
        <v>86</v>
      </c>
      <c r="C668" s="38" t="n">
        <f aca="false">Sens!$C$565-Sens!$C$567</f>
        <v>127.760312882846</v>
      </c>
      <c r="D668" s="38" t="n">
        <f aca="false">Sens!$D$565-Sens!$D$567</f>
        <v>143.003123459917</v>
      </c>
      <c r="E668" s="38" t="n">
        <f aca="false">Sens!$E$565-Sens!$E$567</f>
        <v>71.9374224924414</v>
      </c>
      <c r="F668" s="38" t="n">
        <f aca="false">Sens!$F$565-Sens!$F$567</f>
        <v>85.3951910035875</v>
      </c>
      <c r="G668" s="38" t="n">
        <f aca="false">Sens!$G$565-Sens!$G$567</f>
        <v>157.349430014619</v>
      </c>
      <c r="H668" s="38" t="n">
        <f aca="false">Sens!$H$565-Sens!$H$567</f>
        <v>172.043153372315</v>
      </c>
      <c r="I668" s="38" t="n">
        <f aca="false">Sens!$I$565-Sens!$I$567</f>
        <v>186.097493615879</v>
      </c>
      <c r="J668" s="38" t="n">
        <f aca="false">Sens!$J$565-Sens!$J$567</f>
        <v>199.117932780497</v>
      </c>
      <c r="K668" s="38" t="n">
        <f aca="false">Sens!$K$565-Sens!$K$567</f>
        <v>210.70928698363</v>
      </c>
      <c r="L668" s="38" t="n">
        <f aca="false">Sens!$L$565-Sens!$L$567</f>
        <v>223.000532251316</v>
      </c>
      <c r="M668" s="38" t="n">
        <f aca="false">Sens!$M$565-Sens!$M$567</f>
        <v>236.035261011339</v>
      </c>
      <c r="N668" s="38" t="n">
        <f aca="false">Sens!$N$565-Sens!$N$567</f>
        <v>62.3677111412496</v>
      </c>
      <c r="O668" s="38" t="n">
        <f aca="false">Sens!$O$565-Sens!$O$567</f>
        <v>80.6189463642798</v>
      </c>
    </row>
    <row r="669" customFormat="false" ht="17.15" hidden="false" customHeight="false" outlineLevel="0" collapsed="false">
      <c r="A669" s="0" t="s">
        <v>728</v>
      </c>
      <c r="B669" s="0" t="s">
        <v>86</v>
      </c>
      <c r="C669" s="38" t="n">
        <f aca="false">Sens!$C$615*(1-Sens!$C$563)</f>
        <v>0.0455891896019953</v>
      </c>
      <c r="D669" s="38" t="n">
        <f aca="false">Sens!$D$615*(1-Sens!$D$563)</f>
        <v>0.227931791705753</v>
      </c>
      <c r="E669" s="38" t="n">
        <f aca="false">Sens!$E$615*(1-Sens!$E$563)</f>
        <v>0.361164268820781</v>
      </c>
      <c r="F669" s="38" t="n">
        <f aca="false">Sens!$F$615*(1-Sens!$F$563)</f>
        <v>0.471208018190203</v>
      </c>
      <c r="G669" s="38" t="n">
        <f aca="false">Sens!$G$615*(1-Sens!$G$563)</f>
        <v>0.83170626714885</v>
      </c>
      <c r="H669" s="38" t="n">
        <f aca="false">Sens!$H$615*(1-Sens!$H$563)</f>
        <v>2.35271136874315</v>
      </c>
      <c r="I669" s="38" t="n">
        <f aca="false">Sens!$I$615*(1-Sens!$I$563)</f>
        <v>4.46305900024741</v>
      </c>
      <c r="J669" s="38" t="n">
        <f aca="false">Sens!$J$615*(1-Sens!$J$563)</f>
        <v>6.63055328092195</v>
      </c>
      <c r="K669" s="38" t="n">
        <f aca="false">Sens!$K$615*(1-Sens!$K$563)</f>
        <v>8.75186037365703</v>
      </c>
      <c r="L669" s="38" t="n">
        <f aca="false">Sens!$L$615*(1-Sens!$L$563)</f>
        <v>10.2212794071718</v>
      </c>
      <c r="M669" s="38" t="n">
        <f aca="false">Sens!$M$615*(1-Sens!$M$563)</f>
        <v>11.1280810756472</v>
      </c>
      <c r="N669" s="38" t="n">
        <f aca="false">Sens!$N$615*(1-Sens!$N$563)</f>
        <v>0.0912435878202994</v>
      </c>
      <c r="O669" s="38" t="n">
        <f aca="false">Sens!$O$615*(1-Sens!$O$563)</f>
        <v>0.137119578309265</v>
      </c>
    </row>
    <row r="670" customFormat="false" ht="17.15" hidden="false" customHeight="false" outlineLevel="0" collapsed="false">
      <c r="A670" s="0" t="s">
        <v>729</v>
      </c>
      <c r="B670" s="0" t="s">
        <v>52</v>
      </c>
      <c r="C670" s="28" t="n">
        <f aca="false">(Sens!$C$671-Sens!$C$667+Sens!$C$669)/Sens!$C$668</f>
        <v>-0.0292364215826579</v>
      </c>
      <c r="D670" s="28" t="n">
        <f aca="false">(Sens!$D$671-Sens!$D$667+Sens!$D$669)/Sens!$D$668</f>
        <v>-0.0312406216748665</v>
      </c>
      <c r="E670" s="28" t="n">
        <f aca="false">(Sens!$E$671-Sens!$E$667+Sens!$E$669)/Sens!$E$668</f>
        <v>-0.0211590078184749</v>
      </c>
      <c r="F670" s="28" t="n">
        <f aca="false">Sens!$O$670+(Sens!$E$670-Sens!$N$670)</f>
        <v>-0.0382539955245511</v>
      </c>
      <c r="G670" s="28" t="n">
        <f aca="false">(Sens!$G$671-Sens!$G$667+Sens!$G$669)/Sens!$G$668</f>
        <v>-0.030385172031133</v>
      </c>
      <c r="H670" s="28" t="n">
        <f aca="false">Sens!$G$670+step_in</f>
        <v>-0.030385172031133</v>
      </c>
      <c r="I670" s="28" t="n">
        <f aca="false">Sens!$H$670+step_in</f>
        <v>-0.030385172031133</v>
      </c>
      <c r="J670" s="28" t="n">
        <f aca="false">Sens!$I$670+step_in</f>
        <v>-0.030385172031133</v>
      </c>
      <c r="K670" s="28" t="n">
        <f aca="false">Sens!$J$670+step_in</f>
        <v>-0.030385172031133</v>
      </c>
      <c r="L670" s="28" t="n">
        <f aca="false">Sens!$K$670</f>
        <v>-0.030385172031133</v>
      </c>
      <c r="M670" s="28" t="n">
        <f aca="false">Sens!$L$670</f>
        <v>-0.030385172031133</v>
      </c>
      <c r="N670" s="28" t="n">
        <f aca="false">(Sens!$N$671-Sens!$N$667+Sens!$N$669)/Sens!$N$668</f>
        <v>-0.0216602600421776</v>
      </c>
      <c r="O670" s="28" t="n">
        <f aca="false">(Sens!$O$671-Sens!$O$667+Sens!$O$669)/Sens!$O$668</f>
        <v>-0.0387552477482538</v>
      </c>
      <c r="P670" s="8" t="s">
        <v>724</v>
      </c>
    </row>
    <row r="671" customFormat="false" ht="17.15" hidden="false" customHeight="false" outlineLevel="0" collapsed="false">
      <c r="A671" s="1" t="s">
        <v>730</v>
      </c>
      <c r="B671" s="8" t="s">
        <v>86</v>
      </c>
      <c r="C671" s="38" t="n">
        <f aca="false">Q!$D$23</f>
        <v>3.792</v>
      </c>
      <c r="D671" s="38" t="n">
        <f aca="false">Q!$E$23</f>
        <v>4.75</v>
      </c>
      <c r="E671" s="38" t="n">
        <f aca="false">Q!$P$23</f>
        <v>3.141</v>
      </c>
      <c r="F671" s="38" t="n">
        <f aca="false">Sens!$F$667+Sens!$F$668*Sens!$F$670-Sens!$F$669</f>
        <v>2.7687233080221</v>
      </c>
      <c r="G671" s="38" t="n">
        <f aca="false">Sens!$E$671+Sens!$F$671</f>
        <v>5.9097233080221</v>
      </c>
      <c r="H671" s="38" t="n">
        <f aca="false">Sens!$H$667+Sens!$H$668*Sens!$H$670-Sens!$H$669</f>
        <v>6.25310068557783</v>
      </c>
      <c r="I671" s="38" t="n">
        <f aca="false">Sens!$I$667+Sens!$I$668*Sens!$I$670-Sens!$I$669</f>
        <v>6.02635396621997</v>
      </c>
      <c r="J671" s="38" t="n">
        <f aca="false">Sens!$J$667+Sens!$J$668*Sens!$J$670-Sens!$J$669</f>
        <v>5.61873266156566</v>
      </c>
      <c r="K671" s="38" t="n">
        <f aca="false">Sens!$K$667+Sens!$K$668*Sens!$K$670-Sens!$K$669</f>
        <v>4.97517213574524</v>
      </c>
      <c r="L671" s="38" t="n">
        <f aca="false">Sens!$L$667+Sens!$L$668*Sens!$L$670-Sens!$L$669</f>
        <v>5.14522854459066</v>
      </c>
      <c r="M671" s="38" t="n">
        <f aca="false">Sens!$M$667+Sens!$M$668*Sens!$M$670-Sens!$M$669</f>
        <v>6.05660614908815</v>
      </c>
      <c r="N671" s="38" t="n">
        <f aca="false">Q!$N$23</f>
        <v>2.511</v>
      </c>
      <c r="O671" s="38" t="n">
        <f aca="false">Q!$O$23</f>
        <v>2.239</v>
      </c>
    </row>
    <row r="672" customFormat="false" ht="17.15" hidden="false" customHeight="false" outlineLevel="0" collapsed="false">
      <c r="A672" s="0" t="s">
        <v>731</v>
      </c>
      <c r="B672" s="0" t="s">
        <v>86</v>
      </c>
      <c r="C672" s="38" t="n">
        <f aca="false">Sens!$C$612</f>
        <v>1.64417882953695</v>
      </c>
      <c r="D672" s="38" t="n">
        <f aca="false">Sens!$D$612</f>
        <v>5.39125073772939</v>
      </c>
      <c r="E672" s="38" t="n">
        <f aca="false">Sens!$E$612</f>
        <v>3.18348617147493</v>
      </c>
      <c r="F672" s="38" t="n">
        <f aca="false">Sens!$F$612</f>
        <v>10.8813304412407</v>
      </c>
      <c r="G672" s="38" t="n">
        <f aca="false">Sens!$G$612</f>
        <v>14.0648166127157</v>
      </c>
      <c r="H672" s="38" t="n">
        <f aca="false">Sens!$H$612</f>
        <v>47.4390507289235</v>
      </c>
      <c r="I672" s="38" t="n">
        <f aca="false">Sens!$I$612</f>
        <v>80.2335652792427</v>
      </c>
      <c r="J672" s="38" t="n">
        <f aca="false">Sens!$J$612</f>
        <v>112.484204567884</v>
      </c>
      <c r="K672" s="38" t="n">
        <f aca="false">Sens!$K$612</f>
        <v>136.066447944906</v>
      </c>
      <c r="L672" s="38" t="n">
        <f aca="false">Sens!$L$612</f>
        <v>150.477473245075</v>
      </c>
      <c r="M672" s="38" t="n">
        <f aca="false">Sens!$M$612</f>
        <v>154.382171868546</v>
      </c>
      <c r="N672" s="38" t="n">
        <f aca="false">Sens!$N$612</f>
        <v>1.67921600037079</v>
      </c>
      <c r="O672" s="38" t="n">
        <f aca="false">Sens!$O$612</f>
        <v>3.71203473735861</v>
      </c>
    </row>
    <row r="673" customFormat="false" ht="17.15" hidden="false" customHeight="false" outlineLevel="0" collapsed="false">
      <c r="A673" s="0" t="s">
        <v>649</v>
      </c>
      <c r="B673" s="0" t="s">
        <v>86</v>
      </c>
      <c r="C673" s="38" t="n">
        <f aca="false">Sens!$C$617</f>
        <v>38.1898211704631</v>
      </c>
      <c r="D673" s="38" t="n">
        <f aca="false">Sens!$D$617</f>
        <v>40.2147492622706</v>
      </c>
      <c r="E673" s="38" t="n">
        <f aca="false">Sens!$E$617</f>
        <v>27.5985138285251</v>
      </c>
      <c r="F673" s="38" t="n">
        <f aca="false">Sens!$F$617</f>
        <v>25.5484769754606</v>
      </c>
      <c r="G673" s="38" t="n">
        <f aca="false">Sens!$G$617</f>
        <v>53.1469908039857</v>
      </c>
      <c r="H673" s="38" t="n">
        <f aca="false">Sens!$H$617</f>
        <v>57.3189525076539</v>
      </c>
      <c r="I673" s="38" t="n">
        <f aca="false">Sens!$I$617</f>
        <v>63.6385627021087</v>
      </c>
      <c r="J673" s="38" t="n">
        <f aca="false">Sens!$J$617</f>
        <v>69.6922896066105</v>
      </c>
      <c r="K673" s="38" t="n">
        <f aca="false">Sens!$K$617</f>
        <v>75.2676727751394</v>
      </c>
      <c r="L673" s="38" t="n">
        <f aca="false">Sens!$L$617</f>
        <v>81.2890865971505</v>
      </c>
      <c r="M673" s="38" t="n">
        <f aca="false">Sens!$M$617</f>
        <v>87.7922135249226</v>
      </c>
      <c r="N673" s="38" t="n">
        <f aca="false">Sens!$N$617</f>
        <v>20.0277839996292</v>
      </c>
      <c r="O673" s="38" t="n">
        <f aca="false">Sens!$O$617</f>
        <v>20.1869652626414</v>
      </c>
    </row>
    <row r="674" customFormat="false" ht="17.15" hidden="false" customHeight="false" outlineLevel="0" collapsed="false">
      <c r="A674" s="1" t="s">
        <v>732</v>
      </c>
      <c r="B674" s="8" t="s">
        <v>86</v>
      </c>
      <c r="C674" s="38" t="n">
        <f aca="false">Q!$D$24</f>
        <v>39.834</v>
      </c>
      <c r="D674" s="38" t="n">
        <f aca="false">Q!$E$24</f>
        <v>45.606</v>
      </c>
      <c r="E674" s="38" t="n">
        <f aca="false">Q!$P$24</f>
        <v>30.782</v>
      </c>
      <c r="F674" s="38" t="n">
        <f aca="false">Sens!$F$672+Sens!$F$673</f>
        <v>36.4298074167014</v>
      </c>
      <c r="G674" s="38" t="n">
        <f aca="false">Sens!$G$672+Sens!$G$673</f>
        <v>67.2118074167014</v>
      </c>
      <c r="H674" s="38" t="n">
        <f aca="false">Sens!$H$672+Sens!$H$673</f>
        <v>104.758003236577</v>
      </c>
      <c r="I674" s="38" t="n">
        <f aca="false">Sens!$I$672+Sens!$I$673</f>
        <v>143.872127981351</v>
      </c>
      <c r="J674" s="38" t="n">
        <f aca="false">Sens!$J$672+Sens!$J$673</f>
        <v>182.176494174495</v>
      </c>
      <c r="K674" s="38" t="n">
        <f aca="false">Sens!$K$672+Sens!$K$673</f>
        <v>211.334120720045</v>
      </c>
      <c r="L674" s="38" t="n">
        <f aca="false">Sens!$L$672+Sens!$L$673</f>
        <v>231.766559842225</v>
      </c>
      <c r="M674" s="38" t="n">
        <f aca="false">Sens!$M$672+Sens!$M$673</f>
        <v>242.174385393469</v>
      </c>
      <c r="N674" s="38" t="n">
        <f aca="false">Q!$N$24</f>
        <v>21.707</v>
      </c>
      <c r="O674" s="38" t="n">
        <f aca="false">Q!$O$24</f>
        <v>23.899</v>
      </c>
    </row>
    <row r="675" customFormat="false" ht="17.15" hidden="false" customHeight="false" outlineLevel="0" collapsed="false">
      <c r="A675" s="5" t="s">
        <v>733</v>
      </c>
      <c r="B675" s="0" t="s">
        <v>86</v>
      </c>
      <c r="C675" s="38" t="n">
        <f aca="false">Q!$D$26</f>
        <v>0</v>
      </c>
      <c r="D675" s="38" t="n">
        <f aca="false">Q!$E$26</f>
        <v>0</v>
      </c>
      <c r="E675" s="38" t="n">
        <f aca="false">Q!$P$26</f>
        <v>0</v>
      </c>
      <c r="F675" s="39" t="n">
        <v>0</v>
      </c>
      <c r="G675" s="38" t="n">
        <f aca="false">Sens!$E$675+Sens!$F$675</f>
        <v>0</v>
      </c>
      <c r="H675" s="39" t="n">
        <v>0</v>
      </c>
      <c r="I675" s="39" t="n">
        <v>0</v>
      </c>
      <c r="J675" s="39" t="n">
        <v>0</v>
      </c>
      <c r="K675" s="39" t="n">
        <v>0</v>
      </c>
      <c r="L675" s="39" t="n">
        <v>0</v>
      </c>
      <c r="M675" s="39" t="n">
        <v>0</v>
      </c>
      <c r="N675" s="38" t="n">
        <f aca="false">Q!$N$26</f>
        <v>0</v>
      </c>
      <c r="O675" s="38" t="n">
        <f aca="false">Q!$O$26</f>
        <v>0</v>
      </c>
    </row>
    <row r="676" customFormat="false" ht="15" hidden="false" customHeight="false" outlineLevel="0" collapsed="false">
      <c r="A676" s="3" t="s">
        <v>534</v>
      </c>
      <c r="B676" s="8" t="s">
        <v>86</v>
      </c>
      <c r="C676" s="38" t="n">
        <f aca="false">Q!$D$25</f>
        <v>68.593</v>
      </c>
      <c r="D676" s="38" t="n">
        <f aca="false">Q!$E$25</f>
        <v>79.975</v>
      </c>
      <c r="E676" s="38" t="n">
        <f aca="false">Q!$P$25</f>
        <v>51.313</v>
      </c>
      <c r="F676" s="38" t="n">
        <f aca="false">Sens!$F$666+Sens!$F$671+Sens!$F$674+Sens!$F$675</f>
        <v>59.2937614716726</v>
      </c>
      <c r="G676" s="38" t="n">
        <f aca="false">Sens!$G$666+Sens!$G$671+Sens!$G$674+Sens!$G$675</f>
        <v>110.606761471673</v>
      </c>
      <c r="H676" s="38" t="n">
        <f aca="false">Sens!$H$666+Sens!$H$671+Sens!$H$674+Sens!$H$675</f>
        <v>152.799972809876</v>
      </c>
      <c r="I676" s="38" t="n">
        <f aca="false">Sens!$I$666+Sens!$I$671+Sens!$I$674+Sens!$I$675</f>
        <v>194.633079334998</v>
      </c>
      <c r="J676" s="38" t="n">
        <f aca="false">Sens!$J$666+Sens!$J$671+Sens!$J$674+Sens!$J$675</f>
        <v>235.054270337218</v>
      </c>
      <c r="K676" s="38" t="n">
        <f aca="false">Sens!$K$666+Sens!$K$671+Sens!$K$674+Sens!$K$675</f>
        <v>265.435672774129</v>
      </c>
      <c r="L676" s="38" t="n">
        <f aca="false">Sens!$L$666+Sens!$L$671+Sens!$L$674+Sens!$L$675</f>
        <v>288.590142072636</v>
      </c>
      <c r="M676" s="38" t="n">
        <f aca="false">Sens!$M$666+Sens!$M$671+Sens!$M$674+Sens!$M$675</f>
        <v>304.524213173422</v>
      </c>
      <c r="N676" s="38" t="n">
        <f aca="false">Q!$N$25</f>
        <v>37.576</v>
      </c>
      <c r="O676" s="38" t="n">
        <f aca="false">Q!$O$25</f>
        <v>42.399</v>
      </c>
    </row>
    <row r="677" customFormat="false" ht="17.15" hidden="false" customHeight="false" outlineLevel="0" collapsed="false">
      <c r="A677" s="24" t="s">
        <v>764</v>
      </c>
      <c r="B677" s="25" t="s">
        <v>86</v>
      </c>
      <c r="C677" s="41" t="n">
        <f aca="false">Sens!$C$666+Sens!$C$671+Sens!$C$674+Sens!$C$675-Sens!$C$676</f>
        <v>0</v>
      </c>
      <c r="D677" s="41" t="n">
        <f aca="false">Sens!$D$666+Sens!$D$671+Sens!$D$674+Sens!$D$675-Sens!$D$676</f>
        <v>0</v>
      </c>
      <c r="E677" s="41" t="n">
        <f aca="false">Sens!$E$666+Sens!$E$671+Sens!$E$674+Sens!$E$675-Sens!$E$676</f>
        <v>0</v>
      </c>
      <c r="F677" s="41" t="n">
        <f aca="false">Sens!$F$666+Sens!$F$671+Sens!$F$674+Sens!$F$675-Sens!$F$676</f>
        <v>0</v>
      </c>
      <c r="G677" s="41" t="n">
        <f aca="false">Sens!$G$666+Sens!$G$671+Sens!$G$674+Sens!$G$675-Sens!$G$676</f>
        <v>0</v>
      </c>
      <c r="H677" s="41" t="n">
        <f aca="false">Sens!$H$666+Sens!$H$671+Sens!$H$674+Sens!$H$675-Sens!$H$676</f>
        <v>0</v>
      </c>
      <c r="I677" s="41" t="n">
        <f aca="false">Sens!$I$666+Sens!$I$671+Sens!$I$674+Sens!$I$675-Sens!$I$676</f>
        <v>0</v>
      </c>
      <c r="J677" s="41" t="n">
        <f aca="false">Sens!$J$666+Sens!$J$671+Sens!$J$674+Sens!$J$675-Sens!$J$676</f>
        <v>0</v>
      </c>
      <c r="K677" s="41" t="n">
        <f aca="false">Sens!$K$666+Sens!$K$671+Sens!$K$674+Sens!$K$675-Sens!$K$676</f>
        <v>0</v>
      </c>
      <c r="L677" s="41" t="n">
        <f aca="false">Sens!$L$666+Sens!$L$671+Sens!$L$674+Sens!$L$675-Sens!$L$676</f>
        <v>0</v>
      </c>
      <c r="M677" s="41" t="n">
        <f aca="false">Sens!$M$666+Sens!$M$671+Sens!$M$674+Sens!$M$675-Sens!$M$676</f>
        <v>0</v>
      </c>
      <c r="N677" s="41" t="n">
        <f aca="false">Sens!$N$666+Sens!$N$671+Sens!$N$674+Sens!$N$675-Sens!$N$676</f>
        <v>0</v>
      </c>
      <c r="O677" s="41" t="n">
        <f aca="false">Sens!$O$666+Sens!$O$671+Sens!$O$674+Sens!$O$675-Sens!$O$676</f>
        <v>0</v>
      </c>
    </row>
    <row r="678" customFormat="false" ht="17.15" hidden="false" customHeight="false" outlineLevel="0" collapsed="false">
      <c r="A678" s="5" t="s">
        <v>735</v>
      </c>
      <c r="B678" s="0" t="s">
        <v>86</v>
      </c>
      <c r="C678" s="38" t="n">
        <f aca="false">Sens!$C$614</f>
        <v>0</v>
      </c>
      <c r="D678" s="38" t="n">
        <f aca="false">Sens!$D$614</f>
        <v>0</v>
      </c>
      <c r="E678" s="38" t="n">
        <f aca="false">Sens!$E$614</f>
        <v>0</v>
      </c>
      <c r="F678" s="38" t="n">
        <f aca="false">Sens!$F$614</f>
        <v>3.77122048175818</v>
      </c>
      <c r="G678" s="38" t="n">
        <f aca="false">Sens!$G$614</f>
        <v>3.77122048175818</v>
      </c>
      <c r="H678" s="38" t="n">
        <f aca="false">Sens!$H$614</f>
        <v>15.1635543609893</v>
      </c>
      <c r="I678" s="38" t="n">
        <f aca="false">Sens!$I$614</f>
        <v>25.5818843619889</v>
      </c>
      <c r="J678" s="38" t="n">
        <f aca="false">Sens!$J$614</f>
        <v>36.0465624179122</v>
      </c>
      <c r="K678" s="38" t="n">
        <f aca="false">Sens!$K$614</f>
        <v>44.9741164026038</v>
      </c>
      <c r="L678" s="38" t="n">
        <f aca="false">Sens!$L$614</f>
        <v>50.8413488057813</v>
      </c>
      <c r="M678" s="38" t="n">
        <f aca="false">Sens!$M$614</f>
        <v>53.6407214274315</v>
      </c>
      <c r="N678" s="38" t="n">
        <f aca="false">Sens!$N$614</f>
        <v>0</v>
      </c>
      <c r="O678" s="38" t="n">
        <f aca="false">Sens!$O$614</f>
        <v>0</v>
      </c>
      <c r="P678" s="5" t="s">
        <v>736</v>
      </c>
    </row>
    <row r="679" customFormat="false" ht="17.15" hidden="false" customHeight="false" outlineLevel="0" collapsed="false">
      <c r="A679" s="5" t="s">
        <v>737</v>
      </c>
      <c r="B679" s="0" t="s">
        <v>86</v>
      </c>
      <c r="C679" s="38" t="n">
        <f aca="false">Sens!$C$676+Sens!$C$678</f>
        <v>68.593</v>
      </c>
      <c r="D679" s="38" t="n">
        <f aca="false">Sens!$D$676+Sens!$D$678</f>
        <v>79.975</v>
      </c>
      <c r="E679" s="38" t="n">
        <f aca="false">Sens!$E$676+Sens!$E$678</f>
        <v>51.313</v>
      </c>
      <c r="F679" s="38" t="n">
        <f aca="false">Sens!$F$676+Sens!$F$678</f>
        <v>63.0649819534308</v>
      </c>
      <c r="G679" s="38" t="n">
        <f aca="false">Sens!$G$676+Sens!$G$678</f>
        <v>114.377981953431</v>
      </c>
      <c r="H679" s="38" t="n">
        <f aca="false">Sens!$H$676+Sens!$H$678</f>
        <v>167.963527170865</v>
      </c>
      <c r="I679" s="38" t="n">
        <f aca="false">Sens!$I$676+Sens!$I$678</f>
        <v>220.214963696987</v>
      </c>
      <c r="J679" s="38" t="n">
        <f aca="false">Sens!$J$676+Sens!$J$678</f>
        <v>271.10083275513</v>
      </c>
      <c r="K679" s="38" t="n">
        <f aca="false">Sens!$K$676+Sens!$K$678</f>
        <v>310.409789176733</v>
      </c>
      <c r="L679" s="38" t="n">
        <f aca="false">Sens!$L$676+Sens!$L$678</f>
        <v>339.431490878417</v>
      </c>
      <c r="M679" s="38" t="n">
        <f aca="false">Sens!$M$676+Sens!$M$678</f>
        <v>358.164934600854</v>
      </c>
      <c r="N679" s="38" t="n">
        <f aca="false">Sens!$N$676+Sens!$N$678</f>
        <v>37.576</v>
      </c>
      <c r="O679" s="38" t="n">
        <f aca="false">Sens!$O$676+Sens!$O$678</f>
        <v>42.399</v>
      </c>
    </row>
    <row r="680" customFormat="false" ht="17.15" hidden="false" customHeight="false" outlineLevel="0" collapsed="false">
      <c r="A680" s="0" t="s">
        <v>738</v>
      </c>
      <c r="B680" s="0" t="s">
        <v>52</v>
      </c>
      <c r="C680" s="13" t="n">
        <f aca="false">Sens!$C$666/Sens!$C$651</f>
        <v>0.0644314665661928</v>
      </c>
      <c r="D680" s="13" t="n">
        <f aca="false">Sens!$D$666/Sens!$D$651</f>
        <v>0.0694784250712518</v>
      </c>
      <c r="E680" s="13" t="n">
        <f aca="false">Sens!$E$666/Sens!$E$651</f>
        <v>0.0789306463326071</v>
      </c>
      <c r="F680" s="13" t="n">
        <f aca="false">Sens!$F$666/Sens!$F$651</f>
        <v>0.0801757457241943</v>
      </c>
      <c r="G680" s="13" t="n">
        <f aca="false">Sens!$G$666/Sens!$G$651</f>
        <v>0.0795932749625682</v>
      </c>
      <c r="H680" s="13" t="n">
        <f aca="false">Sens!$H$666/Sens!$H$651</f>
        <v>0.0801494276915951</v>
      </c>
      <c r="I680" s="13" t="n">
        <f aca="false">Sens!$I$666/Sens!$I$651</f>
        <v>0.0784619467108939</v>
      </c>
      <c r="J680" s="13" t="n">
        <f aca="false">Sens!$J$666/Sens!$J$651</f>
        <v>0.0767950945569155</v>
      </c>
      <c r="K680" s="13" t="n">
        <f aca="false">Sens!$K$666/Sens!$K$651</f>
        <v>0.0749782708028101</v>
      </c>
      <c r="L680" s="13" t="n">
        <f aca="false">Sens!$L$666/Sens!$L$651</f>
        <v>0.0740581549602486</v>
      </c>
      <c r="M680" s="13" t="n">
        <f aca="false">Sens!$M$666/Sens!$M$651</f>
        <v>0.075724068445432</v>
      </c>
      <c r="N680" s="13" t="n">
        <f aca="false">Sens!$N$666/Sens!$N$651</f>
        <v>0.069228576611127</v>
      </c>
      <c r="O680" s="13" t="n">
        <f aca="false">Sens!$O$666/Sens!$O$651</f>
        <v>0.069685022498393</v>
      </c>
    </row>
    <row r="681" customFormat="false" ht="17.15" hidden="false" customHeight="false" outlineLevel="0" collapsed="false">
      <c r="A681" s="0" t="s">
        <v>739</v>
      </c>
      <c r="B681" s="0" t="s">
        <v>52</v>
      </c>
      <c r="C681" s="13" t="n">
        <f aca="false">Sens!$C$671/Sens!$C$652</f>
        <v>0.026534925055631</v>
      </c>
      <c r="D681" s="13" t="n">
        <f aca="false">Sens!$D$671/Sens!$D$652</f>
        <v>0.0293401855535103</v>
      </c>
      <c r="E681" s="13" t="n">
        <f aca="false">Sens!$E$671/Sens!$E$652</f>
        <v>0.03831141902276</v>
      </c>
      <c r="F681" s="13" t="n">
        <f aca="false">Sens!$F$671/Sens!$F$652</f>
        <v>0.0281350107328284</v>
      </c>
      <c r="G681" s="13" t="n">
        <f aca="false">Sens!$G$671/Sens!$G$652</f>
        <v>0.0327600029432073</v>
      </c>
      <c r="H681" s="13" t="n">
        <f aca="false">Sens!$H$671/Sens!$H$652</f>
        <v>0.031310920057557</v>
      </c>
      <c r="I681" s="13" t="n">
        <f aca="false">Sens!$I$671/Sens!$I$652</f>
        <v>0.0275950243319601</v>
      </c>
      <c r="J681" s="13" t="n">
        <f aca="false">Sens!$J$671/Sens!$J$652</f>
        <v>0.0238367762099147</v>
      </c>
      <c r="K681" s="13" t="n">
        <f aca="false">Sens!$K$671/Sens!$K$652</f>
        <v>0.0198239122855479</v>
      </c>
      <c r="L681" s="13" t="n">
        <f aca="false">Sens!$L$671/Sens!$L$652</f>
        <v>0.0192499447238486</v>
      </c>
      <c r="M681" s="13" t="n">
        <f aca="false">Sens!$M$671/Sens!$M$652</f>
        <v>0.0212700135680342</v>
      </c>
      <c r="N681" s="13" t="n">
        <f aca="false">Sens!$N$671/Sens!$N$652</f>
        <v>0.0357315650169337</v>
      </c>
      <c r="O681" s="13" t="n">
        <f aca="false">Sens!$O$671/Sens!$O$652</f>
        <v>0.0244378956559703</v>
      </c>
    </row>
    <row r="682" customFormat="false" ht="17.15" hidden="false" customHeight="false" outlineLevel="0" collapsed="false">
      <c r="A682" s="14" t="s">
        <v>740</v>
      </c>
      <c r="B682" s="14" t="s">
        <v>52</v>
      </c>
      <c r="C682" s="17" t="n">
        <f aca="false">Sens!$C$674/Sens!$C$653</f>
        <v>0.370355907620217</v>
      </c>
      <c r="D682" s="17" t="n">
        <f aca="false">Sens!$D$674/Sens!$D$653</f>
        <v>0.35429015342785</v>
      </c>
      <c r="E682" s="17" t="n">
        <f aca="false">Sens!$E$674/Sens!$E$653</f>
        <v>0.385647527531039</v>
      </c>
      <c r="F682" s="17" t="n">
        <f aca="false">Sens!$F$674/Sens!$F$653</f>
        <v>0.407784164028227</v>
      </c>
      <c r="G682" s="17" t="n">
        <f aca="false">Sens!$G$674/Sens!$G$653</f>
        <v>0.397338571794666</v>
      </c>
      <c r="H682" s="17" t="n">
        <f aca="false">Sens!$H$674/Sens!$H$653</f>
        <v>0.432105676340628</v>
      </c>
      <c r="I682" s="17" t="n">
        <f aca="false">Sens!$I$674/Sens!$I$653</f>
        <v>0.444787269622148</v>
      </c>
      <c r="J682" s="17" t="n">
        <f aca="false">Sens!$J$674/Sens!$J$653</f>
        <v>0.450905044853303</v>
      </c>
      <c r="K682" s="17" t="n">
        <f aca="false">Sens!$K$674/Sens!$K$653</f>
        <v>0.445940858709836</v>
      </c>
      <c r="L682" s="17" t="n">
        <f aca="false">Sens!$L$674/Sens!$L$653</f>
        <v>0.440240148172549</v>
      </c>
      <c r="M682" s="17" t="n">
        <f aca="false">Sens!$M$674/Sens!$M$653</f>
        <v>0.431126553918837</v>
      </c>
      <c r="N682" s="17" t="n">
        <f aca="false">Sens!$N$674/Sens!$N$653</f>
        <v>0.360941137346192</v>
      </c>
      <c r="O682" s="17" t="n">
        <f aca="false">Sens!$O$674/Sens!$O$653</f>
        <v>0.348458117664212</v>
      </c>
    </row>
    <row r="683" customFormat="false" ht="17.15" hidden="false" customHeight="false" outlineLevel="0" collapsed="false">
      <c r="A683" s="0" t="s">
        <v>741</v>
      </c>
      <c r="B683" s="0" t="s">
        <v>52</v>
      </c>
      <c r="C683" s="13" t="n">
        <f aca="false">Sens!$C$672/Sens!$C$654</f>
        <v>0.708390794789371</v>
      </c>
      <c r="D683" s="13" t="n">
        <f aca="false">Sens!$D$672/Sens!$D$654</f>
        <v>0.619415573115729</v>
      </c>
      <c r="E683" s="13" t="n">
        <f aca="false">Sens!$E$672/Sens!$E$654</f>
        <v>0.374072166056273</v>
      </c>
      <c r="F683" s="13" t="n">
        <f aca="false">Sens!$F$672/Sens!$F$654</f>
        <v>0.61942927696825</v>
      </c>
      <c r="G683" s="13" t="n">
        <f aca="false">Sens!$G$672/Sens!$G$654</f>
        <v>0.539355990256583</v>
      </c>
      <c r="H683" s="13" t="n">
        <f aca="false">Sens!$H$672/Sens!$H$654</f>
        <v>0.582653350959936</v>
      </c>
      <c r="I683" s="13" t="n">
        <f aca="false">Sens!$I$672/Sens!$I$654</f>
        <v>0.554508873109771</v>
      </c>
      <c r="J683" s="13" t="n">
        <f aca="false">Sens!$J$672/Sens!$J$654</f>
        <v>0.540144029804107</v>
      </c>
      <c r="K683" s="13" t="n">
        <f aca="false">Sens!$K$672/Sens!$K$654</f>
        <v>0.518410423072153</v>
      </c>
      <c r="L683" s="13" t="n">
        <f aca="false">Sens!$L$672/Sens!$L$654</f>
        <v>0.504784745826738</v>
      </c>
      <c r="M683" s="13" t="n">
        <f aca="false">Sens!$M$672/Sens!$M$654</f>
        <v>0.489940697770181</v>
      </c>
      <c r="N683" s="13" t="n">
        <f aca="false">Sens!$N$672/Sens!$N$654</f>
        <v>0.551227795793364</v>
      </c>
      <c r="O683" s="13" t="n">
        <f aca="false">Sens!$O$672/Sens!$O$654</f>
        <v>0.656132068597002</v>
      </c>
    </row>
    <row r="684" customFormat="false" ht="15" hidden="false" customHeight="false" outlineLevel="0" collapsed="false">
      <c r="A684" s="5" t="s">
        <v>742</v>
      </c>
      <c r="B684" s="0" t="s">
        <v>52</v>
      </c>
      <c r="C684" s="13" t="n">
        <f aca="false">Sens!$C$676/Sens!$C$656</f>
        <v>0.107519448742004</v>
      </c>
      <c r="D684" s="13" t="n">
        <f aca="false">Sens!$D$676/Sens!$D$656</f>
        <v>0.111552967957552</v>
      </c>
      <c r="E684" s="13" t="n">
        <f aca="false">Sens!$E$676/Sens!$E$656</f>
        <v>0.13428328426562</v>
      </c>
      <c r="F684" s="13" t="n">
        <f aca="false">Sens!$F$676/Sens!$F$656</f>
        <v>0.135255229077021</v>
      </c>
      <c r="G684" s="13" t="n">
        <f aca="false">Sens!$G$676/Sens!$G$656</f>
        <v>0.134802577978509</v>
      </c>
      <c r="H684" s="13" t="n">
        <f aca="false">Sens!$H$676/Sens!$H$656</f>
        <v>0.158583025982573</v>
      </c>
      <c r="I684" s="13" t="n">
        <f aca="false">Sens!$I$676/Sens!$I$656</f>
        <v>0.175030979440268</v>
      </c>
      <c r="J684" s="13" t="n">
        <f aca="false">Sens!$J$676/Sens!$J$656</f>
        <v>0.18727447001017</v>
      </c>
      <c r="K684" s="13" t="n">
        <f aca="false">Sens!$K$676/Sens!$K$656</f>
        <v>0.192333175904867</v>
      </c>
      <c r="L684" s="13" t="n">
        <f aca="false">Sens!$L$676/Sens!$L$656</f>
        <v>0.193483649924453</v>
      </c>
      <c r="M684" s="13" t="n">
        <f aca="false">Sens!$M$676/Sens!$M$656</f>
        <v>0.191540022337702</v>
      </c>
      <c r="N684" s="13" t="n">
        <f aca="false">Sens!$N$676/Sens!$N$656</f>
        <v>0.116201614873411</v>
      </c>
      <c r="O684" s="13" t="n">
        <f aca="false">Sens!$O$676/Sens!$O$656</f>
        <v>0.107733353660861</v>
      </c>
    </row>
    <row r="685" customFormat="false" ht="17.15" hidden="false" customHeight="false" outlineLevel="0" collapsed="false">
      <c r="A685" s="1" t="s">
        <v>743</v>
      </c>
    </row>
    <row r="686" customFormat="false" ht="17.15" hidden="false" customHeight="false" outlineLevel="0" collapsed="false">
      <c r="A686" s="5" t="s">
        <v>744</v>
      </c>
      <c r="B686" s="0" t="s">
        <v>52</v>
      </c>
      <c r="D686" s="28" t="n">
        <f aca="false">(Q!$E$29+Q!$E$30-(1-ext_sh)*Sens!$D$608)/Sens!$D$562</f>
        <v>0.0341105596409988</v>
      </c>
    </row>
    <row r="687" customFormat="false" ht="17.15" hidden="false" customHeight="false" outlineLevel="0" collapsed="false">
      <c r="A687" s="0" t="s">
        <v>538</v>
      </c>
      <c r="B687" s="0" t="s">
        <v>86</v>
      </c>
      <c r="C687" s="38" t="n">
        <f aca="false">Q!$D$29</f>
        <v>14.285</v>
      </c>
      <c r="D687" s="38" t="n">
        <f aca="false">Q!$E$29</f>
        <v>15.503</v>
      </c>
      <c r="E687" s="38" t="n">
        <f aca="false">Q!$P$29</f>
        <v>8.78</v>
      </c>
      <c r="F687" s="38" t="n">
        <f aca="false">(Sens!$D$686*Sens!$F$562+(1-ext_sh)*Sens!$F$608)*Sens!$F$563</f>
        <v>9.16735846116642</v>
      </c>
      <c r="G687" s="38" t="n">
        <f aca="false">Sens!$E$687+Sens!$F$687</f>
        <v>17.9473584611664</v>
      </c>
      <c r="H687" s="38" t="n">
        <f aca="false">(Sens!$D$686*Sens!$H$562+(1-ext_sh)*Sens!$H$608)*Sens!$H$563</f>
        <v>21.6406723110177</v>
      </c>
      <c r="I687" s="38" t="n">
        <f aca="false">(Sens!$D$686*Sens!$I$562+(1-ext_sh)*Sens!$I$608)*Sens!$I$563</f>
        <v>27.3128215555087</v>
      </c>
      <c r="J687" s="38" t="n">
        <f aca="false">(Sens!$D$686*Sens!$J$562+(1-ext_sh)*Sens!$J$608)*Sens!$J$563</f>
        <v>33.0116861885756</v>
      </c>
      <c r="K687" s="38" t="n">
        <f aca="false">(Sens!$D$686*Sens!$K$562+(1-ext_sh)*Sens!$K$608)*Sens!$K$563</f>
        <v>38.6250238720245</v>
      </c>
      <c r="L687" s="38" t="n">
        <f aca="false">(Sens!$D$686*Sens!$L$562+(1-ext_sh)*Sens!$L$608)*Sens!$L$563</f>
        <v>43.0711535197861</v>
      </c>
      <c r="M687" s="38" t="n">
        <f aca="false">(Sens!$D$686*Sens!$M$562+(1-ext_sh)*Sens!$M$608)*Sens!$M$563</f>
        <v>46.590728630326</v>
      </c>
      <c r="N687" s="38" t="n">
        <f aca="false">Q!$N$29</f>
        <v>7.272</v>
      </c>
      <c r="O687" s="38" t="n">
        <f aca="false">Q!$O$29</f>
        <v>8.231</v>
      </c>
    </row>
    <row r="688" customFormat="false" ht="17.15" hidden="false" customHeight="false" outlineLevel="0" collapsed="false">
      <c r="A688" s="0" t="s">
        <v>540</v>
      </c>
      <c r="B688" s="0" t="s">
        <v>86</v>
      </c>
      <c r="C688" s="38" t="n">
        <f aca="false">Q!$D$30</f>
        <v>4.462</v>
      </c>
      <c r="D688" s="38" t="n">
        <f aca="false">Q!$E$30</f>
        <v>4.907</v>
      </c>
      <c r="E688" s="38" t="n">
        <f aca="false">Q!$P$30</f>
        <v>2.57</v>
      </c>
      <c r="F688" s="38" t="n">
        <f aca="false">(Sens!$D$686*Sens!$F$562+(1-ext_sh)*Sens!$F$608)*(1-Sens!$F$563)</f>
        <v>3.59937168293151</v>
      </c>
      <c r="G688" s="38" t="n">
        <f aca="false">Sens!$E$688+Sens!$F$688</f>
        <v>6.16937168293151</v>
      </c>
      <c r="H688" s="38" t="n">
        <f aca="false">(Sens!$D$686*Sens!$H$562+(1-ext_sh)*Sens!$H$608)*(1-Sens!$H$563)</f>
        <v>8.28915290031442</v>
      </c>
      <c r="I688" s="38" t="n">
        <f aca="false">(Sens!$D$686*Sens!$I$562+(1-ext_sh)*Sens!$I$608)*(1-Sens!$I$563)</f>
        <v>10.4617892992793</v>
      </c>
      <c r="J688" s="38" t="n">
        <f aca="false">(Sens!$D$686*Sens!$J$562+(1-ext_sh)*Sens!$J$608)*(1-Sens!$J$563)</f>
        <v>12.6446586493057</v>
      </c>
      <c r="K688" s="38" t="n">
        <f aca="false">(Sens!$D$686*Sens!$K$562+(1-ext_sh)*Sens!$K$608)*(1-Sens!$K$563)</f>
        <v>14.7947681131192</v>
      </c>
      <c r="L688" s="38" t="n">
        <f aca="false">(Sens!$D$686*Sens!$L$562+(1-ext_sh)*Sens!$L$608)*(1-Sens!$L$563)</f>
        <v>16.4977950771268</v>
      </c>
      <c r="M688" s="38" t="n">
        <f aca="false">(Sens!$D$686*Sens!$M$562+(1-ext_sh)*Sens!$M$608)*(1-Sens!$M$563)</f>
        <v>17.8459184540772</v>
      </c>
      <c r="N688" s="38" t="n">
        <f aca="false">Q!$N$30</f>
        <v>2.316</v>
      </c>
      <c r="O688" s="38" t="n">
        <f aca="false">Q!$O$30</f>
        <v>2.591</v>
      </c>
    </row>
    <row r="689" customFormat="false" ht="17.15" hidden="false" customHeight="false" outlineLevel="0" collapsed="false">
      <c r="A689" s="0" t="s">
        <v>541</v>
      </c>
      <c r="B689" s="0" t="s">
        <v>86</v>
      </c>
      <c r="C689" s="38" t="n">
        <f aca="false">Sens!$C$620</f>
        <v>13.32</v>
      </c>
      <c r="D689" s="38" t="n">
        <f aca="false">Sens!$D$620</f>
        <v>21.45</v>
      </c>
      <c r="E689" s="38" t="n">
        <f aca="false">Sens!$E$620</f>
        <v>15.353</v>
      </c>
      <c r="F689" s="38" t="n">
        <f aca="false">Sens!$F$620</f>
        <v>15.4404120185306</v>
      </c>
      <c r="G689" s="38" t="n">
        <f aca="false">Sens!$G$620</f>
        <v>30.7934120185306</v>
      </c>
      <c r="H689" s="38" t="n">
        <f aca="false">Sens!$H$620</f>
        <v>48.250114371455</v>
      </c>
      <c r="I689" s="38" t="n">
        <f aca="false">Sens!$I$620</f>
        <v>73.3965146995963</v>
      </c>
      <c r="J689" s="38" t="n">
        <f aca="false">Sens!$J$620</f>
        <v>99.22806138309</v>
      </c>
      <c r="K689" s="38" t="n">
        <f aca="false">Sens!$K$620</f>
        <v>125.386627452856</v>
      </c>
      <c r="L689" s="38" t="n">
        <f aca="false">Sens!$L$620</f>
        <v>144.77239043275</v>
      </c>
      <c r="M689" s="38" t="n">
        <f aca="false">Sens!$M$620</f>
        <v>158.693930910983</v>
      </c>
      <c r="N689" s="38" t="n">
        <f aca="false">Sens!$N$620</f>
        <v>9.234</v>
      </c>
      <c r="O689" s="38" t="n">
        <f aca="false">Sens!$O$620</f>
        <v>12.216</v>
      </c>
    </row>
    <row r="690" customFormat="false" ht="17.15" hidden="false" customHeight="false" outlineLevel="0" collapsed="false">
      <c r="A690" s="5" t="s">
        <v>745</v>
      </c>
      <c r="B690" s="0" t="s">
        <v>86</v>
      </c>
      <c r="C690" s="38" t="n">
        <f aca="false">Sens!$C$687+Sens!$C$688+Sens!$C$689</f>
        <v>32.067</v>
      </c>
      <c r="D690" s="38" t="n">
        <f aca="false">Sens!$D$687+Sens!$D$688+Sens!$D$689</f>
        <v>41.86</v>
      </c>
      <c r="E690" s="38" t="n">
        <f aca="false">Sens!$E$687+Sens!$E$688+Sens!$E$689</f>
        <v>26.703</v>
      </c>
      <c r="F690" s="38" t="n">
        <f aca="false">Sens!$F$687+Sens!$F$688+Sens!$F$689</f>
        <v>28.2071421626285</v>
      </c>
      <c r="G690" s="38" t="n">
        <f aca="false">Sens!$G$687+Sens!$G$688+Sens!$G$689</f>
        <v>54.9101421626285</v>
      </c>
      <c r="H690" s="38" t="n">
        <f aca="false">Sens!$H$687+Sens!$H$688+Sens!$H$689</f>
        <v>78.1799395827871</v>
      </c>
      <c r="I690" s="38" t="n">
        <f aca="false">Sens!$I$687+Sens!$I$688+Sens!$I$689</f>
        <v>111.171125554384</v>
      </c>
      <c r="J690" s="38" t="n">
        <f aca="false">Sens!$J$687+Sens!$J$688+Sens!$J$689</f>
        <v>144.884406220971</v>
      </c>
      <c r="K690" s="38" t="n">
        <f aca="false">Sens!$K$687+Sens!$K$688+Sens!$K$689</f>
        <v>178.806419437999</v>
      </c>
      <c r="L690" s="38" t="n">
        <f aca="false">Sens!$L$687+Sens!$L$688+Sens!$L$689</f>
        <v>204.341339029663</v>
      </c>
      <c r="M690" s="38" t="n">
        <f aca="false">Sens!$M$687+Sens!$M$688+Sens!$M$689</f>
        <v>223.130577995387</v>
      </c>
      <c r="N690" s="38" t="n">
        <f aca="false">Sens!$N$687+Sens!$N$688+Sens!$N$689</f>
        <v>18.822</v>
      </c>
      <c r="O690" s="38" t="n">
        <f aca="false">Sens!$O$687+Sens!$O$688+Sens!$O$689</f>
        <v>23.038</v>
      </c>
    </row>
    <row r="691" customFormat="false" ht="17.15" hidden="false" customHeight="false" outlineLevel="0" collapsed="false">
      <c r="A691" s="0" t="s">
        <v>746</v>
      </c>
      <c r="B691" s="0" t="s">
        <v>86</v>
      </c>
      <c r="C691" s="38" t="n">
        <f aca="false">Sens!$C$662+Sens!$C$667</f>
        <v>28.107</v>
      </c>
      <c r="D691" s="38" t="n">
        <f aca="false">Sens!$D$662+Sens!$D$667</f>
        <v>34.3175</v>
      </c>
      <c r="E691" s="38" t="n">
        <f aca="false">Sens!$E$662+Sens!$E$667</f>
        <v>18.526</v>
      </c>
      <c r="F691" s="38" t="n">
        <f aca="false">Sens!$F$662+Sens!$F$667</f>
        <v>23.0786109972074</v>
      </c>
      <c r="G691" s="38" t="n">
        <f aca="false">Sens!$G$662+Sens!$G$667</f>
        <v>41.6046109972074</v>
      </c>
      <c r="H691" s="38" t="n">
        <f aca="false">Sens!$H$662+Sens!$H$667</f>
        <v>49.9484611939488</v>
      </c>
      <c r="I691" s="38" t="n">
        <f aca="false">Sens!$I$662+Sens!$I$667</f>
        <v>58.2915555477481</v>
      </c>
      <c r="J691" s="38" t="n">
        <f aca="false">Sens!$J$662+Sens!$J$667</f>
        <v>66.0744709709759</v>
      </c>
      <c r="K691" s="38" t="n">
        <f aca="false">Sens!$K$662+Sens!$K$667</f>
        <v>72.6819180680735</v>
      </c>
      <c r="L691" s="38" t="n">
        <f aca="false">Sens!$L$662+Sens!$L$667</f>
        <v>79.9501098748808</v>
      </c>
      <c r="M691" s="38" t="n">
        <f aca="false">Sens!$M$662+Sens!$M$667</f>
        <v>87.9451208623689</v>
      </c>
      <c r="N691" s="38" t="n">
        <f aca="false">Sens!$N$662+Sens!$N$667</f>
        <v>14.8075</v>
      </c>
      <c r="O691" s="38" t="n">
        <f aca="false">Sens!$O$662+Sens!$O$667</f>
        <v>19.51</v>
      </c>
    </row>
    <row r="692" customFormat="false" ht="17.15" hidden="false" customHeight="false" outlineLevel="0" collapsed="false">
      <c r="A692" s="0" t="s">
        <v>747</v>
      </c>
      <c r="B692" s="0" t="s">
        <v>86</v>
      </c>
      <c r="C692" s="38" t="n">
        <f aca="false">Sens!$C$666+Sens!$C$671+Sens!$C$687+Sens!$C$688-Sens!$C$691</f>
        <v>19.399</v>
      </c>
      <c r="D692" s="38" t="n">
        <f aca="false">Sens!$D$666+Sens!$D$671+Sens!$D$687+Sens!$D$688-Sens!$D$691</f>
        <v>20.4615</v>
      </c>
      <c r="E692" s="38" t="n">
        <f aca="false">Sens!$E$666+Sens!$E$671+Sens!$E$687+Sens!$E$688-Sens!$E$691</f>
        <v>13.355</v>
      </c>
      <c r="F692" s="38" t="n">
        <f aca="false">Sens!$F$666+Sens!$F$671+Sens!$F$687+Sens!$F$688-Sens!$F$691</f>
        <v>12.5520732018618</v>
      </c>
      <c r="G692" s="38" t="n">
        <f aca="false">Sens!$G$666+Sens!$G$671+Sens!$G$687+Sens!$G$688-Sens!$G$691</f>
        <v>25.9070732018618</v>
      </c>
      <c r="H692" s="38" t="n">
        <f aca="false">Sens!$H$666+Sens!$H$671+Sens!$H$687+Sens!$H$688-Sens!$H$691</f>
        <v>28.0233335906818</v>
      </c>
      <c r="I692" s="38" t="n">
        <f aca="false">Sens!$I$666+Sens!$I$671+Sens!$I$687+Sens!$I$688-Sens!$I$691</f>
        <v>30.2440066606864</v>
      </c>
      <c r="J692" s="38" t="n">
        <f aca="false">Sens!$J$666+Sens!$J$671+Sens!$J$687+Sens!$J$688-Sens!$J$691</f>
        <v>32.4596500296286</v>
      </c>
      <c r="K692" s="38" t="n">
        <f aca="false">Sens!$K$666+Sens!$K$671+Sens!$K$687+Sens!$K$688-Sens!$K$691</f>
        <v>34.839425971154</v>
      </c>
      <c r="L692" s="38" t="n">
        <f aca="false">Sens!$L$666+Sens!$L$671+Sens!$L$687+Sens!$L$688-Sens!$L$691</f>
        <v>36.4424209524427</v>
      </c>
      <c r="M692" s="38" t="n">
        <f aca="false">Sens!$M$666+Sens!$M$671+Sens!$M$687+Sens!$M$688-Sens!$M$691</f>
        <v>38.8413540019876</v>
      </c>
      <c r="N692" s="38" t="n">
        <f aca="false">Sens!$N$666+Sens!$N$671+Sens!$N$687+Sens!$N$688-Sens!$N$691</f>
        <v>10.6495</v>
      </c>
      <c r="O692" s="38" t="n">
        <f aca="false">Sens!$O$666+Sens!$O$671+Sens!$O$687+Sens!$O$688-Sens!$O$691</f>
        <v>9.81200000000001</v>
      </c>
    </row>
    <row r="693" customFormat="false" ht="17.15" hidden="false" customHeight="false" outlineLevel="0" collapsed="false">
      <c r="A693" s="0" t="s">
        <v>748</v>
      </c>
      <c r="B693" s="0" t="s">
        <v>86</v>
      </c>
      <c r="C693" s="38" t="n">
        <f aca="false">Sens!$C$673+Sens!$C$689-ext_sh*Sens!$C$608</f>
        <v>51.3470500115664</v>
      </c>
      <c r="D693" s="38" t="n">
        <f aca="false">Sens!$D$673+Sens!$D$689-ext_sh*Sens!$D$608</f>
        <v>60.2799375433739</v>
      </c>
      <c r="E693" s="38" t="n">
        <f aca="false">Sens!$E$673+Sens!$E$689-ext_sh*Sens!$E$608</f>
        <v>39.5095167090767</v>
      </c>
      <c r="F693" s="38" t="n">
        <f aca="false">Sens!$F$673+Sens!$F$689-ext_sh*Sens!$F$608</f>
        <v>37.5468918745429</v>
      </c>
      <c r="G693" s="38" t="n">
        <f aca="false">Sens!$G$673+Sens!$G$689-ext_sh*Sens!$G$608</f>
        <v>77.0564085836196</v>
      </c>
      <c r="H693" s="38" t="n">
        <f aca="false">Sens!$H$673+Sens!$H$689-ext_sh*Sens!$H$608</f>
        <v>84.2378398616123</v>
      </c>
      <c r="I693" s="38" t="n">
        <f aca="false">Sens!$I$673+Sens!$I$689-ext_sh*Sens!$I$608</f>
        <v>93.5253492849083</v>
      </c>
      <c r="J693" s="38" t="n">
        <f aca="false">Sens!$J$673+Sens!$J$689-ext_sh*Sens!$J$608</f>
        <v>102.42210777817</v>
      </c>
      <c r="K693" s="38" t="n">
        <f aca="false">Sens!$K$673+Sens!$K$689-ext_sh*Sens!$K$608</f>
        <v>110.615876400424</v>
      </c>
      <c r="L693" s="38" t="n">
        <f aca="false">Sens!$L$673+Sens!$L$689-ext_sh*Sens!$L$608</f>
        <v>119.465146512458</v>
      </c>
      <c r="M693" s="38" t="n">
        <f aca="false">Sens!$M$673+Sens!$M$689-ext_sh*Sens!$M$608</f>
        <v>129.022358233455</v>
      </c>
      <c r="N693" s="38" t="n">
        <f aca="false">Sens!$N$673+Sens!$N$689-ext_sh*Sens!$N$608</f>
        <v>28.5693781401809</v>
      </c>
      <c r="O693" s="38" t="n">
        <f aca="false">Sens!$O$673+Sens!$O$689-ext_sh*Sens!$O$608</f>
        <v>31.7105594031931</v>
      </c>
    </row>
    <row r="694" customFormat="false" ht="17.15" hidden="false" customHeight="false" outlineLevel="0" collapsed="false">
      <c r="A694" s="0" t="s">
        <v>749</v>
      </c>
      <c r="B694" s="0" t="s">
        <v>86</v>
      </c>
      <c r="C694" s="38" t="n">
        <f aca="false">Sens!$C$611</f>
        <v>1.80694998843362</v>
      </c>
      <c r="D694" s="38" t="n">
        <f aca="false">Sens!$D$611</f>
        <v>6.77606245662607</v>
      </c>
      <c r="E694" s="38" t="n">
        <f aca="false">Sens!$E$611</f>
        <v>6.62548329092326</v>
      </c>
      <c r="F694" s="38" t="n">
        <f aca="false">Sens!$F$611</f>
        <v>14.3233275606891</v>
      </c>
      <c r="G694" s="38" t="n">
        <f aca="false">Sens!$G$611</f>
        <v>20.9488108516123</v>
      </c>
      <c r="H694" s="38" t="n">
        <f aca="false">Sens!$H$611</f>
        <v>68.7702777464201</v>
      </c>
      <c r="I694" s="38" t="n">
        <f aca="false">Sens!$I$611</f>
        <v>123.743293396039</v>
      </c>
      <c r="J694" s="38" t="n">
        <f aca="false">Sens!$J$611</f>
        <v>178.982447779414</v>
      </c>
      <c r="K694" s="38" t="n">
        <f aca="false">Sens!$K$611</f>
        <v>226.104871772476</v>
      </c>
      <c r="L694" s="38" t="n">
        <f aca="false">Sens!$L$611</f>
        <v>257.073803762517</v>
      </c>
      <c r="M694" s="38" t="n">
        <f aca="false">Sens!$M$611</f>
        <v>271.845958070998</v>
      </c>
      <c r="N694" s="38" t="n">
        <f aca="false">Sens!$N$611</f>
        <v>2.37162185981912</v>
      </c>
      <c r="O694" s="38" t="n">
        <f aca="false">Sens!$O$611</f>
        <v>4.40444059680694</v>
      </c>
    </row>
    <row r="695" customFormat="false" ht="17.15" hidden="false" customHeight="false" outlineLevel="0" collapsed="false">
      <c r="A695" s="0" t="s">
        <v>750</v>
      </c>
      <c r="B695" s="0" t="s">
        <v>86</v>
      </c>
      <c r="C695" s="38" t="n">
        <f aca="false">Sens!$C$676+Sens!$C$690</f>
        <v>100.66</v>
      </c>
      <c r="D695" s="38" t="n">
        <f aca="false">Sens!$D$676+Sens!$D$690</f>
        <v>121.835</v>
      </c>
      <c r="E695" s="38" t="n">
        <f aca="false">Sens!$E$676+Sens!$E$690</f>
        <v>78.016</v>
      </c>
      <c r="F695" s="38" t="n">
        <f aca="false">Sens!$F$676+Sens!$F$690</f>
        <v>87.5009036343011</v>
      </c>
      <c r="G695" s="38" t="n">
        <f aca="false">Sens!$G$676+Sens!$G$690</f>
        <v>165.516903634301</v>
      </c>
      <c r="H695" s="38" t="n">
        <f aca="false">Sens!$H$676+Sens!$H$690</f>
        <v>230.979912392663</v>
      </c>
      <c r="I695" s="38" t="n">
        <f aca="false">Sens!$I$676+Sens!$I$690</f>
        <v>305.804204889382</v>
      </c>
      <c r="J695" s="38" t="n">
        <f aca="false">Sens!$J$676+Sens!$J$690</f>
        <v>379.938676558189</v>
      </c>
      <c r="K695" s="38" t="n">
        <f aca="false">Sens!$K$676+Sens!$K$690</f>
        <v>444.242092212128</v>
      </c>
      <c r="L695" s="38" t="n">
        <f aca="false">Sens!$L$676+Sens!$L$690</f>
        <v>492.931481102298</v>
      </c>
      <c r="M695" s="38" t="n">
        <f aca="false">Sens!$M$676+Sens!$M$690</f>
        <v>527.654791168809</v>
      </c>
      <c r="N695" s="38" t="n">
        <f aca="false">Sens!$N$676+Sens!$N$690</f>
        <v>56.398</v>
      </c>
      <c r="O695" s="38" t="n">
        <f aca="false">Sens!$O$676+Sens!$O$690</f>
        <v>65.437</v>
      </c>
    </row>
    <row r="696" customFormat="false" ht="17.15" hidden="false" customHeight="false" outlineLevel="0" collapsed="false">
      <c r="A696" s="1" t="s">
        <v>751</v>
      </c>
    </row>
    <row r="697" customFormat="false" ht="15" hidden="false" customHeight="false" outlineLevel="0" collapsed="false">
      <c r="A697" s="5" t="s">
        <v>544</v>
      </c>
      <c r="B697" s="0" t="s">
        <v>86</v>
      </c>
      <c r="C697" s="38" t="n">
        <f aca="false">Q!$D$34</f>
        <v>2.406</v>
      </c>
      <c r="D697" s="38" t="n">
        <f aca="false">Q!$E$34</f>
        <v>2.274</v>
      </c>
      <c r="E697" s="38" t="n">
        <f aca="false">Q!$P$34</f>
        <v>2.114</v>
      </c>
      <c r="F697" s="38" t="n">
        <f aca="false">Sens!$F$735</f>
        <v>3.24888962733561</v>
      </c>
      <c r="G697" s="38" t="n">
        <f aca="false">Sens!$E$697+Sens!$F$697</f>
        <v>5.36288962733561</v>
      </c>
      <c r="H697" s="38" t="n">
        <f aca="false">Sens!$H$735</f>
        <v>7.42354172302123</v>
      </c>
      <c r="I697" s="38" t="n">
        <f aca="false">Sens!$I$735</f>
        <v>7.42354172302123</v>
      </c>
      <c r="J697" s="38" t="n">
        <f aca="false">Sens!$J$735</f>
        <v>7.42354172302123</v>
      </c>
      <c r="K697" s="38" t="n">
        <f aca="false">Sens!$K$735</f>
        <v>7.42354172302123</v>
      </c>
      <c r="L697" s="38" t="n">
        <f aca="false">Sens!$L$735</f>
        <v>7.42354172302123</v>
      </c>
      <c r="M697" s="38" t="n">
        <f aca="false">Sens!$M$735</f>
        <v>7.42354172302123</v>
      </c>
      <c r="N697" s="38" t="n">
        <f aca="false">Q!$N$34</f>
        <v>1.057</v>
      </c>
      <c r="O697" s="38" t="n">
        <f aca="false">Q!$O$34</f>
        <v>1.217</v>
      </c>
    </row>
    <row r="698" customFormat="false" ht="15" hidden="false" customHeight="false" outlineLevel="0" collapsed="false">
      <c r="A698" s="5" t="s">
        <v>752</v>
      </c>
      <c r="B698" s="0" t="s">
        <v>86</v>
      </c>
      <c r="F698" s="38" t="n">
        <f aca="false">Sens!$F$736</f>
        <v>2.59</v>
      </c>
      <c r="H698" s="38" t="n">
        <f aca="false">Sens!$H$736</f>
        <v>3.86430755205757</v>
      </c>
      <c r="I698" s="38" t="n">
        <f aca="false">Sens!$I$736</f>
        <v>2.26724149042308</v>
      </c>
      <c r="J698" s="38" t="n">
        <f aca="false">Sens!$J$736</f>
        <v>3.11762784897205</v>
      </c>
      <c r="K698" s="38" t="n">
        <f aca="false">Sens!$K$736</f>
        <v>6.52733720282353</v>
      </c>
      <c r="L698" s="38" t="n">
        <f aca="false">Sens!$L$736</f>
        <v>14.7686277716342</v>
      </c>
      <c r="M698" s="38" t="n">
        <f aca="false">Sens!$M$736</f>
        <v>26.0404283476971</v>
      </c>
    </row>
    <row r="699" customFormat="false" ht="17.15" hidden="false" customHeight="false" outlineLevel="0" collapsed="false">
      <c r="A699" s="5" t="s">
        <v>753</v>
      </c>
      <c r="B699" s="0" t="s">
        <v>86</v>
      </c>
      <c r="C699" s="38" t="n">
        <f aca="false">Q!$D$39</f>
        <v>2.427</v>
      </c>
      <c r="D699" s="38" t="n">
        <f aca="false">Q!$E$39</f>
        <v>19.61</v>
      </c>
      <c r="E699" s="38" t="n">
        <f aca="false">Q!$P$39</f>
        <v>71.492</v>
      </c>
      <c r="F699" s="39" t="n">
        <v>0</v>
      </c>
      <c r="G699" s="38" t="n">
        <f aca="false">Sens!$E$699+Sens!$F$699</f>
        <v>71.492</v>
      </c>
      <c r="H699" s="39" t="n">
        <v>0</v>
      </c>
      <c r="I699" s="39" t="n">
        <v>0</v>
      </c>
      <c r="J699" s="39" t="n">
        <v>0</v>
      </c>
      <c r="K699" s="39" t="n">
        <v>0</v>
      </c>
      <c r="L699" s="39" t="n">
        <v>0</v>
      </c>
      <c r="M699" s="39" t="n">
        <v>0</v>
      </c>
      <c r="N699" s="38" t="n">
        <f aca="false">Q!$N$39</f>
        <v>6.017</v>
      </c>
      <c r="O699" s="38" t="n">
        <f aca="false">Q!$O$39</f>
        <v>13.593</v>
      </c>
      <c r="P699" s="5" t="s">
        <v>754</v>
      </c>
    </row>
    <row r="700" customFormat="false" ht="15" hidden="false" customHeight="false" outlineLevel="0" collapsed="false">
      <c r="A700" s="5" t="s">
        <v>547</v>
      </c>
      <c r="B700" s="0" t="s">
        <v>86</v>
      </c>
      <c r="C700" s="38" t="n">
        <f aca="false">Q!$D$36</f>
        <v>68.614</v>
      </c>
      <c r="D700" s="38" t="n">
        <f aca="false">Q!$E$36</f>
        <v>97.311</v>
      </c>
      <c r="E700" s="38" t="n">
        <f aca="false">Q!$P$36</f>
        <v>120.691</v>
      </c>
      <c r="F700" s="38" t="n">
        <f aca="false">Sens!$F$676-Sens!$F$697+Sens!$F$698+Sens!$F$699</f>
        <v>58.634871844337</v>
      </c>
      <c r="G700" s="38" t="n">
        <f aca="false">Sens!$E$700+Sens!$F$700</f>
        <v>179.325871844337</v>
      </c>
      <c r="H700" s="38" t="n">
        <f aca="false">Sens!$H$676-Sens!$H$697+Sens!$H$698+Sens!$H$699</f>
        <v>149.240738638912</v>
      </c>
      <c r="I700" s="38" t="n">
        <f aca="false">Sens!$I$676-Sens!$I$697+Sens!$I$698+Sens!$I$699</f>
        <v>189.4767791024</v>
      </c>
      <c r="J700" s="38" t="n">
        <f aca="false">Sens!$J$676-Sens!$J$697+Sens!$J$698+Sens!$J$699</f>
        <v>230.748356463169</v>
      </c>
      <c r="K700" s="38" t="n">
        <f aca="false">Sens!$K$676-Sens!$K$697+Sens!$K$698+Sens!$K$699</f>
        <v>264.539468253931</v>
      </c>
      <c r="L700" s="38" t="n">
        <f aca="false">Sens!$L$676-Sens!$L$697+Sens!$L$698+Sens!$L$699</f>
        <v>295.935228121249</v>
      </c>
      <c r="M700" s="38" t="n">
        <f aca="false">Sens!$M$676-Sens!$M$697+Sens!$M$698+Sens!$M$699</f>
        <v>323.141099798098</v>
      </c>
      <c r="N700" s="38" t="n">
        <f aca="false">Q!$N$36</f>
        <v>42.536</v>
      </c>
      <c r="O700" s="38" t="n">
        <f aca="false">Q!$O$36</f>
        <v>54.775</v>
      </c>
    </row>
    <row r="701" customFormat="false" ht="15" hidden="false" customHeight="false" outlineLevel="0" collapsed="false">
      <c r="A701" s="5" t="s">
        <v>548</v>
      </c>
      <c r="B701" s="0" t="s">
        <v>86</v>
      </c>
      <c r="C701" s="38" t="n">
        <f aca="false">Q!$D$37</f>
        <v>9.265</v>
      </c>
      <c r="D701" s="38" t="n">
        <f aca="false">Q!$E$37</f>
        <v>19.087</v>
      </c>
      <c r="E701" s="38" t="n">
        <f aca="false">Q!$P$37</f>
        <v>27.759</v>
      </c>
      <c r="F701" s="38" t="n">
        <f aca="false">Sens!$F$700*tax</f>
        <v>10.1781064725838</v>
      </c>
      <c r="G701" s="38" t="n">
        <f aca="false">Sens!$E$701+Sens!$F$701</f>
        <v>37.9371064725838</v>
      </c>
      <c r="H701" s="38" t="n">
        <f aca="false">Sens!$H$700*tax</f>
        <v>25.9058829692078</v>
      </c>
      <c r="I701" s="38" t="n">
        <f aca="false">Sens!$I$700*tax</f>
        <v>32.8902370061667</v>
      </c>
      <c r="J701" s="38" t="n">
        <f aca="false">Sens!$J$700*tax</f>
        <v>40.0543442252389</v>
      </c>
      <c r="K701" s="38" t="n">
        <f aca="false">Sens!$K$700*tax</f>
        <v>45.9199583694365</v>
      </c>
      <c r="L701" s="38" t="n">
        <f aca="false">Sens!$L$700*tax</f>
        <v>51.3697764839123</v>
      </c>
      <c r="M701" s="38" t="n">
        <f aca="false">Sens!$M$700*tax</f>
        <v>56.0922948402505</v>
      </c>
      <c r="N701" s="38" t="n">
        <f aca="false">Q!$N$37</f>
        <v>7.231</v>
      </c>
      <c r="O701" s="38" t="n">
        <f aca="false">Q!$O$37</f>
        <v>11.856</v>
      </c>
    </row>
    <row r="702" customFormat="false" ht="15" hidden="false" customHeight="false" outlineLevel="0" collapsed="false">
      <c r="A702" s="3" t="s">
        <v>549</v>
      </c>
      <c r="B702" s="8" t="s">
        <v>86</v>
      </c>
      <c r="C702" s="38" t="n">
        <f aca="false">Q!$D$38</f>
        <v>59.248</v>
      </c>
      <c r="D702" s="38" t="n">
        <f aca="false">Q!$E$38</f>
        <v>77.67</v>
      </c>
      <c r="E702" s="38" t="n">
        <f aca="false">Q!$P$38</f>
        <v>92.902</v>
      </c>
      <c r="F702" s="38" t="n">
        <f aca="false">Sens!$F$700-Sens!$F$701</f>
        <v>48.4567653717532</v>
      </c>
      <c r="G702" s="38" t="n">
        <f aca="false">Sens!$E$702+Sens!$F$702</f>
        <v>141.358765371753</v>
      </c>
      <c r="H702" s="38" t="n">
        <f aca="false">Sens!$H$700-Sens!$H$701</f>
        <v>123.334855669704</v>
      </c>
      <c r="I702" s="38" t="n">
        <f aca="false">Sens!$I$700-Sens!$I$701</f>
        <v>156.586542096233</v>
      </c>
      <c r="J702" s="38" t="n">
        <f aca="false">Sens!$J$700-Sens!$J$701</f>
        <v>190.69401223793</v>
      </c>
      <c r="K702" s="38" t="n">
        <f aca="false">Sens!$K$700-Sens!$K$701</f>
        <v>218.619509884495</v>
      </c>
      <c r="L702" s="38" t="n">
        <f aca="false">Sens!$L$700-Sens!$L$701</f>
        <v>244.565451637337</v>
      </c>
      <c r="M702" s="38" t="n">
        <f aca="false">Sens!$M$700-Sens!$M$701</f>
        <v>267.048804957847</v>
      </c>
      <c r="N702" s="38" t="n">
        <f aca="false">Q!$N$38</f>
        <v>35.291</v>
      </c>
      <c r="O702" s="38" t="n">
        <f aca="false">Q!$O$38</f>
        <v>42.379</v>
      </c>
    </row>
    <row r="703" customFormat="false" ht="17.15" hidden="false" customHeight="false" outlineLevel="0" collapsed="false">
      <c r="A703" s="5" t="s">
        <v>552</v>
      </c>
      <c r="B703" s="5" t="s">
        <v>33</v>
      </c>
      <c r="C703" s="22" t="n">
        <f aca="false">Q!$D$41</f>
        <v>10.721</v>
      </c>
      <c r="D703" s="22" t="n">
        <f aca="false">Q!$E$41</f>
        <v>10.827</v>
      </c>
      <c r="E703" s="22" t="n">
        <f aca="false">(Q!$L$41+Q!$M$41)/2</f>
        <v>10.8885</v>
      </c>
      <c r="F703" s="22" t="n">
        <f aca="false">Sens!$G$703</f>
        <v>10.924806</v>
      </c>
      <c r="G703" s="22" t="n">
        <f aca="false">Q!$M$41*(1+sh_g*0.25)</f>
        <v>10.924806</v>
      </c>
      <c r="H703" s="22" t="n">
        <f aca="false">Sens!$G$703*(1+sh_g)</f>
        <v>11.012204448</v>
      </c>
      <c r="I703" s="22" t="n">
        <f aca="false">Sens!$H$703*(1+sh_g)</f>
        <v>11.100302083584</v>
      </c>
      <c r="J703" s="22" t="n">
        <f aca="false">Sens!$I$703*(1+sh_g)</f>
        <v>11.1891045002527</v>
      </c>
      <c r="K703" s="22" t="n">
        <f aca="false">Sens!$J$703*(1+sh_g)</f>
        <v>11.2786173362547</v>
      </c>
      <c r="L703" s="22" t="n">
        <f aca="false">Sens!$K$703*(1+sh_g)</f>
        <v>11.3688462749447</v>
      </c>
      <c r="M703" s="22" t="n">
        <f aca="false">Sens!$L$703*(1+sh_g)</f>
        <v>11.4597970451443</v>
      </c>
      <c r="P703" s="5" t="s">
        <v>755</v>
      </c>
    </row>
    <row r="704" customFormat="false" ht="17.15" hidden="false" customHeight="false" outlineLevel="0" collapsed="false">
      <c r="A704" s="5" t="s">
        <v>756</v>
      </c>
      <c r="B704" s="0" t="s">
        <v>86</v>
      </c>
      <c r="C704" s="38" t="n">
        <f aca="false">Sens!$C$702+Sens!$C$678*(1-tax)</f>
        <v>59.248</v>
      </c>
      <c r="D704" s="38" t="n">
        <f aca="false">Sens!$D$702+Sens!$D$678*(1-tax)</f>
        <v>77.67</v>
      </c>
      <c r="E704" s="38" t="n">
        <f aca="false">Sens!$E$702+Sens!$E$678*(1-tax)</f>
        <v>92.902</v>
      </c>
      <c r="F704" s="38" t="n">
        <f aca="false">Sens!$F$702+Sens!$F$678*(1-tax)</f>
        <v>51.5733603314019</v>
      </c>
      <c r="G704" s="38" t="n">
        <f aca="false">Sens!$G$702+Sens!$G$678*(1-tax)</f>
        <v>144.475360331402</v>
      </c>
      <c r="H704" s="38" t="n">
        <f aca="false">Sens!$H$702+Sens!$H$678*(1-tax)</f>
        <v>135.866251625049</v>
      </c>
      <c r="I704" s="38" t="n">
        <f aca="false">Sens!$I$702+Sens!$I$678*(1-tax)</f>
        <v>177.727807171172</v>
      </c>
      <c r="J704" s="38" t="n">
        <f aca="false">Sens!$J$702+Sens!$J$678*(1-tax)</f>
        <v>220.483449182214</v>
      </c>
      <c r="K704" s="38" t="n">
        <f aca="false">Sens!$K$702+Sens!$K$678*(1-tax)</f>
        <v>255.786815581153</v>
      </c>
      <c r="L704" s="38" t="n">
        <f aca="false">Sens!$L$702+Sens!$L$678*(1-tax)</f>
        <v>286.581528977892</v>
      </c>
      <c r="M704" s="38" t="n">
        <f aca="false">Sens!$M$702+Sens!$M$678*(1-tax)</f>
        <v>311.378327148688</v>
      </c>
      <c r="N704" s="38" t="n">
        <f aca="false">Sens!$N$702+Sens!$N$678*(1-tax)</f>
        <v>35.291</v>
      </c>
      <c r="O704" s="38" t="n">
        <f aca="false">Sens!$O$702+Sens!$O$678*(1-tax)</f>
        <v>42.379</v>
      </c>
    </row>
    <row r="705" customFormat="false" ht="17.15" hidden="false" customHeight="false" outlineLevel="0" collapsed="false">
      <c r="A705" s="43" t="s">
        <v>757</v>
      </c>
      <c r="B705" s="14" t="s">
        <v>27</v>
      </c>
      <c r="C705" s="44" t="n">
        <f aca="false">Sens!$C$704/Sens!$C$703</f>
        <v>5.52635015390355</v>
      </c>
      <c r="D705" s="44" t="n">
        <f aca="false">Sens!$D$704/Sens!$D$703</f>
        <v>7.1737323358271</v>
      </c>
      <c r="E705" s="44" t="n">
        <f aca="false">Sens!$E$704/Sens!$E$703</f>
        <v>8.53212104513937</v>
      </c>
      <c r="F705" s="14"/>
      <c r="G705" s="44" t="n">
        <f aca="false">Sens!$G$704/Sens!$G$703</f>
        <v>13.2245241088402</v>
      </c>
      <c r="H705" s="44" t="n">
        <f aca="false">Sens!$H$704/Sens!$H$703</f>
        <v>12.337788702218</v>
      </c>
      <c r="I705" s="44" t="n">
        <f aca="false">Sens!$I$704/Sens!$I$703</f>
        <v>16.011078422272</v>
      </c>
      <c r="J705" s="44" t="n">
        <f aca="false">Sens!$J$704/Sens!$J$703</f>
        <v>19.7051917047727</v>
      </c>
      <c r="K705" s="44" t="n">
        <f aca="false">Sens!$K$704/Sens!$K$703</f>
        <v>22.6789160368919</v>
      </c>
      <c r="L705" s="44" t="n">
        <f aca="false">Sens!$L$704/Sens!$L$703</f>
        <v>25.2076175582984</v>
      </c>
      <c r="M705" s="44" t="n">
        <f aca="false">Sens!$M$704/Sens!$M$703</f>
        <v>27.1713648960846</v>
      </c>
      <c r="N705" s="14"/>
      <c r="O705" s="14"/>
    </row>
    <row r="706" customFormat="false" ht="17.15" hidden="false" customHeight="false" outlineLevel="0" collapsed="false">
      <c r="A706" s="0" t="s">
        <v>758</v>
      </c>
      <c r="B706" s="0" t="s">
        <v>27</v>
      </c>
      <c r="C706" s="30" t="n">
        <f aca="false">Sens!$C$702/Sens!$C$703</f>
        <v>5.52635015390355</v>
      </c>
      <c r="D706" s="30" t="n">
        <f aca="false">Sens!$D$702/Sens!$D$703</f>
        <v>7.1737323358271</v>
      </c>
      <c r="E706" s="30" t="n">
        <f aca="false">Sens!$E$702/Sens!$E$703</f>
        <v>8.53212104513937</v>
      </c>
      <c r="G706" s="30" t="n">
        <f aca="false">Sens!$G$702/Sens!$G$703</f>
        <v>12.9392471931999</v>
      </c>
      <c r="H706" s="30" t="n">
        <f aca="false">Sens!$H$702/Sens!$H$703</f>
        <v>11.1998334440752</v>
      </c>
      <c r="I706" s="30" t="n">
        <f aca="false">Sens!$I$702/Sens!$I$703</f>
        <v>14.1065117793331</v>
      </c>
      <c r="J706" s="30" t="n">
        <f aca="false">Sens!$J$702/Sens!$J$703</f>
        <v>17.0428305709026</v>
      </c>
      <c r="K706" s="30" t="n">
        <f aca="false">Sens!$K$702/Sens!$K$703</f>
        <v>19.38353819149</v>
      </c>
      <c r="L706" s="30" t="n">
        <f aca="false">Sens!$L$702/Sens!$L$703</f>
        <v>21.5118971373835</v>
      </c>
      <c r="M706" s="30" t="n">
        <f aca="false">Sens!$M$702/Sens!$M$703</f>
        <v>23.3031007360641</v>
      </c>
    </row>
    <row r="707" customFormat="false" ht="17.15" hidden="false" customHeight="false" outlineLevel="0" collapsed="false">
      <c r="A707" s="0" t="s">
        <v>759</v>
      </c>
      <c r="B707" s="0" t="s">
        <v>27</v>
      </c>
      <c r="C707" s="30" t="n">
        <f aca="false">(Sens!$C$702-Sens!$C$699*(1-tax))/Sens!$C$703</f>
        <v>5.33926775917445</v>
      </c>
      <c r="D707" s="30" t="n">
        <f aca="false">(Sens!$D$702-Sens!$D$699*(1-tax))/Sens!$D$703</f>
        <v>5.67691812755503</v>
      </c>
      <c r="E707" s="30" t="n">
        <f aca="false">(Sens!$E$702-Sens!$E$699*(1-tax))/Sens!$E$703</f>
        <v>3.10602057006846</v>
      </c>
      <c r="G707" s="30" t="n">
        <f aca="false">(Sens!$G$702-Sens!$G$699*(1-tax))/Sens!$G$703</f>
        <v>7.5311790753029</v>
      </c>
      <c r="H707" s="30" t="n">
        <f aca="false">(Sens!$H$702-Sens!$H$699*(1-tax))/Sens!$H$703</f>
        <v>11.1998334440752</v>
      </c>
      <c r="I707" s="30" t="n">
        <f aca="false">(Sens!$I$702-Sens!$I$699*(1-tax))/Sens!$I$703</f>
        <v>14.1065117793331</v>
      </c>
      <c r="J707" s="30" t="n">
        <f aca="false">(Sens!$J$702-Sens!$J$699*(1-tax))/Sens!$J$703</f>
        <v>17.0428305709026</v>
      </c>
      <c r="K707" s="30" t="n">
        <f aca="false">(Sens!$K$702-Sens!$K$699*(1-tax))/Sens!$K$703</f>
        <v>19.38353819149</v>
      </c>
      <c r="L707" s="30" t="n">
        <f aca="false">(Sens!$L$702-Sens!$L$699*(1-tax))/Sens!$L$703</f>
        <v>21.5118971373835</v>
      </c>
      <c r="M707" s="30" t="n">
        <f aca="false">(Sens!$M$702-Sens!$M$699*(1-tax))/Sens!$M$703</f>
        <v>23.3031007360641</v>
      </c>
      <c r="P707" s="5" t="s">
        <v>760</v>
      </c>
    </row>
    <row r="708" customFormat="false" ht="17.15" hidden="false" customHeight="false" outlineLevel="0" collapsed="false">
      <c r="A708" s="0" t="s">
        <v>761</v>
      </c>
      <c r="B708" s="0" t="s">
        <v>52</v>
      </c>
      <c r="H708" s="13" t="n">
        <f aca="false">Sens!$H$705/Sens!$G$705-1</f>
        <v>-0.0670523490542421</v>
      </c>
      <c r="I708" s="13" t="n">
        <f aca="false">Sens!$I$705/Sens!$H$705-1</f>
        <v>0.297726748991382</v>
      </c>
      <c r="J708" s="13" t="n">
        <f aca="false">Sens!$J$705/Sens!$I$705-1</f>
        <v>0.230722327695434</v>
      </c>
      <c r="K708" s="13" t="n">
        <f aca="false">Sens!$K$705/Sens!$J$705-1</f>
        <v>0.150910702959513</v>
      </c>
      <c r="L708" s="13" t="n">
        <f aca="false">Sens!$L$705/Sens!$K$705-1</f>
        <v>0.11150010508849</v>
      </c>
      <c r="M708" s="13" t="n">
        <f aca="false">Sens!$M$705/Sens!$L$705-1</f>
        <v>0.0779029328434011</v>
      </c>
    </row>
    <row r="711" customFormat="false" ht="19.4" hidden="false" customHeight="false" outlineLevel="0" collapsed="false">
      <c r="A711" s="31" t="s">
        <v>1148</v>
      </c>
    </row>
    <row r="712" customFormat="false" ht="17.15" hidden="false" customHeight="false" outlineLevel="0" collapsed="false">
      <c r="A712" s="6" t="s">
        <v>16</v>
      </c>
      <c r="B712" s="6" t="s">
        <v>17</v>
      </c>
      <c r="C712" s="20" t="s">
        <v>497</v>
      </c>
      <c r="D712" s="20" t="s">
        <v>498</v>
      </c>
      <c r="E712" s="20" t="s">
        <v>580</v>
      </c>
      <c r="F712" s="20" t="s">
        <v>581</v>
      </c>
      <c r="G712" s="20" t="s">
        <v>582</v>
      </c>
      <c r="H712" s="20" t="s">
        <v>583</v>
      </c>
      <c r="I712" s="20" t="s">
        <v>584</v>
      </c>
      <c r="J712" s="20" t="s">
        <v>585</v>
      </c>
      <c r="K712" s="20" t="s">
        <v>586</v>
      </c>
      <c r="L712" s="20" t="s">
        <v>587</v>
      </c>
      <c r="M712" s="20" t="s">
        <v>588</v>
      </c>
      <c r="N712" s="20" t="s">
        <v>589</v>
      </c>
      <c r="O712" s="20" t="s">
        <v>590</v>
      </c>
      <c r="P712" s="6" t="s">
        <v>23</v>
      </c>
      <c r="R712" s="20" t="n">
        <v>2023</v>
      </c>
      <c r="S712" s="20" t="n">
        <v>2024</v>
      </c>
      <c r="T712" s="20" t="n">
        <v>2025</v>
      </c>
      <c r="U712" s="20" t="n">
        <v>2026</v>
      </c>
      <c r="V712" s="20" t="n">
        <v>2027</v>
      </c>
      <c r="W712" s="20" t="n">
        <v>2028</v>
      </c>
      <c r="X712" s="20" t="n">
        <v>2029</v>
      </c>
      <c r="Y712" s="20" t="n">
        <v>2030</v>
      </c>
      <c r="Z712" s="20" t="n">
        <v>2031</v>
      </c>
      <c r="AA712" s="20" t="n">
        <v>2032</v>
      </c>
    </row>
    <row r="713" customFormat="false" ht="15" hidden="false" customHeight="false" outlineLevel="0" collapsed="false">
      <c r="A713" s="5" t="s">
        <v>549</v>
      </c>
      <c r="B713" s="0" t="s">
        <v>86</v>
      </c>
      <c r="C713" s="38" t="n">
        <f aca="false">Sens!$C$702</f>
        <v>59.248</v>
      </c>
      <c r="D713" s="38" t="n">
        <f aca="false">Sens!$D$702</f>
        <v>77.67</v>
      </c>
      <c r="E713" s="38" t="n">
        <f aca="false">Sens!$E$702</f>
        <v>92.902</v>
      </c>
      <c r="F713" s="38" t="n">
        <f aca="false">Sens!$F$702</f>
        <v>48.4567653717532</v>
      </c>
      <c r="G713" s="38" t="n">
        <f aca="false">Sens!$G$702</f>
        <v>141.358765371753</v>
      </c>
      <c r="H713" s="38" t="n">
        <f aca="false">Sens!$H$702</f>
        <v>123.334855669704</v>
      </c>
      <c r="I713" s="38" t="n">
        <f aca="false">Sens!$I$702</f>
        <v>156.586542096233</v>
      </c>
      <c r="J713" s="38" t="n">
        <f aca="false">Sens!$J$702</f>
        <v>190.69401223793</v>
      </c>
      <c r="K713" s="38" t="n">
        <f aca="false">Sens!$K$702</f>
        <v>218.619509884495</v>
      </c>
      <c r="L713" s="38" t="n">
        <f aca="false">Sens!$L$702</f>
        <v>244.565451637337</v>
      </c>
      <c r="M713" s="38" t="n">
        <f aca="false">Sens!$M$702</f>
        <v>267.048804957847</v>
      </c>
    </row>
    <row r="714" customFormat="false" ht="17.15" hidden="false" customHeight="false" outlineLevel="0" collapsed="false">
      <c r="A714" s="5" t="s">
        <v>784</v>
      </c>
      <c r="B714" s="0" t="s">
        <v>86</v>
      </c>
      <c r="C714" s="38" t="n">
        <f aca="false">Sens!$C$690</f>
        <v>32.067</v>
      </c>
      <c r="D714" s="38" t="n">
        <f aca="false">Sens!$D$690</f>
        <v>41.86</v>
      </c>
      <c r="E714" s="38" t="n">
        <f aca="false">Sens!$E$690</f>
        <v>26.703</v>
      </c>
      <c r="F714" s="38" t="n">
        <f aca="false">Sens!$F$690</f>
        <v>28.2071421626285</v>
      </c>
      <c r="G714" s="38" t="n">
        <f aca="false">Sens!$G$690</f>
        <v>54.9101421626285</v>
      </c>
      <c r="H714" s="38" t="n">
        <f aca="false">Sens!$H$690</f>
        <v>78.1799395827871</v>
      </c>
      <c r="I714" s="38" t="n">
        <f aca="false">Sens!$I$690</f>
        <v>111.171125554384</v>
      </c>
      <c r="J714" s="38" t="n">
        <f aca="false">Sens!$J$690</f>
        <v>144.884406220971</v>
      </c>
      <c r="K714" s="38" t="n">
        <f aca="false">Sens!$K$690</f>
        <v>178.806419437999</v>
      </c>
      <c r="L714" s="38" t="n">
        <f aca="false">Sens!$L$690</f>
        <v>204.341339029663</v>
      </c>
      <c r="M714" s="38" t="n">
        <f aca="false">Sens!$M$690</f>
        <v>223.130577995387</v>
      </c>
    </row>
    <row r="715" customFormat="false" ht="15" hidden="false" customHeight="false" outlineLevel="0" collapsed="false">
      <c r="A715" s="5" t="s">
        <v>785</v>
      </c>
      <c r="B715" s="0" t="s">
        <v>86</v>
      </c>
      <c r="C715" s="38" t="n">
        <f aca="false">Q!$D$48</f>
        <v>22.011</v>
      </c>
      <c r="D715" s="38" t="n">
        <f aca="false">Q!$E$48</f>
        <v>19.467</v>
      </c>
      <c r="E715" s="38" t="n">
        <f aca="false">Q!$P$48</f>
        <v>10.07</v>
      </c>
      <c r="F715" s="38" t="n">
        <f aca="false">sbc_r*Sens!$F$632</f>
        <v>10.9155235490988</v>
      </c>
      <c r="G715" s="38" t="n">
        <f aca="false">Sens!$E$715+Sens!$F$715</f>
        <v>20.9855235490988</v>
      </c>
      <c r="H715" s="38" t="n">
        <f aca="false">sbc_r*Sens!$H$632</f>
        <v>23.9914341424489</v>
      </c>
      <c r="I715" s="38" t="n">
        <f aca="false">sbc_r*Sens!$I$632</f>
        <v>27.687985828586</v>
      </c>
      <c r="J715" s="38" t="n">
        <f aca="false">sbc_r*Sens!$J$632</f>
        <v>31.2520997770876</v>
      </c>
      <c r="K715" s="38" t="n">
        <f aca="false">sbc_r*Sens!$K$632</f>
        <v>34.363288557517</v>
      </c>
      <c r="L715" s="38" t="n">
        <f aca="false">sbc_r*Sens!$L$632</f>
        <v>37.1387133522988</v>
      </c>
      <c r="M715" s="38" t="n">
        <f aca="false">sbc_r*Sens!$M$632</f>
        <v>39.5869396724228</v>
      </c>
    </row>
    <row r="716" customFormat="false" ht="17.15" hidden="false" customHeight="false" outlineLevel="0" collapsed="false">
      <c r="A716" s="5" t="s">
        <v>786</v>
      </c>
      <c r="B716" s="0" t="s">
        <v>86</v>
      </c>
      <c r="C716" s="38" t="n">
        <f aca="false">Q!$D$44-Sens!$C$713-Sens!$C$714-Sens!$C$715</f>
        <v>2.551</v>
      </c>
      <c r="D716" s="38" t="n">
        <f aca="false">Q!$E$44-Sens!$D$713-Sens!$D$714-Sens!$D$715</f>
        <v>0.51700000000001</v>
      </c>
      <c r="E716" s="38" t="n">
        <f aca="false">Q!$P$44-Sens!$E$713-Sens!$E$714-Sens!$E$715</f>
        <v>-58.256</v>
      </c>
      <c r="F716" s="38" t="n">
        <f aca="false">oth_r*Sens!$F$632</f>
        <v>5.25385160937302</v>
      </c>
      <c r="G716" s="38" t="n">
        <f aca="false">Sens!$E$716+Sens!$F$716</f>
        <v>-53.002148390627</v>
      </c>
      <c r="H716" s="38" t="n">
        <f aca="false">oth_r*Sens!$H$632</f>
        <v>11.5475390908647</v>
      </c>
      <c r="I716" s="38" t="n">
        <f aca="false">oth_r*Sens!$I$632</f>
        <v>13.3267605764842</v>
      </c>
      <c r="J716" s="38" t="n">
        <f aca="false">oth_r*Sens!$J$632</f>
        <v>15.0422372295367</v>
      </c>
      <c r="K716" s="38" t="n">
        <f aca="false">oth_r*Sens!$K$632</f>
        <v>16.53971228033</v>
      </c>
      <c r="L716" s="38" t="n">
        <f aca="false">oth_r*Sens!$L$632</f>
        <v>17.8755776613325</v>
      </c>
      <c r="M716" s="38" t="n">
        <f aca="false">oth_r*Sens!$M$632</f>
        <v>19.0539561178706</v>
      </c>
      <c r="P716" s="8" t="s">
        <v>787</v>
      </c>
    </row>
    <row r="717" customFormat="false" ht="15" hidden="false" customHeight="false" outlineLevel="0" collapsed="false">
      <c r="A717" s="3" t="s">
        <v>555</v>
      </c>
      <c r="B717" s="8" t="s">
        <v>86</v>
      </c>
      <c r="C717" s="38" t="n">
        <f aca="false">Q!$D$44</f>
        <v>115.877</v>
      </c>
      <c r="D717" s="38" t="n">
        <f aca="false">Q!$E$44</f>
        <v>139.514</v>
      </c>
      <c r="E717" s="38" t="n">
        <f aca="false">Q!$P$44</f>
        <v>71.419</v>
      </c>
      <c r="F717" s="38" t="n">
        <f aca="false">Sens!$F$713+Sens!$F$714+Sens!$F$715+Sens!$F$716</f>
        <v>92.8332826928535</v>
      </c>
      <c r="G717" s="38" t="n">
        <f aca="false">Sens!$E$717+Sens!$F$717</f>
        <v>164.252282692854</v>
      </c>
      <c r="H717" s="38" t="n">
        <f aca="false">Sens!$H$713+Sens!$H$714+Sens!$H$715+Sens!$H$716</f>
        <v>237.053768485805</v>
      </c>
      <c r="I717" s="38" t="n">
        <f aca="false">Sens!$I$713+Sens!$I$714+Sens!$I$715+Sens!$I$716</f>
        <v>308.772414055688</v>
      </c>
      <c r="J717" s="38" t="n">
        <f aca="false">Sens!$J$713+Sens!$J$714+Sens!$J$715+Sens!$J$716</f>
        <v>381.872755465526</v>
      </c>
      <c r="K717" s="38" t="n">
        <f aca="false">Sens!$K$713+Sens!$K$714+Sens!$K$715+Sens!$K$716</f>
        <v>448.328930160341</v>
      </c>
      <c r="L717" s="38" t="n">
        <f aca="false">Sens!$L$713+Sens!$L$714+Sens!$L$715+Sens!$L$716</f>
        <v>503.92108168063</v>
      </c>
      <c r="M717" s="38" t="n">
        <f aca="false">Sens!$M$713+Sens!$M$714+Sens!$M$715+Sens!$M$716</f>
        <v>548.820278743527</v>
      </c>
    </row>
    <row r="718" customFormat="false" ht="17.15" hidden="false" customHeight="false" outlineLevel="0" collapsed="false">
      <c r="A718" s="5" t="s">
        <v>788</v>
      </c>
      <c r="B718" s="0" t="s">
        <v>86</v>
      </c>
      <c r="C718" s="38" t="n">
        <f aca="false">Sens!$C$599</f>
        <v>25.2781053077374</v>
      </c>
      <c r="D718" s="38" t="n">
        <f aca="false">Sens!$D$599</f>
        <v>69.5686316310026</v>
      </c>
      <c r="E718" s="38" t="n">
        <f aca="false">Sens!$E$599</f>
        <v>64.1899206485108</v>
      </c>
      <c r="F718" s="38" t="n">
        <f aca="false">Sens!$F$599</f>
        <v>96.2481299895</v>
      </c>
      <c r="G718" s="38" t="n">
        <f aca="false">Sens!$G$599</f>
        <v>160.438050638011</v>
      </c>
      <c r="H718" s="38" t="n">
        <f aca="false">Sens!$H$599</f>
        <v>198.57136494475</v>
      </c>
      <c r="I718" s="38" t="n">
        <f aca="false">Sens!$I$599</f>
        <v>204.6464699105</v>
      </c>
      <c r="J718" s="38" t="n">
        <f aca="false">Sens!$J$599</f>
        <v>209.8832381105</v>
      </c>
      <c r="K718" s="38" t="n">
        <f aca="false">Sens!$K$599</f>
        <v>155.238385275201</v>
      </c>
      <c r="L718" s="38" t="n">
        <f aca="false">Sens!$L$599</f>
        <v>132.014141639902</v>
      </c>
      <c r="M718" s="38" t="n">
        <f aca="false">Sens!$M$599</f>
        <v>132.230981659852</v>
      </c>
    </row>
    <row r="719" customFormat="false" ht="17.15" hidden="false" customHeight="false" outlineLevel="0" collapsed="false">
      <c r="A719" s="5" t="s">
        <v>789</v>
      </c>
      <c r="B719" s="0" t="s">
        <v>86</v>
      </c>
      <c r="C719" s="38" t="n">
        <f aca="false">cx_awso*Sens!$C$630</f>
        <v>21.0469989286053</v>
      </c>
      <c r="D719" s="38" t="n">
        <f aca="false">cx_awso*Sens!$D$630</f>
        <v>24.0042459822698</v>
      </c>
      <c r="E719" s="38" t="n">
        <f aca="false">cx_awso*Sens!$E$630</f>
        <v>14.261729404886</v>
      </c>
      <c r="F719" s="38" t="n">
        <f aca="false">cx_awso*Sens!$F$630</f>
        <v>14.3538599588493</v>
      </c>
      <c r="G719" s="38" t="n">
        <f aca="false">Sens!$E$719+Sens!$F$719</f>
        <v>28.6155893637353</v>
      </c>
      <c r="H719" s="38" t="n">
        <f aca="false">cx_awso*Sens!$H$630</f>
        <v>32.2034154158406</v>
      </c>
      <c r="I719" s="38" t="n">
        <f aca="false">cx_awso*Sens!$I$630</f>
        <v>35.7539519042915</v>
      </c>
      <c r="J719" s="38" t="n">
        <f aca="false">cx_awso*Sens!$J$630</f>
        <v>39.1551076091815</v>
      </c>
      <c r="K719" s="38" t="n">
        <f aca="false">cx_awso*Sens!$K$630</f>
        <v>42.287516217916</v>
      </c>
      <c r="L719" s="38" t="n">
        <f aca="false">cx_awso*Sens!$L$630</f>
        <v>45.6705175153492</v>
      </c>
      <c r="M719" s="38" t="n">
        <f aca="false">cx_awso*Sens!$M$630</f>
        <v>49.3241589165772</v>
      </c>
    </row>
    <row r="720" customFormat="false" ht="17.15" hidden="false" customHeight="false" outlineLevel="0" collapsed="false">
      <c r="A720" s="5" t="s">
        <v>790</v>
      </c>
      <c r="B720" s="0" t="s">
        <v>86</v>
      </c>
      <c r="C720" s="38" t="n">
        <f aca="false">Q!$D$46-Sens!$C$718-Sens!$C$719</f>
        <v>31.3328957636573</v>
      </c>
      <c r="D720" s="38" t="n">
        <f aca="false">Q!$E$46-Sens!$D$718-Sens!$D$719</f>
        <v>34.7471223867276</v>
      </c>
      <c r="E720" s="38" t="n">
        <f aca="false">Q!$P$46-Sens!$E$718-Sens!$E$719</f>
        <v>17.8583499466032</v>
      </c>
      <c r="F720" s="38" t="n">
        <f aca="false">cx_rt*Sens!$F$562</f>
        <v>20.6195895799373</v>
      </c>
      <c r="G720" s="38" t="n">
        <f aca="false">Sens!$E$720+Sens!$F$720</f>
        <v>38.4779395265405</v>
      </c>
      <c r="H720" s="38" t="n">
        <f aca="false">cx_rt*Sens!$H$562</f>
        <v>42.5978994743075</v>
      </c>
      <c r="I720" s="38" t="n">
        <f aca="false">cx_rt*Sens!$I$562</f>
        <v>46.5813904136335</v>
      </c>
      <c r="J720" s="38" t="n">
        <f aca="false">cx_rt*Sens!$J$562</f>
        <v>50.2781676586844</v>
      </c>
      <c r="K720" s="38" t="n">
        <f aca="false">cx_rt*Sens!$K$562</f>
        <v>53.5312440191755</v>
      </c>
      <c r="L720" s="38" t="n">
        <f aca="false">cx_rt*Sens!$L$562</f>
        <v>57.0116717051447</v>
      </c>
      <c r="M720" s="38" t="n">
        <f aca="false">cx_rt*Sens!$M$562</f>
        <v>60.7365554669226</v>
      </c>
    </row>
    <row r="721" customFormat="false" ht="15" hidden="false" customHeight="false" outlineLevel="0" collapsed="false">
      <c r="A721" s="3" t="s">
        <v>791</v>
      </c>
      <c r="B721" s="8" t="s">
        <v>86</v>
      </c>
      <c r="C721" s="38" t="n">
        <f aca="false">Q!$D$46</f>
        <v>77.658</v>
      </c>
      <c r="D721" s="38" t="n">
        <f aca="false">Q!$E$46</f>
        <v>128.32</v>
      </c>
      <c r="E721" s="38" t="n">
        <f aca="false">Q!$P$46</f>
        <v>96.31</v>
      </c>
      <c r="F721" s="38" t="n">
        <f aca="false">Sens!$F$718+Sens!$F$719+Sens!$F$720</f>
        <v>131.221579528287</v>
      </c>
      <c r="G721" s="38" t="n">
        <f aca="false">Sens!$E$721+Sens!$F$721</f>
        <v>227.531579528287</v>
      </c>
      <c r="H721" s="38" t="n">
        <f aca="false">Sens!$H$718+Sens!$H$719+Sens!$H$720</f>
        <v>273.372679834898</v>
      </c>
      <c r="I721" s="38" t="n">
        <f aca="false">Sens!$I$718+Sens!$I$719+Sens!$I$720</f>
        <v>286.981812228425</v>
      </c>
      <c r="J721" s="38" t="n">
        <f aca="false">Sens!$J$718+Sens!$J$719+Sens!$J$720</f>
        <v>299.316513378366</v>
      </c>
      <c r="K721" s="38" t="n">
        <f aca="false">Sens!$K$718+Sens!$K$719+Sens!$K$720</f>
        <v>251.057145512292</v>
      </c>
      <c r="L721" s="38" t="n">
        <f aca="false">Sens!$L$718+Sens!$L$719+Sens!$L$720</f>
        <v>234.696330860396</v>
      </c>
      <c r="M721" s="38" t="n">
        <f aca="false">Sens!$M$718+Sens!$M$719+Sens!$M$720</f>
        <v>242.291696043352</v>
      </c>
    </row>
    <row r="722" customFormat="false" ht="17.15" hidden="false" customHeight="false" outlineLevel="0" collapsed="false">
      <c r="A722" s="5" t="s">
        <v>563</v>
      </c>
      <c r="B722" s="0" t="s">
        <v>86</v>
      </c>
      <c r="C722" s="38" t="n">
        <f aca="false">Q!$D$50</f>
        <v>2.043</v>
      </c>
      <c r="D722" s="38" t="n">
        <f aca="false">Q!$E$50</f>
        <v>1.557</v>
      </c>
      <c r="E722" s="38" t="n">
        <f aca="false">lease_pr/2</f>
        <v>0.8</v>
      </c>
      <c r="F722" s="38" t="n">
        <f aca="false">lease_pr/2</f>
        <v>0.8</v>
      </c>
      <c r="G722" s="38" t="n">
        <f aca="false">Sens!$E$722+Sens!$F$722</f>
        <v>1.6</v>
      </c>
      <c r="H722" s="38" t="n">
        <f aca="false">lease_pr</f>
        <v>1.6</v>
      </c>
      <c r="I722" s="38" t="n">
        <f aca="false">lease_pr</f>
        <v>1.6</v>
      </c>
      <c r="J722" s="38" t="n">
        <f aca="false">lease_pr</f>
        <v>1.6</v>
      </c>
      <c r="K722" s="38" t="n">
        <f aca="false">lease_pr</f>
        <v>1.6</v>
      </c>
      <c r="L722" s="38" t="n">
        <f aca="false">lease_pr</f>
        <v>1.6</v>
      </c>
      <c r="M722" s="38" t="n">
        <f aca="false">lease_pr</f>
        <v>1.6</v>
      </c>
      <c r="P722" s="8" t="s">
        <v>792</v>
      </c>
    </row>
    <row r="723" customFormat="false" ht="15" hidden="false" customHeight="false" outlineLevel="0" collapsed="false">
      <c r="A723" s="47" t="s">
        <v>793</v>
      </c>
      <c r="B723" s="14" t="s">
        <v>86</v>
      </c>
      <c r="C723" s="48" t="n">
        <f aca="false">Sens!$C$717-Sens!$C$721-Sens!$C$722</f>
        <v>36.176</v>
      </c>
      <c r="D723" s="48" t="n">
        <f aca="false">Sens!$D$717-Sens!$D$721-Sens!$D$722</f>
        <v>9.63700000000002</v>
      </c>
      <c r="E723" s="48" t="n">
        <f aca="false">Sens!$E$717-Sens!$E$721-Sens!$E$722</f>
        <v>-25.691</v>
      </c>
      <c r="F723" s="48" t="n">
        <f aca="false">Sens!$F$717-Sens!$F$721-Sens!$F$722</f>
        <v>-39.1882968354331</v>
      </c>
      <c r="G723" s="48" t="n">
        <f aca="false">Sens!$G$717-Sens!$G$721-Sens!$G$722</f>
        <v>-64.8792968354331</v>
      </c>
      <c r="H723" s="48" t="n">
        <f aca="false">Sens!$H$717-Sens!$H$721-Sens!$H$722</f>
        <v>-37.9189113490932</v>
      </c>
      <c r="I723" s="48" t="n">
        <f aca="false">Sens!$I$717-Sens!$I$721-Sens!$I$722</f>
        <v>20.1906018272625</v>
      </c>
      <c r="J723" s="48" t="n">
        <f aca="false">Sens!$J$717-Sens!$J$721-Sens!$J$722</f>
        <v>80.9562420871596</v>
      </c>
      <c r="K723" s="48" t="n">
        <f aca="false">Sens!$K$717-Sens!$K$721-Sens!$K$722</f>
        <v>195.671784648049</v>
      </c>
      <c r="L723" s="48" t="n">
        <f aca="false">Sens!$L$717-Sens!$L$721-Sens!$L$722</f>
        <v>267.624750820235</v>
      </c>
      <c r="M723" s="48" t="n">
        <f aca="false">Sens!$M$717-Sens!$M$721-Sens!$M$722</f>
        <v>304.928582700175</v>
      </c>
      <c r="N723" s="14"/>
      <c r="O723" s="14"/>
    </row>
    <row r="724" customFormat="false" ht="17.15" hidden="false" customHeight="false" outlineLevel="0" collapsed="false">
      <c r="A724" s="5" t="s">
        <v>794</v>
      </c>
      <c r="B724" s="0" t="s">
        <v>86</v>
      </c>
      <c r="C724" s="38" t="n">
        <f aca="false">dps*Sens!$C$703</f>
        <v>0</v>
      </c>
      <c r="D724" s="38" t="n">
        <f aca="false">dps*Sens!$D$703</f>
        <v>0</v>
      </c>
      <c r="E724" s="38" t="n">
        <f aca="false">dps*Sens!$E$703</f>
        <v>0</v>
      </c>
      <c r="F724" s="38" t="n">
        <f aca="false">0</f>
        <v>0</v>
      </c>
      <c r="G724" s="38" t="n">
        <f aca="false">dps*Sens!$G$703</f>
        <v>0</v>
      </c>
      <c r="H724" s="38" t="n">
        <f aca="false">dps*Sens!$H$703</f>
        <v>0</v>
      </c>
      <c r="I724" s="38" t="n">
        <f aca="false">dps*Sens!$I$703</f>
        <v>0</v>
      </c>
      <c r="J724" s="38" t="n">
        <f aca="false">dps*Sens!$J$703</f>
        <v>0</v>
      </c>
      <c r="K724" s="38" t="n">
        <f aca="false">dps*Sens!$K$703</f>
        <v>0</v>
      </c>
      <c r="L724" s="38" t="n">
        <f aca="false">dps*Sens!$L$703</f>
        <v>0</v>
      </c>
      <c r="M724" s="38" t="n">
        <f aca="false">dps*Sens!$M$703</f>
        <v>0</v>
      </c>
      <c r="P724" s="8" t="s">
        <v>795</v>
      </c>
    </row>
    <row r="725" customFormat="false" ht="17.15" hidden="false" customHeight="false" outlineLevel="0" collapsed="false">
      <c r="A725" s="5" t="s">
        <v>796</v>
      </c>
      <c r="B725" s="0" t="s">
        <v>86</v>
      </c>
      <c r="C725" s="38" t="n">
        <f aca="false">0</f>
        <v>0</v>
      </c>
      <c r="D725" s="38" t="n">
        <f aca="false">0</f>
        <v>0</v>
      </c>
      <c r="E725" s="38" t="n">
        <f aca="false">0</f>
        <v>0</v>
      </c>
      <c r="F725" s="38" t="n">
        <f aca="false">0</f>
        <v>0</v>
      </c>
      <c r="G725" s="38" t="n">
        <f aca="false">0</f>
        <v>0</v>
      </c>
      <c r="H725" s="38" t="n">
        <f aca="false">0</f>
        <v>0</v>
      </c>
      <c r="I725" s="38" t="n">
        <f aca="false">0</f>
        <v>0</v>
      </c>
      <c r="J725" s="38" t="n">
        <f aca="false">0</f>
        <v>0</v>
      </c>
      <c r="K725" s="38" t="n">
        <f aca="false">0</f>
        <v>0</v>
      </c>
      <c r="L725" s="38" t="n">
        <f aca="false">0</f>
        <v>0</v>
      </c>
      <c r="M725" s="38" t="n">
        <f aca="false">0</f>
        <v>0</v>
      </c>
      <c r="P725" s="8" t="s">
        <v>797</v>
      </c>
    </row>
    <row r="726" customFormat="false" ht="15" hidden="false" customHeight="false" outlineLevel="0" collapsed="false">
      <c r="A726" s="3" t="s">
        <v>798</v>
      </c>
      <c r="B726" s="8" t="s">
        <v>86</v>
      </c>
      <c r="C726" s="38" t="n">
        <f aca="false">Sens!$C$723-Sens!$C$724</f>
        <v>36.176</v>
      </c>
      <c r="D726" s="38" t="n">
        <f aca="false">Sens!$D$723-Sens!$D$724</f>
        <v>9.63700000000002</v>
      </c>
      <c r="E726" s="38" t="n">
        <f aca="false">Sens!$E$723-Sens!$E$724</f>
        <v>-25.691</v>
      </c>
      <c r="F726" s="38" t="n">
        <f aca="false">Sens!$F$723-Sens!$F$724</f>
        <v>-39.1882968354331</v>
      </c>
      <c r="G726" s="38" t="n">
        <f aca="false">Sens!$G$723-Sens!$G$724</f>
        <v>-64.8792968354331</v>
      </c>
      <c r="H726" s="38" t="n">
        <f aca="false">Sens!$H$723-Sens!$H$724</f>
        <v>-37.9189113490932</v>
      </c>
      <c r="I726" s="38" t="n">
        <f aca="false">Sens!$I$723-Sens!$I$724</f>
        <v>20.1906018272625</v>
      </c>
      <c r="J726" s="38" t="n">
        <f aca="false">Sens!$J$723-Sens!$J$724</f>
        <v>80.9562420871596</v>
      </c>
      <c r="K726" s="38" t="n">
        <f aca="false">Sens!$K$723-Sens!$K$724</f>
        <v>195.671784648049</v>
      </c>
      <c r="L726" s="38" t="n">
        <f aca="false">Sens!$L$723-Sens!$L$724</f>
        <v>267.624750820235</v>
      </c>
      <c r="M726" s="38" t="n">
        <f aca="false">Sens!$M$723-Sens!$M$724</f>
        <v>304.928582700175</v>
      </c>
    </row>
    <row r="727" customFormat="false" ht="17.15" hidden="false" customHeight="false" outlineLevel="0" collapsed="false">
      <c r="A727" s="5" t="s">
        <v>799</v>
      </c>
      <c r="B727" s="0" t="s">
        <v>86</v>
      </c>
      <c r="E727" s="38" t="n">
        <f aca="false">Q!$P$53</f>
        <v>39.767</v>
      </c>
      <c r="F727" s="38" t="n">
        <f aca="false">inv_2h26</f>
        <v>21.3</v>
      </c>
      <c r="G727" s="38" t="n">
        <f aca="false">Sens!$E$727+Sens!$F$727</f>
        <v>61.067</v>
      </c>
      <c r="H727" s="39" t="n">
        <v>0</v>
      </c>
      <c r="I727" s="39" t="n">
        <v>0</v>
      </c>
      <c r="J727" s="39" t="n">
        <v>0</v>
      </c>
      <c r="K727" s="39" t="n">
        <v>0</v>
      </c>
      <c r="L727" s="39" t="n">
        <v>0</v>
      </c>
      <c r="M727" s="39" t="n">
        <v>0</v>
      </c>
    </row>
    <row r="728" customFormat="false" ht="17.15" hidden="false" customHeight="false" outlineLevel="0" collapsed="false">
      <c r="A728" s="5" t="s">
        <v>800</v>
      </c>
      <c r="B728" s="0" t="s">
        <v>86</v>
      </c>
      <c r="F728" s="38" t="n">
        <f aca="false">iss_2h26</f>
        <v>29.249999</v>
      </c>
      <c r="G728" s="38" t="n">
        <f aca="false">Sens!$F$728</f>
        <v>29.249999</v>
      </c>
      <c r="H728" s="39" t="n">
        <v>0</v>
      </c>
      <c r="I728" s="39" t="n">
        <v>0</v>
      </c>
      <c r="J728" s="39" t="n">
        <v>0</v>
      </c>
      <c r="K728" s="39" t="n">
        <v>0</v>
      </c>
      <c r="L728" s="39" t="n">
        <v>0</v>
      </c>
      <c r="M728" s="39" t="n">
        <v>0</v>
      </c>
    </row>
    <row r="729" customFormat="false" ht="17.15" hidden="false" customHeight="false" outlineLevel="0" collapsed="false">
      <c r="A729" s="5" t="s">
        <v>801</v>
      </c>
      <c r="B729" s="0" t="s">
        <v>86</v>
      </c>
      <c r="F729" s="38" t="n">
        <f aca="false">cash_q2</f>
        <v>122.988</v>
      </c>
      <c r="G729" s="38" t="n">
        <f aca="false">cash_q2</f>
        <v>122.988</v>
      </c>
      <c r="H729" s="38" t="n">
        <f aca="false">Sens!$G$732</f>
        <v>91.7497021645669</v>
      </c>
      <c r="I729" s="38" t="n">
        <f aca="false">Sens!$H$732</f>
        <v>53.8307908154738</v>
      </c>
      <c r="J729" s="38" t="n">
        <f aca="false">Sens!$I$732</f>
        <v>74.0213926427363</v>
      </c>
      <c r="K729" s="38" t="n">
        <f aca="false">Sens!$J$732</f>
        <v>154.977634729896</v>
      </c>
      <c r="L729" s="38" t="n">
        <f aca="false">Sens!$K$732</f>
        <v>350.649419377944</v>
      </c>
      <c r="M729" s="38" t="n">
        <f aca="false">Sens!$L$732</f>
        <v>618.274170198179</v>
      </c>
    </row>
    <row r="730" customFormat="false" ht="15" hidden="false" customHeight="false" outlineLevel="0" collapsed="false">
      <c r="A730" s="5" t="s">
        <v>802</v>
      </c>
      <c r="B730" s="0" t="s">
        <v>86</v>
      </c>
      <c r="F730" s="38" t="n">
        <f aca="false">Sens!$F$729+Sens!$F$726-Sens!$F$725-Sens!$F$727+Sens!$F$728</f>
        <v>91.7497021645669</v>
      </c>
      <c r="H730" s="38" t="n">
        <f aca="false">Sens!$H$729+Sens!$H$726-Sens!$H$725-Sens!$H$727+Sens!$H$728</f>
        <v>53.8307908154738</v>
      </c>
      <c r="I730" s="38" t="n">
        <f aca="false">Sens!$I$729+Sens!$I$726-Sens!$I$725-Sens!$I$727+Sens!$I$728</f>
        <v>74.0213926427363</v>
      </c>
      <c r="J730" s="38" t="n">
        <f aca="false">Sens!$J$729+Sens!$J$726-Sens!$J$725-Sens!$J$727+Sens!$J$728</f>
        <v>154.977634729896</v>
      </c>
      <c r="K730" s="38" t="n">
        <f aca="false">Sens!$K$729+Sens!$K$726-Sens!$K$725-Sens!$K$727+Sens!$K$728</f>
        <v>350.649419377944</v>
      </c>
      <c r="L730" s="38" t="n">
        <f aca="false">Sens!$L$729+Sens!$L$726-Sens!$L$725-Sens!$L$727+Sens!$L$728</f>
        <v>618.274170198179</v>
      </c>
      <c r="M730" s="38" t="n">
        <f aca="false">Sens!$M$729+Sens!$M$726-Sens!$M$725-Sens!$M$727+Sens!$M$728</f>
        <v>923.202752898354</v>
      </c>
    </row>
    <row r="731" customFormat="false" ht="17.15" hidden="false" customHeight="false" outlineLevel="0" collapsed="false">
      <c r="A731" s="5" t="s">
        <v>803</v>
      </c>
      <c r="B731" s="0" t="s">
        <v>86</v>
      </c>
      <c r="F731" s="38" t="n">
        <f aca="false">MAX(0,min_cash-Sens!$F$730)</f>
        <v>0</v>
      </c>
      <c r="G731" s="38" t="n">
        <f aca="false">Sens!$F$731</f>
        <v>0</v>
      </c>
      <c r="H731" s="38" t="n">
        <f aca="false">MAX(0,min_cash-Sens!$H$730)</f>
        <v>0</v>
      </c>
      <c r="I731" s="38" t="n">
        <f aca="false">MAX(0,min_cash-Sens!$I$730)</f>
        <v>0</v>
      </c>
      <c r="J731" s="38" t="n">
        <f aca="false">MAX(0,min_cash-Sens!$J$730)</f>
        <v>0</v>
      </c>
      <c r="K731" s="38" t="n">
        <f aca="false">MAX(0,min_cash-Sens!$K$730)</f>
        <v>0</v>
      </c>
      <c r="L731" s="38" t="n">
        <f aca="false">MAX(0,min_cash-Sens!$L$730)</f>
        <v>0</v>
      </c>
      <c r="M731" s="38" t="n">
        <f aca="false">MAX(0,min_cash-Sens!$M$730)</f>
        <v>0</v>
      </c>
      <c r="P731" s="5" t="s">
        <v>804</v>
      </c>
    </row>
    <row r="732" customFormat="false" ht="15" hidden="false" customHeight="false" outlineLevel="0" collapsed="false">
      <c r="A732" s="5" t="s">
        <v>805</v>
      </c>
      <c r="B732" s="0" t="s">
        <v>86</v>
      </c>
      <c r="D732" s="38" t="n">
        <f aca="false">Q!$E$61</f>
        <v>123.029</v>
      </c>
      <c r="E732" s="38" t="n">
        <f aca="false">Q!$M$61</f>
        <v>122.988</v>
      </c>
      <c r="F732" s="38" t="n">
        <f aca="false">Sens!$F$730+Sens!$F$731</f>
        <v>91.7497021645669</v>
      </c>
      <c r="G732" s="38" t="n">
        <f aca="false">Sens!$F$732</f>
        <v>91.7497021645669</v>
      </c>
      <c r="H732" s="38" t="n">
        <f aca="false">Sens!$H$730+Sens!$H$731</f>
        <v>53.8307908154738</v>
      </c>
      <c r="I732" s="38" t="n">
        <f aca="false">Sens!$I$730+Sens!$I$731</f>
        <v>74.0213926427363</v>
      </c>
      <c r="J732" s="38" t="n">
        <f aca="false">Sens!$J$730+Sens!$J$731</f>
        <v>154.977634729896</v>
      </c>
      <c r="K732" s="38" t="n">
        <f aca="false">Sens!$K$730+Sens!$K$731</f>
        <v>350.649419377944</v>
      </c>
      <c r="L732" s="38" t="n">
        <f aca="false">Sens!$L$730+Sens!$L$731</f>
        <v>618.274170198179</v>
      </c>
      <c r="M732" s="38" t="n">
        <f aca="false">Sens!$M$730+Sens!$M$731</f>
        <v>923.202752898354</v>
      </c>
    </row>
    <row r="733" customFormat="false" ht="15" hidden="false" customHeight="false" outlineLevel="0" collapsed="false">
      <c r="A733" s="5" t="s">
        <v>806</v>
      </c>
      <c r="B733" s="0" t="s">
        <v>86</v>
      </c>
      <c r="D733" s="38" t="n">
        <f aca="false">Q!$E$62</f>
        <v>68.836</v>
      </c>
      <c r="E733" s="38" t="n">
        <f aca="false">Q!$M$62</f>
        <v>132.995</v>
      </c>
      <c r="F733" s="38" t="n">
        <f aca="false">debt_q2+Sens!$F$728+Sens!$F$731</f>
        <v>162.244999</v>
      </c>
      <c r="G733" s="38" t="n">
        <f aca="false">Sens!$F$733</f>
        <v>162.244999</v>
      </c>
      <c r="H733" s="38" t="n">
        <f aca="false">Sens!$G$733+Sens!$H$731</f>
        <v>162.244999</v>
      </c>
      <c r="I733" s="38" t="n">
        <f aca="false">Sens!$H$733+Sens!$I$731</f>
        <v>162.244999</v>
      </c>
      <c r="J733" s="38" t="n">
        <f aca="false">Sens!$I$733+Sens!$J$731</f>
        <v>162.244999</v>
      </c>
      <c r="K733" s="38" t="n">
        <f aca="false">Sens!$J$733+Sens!$K$731</f>
        <v>162.244999</v>
      </c>
      <c r="L733" s="38" t="n">
        <f aca="false">Sens!$K$733+Sens!$L$731</f>
        <v>162.244999</v>
      </c>
      <c r="M733" s="38" t="n">
        <f aca="false">Sens!$L$733+Sens!$M$731</f>
        <v>162.244999</v>
      </c>
    </row>
    <row r="734" customFormat="false" ht="15" hidden="false" customHeight="false" outlineLevel="0" collapsed="false">
      <c r="A734" s="5" t="s">
        <v>807</v>
      </c>
      <c r="B734" s="0" t="s">
        <v>86</v>
      </c>
      <c r="D734" s="38" t="n">
        <f aca="false">Sens!$D$733-Sens!$D$732</f>
        <v>-54.193</v>
      </c>
      <c r="E734" s="38" t="n">
        <f aca="false">Sens!$E$733-Sens!$E$732</f>
        <v>10.007</v>
      </c>
      <c r="F734" s="38" t="n">
        <f aca="false">Sens!$F$733-Sens!$F$732</f>
        <v>70.4952968354331</v>
      </c>
      <c r="G734" s="38" t="n">
        <f aca="false">Sens!$G$733-Sens!$G$732</f>
        <v>70.4952968354331</v>
      </c>
      <c r="H734" s="38" t="n">
        <f aca="false">Sens!$H$733-Sens!$H$732</f>
        <v>108.414208184526</v>
      </c>
      <c r="I734" s="38" t="n">
        <f aca="false">Sens!$I$733-Sens!$I$732</f>
        <v>88.2236063572637</v>
      </c>
      <c r="J734" s="38" t="n">
        <f aca="false">Sens!$J$733-Sens!$J$732</f>
        <v>7.26736427010411</v>
      </c>
      <c r="K734" s="38" t="n">
        <f aca="false">Sens!$K$733-Sens!$K$732</f>
        <v>-188.404420377944</v>
      </c>
      <c r="L734" s="38" t="n">
        <f aca="false">Sens!$L$733-Sens!$L$732</f>
        <v>-456.029171198179</v>
      </c>
      <c r="M734" s="38" t="n">
        <f aca="false">Sens!$M$733-Sens!$M$732</f>
        <v>-760.957753898354</v>
      </c>
    </row>
    <row r="735" customFormat="false" ht="17.15" hidden="false" customHeight="false" outlineLevel="0" collapsed="false">
      <c r="A735" s="5" t="s">
        <v>808</v>
      </c>
      <c r="B735" s="0" t="s">
        <v>86</v>
      </c>
      <c r="F735" s="38" t="n">
        <f aca="false">debt_q2*kd_book*0.5+iss_2h26*kd_new*iss_t</f>
        <v>3.24888962733561</v>
      </c>
      <c r="H735" s="38" t="n">
        <f aca="false">debt_q2*kd_book+(Sens!$G$733-debt_q2)*kd_new</f>
        <v>7.42354172302123</v>
      </c>
      <c r="I735" s="38" t="n">
        <f aca="false">debt_q2*kd_book+(Sens!$H$733-debt_q2)*kd_new</f>
        <v>7.42354172302123</v>
      </c>
      <c r="J735" s="38" t="n">
        <f aca="false">debt_q2*kd_book+(Sens!$I$733-debt_q2)*kd_new</f>
        <v>7.42354172302123</v>
      </c>
      <c r="K735" s="38" t="n">
        <f aca="false">debt_q2*kd_book+(Sens!$J$733-debt_q2)*kd_new</f>
        <v>7.42354172302123</v>
      </c>
      <c r="L735" s="38" t="n">
        <f aca="false">debt_q2*kd_book+(Sens!$K$733-debt_q2)*kd_new</f>
        <v>7.42354172302123</v>
      </c>
      <c r="M735" s="38" t="n">
        <f aca="false">debt_q2*kd_book+(Sens!$L$733-debt_q2)*kd_new</f>
        <v>7.42354172302123</v>
      </c>
    </row>
    <row r="736" customFormat="false" ht="17.15" hidden="false" customHeight="false" outlineLevel="0" collapsed="false">
      <c r="A736" s="5" t="s">
        <v>809</v>
      </c>
      <c r="B736" s="0" t="s">
        <v>86</v>
      </c>
      <c r="F736" s="38" t="n">
        <f aca="false">cash_q2*y_cash*0.5</f>
        <v>2.59</v>
      </c>
      <c r="H736" s="38" t="n">
        <f aca="false">Sens!$G$732*y_cash</f>
        <v>3.86430755205757</v>
      </c>
      <c r="I736" s="38" t="n">
        <f aca="false">Sens!$H$732*y_cash</f>
        <v>2.26724149042308</v>
      </c>
      <c r="J736" s="38" t="n">
        <f aca="false">Sens!$I$732*y_cash</f>
        <v>3.11762784897205</v>
      </c>
      <c r="K736" s="38" t="n">
        <f aca="false">Sens!$J$732*y_cash</f>
        <v>6.52733720282353</v>
      </c>
      <c r="L736" s="38" t="n">
        <f aca="false">Sens!$K$732*y_cash</f>
        <v>14.7686277716342</v>
      </c>
      <c r="M736" s="38" t="n">
        <f aca="false">Sens!$L$732*y_cash</f>
        <v>26.0404283476971</v>
      </c>
    </row>
    <row r="737" customFormat="false" ht="17.15" hidden="false" customHeight="false" outlineLevel="0" collapsed="false">
      <c r="A737" s="47" t="s">
        <v>810</v>
      </c>
      <c r="B737" s="14" t="s">
        <v>86</v>
      </c>
      <c r="C737" s="14"/>
      <c r="D737" s="14"/>
      <c r="E737" s="14"/>
      <c r="F737" s="14"/>
      <c r="G737" s="48" t="n">
        <f aca="false">SUM(Sens!$G$726:$K$726)</f>
        <v>194.020420377944</v>
      </c>
      <c r="H737" s="14"/>
      <c r="I737" s="14"/>
      <c r="J737" s="14"/>
      <c r="K737" s="14"/>
      <c r="L737" s="14"/>
      <c r="M737" s="14"/>
      <c r="N737" s="14"/>
      <c r="O737" s="14"/>
    </row>
    <row r="738" customFormat="false" ht="17.15" hidden="false" customHeight="false" outlineLevel="0" collapsed="false">
      <c r="A738" s="0" t="s">
        <v>776</v>
      </c>
      <c r="B738" s="0" t="s">
        <v>86</v>
      </c>
      <c r="G738" s="38" t="n">
        <f aca="false">SUM(Sens!$G$731:$K$731)</f>
        <v>0</v>
      </c>
    </row>
    <row r="739" customFormat="false" ht="17.15" hidden="false" customHeight="false" outlineLevel="0" collapsed="false">
      <c r="A739" s="24" t="s">
        <v>813</v>
      </c>
      <c r="B739" s="25" t="s">
        <v>86</v>
      </c>
      <c r="C739" s="25"/>
      <c r="D739" s="25"/>
      <c r="E739" s="25"/>
      <c r="F739" s="25"/>
      <c r="G739" s="41" t="n">
        <f aca="false">Sens!$G$737-(Sens!$G$726+Sens!$H$726+Sens!$I$726+Sens!$J$726+Sens!$K$726)</f>
        <v>0</v>
      </c>
      <c r="H739" s="25"/>
      <c r="I739" s="25"/>
      <c r="J739" s="25"/>
      <c r="K739" s="25"/>
      <c r="L739" s="25"/>
      <c r="M739" s="25"/>
      <c r="N739" s="25"/>
      <c r="O739" s="25"/>
    </row>
    <row r="742" customFormat="false" ht="19.4" hidden="false" customHeight="false" outlineLevel="0" collapsed="false">
      <c r="A742" s="31" t="s">
        <v>1149</v>
      </c>
    </row>
    <row r="743" customFormat="false" ht="17.15" hidden="false" customHeight="false" outlineLevel="0" collapsed="false">
      <c r="A743" s="6" t="s">
        <v>16</v>
      </c>
      <c r="B743" s="6" t="s">
        <v>17</v>
      </c>
      <c r="C743" s="20" t="s">
        <v>497</v>
      </c>
      <c r="D743" s="20" t="s">
        <v>498</v>
      </c>
      <c r="E743" s="20" t="s">
        <v>580</v>
      </c>
      <c r="F743" s="20" t="s">
        <v>581</v>
      </c>
      <c r="G743" s="20" t="s">
        <v>582</v>
      </c>
      <c r="H743" s="20" t="s">
        <v>583</v>
      </c>
      <c r="I743" s="20" t="s">
        <v>584</v>
      </c>
      <c r="J743" s="20" t="s">
        <v>585</v>
      </c>
      <c r="K743" s="20" t="s">
        <v>586</v>
      </c>
      <c r="L743" s="20" t="s">
        <v>587</v>
      </c>
      <c r="M743" s="20" t="s">
        <v>588</v>
      </c>
      <c r="N743" s="20" t="s">
        <v>589</v>
      </c>
      <c r="O743" s="20" t="s">
        <v>590</v>
      </c>
      <c r="P743" s="6" t="s">
        <v>23</v>
      </c>
      <c r="R743" s="20" t="n">
        <v>2023</v>
      </c>
      <c r="S743" s="20" t="n">
        <v>2024</v>
      </c>
      <c r="T743" s="20" t="n">
        <v>2025</v>
      </c>
      <c r="U743" s="20" t="n">
        <v>2026</v>
      </c>
      <c r="V743" s="20" t="n">
        <v>2027</v>
      </c>
      <c r="W743" s="20" t="n">
        <v>2028</v>
      </c>
      <c r="X743" s="20" t="n">
        <v>2029</v>
      </c>
      <c r="Y743" s="20" t="n">
        <v>2030</v>
      </c>
      <c r="Z743" s="20" t="n">
        <v>2031</v>
      </c>
      <c r="AA743" s="20" t="n">
        <v>2032</v>
      </c>
    </row>
    <row r="744" customFormat="false" ht="17.15" hidden="false" customHeight="false" outlineLevel="0" collapsed="false">
      <c r="A744" s="1" t="s">
        <v>915</v>
      </c>
    </row>
    <row r="745" customFormat="false" ht="17.15" hidden="false" customHeight="false" outlineLevel="0" collapsed="false">
      <c r="A745" s="0" t="s">
        <v>916</v>
      </c>
      <c r="B745" s="0" t="s">
        <v>86</v>
      </c>
      <c r="H745" s="38" t="n">
        <f aca="false">Sens!$H$679*(1-tax)</f>
        <v>138.807657817313</v>
      </c>
      <c r="I745" s="38" t="n">
        <f aca="false">Sens!$I$679*(1-tax)</f>
        <v>181.989053468779</v>
      </c>
      <c r="J745" s="38" t="n">
        <f aca="false">Sens!$J$679*(1-tax)</f>
        <v>224.041923034765</v>
      </c>
      <c r="K745" s="38" t="n">
        <f aca="false">Sens!$K$679*(1-tax)</f>
        <v>256.527452863957</v>
      </c>
      <c r="L745" s="38" t="n">
        <f aca="false">Sens!$L$679*(1-tax)</f>
        <v>280.511436214018</v>
      </c>
      <c r="M745" s="38" t="n">
        <f aca="false">Sens!$M$679*(1-tax)</f>
        <v>295.993043975914</v>
      </c>
    </row>
    <row r="746" customFormat="false" ht="15" hidden="false" customHeight="false" outlineLevel="0" collapsed="false">
      <c r="A746" s="5" t="s">
        <v>917</v>
      </c>
      <c r="B746" s="0" t="s">
        <v>86</v>
      </c>
      <c r="H746" s="38" t="n">
        <f aca="false">Sens!$H$690</f>
        <v>78.1799395827871</v>
      </c>
      <c r="I746" s="38" t="n">
        <f aca="false">Sens!$I$690</f>
        <v>111.171125554384</v>
      </c>
      <c r="J746" s="38" t="n">
        <f aca="false">Sens!$J$690</f>
        <v>144.884406220971</v>
      </c>
      <c r="K746" s="38" t="n">
        <f aca="false">Sens!$K$690</f>
        <v>178.806419437999</v>
      </c>
      <c r="L746" s="38" t="n">
        <f aca="false">Sens!$L$690</f>
        <v>204.341339029663</v>
      </c>
      <c r="M746" s="38" t="n">
        <f aca="false">Sens!$M$690</f>
        <v>223.130577995387</v>
      </c>
    </row>
    <row r="747" customFormat="false" ht="15" hidden="false" customHeight="false" outlineLevel="0" collapsed="false">
      <c r="A747" s="5" t="s">
        <v>918</v>
      </c>
      <c r="B747" s="0" t="s">
        <v>86</v>
      </c>
      <c r="H747" s="38" t="n">
        <f aca="false">Sens!$H$721</f>
        <v>273.372679834898</v>
      </c>
      <c r="I747" s="38" t="n">
        <f aca="false">Sens!$I$721</f>
        <v>286.981812228425</v>
      </c>
      <c r="J747" s="38" t="n">
        <f aca="false">Sens!$J$721</f>
        <v>299.316513378366</v>
      </c>
      <c r="K747" s="38" t="n">
        <f aca="false">Sens!$K$721</f>
        <v>251.057145512292</v>
      </c>
      <c r="L747" s="38" t="n">
        <f aca="false">Sens!$L$721</f>
        <v>234.696330860396</v>
      </c>
      <c r="M747" s="38" t="n">
        <f aca="false">Sens!$M$721</f>
        <v>242.291696043352</v>
      </c>
    </row>
    <row r="748" customFormat="false" ht="15" hidden="false" customHeight="false" outlineLevel="0" collapsed="false">
      <c r="A748" s="5" t="s">
        <v>919</v>
      </c>
      <c r="B748" s="0" t="s">
        <v>86</v>
      </c>
      <c r="H748" s="38" t="n">
        <f aca="false">Sens!$H$722</f>
        <v>1.6</v>
      </c>
      <c r="I748" s="38" t="n">
        <f aca="false">Sens!$I$722</f>
        <v>1.6</v>
      </c>
      <c r="J748" s="38" t="n">
        <f aca="false">Sens!$J$722</f>
        <v>1.6</v>
      </c>
      <c r="K748" s="38" t="n">
        <f aca="false">Sens!$K$722</f>
        <v>1.6</v>
      </c>
      <c r="L748" s="38" t="n">
        <f aca="false">Sens!$L$722</f>
        <v>1.6</v>
      </c>
      <c r="M748" s="38" t="n">
        <f aca="false">Sens!$M$722</f>
        <v>1.6</v>
      </c>
    </row>
    <row r="749" customFormat="false" ht="15" hidden="false" customHeight="false" outlineLevel="0" collapsed="false">
      <c r="A749" s="5" t="s">
        <v>920</v>
      </c>
      <c r="B749" s="0" t="s">
        <v>86</v>
      </c>
      <c r="H749" s="38" t="n">
        <f aca="false">Sens!$H$716</f>
        <v>11.5475390908647</v>
      </c>
      <c r="I749" s="38" t="n">
        <f aca="false">Sens!$I$716</f>
        <v>13.3267605764842</v>
      </c>
      <c r="J749" s="38" t="n">
        <f aca="false">Sens!$J$716</f>
        <v>15.0422372295367</v>
      </c>
      <c r="K749" s="38" t="n">
        <f aca="false">Sens!$K$716</f>
        <v>16.53971228033</v>
      </c>
      <c r="L749" s="38" t="n">
        <f aca="false">Sens!$L$716</f>
        <v>17.8755776613325</v>
      </c>
      <c r="M749" s="38" t="n">
        <f aca="false">Sens!$M$716</f>
        <v>19.0539561178706</v>
      </c>
    </row>
    <row r="750" customFormat="false" ht="17.15" hidden="false" customHeight="false" outlineLevel="0" collapsed="false">
      <c r="A750" s="1" t="s">
        <v>921</v>
      </c>
      <c r="B750" s="8" t="s">
        <v>86</v>
      </c>
      <c r="H750" s="38" t="n">
        <f aca="false">Sens!$H$745+Sens!$H$746-Sens!$H$747+Sens!$H$749</f>
        <v>-44.8375433439337</v>
      </c>
      <c r="I750" s="38" t="n">
        <f aca="false">Sens!$I$745+Sens!$I$746-Sens!$I$747+Sens!$I$749</f>
        <v>19.5051273712224</v>
      </c>
      <c r="J750" s="38" t="n">
        <f aca="false">Sens!$J$745+Sens!$J$746-Sens!$J$747+Sens!$J$749</f>
        <v>84.6520531069071</v>
      </c>
      <c r="K750" s="38" t="n">
        <f aca="false">Sens!$K$745+Sens!$K$746-Sens!$K$747+Sens!$K$749</f>
        <v>200.816439069994</v>
      </c>
      <c r="L750" s="38" t="n">
        <f aca="false">Sens!$L$745+Sens!$L$746-Sens!$L$747+Sens!$L$749</f>
        <v>268.032022044617</v>
      </c>
      <c r="M750" s="38" t="n">
        <f aca="false">Sens!$M$745+Sens!$M$746-Sens!$M$747+Sens!$M$749</f>
        <v>295.885882045819</v>
      </c>
    </row>
    <row r="751" customFormat="false" ht="15" hidden="false" customHeight="false" outlineLevel="0" collapsed="false">
      <c r="A751" s="5" t="s">
        <v>922</v>
      </c>
      <c r="B751" s="0" t="s">
        <v>57</v>
      </c>
      <c r="H751" s="40" t="n">
        <f aca="false">1/(1+wacc)^(2027-2026-0.5)</f>
        <v>0.947751320380232</v>
      </c>
      <c r="I751" s="40" t="n">
        <f aca="false">1/(1+wacc)^(2028-2026-0.5)</f>
        <v>0.851301099754987</v>
      </c>
      <c r="J751" s="40" t="n">
        <f aca="false">1/(1+wacc)^(2029-2026-0.5)</f>
        <v>0.764666370660713</v>
      </c>
      <c r="K751" s="40" t="n">
        <f aca="false">1/(1+wacc)^(2030-2026-0.5)</f>
        <v>0.686848235703811</v>
      </c>
      <c r="L751" s="40" t="n">
        <f aca="false">1/(1+wacc)^(2031-2026-0.5)</f>
        <v>0.616949452715975</v>
      </c>
      <c r="M751" s="40" t="n">
        <f aca="false">1/(1+wacc)^(2032-2026-0.5)</f>
        <v>0.554164089562688</v>
      </c>
    </row>
    <row r="752" customFormat="false" ht="15" hidden="false" customHeight="false" outlineLevel="0" collapsed="false">
      <c r="A752" s="5" t="s">
        <v>923</v>
      </c>
      <c r="B752" s="0" t="s">
        <v>86</v>
      </c>
      <c r="H752" s="38" t="n">
        <f aca="false">Sens!$H$750*Sens!$H$751</f>
        <v>-42.4948409068191</v>
      </c>
      <c r="I752" s="38" t="n">
        <f aca="false">Sens!$I$750*Sens!$I$751</f>
        <v>16.6047363819827</v>
      </c>
      <c r="J752" s="38" t="n">
        <f aca="false">Sens!$J$750*Sens!$J$751</f>
        <v>64.7305782182366</v>
      </c>
      <c r="K752" s="38" t="n">
        <f aca="false">Sens!$K$750*Sens!$K$751</f>
        <v>137.930416875547</v>
      </c>
      <c r="L752" s="38" t="n">
        <f aca="false">Sens!$L$750*Sens!$L$751</f>
        <v>165.362209310783</v>
      </c>
      <c r="M752" s="38" t="n">
        <f aca="false">Sens!$M$750*Sens!$M$751</f>
        <v>163.969330438374</v>
      </c>
    </row>
    <row r="753" customFormat="false" ht="15" hidden="false" customHeight="false" outlineLevel="0" collapsed="false">
      <c r="A753" s="5" t="s">
        <v>924</v>
      </c>
      <c r="B753" s="0" t="s">
        <v>86</v>
      </c>
      <c r="C753" s="38" t="n">
        <f aca="false">SUM(Sens!$H$752:$M$752)</f>
        <v>506.102430318104</v>
      </c>
    </row>
    <row r="754" customFormat="false" ht="17.15" hidden="false" customHeight="false" outlineLevel="0" collapsed="false">
      <c r="A754" s="5" t="s">
        <v>925</v>
      </c>
      <c r="B754" s="0" t="s">
        <v>86</v>
      </c>
      <c r="C754" s="38" t="n">
        <f aca="false">Sens!$M$745*(1+tg)*(1-tg/ronic)/(wacc-tg)</f>
        <v>2690.90706366187</v>
      </c>
    </row>
    <row r="755" customFormat="false" ht="15" hidden="false" customHeight="false" outlineLevel="0" collapsed="false">
      <c r="A755" s="5" t="s">
        <v>926</v>
      </c>
      <c r="B755" s="0" t="s">
        <v>86</v>
      </c>
      <c r="C755" s="38" t="n">
        <f aca="false">Sens!$C$754/(1+wacc)^6</f>
        <v>1413.29061969493</v>
      </c>
    </row>
    <row r="756" customFormat="false" ht="17.15" hidden="false" customHeight="false" outlineLevel="0" collapsed="false">
      <c r="A756" s="5" t="s">
        <v>927</v>
      </c>
      <c r="B756" s="0" t="s">
        <v>86</v>
      </c>
      <c r="C756" s="38" t="n">
        <f aca="false">Sens!$C$753+Sens!$C$755</f>
        <v>1919.39305001304</v>
      </c>
    </row>
    <row r="757" customFormat="false" ht="17.15" hidden="false" customHeight="false" outlineLevel="0" collapsed="false">
      <c r="A757" s="5" t="s">
        <v>928</v>
      </c>
      <c r="B757" s="0" t="s">
        <v>52</v>
      </c>
      <c r="C757" s="13" t="n">
        <f aca="false">Sens!$C$755/Sens!$C$756</f>
        <v>0.736321630259802</v>
      </c>
    </row>
    <row r="758" customFormat="false" ht="17.15" hidden="false" customHeight="false" outlineLevel="0" collapsed="false">
      <c r="A758" s="5" t="s">
        <v>929</v>
      </c>
      <c r="B758" s="0" t="s">
        <v>86</v>
      </c>
      <c r="C758" s="38" t="n">
        <f aca="false">Sens!$G$734+fin_debt</f>
        <v>95.0162968354331</v>
      </c>
    </row>
    <row r="759" customFormat="false" ht="17.15" hidden="false" customHeight="false" outlineLevel="0" collapsed="false">
      <c r="A759" s="5" t="s">
        <v>930</v>
      </c>
      <c r="B759" s="0" t="s">
        <v>86</v>
      </c>
      <c r="C759" s="38" t="n">
        <f aca="false">(ant_val*ant_sh+oai_val*oai_sh)*(1-liq_disc)</f>
        <v>178.944</v>
      </c>
    </row>
    <row r="760" customFormat="false" ht="15" hidden="false" customHeight="false" outlineLevel="0" collapsed="false">
      <c r="A760" s="5" t="s">
        <v>931</v>
      </c>
      <c r="B760" s="0" t="s">
        <v>86</v>
      </c>
      <c r="C760" s="38" t="n">
        <f aca="false">Sens!$C$756-Sens!$C$758+Sens!$C$759</f>
        <v>2003.3207531776</v>
      </c>
    </row>
    <row r="761" customFormat="false" ht="17.15" hidden="false" customHeight="false" outlineLevel="0" collapsed="false">
      <c r="A761" s="5" t="s">
        <v>932</v>
      </c>
      <c r="B761" s="0" t="s">
        <v>27</v>
      </c>
      <c r="C761" s="30" t="n">
        <f aca="false">Sens!$C$760/sh_out</f>
        <v>185.728021006769</v>
      </c>
    </row>
    <row r="762" customFormat="false" ht="17.15" hidden="false" customHeight="false" outlineLevel="0" collapsed="false">
      <c r="A762" s="1" t="s">
        <v>933</v>
      </c>
      <c r="B762" s="8" t="s">
        <v>27</v>
      </c>
      <c r="C762" s="30" t="n">
        <f aca="false">Sens!$C$761*(1+ke)^tp_yf-dps*tp_yf</f>
        <v>203.440688128201</v>
      </c>
    </row>
    <row r="763" customFormat="false" ht="17.15" hidden="false" customHeight="false" outlineLevel="0" collapsed="false">
      <c r="A763" s="3" t="s">
        <v>934</v>
      </c>
    </row>
    <row r="764" customFormat="false" ht="17.15" hidden="false" customHeight="false" outlineLevel="0" collapsed="false">
      <c r="A764" s="5" t="s">
        <v>935</v>
      </c>
      <c r="B764" s="0" t="s">
        <v>86</v>
      </c>
      <c r="C764" s="38" t="n">
        <f aca="false">(1-tp_yf)*(Sens!$H$691+sbc_ab*Sens!$H$715*Sens!$H$555/Sens!$H$632)+tp_yf*(Sens!$I$691+sbc_ab*Sens!$I$715*Sens!$I$555/Sens!$I$632)</f>
        <v>59.634664536349</v>
      </c>
    </row>
    <row r="765" customFormat="false" ht="15" hidden="false" customHeight="false" outlineLevel="0" collapsed="false">
      <c r="A765" s="5" t="s">
        <v>936</v>
      </c>
      <c r="B765" s="0" t="s">
        <v>57</v>
      </c>
      <c r="C765" s="30" t="n">
        <f aca="false">m_ads*m_x</f>
        <v>9.11</v>
      </c>
    </row>
    <row r="766" customFormat="false" ht="17.15" hidden="false" customHeight="false" outlineLevel="0" collapsed="false">
      <c r="A766" s="5" t="s">
        <v>937</v>
      </c>
      <c r="B766" s="0" t="s">
        <v>86</v>
      </c>
      <c r="C766" s="38" t="n">
        <f aca="false">Sens!$C$764*Sens!$C$765</f>
        <v>543.271793926139</v>
      </c>
    </row>
    <row r="767" customFormat="false" ht="17.15" hidden="false" customHeight="false" outlineLevel="0" collapsed="false">
      <c r="A767" s="5" t="s">
        <v>938</v>
      </c>
      <c r="B767" s="0" t="s">
        <v>86</v>
      </c>
      <c r="C767" s="38" t="n">
        <f aca="false">(1-tp_yf)*(Sens!$H$692+sbc_ab*Sens!$H$715*(Sens!$H$562-Sens!$H$555)/Sens!$H$632+IF(internal_ai_reading=2,1,0)*(1-ext_sh)*Sens!$H$592)+tp_yf*(Sens!$I$692+sbc_ab*Sens!$I$715*(Sens!$I$562-Sens!$I$555)/Sens!$I$632+IF(internal_ai_reading=2,1,0)*(1-ext_sh)*Sens!$I$592)</f>
        <v>51.2224827206816</v>
      </c>
    </row>
    <row r="768" customFormat="false" ht="17.15" hidden="false" customHeight="false" outlineLevel="0" collapsed="false">
      <c r="A768" s="5" t="s">
        <v>939</v>
      </c>
      <c r="B768" s="0" t="s">
        <v>57</v>
      </c>
      <c r="C768" s="30" t="n">
        <f aca="false">m_retail*m_x</f>
        <v>17.72</v>
      </c>
    </row>
    <row r="769" customFormat="false" ht="17.15" hidden="false" customHeight="false" outlineLevel="0" collapsed="false">
      <c r="A769" s="5" t="s">
        <v>940</v>
      </c>
      <c r="B769" s="0" t="s">
        <v>86</v>
      </c>
      <c r="C769" s="38" t="n">
        <f aca="false">Sens!$C$767*Sens!$C$768</f>
        <v>907.662393810478</v>
      </c>
    </row>
    <row r="770" customFormat="false" ht="17.15" hidden="false" customHeight="false" outlineLevel="0" collapsed="false">
      <c r="A770" s="0" t="s">
        <v>941</v>
      </c>
      <c r="B770" s="0" t="s">
        <v>86</v>
      </c>
      <c r="C770" s="38" t="n">
        <f aca="false">(1-tp_yf)*(Sens!$H$693+sbc_ab*Sens!$H$715*Sens!$H$630/Sens!$H$632)+tp_yf*(Sens!$I$693+sbc_ab*Sens!$I$715*Sens!$I$630/Sens!$I$632)</f>
        <v>96.2439586897193</v>
      </c>
    </row>
    <row r="771" customFormat="false" ht="17.15" hidden="false" customHeight="false" outlineLevel="0" collapsed="false">
      <c r="A771" s="0" t="s">
        <v>942</v>
      </c>
      <c r="B771" s="0" t="s">
        <v>57</v>
      </c>
      <c r="C771" s="30" t="n">
        <f aca="false">m_cloud*m_x</f>
        <v>13.82</v>
      </c>
    </row>
    <row r="772" customFormat="false" ht="17.15" hidden="false" customHeight="false" outlineLevel="0" collapsed="false">
      <c r="A772" s="0" t="s">
        <v>943</v>
      </c>
      <c r="B772" s="0" t="s">
        <v>86</v>
      </c>
      <c r="C772" s="38" t="n">
        <f aca="false">Sens!$C$770*Sens!$C$771</f>
        <v>1330.09150909192</v>
      </c>
    </row>
    <row r="773" customFormat="false" ht="17.15" hidden="false" customHeight="false" outlineLevel="0" collapsed="false">
      <c r="A773" s="0" t="s">
        <v>944</v>
      </c>
      <c r="B773" s="0" t="s">
        <v>86</v>
      </c>
      <c r="H773" s="38" t="n">
        <f aca="false">Sens!$H$611-tax*Sens!$H$612-ext_sh*Sens!$H$599</f>
        <v>-98.321499373511</v>
      </c>
      <c r="I773" s="38" t="n">
        <f aca="false">Sens!$I$611-tax*Sens!$I$612-ext_sh*Sens!$I$599</f>
        <v>-53.9011879804752</v>
      </c>
      <c r="J773" s="38" t="n">
        <f aca="false">Sens!$J$611-tax*Sens!$J$612-ext_sh*Sens!$J$599</f>
        <v>-8.44966011124444</v>
      </c>
      <c r="K773" s="38" t="n">
        <f aca="false">Sens!$K$611-tax*Sens!$K$612-ext_sh*Sens!$K$599</f>
        <v>78.2951335967949</v>
      </c>
      <c r="L773" s="38" t="n">
        <f aca="false">Sens!$L$611-tax*Sens!$L$612-ext_sh*Sens!$L$599</f>
        <v>125.341929490221</v>
      </c>
      <c r="M773" s="38" t="n">
        <f aca="false">Sens!$M$611-tax*Sens!$M$612-ext_sh*Sens!$M$599</f>
        <v>139.262816520588</v>
      </c>
    </row>
    <row r="774" customFormat="false" ht="17.15" hidden="false" customHeight="false" outlineLevel="0" collapsed="false">
      <c r="A774" s="5" t="s">
        <v>945</v>
      </c>
      <c r="B774" s="0" t="s">
        <v>86</v>
      </c>
      <c r="H774" s="38" t="n">
        <f aca="false">Sens!$H$773*Sens!$H$751</f>
        <v>-93.1843308530092</v>
      </c>
      <c r="I774" s="38" t="n">
        <f aca="false">Sens!$I$773*Sens!$I$751</f>
        <v>-45.8861406058788</v>
      </c>
      <c r="J774" s="38" t="n">
        <f aca="false">Sens!$J$773*Sens!$J$751</f>
        <v>-6.46117093058188</v>
      </c>
      <c r="K774" s="38" t="n">
        <f aca="false">Sens!$K$773*Sens!$K$751</f>
        <v>53.7768743751527</v>
      </c>
      <c r="L774" s="38" t="n">
        <f aca="false">Sens!$L$773*Sens!$L$751</f>
        <v>77.3296348013563</v>
      </c>
      <c r="M774" s="38" t="n">
        <f aca="false">Sens!$M$773*Sens!$M$751</f>
        <v>77.1744519270674</v>
      </c>
    </row>
    <row r="775" customFormat="false" ht="17.15" hidden="false" customHeight="false" outlineLevel="0" collapsed="false">
      <c r="A775" s="5" t="s">
        <v>946</v>
      </c>
      <c r="B775" s="0" t="s">
        <v>86</v>
      </c>
      <c r="C775" s="38" t="n">
        <f aca="false">Sens!$M$612*(1-tax)*(1+tg)*(1-tg/ronic)/(wacc-tg)</f>
        <v>1159.87925296901</v>
      </c>
    </row>
    <row r="776" customFormat="false" ht="17.15" hidden="false" customHeight="false" outlineLevel="0" collapsed="false">
      <c r="A776" s="0" t="s">
        <v>947</v>
      </c>
      <c r="B776" s="0" t="s">
        <v>86</v>
      </c>
      <c r="C776" s="38" t="n">
        <f aca="false">(SUM(Sens!$I$774:$M$774)+Sens!$C$775/(1+wacc)^6)*(1+wacc)^tp_yf</f>
        <v>835.673182682478</v>
      </c>
    </row>
    <row r="777" customFormat="false" ht="17.15" hidden="false" customHeight="false" outlineLevel="0" collapsed="false">
      <c r="A777" s="5" t="s">
        <v>948</v>
      </c>
      <c r="B777" s="0" t="s">
        <v>86</v>
      </c>
      <c r="C777" s="38" t="n">
        <f aca="false">(1-tp_yf)*(Sens!$H$694)+tp_yf*(Sens!$I$694)</f>
        <v>113.953578280354</v>
      </c>
    </row>
    <row r="778" customFormat="false" ht="17.15" hidden="false" customHeight="false" outlineLevel="0" collapsed="false">
      <c r="A778" s="5" t="s">
        <v>949</v>
      </c>
      <c r="B778" s="0" t="s">
        <v>86</v>
      </c>
      <c r="C778" s="38" t="n">
        <f aca="false">Sens!$C$777*m_ai</f>
        <v>683.721469682122</v>
      </c>
    </row>
    <row r="779" customFormat="false" ht="17.15" hidden="false" customHeight="false" outlineLevel="0" collapsed="false">
      <c r="A779" s="0" t="s">
        <v>950</v>
      </c>
      <c r="B779" s="0" t="s">
        <v>86</v>
      </c>
      <c r="C779" s="38" t="n">
        <f aca="false">IF(ai_leg=1,Sens!$C$776,Sens!$C$778)</f>
        <v>835.673182682478</v>
      </c>
    </row>
    <row r="780" customFormat="false" ht="17.15" hidden="false" customHeight="false" outlineLevel="0" collapsed="false">
      <c r="A780" s="5" t="s">
        <v>951</v>
      </c>
      <c r="B780" s="0" t="s">
        <v>86</v>
      </c>
      <c r="C780" s="38" t="n">
        <f aca="false">Sens!$C$766+Sens!$C$769+Sens!$C$772+Sens!$C$779</f>
        <v>3616.69887951102</v>
      </c>
    </row>
    <row r="781" customFormat="false" ht="17.15" hidden="false" customHeight="false" outlineLevel="0" collapsed="false">
      <c r="A781" s="5" t="s">
        <v>952</v>
      </c>
      <c r="B781" s="0" t="s">
        <v>86</v>
      </c>
      <c r="C781" s="38" t="n">
        <f aca="false">Sens!$H$734+fin_debt</f>
        <v>132.935208184526</v>
      </c>
    </row>
    <row r="782" customFormat="false" ht="15" hidden="false" customHeight="false" outlineLevel="0" collapsed="false">
      <c r="A782" s="5" t="s">
        <v>953</v>
      </c>
      <c r="B782" s="0" t="s">
        <v>86</v>
      </c>
      <c r="C782" s="38" t="n">
        <f aca="false">Sens!$C$780-Sens!$C$781+Sens!$C$759</f>
        <v>3662.70767132649</v>
      </c>
    </row>
    <row r="783" customFormat="false" ht="15" hidden="false" customHeight="false" outlineLevel="0" collapsed="false">
      <c r="A783" s="3" t="s">
        <v>954</v>
      </c>
      <c r="B783" s="8" t="s">
        <v>27</v>
      </c>
      <c r="C783" s="30" t="n">
        <f aca="false">Sens!$C$782/sh_val</f>
        <v>332.058332276533</v>
      </c>
    </row>
    <row r="784" customFormat="false" ht="17.15" hidden="false" customHeight="false" outlineLevel="0" collapsed="false">
      <c r="A784" s="47" t="s">
        <v>955</v>
      </c>
      <c r="B784" s="14" t="s">
        <v>27</v>
      </c>
      <c r="C784" s="44" t="n">
        <f aca="false">w_dcf*Sens!$C$762+(1-w_dcf)*Sens!$C$783</f>
        <v>267.749510202367</v>
      </c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 customFormat="false" ht="17.15" hidden="false" customHeight="false" outlineLevel="0" collapsed="false">
      <c r="A785" s="5" t="s">
        <v>956</v>
      </c>
      <c r="B785" s="0" t="s">
        <v>27</v>
      </c>
      <c r="C785" s="30" t="n">
        <f aca="false">v022_wdcf*Sens!$C$762+(1-v022_wdcf)*Sens!$C$783</f>
        <v>274.180392409783</v>
      </c>
    </row>
    <row r="786" customFormat="false" ht="17.15" hidden="false" customHeight="false" outlineLevel="0" collapsed="false">
      <c r="A786" s="5" t="s">
        <v>957</v>
      </c>
      <c r="B786" s="0" t="s">
        <v>27</v>
      </c>
      <c r="C786" s="30" t="n">
        <f aca="false">(Sens!$C$782-Sens!$C$779+Sens!$C$778)/sh_val</f>
        <v>318.282503864</v>
      </c>
    </row>
    <row r="789" customFormat="false" ht="19.4" hidden="false" customHeight="false" outlineLevel="0" collapsed="false">
      <c r="A789" s="31" t="s">
        <v>1150</v>
      </c>
    </row>
    <row r="790" customFormat="false" ht="17.15" hidden="false" customHeight="false" outlineLevel="0" collapsed="false">
      <c r="A790" s="6" t="s">
        <v>16</v>
      </c>
      <c r="B790" s="6" t="s">
        <v>17</v>
      </c>
      <c r="C790" s="20" t="s">
        <v>497</v>
      </c>
      <c r="D790" s="20" t="s">
        <v>498</v>
      </c>
      <c r="E790" s="20" t="s">
        <v>580</v>
      </c>
      <c r="F790" s="20" t="s">
        <v>581</v>
      </c>
      <c r="G790" s="20" t="s">
        <v>582</v>
      </c>
      <c r="H790" s="20" t="s">
        <v>583</v>
      </c>
      <c r="I790" s="20" t="s">
        <v>584</v>
      </c>
      <c r="J790" s="20" t="s">
        <v>585</v>
      </c>
      <c r="K790" s="20" t="s">
        <v>586</v>
      </c>
      <c r="L790" s="20" t="s">
        <v>587</v>
      </c>
      <c r="M790" s="20" t="s">
        <v>588</v>
      </c>
      <c r="N790" s="20" t="s">
        <v>589</v>
      </c>
      <c r="O790" s="20" t="s">
        <v>590</v>
      </c>
      <c r="P790" s="6" t="s">
        <v>23</v>
      </c>
      <c r="R790" s="20" t="n">
        <v>2023</v>
      </c>
      <c r="S790" s="20" t="n">
        <v>2024</v>
      </c>
      <c r="T790" s="20" t="n">
        <v>2025</v>
      </c>
      <c r="U790" s="20" t="n">
        <v>2026</v>
      </c>
      <c r="V790" s="20" t="n">
        <v>2027</v>
      </c>
      <c r="W790" s="20" t="n">
        <v>2028</v>
      </c>
      <c r="X790" s="20" t="n">
        <v>2029</v>
      </c>
      <c r="Y790" s="20" t="n">
        <v>2030</v>
      </c>
      <c r="Z790" s="20" t="n">
        <v>2031</v>
      </c>
      <c r="AA790" s="20" t="n">
        <v>2032</v>
      </c>
    </row>
    <row r="791" customFormat="false" ht="17.15" hidden="false" customHeight="false" outlineLevel="0" collapsed="false">
      <c r="A791" s="1" t="s">
        <v>666</v>
      </c>
    </row>
    <row r="792" customFormat="false" ht="17.15" hidden="false" customHeight="false" outlineLevel="0" collapsed="false">
      <c r="A792" s="0" t="s">
        <v>519</v>
      </c>
      <c r="B792" s="0" t="s">
        <v>86</v>
      </c>
      <c r="C792" s="38" t="n">
        <f aca="false">Q!$D$10</f>
        <v>247.029</v>
      </c>
      <c r="D792" s="38" t="n">
        <f aca="false">Q!$E$10</f>
        <v>269.287</v>
      </c>
      <c r="E792" s="38" t="n">
        <f aca="false">Q!$P$10</f>
        <v>134.686</v>
      </c>
      <c r="F792" s="38" t="n">
        <f aca="false">Sens!$O$792*(1+Sens!$F$793)*Sens!$F$804</f>
        <v>158.293876822267</v>
      </c>
      <c r="G792" s="38" t="n">
        <f aca="false">Sens!$E$792+Sens!$F$792</f>
        <v>292.979876822267</v>
      </c>
      <c r="H792" s="38" t="n">
        <f aca="false">Sens!$G$792*(1+Sens!$H$793)</f>
        <v>318.184543087396</v>
      </c>
      <c r="I792" s="38" t="n">
        <f aca="false">Sens!$H$792*(1+Sens!$I$793)</f>
        <v>341.736278761793</v>
      </c>
      <c r="J792" s="38" t="n">
        <f aca="false">Sens!$I$792*(1+Sens!$J$793)</f>
        <v>362.927192787048</v>
      </c>
      <c r="K792" s="38" t="n">
        <f aca="false">Sens!$J$792*(1+Sens!$K$793)</f>
        <v>381.0735524264</v>
      </c>
      <c r="L792" s="38" t="n">
        <f aca="false">Sens!$K$792*(1+Sens!$L$793)</f>
        <v>400.12723004772</v>
      </c>
      <c r="M792" s="38" t="n">
        <f aca="false">Sens!$L$792*(1+Sens!$M$793)</f>
        <v>420.133591550106</v>
      </c>
      <c r="N792" s="38" t="n">
        <f aca="false">Q!$N$10</f>
        <v>118.892</v>
      </c>
      <c r="O792" s="38" t="n">
        <f aca="false">Q!$O$10</f>
        <v>150.395</v>
      </c>
      <c r="P792" s="8" t="s">
        <v>667</v>
      </c>
    </row>
    <row r="793" customFormat="false" ht="17.15" hidden="false" customHeight="false" outlineLevel="0" collapsed="false">
      <c r="A793" s="0" t="s">
        <v>668</v>
      </c>
      <c r="B793" s="0" t="s">
        <v>52</v>
      </c>
      <c r="E793" s="13" t="n">
        <f aca="false">Sens!$E$792/Sens!$N$792-1</f>
        <v>0.132843252699929</v>
      </c>
      <c r="F793" s="13" t="n">
        <f aca="false">Sens!$O$792/(Q!$F$10+Q!$G$10)-1</f>
        <v>0.0980382135842941</v>
      </c>
      <c r="G793" s="13" t="n">
        <f aca="false">Sens!$G$792/Sens!$D$792-1</f>
        <v>0.0879837378791657</v>
      </c>
      <c r="H793" s="13" t="n">
        <f aca="false">Sens!$F$793+(g_os-Sens!$F$793)*1/4</f>
        <v>0.0860286601882206</v>
      </c>
      <c r="I793" s="13" t="n">
        <f aca="false">Sens!$F$793+(g_os-Sens!$F$793)*2/4</f>
        <v>0.074019106792147</v>
      </c>
      <c r="J793" s="13" t="n">
        <f aca="false">Sens!$F$793+(g_os-Sens!$F$793)*3/4</f>
        <v>0.0620095533960735</v>
      </c>
      <c r="K793" s="13" t="n">
        <f aca="false">Sens!$F$793+(g_os-Sens!$F$793)*4/4</f>
        <v>0.05</v>
      </c>
      <c r="L793" s="13" t="n">
        <f aca="false">g_os</f>
        <v>0.05</v>
      </c>
      <c r="M793" s="13" t="n">
        <f aca="false">g_os</f>
        <v>0.05</v>
      </c>
      <c r="P793" s="8" t="s">
        <v>669</v>
      </c>
    </row>
    <row r="794" customFormat="false" ht="17.15" hidden="false" customHeight="false" outlineLevel="0" collapsed="false">
      <c r="A794" s="0" t="s">
        <v>520</v>
      </c>
      <c r="B794" s="0" t="s">
        <v>86</v>
      </c>
      <c r="C794" s="38" t="n">
        <f aca="false">Q!$D$11</f>
        <v>21.215</v>
      </c>
      <c r="D794" s="38" t="n">
        <f aca="false">Q!$E$11</f>
        <v>22.561</v>
      </c>
      <c r="E794" s="38" t="n">
        <f aca="false">Q!$P$11</f>
        <v>11.579</v>
      </c>
      <c r="F794" s="38" t="n">
        <f aca="false">Sens!$O$794*(1+Sens!$F$795)*Sens!$F$804</f>
        <v>11.5938724610325</v>
      </c>
      <c r="G794" s="38" t="n">
        <f aca="false">Sens!$E$794+Sens!$F$794</f>
        <v>23.1728724610325</v>
      </c>
      <c r="H794" s="38" t="n">
        <f aca="false">Sens!$G$794*(1+Sens!$H$795)</f>
        <v>24.353392759506</v>
      </c>
      <c r="I794" s="38" t="n">
        <f aca="false">Sens!$H$794*(1+Sens!$I$795)</f>
        <v>25.4240338872015</v>
      </c>
      <c r="J794" s="38" t="n">
        <f aca="false">Sens!$I$794*(1+Sens!$J$795)</f>
        <v>26.3642491017174</v>
      </c>
      <c r="K794" s="38" t="n">
        <f aca="false">Sens!$J$794*(1+Sens!$K$795)</f>
        <v>27.155176574769</v>
      </c>
      <c r="L794" s="38" t="n">
        <f aca="false">Sens!$K$794*(1+Sens!$L$795)</f>
        <v>27.969831872012</v>
      </c>
      <c r="M794" s="38" t="n">
        <f aca="false">Sens!$L$794*(1+Sens!$M$795)</f>
        <v>28.8089268281724</v>
      </c>
      <c r="N794" s="38" t="n">
        <f aca="false">Q!$N$11</f>
        <v>11.128</v>
      </c>
      <c r="O794" s="38" t="n">
        <f aca="false">Q!$O$11</f>
        <v>11.433</v>
      </c>
      <c r="P794" s="8" t="s">
        <v>667</v>
      </c>
    </row>
    <row r="795" customFormat="false" ht="17.15" hidden="false" customHeight="false" outlineLevel="0" collapsed="false">
      <c r="A795" s="0" t="s">
        <v>670</v>
      </c>
      <c r="B795" s="0" t="s">
        <v>52</v>
      </c>
      <c r="E795" s="13" t="n">
        <f aca="false">Sens!$E$794/Sens!$N$794-1</f>
        <v>0.0405283968368082</v>
      </c>
      <c r="F795" s="13" t="n">
        <f aca="false">Sens!$O$794/(Q!$F$11+Q!$G$11)-1</f>
        <v>0.0579254187100955</v>
      </c>
      <c r="G795" s="13" t="n">
        <f aca="false">Sens!$G$794/Sens!$D$794-1</f>
        <v>0.0271208040881397</v>
      </c>
      <c r="H795" s="13" t="n">
        <f aca="false">Sens!$F$795+(g_ps-Sens!$F$795)*1/4</f>
        <v>0.0509440640325716</v>
      </c>
      <c r="I795" s="13" t="n">
        <f aca="false">Sens!$F$795+(g_ps-Sens!$F$795)*2/4</f>
        <v>0.0439627093550477</v>
      </c>
      <c r="J795" s="13" t="n">
        <f aca="false">Sens!$F$795+(g_ps-Sens!$F$795)*3/4</f>
        <v>0.0369813546775239</v>
      </c>
      <c r="K795" s="13" t="n">
        <f aca="false">Sens!$F$795+(g_ps-Sens!$F$795)*4/4</f>
        <v>0.03</v>
      </c>
      <c r="L795" s="13" t="n">
        <f aca="false">g_ps</f>
        <v>0.03</v>
      </c>
      <c r="M795" s="13" t="n">
        <f aca="false">g_ps</f>
        <v>0.03</v>
      </c>
      <c r="P795" s="8" t="s">
        <v>671</v>
      </c>
    </row>
    <row r="796" customFormat="false" ht="17.15" hidden="false" customHeight="false" outlineLevel="0" collapsed="false">
      <c r="A796" s="0" t="s">
        <v>521</v>
      </c>
      <c r="B796" s="0" t="s">
        <v>86</v>
      </c>
      <c r="C796" s="38" t="n">
        <f aca="false">Q!$D$12</f>
        <v>156.146</v>
      </c>
      <c r="D796" s="38" t="n">
        <f aca="false">Q!$E$12</f>
        <v>172.162</v>
      </c>
      <c r="E796" s="38" t="n">
        <f aca="false">Q!$P$12</f>
        <v>88.358</v>
      </c>
      <c r="F796" s="38" t="n">
        <f aca="false">Sens!$O$796*(1+Sens!$F$797)*Sens!$F$804</f>
        <v>102.004388260171</v>
      </c>
      <c r="G796" s="38" t="n">
        <f aca="false">Sens!$E$796+Sens!$F$796</f>
        <v>190.362388260171</v>
      </c>
      <c r="H796" s="38" t="n">
        <f aca="false">Sens!$G$796*(1+Sens!$H$797)</f>
        <v>210.343106588311</v>
      </c>
      <c r="I796" s="38" t="n">
        <f aca="false">Sens!$H$796*(1+Sens!$I$797)</f>
        <v>229.969728494648</v>
      </c>
      <c r="J796" s="38" t="n">
        <f aca="false">Sens!$I$796*(1+Sens!$J$797)</f>
        <v>248.747636972598</v>
      </c>
      <c r="K796" s="38" t="n">
        <f aca="false">Sens!$J$796*(1+Sens!$K$797)</f>
        <v>266.15997156068</v>
      </c>
      <c r="L796" s="38" t="n">
        <f aca="false">Sens!$K$796*(1+Sens!$L$797)</f>
        <v>284.791169569927</v>
      </c>
      <c r="M796" s="38" t="n">
        <f aca="false">Sens!$L$796*(1+Sens!$M$797)</f>
        <v>304.726551439822</v>
      </c>
      <c r="N796" s="38" t="n">
        <f aca="false">Q!$N$12</f>
        <v>76.86</v>
      </c>
      <c r="O796" s="38" t="n">
        <f aca="false">Q!$O$12</f>
        <v>95.302</v>
      </c>
      <c r="P796" s="8" t="s">
        <v>667</v>
      </c>
    </row>
    <row r="797" customFormat="false" ht="17.15" hidden="false" customHeight="false" outlineLevel="0" collapsed="false">
      <c r="A797" s="0" t="s">
        <v>672</v>
      </c>
      <c r="B797" s="0" t="s">
        <v>52</v>
      </c>
      <c r="E797" s="13" t="n">
        <f aca="false">Sens!$E$796/Sens!$N$796-1</f>
        <v>0.1495966692688</v>
      </c>
      <c r="F797" s="13" t="n">
        <f aca="false">Sens!$O$796/(Q!$F$12+Q!$G$12)-1</f>
        <v>0.11661530890813</v>
      </c>
      <c r="G797" s="13" t="n">
        <f aca="false">Sens!$G$796/Sens!$D$796-1</f>
        <v>0.105716640490767</v>
      </c>
      <c r="H797" s="13" t="n">
        <f aca="false">Sens!$F$797+(g_sp-Sens!$F$797)*1/4</f>
        <v>0.104961481681098</v>
      </c>
      <c r="I797" s="13" t="n">
        <f aca="false">Sens!$F$797+(g_sp-Sens!$F$797)*2/4</f>
        <v>0.0933076544540651</v>
      </c>
      <c r="J797" s="13" t="n">
        <f aca="false">Sens!$F$797+(g_sp-Sens!$F$797)*3/4</f>
        <v>0.0816538272270325</v>
      </c>
      <c r="K797" s="13" t="n">
        <f aca="false">Sens!$F$797+(g_sp-Sens!$F$797)*4/4</f>
        <v>0.07</v>
      </c>
      <c r="L797" s="13" t="n">
        <f aca="false">g_sp</f>
        <v>0.07</v>
      </c>
      <c r="M797" s="13" t="n">
        <f aca="false">g_sp</f>
        <v>0.07</v>
      </c>
      <c r="P797" s="8" t="s">
        <v>673</v>
      </c>
    </row>
    <row r="798" customFormat="false" ht="17.15" hidden="false" customHeight="false" outlineLevel="0" collapsed="false">
      <c r="A798" s="0" t="s">
        <v>522</v>
      </c>
      <c r="B798" s="0" t="s">
        <v>86</v>
      </c>
      <c r="C798" s="38" t="n">
        <f aca="false">Q!$D$13</f>
        <v>56.214</v>
      </c>
      <c r="D798" s="38" t="n">
        <f aca="false">Q!$E$13</f>
        <v>68.635</v>
      </c>
      <c r="E798" s="38" t="n">
        <f aca="false">Q!$P$13</f>
        <v>37.052</v>
      </c>
      <c r="F798" s="38" t="n">
        <f aca="false">Sens!$O$798*(1+Sens!$F$799)*Sens!$F$804</f>
        <v>46.1572219944148</v>
      </c>
      <c r="G798" s="38" t="n">
        <f aca="false">Sens!$E$798+Sens!$F$798</f>
        <v>83.2092219944148</v>
      </c>
      <c r="H798" s="38" t="n">
        <f aca="false">Sens!$G$798*(1+Sens!$H$799)</f>
        <v>99.8969223878976</v>
      </c>
      <c r="I798" s="38" t="n">
        <f aca="false">Sens!$H$798*(1+Sens!$I$799)</f>
        <v>116.583111095496</v>
      </c>
      <c r="J798" s="38" t="n">
        <f aca="false">Sens!$I$798*(1+Sens!$J$799)</f>
        <v>132.148941941952</v>
      </c>
      <c r="K798" s="38" t="n">
        <f aca="false">Sens!$J$798*(1+Sens!$K$799)</f>
        <v>145.363836136147</v>
      </c>
      <c r="L798" s="38" t="n">
        <f aca="false">Sens!$K$798*(1+Sens!$L$799)</f>
        <v>159.900219749762</v>
      </c>
      <c r="M798" s="38" t="n">
        <f aca="false">Sens!$L$798*(1+Sens!$M$799)</f>
        <v>175.890241724738</v>
      </c>
      <c r="N798" s="38" t="n">
        <f aca="false">Q!$N$13</f>
        <v>29.615</v>
      </c>
      <c r="O798" s="38" t="n">
        <f aca="false">Q!$O$13</f>
        <v>39.02</v>
      </c>
      <c r="P798" s="8" t="s">
        <v>667</v>
      </c>
    </row>
    <row r="799" customFormat="false" ht="17.15" hidden="false" customHeight="false" outlineLevel="0" collapsed="false">
      <c r="A799" s="0" t="s">
        <v>674</v>
      </c>
      <c r="B799" s="0" t="s">
        <v>52</v>
      </c>
      <c r="E799" s="13" t="n">
        <f aca="false">Sens!$E$798/Sens!$N$798-1</f>
        <v>0.25112274185379</v>
      </c>
      <c r="F799" s="13" t="n">
        <f aca="false">Sens!$O$798/(Q!$F$13+Q!$G$13)-1</f>
        <v>0.234068123596572</v>
      </c>
      <c r="G799" s="13" t="n">
        <f aca="false">Sens!$G$798/Sens!$D$798-1</f>
        <v>0.212343876949294</v>
      </c>
      <c r="H799" s="13" t="n">
        <f aca="false">Sens!$F$799+(g_ad-Sens!$F$799)*1/4</f>
        <v>0.200551092697429</v>
      </c>
      <c r="I799" s="13" t="n">
        <f aca="false">Sens!$F$799+(g_ad-Sens!$F$799)*2/4</f>
        <v>0.167034061798286</v>
      </c>
      <c r="J799" s="13" t="n">
        <f aca="false">Sens!$F$799+(g_ad-Sens!$F$799)*3/4</f>
        <v>0.133517030899143</v>
      </c>
      <c r="K799" s="13" t="n">
        <f aca="false">Sens!$F$799+(g_ad-Sens!$F$799)*4/4</f>
        <v>0.1</v>
      </c>
      <c r="L799" s="13" t="n">
        <f aca="false">g_ad</f>
        <v>0.1</v>
      </c>
      <c r="M799" s="13" t="n">
        <f aca="false">g_ad</f>
        <v>0.1</v>
      </c>
      <c r="P799" s="8" t="s">
        <v>675</v>
      </c>
    </row>
    <row r="800" customFormat="false" ht="17.15" hidden="false" customHeight="false" outlineLevel="0" collapsed="false">
      <c r="A800" s="0" t="s">
        <v>523</v>
      </c>
      <c r="B800" s="0" t="s">
        <v>86</v>
      </c>
      <c r="C800" s="38" t="n">
        <f aca="false">Q!$D$14</f>
        <v>44.374</v>
      </c>
      <c r="D800" s="38" t="n">
        <f aca="false">Q!$E$14</f>
        <v>49.619</v>
      </c>
      <c r="E800" s="38" t="n">
        <f aca="false">Q!$P$14</f>
        <v>27.157</v>
      </c>
      <c r="F800" s="38" t="n">
        <f aca="false">Sens!$O$800*(1+Sens!$F$801)*Sens!$F$804</f>
        <v>27.7764165988154</v>
      </c>
      <c r="G800" s="38" t="n">
        <f aca="false">Sens!$E$800+Sens!$F$800</f>
        <v>54.9334165988154</v>
      </c>
      <c r="H800" s="38" t="n">
        <f aca="false">Sens!$G$800*(1+Sens!$H$801)</f>
        <v>61.1564112561829</v>
      </c>
      <c r="I800" s="38" t="n">
        <f aca="false">Sens!$H$800*(1+Sens!$I$801)</f>
        <v>67.2020282103945</v>
      </c>
      <c r="J800" s="38" t="n">
        <f aca="false">Sens!$I$800*(1+Sens!$J$801)</f>
        <v>72.8757274028885</v>
      </c>
      <c r="K800" s="38" t="n">
        <f aca="false">Sens!$J$800*(1+Sens!$K$801)</f>
        <v>77.9770283210907</v>
      </c>
      <c r="L800" s="38" t="n">
        <f aca="false">Sens!$K$800*(1+Sens!$L$801)</f>
        <v>83.4354203035671</v>
      </c>
      <c r="M800" s="38" t="n">
        <f aca="false">Sens!$L$800*(1+Sens!$M$801)</f>
        <v>89.2758997248168</v>
      </c>
      <c r="N800" s="38" t="n">
        <f aca="false">Q!$N$14</f>
        <v>23.923</v>
      </c>
      <c r="O800" s="38" t="n">
        <f aca="false">Q!$O$14</f>
        <v>25.696</v>
      </c>
      <c r="P800" s="8" t="s">
        <v>667</v>
      </c>
    </row>
    <row r="801" customFormat="false" ht="17.15" hidden="false" customHeight="false" outlineLevel="0" collapsed="false">
      <c r="A801" s="0" t="s">
        <v>676</v>
      </c>
      <c r="B801" s="0" t="s">
        <v>52</v>
      </c>
      <c r="E801" s="13" t="n">
        <f aca="false">Sens!$E$800/Sens!$N$800-1</f>
        <v>0.135183714417088</v>
      </c>
      <c r="F801" s="13" t="n">
        <f aca="false">Sens!$O$800/(Q!$F$14+Q!$G$14)-1</f>
        <v>0.127709997366804</v>
      </c>
      <c r="G801" s="13" t="n">
        <f aca="false">Sens!$G$800/Sens!$D$800-1</f>
        <v>0.107104468022641</v>
      </c>
      <c r="H801" s="13" t="n">
        <f aca="false">Sens!$F$801+(g_sub-Sens!$F$801)*1/4</f>
        <v>0.113282498025103</v>
      </c>
      <c r="I801" s="13" t="n">
        <f aca="false">Sens!$F$801+(g_sub-Sens!$F$801)*2/4</f>
        <v>0.0988549986834021</v>
      </c>
      <c r="J801" s="13" t="n">
        <f aca="false">Sens!$F$801+(g_sub-Sens!$F$801)*3/4</f>
        <v>0.084427499341701</v>
      </c>
      <c r="K801" s="13" t="n">
        <f aca="false">Sens!$F$801+(g_sub-Sens!$F$801)*4/4</f>
        <v>0.07</v>
      </c>
      <c r="L801" s="13" t="n">
        <f aca="false">g_sub</f>
        <v>0.07</v>
      </c>
      <c r="M801" s="13" t="n">
        <f aca="false">g_sub</f>
        <v>0.07</v>
      </c>
      <c r="P801" s="8" t="s">
        <v>677</v>
      </c>
    </row>
    <row r="802" customFormat="false" ht="17.15" hidden="false" customHeight="false" outlineLevel="0" collapsed="false">
      <c r="A802" s="0" t="s">
        <v>524</v>
      </c>
      <c r="B802" s="0" t="s">
        <v>86</v>
      </c>
      <c r="C802" s="38" t="n">
        <f aca="false">Q!$D$15</f>
        <v>5.425</v>
      </c>
      <c r="D802" s="38" t="n">
        <f aca="false">Q!$E$15</f>
        <v>5.935</v>
      </c>
      <c r="E802" s="38" t="n">
        <f aca="false">Q!$P$15</f>
        <v>3.474</v>
      </c>
      <c r="F802" s="38" t="n">
        <f aca="false">Sens!$O$802*(1+Sens!$F$803)*Sens!$F$804</f>
        <v>3.22246550883619</v>
      </c>
      <c r="G802" s="38" t="n">
        <f aca="false">Sens!$E$802+Sens!$F$802</f>
        <v>6.69646550883619</v>
      </c>
      <c r="H802" s="38" t="n">
        <f aca="false">Sens!$G$802*(1+Sens!$H$803)</f>
        <v>7.16251344209196</v>
      </c>
      <c r="I802" s="38" t="n">
        <f aca="false">Sens!$H$802*(1+Sens!$I$803)</f>
        <v>7.61421070299826</v>
      </c>
      <c r="J802" s="38" t="n">
        <f aca="false">Sens!$I$802*(1+Sens!$J$803)</f>
        <v>8.04465753523932</v>
      </c>
      <c r="K802" s="38" t="n">
        <f aca="false">Sens!$J$802*(1+Sens!$K$803)</f>
        <v>8.44689041200128</v>
      </c>
      <c r="L802" s="38" t="n">
        <f aca="false">Sens!$K$802*(1+Sens!$L$803)</f>
        <v>8.86923493260135</v>
      </c>
      <c r="M802" s="38" t="n">
        <f aca="false">Sens!$L$802*(1+Sens!$M$803)</f>
        <v>9.31269667923142</v>
      </c>
      <c r="N802" s="38" t="n">
        <f aca="false">Q!$N$15</f>
        <v>2.811</v>
      </c>
      <c r="O802" s="38" t="n">
        <f aca="false">Q!$O$15</f>
        <v>3.124</v>
      </c>
      <c r="P802" s="8" t="s">
        <v>667</v>
      </c>
    </row>
    <row r="803" customFormat="false" ht="17.15" hidden="false" customHeight="false" outlineLevel="0" collapsed="false">
      <c r="A803" s="0" t="s">
        <v>678</v>
      </c>
      <c r="B803" s="0" t="s">
        <v>52</v>
      </c>
      <c r="E803" s="13" t="n">
        <f aca="false">Sens!$E$802/Sens!$N$802-1</f>
        <v>0.235859124866596</v>
      </c>
      <c r="F803" s="13" t="n">
        <f aca="false">Sens!$O$802/(Q!$F$15+Q!$G$15)-1</f>
        <v>0.0761281433000345</v>
      </c>
      <c r="G803" s="13" t="n">
        <f aca="false">Sens!$G$802/Sens!$D$802-1</f>
        <v>0.128300843948811</v>
      </c>
      <c r="H803" s="13" t="n">
        <f aca="false">Sens!$F$803+(g_ot-Sens!$F$803)*1/4</f>
        <v>0.0695961074750259</v>
      </c>
      <c r="I803" s="13" t="n">
        <f aca="false">Sens!$F$803+(g_ot-Sens!$F$803)*2/4</f>
        <v>0.0630640716500172</v>
      </c>
      <c r="J803" s="13" t="n">
        <f aca="false">Sens!$F$803+(g_ot-Sens!$F$803)*3/4</f>
        <v>0.0565320358250086</v>
      </c>
      <c r="K803" s="13" t="n">
        <f aca="false">Sens!$F$803+(g_ot-Sens!$F$803)*4/4</f>
        <v>0.05</v>
      </c>
      <c r="L803" s="13" t="n">
        <f aca="false">g_ot</f>
        <v>0.05</v>
      </c>
      <c r="M803" s="13" t="n">
        <f aca="false">g_ot</f>
        <v>0.05</v>
      </c>
      <c r="P803" s="8" t="s">
        <v>679</v>
      </c>
    </row>
    <row r="804" customFormat="false" ht="17.15" hidden="false" customHeight="false" outlineLevel="0" collapsed="false">
      <c r="A804" s="0" t="s">
        <v>680</v>
      </c>
      <c r="B804" s="0" t="s">
        <v>57</v>
      </c>
      <c r="F804" s="40" t="n">
        <f aca="false">(g26q3_mid*Q!$O$8/Q!$J$8-Thesis!$F$86-Thesis!$F$90)/(Sens!$O$792*(1+Sens!$F$793)+Sens!$O$794*(1+Sens!$F$795)+Sens!$O$796*(1+Sens!$F$797)+Sens!$O$798*(1+Sens!$F$799)+Sens!$O$800*(1+Sens!$F$801)+Sens!$O$802*(1+Sens!$F$803))</f>
        <v>0.958546670622329</v>
      </c>
      <c r="P804" s="8" t="s">
        <v>681</v>
      </c>
    </row>
    <row r="805" customFormat="false" ht="17.15" hidden="false" customHeight="false" outlineLevel="0" collapsed="false">
      <c r="A805" s="3" t="s">
        <v>682</v>
      </c>
      <c r="B805" s="8" t="s">
        <v>86</v>
      </c>
      <c r="C805" s="38" t="n">
        <f aca="false">Sens!$C$792+Sens!$C$794+Sens!$C$796+Sens!$C$798+Sens!$C$800+Sens!$C$802</f>
        <v>530.403</v>
      </c>
      <c r="D805" s="38" t="n">
        <f aca="false">Sens!$D$792+Sens!$D$794+Sens!$D$796+Sens!$D$798+Sens!$D$800+Sens!$D$802</f>
        <v>588.199</v>
      </c>
      <c r="E805" s="38" t="n">
        <f aca="false">Sens!$E$792+Sens!$E$794+Sens!$E$796+Sens!$E$798+Sens!$E$800+Sens!$E$802</f>
        <v>302.306</v>
      </c>
      <c r="F805" s="38" t="n">
        <f aca="false">Sens!$F$792+Sens!$F$794+Sens!$F$796+Sens!$F$798+Sens!$F$800+Sens!$F$802</f>
        <v>349.048241645537</v>
      </c>
      <c r="G805" s="38" t="n">
        <f aca="false">Sens!$G$792+Sens!$G$794+Sens!$G$796+Sens!$G$798+Sens!$G$800+Sens!$G$802</f>
        <v>651.354241645537</v>
      </c>
      <c r="H805" s="38" t="n">
        <f aca="false">Sens!$H$792+Sens!$H$794+Sens!$H$796+Sens!$H$798+Sens!$H$800+Sens!$H$802</f>
        <v>721.096889521386</v>
      </c>
      <c r="I805" s="38" t="n">
        <f aca="false">Sens!$I$792+Sens!$I$794+Sens!$I$796+Sens!$I$798+Sens!$I$800+Sens!$I$802</f>
        <v>788.529391152531</v>
      </c>
      <c r="J805" s="38" t="n">
        <f aca="false">Sens!$J$792+Sens!$J$794+Sens!$J$796+Sens!$J$798+Sens!$J$800+Sens!$J$802</f>
        <v>851.108405741443</v>
      </c>
      <c r="K805" s="38" t="n">
        <f aca="false">Sens!$K$792+Sens!$K$794+Sens!$K$796+Sens!$K$798+Sens!$K$800+Sens!$K$802</f>
        <v>906.176455431088</v>
      </c>
      <c r="L805" s="38" t="n">
        <f aca="false">Sens!$L$792+Sens!$L$794+Sens!$L$796+Sens!$L$798+Sens!$L$800+Sens!$L$802</f>
        <v>965.093106475589</v>
      </c>
      <c r="M805" s="38" t="n">
        <f aca="false">Sens!$M$792+Sens!$M$794+Sens!$M$796+Sens!$M$798+Sens!$M$800+Sens!$M$802</f>
        <v>1028.14790794689</v>
      </c>
      <c r="N805" s="38" t="n">
        <f aca="false">Sens!$N$792+Sens!$N$794+Sens!$N$796+Sens!$N$798+Sens!$N$800+Sens!$N$802</f>
        <v>263.229</v>
      </c>
      <c r="O805" s="38" t="n">
        <f aca="false">Sens!$O$792+Sens!$O$794+Sens!$O$796+Sens!$O$798+Sens!$O$800+Sens!$O$802</f>
        <v>324.97</v>
      </c>
    </row>
    <row r="806" customFormat="false" ht="17.15" hidden="false" customHeight="false" outlineLevel="0" collapsed="false">
      <c r="A806" s="5" t="s">
        <v>683</v>
      </c>
      <c r="B806" s="0" t="s">
        <v>52</v>
      </c>
      <c r="C806" s="13" t="n">
        <f aca="false">Q!$D$5/(Q!$D$5+Q!$D$6)</f>
        <v>0.730570905519011</v>
      </c>
      <c r="D806" s="13" t="n">
        <f aca="false">Q!$E$5/(Q!$E$5+Q!$E$6)</f>
        <v>0.724763217890544</v>
      </c>
      <c r="E806" s="13" t="n">
        <f aca="false">Q!$P$5/(Q!$P$5+Q!$P$6)</f>
        <v>0.728797972914861</v>
      </c>
      <c r="F806" s="13" t="n">
        <f aca="false">Sens!$O$806</f>
        <v>0.718066283041511</v>
      </c>
      <c r="G806" s="13" t="n">
        <f aca="false">Sens!$G$807/Sens!$G$805</f>
        <v>0.723047066202847</v>
      </c>
      <c r="H806" s="13" t="n">
        <f aca="false">Sens!$G$806</f>
        <v>0.723047066202847</v>
      </c>
      <c r="I806" s="13" t="n">
        <f aca="false">Sens!$G$806</f>
        <v>0.723047066202847</v>
      </c>
      <c r="J806" s="13" t="n">
        <f aca="false">Sens!$G$806</f>
        <v>0.723047066202847</v>
      </c>
      <c r="K806" s="13" t="n">
        <f aca="false">Sens!$G$806</f>
        <v>0.723047066202847</v>
      </c>
      <c r="L806" s="13" t="n">
        <f aca="false">Sens!$G$806</f>
        <v>0.723047066202847</v>
      </c>
      <c r="M806" s="13" t="n">
        <f aca="false">Sens!$G$806</f>
        <v>0.723047066202847</v>
      </c>
      <c r="N806" s="13" t="n">
        <f aca="false">Q!$N$5/(Q!$N$5+Q!$N$6)</f>
        <v>0.733030935041352</v>
      </c>
      <c r="O806" s="13" t="n">
        <f aca="false">Q!$O$5/(Q!$O$5+Q!$O$6)</f>
        <v>0.718066283041511</v>
      </c>
      <c r="P806" s="8" t="s">
        <v>684</v>
      </c>
    </row>
    <row r="807" customFormat="false" ht="17.15" hidden="false" customHeight="false" outlineLevel="0" collapsed="false">
      <c r="A807" s="1" t="s">
        <v>512</v>
      </c>
      <c r="B807" s="8" t="s">
        <v>86</v>
      </c>
      <c r="C807" s="38" t="n">
        <f aca="false">Q!$D$5</f>
        <v>387.497</v>
      </c>
      <c r="D807" s="38" t="n">
        <f aca="false">Q!$E$5</f>
        <v>426.305</v>
      </c>
      <c r="E807" s="38" t="n">
        <f aca="false">Q!$P$5</f>
        <v>220.32</v>
      </c>
      <c r="F807" s="38" t="n">
        <f aca="false">Sens!$F$805*Sens!$F$806</f>
        <v>250.639773480586</v>
      </c>
      <c r="G807" s="38" t="n">
        <f aca="false">Sens!$E$807+Sens!$F$807</f>
        <v>470.959773480586</v>
      </c>
      <c r="H807" s="38" t="n">
        <f aca="false">Sens!$H$805*Sens!$H$806</f>
        <v>521.386990416437</v>
      </c>
      <c r="I807" s="38" t="n">
        <f aca="false">Sens!$I$805*Sens!$I$806</f>
        <v>570.143862887555</v>
      </c>
      <c r="J807" s="38" t="n">
        <f aca="false">Sens!$J$805*Sens!$J$806</f>
        <v>615.391435791933</v>
      </c>
      <c r="K807" s="38" t="n">
        <f aca="false">Sens!$K$805*Sens!$K$806</f>
        <v>655.208227561543</v>
      </c>
      <c r="L807" s="38" t="n">
        <f aca="false">Sens!$L$805*Sens!$L$806</f>
        <v>697.807739249767</v>
      </c>
      <c r="M807" s="38" t="n">
        <f aca="false">Sens!$M$805*Sens!$M$806</f>
        <v>743.399328463592</v>
      </c>
      <c r="N807" s="38" t="n">
        <f aca="false">Q!$N$5</f>
        <v>192.955</v>
      </c>
      <c r="O807" s="38" t="n">
        <f aca="false">Q!$O$5</f>
        <v>233.35</v>
      </c>
      <c r="P807" s="5" t="s">
        <v>685</v>
      </c>
    </row>
    <row r="808" customFormat="false" ht="17.15" hidden="false" customHeight="false" outlineLevel="0" collapsed="false">
      <c r="A808" s="1" t="s">
        <v>515</v>
      </c>
      <c r="B808" s="8" t="s">
        <v>86</v>
      </c>
      <c r="C808" s="38" t="n">
        <f aca="false">Q!$D$6</f>
        <v>142.906</v>
      </c>
      <c r="D808" s="38" t="n">
        <f aca="false">Q!$E$6</f>
        <v>161.894</v>
      </c>
      <c r="E808" s="38" t="n">
        <f aca="false">Q!$P$6</f>
        <v>81.986</v>
      </c>
      <c r="F808" s="38" t="n">
        <f aca="false">Sens!$F$805*(1-Sens!$F$806)</f>
        <v>98.408468164951</v>
      </c>
      <c r="G808" s="38" t="n">
        <f aca="false">Sens!$E$808+Sens!$F$808</f>
        <v>180.394468164951</v>
      </c>
      <c r="H808" s="38" t="n">
        <f aca="false">Sens!$H$805*(1-Sens!$H$806)</f>
        <v>199.709899104949</v>
      </c>
      <c r="I808" s="38" t="n">
        <f aca="false">Sens!$I$805*(1-Sens!$I$806)</f>
        <v>218.385528264976</v>
      </c>
      <c r="J808" s="38" t="n">
        <f aca="false">Sens!$J$805*(1-Sens!$J$806)</f>
        <v>235.71696994951</v>
      </c>
      <c r="K808" s="38" t="n">
        <f aca="false">Sens!$K$805*(1-Sens!$K$806)</f>
        <v>250.968227869545</v>
      </c>
      <c r="L808" s="38" t="n">
        <f aca="false">Sens!$L$805*(1-Sens!$L$806)</f>
        <v>267.285367225822</v>
      </c>
      <c r="M808" s="38" t="n">
        <f aca="false">Sens!$M$805*(1-Sens!$M$806)</f>
        <v>284.748579483295</v>
      </c>
      <c r="N808" s="38" t="n">
        <f aca="false">Q!$N$6</f>
        <v>70.274</v>
      </c>
      <c r="O808" s="38" t="n">
        <f aca="false">Q!$O$6</f>
        <v>91.62</v>
      </c>
      <c r="P808" s="5" t="s">
        <v>686</v>
      </c>
    </row>
    <row r="809" customFormat="false" ht="17.15" hidden="false" customHeight="false" outlineLevel="0" collapsed="false">
      <c r="A809" s="5" t="s">
        <v>687</v>
      </c>
      <c r="B809" s="0" t="s">
        <v>86</v>
      </c>
      <c r="C809" s="38" t="n">
        <f aca="false">Sens!$C$798*Sens!$C$806</f>
        <v>41.0683128828457</v>
      </c>
      <c r="D809" s="38" t="n">
        <f aca="false">Sens!$D$798*Sens!$D$806</f>
        <v>49.7441234599175</v>
      </c>
      <c r="E809" s="38" t="n">
        <f aca="false">Sens!$E$798*Sens!$E$806</f>
        <v>27.0034224924414</v>
      </c>
      <c r="F809" s="38" t="n">
        <f aca="false">Sens!$F$798*Sens!$F$806</f>
        <v>33.1439448330513</v>
      </c>
      <c r="G809" s="38" t="n">
        <f aca="false">Sens!$G$798*Sens!$G$806</f>
        <v>60.164183844083</v>
      </c>
      <c r="H809" s="38" t="n">
        <f aca="false">Sens!$H$798*Sens!$H$806</f>
        <v>72.2301766552629</v>
      </c>
      <c r="I809" s="38" t="n">
        <f aca="false">Sens!$I$798*Sens!$I$806</f>
        <v>84.2950764463991</v>
      </c>
      <c r="J809" s="38" t="n">
        <f aca="false">Sens!$J$798*Sens!$J$806</f>
        <v>95.5499047729386</v>
      </c>
      <c r="K809" s="38" t="n">
        <f aca="false">Sens!$K$798*Sens!$K$806</f>
        <v>105.104895250232</v>
      </c>
      <c r="L809" s="38" t="n">
        <f aca="false">Sens!$L$798*Sens!$L$806</f>
        <v>115.615384775256</v>
      </c>
      <c r="M809" s="38" t="n">
        <f aca="false">Sens!$M$798*Sens!$M$806</f>
        <v>127.176923252781</v>
      </c>
      <c r="N809" s="38" t="n">
        <f aca="false">Sens!$N$798*Sens!$N$806</f>
        <v>21.7087111412496</v>
      </c>
      <c r="O809" s="38" t="n">
        <f aca="false">Sens!$O$798*Sens!$O$806</f>
        <v>28.0189463642798</v>
      </c>
      <c r="P809" s="5" t="s">
        <v>688</v>
      </c>
    </row>
    <row r="810" customFormat="false" ht="15" hidden="false" customHeight="false" outlineLevel="0" collapsed="false">
      <c r="A810" s="5" t="s">
        <v>689</v>
      </c>
      <c r="B810" s="0" t="s">
        <v>86</v>
      </c>
      <c r="C810" s="38" t="n">
        <f aca="false">Sens!$C$798-Sens!$C$809</f>
        <v>15.1456871171543</v>
      </c>
      <c r="D810" s="38" t="n">
        <f aca="false">Sens!$D$798-Sens!$D$809</f>
        <v>18.8908765400825</v>
      </c>
      <c r="E810" s="38" t="n">
        <f aca="false">Sens!$E$798-Sens!$E$809</f>
        <v>10.0485775075586</v>
      </c>
      <c r="F810" s="38" t="n">
        <f aca="false">Sens!$F$798-Sens!$F$809</f>
        <v>13.0132771613635</v>
      </c>
      <c r="G810" s="38" t="n">
        <f aca="false">Sens!$G$798-Sens!$G$809</f>
        <v>23.0450381503318</v>
      </c>
      <c r="H810" s="38" t="n">
        <f aca="false">Sens!$H$798-Sens!$H$809</f>
        <v>27.6667457326347</v>
      </c>
      <c r="I810" s="38" t="n">
        <f aca="false">Sens!$I$798-Sens!$I$809</f>
        <v>32.2880346490971</v>
      </c>
      <c r="J810" s="38" t="n">
        <f aca="false">Sens!$J$798-Sens!$J$809</f>
        <v>36.5990371690132</v>
      </c>
      <c r="K810" s="38" t="n">
        <f aca="false">Sens!$K$798-Sens!$K$809</f>
        <v>40.2589408859145</v>
      </c>
      <c r="L810" s="38" t="n">
        <f aca="false">Sens!$L$798-Sens!$L$809</f>
        <v>44.2848349745059</v>
      </c>
      <c r="M810" s="38" t="n">
        <f aca="false">Sens!$M$798-Sens!$M$809</f>
        <v>48.7133184719565</v>
      </c>
      <c r="N810" s="38" t="n">
        <f aca="false">Sens!$N$798-Sens!$N$809</f>
        <v>7.90628885875037</v>
      </c>
      <c r="O810" s="38" t="n">
        <f aca="false">Sens!$O$798-Sens!$O$809</f>
        <v>11.0010536357202</v>
      </c>
    </row>
    <row r="811" customFormat="false" ht="19.4" hidden="false" customHeight="false" outlineLevel="0" collapsed="false">
      <c r="A811" s="31" t="s">
        <v>1151</v>
      </c>
    </row>
    <row r="812" customFormat="false" ht="17.15" hidden="false" customHeight="false" outlineLevel="0" collapsed="false">
      <c r="A812" s="6" t="s">
        <v>16</v>
      </c>
      <c r="B812" s="6" t="s">
        <v>17</v>
      </c>
      <c r="C812" s="20" t="s">
        <v>497</v>
      </c>
      <c r="D812" s="20" t="s">
        <v>498</v>
      </c>
      <c r="E812" s="20" t="s">
        <v>580</v>
      </c>
      <c r="F812" s="20" t="s">
        <v>581</v>
      </c>
      <c r="G812" s="20" t="s">
        <v>582</v>
      </c>
      <c r="H812" s="20" t="s">
        <v>583</v>
      </c>
      <c r="I812" s="20" t="s">
        <v>584</v>
      </c>
      <c r="J812" s="20" t="s">
        <v>585</v>
      </c>
      <c r="K812" s="20" t="s">
        <v>586</v>
      </c>
      <c r="L812" s="20" t="s">
        <v>587</v>
      </c>
      <c r="M812" s="20" t="s">
        <v>588</v>
      </c>
      <c r="N812" s="20" t="s">
        <v>589</v>
      </c>
      <c r="O812" s="20" t="s">
        <v>590</v>
      </c>
      <c r="P812" s="6" t="s">
        <v>23</v>
      </c>
      <c r="R812" s="20" t="n">
        <v>2023</v>
      </c>
      <c r="S812" s="20" t="n">
        <v>2024</v>
      </c>
      <c r="T812" s="20" t="n">
        <v>2025</v>
      </c>
      <c r="U812" s="20" t="n">
        <v>2026</v>
      </c>
      <c r="V812" s="20" t="n">
        <v>2027</v>
      </c>
      <c r="W812" s="20" t="n">
        <v>2028</v>
      </c>
      <c r="X812" s="20" t="n">
        <v>2029</v>
      </c>
      <c r="Y812" s="20" t="n">
        <v>2030</v>
      </c>
      <c r="Z812" s="20" t="n">
        <v>2031</v>
      </c>
      <c r="AA812" s="20" t="n">
        <v>2032</v>
      </c>
    </row>
    <row r="813" customFormat="false" ht="17.15" hidden="false" customHeight="false" outlineLevel="0" collapsed="false">
      <c r="A813" s="1" t="s">
        <v>591</v>
      </c>
    </row>
    <row r="814" customFormat="false" ht="17.15" hidden="false" customHeight="false" outlineLevel="0" collapsed="false">
      <c r="A814" s="5" t="s">
        <v>592</v>
      </c>
      <c r="B814" s="0" t="s">
        <v>144</v>
      </c>
      <c r="H814" s="32" t="n">
        <f aca="false">pace_B</f>
        <v>3634.3</v>
      </c>
      <c r="I814" s="32" t="n">
        <f aca="false">pace_B</f>
        <v>3634.3</v>
      </c>
      <c r="J814" s="32" t="n">
        <f aca="false">pace_B</f>
        <v>3634.3</v>
      </c>
      <c r="K814" s="32" t="n">
        <f aca="false">pace_B+(Sens!$J$815*tg-pace_B)*1/3</f>
        <v>2570.86716666667</v>
      </c>
      <c r="L814" s="32" t="n">
        <f aca="false">pace_B+(Sens!$J$815*tg-pace_B)*2/3</f>
        <v>1507.43433333333</v>
      </c>
      <c r="M814" s="32" t="n">
        <f aca="false">pace_B+(Sens!$J$815*tg-pace_B)*3/3</f>
        <v>444.0015</v>
      </c>
      <c r="P814" s="5" t="s">
        <v>593</v>
      </c>
    </row>
    <row r="815" customFormat="false" ht="17.15" hidden="false" customHeight="false" outlineLevel="0" collapsed="false">
      <c r="A815" s="15" t="s">
        <v>594</v>
      </c>
      <c r="B815" s="14" t="s">
        <v>129</v>
      </c>
      <c r="C815" s="33" t="n">
        <f aca="false">mw_ye24</f>
        <v>360</v>
      </c>
      <c r="D815" s="33" t="n">
        <f aca="false">mw_ye25</f>
        <v>1440</v>
      </c>
      <c r="E815" s="33" t="n">
        <f aca="false">mw_open</f>
        <v>2080</v>
      </c>
      <c r="F815" s="33" t="n">
        <f aca="false">Sens!$E$815+pace_B*0.5</f>
        <v>3897.15</v>
      </c>
      <c r="G815" s="33" t="n">
        <f aca="false">Sens!$F$815</f>
        <v>3897.15</v>
      </c>
      <c r="H815" s="33" t="n">
        <f aca="false">Sens!$G$815+Sens!$H$814</f>
        <v>7531.45</v>
      </c>
      <c r="I815" s="33" t="n">
        <f aca="false">Sens!$H$815+Sens!$I$814</f>
        <v>11165.75</v>
      </c>
      <c r="J815" s="33" t="n">
        <f aca="false">Sens!$I$815+Sens!$J$814</f>
        <v>14800.05</v>
      </c>
      <c r="K815" s="33" t="n">
        <f aca="false">Sens!$J$815+Sens!$K$814</f>
        <v>17370.9171666667</v>
      </c>
      <c r="L815" s="33" t="n">
        <f aca="false">Sens!$K$815+Sens!$L$814</f>
        <v>18878.3515</v>
      </c>
      <c r="M815" s="33" t="n">
        <f aca="false">Sens!$L$815+Sens!$M$814</f>
        <v>19322.353</v>
      </c>
      <c r="N815" s="33" t="n">
        <f aca="false">(mw_ye24+mw_ye25)/2</f>
        <v>900</v>
      </c>
      <c r="O815" s="33" t="n">
        <f aca="false">mw_ye25</f>
        <v>1440</v>
      </c>
      <c r="P815" s="5" t="s">
        <v>595</v>
      </c>
    </row>
    <row r="816" customFormat="false" ht="17.15" hidden="false" customHeight="false" outlineLevel="0" collapsed="false">
      <c r="A816" s="5" t="s">
        <v>596</v>
      </c>
      <c r="B816" s="0" t="s">
        <v>129</v>
      </c>
      <c r="C816" s="32" t="n">
        <f aca="false">(mw_ye23+mw_ye24)/2</f>
        <v>240</v>
      </c>
      <c r="D816" s="32" t="n">
        <f aca="false">(Sens!$C$815+Sens!$D$815)/2</f>
        <v>900</v>
      </c>
      <c r="E816" s="32" t="n">
        <f aca="false">(Sens!$D$815+Sens!$E$815)/2</f>
        <v>1760</v>
      </c>
      <c r="F816" s="32" t="n">
        <f aca="false">(Sens!$E$815+Sens!$F$815)/2</f>
        <v>2988.575</v>
      </c>
      <c r="G816" s="32" t="n">
        <f aca="false">(Sens!$E$816+Sens!$F$816)/2</f>
        <v>2374.2875</v>
      </c>
      <c r="H816" s="32" t="n">
        <f aca="false">(Sens!$G$815+Sens!$H$815)/2</f>
        <v>5714.3</v>
      </c>
      <c r="I816" s="32" t="n">
        <f aca="false">(Sens!$H$815+Sens!$I$815)/2</f>
        <v>9348.6</v>
      </c>
      <c r="J816" s="32" t="n">
        <f aca="false">(Sens!$I$815+Sens!$J$815)/2</f>
        <v>12982.9</v>
      </c>
      <c r="K816" s="32" t="n">
        <f aca="false">(Sens!$J$815+Sens!$K$815)/2</f>
        <v>16085.4835833333</v>
      </c>
      <c r="L816" s="32" t="n">
        <f aca="false">(Sens!$K$815+Sens!$L$815)/2</f>
        <v>18124.6343333333</v>
      </c>
      <c r="M816" s="32" t="n">
        <f aca="false">(Sens!$L$815+Sens!$M$815)/2</f>
        <v>19100.35225</v>
      </c>
      <c r="N816" s="32" t="n">
        <f aca="false">(Sens!$C$815+Sens!$N$815)/2</f>
        <v>630</v>
      </c>
      <c r="O816" s="32" t="n">
        <f aca="false">(Sens!$N$815+Sens!$O$815)/2</f>
        <v>1170</v>
      </c>
    </row>
    <row r="817" customFormat="false" ht="15" hidden="false" customHeight="false" outlineLevel="0" collapsed="false">
      <c r="A817" s="5" t="s">
        <v>597</v>
      </c>
      <c r="B817" s="5" t="s">
        <v>123</v>
      </c>
      <c r="C817" s="34" t="n">
        <v>1</v>
      </c>
      <c r="D817" s="34" t="n">
        <v>1</v>
      </c>
      <c r="E817" s="34" t="n">
        <v>0.5</v>
      </c>
      <c r="F817" s="34" t="n">
        <v>0.5</v>
      </c>
      <c r="G817" s="34" t="n">
        <v>1</v>
      </c>
      <c r="H817" s="34" t="n">
        <v>1</v>
      </c>
      <c r="I817" s="34" t="n">
        <v>1</v>
      </c>
      <c r="J817" s="34" t="n">
        <v>1</v>
      </c>
      <c r="K817" s="34" t="n">
        <v>1</v>
      </c>
      <c r="L817" s="34" t="n">
        <v>1</v>
      </c>
      <c r="M817" s="34" t="n">
        <v>1</v>
      </c>
      <c r="N817" s="34" t="n">
        <v>0.5</v>
      </c>
      <c r="O817" s="34" t="n">
        <v>0.5</v>
      </c>
    </row>
    <row r="818" customFormat="false" ht="17.15" hidden="false" customHeight="false" outlineLevel="0" collapsed="false">
      <c r="A818" s="5" t="s">
        <v>598</v>
      </c>
      <c r="B818" s="0" t="s">
        <v>129</v>
      </c>
      <c r="C818" s="32" t="n">
        <f aca="false">Sens!$C$815-mw_ye23</f>
        <v>240</v>
      </c>
      <c r="D818" s="32" t="n">
        <f aca="false">Sens!$D$815-Sens!$C$815</f>
        <v>1080</v>
      </c>
      <c r="E818" s="32" t="n">
        <f aca="false">Sens!$E$815-Sens!$D$815</f>
        <v>640</v>
      </c>
      <c r="F818" s="32" t="n">
        <f aca="false">Sens!$F$815-Sens!$E$815</f>
        <v>1817.15</v>
      </c>
      <c r="G818" s="32" t="n">
        <f aca="false">Sens!$E$818+Sens!$F$818</f>
        <v>2457.15</v>
      </c>
      <c r="H818" s="32" t="n">
        <f aca="false">Sens!$H$815-Sens!$G$815</f>
        <v>3634.3</v>
      </c>
      <c r="I818" s="32" t="n">
        <f aca="false">Sens!$I$815-Sens!$H$815</f>
        <v>3634.3</v>
      </c>
      <c r="J818" s="32" t="n">
        <f aca="false">Sens!$J$815-Sens!$I$815</f>
        <v>3634.3</v>
      </c>
      <c r="K818" s="32" t="n">
        <f aca="false">Sens!$K$815-Sens!$J$815</f>
        <v>2570.86716666667</v>
      </c>
      <c r="L818" s="32" t="n">
        <f aca="false">Sens!$L$815-Sens!$K$815</f>
        <v>1507.43433333333</v>
      </c>
      <c r="M818" s="32" t="n">
        <f aca="false">Sens!$M$815-Sens!$L$815</f>
        <v>444.001499999999</v>
      </c>
      <c r="N818" s="32" t="n">
        <f aca="false">Sens!$N$815-Sens!$C$815</f>
        <v>540</v>
      </c>
      <c r="O818" s="32" t="n">
        <f aca="false">Sens!$O$815-Sens!$N$815</f>
        <v>540</v>
      </c>
    </row>
    <row r="819" customFormat="false" ht="17.15" hidden="false" customHeight="false" outlineLevel="0" collapsed="false">
      <c r="A819" s="5" t="s">
        <v>599</v>
      </c>
      <c r="B819" s="0" t="s">
        <v>129</v>
      </c>
      <c r="C819" s="32" t="n">
        <f aca="false">Sens!$C$818/ext_sh_lo</f>
        <v>400</v>
      </c>
      <c r="D819" s="32" t="n">
        <f aca="false">Sens!$D$818/ext_sh_lo</f>
        <v>1800</v>
      </c>
      <c r="E819" s="32" t="n">
        <f aca="false">Sens!$E$818/ext_sh_lo</f>
        <v>1066.66666666667</v>
      </c>
      <c r="F819" s="32" t="n">
        <f aca="false">Sens!$F$818/ext_sh_lo</f>
        <v>3028.58333333333</v>
      </c>
      <c r="G819" s="32" t="n">
        <f aca="false">Sens!$G$818/ext_sh_lo</f>
        <v>4095.25</v>
      </c>
      <c r="H819" s="32" t="n">
        <f aca="false">Sens!$H$818/ext_sh_lo</f>
        <v>6057.16666666667</v>
      </c>
      <c r="I819" s="32" t="n">
        <f aca="false">Sens!$I$818/ext_sh_lo</f>
        <v>6057.16666666667</v>
      </c>
      <c r="J819" s="32" t="n">
        <f aca="false">Sens!$J$818/ext_sh_lo</f>
        <v>6057.16666666667</v>
      </c>
      <c r="K819" s="32" t="n">
        <f aca="false">Sens!$K$818/ext_sh_lo</f>
        <v>4284.77861111111</v>
      </c>
      <c r="L819" s="32" t="n">
        <f aca="false">Sens!$L$818/ext_sh_lo</f>
        <v>2512.39055555556</v>
      </c>
      <c r="M819" s="32" t="n">
        <f aca="false">Sens!$M$818/ext_sh_lo</f>
        <v>740.002499999998</v>
      </c>
      <c r="N819" s="32" t="n">
        <f aca="false">Sens!$N$818/ext_sh_lo</f>
        <v>900</v>
      </c>
      <c r="O819" s="32" t="n">
        <f aca="false">Sens!$O$818/ext_sh_lo</f>
        <v>900</v>
      </c>
      <c r="P819" s="8" t="s">
        <v>600</v>
      </c>
      <c r="R819" s="32" t="n">
        <f aca="false">mw_ye23/ext_sh_lo</f>
        <v>200</v>
      </c>
      <c r="S819" s="32" t="n">
        <f aca="false">Sens!$C$819</f>
        <v>400</v>
      </c>
      <c r="T819" s="32" t="n">
        <f aca="false">Sens!$D$819</f>
        <v>1800</v>
      </c>
      <c r="U819" s="32" t="n">
        <f aca="false">Sens!$G$819</f>
        <v>4095.25</v>
      </c>
      <c r="V819" s="32" t="n">
        <f aca="false">Sens!$H$819</f>
        <v>6057.16666666667</v>
      </c>
      <c r="W819" s="32" t="n">
        <f aca="false">Sens!$I$819</f>
        <v>6057.16666666667</v>
      </c>
      <c r="X819" s="32" t="n">
        <f aca="false">Sens!$J$819</f>
        <v>6057.16666666667</v>
      </c>
      <c r="Y819" s="32" t="n">
        <f aca="false">Sens!$K$819</f>
        <v>4284.77861111111</v>
      </c>
      <c r="Z819" s="32" t="n">
        <f aca="false">Sens!$L$819</f>
        <v>2512.39055555556</v>
      </c>
      <c r="AA819" s="32" t="n">
        <f aca="false">Sens!$M$819</f>
        <v>740.002499999998</v>
      </c>
    </row>
    <row r="820" customFormat="false" ht="17.15" hidden="false" customHeight="false" outlineLevel="0" collapsed="false">
      <c r="A820" s="1" t="s">
        <v>601</v>
      </c>
    </row>
    <row r="821" customFormat="false" ht="17.15" hidden="false" customHeight="false" outlineLevel="0" collapsed="false">
      <c r="A821" s="0" t="s">
        <v>602</v>
      </c>
      <c r="B821" s="0" t="s">
        <v>52</v>
      </c>
      <c r="F821" s="35" t="n">
        <f aca="false">na_vr26</f>
        <v>0</v>
      </c>
      <c r="G821" s="35" t="n">
        <f aca="false">na_vr26</f>
        <v>0</v>
      </c>
      <c r="H821" s="35" t="n">
        <f aca="false">na_vr27</f>
        <v>0.5</v>
      </c>
      <c r="I821" s="35" t="n">
        <f aca="false">na_vr28</f>
        <v>1</v>
      </c>
      <c r="J821" s="35" t="n">
        <f aca="false">na_vr28</f>
        <v>1</v>
      </c>
      <c r="K821" s="35" t="n">
        <f aca="false">na_vr28</f>
        <v>1</v>
      </c>
      <c r="L821" s="35" t="n">
        <f aca="false">na_vr28</f>
        <v>1</v>
      </c>
      <c r="M821" s="35" t="n">
        <f aca="false">na_vr28</f>
        <v>1</v>
      </c>
    </row>
    <row r="822" customFormat="false" ht="17.15" hidden="false" customHeight="false" outlineLevel="0" collapsed="false">
      <c r="A822" s="5" t="s">
        <v>603</v>
      </c>
      <c r="B822" s="0" t="s">
        <v>173</v>
      </c>
      <c r="F822" s="36" t="n">
        <f aca="false">cust_sh*tk_he_gb300*cf_chip+(1-cust_sh)*((1-Sens!$F$821)*tk_he_gb300+Sens!$F$821*tk_he_vr200)</f>
        <v>10.8864110021101</v>
      </c>
      <c r="G822" s="36" t="n">
        <f aca="false">cust_sh*tk_he_gb300*cf_chip+(1-cust_sh)*((1-Sens!$G$821)*tk_he_gb300+Sens!$G$821*tk_he_vr200)</f>
        <v>10.8864110021101</v>
      </c>
      <c r="H822" s="36" t="n">
        <f aca="false">cust_sh*tk_he_gb300*cf_chip+(1-cust_sh)*((1-Sens!$H$821)*tk_he_gb300+Sens!$H$821*tk_he_vr200)</f>
        <v>11.2211760027286</v>
      </c>
      <c r="I822" s="36" t="n">
        <f aca="false">cust_sh*tk_he_gb300*cf_chip+(1-cust_sh)*((1-Sens!$I$821)*tk_he_gb300+Sens!$I$821*tk_he_vr200)</f>
        <v>11.5559410033471</v>
      </c>
      <c r="J822" s="36" t="n">
        <f aca="false">cust_sh*tk_he_gb300*cf_chip+(1-cust_sh)*((1-Sens!$J$821)*tk_he_gb300+Sens!$J$821*tk_he_vr200)</f>
        <v>11.5559410033471</v>
      </c>
      <c r="K822" s="36" t="n">
        <f aca="false">cust_sh*tk_he_gb300*cf_chip+(1-cust_sh)*((1-Sens!$K$821)*tk_he_gb300+Sens!$K$821*tk_he_vr200)</f>
        <v>11.5559410033471</v>
      </c>
      <c r="L822" s="36" t="n">
        <f aca="false">cust_sh*tk_he_gb300*cf_chip+(1-cust_sh)*((1-Sens!$L$821)*tk_he_gb300+Sens!$L$821*tk_he_vr200)</f>
        <v>11.5559410033471</v>
      </c>
      <c r="M822" s="36" t="n">
        <f aca="false">cust_sh*tk_he_gb300*cf_chip+(1-cust_sh)*((1-Sens!$M$821)*tk_he_gb300+Sens!$M$821*tk_he_vr200)</f>
        <v>11.5559410033471</v>
      </c>
    </row>
    <row r="823" customFormat="false" ht="17.15" hidden="false" customHeight="false" outlineLevel="0" collapsed="false">
      <c r="A823" s="5" t="s">
        <v>604</v>
      </c>
      <c r="B823" s="0" t="s">
        <v>173</v>
      </c>
      <c r="F823" s="36" t="n">
        <f aca="false">cust_sh*tk_ox_gb300+(1-cust_sh)*((1-Sens!$F$821)*tk_ox_gb300+Sens!$F$821*tk_ox_vr200)</f>
        <v>1.98263481314457</v>
      </c>
      <c r="G823" s="36" t="n">
        <f aca="false">cust_sh*tk_ox_gb300+(1-cust_sh)*((1-Sens!$G$821)*tk_ox_gb300+Sens!$G$821*tk_ox_vr200)</f>
        <v>1.98263481314457</v>
      </c>
      <c r="H823" s="36" t="n">
        <f aca="false">cust_sh*tk_ox_gb300+(1-cust_sh)*((1-Sens!$H$821)*tk_ox_gb300+Sens!$H$821*tk_ox_vr200)</f>
        <v>2.01034999693694</v>
      </c>
      <c r="I823" s="36" t="n">
        <f aca="false">cust_sh*tk_ox_gb300+(1-cust_sh)*((1-Sens!$I$821)*tk_ox_gb300+Sens!$I$821*tk_ox_vr200)</f>
        <v>2.0380651807293</v>
      </c>
      <c r="J823" s="36" t="n">
        <f aca="false">cust_sh*tk_ox_gb300+(1-cust_sh)*((1-Sens!$J$821)*tk_ox_gb300+Sens!$J$821*tk_ox_vr200)</f>
        <v>2.0380651807293</v>
      </c>
      <c r="K823" s="36" t="n">
        <f aca="false">cust_sh*tk_ox_gb300+(1-cust_sh)*((1-Sens!$K$821)*tk_ox_gb300+Sens!$K$821*tk_ox_vr200)</f>
        <v>2.0380651807293</v>
      </c>
      <c r="L823" s="36" t="n">
        <f aca="false">cust_sh*tk_ox_gb300+(1-cust_sh)*((1-Sens!$L$821)*tk_ox_gb300+Sens!$L$821*tk_ox_vr200)</f>
        <v>2.0380651807293</v>
      </c>
      <c r="M823" s="36" t="n">
        <f aca="false">cust_sh*tk_ox_gb300+(1-cust_sh)*((1-Sens!$M$821)*tk_ox_gb300+Sens!$M$821*tk_ox_vr200)</f>
        <v>2.0380651807293</v>
      </c>
    </row>
    <row r="824" customFormat="false" ht="17.15" hidden="false" customHeight="false" outlineLevel="0" collapsed="false">
      <c r="A824" s="5" t="s">
        <v>605</v>
      </c>
      <c r="B824" s="0" t="s">
        <v>192</v>
      </c>
      <c r="F824" s="36" t="n">
        <f aca="false">cust_sh*tk_cx_gb300*cf_cx+(1-cust_sh)*((1-Sens!$F$821)*tk_cx_gb300+Sens!$F$821*tk_cx_vr200)</f>
        <v>32.237224</v>
      </c>
      <c r="G824" s="36" t="n">
        <f aca="false">cust_sh*tk_cx_gb300*cf_cx+(1-cust_sh)*((1-Sens!$G$821)*tk_cx_gb300+Sens!$G$821*tk_cx_vr200)</f>
        <v>32.237224</v>
      </c>
      <c r="H824" s="36" t="n">
        <f aca="false">cust_sh*tk_cx_gb300*cf_cx+(1-cust_sh)*((1-Sens!$H$821)*tk_cx_gb300+Sens!$H$821*tk_cx_vr200)</f>
        <v>33.574506</v>
      </c>
      <c r="I824" s="36" t="n">
        <f aca="false">cust_sh*tk_cx_gb300*cf_cx+(1-cust_sh)*((1-Sens!$I$821)*tk_cx_gb300+Sens!$I$821*tk_cx_vr200)</f>
        <v>34.911788</v>
      </c>
      <c r="J824" s="36" t="n">
        <f aca="false">cust_sh*tk_cx_gb300*cf_cx+(1-cust_sh)*((1-Sens!$J$821)*tk_cx_gb300+Sens!$J$821*tk_cx_vr200)</f>
        <v>34.911788</v>
      </c>
      <c r="K824" s="36" t="n">
        <f aca="false">cust_sh*tk_cx_gb300*cf_cx+(1-cust_sh)*((1-Sens!$K$821)*tk_cx_gb300+Sens!$K$821*tk_cx_vr200)</f>
        <v>34.911788</v>
      </c>
      <c r="L824" s="36" t="n">
        <f aca="false">cust_sh*tk_cx_gb300*cf_cx+(1-cust_sh)*((1-Sens!$L$821)*tk_cx_gb300+Sens!$L$821*tk_cx_vr200)</f>
        <v>34.911788</v>
      </c>
      <c r="M824" s="36" t="n">
        <f aca="false">cust_sh*tk_cx_gb300*cf_cx+(1-cust_sh)*((1-Sens!$M$821)*tk_cx_gb300+Sens!$M$821*tk_cx_vr200)</f>
        <v>34.911788</v>
      </c>
    </row>
    <row r="825" customFormat="false" ht="17.15" hidden="false" customHeight="false" outlineLevel="0" collapsed="false">
      <c r="A825" s="5" t="s">
        <v>606</v>
      </c>
      <c r="B825" s="0" t="s">
        <v>129</v>
      </c>
      <c r="F825" s="32" t="n">
        <f aca="false">Sens!$F$815-mw_open</f>
        <v>1817.15</v>
      </c>
      <c r="G825" s="32" t="n">
        <f aca="false">Sens!$F$825</f>
        <v>1817.15</v>
      </c>
      <c r="H825" s="32" t="n">
        <f aca="false">Sens!$H$815-mw_open</f>
        <v>5451.45</v>
      </c>
      <c r="I825" s="32" t="n">
        <f aca="false">Sens!$I$815-mw_open</f>
        <v>9085.75</v>
      </c>
      <c r="J825" s="32" t="n">
        <f aca="false">Sens!$J$815-mw_open</f>
        <v>12720.05</v>
      </c>
      <c r="K825" s="32" t="n">
        <f aca="false">Sens!$K$815-mw_open</f>
        <v>15290.9171666667</v>
      </c>
      <c r="L825" s="32" t="n">
        <f aca="false">Sens!$L$815-mw_open</f>
        <v>16798.3515</v>
      </c>
      <c r="M825" s="32" t="n">
        <f aca="false">Sens!$M$815-mw_open</f>
        <v>17242.353</v>
      </c>
    </row>
    <row r="826" customFormat="false" ht="17.15" hidden="false" customHeight="false" outlineLevel="0" collapsed="false">
      <c r="A826" s="0" t="s">
        <v>607</v>
      </c>
      <c r="B826" s="0" t="s">
        <v>608</v>
      </c>
      <c r="F826" s="32" t="n">
        <f aca="false">Sens!$F$818*Sens!$F$822</f>
        <v>19782.2417524844</v>
      </c>
      <c r="G826" s="32" t="n">
        <f aca="false">Sens!$F$826</f>
        <v>19782.2417524844</v>
      </c>
      <c r="H826" s="32" t="n">
        <f aca="false">Sens!$G$826+Sens!$H$818*Sens!$H$822</f>
        <v>60563.3616992009</v>
      </c>
      <c r="I826" s="32" t="n">
        <f aca="false">Sens!$H$826+Sens!$I$818*Sens!$I$822</f>
        <v>102561.118087665</v>
      </c>
      <c r="J826" s="32" t="n">
        <f aca="false">Sens!$I$826+Sens!$J$818*Sens!$J$822</f>
        <v>144558.87447613</v>
      </c>
      <c r="K826" s="32" t="n">
        <f aca="false">Sens!$J$826+Sens!$K$818*Sens!$K$822</f>
        <v>174267.663781572</v>
      </c>
      <c r="L826" s="32" t="n">
        <f aca="false">Sens!$K$826+Sens!$L$818*Sens!$L$822</f>
        <v>191687.486003992</v>
      </c>
      <c r="M826" s="32" t="n">
        <f aca="false">Sens!$L$826+Sens!$M$818*Sens!$M$822</f>
        <v>196818.341143389</v>
      </c>
    </row>
    <row r="827" customFormat="false" ht="17.15" hidden="false" customHeight="false" outlineLevel="0" collapsed="false">
      <c r="A827" s="0" t="s">
        <v>609</v>
      </c>
      <c r="B827" s="0" t="s">
        <v>608</v>
      </c>
      <c r="F827" s="32" t="n">
        <f aca="false">Sens!$F$818*Sens!$F$823</f>
        <v>3602.74485070566</v>
      </c>
      <c r="G827" s="32" t="n">
        <f aca="false">Sens!$F$827</f>
        <v>3602.74485070566</v>
      </c>
      <c r="H827" s="32" t="n">
        <f aca="false">Sens!$G$827+Sens!$H$818*Sens!$H$823</f>
        <v>10908.9598445736</v>
      </c>
      <c r="I827" s="32" t="n">
        <f aca="false">Sens!$H$827+Sens!$I$818*Sens!$I$823</f>
        <v>18315.9001308981</v>
      </c>
      <c r="J827" s="32" t="n">
        <f aca="false">Sens!$I$827+Sens!$J$818*Sens!$J$823</f>
        <v>25722.8404172225</v>
      </c>
      <c r="K827" s="32" t="n">
        <f aca="false">Sens!$J$827+Sens!$K$818*Sens!$K$823</f>
        <v>30962.4352738861</v>
      </c>
      <c r="L827" s="32" t="n">
        <f aca="false">Sens!$K$827+Sens!$L$818*Sens!$L$823</f>
        <v>34034.6847008886</v>
      </c>
      <c r="M827" s="32" t="n">
        <f aca="false">Sens!$L$827+Sens!$M$818*Sens!$M$823</f>
        <v>34939.5886982302</v>
      </c>
    </row>
    <row r="828" customFormat="false" ht="17.15" hidden="false" customHeight="false" outlineLevel="0" collapsed="false">
      <c r="A828" s="5" t="s">
        <v>610</v>
      </c>
      <c r="B828" s="0" t="s">
        <v>173</v>
      </c>
      <c r="F828" s="36" t="n">
        <f aca="false">IF(Sens!$F$825&gt;0,Sens!$F$826/Sens!$F$825,Sens!$F$822)</f>
        <v>10.8864110021101</v>
      </c>
      <c r="G828" s="36" t="n">
        <f aca="false">IF(Sens!$G$825&gt;0,Sens!$G$826/Sens!$G$825,Sens!$G$822)</f>
        <v>10.8864110021101</v>
      </c>
      <c r="H828" s="36" t="n">
        <f aca="false">IF(Sens!$H$825&gt;0,Sens!$H$826/Sens!$H$825,Sens!$H$822)</f>
        <v>11.1095876691891</v>
      </c>
      <c r="I828" s="36" t="n">
        <f aca="false">IF(Sens!$I$825&gt;0,Sens!$I$826/Sens!$I$825,Sens!$I$822)</f>
        <v>11.2881290028523</v>
      </c>
      <c r="J828" s="36" t="n">
        <f aca="false">IF(Sens!$J$825&gt;0,Sens!$J$826/Sens!$J$825,Sens!$J$822)</f>
        <v>11.3646467172794</v>
      </c>
      <c r="K828" s="36" t="n">
        <f aca="false">IF(Sens!$K$825&gt;0,Sens!$K$826/Sens!$K$825,Sens!$K$822)</f>
        <v>11.3968090914432</v>
      </c>
      <c r="L828" s="36" t="n">
        <f aca="false">IF(Sens!$L$825&gt;0,Sens!$L$826/Sens!$L$825,Sens!$L$822)</f>
        <v>11.4110891181192</v>
      </c>
      <c r="M828" s="36" t="n">
        <f aca="false">IF(Sens!$M$825&gt;0,Sens!$M$826/Sens!$M$825,Sens!$M$822)</f>
        <v>11.4148191458201</v>
      </c>
    </row>
    <row r="829" customFormat="false" ht="17.15" hidden="false" customHeight="false" outlineLevel="0" collapsed="false">
      <c r="A829" s="5" t="s">
        <v>611</v>
      </c>
      <c r="B829" s="0" t="s">
        <v>173</v>
      </c>
      <c r="F829" s="36" t="n">
        <f aca="false">IF(Sens!$F$825&gt;0,Sens!$F$827/Sens!$F$825,Sens!$F$823)</f>
        <v>1.98263481314457</v>
      </c>
      <c r="G829" s="36" t="n">
        <f aca="false">IF(Sens!$G$825&gt;0,Sens!$G$827/Sens!$G$825,Sens!$G$823)</f>
        <v>1.98263481314457</v>
      </c>
      <c r="H829" s="36" t="n">
        <f aca="false">IF(Sens!$H$825&gt;0,Sens!$H$827/Sens!$H$825,Sens!$H$823)</f>
        <v>2.00111160233948</v>
      </c>
      <c r="I829" s="36" t="n">
        <f aca="false">IF(Sens!$I$825&gt;0,Sens!$I$827/Sens!$I$825,Sens!$I$823)</f>
        <v>2.01589303369541</v>
      </c>
      <c r="J829" s="36" t="n">
        <f aca="false">IF(Sens!$J$825&gt;0,Sens!$J$827/Sens!$J$825,Sens!$J$823)</f>
        <v>2.02222793284795</v>
      </c>
      <c r="K829" s="36" t="n">
        <f aca="false">IF(Sens!$K$825&gt;0,Sens!$K$827/Sens!$K$825,Sens!$K$823)</f>
        <v>2.02489065478573</v>
      </c>
      <c r="L829" s="36" t="n">
        <f aca="false">IF(Sens!$L$825&gt;0,Sens!$L$827/Sens!$L$825,Sens!$L$823)</f>
        <v>2.0260728977417</v>
      </c>
      <c r="M829" s="36" t="n">
        <f aca="false">IF(Sens!$M$825&gt;0,Sens!$M$827/Sens!$M$825,Sens!$M$823)</f>
        <v>2.02638170661685</v>
      </c>
    </row>
    <row r="830" customFormat="false" ht="17.15" hidden="false" customHeight="false" outlineLevel="0" collapsed="false">
      <c r="A830" s="15" t="s">
        <v>612</v>
      </c>
      <c r="B830" s="14" t="s">
        <v>173</v>
      </c>
      <c r="C830" s="14"/>
      <c r="D830" s="14"/>
      <c r="E830" s="14"/>
      <c r="F830" s="37" t="n">
        <f aca="false">Sens!$F$828*k_B</f>
        <v>10.7987645808025</v>
      </c>
      <c r="G830" s="37" t="n">
        <f aca="false">Sens!$G$828*k_B</f>
        <v>10.7987645808025</v>
      </c>
      <c r="H830" s="37" t="n">
        <f aca="false">Sens!$H$828*k_B</f>
        <v>11.0201444540452</v>
      </c>
      <c r="I830" s="37" t="n">
        <f aca="false">Sens!$I$828*k_B</f>
        <v>11.1972483526393</v>
      </c>
      <c r="J830" s="37" t="n">
        <f aca="false">Sens!$J$828*k_B</f>
        <v>11.2731500234653</v>
      </c>
      <c r="K830" s="37" t="n">
        <f aca="false">Sens!$K$828*k_B</f>
        <v>11.3050534585724</v>
      </c>
      <c r="L830" s="37" t="n">
        <f aca="false">Sens!$L$828*k_B</f>
        <v>11.3192185168503</v>
      </c>
      <c r="M830" s="37" t="n">
        <f aca="false">Sens!$M$828*k_B</f>
        <v>11.3229185141234</v>
      </c>
      <c r="N830" s="14"/>
      <c r="O830" s="14"/>
      <c r="P830" s="5" t="s">
        <v>613</v>
      </c>
    </row>
    <row r="831" customFormat="false" ht="17.15" hidden="false" customHeight="false" outlineLevel="0" collapsed="false">
      <c r="A831" s="5" t="s">
        <v>614</v>
      </c>
      <c r="B831" s="0" t="s">
        <v>129</v>
      </c>
      <c r="F831" s="32" t="n">
        <f aca="false">Sens!$F$825/2</f>
        <v>908.575</v>
      </c>
      <c r="H831" s="32" t="n">
        <f aca="false">(Sens!$G$825+Sens!$H$825)/2</f>
        <v>3634.3</v>
      </c>
      <c r="I831" s="32" t="n">
        <f aca="false">(Sens!$H$825+Sens!$I$825)/2</f>
        <v>7268.6</v>
      </c>
      <c r="J831" s="32" t="n">
        <f aca="false">(Sens!$I$825+Sens!$J$825)/2</f>
        <v>10902.9</v>
      </c>
      <c r="K831" s="32" t="n">
        <f aca="false">(Sens!$J$825+Sens!$K$825)/2</f>
        <v>14005.4835833333</v>
      </c>
      <c r="L831" s="32" t="n">
        <f aca="false">(Sens!$K$825+Sens!$L$825)/2</f>
        <v>16044.6343333333</v>
      </c>
      <c r="M831" s="32" t="n">
        <f aca="false">(Sens!$L$825+Sens!$M$825)/2</f>
        <v>17020.35225</v>
      </c>
    </row>
    <row r="832" customFormat="false" ht="17.15" hidden="false" customHeight="false" outlineLevel="0" collapsed="false">
      <c r="A832" s="1" t="s">
        <v>615</v>
      </c>
    </row>
    <row r="833" customFormat="false" ht="17.15" hidden="false" customHeight="false" outlineLevel="0" collapsed="false">
      <c r="A833" s="1" t="s">
        <v>616</v>
      </c>
      <c r="B833" s="8" t="s">
        <v>86</v>
      </c>
      <c r="C833" s="38" t="n">
        <f aca="false">Sens!$C$816*rpm_open*Sens!$C$817/1000</f>
        <v>2.32100535697364</v>
      </c>
      <c r="D833" s="38" t="n">
        <f aca="false">Sens!$D$816*rpm_open*Sens!$D$817/1000</f>
        <v>8.70377008865116</v>
      </c>
      <c r="E833" s="38" t="n">
        <f aca="false">Sens!$E$816*rpm_open*Sens!$E$817/1000</f>
        <v>8.51035297557002</v>
      </c>
      <c r="F833" s="38" t="n">
        <f aca="false">(mw_open*rpm_open+Sens!$F$831*Sens!$F$830)*Sens!$F$817/1000</f>
        <v>14.9634336447205</v>
      </c>
      <c r="G833" s="38" t="n">
        <f aca="false">Sens!$E$833+Sens!$F$833</f>
        <v>23.4737866202905</v>
      </c>
      <c r="H833" s="38" t="n">
        <f aca="false">(mw_open*rpm_open+Sens!$H$831*Sens!$H$830)/1000</f>
        <v>60.1658907497746</v>
      </c>
      <c r="I833" s="38" t="n">
        <f aca="false">(mw_open*rpm_open+Sens!$I$831*Sens!$I$830)/1000</f>
        <v>101.503699136432</v>
      </c>
      <c r="J833" s="38" t="n">
        <f aca="false">(mw_open*rpm_open+Sens!$J$831*Sens!$J$830)/1000</f>
        <v>143.025407151278</v>
      </c>
      <c r="K833" s="38" t="n">
        <f aca="false">(mw_open*rpm_open+Sens!$K$831*Sens!$K$830)/1000</f>
        <v>178.44812038318</v>
      </c>
      <c r="L833" s="38" t="n">
        <f aca="false">(mw_open*rpm_open+Sens!$L$831*Sens!$L$830)/1000</f>
        <v>201.728101802396</v>
      </c>
      <c r="M833" s="38" t="n">
        <f aca="false">(mw_open*rpm_open+Sens!$M$831*Sens!$M$830)/1000</f>
        <v>212.835441368865</v>
      </c>
      <c r="N833" s="38" t="n">
        <f aca="false">Sens!$N$816*rpm_open*Sens!$N$817/1000</f>
        <v>3.04631953102791</v>
      </c>
      <c r="O833" s="38" t="n">
        <f aca="false">Sens!$O$816*rpm_open*Sens!$O$817/1000</f>
        <v>5.65745055762326</v>
      </c>
      <c r="P833" s="5" t="s">
        <v>617</v>
      </c>
    </row>
    <row r="834" customFormat="false" ht="17.15" hidden="false" customHeight="false" outlineLevel="0" collapsed="false">
      <c r="A834" s="5" t="s">
        <v>618</v>
      </c>
      <c r="B834" s="0" t="s">
        <v>173</v>
      </c>
      <c r="C834" s="36" t="n">
        <f aca="false">Sens!$C$833*1000/(Sens!$C$816*Sens!$C$817)</f>
        <v>9.67085565405685</v>
      </c>
      <c r="D834" s="36" t="n">
        <f aca="false">Sens!$D$833*1000/(Sens!$D$816*Sens!$D$817)</f>
        <v>9.67085565405685</v>
      </c>
      <c r="E834" s="36" t="n">
        <f aca="false">Sens!$E$833*1000/(Sens!$E$816*Sens!$E$817)</f>
        <v>9.67085565405685</v>
      </c>
      <c r="F834" s="36" t="n">
        <f aca="false">Sens!$F$833*1000/(Sens!$F$816*Sens!$F$817)</f>
        <v>10.0137581588017</v>
      </c>
      <c r="G834" s="36" t="n">
        <f aca="false">Sens!$G$833*1000/(Sens!$G$816*Sens!$G$817)</f>
        <v>9.88666562928478</v>
      </c>
      <c r="H834" s="36" t="n">
        <f aca="false">Sens!$H$833*1000/(Sens!$H$816*Sens!$H$817)</f>
        <v>10.5290045586992</v>
      </c>
      <c r="I834" s="36" t="n">
        <f aca="false">Sens!$I$833*1000/(Sens!$I$816*Sens!$I$817)</f>
        <v>10.8576363451674</v>
      </c>
      <c r="J834" s="36" t="n">
        <f aca="false">Sens!$J$833*1000/(Sens!$J$816*Sens!$J$817)</f>
        <v>11.0164452588619</v>
      </c>
      <c r="K834" s="36" t="n">
        <f aca="false">Sens!$K$833*1000/(Sens!$K$816*Sens!$K$817)</f>
        <v>11.0937367508227</v>
      </c>
      <c r="L834" s="36" t="n">
        <f aca="false">Sens!$L$833*1000/(Sens!$L$816*Sens!$L$817)</f>
        <v>11.1300508519168</v>
      </c>
      <c r="M834" s="36" t="n">
        <f aca="false">Sens!$M$833*1000/(Sens!$M$816*Sens!$M$817)</f>
        <v>11.1430113216297</v>
      </c>
      <c r="N834" s="36" t="n">
        <f aca="false">Sens!$N$833*1000/(Sens!$N$816*Sens!$N$817)</f>
        <v>9.67085565405685</v>
      </c>
      <c r="O834" s="36" t="n">
        <f aca="false">Sens!$O$833*1000/(Sens!$O$816*Sens!$O$817)</f>
        <v>9.67085565405685</v>
      </c>
    </row>
    <row r="835" customFormat="false" ht="17.15" hidden="false" customHeight="false" outlineLevel="0" collapsed="false">
      <c r="A835" s="0" t="s">
        <v>619</v>
      </c>
      <c r="B835" s="0" t="s">
        <v>86</v>
      </c>
      <c r="C835" s="38" t="n">
        <f aca="false">Sens!$C$816/ext_sh_lo*(ox_open+rent_mw)*Sens!$C$817/1000</f>
        <v>0.85675894756671</v>
      </c>
      <c r="D835" s="38" t="n">
        <f aca="false">Sens!$D$816/ext_sh_lo*(ox_open+rent_mw)*Sens!$D$817/1000</f>
        <v>3.21284605337516</v>
      </c>
      <c r="E835" s="38" t="n">
        <f aca="false">Sens!$E$816/ext_sh_lo*(ox_open+rent_mw)*Sens!$E$817/1000</f>
        <v>3.14144947441127</v>
      </c>
      <c r="F835" s="38" t="n">
        <f aca="false">((mw_open*ox_open+Sens!$F$831*Sens!$F$829)/ext_sh_lo+Sens!$F$816/ext_sh_lo*rent_mw)*Sens!$F$817/1000</f>
        <v>5.4056265480831</v>
      </c>
      <c r="G835" s="38" t="n">
        <f aca="false">Sens!$E$835+Sens!$F$835</f>
        <v>8.54707602249437</v>
      </c>
      <c r="H835" s="38" t="n">
        <f aca="false">((mw_open*ox_open+Sens!$H$831*Sens!$H$829)/ext_sh_lo+Sens!$H$816/ext_sh_lo*rent_mw)*Sens!$H$817/1000</f>
        <v>21.0811967395488</v>
      </c>
      <c r="I835" s="38" t="n">
        <f aca="false">((mw_open*ox_open+Sens!$I$831*Sens!$I$829)/ext_sh_lo+Sens!$I$816/ext_sh_lo*rent_mw)*Sens!$I$817/1000</f>
        <v>34.9162164534422</v>
      </c>
      <c r="J835" s="38" t="n">
        <f aca="false">((mw_open*ox_open+Sens!$J$831*Sens!$J$829)/ext_sh_lo+Sens!$J$816/ext_sh_lo*rent_mw)*Sens!$J$817/1000</f>
        <v>48.7768171939913</v>
      </c>
      <c r="K835" s="38" t="n">
        <f aca="false">((mw_open*ox_open+Sens!$K$831*Sens!$K$829)/ext_sh_lo+Sens!$K$816/ext_sh_lo*rent_mw)*Sens!$K$817/1000</f>
        <v>60.606181485017</v>
      </c>
      <c r="L835" s="38" t="n">
        <f aca="false">((mw_open*ox_open+Sens!$L$831*Sens!$L$829)/ext_sh_lo+Sens!$L$816/ext_sh_lo*rent_mw)*Sens!$L$817/1000</f>
        <v>68.3807594072603</v>
      </c>
      <c r="M835" s="38" t="n">
        <f aca="false">((mw_open*ox_open+Sens!$M$831*Sens!$M$829)/ext_sh_lo+Sens!$M$816/ext_sh_lo*rent_mw)*Sens!$M$817/1000</f>
        <v>72.0963903784531</v>
      </c>
      <c r="N835" s="38" t="n">
        <f aca="false">Sens!$N$816/ext_sh_lo*(ox_open+rent_mw)*Sens!$N$817/1000</f>
        <v>1.12449611868131</v>
      </c>
      <c r="O835" s="38" t="n">
        <f aca="false">Sens!$O$816/ext_sh_lo*(ox_open+rent_mw)*Sens!$O$817/1000</f>
        <v>2.08834993469385</v>
      </c>
    </row>
    <row r="836" customFormat="false" ht="17.15" hidden="false" customHeight="false" outlineLevel="0" collapsed="false">
      <c r="A836" s="0" t="s">
        <v>620</v>
      </c>
      <c r="B836" s="0" t="s">
        <v>86</v>
      </c>
      <c r="C836" s="38" t="n">
        <f aca="false">Q!$D$7</f>
        <v>107.556</v>
      </c>
      <c r="D836" s="38" t="n">
        <f aca="false">Q!$E$7</f>
        <v>128.725</v>
      </c>
      <c r="E836" s="38" t="n">
        <f aca="false">Q!$P$7</f>
        <v>79.819</v>
      </c>
      <c r="N836" s="38" t="n">
        <f aca="false">Q!$N$7</f>
        <v>60.14</v>
      </c>
      <c r="O836" s="38" t="n">
        <f aca="false">Q!$O$7</f>
        <v>68.585</v>
      </c>
    </row>
    <row r="837" customFormat="false" ht="17.15" hidden="false" customHeight="false" outlineLevel="0" collapsed="false">
      <c r="A837" s="1" t="s">
        <v>621</v>
      </c>
      <c r="B837" s="8" t="s">
        <v>86</v>
      </c>
      <c r="C837" s="38" t="n">
        <f aca="false">Sens!$C$836-Sens!$C$833</f>
        <v>105.234994643026</v>
      </c>
      <c r="D837" s="38" t="n">
        <f aca="false">Sens!$D$836-Sens!$D$833</f>
        <v>120.021229911349</v>
      </c>
      <c r="E837" s="38" t="n">
        <f aca="false">Sens!$E$836-Sens!$E$833</f>
        <v>71.30864702443</v>
      </c>
      <c r="F837" s="38" t="n">
        <f aca="false">Sens!$O$837*(1+Sens!$F$838)</f>
        <v>71.7692997942464</v>
      </c>
      <c r="G837" s="38" t="n">
        <f aca="false">Sens!$E$837+Sens!$F$837</f>
        <v>143.077946818676</v>
      </c>
      <c r="H837" s="38" t="n">
        <f aca="false">Sens!$G$837*(1+Sens!$H$838)</f>
        <v>161.017077079203</v>
      </c>
      <c r="I837" s="38" t="n">
        <f aca="false">Sens!$H$837*(1+Sens!$I$838)</f>
        <v>178.769759521457</v>
      </c>
      <c r="J837" s="38" t="n">
        <f aca="false">Sens!$I$837*(1+Sens!$J$838)</f>
        <v>195.775538045907</v>
      </c>
      <c r="K837" s="38" t="n">
        <f aca="false">Sens!$J$837*(1+Sens!$K$838)</f>
        <v>211.43758108958</v>
      </c>
      <c r="L837" s="38" t="n">
        <f aca="false">Sens!$K$837*(1+Sens!$L$838)</f>
        <v>228.352587576746</v>
      </c>
      <c r="M837" s="38" t="n">
        <f aca="false">Sens!$L$837*(1+Sens!$M$838)</f>
        <v>246.620794582886</v>
      </c>
      <c r="N837" s="38" t="n">
        <f aca="false">Sens!$N$836-Sens!$N$833</f>
        <v>57.0936804689721</v>
      </c>
      <c r="O837" s="38" t="n">
        <f aca="false">Sens!$O$836-Sens!$O$833</f>
        <v>62.9275494423768</v>
      </c>
      <c r="P837" s="5" t="s">
        <v>622</v>
      </c>
    </row>
    <row r="838" customFormat="false" ht="17.15" hidden="false" customHeight="false" outlineLevel="0" collapsed="false">
      <c r="A838" s="0" t="s">
        <v>623</v>
      </c>
      <c r="B838" s="0" t="s">
        <v>52</v>
      </c>
      <c r="D838" s="13" t="n">
        <f aca="false">Sens!$D$837/Sens!$C$837-1</f>
        <v>0.140506827776062</v>
      </c>
      <c r="E838" s="13" t="n">
        <f aca="false">Sens!$E$837/Sens!$N$837-1</f>
        <v>0.248976181579029</v>
      </c>
      <c r="F838" s="13" t="n">
        <f aca="false">Sens!$D$838</f>
        <v>0.140506827776062</v>
      </c>
      <c r="G838" s="13" t="n">
        <f aca="false">Sens!$G$837/Sens!$D$837-1</f>
        <v>0.19210532106993</v>
      </c>
      <c r="H838" s="13" t="n">
        <f aca="false">Sens!$F$838+(g_awso_lt-Sens!$F$838)*1/4</f>
        <v>0.125380120832046</v>
      </c>
      <c r="I838" s="13" t="n">
        <f aca="false">Sens!$F$838+(g_awso_lt-Sens!$F$838)*2/4</f>
        <v>0.110253413888031</v>
      </c>
      <c r="J838" s="13" t="n">
        <f aca="false">Sens!$F$838+(g_awso_lt-Sens!$F$838)*3/4</f>
        <v>0.0951267069440154</v>
      </c>
      <c r="K838" s="13" t="n">
        <f aca="false">Sens!$F$838+(g_awso_lt-Sens!$F$838)*4/4</f>
        <v>0.08</v>
      </c>
      <c r="L838" s="13" t="n">
        <f aca="false">g_awso_lt</f>
        <v>0.08</v>
      </c>
      <c r="M838" s="13" t="n">
        <f aca="false">g_awso_lt</f>
        <v>0.08</v>
      </c>
      <c r="P838" s="5" t="s">
        <v>624</v>
      </c>
    </row>
    <row r="839" customFormat="false" ht="17.15" hidden="false" customHeight="false" outlineLevel="0" collapsed="false">
      <c r="A839" s="1" t="s">
        <v>625</v>
      </c>
    </row>
    <row r="840" customFormat="false" ht="17.15" hidden="false" customHeight="false" outlineLevel="0" collapsed="false">
      <c r="A840" s="0" t="s">
        <v>626</v>
      </c>
      <c r="B840" s="0" t="s">
        <v>86</v>
      </c>
      <c r="F840" s="38" t="n">
        <f aca="false">cx_rt*Sens!$F$805+cx_awso*Sens!$F$837</f>
        <v>34.9734495387866</v>
      </c>
    </row>
    <row r="841" customFormat="false" ht="17.15" hidden="false" customHeight="false" outlineLevel="0" collapsed="false">
      <c r="A841" s="0" t="s">
        <v>627</v>
      </c>
      <c r="B841" s="0" t="s">
        <v>52</v>
      </c>
      <c r="C841" s="13" t="n">
        <f aca="false">tk_cx_h100/(tk_cx_h100+tk_fac*(1-colo_sh))</f>
        <v>0.730756458006641</v>
      </c>
      <c r="D841" s="13" t="n">
        <f aca="false">tk_cx_h100/(tk_cx_h100+tk_fac*(1-colo_sh))</f>
        <v>0.730756458006641</v>
      </c>
      <c r="E841" s="13" t="n">
        <f aca="false">Sens!$F$841</f>
        <v>0.760792334328868</v>
      </c>
      <c r="F841" s="13" t="n">
        <f aca="false">Sens!$F$824/(Sens!$F$824+tk_fac*(1-colo_sh))</f>
        <v>0.760792334328868</v>
      </c>
      <c r="G841" s="13" t="n">
        <f aca="false">Sens!$G$824/(Sens!$G$824+tk_fac*(1-colo_sh))</f>
        <v>0.760792334328868</v>
      </c>
      <c r="H841" s="13" t="n">
        <f aca="false">Sens!$H$824/(Sens!$H$824+tk_fac*(1-colo_sh))</f>
        <v>0.768110668862996</v>
      </c>
      <c r="I841" s="13" t="n">
        <f aca="false">Sens!$I$824/(Sens!$I$824+tk_fac*(1-colo_sh))</f>
        <v>0.77499450139483</v>
      </c>
      <c r="J841" s="13" t="n">
        <f aca="false">Sens!$J$824/(Sens!$J$824+tk_fac*(1-colo_sh))</f>
        <v>0.77499450139483</v>
      </c>
      <c r="K841" s="13" t="n">
        <f aca="false">Sens!$K$824/(Sens!$K$824+tk_fac*(1-colo_sh))</f>
        <v>0.77499450139483</v>
      </c>
      <c r="L841" s="13" t="n">
        <f aca="false">Sens!$L$824/(Sens!$L$824+tk_fac*(1-colo_sh))</f>
        <v>0.77499450139483</v>
      </c>
      <c r="M841" s="13" t="n">
        <f aca="false">Sens!$M$824/(Sens!$M$824+tk_fac*(1-colo_sh))</f>
        <v>0.77499450139483</v>
      </c>
    </row>
    <row r="842" customFormat="false" ht="17.15" hidden="false" customHeight="false" outlineLevel="0" collapsed="false">
      <c r="A842" s="1" t="s">
        <v>628</v>
      </c>
      <c r="B842" s="8" t="s">
        <v>86</v>
      </c>
      <c r="C842" s="38" t="n">
        <f aca="false">Q!$D$46-cx_rt*Q!$D$16-cx_awso*Sens!$C$837</f>
        <v>25.2781053077374</v>
      </c>
      <c r="D842" s="38" t="n">
        <f aca="false">Q!$E$46-cx_rt*Q!$E$16-cx_awso*Sens!$D$837</f>
        <v>69.5686316310026</v>
      </c>
      <c r="E842" s="38" t="n">
        <f aca="false">Q!$P$46-cx_rt*Q!$P$16-cx_awso*Sens!$E$837</f>
        <v>64.1899206485108</v>
      </c>
      <c r="F842" s="38" t="n">
        <f aca="false">MAX(Sens!$F$819*(Sens!$F$824+tk_fac*(1-colo_sh))/1000,capex_g26-Q!$P$46-Sens!$F$840)</f>
        <v>128.330839986</v>
      </c>
      <c r="G842" s="38" t="n">
        <f aca="false">Sens!$E$842+Sens!$F$842</f>
        <v>192.520760634511</v>
      </c>
      <c r="H842" s="38" t="n">
        <f aca="false">Sens!$H$819*(Sens!$H$824+tk_fac*(1-colo_sh))/1000+Sens!$H$843</f>
        <v>264.761819926333</v>
      </c>
      <c r="I842" s="38" t="n">
        <f aca="false">Sens!$I$819*(Sens!$I$824+tk_fac*(1-colo_sh))/1000+Sens!$I$843</f>
        <v>272.861959880667</v>
      </c>
      <c r="J842" s="38" t="n">
        <f aca="false">Sens!$J$819*(Sens!$J$824+tk_fac*(1-colo_sh))/1000+Sens!$J$843</f>
        <v>279.844317480667</v>
      </c>
      <c r="K842" s="38" t="n">
        <f aca="false">Sens!$K$819*(Sens!$K$824+tk_fac*(1-colo_sh))/1000+Sens!$K$843</f>
        <v>206.984513700268</v>
      </c>
      <c r="L842" s="38" t="n">
        <f aca="false">Sens!$L$819*(Sens!$L$824+tk_fac*(1-colo_sh))/1000+Sens!$L$843</f>
        <v>176.018855519869</v>
      </c>
      <c r="M842" s="38" t="n">
        <f aca="false">Sens!$M$819*(Sens!$M$824+tk_fac*(1-colo_sh))/1000+Sens!$M$843</f>
        <v>176.30797554647</v>
      </c>
      <c r="P842" s="5" t="s">
        <v>629</v>
      </c>
      <c r="R842" s="38" t="n">
        <f aca="false">Q!$C$46-cx_rt*Q!$C$16-cx_awso*(Q!$C$7-mw_ye23/2*rpm_open/1000)</f>
        <v>1.50429979529945</v>
      </c>
      <c r="S842" s="38" t="n">
        <f aca="false">Sens!$C$842</f>
        <v>25.2781053077374</v>
      </c>
      <c r="T842" s="38" t="n">
        <f aca="false">Sens!$D$842</f>
        <v>69.5686316310026</v>
      </c>
      <c r="U842" s="38" t="n">
        <f aca="false">Sens!$G$842</f>
        <v>192.520760634511</v>
      </c>
      <c r="V842" s="38" t="n">
        <f aca="false">Sens!$H$842</f>
        <v>264.761819926333</v>
      </c>
      <c r="W842" s="38" t="n">
        <f aca="false">Sens!$I$842</f>
        <v>272.861959880667</v>
      </c>
      <c r="X842" s="38" t="n">
        <f aca="false">Sens!$J$842</f>
        <v>279.844317480667</v>
      </c>
      <c r="Y842" s="38" t="n">
        <f aca="false">Sens!$K$842</f>
        <v>206.984513700268</v>
      </c>
      <c r="Z842" s="38" t="n">
        <f aca="false">Sens!$L$842</f>
        <v>176.018855519869</v>
      </c>
      <c r="AA842" s="38" t="n">
        <f aca="false">Sens!$M$842</f>
        <v>176.30797554647</v>
      </c>
    </row>
    <row r="843" customFormat="false" ht="17.15" hidden="false" customHeight="false" outlineLevel="0" collapsed="false">
      <c r="A843" s="0" t="s">
        <v>630</v>
      </c>
      <c r="B843" s="0" t="s">
        <v>86</v>
      </c>
      <c r="H843" s="38" t="n">
        <f aca="false">SUMPRODUCT(--(Sens!$R$812:$AA$812=2027-tk_life),Sens!$R$819:$AA$819)*Sens!$H$824/1000</f>
        <v>0</v>
      </c>
      <c r="I843" s="38" t="n">
        <f aca="false">SUMPRODUCT(--(Sens!$R$812:$AA$812=2028-tk_life),Sens!$R$819:$AA$819)*Sens!$I$824/1000</f>
        <v>0</v>
      </c>
      <c r="J843" s="38" t="n">
        <f aca="false">SUMPRODUCT(--(Sens!$R$812:$AA$812=2029-tk_life),Sens!$R$819:$AA$819)*Sens!$J$824/1000</f>
        <v>6.9823576</v>
      </c>
      <c r="K843" s="38" t="n">
        <f aca="false">SUMPRODUCT(--(Sens!$R$812:$AA$812=2030-tk_life),Sens!$R$819:$AA$819)*Sens!$K$824/1000</f>
        <v>13.9647152</v>
      </c>
      <c r="L843" s="38" t="n">
        <f aca="false">SUMPRODUCT(--(Sens!$R$812:$AA$812=2031-tk_life),Sens!$R$819:$AA$819)*Sens!$L$824/1000</f>
        <v>62.8412184</v>
      </c>
      <c r="M843" s="38" t="n">
        <f aca="false">SUMPRODUCT(--(Sens!$R$812:$AA$812=2032-tk_life),Sens!$R$819:$AA$819)*Sens!$M$824/1000</f>
        <v>142.972499807</v>
      </c>
    </row>
    <row r="844" customFormat="false" ht="17.15" hidden="false" customHeight="false" outlineLevel="0" collapsed="false">
      <c r="A844" s="0" t="s">
        <v>631</v>
      </c>
      <c r="B844" s="0" t="s">
        <v>86</v>
      </c>
      <c r="C844" s="38" t="n">
        <f aca="false">MIN(Sens!$C$842,Sens!$C$819*(tk_cx_h100+tk_fac*(1-colo_sh))/1000)</f>
        <v>15.0584856</v>
      </c>
      <c r="D844" s="38" t="n">
        <f aca="false">MIN(Sens!$D$842,Sens!$D$819*(tk_cx_h100+tk_fac*(1-colo_sh))/1000)</f>
        <v>67.7631852</v>
      </c>
      <c r="E844" s="38" t="n">
        <f aca="false">MIN(Sens!$E$842,Sens!$E$819*(Sens!$F$824+tk_fac*(1-colo_sh))/1000)</f>
        <v>45.1981056</v>
      </c>
      <c r="F844" s="38" t="n">
        <f aca="false">Sens!$F$842</f>
        <v>128.330839986</v>
      </c>
      <c r="G844" s="38" t="n">
        <f aca="false">Sens!$E$844+Sens!$F$844</f>
        <v>173.528945586</v>
      </c>
      <c r="H844" s="38" t="n">
        <f aca="false">Sens!$H$842</f>
        <v>264.761819926333</v>
      </c>
      <c r="I844" s="38" t="n">
        <f aca="false">Sens!$I$842</f>
        <v>272.861959880667</v>
      </c>
      <c r="J844" s="38" t="n">
        <f aca="false">Sens!$J$842</f>
        <v>279.844317480667</v>
      </c>
      <c r="K844" s="38" t="n">
        <f aca="false">Sens!$K$842</f>
        <v>206.984513700268</v>
      </c>
      <c r="L844" s="38" t="n">
        <f aca="false">Sens!$L$842</f>
        <v>176.018855519869</v>
      </c>
      <c r="M844" s="38" t="n">
        <f aca="false">Sens!$M$842</f>
        <v>176.30797554647</v>
      </c>
      <c r="P844" s="5" t="s">
        <v>632</v>
      </c>
      <c r="R844" s="38" t="n">
        <f aca="false">MIN(Sens!$R$842,Sens!$R$819*(tk_cx_h100+tk_fac*(1-colo_sh))/1000)</f>
        <v>1.50429979529945</v>
      </c>
      <c r="S844" s="38" t="n">
        <f aca="false">Sens!$C$844</f>
        <v>15.0584856</v>
      </c>
      <c r="T844" s="38" t="n">
        <f aca="false">Sens!$D$844</f>
        <v>67.7631852</v>
      </c>
      <c r="U844" s="38" t="n">
        <f aca="false">Sens!$G$844</f>
        <v>173.528945586</v>
      </c>
      <c r="V844" s="38" t="n">
        <f aca="false">Sens!$H$844</f>
        <v>264.761819926333</v>
      </c>
      <c r="W844" s="38" t="n">
        <f aca="false">Sens!$I$844</f>
        <v>272.861959880667</v>
      </c>
      <c r="X844" s="38" t="n">
        <f aca="false">Sens!$J$844</f>
        <v>279.844317480667</v>
      </c>
      <c r="Y844" s="38" t="n">
        <f aca="false">Sens!$K$844</f>
        <v>206.984513700268</v>
      </c>
      <c r="Z844" s="38" t="n">
        <f aca="false">Sens!$L$844</f>
        <v>176.018855519869</v>
      </c>
      <c r="AA844" s="38" t="n">
        <f aca="false">Sens!$M$844</f>
        <v>176.30797554647</v>
      </c>
    </row>
    <row r="845" customFormat="false" ht="17.15" hidden="false" customHeight="false" outlineLevel="0" collapsed="false">
      <c r="A845" s="5" t="s">
        <v>633</v>
      </c>
      <c r="B845" s="0" t="s">
        <v>86</v>
      </c>
      <c r="C845" s="38" t="n">
        <f aca="false">Sens!$C$842-Sens!$C$844</f>
        <v>10.2196197077374</v>
      </c>
      <c r="D845" s="38" t="n">
        <f aca="false">Sens!$D$842-Sens!$D$844</f>
        <v>1.80544643100262</v>
      </c>
      <c r="E845" s="38" t="n">
        <f aca="false">Sens!$E$842-Sens!$E$844</f>
        <v>18.9918150485108</v>
      </c>
      <c r="F845" s="38" t="n">
        <f aca="false">Sens!$F$842-Sens!$F$844</f>
        <v>0</v>
      </c>
      <c r="G845" s="38" t="n">
        <f aca="false">Sens!$G$842-Sens!$G$844</f>
        <v>18.9918150485108</v>
      </c>
      <c r="H845" s="38" t="n">
        <f aca="false">Sens!$H$842-Sens!$H$844</f>
        <v>0</v>
      </c>
      <c r="I845" s="38" t="n">
        <f aca="false">Sens!$I$842-Sens!$I$844</f>
        <v>0</v>
      </c>
      <c r="J845" s="38" t="n">
        <f aca="false">Sens!$J$842-Sens!$J$844</f>
        <v>0</v>
      </c>
      <c r="K845" s="38" t="n">
        <f aca="false">Sens!$K$842-Sens!$K$844</f>
        <v>0</v>
      </c>
      <c r="L845" s="38" t="n">
        <f aca="false">Sens!$L$842-Sens!$L$844</f>
        <v>0</v>
      </c>
      <c r="M845" s="38" t="n">
        <f aca="false">Sens!$M$842-Sens!$M$844</f>
        <v>0</v>
      </c>
    </row>
    <row r="846" customFormat="false" ht="17.15" hidden="false" customHeight="false" outlineLevel="0" collapsed="false">
      <c r="A846" s="5" t="s">
        <v>634</v>
      </c>
      <c r="B846" s="0" t="s">
        <v>86</v>
      </c>
      <c r="C846" s="38" t="n">
        <f aca="false">Sens!$C$844*Sens!$C$841</f>
        <v>11.0040856</v>
      </c>
      <c r="D846" s="38" t="n">
        <f aca="false">Sens!$D$844*Sens!$D$841</f>
        <v>49.5183852</v>
      </c>
      <c r="E846" s="38" t="n">
        <f aca="false">Sens!$E$844*Sens!$E$841</f>
        <v>34.3863722666667</v>
      </c>
      <c r="F846" s="38" t="n">
        <f aca="false">Sens!$F$844*Sens!$F$841</f>
        <v>97.6331193193333</v>
      </c>
      <c r="G846" s="38" t="n">
        <f aca="false">Sens!$E$846+Sens!$F$846</f>
        <v>132.019491586</v>
      </c>
      <c r="H846" s="38" t="n">
        <f aca="false">(Sens!$H$844-Sens!$H$843)*Sens!$H$841+Sens!$H$843</f>
        <v>203.366378593</v>
      </c>
      <c r="I846" s="38" t="n">
        <f aca="false">(Sens!$I$844-Sens!$I$843)*Sens!$I$841+Sens!$I$843</f>
        <v>211.466518547333</v>
      </c>
      <c r="J846" s="38" t="n">
        <f aca="false">(Sens!$J$844-Sens!$J$843)*Sens!$J$841+Sens!$J$843</f>
        <v>218.448876147333</v>
      </c>
      <c r="K846" s="38" t="n">
        <f aca="false">(Sens!$K$844-Sens!$K$843)*Sens!$K$841+Sens!$K$843</f>
        <v>163.553997698046</v>
      </c>
      <c r="L846" s="38" t="n">
        <f aca="false">(Sens!$L$844-Sens!$L$843)*Sens!$L$841+Sens!$L$843</f>
        <v>150.553264848758</v>
      </c>
      <c r="M846" s="38" t="n">
        <f aca="false">(Sens!$M$844-Sens!$M$843)*Sens!$M$841+Sens!$M$843</f>
        <v>168.80731020647</v>
      </c>
      <c r="R846" s="38" t="n">
        <f aca="false">Sens!$R$844*Sens!$C$841</f>
        <v>1.09927679019314</v>
      </c>
      <c r="S846" s="38" t="n">
        <f aca="false">Sens!$C$846</f>
        <v>11.0040856</v>
      </c>
      <c r="T846" s="38" t="n">
        <f aca="false">Sens!$D$846</f>
        <v>49.5183852</v>
      </c>
      <c r="U846" s="38" t="n">
        <f aca="false">Sens!$G$846</f>
        <v>132.019491586</v>
      </c>
      <c r="V846" s="38" t="n">
        <f aca="false">Sens!$H$846</f>
        <v>203.366378593</v>
      </c>
      <c r="W846" s="38" t="n">
        <f aca="false">Sens!$I$846</f>
        <v>211.466518547333</v>
      </c>
      <c r="X846" s="38" t="n">
        <f aca="false">Sens!$J$846</f>
        <v>218.448876147333</v>
      </c>
      <c r="Y846" s="38" t="n">
        <f aca="false">Sens!$K$846</f>
        <v>163.553997698046</v>
      </c>
      <c r="Z846" s="38" t="n">
        <f aca="false">Sens!$L$846</f>
        <v>150.553264848758</v>
      </c>
      <c r="AA846" s="38" t="n">
        <f aca="false">Sens!$M$846</f>
        <v>168.80731020647</v>
      </c>
    </row>
    <row r="847" customFormat="false" ht="15" hidden="false" customHeight="false" outlineLevel="0" collapsed="false">
      <c r="A847" s="5" t="s">
        <v>635</v>
      </c>
      <c r="B847" s="0" t="s">
        <v>86</v>
      </c>
      <c r="C847" s="38" t="n">
        <f aca="false">Sens!$C$844-Sens!$C$846</f>
        <v>4.0544</v>
      </c>
      <c r="D847" s="38" t="n">
        <f aca="false">Sens!$D$844-Sens!$D$846</f>
        <v>18.2448</v>
      </c>
      <c r="E847" s="38" t="n">
        <f aca="false">Sens!$E$844-Sens!$E$846</f>
        <v>10.8117333333333</v>
      </c>
      <c r="F847" s="38" t="n">
        <f aca="false">Sens!$F$844-Sens!$F$846</f>
        <v>30.6977206666667</v>
      </c>
      <c r="G847" s="38" t="n">
        <f aca="false">Sens!$G$844-Sens!$G$846</f>
        <v>41.509454</v>
      </c>
      <c r="H847" s="38" t="n">
        <f aca="false">Sens!$H$844-Sens!$H$846</f>
        <v>61.3954413333334</v>
      </c>
      <c r="I847" s="38" t="n">
        <f aca="false">Sens!$I$844-Sens!$I$846</f>
        <v>61.3954413333333</v>
      </c>
      <c r="J847" s="38" t="n">
        <f aca="false">Sens!$J$844-Sens!$J$846</f>
        <v>61.3954413333333</v>
      </c>
      <c r="K847" s="38" t="n">
        <f aca="false">Sens!$K$844-Sens!$K$846</f>
        <v>43.4305160022223</v>
      </c>
      <c r="L847" s="38" t="n">
        <f aca="false">Sens!$L$844-Sens!$L$846</f>
        <v>25.4655906711111</v>
      </c>
      <c r="M847" s="38" t="n">
        <f aca="false">Sens!$M$844-Sens!$M$846</f>
        <v>7.50066533999998</v>
      </c>
      <c r="R847" s="38" t="n">
        <f aca="false">Sens!$R$844-Sens!$R$846</f>
        <v>0.405023005106309</v>
      </c>
      <c r="S847" s="38" t="n">
        <f aca="false">Sens!$S$844-Sens!$S$846</f>
        <v>4.0544</v>
      </c>
      <c r="T847" s="38" t="n">
        <f aca="false">Sens!$T$844-Sens!$T$846</f>
        <v>18.2448</v>
      </c>
      <c r="U847" s="38" t="n">
        <f aca="false">Sens!$U$844-Sens!$U$846</f>
        <v>41.509454</v>
      </c>
      <c r="V847" s="38" t="n">
        <f aca="false">Sens!$V$844-Sens!$V$846</f>
        <v>61.3954413333334</v>
      </c>
      <c r="W847" s="38" t="n">
        <f aca="false">Sens!$W$844-Sens!$W$846</f>
        <v>61.3954413333333</v>
      </c>
      <c r="X847" s="38" t="n">
        <f aca="false">Sens!$X$844-Sens!$X$846</f>
        <v>61.3954413333333</v>
      </c>
      <c r="Y847" s="38" t="n">
        <f aca="false">Sens!$Y$844-Sens!$Y$846</f>
        <v>43.4305160022223</v>
      </c>
      <c r="Z847" s="38" t="n">
        <f aca="false">Sens!$Z$844-Sens!$Z$846</f>
        <v>25.4655906711111</v>
      </c>
      <c r="AA847" s="38" t="n">
        <f aca="false">Sens!$AA$844-Sens!$AA$846</f>
        <v>7.50066533999998</v>
      </c>
    </row>
    <row r="848" customFormat="false" ht="17.15" hidden="false" customHeight="false" outlineLevel="0" collapsed="false">
      <c r="A848" s="0" t="s">
        <v>636</v>
      </c>
      <c r="B848" s="0" t="s">
        <v>52</v>
      </c>
      <c r="C848" s="13" t="n">
        <f aca="false">Sens!$C$842/Sens!$C$964</f>
        <v>0.325505489553393</v>
      </c>
      <c r="D848" s="13" t="n">
        <f aca="false">Sens!$D$842/Sens!$D$964</f>
        <v>0.54214956071542</v>
      </c>
      <c r="E848" s="13" t="n">
        <f aca="false">Sens!$E$842/Sens!$E$964</f>
        <v>0.666492790452817</v>
      </c>
      <c r="F848" s="13" t="n">
        <f aca="false">Sens!$F$842/Sens!$F$964</f>
        <v>0.78583875756994</v>
      </c>
      <c r="G848" s="13" t="n">
        <f aca="false">Sens!$G$842/Sens!$G$964</f>
        <v>0.741564576383342</v>
      </c>
      <c r="H848" s="13" t="n">
        <f aca="false">Sens!$H$842/Sens!$H$964</f>
        <v>0.779713086549944</v>
      </c>
      <c r="I848" s="13" t="n">
        <f aca="false">Sens!$I$842/Sens!$I$964</f>
        <v>0.768198289209159</v>
      </c>
      <c r="J848" s="13" t="n">
        <f aca="false">Sens!$J$842/Sens!$J$964</f>
        <v>0.757815591782285</v>
      </c>
      <c r="K848" s="13" t="n">
        <f aca="false">Sens!$K$842/Sens!$K$964</f>
        <v>0.683561016394712</v>
      </c>
      <c r="L848" s="13" t="n">
        <f aca="false">Sens!$L$842/Sens!$L$964</f>
        <v>0.631568696428274</v>
      </c>
      <c r="M848" s="13" t="n">
        <f aca="false">Sens!$M$842/Sens!$M$964</f>
        <v>0.615667779845574</v>
      </c>
    </row>
    <row r="849" customFormat="false" ht="17.15" hidden="false" customHeight="false" outlineLevel="0" collapsed="false">
      <c r="A849" s="0" t="s">
        <v>637</v>
      </c>
      <c r="B849" s="0" t="s">
        <v>86</v>
      </c>
      <c r="C849" s="38" t="n">
        <f aca="false">Sens!$S$849</f>
        <v>0.183212798365523</v>
      </c>
      <c r="D849" s="38" t="n">
        <f aca="false">Sens!$T$849</f>
        <v>2.01722706503219</v>
      </c>
      <c r="E849" s="38" t="n">
        <f aca="false">Sens!$G$849/2</f>
        <v>5.1351456325161</v>
      </c>
      <c r="F849" s="38" t="n">
        <f aca="false">Sens!$G$849/2</f>
        <v>5.1351456325161</v>
      </c>
      <c r="G849" s="38" t="n">
        <f aca="false">Sens!$U$849</f>
        <v>10.2702912650322</v>
      </c>
      <c r="H849" s="38" t="n">
        <f aca="false">Sens!$V$849</f>
        <v>32.2735398626989</v>
      </c>
      <c r="I849" s="38" t="n">
        <f aca="false">Sens!$W$849</f>
        <v>66.1679362948655</v>
      </c>
      <c r="J849" s="38" t="n">
        <f aca="false">Sens!$X$849</f>
        <v>101.412356052754</v>
      </c>
      <c r="K849" s="38" t="n">
        <f aca="false">Sens!$Y$849</f>
        <v>137.637289278944</v>
      </c>
      <c r="L849" s="38" t="n">
        <f aca="false">Sens!$Z$849</f>
        <v>163.062274628619</v>
      </c>
      <c r="M849" s="38" t="n">
        <f aca="false">Sens!$AA$849</f>
        <v>179.901421236745</v>
      </c>
      <c r="N849" s="38" t="n">
        <f aca="false">Sens!$D$849/2</f>
        <v>1.0086135325161</v>
      </c>
      <c r="O849" s="38" t="n">
        <f aca="false">Sens!$D$849/2</f>
        <v>1.0086135325161</v>
      </c>
      <c r="R849" s="38" t="n">
        <f aca="false">SUMPRODUCT(--(Sens!$R$812:$AA$812&lt;Sens!R$812),--(Sens!$R$812:$AA$812&gt;=Sens!R$812-tk_life),Sens!$R$846:$AA$846)/tk_life</f>
        <v>0</v>
      </c>
      <c r="S849" s="38" t="n">
        <f aca="false">SUMPRODUCT(--(Sens!$R$812:$AA$812&lt;Sens!S$812),--(Sens!$R$812:$AA$812&gt;=Sens!S$812-tk_life),Sens!$R$846:$AA$846)/tk_life</f>
        <v>0.183212798365523</v>
      </c>
      <c r="T849" s="38" t="n">
        <f aca="false">SUMPRODUCT(--(Sens!$R$812:$AA$812&lt;Sens!T$812),--(Sens!$R$812:$AA$812&gt;=Sens!T$812-tk_life),Sens!$R$846:$AA$846)/tk_life</f>
        <v>2.01722706503219</v>
      </c>
      <c r="U849" s="38" t="n">
        <f aca="false">SUMPRODUCT(--(Sens!$R$812:$AA$812&lt;Sens!U$812),--(Sens!$R$812:$AA$812&gt;=Sens!U$812-tk_life),Sens!$R$846:$AA$846)/tk_life</f>
        <v>10.2702912650322</v>
      </c>
      <c r="V849" s="38" t="n">
        <f aca="false">SUMPRODUCT(--(Sens!$R$812:$AA$812&lt;Sens!V$812),--(Sens!$R$812:$AA$812&gt;=Sens!V$812-tk_life),Sens!$R$846:$AA$846)/tk_life</f>
        <v>32.2735398626989</v>
      </c>
      <c r="W849" s="38" t="n">
        <f aca="false">SUMPRODUCT(--(Sens!$R$812:$AA$812&lt;Sens!W$812),--(Sens!$R$812:$AA$812&gt;=Sens!W$812-tk_life),Sens!$R$846:$AA$846)/tk_life</f>
        <v>66.1679362948655</v>
      </c>
      <c r="X849" s="38" t="n">
        <f aca="false">SUMPRODUCT(--(Sens!$R$812:$AA$812&lt;Sens!X$812),--(Sens!$R$812:$AA$812&gt;=Sens!X$812-tk_life),Sens!$R$846:$AA$846)/tk_life</f>
        <v>101.412356052754</v>
      </c>
      <c r="Y849" s="38" t="n">
        <f aca="false">SUMPRODUCT(--(Sens!$R$812:$AA$812&lt;Sens!Y$812),--(Sens!$R$812:$AA$812&gt;=Sens!Y$812-tk_life),Sens!$R$846:$AA$846)/tk_life</f>
        <v>137.637289278944</v>
      </c>
      <c r="Z849" s="38" t="n">
        <f aca="false">SUMPRODUCT(--(Sens!$R$812:$AA$812&lt;Sens!Z$812),--(Sens!$R$812:$AA$812&gt;=Sens!Z$812-tk_life),Sens!$R$846:$AA$846)/tk_life</f>
        <v>163.062274628619</v>
      </c>
      <c r="AA849" s="38" t="n">
        <f aca="false">SUMPRODUCT(--(Sens!$R$812:$AA$812&lt;Sens!AA$812),--(Sens!$R$812:$AA$812&gt;=Sens!AA$812-tk_life),Sens!$R$846:$AA$846)/tk_life</f>
        <v>179.901421236745</v>
      </c>
    </row>
    <row r="850" customFormat="false" ht="17.15" hidden="false" customHeight="false" outlineLevel="0" collapsed="false">
      <c r="A850" s="0" t="s">
        <v>638</v>
      </c>
      <c r="B850" s="0" t="s">
        <v>86</v>
      </c>
      <c r="C850" s="38" t="n">
        <f aca="false">Sens!$S$850</f>
        <v>0.0202511502553155</v>
      </c>
      <c r="D850" s="38" t="n">
        <f aca="false">Sens!$T$850</f>
        <v>0.222971150255315</v>
      </c>
      <c r="E850" s="38" t="n">
        <f aca="false">Sens!$G$850/2</f>
        <v>0.567605575127658</v>
      </c>
      <c r="F850" s="38" t="n">
        <f aca="false">Sens!$G$850/2</f>
        <v>0.567605575127658</v>
      </c>
      <c r="G850" s="38" t="n">
        <f aca="false">Sens!$U$850</f>
        <v>1.13521115025532</v>
      </c>
      <c r="H850" s="38" t="n">
        <f aca="false">Sens!$V$850</f>
        <v>3.21068385025532</v>
      </c>
      <c r="I850" s="38" t="n">
        <f aca="false">Sens!$W$850</f>
        <v>6.28045591692198</v>
      </c>
      <c r="J850" s="38" t="n">
        <f aca="false">Sens!$X$850</f>
        <v>9.35022798358865</v>
      </c>
      <c r="K850" s="38" t="n">
        <f aca="false">Sens!$Y$850</f>
        <v>12.4200000502553</v>
      </c>
      <c r="L850" s="38" t="n">
        <f aca="false">Sens!$Z$850</f>
        <v>14.5915258503664</v>
      </c>
      <c r="M850" s="38" t="n">
        <f aca="false">Sens!$AA$850</f>
        <v>15.864805383922</v>
      </c>
      <c r="N850" s="38" t="n">
        <f aca="false">Sens!$D$850/2</f>
        <v>0.111485575127658</v>
      </c>
      <c r="O850" s="38" t="n">
        <f aca="false">Sens!$D$850/2</f>
        <v>0.111485575127658</v>
      </c>
      <c r="R850" s="38" t="n">
        <f aca="false">SUMPRODUCT(--(Sens!$R$812:$AA$812&lt;Sens!R$812),Sens!$R$847:$AA$847)/fac_life</f>
        <v>0</v>
      </c>
      <c r="S850" s="38" t="n">
        <f aca="false">SUMPRODUCT(--(Sens!$R$812:$AA$812&lt;Sens!S$812),Sens!$R$847:$AA$847)/fac_life</f>
        <v>0.0202511502553155</v>
      </c>
      <c r="T850" s="38" t="n">
        <f aca="false">SUMPRODUCT(--(Sens!$R$812:$AA$812&lt;Sens!T$812),Sens!$R$847:$AA$847)/fac_life</f>
        <v>0.222971150255315</v>
      </c>
      <c r="U850" s="38" t="n">
        <f aca="false">SUMPRODUCT(--(Sens!$R$812:$AA$812&lt;Sens!U$812),Sens!$R$847:$AA$847)/fac_life</f>
        <v>1.13521115025532</v>
      </c>
      <c r="V850" s="38" t="n">
        <f aca="false">SUMPRODUCT(--(Sens!$R$812:$AA$812&lt;Sens!V$812),Sens!$R$847:$AA$847)/fac_life</f>
        <v>3.21068385025532</v>
      </c>
      <c r="W850" s="38" t="n">
        <f aca="false">SUMPRODUCT(--(Sens!$R$812:$AA$812&lt;Sens!W$812),Sens!$R$847:$AA$847)/fac_life</f>
        <v>6.28045591692198</v>
      </c>
      <c r="X850" s="38" t="n">
        <f aca="false">SUMPRODUCT(--(Sens!$R$812:$AA$812&lt;Sens!X$812),Sens!$R$847:$AA$847)/fac_life</f>
        <v>9.35022798358865</v>
      </c>
      <c r="Y850" s="38" t="n">
        <f aca="false">SUMPRODUCT(--(Sens!$R$812:$AA$812&lt;Sens!Y$812),Sens!$R$847:$AA$847)/fac_life</f>
        <v>12.4200000502553</v>
      </c>
      <c r="Z850" s="38" t="n">
        <f aca="false">SUMPRODUCT(--(Sens!$R$812:$AA$812&lt;Sens!Z$812),Sens!$R$847:$AA$847)/fac_life</f>
        <v>14.5915258503664</v>
      </c>
      <c r="AA850" s="38" t="n">
        <f aca="false">SUMPRODUCT(--(Sens!$R$812:$AA$812&lt;Sens!AA$812),Sens!$R$847:$AA$847)/fac_life</f>
        <v>15.864805383922</v>
      </c>
    </row>
    <row r="851" customFormat="false" ht="17.15" hidden="false" customHeight="false" outlineLevel="0" collapsed="false">
      <c r="A851" s="1" t="s">
        <v>639</v>
      </c>
      <c r="B851" s="8" t="s">
        <v>86</v>
      </c>
      <c r="C851" s="38" t="n">
        <f aca="false">Sens!$C$849+Sens!$C$850</f>
        <v>0.203463948620839</v>
      </c>
      <c r="D851" s="38" t="n">
        <f aca="false">Sens!$D$849+Sens!$D$850</f>
        <v>2.24019821528751</v>
      </c>
      <c r="E851" s="38" t="n">
        <f aca="false">Sens!$E$849+Sens!$E$850</f>
        <v>5.70275120764375</v>
      </c>
      <c r="F851" s="38" t="n">
        <f aca="false">Sens!$F$849+Sens!$F$850</f>
        <v>5.70275120764375</v>
      </c>
      <c r="G851" s="38" t="n">
        <f aca="false">Sens!$G$849+Sens!$G$850</f>
        <v>11.4055024152875</v>
      </c>
      <c r="H851" s="38" t="n">
        <f aca="false">Sens!$H$849+Sens!$H$850</f>
        <v>35.4842237129542</v>
      </c>
      <c r="I851" s="38" t="n">
        <f aca="false">Sens!$I$849+Sens!$I$850</f>
        <v>72.4483922117875</v>
      </c>
      <c r="J851" s="38" t="n">
        <f aca="false">Sens!$J$849+Sens!$J$850</f>
        <v>110.762584036343</v>
      </c>
      <c r="K851" s="38" t="n">
        <f aca="false">Sens!$K$849+Sens!$K$850</f>
        <v>150.0572893292</v>
      </c>
      <c r="L851" s="38" t="n">
        <f aca="false">Sens!$L$849+Sens!$L$850</f>
        <v>177.653800478985</v>
      </c>
      <c r="M851" s="38" t="n">
        <f aca="false">Sens!$M$849+Sens!$M$850</f>
        <v>195.766226620667</v>
      </c>
      <c r="N851" s="38" t="n">
        <f aca="false">Sens!$N$849+Sens!$N$850</f>
        <v>1.12009910764375</v>
      </c>
      <c r="O851" s="38" t="n">
        <f aca="false">Sens!$O$849+Sens!$O$850</f>
        <v>1.12009910764375</v>
      </c>
      <c r="R851" s="38" t="n">
        <f aca="false">Sens!$R$849+Sens!$R$850</f>
        <v>0</v>
      </c>
      <c r="S851" s="38" t="n">
        <f aca="false">Sens!$S$849+Sens!$S$850</f>
        <v>0.203463948620839</v>
      </c>
      <c r="T851" s="38" t="n">
        <f aca="false">Sens!$T$849+Sens!$T$850</f>
        <v>2.24019821528751</v>
      </c>
      <c r="U851" s="38" t="n">
        <f aca="false">Sens!$U$849+Sens!$U$850</f>
        <v>11.4055024152875</v>
      </c>
      <c r="V851" s="38" t="n">
        <f aca="false">Sens!$V$849+Sens!$V$850</f>
        <v>35.4842237129542</v>
      </c>
      <c r="W851" s="38" t="n">
        <f aca="false">Sens!$W$849+Sens!$W$850</f>
        <v>72.4483922117875</v>
      </c>
      <c r="X851" s="38" t="n">
        <f aca="false">Sens!$X$849+Sens!$X$850</f>
        <v>110.762584036343</v>
      </c>
      <c r="Y851" s="38" t="n">
        <f aca="false">Sens!$Y$849+Sens!$Y$850</f>
        <v>150.0572893292</v>
      </c>
      <c r="Z851" s="38" t="n">
        <f aca="false">Sens!$Z$849+Sens!$Z$850</f>
        <v>177.653800478985</v>
      </c>
      <c r="AA851" s="38" t="n">
        <f aca="false">Sens!$AA$849+Sens!$AA$850</f>
        <v>195.766226620667</v>
      </c>
    </row>
    <row r="852" customFormat="false" ht="17.15" hidden="false" customHeight="false" outlineLevel="0" collapsed="false">
      <c r="A852" s="0" t="s">
        <v>640</v>
      </c>
      <c r="B852" s="0" t="s">
        <v>86</v>
      </c>
      <c r="C852" s="38" t="n">
        <f aca="false">Sens!$S$852</f>
        <v>16.3593214466786</v>
      </c>
      <c r="D852" s="38" t="n">
        <f aca="false">Sens!$T$852</f>
        <v>81.8823084313911</v>
      </c>
      <c r="G852" s="38" t="n">
        <f aca="false">Sens!$U$852</f>
        <v>244.005751602104</v>
      </c>
      <c r="H852" s="38" t="n">
        <f aca="false">Sens!$V$852</f>
        <v>473.283347815483</v>
      </c>
      <c r="I852" s="38" t="n">
        <f aca="false">Sens!$W$852</f>
        <v>673.696915484362</v>
      </c>
      <c r="J852" s="38" t="n">
        <f aca="false">Sens!$X$852</f>
        <v>842.778648928686</v>
      </c>
      <c r="K852" s="38" t="n">
        <f aca="false">Sens!$Y$852</f>
        <v>899.705873299754</v>
      </c>
      <c r="L852" s="38" t="n">
        <f aca="false">Sens!$Z$852</f>
        <v>898.070928340638</v>
      </c>
      <c r="M852" s="38" t="n">
        <f aca="false">Sens!$AA$852</f>
        <v>878.61267726644</v>
      </c>
      <c r="R852" s="38" t="n">
        <f aca="false">SUM(Sens!$R$844:$R$844)-SUM(Sens!$R$851:$R$851)</f>
        <v>1.50429979529945</v>
      </c>
      <c r="S852" s="38" t="n">
        <f aca="false">SUM(Sens!$R$844:$S$844)-SUM(Sens!$R$851:$S$851)</f>
        <v>16.3593214466786</v>
      </c>
      <c r="T852" s="38" t="n">
        <f aca="false">SUM(Sens!$R$844:$T$844)-SUM(Sens!$R$851:$T$851)</f>
        <v>81.8823084313911</v>
      </c>
      <c r="U852" s="38" t="n">
        <f aca="false">SUM(Sens!$R$844:$U$844)-SUM(Sens!$R$851:$U$851)</f>
        <v>244.005751602104</v>
      </c>
      <c r="V852" s="38" t="n">
        <f aca="false">SUM(Sens!$R$844:$V$844)-SUM(Sens!$R$851:$V$851)</f>
        <v>473.283347815483</v>
      </c>
      <c r="W852" s="38" t="n">
        <f aca="false">SUM(Sens!$R$844:$W$844)-SUM(Sens!$R$851:$W$851)</f>
        <v>673.696915484362</v>
      </c>
      <c r="X852" s="38" t="n">
        <f aca="false">SUM(Sens!$R$844:$X$844)-SUM(Sens!$R$851:$X$851)</f>
        <v>842.778648928686</v>
      </c>
      <c r="Y852" s="38" t="n">
        <f aca="false">SUM(Sens!$R$844:$Y$844)-SUM(Sens!$R$851:$Y$851)</f>
        <v>899.705873299754</v>
      </c>
      <c r="Z852" s="38" t="n">
        <f aca="false">SUM(Sens!$R$844:$Z$844)-SUM(Sens!$R$851:$Z$851)</f>
        <v>898.070928340638</v>
      </c>
      <c r="AA852" s="38" t="n">
        <f aca="false">SUM(Sens!$R$844:$AA$844)-SUM(Sens!$R$851:$AA$851)</f>
        <v>878.61267726644</v>
      </c>
    </row>
    <row r="853" customFormat="false" ht="17.15" hidden="false" customHeight="false" outlineLevel="0" collapsed="false">
      <c r="A853" s="1" t="s">
        <v>641</v>
      </c>
    </row>
    <row r="854" customFormat="false" ht="17.15" hidden="false" customHeight="false" outlineLevel="0" collapsed="false">
      <c r="A854" s="0" t="s">
        <v>642</v>
      </c>
      <c r="B854" s="0" t="s">
        <v>86</v>
      </c>
      <c r="C854" s="38" t="n">
        <f aca="false">Sens!$C$833-ext_sh_lo*Sens!$C$835</f>
        <v>1.80694998843362</v>
      </c>
      <c r="D854" s="38" t="n">
        <f aca="false">Sens!$D$833-ext_sh_lo*Sens!$D$835</f>
        <v>6.77606245662607</v>
      </c>
      <c r="E854" s="38" t="n">
        <f aca="false">Sens!$E$833-ext_sh_lo*Sens!$E$835</f>
        <v>6.62548329092326</v>
      </c>
      <c r="F854" s="38" t="n">
        <f aca="false">Sens!$F$833-ext_sh_lo*Sens!$F$835</f>
        <v>11.7200577158706</v>
      </c>
      <c r="G854" s="38" t="n">
        <f aca="false">Sens!$G$833-ext_sh_lo*Sens!$G$835</f>
        <v>18.3455410067939</v>
      </c>
      <c r="H854" s="38" t="n">
        <f aca="false">Sens!$H$833-ext_sh_lo*Sens!$H$835</f>
        <v>47.5171727060453</v>
      </c>
      <c r="I854" s="38" t="n">
        <f aca="false">Sens!$I$833-ext_sh_lo*Sens!$I$835</f>
        <v>80.5539692643667</v>
      </c>
      <c r="J854" s="38" t="n">
        <f aca="false">Sens!$J$833-ext_sh_lo*Sens!$J$835</f>
        <v>113.759316834883</v>
      </c>
      <c r="K854" s="38" t="n">
        <f aca="false">Sens!$K$833-ext_sh_lo*Sens!$K$835</f>
        <v>142.084411492169</v>
      </c>
      <c r="L854" s="38" t="n">
        <f aca="false">Sens!$L$833-ext_sh_lo*Sens!$L$835</f>
        <v>160.69964615804</v>
      </c>
      <c r="M854" s="38" t="n">
        <f aca="false">Sens!$M$833-ext_sh_lo*Sens!$M$835</f>
        <v>169.577607141793</v>
      </c>
      <c r="N854" s="38" t="n">
        <f aca="false">Sens!$N$833-ext_sh_lo*Sens!$N$835</f>
        <v>2.37162185981912</v>
      </c>
      <c r="O854" s="38" t="n">
        <f aca="false">Sens!$O$833-ext_sh_lo*Sens!$O$835</f>
        <v>4.40444059680694</v>
      </c>
    </row>
    <row r="855" customFormat="false" ht="17.15" hidden="false" customHeight="false" outlineLevel="0" collapsed="false">
      <c r="A855" s="1" t="s">
        <v>643</v>
      </c>
      <c r="B855" s="8" t="s">
        <v>86</v>
      </c>
      <c r="C855" s="38" t="n">
        <f aca="false">Sens!$C$854-ext_sh_lo*Sens!$C$851</f>
        <v>1.68487161926111</v>
      </c>
      <c r="D855" s="38" t="n">
        <f aca="false">Sens!$D$854-ext_sh_lo*Sens!$D$851</f>
        <v>5.43194352745356</v>
      </c>
      <c r="E855" s="38" t="n">
        <f aca="false">Sens!$E$854-ext_sh_lo*Sens!$E$851</f>
        <v>3.20383256633701</v>
      </c>
      <c r="F855" s="38" t="n">
        <f aca="false">Sens!$F$854-ext_sh_lo*Sens!$F$851</f>
        <v>8.29840699128434</v>
      </c>
      <c r="G855" s="38" t="n">
        <f aca="false">Sens!$G$854-ext_sh_lo*Sens!$G$851</f>
        <v>11.5022395576214</v>
      </c>
      <c r="H855" s="38" t="n">
        <f aca="false">Sens!$H$854-ext_sh_lo*Sens!$H$851</f>
        <v>26.2266384782728</v>
      </c>
      <c r="I855" s="38" t="n">
        <f aca="false">Sens!$I$854-ext_sh_lo*Sens!$I$851</f>
        <v>37.0849339372942</v>
      </c>
      <c r="J855" s="38" t="n">
        <f aca="false">Sens!$J$854-ext_sh_lo*Sens!$J$851</f>
        <v>47.3017664130775</v>
      </c>
      <c r="K855" s="38" t="n">
        <f aca="false">Sens!$K$854-ext_sh_lo*Sens!$K$851</f>
        <v>52.0500378946496</v>
      </c>
      <c r="L855" s="38" t="n">
        <f aca="false">Sens!$L$854-ext_sh_lo*Sens!$L$851</f>
        <v>54.1073658706492</v>
      </c>
      <c r="M855" s="38" t="n">
        <f aca="false">Sens!$M$854-ext_sh_lo*Sens!$M$851</f>
        <v>52.1178711693931</v>
      </c>
      <c r="N855" s="38" t="n">
        <f aca="false">Sens!$N$854-ext_sh_lo*Sens!$N$851</f>
        <v>1.69956239523287</v>
      </c>
      <c r="O855" s="38" t="n">
        <f aca="false">Sens!$O$854-ext_sh_lo*Sens!$O$851</f>
        <v>3.73238113222069</v>
      </c>
    </row>
    <row r="856" customFormat="false" ht="17.15" hidden="false" customHeight="false" outlineLevel="0" collapsed="false">
      <c r="A856" s="0" t="s">
        <v>644</v>
      </c>
      <c r="B856" s="0" t="s">
        <v>52</v>
      </c>
      <c r="C856" s="13" t="n">
        <f aca="false">Sens!$C$855/Sens!$C$833</f>
        <v>0.725923192809006</v>
      </c>
      <c r="D856" s="13" t="n">
        <f aca="false">Sens!$D$855/Sens!$D$833</f>
        <v>0.624090879254298</v>
      </c>
      <c r="E856" s="13" t="n">
        <f aca="false">Sens!$E$855/Sens!$E$833</f>
        <v>0.376462947604405</v>
      </c>
      <c r="F856" s="13" t="n">
        <f aca="false">Sens!$F$855/Sens!$F$833</f>
        <v>0.554579061752465</v>
      </c>
      <c r="G856" s="13" t="n">
        <f aca="false">Sens!$G$855/Sens!$G$833</f>
        <v>0.490003583302531</v>
      </c>
      <c r="H856" s="13" t="n">
        <f aca="false">Sens!$H$855/Sens!$H$833</f>
        <v>0.435905429994337</v>
      </c>
      <c r="I856" s="13" t="n">
        <f aca="false">Sens!$I$855/Sens!$I$833</f>
        <v>0.365355491994908</v>
      </c>
      <c r="J856" s="13" t="n">
        <f aca="false">Sens!$J$855/Sens!$J$833</f>
        <v>0.330722822994983</v>
      </c>
      <c r="K856" s="13" t="n">
        <f aca="false">Sens!$K$855/Sens!$K$833</f>
        <v>0.291681625913924</v>
      </c>
      <c r="L856" s="13" t="n">
        <f aca="false">Sens!$L$855/Sens!$L$833</f>
        <v>0.268219278262234</v>
      </c>
      <c r="M856" s="13" t="n">
        <f aca="false">Sens!$M$855/Sens!$M$833</f>
        <v>0.244874024900146</v>
      </c>
      <c r="N856" s="13" t="n">
        <f aca="false">Sens!$N$855/Sens!$N$833</f>
        <v>0.557906804562749</v>
      </c>
      <c r="O856" s="13" t="n">
        <f aca="false">Sens!$O$855/Sens!$O$833</f>
        <v>0.659728457934363</v>
      </c>
    </row>
    <row r="857" customFormat="false" ht="17.15" hidden="false" customHeight="false" outlineLevel="0" collapsed="false">
      <c r="A857" s="5" t="s">
        <v>645</v>
      </c>
      <c r="B857" s="0" t="s">
        <v>86</v>
      </c>
      <c r="C857" s="39" t="n">
        <v>0</v>
      </c>
      <c r="D857" s="39" t="n">
        <v>0</v>
      </c>
      <c r="E857" s="39" t="n">
        <v>0</v>
      </c>
      <c r="F857" s="38" t="n">
        <f aca="false">IF(internal_ai_reading=2,1,0)*(1-ext_sh_lo)/ext_sh_lo*(mw_open*he_open+Sens!$F$831*Sens!$F$828)*Sens!$F$817/1000</f>
        <v>10.0565879513551</v>
      </c>
      <c r="G857" s="38" t="n">
        <f aca="false">Sens!$E$857+Sens!$F$857</f>
        <v>10.0565879513551</v>
      </c>
      <c r="H857" s="38" t="n">
        <f aca="false">IF(internal_ai_reading=2,1,0)*(1-ext_sh_lo)/ext_sh_lo*(mw_open*he_open+Sens!$H$831*Sens!$H$828)*Sens!$H$817/1000</f>
        <v>40.4361449626381</v>
      </c>
      <c r="I857" s="38" t="n">
        <f aca="false">IF(internal_ai_reading=2,1,0)*(1-ext_sh_lo)/ext_sh_lo*(mw_open*he_open+Sens!$I$831*Sens!$I$828)*Sens!$I$817/1000</f>
        <v>68.218358298637</v>
      </c>
      <c r="J857" s="38" t="n">
        <f aca="false">IF(internal_ai_reading=2,1,0)*(1-ext_sh_lo)/ext_sh_lo*(mw_open*he_open+Sens!$J$831*Sens!$J$828)*Sens!$J$817/1000</f>
        <v>96.1241664477658</v>
      </c>
      <c r="K857" s="38" t="n">
        <f aca="false">IF(internal_ai_reading=2,1,0)*(1-ext_sh_lo)/ext_sh_lo*(mw_open*he_open+Sens!$K$831*Sens!$K$828)*Sens!$K$817/1000</f>
        <v>119.93097707361</v>
      </c>
      <c r="L857" s="38" t="n">
        <f aca="false">IF(internal_ai_reading=2,1,0)*(1-ext_sh_lo)/ext_sh_lo*(mw_open*he_open+Sens!$L$831*Sens!$L$828)*Sens!$L$817/1000</f>
        <v>135.57693014875</v>
      </c>
      <c r="M857" s="38" t="n">
        <f aca="false">IF(internal_ai_reading=2,1,0)*(1-ext_sh_lo)/ext_sh_lo*(mw_open*he_open+Sens!$M$831*Sens!$M$828)*Sens!$M$817/1000</f>
        <v>143.041923806484</v>
      </c>
      <c r="N857" s="39" t="n">
        <v>0</v>
      </c>
      <c r="O857" s="39" t="n">
        <v>0</v>
      </c>
      <c r="P857" s="8" t="s">
        <v>646</v>
      </c>
    </row>
    <row r="858" customFormat="false" ht="17.15" hidden="false" customHeight="false" outlineLevel="0" collapsed="false">
      <c r="A858" s="5" t="s">
        <v>647</v>
      </c>
      <c r="B858" s="0" t="s">
        <v>86</v>
      </c>
      <c r="C858" s="38" t="n">
        <f aca="false">(1-ext_sh_lo)*(Sens!$C$835+Sens!$C$851)</f>
        <v>0.424089158475019</v>
      </c>
      <c r="D858" s="38" t="n">
        <f aca="false">(1-ext_sh_lo)*(Sens!$D$835+Sens!$D$851)</f>
        <v>2.18121770746507</v>
      </c>
      <c r="E858" s="38" t="n">
        <f aca="false">(1-ext_sh_lo)*(Sens!$E$835+Sens!$E$851)</f>
        <v>3.53768027282201</v>
      </c>
      <c r="F858" s="38" t="n">
        <f aca="false">(1-ext_sh_lo)*(Sens!$F$835+Sens!$F$851)</f>
        <v>4.44335110229074</v>
      </c>
      <c r="G858" s="38" t="n">
        <f aca="false">(1-ext_sh_lo)*(Sens!$G$835+Sens!$G$851)</f>
        <v>7.98103137511275</v>
      </c>
      <c r="H858" s="38" t="n">
        <f aca="false">(1-ext_sh_lo)*(Sens!$H$835+Sens!$H$851)</f>
        <v>22.6261681810012</v>
      </c>
      <c r="I858" s="38" t="n">
        <f aca="false">(1-ext_sh_lo)*(Sens!$I$835+Sens!$I$851)</f>
        <v>42.9458434660919</v>
      </c>
      <c r="J858" s="38" t="n">
        <f aca="false">(1-ext_sh_lo)*(Sens!$J$835+Sens!$J$851)</f>
        <v>63.8157604921338</v>
      </c>
      <c r="K858" s="38" t="n">
        <f aca="false">(1-ext_sh_lo)*(Sens!$K$835+Sens!$K$851)</f>
        <v>84.2653883256867</v>
      </c>
      <c r="L858" s="38" t="n">
        <f aca="false">(1-ext_sh_lo)*(Sens!$L$835+Sens!$L$851)</f>
        <v>98.4138239544982</v>
      </c>
      <c r="M858" s="38" t="n">
        <f aca="false">(1-ext_sh_lo)*(Sens!$M$835+Sens!$M$851)</f>
        <v>107.145046799648</v>
      </c>
      <c r="N858" s="38" t="n">
        <f aca="false">(1-ext_sh_lo)*(Sens!$N$835+Sens!$N$851)</f>
        <v>0.897838090530024</v>
      </c>
      <c r="O858" s="38" t="n">
        <f aca="false">(1-ext_sh_lo)*(Sens!$O$835+Sens!$O$851)</f>
        <v>1.28337961693504</v>
      </c>
    </row>
    <row r="859" customFormat="false" ht="17.15" hidden="false" customHeight="false" outlineLevel="0" collapsed="false">
      <c r="A859" s="0" t="s">
        <v>648</v>
      </c>
      <c r="B859" s="0" t="s">
        <v>86</v>
      </c>
      <c r="C859" s="38" t="n">
        <f aca="false">Q!$D$24</f>
        <v>39.834</v>
      </c>
      <c r="D859" s="38" t="n">
        <f aca="false">Q!$E$24</f>
        <v>45.606</v>
      </c>
      <c r="E859" s="38" t="n">
        <f aca="false">Q!$P$24</f>
        <v>30.782</v>
      </c>
      <c r="N859" s="38" t="n">
        <f aca="false">Q!$N$24</f>
        <v>21.707</v>
      </c>
      <c r="O859" s="38" t="n">
        <f aca="false">Q!$O$24</f>
        <v>23.899</v>
      </c>
    </row>
    <row r="860" customFormat="false" ht="17.15" hidden="false" customHeight="false" outlineLevel="0" collapsed="false">
      <c r="A860" s="0" t="s">
        <v>649</v>
      </c>
      <c r="B860" s="0" t="s">
        <v>86</v>
      </c>
      <c r="C860" s="38" t="n">
        <f aca="false">Sens!$C$859-Sens!$C$855</f>
        <v>38.1491283807389</v>
      </c>
      <c r="D860" s="38" t="n">
        <f aca="false">Sens!$D$859-Sens!$D$855</f>
        <v>40.1740564725464</v>
      </c>
      <c r="E860" s="38" t="n">
        <f aca="false">Sens!$E$859-Sens!$E$855</f>
        <v>27.578167433663</v>
      </c>
      <c r="F860" s="38" t="n">
        <f aca="false">Sens!$F$837*Sens!$F$861</f>
        <v>25.5267206004884</v>
      </c>
      <c r="G860" s="38" t="n">
        <f aca="false">Sens!$E$860+Sens!$F$860</f>
        <v>53.1048880341514</v>
      </c>
      <c r="H860" s="38" t="n">
        <f aca="false">Sens!$H$837*Sens!$H$861</f>
        <v>57.2701412761676</v>
      </c>
      <c r="I860" s="38" t="n">
        <f aca="false">Sens!$I$837*Sens!$I$861</f>
        <v>63.5843698657149</v>
      </c>
      <c r="J860" s="38" t="n">
        <f aca="false">Sens!$J$837*Sens!$J$861</f>
        <v>69.6329415841507</v>
      </c>
      <c r="K860" s="38" t="n">
        <f aca="false">Sens!$K$837*Sens!$K$861</f>
        <v>75.2035769108827</v>
      </c>
      <c r="L860" s="38" t="n">
        <f aca="false">Sens!$L$837*Sens!$L$861</f>
        <v>81.2198630637534</v>
      </c>
      <c r="M860" s="38" t="n">
        <f aca="false">Sens!$M$837*Sens!$M$861</f>
        <v>87.7174521088536</v>
      </c>
      <c r="N860" s="38" t="n">
        <f aca="false">Sens!$N$859-Sens!$N$855</f>
        <v>20.0074376047671</v>
      </c>
      <c r="O860" s="38" t="n">
        <f aca="false">Sens!$O$859-Sens!$O$855</f>
        <v>20.1666188677793</v>
      </c>
      <c r="P860" s="5" t="s">
        <v>650</v>
      </c>
    </row>
    <row r="861" customFormat="false" ht="17.15" hidden="false" customHeight="false" outlineLevel="0" collapsed="false">
      <c r="A861" s="0" t="s">
        <v>651</v>
      </c>
      <c r="B861" s="0" t="s">
        <v>52</v>
      </c>
      <c r="C861" s="13" t="n">
        <f aca="false">Sens!$C$860/Sens!$C$837</f>
        <v>0.362513710483349</v>
      </c>
      <c r="D861" s="13" t="n">
        <f aca="false">Sens!$D$860/Sens!$D$837</f>
        <v>0.334724585827192</v>
      </c>
      <c r="E861" s="13" t="n">
        <f aca="false">Sens!$E$860/Sens!$E$837</f>
        <v>0.386743664119933</v>
      </c>
      <c r="F861" s="13" t="n">
        <f aca="false">(Sens!$O$860+Sens!$E$860)/(Sens!$O$837+Sens!$E$837)</f>
        <v>0.35567743692178</v>
      </c>
      <c r="G861" s="13" t="n">
        <f aca="false">Sens!$G$860/Sens!$G$837</f>
        <v>0.371160540215548</v>
      </c>
      <c r="H861" s="13" t="n">
        <f aca="false">Sens!$F$861</f>
        <v>0.35567743692178</v>
      </c>
      <c r="I861" s="13" t="n">
        <f aca="false">Sens!$F$861</f>
        <v>0.35567743692178</v>
      </c>
      <c r="J861" s="13" t="n">
        <f aca="false">Sens!$F$861</f>
        <v>0.35567743692178</v>
      </c>
      <c r="K861" s="13" t="n">
        <f aca="false">Sens!$F$861</f>
        <v>0.35567743692178</v>
      </c>
      <c r="L861" s="13" t="n">
        <f aca="false">Sens!$F$861</f>
        <v>0.35567743692178</v>
      </c>
      <c r="M861" s="13" t="n">
        <f aca="false">Sens!$F$861</f>
        <v>0.35567743692178</v>
      </c>
      <c r="N861" s="13" t="n">
        <f aca="false">Sens!$N$860/Sens!$N$837</f>
        <v>0.350431736760083</v>
      </c>
      <c r="O861" s="13" t="n">
        <f aca="false">Sens!$O$860/Sens!$O$837</f>
        <v>0.320473608880099</v>
      </c>
      <c r="P861" s="8" t="s">
        <v>652</v>
      </c>
    </row>
    <row r="862" customFormat="false" ht="17.15" hidden="false" customHeight="false" outlineLevel="0" collapsed="false">
      <c r="A862" s="0" t="s">
        <v>653</v>
      </c>
      <c r="B862" s="0" t="s">
        <v>52</v>
      </c>
      <c r="D862" s="13" t="n">
        <f aca="false">(Q!$E$31-ext_sh_lo*Sens!$D$851)/Sens!$D$837</f>
        <v>0.167519372078409</v>
      </c>
    </row>
    <row r="863" customFormat="false" ht="17.15" hidden="false" customHeight="false" outlineLevel="0" collapsed="false">
      <c r="A863" s="0" t="s">
        <v>654</v>
      </c>
      <c r="B863" s="0" t="s">
        <v>86</v>
      </c>
      <c r="C863" s="38" t="n">
        <f aca="false">Q!$D$31</f>
        <v>13.32</v>
      </c>
      <c r="D863" s="38" t="n">
        <f aca="false">Q!$E$31</f>
        <v>21.45</v>
      </c>
      <c r="E863" s="38" t="n">
        <f aca="false">Q!$P$31</f>
        <v>15.353</v>
      </c>
      <c r="F863" s="38" t="n">
        <f aca="false">ext_sh_lo*Sens!$F$851+Sens!$D$862*Sens!$F$837</f>
        <v>15.4443987606255</v>
      </c>
      <c r="G863" s="38" t="n">
        <f aca="false">Sens!$E$863+Sens!$F$863</f>
        <v>30.7973987606255</v>
      </c>
      <c r="H863" s="38" t="n">
        <f aca="false">ext_sh_lo*Sens!$H$851+Sens!$D$862*Sens!$H$837</f>
        <v>48.2640138739814</v>
      </c>
      <c r="I863" s="38" t="n">
        <f aca="false">ext_sh_lo*Sens!$I$851+Sens!$D$862*Sens!$I$837</f>
        <v>73.4164331887152</v>
      </c>
      <c r="J863" s="38" t="n">
        <f aca="false">ext_sh_lo*Sens!$J$851+Sens!$D$862*Sens!$J$837</f>
        <v>99.2537456235689</v>
      </c>
      <c r="K863" s="38" t="n">
        <f aca="false">ext_sh_lo*Sens!$K$851+Sens!$D$862*Sens!$K$837</f>
        <v>125.454264415424</v>
      </c>
      <c r="L863" s="38" t="n">
        <f aca="false">ext_sh_lo*Sens!$L$851+Sens!$D$862*Sens!$L$837</f>
        <v>144.845762370727</v>
      </c>
      <c r="M863" s="38" t="n">
        <f aca="false">ext_sh_lo*Sens!$M$851+Sens!$D$862*Sens!$M$837</f>
        <v>158.773496622404</v>
      </c>
      <c r="N863" s="38" t="n">
        <f aca="false">Q!$N$31</f>
        <v>9.234</v>
      </c>
      <c r="O863" s="38" t="n">
        <f aca="false">Q!$O$31</f>
        <v>12.216</v>
      </c>
    </row>
    <row r="864" customFormat="false" ht="17.15" hidden="false" customHeight="false" outlineLevel="0" collapsed="false">
      <c r="A864" s="1" t="s">
        <v>655</v>
      </c>
    </row>
    <row r="865" customFormat="false" ht="17.15" hidden="false" customHeight="false" outlineLevel="0" collapsed="false">
      <c r="A865" s="15" t="s">
        <v>656</v>
      </c>
      <c r="B865" s="14" t="s">
        <v>52</v>
      </c>
      <c r="C865" s="14"/>
      <c r="D865" s="14"/>
      <c r="E865" s="14"/>
      <c r="F865" s="14"/>
      <c r="G865" s="17" t="n">
        <f aca="false">Sens!$G$855*(1-tax)/(ext_sh_lo*(Sens!$D$852+Sens!$G$852)/2)</f>
        <v>0.0972279535489684</v>
      </c>
      <c r="H865" s="17" t="n">
        <f aca="false">Sens!$H$855*(1-tax)/(ext_sh_lo*(Sens!$G$852+Sens!$H$852)/2)</f>
        <v>0.100722288362111</v>
      </c>
      <c r="I865" s="17" t="n">
        <f aca="false">Sens!$I$855*(1-tax)/(ext_sh_lo*(Sens!$H$852+Sens!$I$852)/2)</f>
        <v>0.0890673949548309</v>
      </c>
      <c r="J865" s="17" t="n">
        <f aca="false">Sens!$J$855*(1-tax)/(ext_sh_lo*(Sens!$I$852+Sens!$J$852)/2)</f>
        <v>0.0859249182760055</v>
      </c>
      <c r="K865" s="17" t="n">
        <f aca="false">Sens!$K$855*(1-tax)/(ext_sh_lo*(Sens!$J$852+Sens!$K$852)/2)</f>
        <v>0.0822866356580107</v>
      </c>
      <c r="L865" s="17" t="n">
        <f aca="false">Sens!$L$855*(1-tax)/(ext_sh_lo*(Sens!$K$852+Sens!$L$852)/2)</f>
        <v>0.0829082608001936</v>
      </c>
      <c r="M865" s="17" t="n">
        <f aca="false">Sens!$M$855*(1-tax)/(ext_sh_lo*(Sens!$L$852+Sens!$M$852)/2)</f>
        <v>0.0808078884314378</v>
      </c>
      <c r="N865" s="14"/>
      <c r="O865" s="14"/>
      <c r="P865" s="8" t="s">
        <v>657</v>
      </c>
    </row>
    <row r="866" customFormat="false" ht="17.15" hidden="false" customHeight="false" outlineLevel="0" collapsed="false">
      <c r="A866" s="5" t="s">
        <v>658</v>
      </c>
      <c r="B866" s="0" t="s">
        <v>57</v>
      </c>
      <c r="H866" s="36" t="n">
        <f aca="false">Sens!$H$833*1000/(mw_open*he_open+Sens!$H$831*Sens!$H$828)</f>
        <v>0.991949006767191</v>
      </c>
      <c r="I866" s="36" t="n">
        <f aca="false">Sens!$I$833*1000/(mw_open*he_open+Sens!$I$831*Sens!$I$828)</f>
        <v>0.991949006767191</v>
      </c>
      <c r="J866" s="36" t="n">
        <f aca="false">Sens!$J$833*1000/(mw_open*he_open+Sens!$J$831*Sens!$J$828)</f>
        <v>0.991949006767191</v>
      </c>
      <c r="K866" s="36" t="n">
        <f aca="false">Sens!$K$833*1000/(mw_open*he_open+Sens!$K$831*Sens!$K$828)</f>
        <v>0.991949006767191</v>
      </c>
      <c r="L866" s="36" t="n">
        <f aca="false">Sens!$L$833*1000/(mw_open*he_open+Sens!$L$831*Sens!$L$828)</f>
        <v>0.991949006767191</v>
      </c>
      <c r="M866" s="36" t="n">
        <f aca="false">Sens!$M$833*1000/(mw_open*he_open+Sens!$M$831*Sens!$M$828)</f>
        <v>0.991949006767191</v>
      </c>
    </row>
    <row r="867" customFormat="false" ht="17.15" hidden="false" customHeight="false" outlineLevel="0" collapsed="false">
      <c r="A867" s="5" t="s">
        <v>659</v>
      </c>
      <c r="B867" s="0" t="s">
        <v>57</v>
      </c>
      <c r="H867" s="36" t="n">
        <f aca="false">Sens!$H$866*(Sens!$H$833+wacc*ext_sh_lo*(Sens!$G$852+Sens!$H$852)/2/(1-tax)-Sens!$H$855)/Sens!$H$833</f>
        <v>1.04593345641439</v>
      </c>
      <c r="I867" s="36" t="n">
        <f aca="false">Sens!$I$866*(Sens!$I$833+wacc*ext_sh_lo*(Sens!$H$852+Sens!$I$852)/2/(1-tax)-Sens!$I$855)/Sens!$I$833</f>
        <v>1.09054066015447</v>
      </c>
      <c r="J867" s="36" t="n">
        <f aca="false">Sens!$J$866*(Sens!$J$833+wacc*ext_sh_lo*(Sens!$I$852+Sens!$J$852)/2/(1-tax)-Sens!$J$855)/Sens!$J$833</f>
        <v>1.09645685879111</v>
      </c>
      <c r="K867" s="36" t="n">
        <f aca="false">Sens!$K$866*(Sens!$K$833+wacc*ext_sh_lo*(Sens!$J$852+Sens!$K$852)/2/(1-tax)-Sens!$K$855)/Sens!$K$833</f>
        <v>1.10098801752493</v>
      </c>
      <c r="L867" s="36" t="n">
        <f aca="false">Sens!$L$866*(Sens!$L$833+wacc*ext_sh_lo*(Sens!$K$852+Sens!$L$852)/2/(1-tax)-Sens!$L$855)/Sens!$L$833</f>
        <v>1.08947048053609</v>
      </c>
      <c r="M867" s="36" t="n">
        <f aca="false">Sens!$M$866*(Sens!$M$833+wacc*ext_sh_lo*(Sens!$L$852+Sens!$M$852)/2/(1-tax)-Sens!$M$855)/Sens!$M$833</f>
        <v>1.08961014804342</v>
      </c>
    </row>
    <row r="868" customFormat="false" ht="17.15" hidden="false" customHeight="false" outlineLevel="0" collapsed="false">
      <c r="A868" s="5" t="s">
        <v>660</v>
      </c>
      <c r="B868" s="0" t="s">
        <v>52</v>
      </c>
      <c r="C868" s="13" t="n">
        <f aca="false">Sens!$C$834/tk_pq</f>
        <v>0.195316432429398</v>
      </c>
      <c r="D868" s="13" t="n">
        <f aca="false">Sens!$D$834/tk_pq</f>
        <v>0.195316432429398</v>
      </c>
      <c r="E868" s="13" t="n">
        <f aca="false">Sens!$E$834/tk_pq</f>
        <v>0.195316432429398</v>
      </c>
      <c r="F868" s="13" t="n">
        <f aca="false">Sens!$F$834/tk_pq</f>
        <v>0.202241827274866</v>
      </c>
      <c r="G868" s="13" t="n">
        <f aca="false">Sens!$G$834/tk_pq</f>
        <v>0.199675016194063</v>
      </c>
      <c r="H868" s="13" t="n">
        <f aca="false">Sens!$H$834/tk_pq</f>
        <v>0.212647947710325</v>
      </c>
      <c r="I868" s="13" t="n">
        <f aca="false">Sens!$I$834/tk_pq</f>
        <v>0.219285125475351</v>
      </c>
      <c r="J868" s="13" t="n">
        <f aca="false">Sens!$J$834/tk_pq</f>
        <v>0.222492493217189</v>
      </c>
      <c r="K868" s="13" t="n">
        <f aca="false">Sens!$K$834/tk_pq</f>
        <v>0.224053502812094</v>
      </c>
      <c r="L868" s="13" t="n">
        <f aca="false">Sens!$L$834/tk_pq</f>
        <v>0.224786916785614</v>
      </c>
      <c r="M868" s="13" t="n">
        <f aca="false">Sens!$M$834/tk_pq</f>
        <v>0.225048671566937</v>
      </c>
      <c r="N868" s="13" t="n">
        <f aca="false">Sens!$N$834/tk_pq</f>
        <v>0.195316432429398</v>
      </c>
      <c r="O868" s="13" t="n">
        <f aca="false">Sens!$O$834/tk_pq</f>
        <v>0.195316432429398</v>
      </c>
      <c r="P868" s="5" t="s">
        <v>661</v>
      </c>
    </row>
    <row r="871" customFormat="false" ht="17.15" hidden="false" customHeight="false" outlineLevel="0" collapsed="false">
      <c r="A871" s="1" t="s">
        <v>690</v>
      </c>
    </row>
    <row r="872" customFormat="false" ht="17.15" hidden="false" customHeight="false" outlineLevel="0" collapsed="false">
      <c r="A872" s="0" t="s">
        <v>691</v>
      </c>
      <c r="B872" s="0" t="s">
        <v>86</v>
      </c>
      <c r="C872" s="38" t="n">
        <f aca="false">Sens!$C$833</f>
        <v>2.32100535697364</v>
      </c>
      <c r="D872" s="38" t="n">
        <f aca="false">Sens!$D$833</f>
        <v>8.70377008865116</v>
      </c>
      <c r="E872" s="38" t="n">
        <f aca="false">Sens!$E$833</f>
        <v>8.51035297557002</v>
      </c>
      <c r="F872" s="38" t="n">
        <f aca="false">Sens!$F$833</f>
        <v>14.9634336447205</v>
      </c>
      <c r="G872" s="38" t="n">
        <f aca="false">Sens!$G$833</f>
        <v>23.4737866202905</v>
      </c>
      <c r="H872" s="38" t="n">
        <f aca="false">Sens!$H$833</f>
        <v>60.1658907497746</v>
      </c>
      <c r="I872" s="38" t="n">
        <f aca="false">Sens!$I$833</f>
        <v>101.503699136432</v>
      </c>
      <c r="J872" s="38" t="n">
        <f aca="false">Sens!$J$833</f>
        <v>143.025407151278</v>
      </c>
      <c r="K872" s="38" t="n">
        <f aca="false">Sens!$K$833</f>
        <v>178.44812038318</v>
      </c>
      <c r="L872" s="38" t="n">
        <f aca="false">Sens!$L$833</f>
        <v>201.728101802396</v>
      </c>
      <c r="M872" s="38" t="n">
        <f aca="false">Sens!$M$833</f>
        <v>212.835441368865</v>
      </c>
      <c r="N872" s="38" t="n">
        <f aca="false">Sens!$N$833</f>
        <v>3.04631953102791</v>
      </c>
      <c r="O872" s="38" t="n">
        <f aca="false">Sens!$O$833</f>
        <v>5.65745055762326</v>
      </c>
      <c r="P872" s="8" t="s">
        <v>692</v>
      </c>
    </row>
    <row r="873" customFormat="false" ht="17.15" hidden="false" customHeight="false" outlineLevel="0" collapsed="false">
      <c r="A873" s="0" t="s">
        <v>693</v>
      </c>
      <c r="B873" s="0" t="s">
        <v>86</v>
      </c>
      <c r="C873" s="38" t="n">
        <f aca="false">Sens!$C$837</f>
        <v>105.234994643026</v>
      </c>
      <c r="D873" s="38" t="n">
        <f aca="false">Sens!$D$837</f>
        <v>120.021229911349</v>
      </c>
      <c r="E873" s="38" t="n">
        <f aca="false">Sens!$E$837</f>
        <v>71.30864702443</v>
      </c>
      <c r="F873" s="38" t="n">
        <f aca="false">Sens!$F$837</f>
        <v>71.7692997942464</v>
      </c>
      <c r="G873" s="38" t="n">
        <f aca="false">Sens!$G$837</f>
        <v>143.077946818676</v>
      </c>
      <c r="H873" s="38" t="n">
        <f aca="false">Sens!$H$837</f>
        <v>161.017077079203</v>
      </c>
      <c r="I873" s="38" t="n">
        <f aca="false">Sens!$I$837</f>
        <v>178.769759521457</v>
      </c>
      <c r="J873" s="38" t="n">
        <f aca="false">Sens!$J$837</f>
        <v>195.775538045907</v>
      </c>
      <c r="K873" s="38" t="n">
        <f aca="false">Sens!$K$837</f>
        <v>211.43758108958</v>
      </c>
      <c r="L873" s="38" t="n">
        <f aca="false">Sens!$L$837</f>
        <v>228.352587576746</v>
      </c>
      <c r="M873" s="38" t="n">
        <f aca="false">Sens!$M$837</f>
        <v>246.620794582886</v>
      </c>
      <c r="N873" s="38" t="n">
        <f aca="false">Sens!$N$837</f>
        <v>57.0936804689721</v>
      </c>
      <c r="O873" s="38" t="n">
        <f aca="false">Sens!$O$837</f>
        <v>62.9275494423768</v>
      </c>
      <c r="P873" s="8" t="s">
        <v>692</v>
      </c>
    </row>
    <row r="874" customFormat="false" ht="17.15" hidden="false" customHeight="false" outlineLevel="0" collapsed="false">
      <c r="A874" s="1" t="s">
        <v>516</v>
      </c>
      <c r="B874" s="8" t="s">
        <v>86</v>
      </c>
      <c r="C874" s="38" t="n">
        <f aca="false">Q!$D$7</f>
        <v>107.556</v>
      </c>
      <c r="D874" s="38" t="n">
        <f aca="false">Q!$E$7</f>
        <v>128.725</v>
      </c>
      <c r="E874" s="38" t="n">
        <f aca="false">Q!$P$7</f>
        <v>79.819</v>
      </c>
      <c r="F874" s="38" t="n">
        <f aca="false">Sens!$F$872+Sens!$F$873</f>
        <v>86.7327334389669</v>
      </c>
      <c r="G874" s="38" t="n">
        <f aca="false">Sens!$G$872+Sens!$G$873</f>
        <v>166.551733438967</v>
      </c>
      <c r="H874" s="38" t="n">
        <f aca="false">Sens!$H$872+Sens!$H$873</f>
        <v>221.182967828978</v>
      </c>
      <c r="I874" s="38" t="n">
        <f aca="false">Sens!$I$872+Sens!$I$873</f>
        <v>280.27345865789</v>
      </c>
      <c r="J874" s="38" t="n">
        <f aca="false">Sens!$J$872+Sens!$J$873</f>
        <v>338.800945197185</v>
      </c>
      <c r="K874" s="38" t="n">
        <f aca="false">Sens!$K$872+Sens!$K$873</f>
        <v>389.88570147276</v>
      </c>
      <c r="L874" s="38" t="n">
        <f aca="false">Sens!$L$872+Sens!$L$873</f>
        <v>430.080689379143</v>
      </c>
      <c r="M874" s="38" t="n">
        <f aca="false">Sens!$M$872+Sens!$M$873</f>
        <v>459.456235951751</v>
      </c>
      <c r="N874" s="38" t="n">
        <f aca="false">Q!$N$7</f>
        <v>60.14</v>
      </c>
      <c r="O874" s="38" t="n">
        <f aca="false">Q!$O$7</f>
        <v>68.585</v>
      </c>
      <c r="P874" s="5" t="s">
        <v>694</v>
      </c>
    </row>
    <row r="875" customFormat="false" ht="15" hidden="false" customHeight="false" outlineLevel="0" collapsed="false">
      <c r="A875" s="3" t="s">
        <v>695</v>
      </c>
      <c r="B875" s="8" t="s">
        <v>86</v>
      </c>
      <c r="C875" s="38" t="n">
        <f aca="false">Q!$D$8</f>
        <v>637.959</v>
      </c>
      <c r="D875" s="38" t="n">
        <f aca="false">Q!$E$8</f>
        <v>716.924</v>
      </c>
      <c r="E875" s="38" t="n">
        <f aca="false">Q!$P$8</f>
        <v>382.125</v>
      </c>
      <c r="F875" s="38" t="n">
        <f aca="false">Sens!$F$805+Sens!$F$874</f>
        <v>435.780975084504</v>
      </c>
      <c r="G875" s="38" t="n">
        <f aca="false">Sens!$G$805+Sens!$G$874</f>
        <v>817.905975084504</v>
      </c>
      <c r="H875" s="38" t="n">
        <f aca="false">Sens!$H$805+Sens!$H$874</f>
        <v>942.279857350364</v>
      </c>
      <c r="I875" s="38" t="n">
        <f aca="false">Sens!$I$805+Sens!$I$874</f>
        <v>1068.80284981042</v>
      </c>
      <c r="J875" s="38" t="n">
        <f aca="false">Sens!$J$805+Sens!$J$874</f>
        <v>1189.90935093863</v>
      </c>
      <c r="K875" s="38" t="n">
        <f aca="false">Sens!$K$805+Sens!$K$874</f>
        <v>1296.06215690385</v>
      </c>
      <c r="L875" s="38" t="n">
        <f aca="false">Sens!$L$805+Sens!$L$874</f>
        <v>1395.17379585473</v>
      </c>
      <c r="M875" s="38" t="n">
        <f aca="false">Sens!$M$805+Sens!$M$874</f>
        <v>1487.60414389864</v>
      </c>
      <c r="N875" s="38" t="n">
        <f aca="false">Q!$N$8</f>
        <v>323.369</v>
      </c>
      <c r="O875" s="38" t="n">
        <f aca="false">Q!$O$8</f>
        <v>393.555</v>
      </c>
    </row>
    <row r="876" customFormat="false" ht="17.15" hidden="false" customHeight="false" outlineLevel="0" collapsed="false">
      <c r="A876" s="24" t="s">
        <v>703</v>
      </c>
      <c r="B876" s="25" t="s">
        <v>86</v>
      </c>
      <c r="C876" s="41" t="n">
        <f aca="false">Sens!$C$805-(Sens!$C$807+Sens!$C$808)</f>
        <v>0</v>
      </c>
      <c r="D876" s="41" t="n">
        <f aca="false">Sens!$D$805-(Sens!$D$807+Sens!$D$808)</f>
        <v>0</v>
      </c>
      <c r="E876" s="41" t="n">
        <f aca="false">Sens!$E$805-(Sens!$E$807+Sens!$E$808)</f>
        <v>0</v>
      </c>
      <c r="F876" s="41" t="n">
        <f aca="false">Sens!$F$805-(Sens!$F$807+Sens!$F$808)</f>
        <v>0</v>
      </c>
      <c r="G876" s="41" t="n">
        <f aca="false">Sens!$G$805-(Sens!$G$807+Sens!$G$808)</f>
        <v>0</v>
      </c>
      <c r="H876" s="41" t="n">
        <f aca="false">Sens!$H$805-(Sens!$H$807+Sens!$H$808)</f>
        <v>0</v>
      </c>
      <c r="I876" s="41" t="n">
        <f aca="false">Sens!$I$805-(Sens!$I$807+Sens!$I$808)</f>
        <v>0</v>
      </c>
      <c r="J876" s="41" t="n">
        <f aca="false">Sens!$J$805-(Sens!$J$807+Sens!$J$808)</f>
        <v>0</v>
      </c>
      <c r="K876" s="41" t="n">
        <f aca="false">Sens!$K$805-(Sens!$K$807+Sens!$K$808)</f>
        <v>0</v>
      </c>
      <c r="L876" s="41" t="n">
        <f aca="false">Sens!$L$805-(Sens!$L$807+Sens!$L$808)</f>
        <v>0</v>
      </c>
      <c r="M876" s="41" t="n">
        <f aca="false">Sens!$M$805-(Sens!$M$807+Sens!$M$808)</f>
        <v>0</v>
      </c>
      <c r="N876" s="41" t="n">
        <f aca="false">Sens!$N$805-(Sens!$N$807+Sens!$N$808)</f>
        <v>0</v>
      </c>
      <c r="O876" s="41" t="n">
        <f aca="false">Sens!$O$805-(Sens!$O$807+Sens!$O$808)</f>
        <v>0</v>
      </c>
    </row>
    <row r="877" customFormat="false" ht="17.15" hidden="false" customHeight="false" outlineLevel="0" collapsed="false">
      <c r="A877" s="24" t="s">
        <v>704</v>
      </c>
      <c r="B877" s="25" t="s">
        <v>86</v>
      </c>
      <c r="C877" s="41" t="n">
        <f aca="false">Sens!$C$872+Sens!$C$873-Sens!$C$874</f>
        <v>0</v>
      </c>
      <c r="D877" s="41" t="n">
        <f aca="false">Sens!$D$872+Sens!$D$873-Sens!$D$874</f>
        <v>0</v>
      </c>
      <c r="E877" s="41" t="n">
        <f aca="false">Sens!$E$872+Sens!$E$873-Sens!$E$874</f>
        <v>0</v>
      </c>
      <c r="F877" s="41" t="n">
        <f aca="false">Sens!$F$872+Sens!$F$873-Sens!$F$874</f>
        <v>0</v>
      </c>
      <c r="G877" s="41" t="n">
        <f aca="false">Sens!$G$872+Sens!$G$873-Sens!$G$874</f>
        <v>0</v>
      </c>
      <c r="H877" s="41" t="n">
        <f aca="false">Sens!$H$872+Sens!$H$873-Sens!$H$874</f>
        <v>0</v>
      </c>
      <c r="I877" s="41" t="n">
        <f aca="false">Sens!$I$872+Sens!$I$873-Sens!$I$874</f>
        <v>0</v>
      </c>
      <c r="J877" s="41" t="n">
        <f aca="false">Sens!$J$872+Sens!$J$873-Sens!$J$874</f>
        <v>0</v>
      </c>
      <c r="K877" s="41" t="n">
        <f aca="false">Sens!$K$872+Sens!$K$873-Sens!$K$874</f>
        <v>0</v>
      </c>
      <c r="L877" s="41" t="n">
        <f aca="false">Sens!$L$872+Sens!$L$873-Sens!$L$874</f>
        <v>0</v>
      </c>
      <c r="M877" s="41" t="n">
        <f aca="false">Sens!$M$872+Sens!$M$873-Sens!$M$874</f>
        <v>0</v>
      </c>
      <c r="N877" s="41" t="n">
        <f aca="false">Sens!$N$872+Sens!$N$873-Sens!$N$874</f>
        <v>0</v>
      </c>
      <c r="O877" s="41" t="n">
        <f aca="false">Sens!$O$872+Sens!$O$873-Sens!$O$874</f>
        <v>0</v>
      </c>
    </row>
    <row r="878" customFormat="false" ht="17.15" hidden="false" customHeight="false" outlineLevel="0" collapsed="false">
      <c r="A878" s="24" t="s">
        <v>705</v>
      </c>
      <c r="B878" s="25" t="s">
        <v>86</v>
      </c>
      <c r="C878" s="41" t="n">
        <f aca="false">Sens!$C$807+Sens!$C$808+Sens!$C$874-Sens!$C$875</f>
        <v>0</v>
      </c>
      <c r="D878" s="41" t="n">
        <f aca="false">Sens!$D$807+Sens!$D$808+Sens!$D$874-Sens!$D$875</f>
        <v>0</v>
      </c>
      <c r="E878" s="41" t="n">
        <f aca="false">Sens!$E$807+Sens!$E$808+Sens!$E$874-Sens!$E$875</f>
        <v>0</v>
      </c>
      <c r="F878" s="41" t="n">
        <f aca="false">Sens!$F$807+Sens!$F$808+Sens!$F$874-Sens!$F$875</f>
        <v>0</v>
      </c>
      <c r="G878" s="41" t="n">
        <f aca="false">Sens!$G$807+Sens!$G$808+Sens!$G$874-Sens!$G$875</f>
        <v>0</v>
      </c>
      <c r="H878" s="41" t="n">
        <f aca="false">Sens!$H$807+Sens!$H$808+Sens!$H$874-Sens!$H$875</f>
        <v>0</v>
      </c>
      <c r="I878" s="41" t="n">
        <f aca="false">Sens!$I$807+Sens!$I$808+Sens!$I$874-Sens!$I$875</f>
        <v>0</v>
      </c>
      <c r="J878" s="41" t="n">
        <f aca="false">Sens!$J$807+Sens!$J$808+Sens!$J$874-Sens!$J$875</f>
        <v>0</v>
      </c>
      <c r="K878" s="41" t="n">
        <f aca="false">Sens!$K$807+Sens!$K$808+Sens!$K$874-Sens!$K$875</f>
        <v>0</v>
      </c>
      <c r="L878" s="41" t="n">
        <f aca="false">Sens!$L$807+Sens!$L$808+Sens!$L$874-Sens!$L$875</f>
        <v>0</v>
      </c>
      <c r="M878" s="41" t="n">
        <f aca="false">Sens!$M$807+Sens!$M$808+Sens!$M$874-Sens!$M$875</f>
        <v>0</v>
      </c>
      <c r="N878" s="41" t="n">
        <f aca="false">Sens!$N$807+Sens!$N$808+Sens!$N$874-Sens!$N$875</f>
        <v>0</v>
      </c>
      <c r="O878" s="41" t="n">
        <f aca="false">Sens!$O$807+Sens!$O$808+Sens!$O$874-Sens!$O$875</f>
        <v>0</v>
      </c>
    </row>
    <row r="879" customFormat="false" ht="15" hidden="false" customHeight="false" outlineLevel="0" collapsed="false">
      <c r="A879" s="5" t="s">
        <v>699</v>
      </c>
      <c r="B879" s="0" t="s">
        <v>52</v>
      </c>
      <c r="G879" s="13" t="n">
        <f aca="false">Sens!$G$875/Sens!$D$875-1</f>
        <v>0.140854504918937</v>
      </c>
      <c r="H879" s="13" t="n">
        <f aca="false">Sens!$H$875/Sens!$G$875-1</f>
        <v>0.152063789793209</v>
      </c>
      <c r="I879" s="13" t="n">
        <f aca="false">Sens!$I$875/Sens!$H$875-1</f>
        <v>0.134273264437417</v>
      </c>
      <c r="J879" s="13" t="n">
        <f aca="false">Sens!$J$875/Sens!$I$875-1</f>
        <v>0.113310421234083</v>
      </c>
      <c r="K879" s="13" t="n">
        <f aca="false">Sens!$K$875/Sens!$J$875-1</f>
        <v>0.0892108343223652</v>
      </c>
      <c r="L879" s="13" t="n">
        <f aca="false">Sens!$L$875/Sens!$K$875-1</f>
        <v>0.076471362444261</v>
      </c>
      <c r="M879" s="13" t="n">
        <f aca="false">Sens!$M$875/Sens!$L$875-1</f>
        <v>0.066250060256672</v>
      </c>
    </row>
    <row r="880" customFormat="false" ht="17.15" hidden="false" customHeight="false" outlineLevel="0" collapsed="false">
      <c r="A880" s="0" t="s">
        <v>700</v>
      </c>
      <c r="B880" s="0" t="s">
        <v>52</v>
      </c>
      <c r="C880" s="13" t="n">
        <f aca="false">Sens!$C$874/Sens!$C$875</f>
        <v>0.168593906504964</v>
      </c>
      <c r="D880" s="13" t="n">
        <f aca="false">Sens!$D$874/Sens!$D$875</f>
        <v>0.179551807444025</v>
      </c>
      <c r="E880" s="13" t="n">
        <f aca="false">Sens!$E$874/Sens!$E$875</f>
        <v>0.208881910369643</v>
      </c>
      <c r="F880" s="13" t="n">
        <f aca="false">Sens!$F$874/Sens!$F$875</f>
        <v>0.199028269699356</v>
      </c>
      <c r="G880" s="13" t="n">
        <f aca="false">Sens!$G$874/Sens!$G$875</f>
        <v>0.203631882529968</v>
      </c>
      <c r="H880" s="13" t="n">
        <f aca="false">Sens!$H$874/Sens!$H$875</f>
        <v>0.234731715958496</v>
      </c>
      <c r="I880" s="13" t="n">
        <f aca="false">Sens!$I$874/Sens!$I$875</f>
        <v>0.262231204480418</v>
      </c>
      <c r="J880" s="13" t="n">
        <f aca="false">Sens!$J$874/Sens!$J$875</f>
        <v>0.284728366013706</v>
      </c>
      <c r="K880" s="13" t="n">
        <f aca="false">Sens!$K$874/Sens!$K$875</f>
        <v>0.300823304959505</v>
      </c>
      <c r="L880" s="13" t="n">
        <f aca="false">Sens!$L$874/Sens!$L$875</f>
        <v>0.308263164529735</v>
      </c>
      <c r="M880" s="13" t="n">
        <f aca="false">Sens!$M$874/Sens!$M$875</f>
        <v>0.308856517936036</v>
      </c>
      <c r="N880" s="13" t="n">
        <f aca="false">Sens!$N$874/Sens!$N$875</f>
        <v>0.185979484737251</v>
      </c>
      <c r="O880" s="13" t="n">
        <f aca="false">Sens!$O$874/Sens!$O$875</f>
        <v>0.174270432341096</v>
      </c>
    </row>
    <row r="881" customFormat="false" ht="17.15" hidden="false" customHeight="false" outlineLevel="0" collapsed="false">
      <c r="A881" s="0" t="s">
        <v>701</v>
      </c>
      <c r="B881" s="0" t="s">
        <v>52</v>
      </c>
      <c r="C881" s="13" t="n">
        <f aca="false">Sens!$C$872/Sens!$C$874</f>
        <v>0.0215795060896058</v>
      </c>
      <c r="D881" s="13" t="n">
        <f aca="false">Sens!$D$872/Sens!$D$874</f>
        <v>0.0676152269462122</v>
      </c>
      <c r="E881" s="13" t="n">
        <f aca="false">Sens!$E$872/Sens!$E$874</f>
        <v>0.106620641395783</v>
      </c>
      <c r="F881" s="13" t="n">
        <f aca="false">Sens!$F$872/Sens!$F$874</f>
        <v>0.172523487401099</v>
      </c>
      <c r="G881" s="13" t="n">
        <f aca="false">Sens!$G$872/Sens!$G$874</f>
        <v>0.140939911795589</v>
      </c>
      <c r="H881" s="13" t="n">
        <f aca="false">Sens!$H$872/Sens!$H$874</f>
        <v>0.272018642937714</v>
      </c>
      <c r="I881" s="13" t="n">
        <f aca="false">Sens!$I$872/Sens!$I$874</f>
        <v>0.362159512436497</v>
      </c>
      <c r="J881" s="13" t="n">
        <f aca="false">Sens!$J$872/Sens!$J$874</f>
        <v>0.422151735934609</v>
      </c>
      <c r="K881" s="13" t="n">
        <f aca="false">Sens!$K$872/Sens!$K$874</f>
        <v>0.45769342068485</v>
      </c>
      <c r="L881" s="13" t="n">
        <f aca="false">Sens!$L$872/Sens!$L$874</f>
        <v>0.469047103913472</v>
      </c>
      <c r="M881" s="13" t="n">
        <f aca="false">Sens!$M$872/Sens!$M$874</f>
        <v>0.463233328258093</v>
      </c>
      <c r="N881" s="13" t="n">
        <f aca="false">Sens!$N$872/Sens!$N$874</f>
        <v>0.0506537999838362</v>
      </c>
      <c r="O881" s="13" t="n">
        <f aca="false">Sens!$O$872/Sens!$O$874</f>
        <v>0.0824881615167056</v>
      </c>
    </row>
    <row r="884" customFormat="false" ht="19.4" hidden="false" customHeight="false" outlineLevel="0" collapsed="false">
      <c r="A884" s="31" t="s">
        <v>1152</v>
      </c>
    </row>
    <row r="885" customFormat="false" ht="17.15" hidden="false" customHeight="false" outlineLevel="0" collapsed="false">
      <c r="A885" s="6" t="s">
        <v>16</v>
      </c>
      <c r="B885" s="6" t="s">
        <v>17</v>
      </c>
      <c r="C885" s="20" t="s">
        <v>497</v>
      </c>
      <c r="D885" s="20" t="s">
        <v>498</v>
      </c>
      <c r="E885" s="20" t="s">
        <v>580</v>
      </c>
      <c r="F885" s="20" t="s">
        <v>581</v>
      </c>
      <c r="G885" s="20" t="s">
        <v>582</v>
      </c>
      <c r="H885" s="20" t="s">
        <v>583</v>
      </c>
      <c r="I885" s="20" t="s">
        <v>584</v>
      </c>
      <c r="J885" s="20" t="s">
        <v>585</v>
      </c>
      <c r="K885" s="20" t="s">
        <v>586</v>
      </c>
      <c r="L885" s="20" t="s">
        <v>587</v>
      </c>
      <c r="M885" s="20" t="s">
        <v>588</v>
      </c>
      <c r="N885" s="20" t="s">
        <v>589</v>
      </c>
      <c r="O885" s="20" t="s">
        <v>590</v>
      </c>
      <c r="P885" s="6" t="s">
        <v>23</v>
      </c>
      <c r="R885" s="20" t="n">
        <v>2023</v>
      </c>
      <c r="S885" s="20" t="n">
        <v>2024</v>
      </c>
      <c r="T885" s="20" t="n">
        <v>2025</v>
      </c>
      <c r="U885" s="20" t="n">
        <v>2026</v>
      </c>
      <c r="V885" s="20" t="n">
        <v>2027</v>
      </c>
      <c r="W885" s="20" t="n">
        <v>2028</v>
      </c>
      <c r="X885" s="20" t="n">
        <v>2029</v>
      </c>
      <c r="Y885" s="20" t="n">
        <v>2030</v>
      </c>
      <c r="Z885" s="20" t="n">
        <v>2031</v>
      </c>
      <c r="AA885" s="20" t="n">
        <v>2032</v>
      </c>
    </row>
    <row r="886" customFormat="false" ht="17.15" hidden="false" customHeight="false" outlineLevel="0" collapsed="false">
      <c r="A886" s="1" t="s">
        <v>716</v>
      </c>
    </row>
    <row r="887" customFormat="false" ht="15" hidden="false" customHeight="false" outlineLevel="0" collapsed="false">
      <c r="A887" s="0" t="s">
        <v>519</v>
      </c>
      <c r="B887" s="0" t="s">
        <v>86</v>
      </c>
      <c r="C887" s="38" t="n">
        <f aca="false">Sens!$C$792</f>
        <v>247.029</v>
      </c>
      <c r="D887" s="38" t="n">
        <f aca="false">Sens!$D$792</f>
        <v>269.287</v>
      </c>
      <c r="E887" s="38" t="n">
        <f aca="false">Sens!$E$792</f>
        <v>134.686</v>
      </c>
      <c r="F887" s="38" t="n">
        <f aca="false">Sens!$F$792</f>
        <v>158.293876822267</v>
      </c>
      <c r="G887" s="38" t="n">
        <f aca="false">Sens!$G$792</f>
        <v>292.979876822267</v>
      </c>
      <c r="H887" s="38" t="n">
        <f aca="false">Sens!$H$792</f>
        <v>318.184543087396</v>
      </c>
      <c r="I887" s="38" t="n">
        <f aca="false">Sens!$I$792</f>
        <v>341.736278761793</v>
      </c>
      <c r="J887" s="38" t="n">
        <f aca="false">Sens!$J$792</f>
        <v>362.927192787048</v>
      </c>
      <c r="K887" s="38" t="n">
        <f aca="false">Sens!$K$792</f>
        <v>381.0735524264</v>
      </c>
      <c r="L887" s="38" t="n">
        <f aca="false">Sens!$L$792</f>
        <v>400.12723004772</v>
      </c>
      <c r="M887" s="38" t="n">
        <f aca="false">Sens!$M$792</f>
        <v>420.133591550106</v>
      </c>
      <c r="N887" s="38" t="n">
        <f aca="false">Sens!$N$792</f>
        <v>118.892</v>
      </c>
      <c r="O887" s="38" t="n">
        <f aca="false">Sens!$O$792</f>
        <v>150.395</v>
      </c>
    </row>
    <row r="888" customFormat="false" ht="15" hidden="false" customHeight="false" outlineLevel="0" collapsed="false">
      <c r="A888" s="0" t="s">
        <v>520</v>
      </c>
      <c r="B888" s="0" t="s">
        <v>86</v>
      </c>
      <c r="C888" s="38" t="n">
        <f aca="false">Sens!$C$794</f>
        <v>21.215</v>
      </c>
      <c r="D888" s="38" t="n">
        <f aca="false">Sens!$D$794</f>
        <v>22.561</v>
      </c>
      <c r="E888" s="38" t="n">
        <f aca="false">Sens!$E$794</f>
        <v>11.579</v>
      </c>
      <c r="F888" s="38" t="n">
        <f aca="false">Sens!$F$794</f>
        <v>11.5938724610325</v>
      </c>
      <c r="G888" s="38" t="n">
        <f aca="false">Sens!$G$794</f>
        <v>23.1728724610325</v>
      </c>
      <c r="H888" s="38" t="n">
        <f aca="false">Sens!$H$794</f>
        <v>24.353392759506</v>
      </c>
      <c r="I888" s="38" t="n">
        <f aca="false">Sens!$I$794</f>
        <v>25.4240338872015</v>
      </c>
      <c r="J888" s="38" t="n">
        <f aca="false">Sens!$J$794</f>
        <v>26.3642491017174</v>
      </c>
      <c r="K888" s="38" t="n">
        <f aca="false">Sens!$K$794</f>
        <v>27.155176574769</v>
      </c>
      <c r="L888" s="38" t="n">
        <f aca="false">Sens!$L$794</f>
        <v>27.969831872012</v>
      </c>
      <c r="M888" s="38" t="n">
        <f aca="false">Sens!$M$794</f>
        <v>28.8089268281724</v>
      </c>
      <c r="N888" s="38" t="n">
        <f aca="false">Sens!$N$794</f>
        <v>11.128</v>
      </c>
      <c r="O888" s="38" t="n">
        <f aca="false">Sens!$O$794</f>
        <v>11.433</v>
      </c>
    </row>
    <row r="889" customFormat="false" ht="15" hidden="false" customHeight="false" outlineLevel="0" collapsed="false">
      <c r="A889" s="0" t="s">
        <v>521</v>
      </c>
      <c r="B889" s="0" t="s">
        <v>86</v>
      </c>
      <c r="C889" s="38" t="n">
        <f aca="false">Sens!$C$796</f>
        <v>156.146</v>
      </c>
      <c r="D889" s="38" t="n">
        <f aca="false">Sens!$D$796</f>
        <v>172.162</v>
      </c>
      <c r="E889" s="38" t="n">
        <f aca="false">Sens!$E$796</f>
        <v>88.358</v>
      </c>
      <c r="F889" s="38" t="n">
        <f aca="false">Sens!$F$796</f>
        <v>102.004388260171</v>
      </c>
      <c r="G889" s="38" t="n">
        <f aca="false">Sens!$G$796</f>
        <v>190.362388260171</v>
      </c>
      <c r="H889" s="38" t="n">
        <f aca="false">Sens!$H$796</f>
        <v>210.343106588311</v>
      </c>
      <c r="I889" s="38" t="n">
        <f aca="false">Sens!$I$796</f>
        <v>229.969728494648</v>
      </c>
      <c r="J889" s="38" t="n">
        <f aca="false">Sens!$J$796</f>
        <v>248.747636972598</v>
      </c>
      <c r="K889" s="38" t="n">
        <f aca="false">Sens!$K$796</f>
        <v>266.15997156068</v>
      </c>
      <c r="L889" s="38" t="n">
        <f aca="false">Sens!$L$796</f>
        <v>284.791169569927</v>
      </c>
      <c r="M889" s="38" t="n">
        <f aca="false">Sens!$M$796</f>
        <v>304.726551439822</v>
      </c>
      <c r="N889" s="38" t="n">
        <f aca="false">Sens!$N$796</f>
        <v>76.86</v>
      </c>
      <c r="O889" s="38" t="n">
        <f aca="false">Sens!$O$796</f>
        <v>95.302</v>
      </c>
    </row>
    <row r="890" customFormat="false" ht="15" hidden="false" customHeight="false" outlineLevel="0" collapsed="false">
      <c r="A890" s="0" t="s">
        <v>522</v>
      </c>
      <c r="B890" s="0" t="s">
        <v>86</v>
      </c>
      <c r="C890" s="38" t="n">
        <f aca="false">Sens!$C$798</f>
        <v>56.214</v>
      </c>
      <c r="D890" s="38" t="n">
        <f aca="false">Sens!$D$798</f>
        <v>68.635</v>
      </c>
      <c r="E890" s="38" t="n">
        <f aca="false">Sens!$E$798</f>
        <v>37.052</v>
      </c>
      <c r="F890" s="38" t="n">
        <f aca="false">Sens!$F$798</f>
        <v>46.1572219944148</v>
      </c>
      <c r="G890" s="38" t="n">
        <f aca="false">Sens!$G$798</f>
        <v>83.2092219944148</v>
      </c>
      <c r="H890" s="38" t="n">
        <f aca="false">Sens!$H$798</f>
        <v>99.8969223878976</v>
      </c>
      <c r="I890" s="38" t="n">
        <f aca="false">Sens!$I$798</f>
        <v>116.583111095496</v>
      </c>
      <c r="J890" s="38" t="n">
        <f aca="false">Sens!$J$798</f>
        <v>132.148941941952</v>
      </c>
      <c r="K890" s="38" t="n">
        <f aca="false">Sens!$K$798</f>
        <v>145.363836136147</v>
      </c>
      <c r="L890" s="38" t="n">
        <f aca="false">Sens!$L$798</f>
        <v>159.900219749762</v>
      </c>
      <c r="M890" s="38" t="n">
        <f aca="false">Sens!$M$798</f>
        <v>175.890241724738</v>
      </c>
      <c r="N890" s="38" t="n">
        <f aca="false">Sens!$N$798</f>
        <v>29.615</v>
      </c>
      <c r="O890" s="38" t="n">
        <f aca="false">Sens!$O$798</f>
        <v>39.02</v>
      </c>
    </row>
    <row r="891" customFormat="false" ht="15" hidden="false" customHeight="false" outlineLevel="0" collapsed="false">
      <c r="A891" s="0" t="s">
        <v>523</v>
      </c>
      <c r="B891" s="0" t="s">
        <v>86</v>
      </c>
      <c r="C891" s="38" t="n">
        <f aca="false">Sens!$C$800</f>
        <v>44.374</v>
      </c>
      <c r="D891" s="38" t="n">
        <f aca="false">Sens!$D$800</f>
        <v>49.619</v>
      </c>
      <c r="E891" s="38" t="n">
        <f aca="false">Sens!$E$800</f>
        <v>27.157</v>
      </c>
      <c r="F891" s="38" t="n">
        <f aca="false">Sens!$F$800</f>
        <v>27.7764165988154</v>
      </c>
      <c r="G891" s="38" t="n">
        <f aca="false">Sens!$G$800</f>
        <v>54.9334165988154</v>
      </c>
      <c r="H891" s="38" t="n">
        <f aca="false">Sens!$H$800</f>
        <v>61.1564112561829</v>
      </c>
      <c r="I891" s="38" t="n">
        <f aca="false">Sens!$I$800</f>
        <v>67.2020282103945</v>
      </c>
      <c r="J891" s="38" t="n">
        <f aca="false">Sens!$J$800</f>
        <v>72.8757274028885</v>
      </c>
      <c r="K891" s="38" t="n">
        <f aca="false">Sens!$K$800</f>
        <v>77.9770283210907</v>
      </c>
      <c r="L891" s="38" t="n">
        <f aca="false">Sens!$L$800</f>
        <v>83.4354203035671</v>
      </c>
      <c r="M891" s="38" t="n">
        <f aca="false">Sens!$M$800</f>
        <v>89.2758997248168</v>
      </c>
      <c r="N891" s="38" t="n">
        <f aca="false">Sens!$N$800</f>
        <v>23.923</v>
      </c>
      <c r="O891" s="38" t="n">
        <f aca="false">Sens!$O$800</f>
        <v>25.696</v>
      </c>
    </row>
    <row r="892" customFormat="false" ht="15" hidden="false" customHeight="false" outlineLevel="0" collapsed="false">
      <c r="A892" s="0" t="s">
        <v>524</v>
      </c>
      <c r="B892" s="0" t="s">
        <v>86</v>
      </c>
      <c r="C892" s="38" t="n">
        <f aca="false">Sens!$C$802</f>
        <v>5.425</v>
      </c>
      <c r="D892" s="38" t="n">
        <f aca="false">Sens!$D$802</f>
        <v>5.935</v>
      </c>
      <c r="E892" s="38" t="n">
        <f aca="false">Sens!$E$802</f>
        <v>3.474</v>
      </c>
      <c r="F892" s="38" t="n">
        <f aca="false">Sens!$F$802</f>
        <v>3.22246550883619</v>
      </c>
      <c r="G892" s="38" t="n">
        <f aca="false">Sens!$G$802</f>
        <v>6.69646550883619</v>
      </c>
      <c r="H892" s="38" t="n">
        <f aca="false">Sens!$H$802</f>
        <v>7.16251344209196</v>
      </c>
      <c r="I892" s="38" t="n">
        <f aca="false">Sens!$I$802</f>
        <v>7.61421070299826</v>
      </c>
      <c r="J892" s="38" t="n">
        <f aca="false">Sens!$J$802</f>
        <v>8.04465753523932</v>
      </c>
      <c r="K892" s="38" t="n">
        <f aca="false">Sens!$K$802</f>
        <v>8.44689041200128</v>
      </c>
      <c r="L892" s="38" t="n">
        <f aca="false">Sens!$L$802</f>
        <v>8.86923493260135</v>
      </c>
      <c r="M892" s="38" t="n">
        <f aca="false">Sens!$M$802</f>
        <v>9.31269667923142</v>
      </c>
      <c r="N892" s="38" t="n">
        <f aca="false">Sens!$N$802</f>
        <v>2.811</v>
      </c>
      <c r="O892" s="38" t="n">
        <f aca="false">Sens!$O$802</f>
        <v>3.124</v>
      </c>
    </row>
    <row r="893" customFormat="false" ht="17.15" hidden="false" customHeight="false" outlineLevel="0" collapsed="false">
      <c r="A893" s="0" t="s">
        <v>717</v>
      </c>
      <c r="B893" s="0" t="s">
        <v>86</v>
      </c>
      <c r="C893" s="38" t="n">
        <f aca="false">Sens!$C$874</f>
        <v>107.556</v>
      </c>
      <c r="D893" s="38" t="n">
        <f aca="false">Sens!$D$874</f>
        <v>128.725</v>
      </c>
      <c r="E893" s="38" t="n">
        <f aca="false">Sens!$E$874</f>
        <v>79.819</v>
      </c>
      <c r="F893" s="38" t="n">
        <f aca="false">Sens!$F$874</f>
        <v>86.7327334389669</v>
      </c>
      <c r="G893" s="38" t="n">
        <f aca="false">Sens!$G$874</f>
        <v>166.551733438967</v>
      </c>
      <c r="H893" s="38" t="n">
        <f aca="false">Sens!$H$874</f>
        <v>221.182967828978</v>
      </c>
      <c r="I893" s="38" t="n">
        <f aca="false">Sens!$I$874</f>
        <v>280.27345865789</v>
      </c>
      <c r="J893" s="38" t="n">
        <f aca="false">Sens!$J$874</f>
        <v>338.800945197185</v>
      </c>
      <c r="K893" s="38" t="n">
        <f aca="false">Sens!$K$874</f>
        <v>389.88570147276</v>
      </c>
      <c r="L893" s="38" t="n">
        <f aca="false">Sens!$L$874</f>
        <v>430.080689379143</v>
      </c>
      <c r="M893" s="38" t="n">
        <f aca="false">Sens!$M$874</f>
        <v>459.456235951751</v>
      </c>
      <c r="N893" s="38" t="n">
        <f aca="false">Sens!$N$874</f>
        <v>60.14</v>
      </c>
      <c r="O893" s="38" t="n">
        <f aca="false">Sens!$O$874</f>
        <v>68.585</v>
      </c>
    </row>
    <row r="894" customFormat="false" ht="15" hidden="false" customHeight="false" outlineLevel="0" collapsed="false">
      <c r="A894" s="1" t="s">
        <v>512</v>
      </c>
      <c r="B894" s="8" t="s">
        <v>86</v>
      </c>
      <c r="C894" s="38" t="n">
        <f aca="false">Sens!$C$807</f>
        <v>387.497</v>
      </c>
      <c r="D894" s="38" t="n">
        <f aca="false">Sens!$D$807</f>
        <v>426.305</v>
      </c>
      <c r="E894" s="38" t="n">
        <f aca="false">Sens!$E$807</f>
        <v>220.32</v>
      </c>
      <c r="F894" s="38" t="n">
        <f aca="false">Sens!$F$807</f>
        <v>250.639773480586</v>
      </c>
      <c r="G894" s="38" t="n">
        <f aca="false">Sens!$G$807</f>
        <v>470.959773480586</v>
      </c>
      <c r="H894" s="38" t="n">
        <f aca="false">Sens!$H$807</f>
        <v>521.386990416437</v>
      </c>
      <c r="I894" s="38" t="n">
        <f aca="false">Sens!$I$807</f>
        <v>570.143862887555</v>
      </c>
      <c r="J894" s="38" t="n">
        <f aca="false">Sens!$J$807</f>
        <v>615.391435791933</v>
      </c>
      <c r="K894" s="38" t="n">
        <f aca="false">Sens!$K$807</f>
        <v>655.208227561543</v>
      </c>
      <c r="L894" s="38" t="n">
        <f aca="false">Sens!$L$807</f>
        <v>697.807739249767</v>
      </c>
      <c r="M894" s="38" t="n">
        <f aca="false">Sens!$M$807</f>
        <v>743.399328463592</v>
      </c>
      <c r="N894" s="38" t="n">
        <f aca="false">Sens!$N$807</f>
        <v>192.955</v>
      </c>
      <c r="O894" s="38" t="n">
        <f aca="false">Sens!$O$807</f>
        <v>233.35</v>
      </c>
    </row>
    <row r="895" customFormat="false" ht="15" hidden="false" customHeight="false" outlineLevel="0" collapsed="false">
      <c r="A895" s="1" t="s">
        <v>515</v>
      </c>
      <c r="B895" s="8" t="s">
        <v>86</v>
      </c>
      <c r="C895" s="38" t="n">
        <f aca="false">Sens!$C$808</f>
        <v>142.906</v>
      </c>
      <c r="D895" s="38" t="n">
        <f aca="false">Sens!$D$808</f>
        <v>161.894</v>
      </c>
      <c r="E895" s="38" t="n">
        <f aca="false">Sens!$E$808</f>
        <v>81.986</v>
      </c>
      <c r="F895" s="38" t="n">
        <f aca="false">Sens!$F$808</f>
        <v>98.408468164951</v>
      </c>
      <c r="G895" s="38" t="n">
        <f aca="false">Sens!$G$808</f>
        <v>180.394468164951</v>
      </c>
      <c r="H895" s="38" t="n">
        <f aca="false">Sens!$H$808</f>
        <v>199.709899104949</v>
      </c>
      <c r="I895" s="38" t="n">
        <f aca="false">Sens!$I$808</f>
        <v>218.385528264976</v>
      </c>
      <c r="J895" s="38" t="n">
        <f aca="false">Sens!$J$808</f>
        <v>235.71696994951</v>
      </c>
      <c r="K895" s="38" t="n">
        <f aca="false">Sens!$K$808</f>
        <v>250.968227869545</v>
      </c>
      <c r="L895" s="38" t="n">
        <f aca="false">Sens!$L$808</f>
        <v>267.285367225822</v>
      </c>
      <c r="M895" s="38" t="n">
        <f aca="false">Sens!$M$808</f>
        <v>284.748579483295</v>
      </c>
      <c r="N895" s="38" t="n">
        <f aca="false">Sens!$N$808</f>
        <v>70.274</v>
      </c>
      <c r="O895" s="38" t="n">
        <f aca="false">Sens!$O$808</f>
        <v>91.62</v>
      </c>
    </row>
    <row r="896" customFormat="false" ht="15" hidden="false" customHeight="false" outlineLevel="0" collapsed="false">
      <c r="A896" s="1" t="s">
        <v>516</v>
      </c>
      <c r="B896" s="8" t="s">
        <v>86</v>
      </c>
      <c r="C896" s="38" t="n">
        <f aca="false">Sens!$C$874</f>
        <v>107.556</v>
      </c>
      <c r="D896" s="38" t="n">
        <f aca="false">Sens!$D$874</f>
        <v>128.725</v>
      </c>
      <c r="E896" s="38" t="n">
        <f aca="false">Sens!$E$874</f>
        <v>79.819</v>
      </c>
      <c r="F896" s="38" t="n">
        <f aca="false">Sens!$F$874</f>
        <v>86.7327334389669</v>
      </c>
      <c r="G896" s="38" t="n">
        <f aca="false">Sens!$G$874</f>
        <v>166.551733438967</v>
      </c>
      <c r="H896" s="38" t="n">
        <f aca="false">Sens!$H$874</f>
        <v>221.182967828978</v>
      </c>
      <c r="I896" s="38" t="n">
        <f aca="false">Sens!$I$874</f>
        <v>280.27345865789</v>
      </c>
      <c r="J896" s="38" t="n">
        <f aca="false">Sens!$J$874</f>
        <v>338.800945197185</v>
      </c>
      <c r="K896" s="38" t="n">
        <f aca="false">Sens!$K$874</f>
        <v>389.88570147276</v>
      </c>
      <c r="L896" s="38" t="n">
        <f aca="false">Sens!$L$874</f>
        <v>430.080689379143</v>
      </c>
      <c r="M896" s="38" t="n">
        <f aca="false">Sens!$M$874</f>
        <v>459.456235951751</v>
      </c>
      <c r="N896" s="38" t="n">
        <f aca="false">Sens!$N$874</f>
        <v>60.14</v>
      </c>
      <c r="O896" s="38" t="n">
        <f aca="false">Sens!$O$874</f>
        <v>68.585</v>
      </c>
    </row>
    <row r="897" customFormat="false" ht="17.15" hidden="false" customHeight="false" outlineLevel="0" collapsed="false">
      <c r="A897" s="0" t="s">
        <v>691</v>
      </c>
      <c r="B897" s="0" t="s">
        <v>86</v>
      </c>
      <c r="C897" s="38" t="n">
        <f aca="false">Sens!$C$872</f>
        <v>2.32100535697364</v>
      </c>
      <c r="D897" s="38" t="n">
        <f aca="false">Sens!$D$872</f>
        <v>8.70377008865116</v>
      </c>
      <c r="E897" s="38" t="n">
        <f aca="false">Sens!$E$872</f>
        <v>8.51035297557002</v>
      </c>
      <c r="F897" s="38" t="n">
        <f aca="false">Sens!$F$872</f>
        <v>14.9634336447205</v>
      </c>
      <c r="G897" s="38" t="n">
        <f aca="false">Sens!$G$872</f>
        <v>23.4737866202905</v>
      </c>
      <c r="H897" s="38" t="n">
        <f aca="false">Sens!$H$872</f>
        <v>60.1658907497746</v>
      </c>
      <c r="I897" s="38" t="n">
        <f aca="false">Sens!$I$872</f>
        <v>101.503699136432</v>
      </c>
      <c r="J897" s="38" t="n">
        <f aca="false">Sens!$J$872</f>
        <v>143.025407151278</v>
      </c>
      <c r="K897" s="38" t="n">
        <f aca="false">Sens!$K$872</f>
        <v>178.44812038318</v>
      </c>
      <c r="L897" s="38" t="n">
        <f aca="false">Sens!$L$872</f>
        <v>201.728101802396</v>
      </c>
      <c r="M897" s="38" t="n">
        <f aca="false">Sens!$M$872</f>
        <v>212.835441368865</v>
      </c>
      <c r="N897" s="38" t="n">
        <f aca="false">Sens!$N$872</f>
        <v>3.04631953102791</v>
      </c>
      <c r="O897" s="38" t="n">
        <f aca="false">Sens!$O$872</f>
        <v>5.65745055762326</v>
      </c>
    </row>
    <row r="898" customFormat="false" ht="17.15" hidden="false" customHeight="false" outlineLevel="0" collapsed="false">
      <c r="A898" s="0" t="s">
        <v>693</v>
      </c>
      <c r="B898" s="0" t="s">
        <v>86</v>
      </c>
      <c r="C898" s="38" t="n">
        <f aca="false">Sens!$C$873</f>
        <v>105.234994643026</v>
      </c>
      <c r="D898" s="38" t="n">
        <f aca="false">Sens!$D$873</f>
        <v>120.021229911349</v>
      </c>
      <c r="E898" s="38" t="n">
        <f aca="false">Sens!$E$873</f>
        <v>71.30864702443</v>
      </c>
      <c r="F898" s="38" t="n">
        <f aca="false">Sens!$F$873</f>
        <v>71.7692997942464</v>
      </c>
      <c r="G898" s="38" t="n">
        <f aca="false">Sens!$G$873</f>
        <v>143.077946818676</v>
      </c>
      <c r="H898" s="38" t="n">
        <f aca="false">Sens!$H$873</f>
        <v>161.017077079203</v>
      </c>
      <c r="I898" s="38" t="n">
        <f aca="false">Sens!$I$873</f>
        <v>178.769759521457</v>
      </c>
      <c r="J898" s="38" t="n">
        <f aca="false">Sens!$J$873</f>
        <v>195.775538045907</v>
      </c>
      <c r="K898" s="38" t="n">
        <f aca="false">Sens!$K$873</f>
        <v>211.43758108958</v>
      </c>
      <c r="L898" s="38" t="n">
        <f aca="false">Sens!$L$873</f>
        <v>228.352587576746</v>
      </c>
      <c r="M898" s="38" t="n">
        <f aca="false">Sens!$M$873</f>
        <v>246.620794582886</v>
      </c>
      <c r="N898" s="38" t="n">
        <f aca="false">Sens!$N$873</f>
        <v>57.0936804689721</v>
      </c>
      <c r="O898" s="38" t="n">
        <f aca="false">Sens!$O$873</f>
        <v>62.9275494423768</v>
      </c>
    </row>
    <row r="899" customFormat="false" ht="15" hidden="false" customHeight="false" outlineLevel="0" collapsed="false">
      <c r="A899" s="3" t="s">
        <v>517</v>
      </c>
      <c r="B899" s="8" t="s">
        <v>86</v>
      </c>
      <c r="C899" s="38" t="n">
        <f aca="false">Sens!$C$875</f>
        <v>637.959</v>
      </c>
      <c r="D899" s="38" t="n">
        <f aca="false">Sens!$D$875</f>
        <v>716.924</v>
      </c>
      <c r="E899" s="38" t="n">
        <f aca="false">Sens!$E$875</f>
        <v>382.125</v>
      </c>
      <c r="F899" s="38" t="n">
        <f aca="false">Sens!$F$875</f>
        <v>435.780975084504</v>
      </c>
      <c r="G899" s="38" t="n">
        <f aca="false">Sens!$G$875</f>
        <v>817.905975084504</v>
      </c>
      <c r="H899" s="38" t="n">
        <f aca="false">Sens!$H$875</f>
        <v>942.279857350364</v>
      </c>
      <c r="I899" s="38" t="n">
        <f aca="false">Sens!$I$875</f>
        <v>1068.80284981042</v>
      </c>
      <c r="J899" s="38" t="n">
        <f aca="false">Sens!$J$875</f>
        <v>1189.90935093863</v>
      </c>
      <c r="K899" s="38" t="n">
        <f aca="false">Sens!$K$875</f>
        <v>1296.06215690385</v>
      </c>
      <c r="L899" s="38" t="n">
        <f aca="false">Sens!$L$875</f>
        <v>1395.17379585473</v>
      </c>
      <c r="M899" s="38" t="n">
        <f aca="false">Sens!$M$875</f>
        <v>1487.60414389864</v>
      </c>
      <c r="N899" s="38" t="n">
        <f aca="false">Sens!$N$875</f>
        <v>323.369</v>
      </c>
      <c r="O899" s="38" t="n">
        <f aca="false">Sens!$O$875</f>
        <v>393.555</v>
      </c>
    </row>
    <row r="900" customFormat="false" ht="17.15" hidden="false" customHeight="false" outlineLevel="0" collapsed="false">
      <c r="A900" s="24" t="s">
        <v>703</v>
      </c>
      <c r="B900" s="25" t="s">
        <v>86</v>
      </c>
      <c r="C900" s="41" t="n">
        <f aca="false">Sens!$C$887+Sens!$C$888+Sens!$C$889+Sens!$C$890+Sens!$C$891+Sens!$C$892-(Sens!$C$894+Sens!$C$895)</f>
        <v>0</v>
      </c>
      <c r="D900" s="41" t="n">
        <f aca="false">Sens!$D$887+Sens!$D$888+Sens!$D$889+Sens!$D$890+Sens!$D$891+Sens!$D$892-(Sens!$D$894+Sens!$D$895)</f>
        <v>0</v>
      </c>
      <c r="E900" s="41" t="n">
        <f aca="false">Sens!$E$887+Sens!$E$888+Sens!$E$889+Sens!$E$890+Sens!$E$891+Sens!$E$892-(Sens!$E$894+Sens!$E$895)</f>
        <v>0</v>
      </c>
      <c r="F900" s="41" t="n">
        <f aca="false">Sens!$F$887+Sens!$F$888+Sens!$F$889+Sens!$F$890+Sens!$F$891+Sens!$F$892-(Sens!$F$894+Sens!$F$895)</f>
        <v>0</v>
      </c>
      <c r="G900" s="41" t="n">
        <f aca="false">Sens!$G$887+Sens!$G$888+Sens!$G$889+Sens!$G$890+Sens!$G$891+Sens!$G$892-(Sens!$G$894+Sens!$G$895)</f>
        <v>0</v>
      </c>
      <c r="H900" s="41" t="n">
        <f aca="false">Sens!$H$887+Sens!$H$888+Sens!$H$889+Sens!$H$890+Sens!$H$891+Sens!$H$892-(Sens!$H$894+Sens!$H$895)</f>
        <v>0</v>
      </c>
      <c r="I900" s="41" t="n">
        <f aca="false">Sens!$I$887+Sens!$I$888+Sens!$I$889+Sens!$I$890+Sens!$I$891+Sens!$I$892-(Sens!$I$894+Sens!$I$895)</f>
        <v>0</v>
      </c>
      <c r="J900" s="41" t="n">
        <f aca="false">Sens!$J$887+Sens!$J$888+Sens!$J$889+Sens!$J$890+Sens!$J$891+Sens!$J$892-(Sens!$J$894+Sens!$J$895)</f>
        <v>0</v>
      </c>
      <c r="K900" s="41" t="n">
        <f aca="false">Sens!$K$887+Sens!$K$888+Sens!$K$889+Sens!$K$890+Sens!$K$891+Sens!$K$892-(Sens!$K$894+Sens!$K$895)</f>
        <v>0</v>
      </c>
      <c r="L900" s="41" t="n">
        <f aca="false">Sens!$L$887+Sens!$L$888+Sens!$L$889+Sens!$L$890+Sens!$L$891+Sens!$L$892-(Sens!$L$894+Sens!$L$895)</f>
        <v>0</v>
      </c>
      <c r="M900" s="41" t="n">
        <f aca="false">Sens!$M$887+Sens!$M$888+Sens!$M$889+Sens!$M$890+Sens!$M$891+Sens!$M$892-(Sens!$M$894+Sens!$M$895)</f>
        <v>0</v>
      </c>
      <c r="N900" s="41" t="n">
        <f aca="false">Sens!$N$887+Sens!$N$888+Sens!$N$889+Sens!$N$890+Sens!$N$891+Sens!$N$892-(Sens!$N$894+Sens!$N$895)</f>
        <v>0</v>
      </c>
      <c r="O900" s="41" t="n">
        <f aca="false">Sens!$O$887+Sens!$O$888+Sens!$O$889+Sens!$O$890+Sens!$O$891+Sens!$O$892-(Sens!$O$894+Sens!$O$895)</f>
        <v>0</v>
      </c>
    </row>
    <row r="901" customFormat="false" ht="17.15" hidden="false" customHeight="false" outlineLevel="0" collapsed="false">
      <c r="A901" s="24" t="s">
        <v>704</v>
      </c>
      <c r="B901" s="25" t="s">
        <v>86</v>
      </c>
      <c r="C901" s="41" t="n">
        <f aca="false">Sens!$C$897+Sens!$C$898-Sens!$C$896</f>
        <v>0</v>
      </c>
      <c r="D901" s="41" t="n">
        <f aca="false">Sens!$D$897+Sens!$D$898-Sens!$D$896</f>
        <v>0</v>
      </c>
      <c r="E901" s="41" t="n">
        <f aca="false">Sens!$E$897+Sens!$E$898-Sens!$E$896</f>
        <v>0</v>
      </c>
      <c r="F901" s="41" t="n">
        <f aca="false">Sens!$F$897+Sens!$F$898-Sens!$F$896</f>
        <v>0</v>
      </c>
      <c r="G901" s="41" t="n">
        <f aca="false">Sens!$G$897+Sens!$G$898-Sens!$G$896</f>
        <v>0</v>
      </c>
      <c r="H901" s="41" t="n">
        <f aca="false">Sens!$H$897+Sens!$H$898-Sens!$H$896</f>
        <v>0</v>
      </c>
      <c r="I901" s="41" t="n">
        <f aca="false">Sens!$I$897+Sens!$I$898-Sens!$I$896</f>
        <v>0</v>
      </c>
      <c r="J901" s="41" t="n">
        <f aca="false">Sens!$J$897+Sens!$J$898-Sens!$J$896</f>
        <v>0</v>
      </c>
      <c r="K901" s="41" t="n">
        <f aca="false">Sens!$K$897+Sens!$K$898-Sens!$K$896</f>
        <v>0</v>
      </c>
      <c r="L901" s="41" t="n">
        <f aca="false">Sens!$L$897+Sens!$L$898-Sens!$L$896</f>
        <v>0</v>
      </c>
      <c r="M901" s="41" t="n">
        <f aca="false">Sens!$M$897+Sens!$M$898-Sens!$M$896</f>
        <v>0</v>
      </c>
      <c r="N901" s="41" t="n">
        <f aca="false">Sens!$N$897+Sens!$N$898-Sens!$N$896</f>
        <v>0</v>
      </c>
      <c r="O901" s="41" t="n">
        <f aca="false">Sens!$O$897+Sens!$O$898-Sens!$O$896</f>
        <v>0</v>
      </c>
    </row>
    <row r="902" customFormat="false" ht="17.15" hidden="false" customHeight="false" outlineLevel="0" collapsed="false">
      <c r="A902" s="24" t="s">
        <v>763</v>
      </c>
      <c r="B902" s="25" t="s">
        <v>86</v>
      </c>
      <c r="C902" s="41" t="n">
        <f aca="false">Sens!$C$887+Sens!$C$888+Sens!$C$889+Sens!$C$890+Sens!$C$891+Sens!$C$892+Sens!$C$893-Sens!$C$899</f>
        <v>0</v>
      </c>
      <c r="D902" s="41" t="n">
        <f aca="false">Sens!$D$887+Sens!$D$888+Sens!$D$889+Sens!$D$890+Sens!$D$891+Sens!$D$892+Sens!$D$893-Sens!$D$899</f>
        <v>0</v>
      </c>
      <c r="E902" s="41" t="n">
        <f aca="false">Sens!$E$887+Sens!$E$888+Sens!$E$889+Sens!$E$890+Sens!$E$891+Sens!$E$892+Sens!$E$893-Sens!$E$899</f>
        <v>0</v>
      </c>
      <c r="F902" s="41" t="n">
        <f aca="false">Sens!$F$887+Sens!$F$888+Sens!$F$889+Sens!$F$890+Sens!$F$891+Sens!$F$892+Sens!$F$893-Sens!$F$899</f>
        <v>0</v>
      </c>
      <c r="G902" s="41" t="n">
        <f aca="false">Sens!$G$887+Sens!$G$888+Sens!$G$889+Sens!$G$890+Sens!$G$891+Sens!$G$892+Sens!$G$893-Sens!$G$899</f>
        <v>0</v>
      </c>
      <c r="H902" s="41" t="n">
        <f aca="false">Sens!$H$887+Sens!$H$888+Sens!$H$889+Sens!$H$890+Sens!$H$891+Sens!$H$892+Sens!$H$893-Sens!$H$899</f>
        <v>0</v>
      </c>
      <c r="I902" s="41" t="n">
        <f aca="false">Sens!$I$887+Sens!$I$888+Sens!$I$889+Sens!$I$890+Sens!$I$891+Sens!$I$892+Sens!$I$893-Sens!$I$899</f>
        <v>0</v>
      </c>
      <c r="J902" s="41" t="n">
        <f aca="false">Sens!$J$887+Sens!$J$888+Sens!$J$889+Sens!$J$890+Sens!$J$891+Sens!$J$892+Sens!$J$893-Sens!$J$899</f>
        <v>0</v>
      </c>
      <c r="K902" s="41" t="n">
        <f aca="false">Sens!$K$887+Sens!$K$888+Sens!$K$889+Sens!$K$890+Sens!$K$891+Sens!$K$892+Sens!$K$893-Sens!$K$899</f>
        <v>0</v>
      </c>
      <c r="L902" s="41" t="n">
        <f aca="false">Sens!$L$887+Sens!$L$888+Sens!$L$889+Sens!$L$890+Sens!$L$891+Sens!$L$892+Sens!$L$893-Sens!$L$899</f>
        <v>0</v>
      </c>
      <c r="M902" s="41" t="n">
        <f aca="false">Sens!$M$887+Sens!$M$888+Sens!$M$889+Sens!$M$890+Sens!$M$891+Sens!$M$892+Sens!$M$893-Sens!$M$899</f>
        <v>0</v>
      </c>
      <c r="N902" s="41" t="n">
        <f aca="false">Sens!$N$887+Sens!$N$888+Sens!$N$889+Sens!$N$890+Sens!$N$891+Sens!$N$892+Sens!$N$893-Sens!$N$899</f>
        <v>0</v>
      </c>
      <c r="O902" s="41" t="n">
        <f aca="false">Sens!$O$887+Sens!$O$888+Sens!$O$889+Sens!$O$890+Sens!$O$891+Sens!$O$892+Sens!$O$893-Sens!$O$899</f>
        <v>0</v>
      </c>
    </row>
    <row r="903" customFormat="false" ht="17.15" hidden="false" customHeight="false" outlineLevel="0" collapsed="false">
      <c r="A903" s="24" t="s">
        <v>705</v>
      </c>
      <c r="B903" s="25" t="s">
        <v>86</v>
      </c>
      <c r="C903" s="41" t="n">
        <f aca="false">Sens!$C$894+Sens!$C$895+Sens!$C$896-Sens!$C$899</f>
        <v>0</v>
      </c>
      <c r="D903" s="41" t="n">
        <f aca="false">Sens!$D$894+Sens!$D$895+Sens!$D$896-Sens!$D$899</f>
        <v>0</v>
      </c>
      <c r="E903" s="41" t="n">
        <f aca="false">Sens!$E$894+Sens!$E$895+Sens!$E$896-Sens!$E$899</f>
        <v>0</v>
      </c>
      <c r="F903" s="41" t="n">
        <f aca="false">Sens!$F$894+Sens!$F$895+Sens!$F$896-Sens!$F$899</f>
        <v>0</v>
      </c>
      <c r="G903" s="41" t="n">
        <f aca="false">Sens!$G$894+Sens!$G$895+Sens!$G$896-Sens!$G$899</f>
        <v>0</v>
      </c>
      <c r="H903" s="41" t="n">
        <f aca="false">Sens!$H$894+Sens!$H$895+Sens!$H$896-Sens!$H$899</f>
        <v>0</v>
      </c>
      <c r="I903" s="41" t="n">
        <f aca="false">Sens!$I$894+Sens!$I$895+Sens!$I$896-Sens!$I$899</f>
        <v>0</v>
      </c>
      <c r="J903" s="41" t="n">
        <f aca="false">Sens!$J$894+Sens!$J$895+Sens!$J$896-Sens!$J$899</f>
        <v>0</v>
      </c>
      <c r="K903" s="41" t="n">
        <f aca="false">Sens!$K$894+Sens!$K$895+Sens!$K$896-Sens!$K$899</f>
        <v>0</v>
      </c>
      <c r="L903" s="41" t="n">
        <f aca="false">Sens!$L$894+Sens!$L$895+Sens!$L$896-Sens!$L$899</f>
        <v>0</v>
      </c>
      <c r="M903" s="41" t="n">
        <f aca="false">Sens!$M$894+Sens!$M$895+Sens!$M$896-Sens!$M$899</f>
        <v>0</v>
      </c>
      <c r="N903" s="41" t="n">
        <f aca="false">Sens!$N$894+Sens!$N$895+Sens!$N$896-Sens!$N$899</f>
        <v>0</v>
      </c>
      <c r="O903" s="41" t="n">
        <f aca="false">Sens!$O$894+Sens!$O$895+Sens!$O$896-Sens!$O$899</f>
        <v>0</v>
      </c>
    </row>
    <row r="904" customFormat="false" ht="17.15" hidden="false" customHeight="false" outlineLevel="0" collapsed="false">
      <c r="A904" s="1" t="s">
        <v>719</v>
      </c>
    </row>
    <row r="905" customFormat="false" ht="17.15" hidden="false" customHeight="false" outlineLevel="0" collapsed="false">
      <c r="A905" s="0" t="s">
        <v>720</v>
      </c>
      <c r="B905" s="0" t="s">
        <v>86</v>
      </c>
      <c r="C905" s="38" t="n">
        <f aca="false">Sens!$C$809*m_ad</f>
        <v>20.5341564414228</v>
      </c>
      <c r="D905" s="38" t="n">
        <f aca="false">Sens!$D$809*m_ad</f>
        <v>24.8720617299587</v>
      </c>
      <c r="E905" s="38" t="n">
        <f aca="false">Sens!$E$809*m_ad</f>
        <v>13.5017112462207</v>
      </c>
      <c r="F905" s="38" t="n">
        <f aca="false">Sens!$F$809*m_ad</f>
        <v>16.5719724165257</v>
      </c>
      <c r="G905" s="38" t="n">
        <f aca="false">Sens!$G$809*m_ad</f>
        <v>30.0820919220415</v>
      </c>
      <c r="H905" s="38" t="n">
        <f aca="false">Sens!$H$809*m_ad</f>
        <v>36.1150883276314</v>
      </c>
      <c r="I905" s="38" t="n">
        <f aca="false">Sens!$I$809*m_ad</f>
        <v>42.1475382231996</v>
      </c>
      <c r="J905" s="38" t="n">
        <f aca="false">Sens!$J$809*m_ad</f>
        <v>47.7749523864693</v>
      </c>
      <c r="K905" s="38" t="n">
        <f aca="false">Sens!$K$809*m_ad</f>
        <v>52.5524476251162</v>
      </c>
      <c r="L905" s="38" t="n">
        <f aca="false">Sens!$L$809*m_ad</f>
        <v>57.8076923876279</v>
      </c>
      <c r="M905" s="38" t="n">
        <f aca="false">Sens!$M$809*m_ad</f>
        <v>63.5884616263907</v>
      </c>
      <c r="N905" s="38" t="n">
        <f aca="false">Sens!$N$809*m_ad</f>
        <v>10.8543555706248</v>
      </c>
      <c r="O905" s="38" t="n">
        <f aca="false">Sens!$O$809*m_ad</f>
        <v>14.0094731821399</v>
      </c>
    </row>
    <row r="906" customFormat="false" ht="17.15" hidden="false" customHeight="false" outlineLevel="0" collapsed="false">
      <c r="A906" s="0" t="s">
        <v>721</v>
      </c>
      <c r="B906" s="0" t="s">
        <v>86</v>
      </c>
      <c r="C906" s="38" t="n">
        <f aca="false">Sens!$C$807-Sens!$C$809</f>
        <v>346.428687117154</v>
      </c>
      <c r="D906" s="38" t="n">
        <f aca="false">Sens!$D$807-Sens!$D$809</f>
        <v>376.560876540083</v>
      </c>
      <c r="E906" s="38" t="n">
        <f aca="false">Sens!$E$807-Sens!$E$809</f>
        <v>193.316577507559</v>
      </c>
      <c r="F906" s="38" t="n">
        <f aca="false">Sens!$F$807-Sens!$F$809</f>
        <v>217.495828647535</v>
      </c>
      <c r="G906" s="38" t="n">
        <f aca="false">Sens!$G$807-Sens!$G$809</f>
        <v>410.795589636503</v>
      </c>
      <c r="H906" s="38" t="n">
        <f aca="false">Sens!$H$807-Sens!$H$809</f>
        <v>449.156813761174</v>
      </c>
      <c r="I906" s="38" t="n">
        <f aca="false">Sens!$I$807-Sens!$I$809</f>
        <v>485.848786441156</v>
      </c>
      <c r="J906" s="38" t="n">
        <f aca="false">Sens!$J$807-Sens!$J$809</f>
        <v>519.841531018994</v>
      </c>
      <c r="K906" s="38" t="n">
        <f aca="false">Sens!$K$807-Sens!$K$809</f>
        <v>550.103332311311</v>
      </c>
      <c r="L906" s="38" t="n">
        <f aca="false">Sens!$L$807-Sens!$L$809</f>
        <v>582.192354474511</v>
      </c>
      <c r="M906" s="38" t="n">
        <f aca="false">Sens!$M$807-Sens!$M$809</f>
        <v>616.22240521081</v>
      </c>
      <c r="N906" s="38" t="n">
        <f aca="false">Sens!$N$807-Sens!$N$809</f>
        <v>171.24628885875</v>
      </c>
      <c r="O906" s="38" t="n">
        <f aca="false">Sens!$O$807-Sens!$O$809</f>
        <v>205.33105363572</v>
      </c>
    </row>
    <row r="907" customFormat="false" ht="17.15" hidden="false" customHeight="false" outlineLevel="0" collapsed="false">
      <c r="A907" s="0" t="s">
        <v>722</v>
      </c>
      <c r="B907" s="0" t="s">
        <v>86</v>
      </c>
      <c r="C907" s="38" t="n">
        <f aca="false">Sens!$C$858*Sens!$C$806</f>
        <v>0.30982720052789</v>
      </c>
      <c r="D907" s="38" t="n">
        <f aca="false">Sens!$D$858*Sens!$D$806</f>
        <v>1.58086636458222</v>
      </c>
      <c r="E907" s="38" t="n">
        <f aca="false">Sens!$E$858*Sens!$E$806</f>
        <v>2.57825421165357</v>
      </c>
      <c r="F907" s="38" t="n">
        <f aca="false">Sens!$F$858*Sens!$F$806</f>
        <v>3.19062061027031</v>
      </c>
      <c r="G907" s="38" t="n">
        <f aca="false">Sens!$G$858*Sens!$G$806</f>
        <v>5.77066132104815</v>
      </c>
      <c r="H907" s="38" t="n">
        <f aca="false">Sens!$H$858*Sens!$H$806</f>
        <v>16.3597845226851</v>
      </c>
      <c r="I907" s="38" t="n">
        <f aca="false">Sens!$I$858*Sens!$I$806</f>
        <v>31.0518661237645</v>
      </c>
      <c r="J907" s="38" t="n">
        <f aca="false">Sens!$J$858*Sens!$J$806</f>
        <v>46.1417984013409</v>
      </c>
      <c r="K907" s="38" t="n">
        <f aca="false">Sens!$K$858*Sens!$K$806</f>
        <v>60.9278418113314</v>
      </c>
      <c r="L907" s="38" t="n">
        <f aca="false">Sens!$L$858*Sens!$L$806</f>
        <v>71.1578266841034</v>
      </c>
      <c r="M907" s="38" t="n">
        <f aca="false">Sens!$M$858*Sens!$M$806</f>
        <v>77.4709117466523</v>
      </c>
      <c r="N907" s="38" t="n">
        <f aca="false">Sens!$N$858*Sens!$N$806</f>
        <v>0.658143095016965</v>
      </c>
      <c r="O907" s="38" t="n">
        <f aca="false">Sens!$O$858*Sens!$O$806</f>
        <v>0.921551631263785</v>
      </c>
    </row>
    <row r="908" customFormat="false" ht="17.15" hidden="false" customHeight="false" outlineLevel="0" collapsed="false">
      <c r="A908" s="0" t="s">
        <v>723</v>
      </c>
      <c r="B908" s="0" t="s">
        <v>52</v>
      </c>
      <c r="C908" s="28" t="n">
        <f aca="false">(Sens!$C$909-Sens!$C$905+Sens!$C$907)/Sens!$C$906</f>
        <v>0.0136901790627437</v>
      </c>
      <c r="D908" s="28" t="n">
        <f aca="false">(Sens!$D$909-Sens!$D$905+Sens!$D$907)/Sens!$D$906</f>
        <v>0.0168042009376137</v>
      </c>
      <c r="E908" s="28" t="n">
        <f aca="false">(Sens!$E$909-Sens!$E$905+Sens!$E$907)/Sens!$E$906</f>
        <v>0.0334505351212315</v>
      </c>
      <c r="F908" s="28" t="n">
        <f aca="false">Sens!$O$908+(Sens!$E$908-Sens!$N$908)</f>
        <v>0.0304406178661382</v>
      </c>
      <c r="G908" s="28" t="n">
        <f aca="false">(Sens!$G$909-Sens!$G$905+Sens!$G$907)/Sens!$G$906</f>
        <v>0.0318421836616484</v>
      </c>
      <c r="H908" s="28" t="n">
        <f aca="false">Sens!$G$908+step_na</f>
        <v>0.0348421836616484</v>
      </c>
      <c r="I908" s="28" t="n">
        <f aca="false">Sens!$H$908+step_na</f>
        <v>0.0378421836616484</v>
      </c>
      <c r="J908" s="28" t="n">
        <f aca="false">Sens!$I$908+step_na</f>
        <v>0.0408421836616484</v>
      </c>
      <c r="K908" s="28" t="n">
        <f aca="false">Sens!$J$908+step_na</f>
        <v>0.0438421836616484</v>
      </c>
      <c r="L908" s="28" t="n">
        <f aca="false">Sens!$K$908</f>
        <v>0.0438421836616484</v>
      </c>
      <c r="M908" s="28" t="n">
        <f aca="false">Sens!$L$908</f>
        <v>0.0438421836616484</v>
      </c>
      <c r="N908" s="28" t="n">
        <f aca="false">(Sens!$N$909-Sens!$N$905+Sens!$N$907)/Sens!$N$906</f>
        <v>0.0184633929614679</v>
      </c>
      <c r="O908" s="28" t="n">
        <f aca="false">(Sens!$O$909-Sens!$O$905+Sens!$O$907)/Sens!$O$906</f>
        <v>0.0154534757063746</v>
      </c>
      <c r="P908" s="8" t="s">
        <v>724</v>
      </c>
    </row>
    <row r="909" customFormat="false" ht="17.15" hidden="false" customHeight="false" outlineLevel="0" collapsed="false">
      <c r="A909" s="1" t="s">
        <v>725</v>
      </c>
      <c r="B909" s="8" t="s">
        <v>86</v>
      </c>
      <c r="C909" s="38" t="n">
        <f aca="false">Q!$D$22</f>
        <v>24.967</v>
      </c>
      <c r="D909" s="38" t="n">
        <f aca="false">Q!$E$22</f>
        <v>29.619</v>
      </c>
      <c r="E909" s="38" t="n">
        <f aca="false">Q!$P$22</f>
        <v>17.39</v>
      </c>
      <c r="F909" s="38" t="n">
        <f aca="false">Sens!$F$905+Sens!$F$906*Sens!$F$908-Sens!$F$907</f>
        <v>20.002059213594</v>
      </c>
      <c r="G909" s="38" t="n">
        <f aca="false">Sens!$E$909+Sens!$F$909</f>
        <v>37.392059213594</v>
      </c>
      <c r="H909" s="38" t="n">
        <f aca="false">Sens!$H$905+Sens!$H$906*Sens!$H$908-Sens!$H$907</f>
        <v>35.4049080028939</v>
      </c>
      <c r="I909" s="38" t="n">
        <f aca="false">Sens!$I$905+Sens!$I$906*Sens!$I$908-Sens!$I$907</f>
        <v>29.4812511077303</v>
      </c>
      <c r="J909" s="38" t="n">
        <f aca="false">Sens!$J$905+Sens!$J$906*Sens!$J$908-Sens!$J$907</f>
        <v>22.8646172699587</v>
      </c>
      <c r="K909" s="38" t="n">
        <f aca="false">Sens!$K$905+Sens!$K$906*Sens!$K$908-Sens!$K$907</f>
        <v>15.7423371418621</v>
      </c>
      <c r="L909" s="38" t="n">
        <f aca="false">Sens!$L$905+Sens!$L$906*Sens!$L$908-Sens!$L$907</f>
        <v>12.1744498348035</v>
      </c>
      <c r="M909" s="38" t="n">
        <f aca="false">Sens!$M$905+Sens!$M$906*Sens!$M$908-Sens!$M$907</f>
        <v>13.1340857454134</v>
      </c>
      <c r="N909" s="38" t="n">
        <f aca="false">Q!$N$22</f>
        <v>13.358</v>
      </c>
      <c r="O909" s="38" t="n">
        <f aca="false">Q!$O$22</f>
        <v>16.261</v>
      </c>
    </row>
    <row r="910" customFormat="false" ht="17.15" hidden="false" customHeight="false" outlineLevel="0" collapsed="false">
      <c r="A910" s="0" t="s">
        <v>726</v>
      </c>
      <c r="B910" s="0" t="s">
        <v>86</v>
      </c>
      <c r="C910" s="38" t="n">
        <f aca="false">Sens!$C$810*m_ad</f>
        <v>7.57284355857716</v>
      </c>
      <c r="D910" s="38" t="n">
        <f aca="false">Sens!$D$810*m_ad</f>
        <v>9.44543827004127</v>
      </c>
      <c r="E910" s="38" t="n">
        <f aca="false">Sens!$E$810*m_ad</f>
        <v>5.02428875377928</v>
      </c>
      <c r="F910" s="38" t="n">
        <f aca="false">Sens!$F$810*m_ad</f>
        <v>6.50663858068173</v>
      </c>
      <c r="G910" s="38" t="n">
        <f aca="false">Sens!$G$810*m_ad</f>
        <v>11.5225190751659</v>
      </c>
      <c r="H910" s="38" t="n">
        <f aca="false">Sens!$H$810*m_ad</f>
        <v>13.8333728663174</v>
      </c>
      <c r="I910" s="38" t="n">
        <f aca="false">Sens!$I$810*m_ad</f>
        <v>16.1440173245485</v>
      </c>
      <c r="J910" s="38" t="n">
        <f aca="false">Sens!$J$810*m_ad</f>
        <v>18.2995185845066</v>
      </c>
      <c r="K910" s="38" t="n">
        <f aca="false">Sens!$K$810*m_ad</f>
        <v>20.1294704429572</v>
      </c>
      <c r="L910" s="38" t="n">
        <f aca="false">Sens!$L$810*m_ad</f>
        <v>22.142417487253</v>
      </c>
      <c r="M910" s="38" t="n">
        <f aca="false">Sens!$M$810*m_ad</f>
        <v>24.3566592359783</v>
      </c>
      <c r="N910" s="38" t="n">
        <f aca="false">Sens!$N$810*m_ad</f>
        <v>3.95314442937518</v>
      </c>
      <c r="O910" s="38" t="n">
        <f aca="false">Sens!$O$810*m_ad</f>
        <v>5.50052681786011</v>
      </c>
    </row>
    <row r="911" customFormat="false" ht="17.15" hidden="false" customHeight="false" outlineLevel="0" collapsed="false">
      <c r="A911" s="0" t="s">
        <v>727</v>
      </c>
      <c r="B911" s="0" t="s">
        <v>86</v>
      </c>
      <c r="C911" s="38" t="n">
        <f aca="false">Sens!$C$808-Sens!$C$810</f>
        <v>127.760312882846</v>
      </c>
      <c r="D911" s="38" t="n">
        <f aca="false">Sens!$D$808-Sens!$D$810</f>
        <v>143.003123459917</v>
      </c>
      <c r="E911" s="38" t="n">
        <f aca="false">Sens!$E$808-Sens!$E$810</f>
        <v>71.9374224924414</v>
      </c>
      <c r="F911" s="38" t="n">
        <f aca="false">Sens!$F$808-Sens!$F$810</f>
        <v>85.3951910035875</v>
      </c>
      <c r="G911" s="38" t="n">
        <f aca="false">Sens!$G$808-Sens!$G$810</f>
        <v>157.349430014619</v>
      </c>
      <c r="H911" s="38" t="n">
        <f aca="false">Sens!$H$808-Sens!$H$810</f>
        <v>172.043153372315</v>
      </c>
      <c r="I911" s="38" t="n">
        <f aca="false">Sens!$I$808-Sens!$I$810</f>
        <v>186.097493615879</v>
      </c>
      <c r="J911" s="38" t="n">
        <f aca="false">Sens!$J$808-Sens!$J$810</f>
        <v>199.117932780497</v>
      </c>
      <c r="K911" s="38" t="n">
        <f aca="false">Sens!$K$808-Sens!$K$810</f>
        <v>210.70928698363</v>
      </c>
      <c r="L911" s="38" t="n">
        <f aca="false">Sens!$L$808-Sens!$L$810</f>
        <v>223.000532251316</v>
      </c>
      <c r="M911" s="38" t="n">
        <f aca="false">Sens!$M$808-Sens!$M$810</f>
        <v>236.035261011339</v>
      </c>
      <c r="N911" s="38" t="n">
        <f aca="false">Sens!$N$808-Sens!$N$810</f>
        <v>62.3677111412496</v>
      </c>
      <c r="O911" s="38" t="n">
        <f aca="false">Sens!$O$808-Sens!$O$810</f>
        <v>80.6189463642798</v>
      </c>
    </row>
    <row r="912" customFormat="false" ht="17.15" hidden="false" customHeight="false" outlineLevel="0" collapsed="false">
      <c r="A912" s="0" t="s">
        <v>728</v>
      </c>
      <c r="B912" s="0" t="s">
        <v>86</v>
      </c>
      <c r="C912" s="38" t="n">
        <f aca="false">Sens!$C$858*(1-Sens!$C$806)</f>
        <v>0.114261957947129</v>
      </c>
      <c r="D912" s="38" t="n">
        <f aca="false">Sens!$D$858*(1-Sens!$D$806)</f>
        <v>0.60035134288285</v>
      </c>
      <c r="E912" s="38" t="n">
        <f aca="false">Sens!$E$858*(1-Sens!$E$806)</f>
        <v>0.959426061168436</v>
      </c>
      <c r="F912" s="38" t="n">
        <f aca="false">Sens!$F$858*(1-Sens!$F$806)</f>
        <v>1.25273049202043</v>
      </c>
      <c r="G912" s="38" t="n">
        <f aca="false">Sens!$G$858*(1-Sens!$G$806)</f>
        <v>2.2103700540646</v>
      </c>
      <c r="H912" s="38" t="n">
        <f aca="false">Sens!$H$858*(1-Sens!$H$806)</f>
        <v>6.26638365831607</v>
      </c>
      <c r="I912" s="38" t="n">
        <f aca="false">Sens!$I$858*(1-Sens!$I$806)</f>
        <v>11.8939773423274</v>
      </c>
      <c r="J912" s="38" t="n">
        <f aca="false">Sens!$J$858*(1-Sens!$J$806)</f>
        <v>17.6739620907929</v>
      </c>
      <c r="K912" s="38" t="n">
        <f aca="false">Sens!$K$858*(1-Sens!$K$806)</f>
        <v>23.3375465143553</v>
      </c>
      <c r="L912" s="38" t="n">
        <f aca="false">Sens!$L$858*(1-Sens!$L$806)</f>
        <v>27.2559972703948</v>
      </c>
      <c r="M912" s="38" t="n">
        <f aca="false">Sens!$M$858*(1-Sens!$M$806)</f>
        <v>29.6741350529958</v>
      </c>
      <c r="N912" s="38" t="n">
        <f aca="false">Sens!$N$858*(1-Sens!$N$806)</f>
        <v>0.239694995513058</v>
      </c>
      <c r="O912" s="38" t="n">
        <f aca="false">Sens!$O$858*(1-Sens!$O$806)</f>
        <v>0.361827985671258</v>
      </c>
    </row>
    <row r="913" customFormat="false" ht="17.15" hidden="false" customHeight="false" outlineLevel="0" collapsed="false">
      <c r="A913" s="0" t="s">
        <v>729</v>
      </c>
      <c r="B913" s="0" t="s">
        <v>52</v>
      </c>
      <c r="C913" s="28" t="n">
        <f aca="false">(Sens!$C$914-Sens!$C$910+Sens!$C$912)/Sens!$C$911</f>
        <v>-0.0286989090578717</v>
      </c>
      <c r="D913" s="28" t="n">
        <f aca="false">(Sens!$D$914-Sens!$D$910+Sens!$D$912)/Sens!$D$911</f>
        <v>-0.0286363460327231</v>
      </c>
      <c r="E913" s="28" t="n">
        <f aca="false">(Sens!$E$914-Sens!$E$910+Sens!$E$912)/Sens!$E$911</f>
        <v>-0.0128425881912563</v>
      </c>
      <c r="F913" s="28" t="n">
        <f aca="false">Sens!$O$913+(Sens!$E$913-Sens!$N$913)</f>
        <v>-0.0295305462297806</v>
      </c>
      <c r="G913" s="28" t="n">
        <f aca="false">(Sens!$G$914-Sens!$G$910+Sens!$G$912)/Sens!$G$911</f>
        <v>-0.0218558628897025</v>
      </c>
      <c r="H913" s="28" t="n">
        <f aca="false">Sens!$G$913+step_in</f>
        <v>-0.0218558628897025</v>
      </c>
      <c r="I913" s="28" t="n">
        <f aca="false">Sens!$H$913+step_in</f>
        <v>-0.0218558628897025</v>
      </c>
      <c r="J913" s="28" t="n">
        <f aca="false">Sens!$I$913+step_in</f>
        <v>-0.0218558628897025</v>
      </c>
      <c r="K913" s="28" t="n">
        <f aca="false">Sens!$J$913+step_in</f>
        <v>-0.0218558628897025</v>
      </c>
      <c r="L913" s="28" t="n">
        <f aca="false">Sens!$K$913</f>
        <v>-0.0218558628897025</v>
      </c>
      <c r="M913" s="28" t="n">
        <f aca="false">Sens!$L$913</f>
        <v>-0.0218558628897025</v>
      </c>
      <c r="N913" s="28" t="n">
        <f aca="false">(Sens!$N$914-Sens!$N$910+Sens!$N$912)/Sens!$N$911</f>
        <v>-0.0192799994076876</v>
      </c>
      <c r="O913" s="28" t="n">
        <f aca="false">(Sens!$O$914-Sens!$O$910+Sens!$O$912)/Sens!$O$911</f>
        <v>-0.0359679574462119</v>
      </c>
      <c r="P913" s="8" t="s">
        <v>724</v>
      </c>
    </row>
    <row r="914" customFormat="false" ht="17.15" hidden="false" customHeight="false" outlineLevel="0" collapsed="false">
      <c r="A914" s="1" t="s">
        <v>730</v>
      </c>
      <c r="B914" s="8" t="s">
        <v>86</v>
      </c>
      <c r="C914" s="38" t="n">
        <f aca="false">Q!$D$23</f>
        <v>3.792</v>
      </c>
      <c r="D914" s="38" t="n">
        <f aca="false">Q!$E$23</f>
        <v>4.75</v>
      </c>
      <c r="E914" s="38" t="n">
        <f aca="false">Q!$P$23</f>
        <v>3.141</v>
      </c>
      <c r="F914" s="38" t="n">
        <f aca="false">Sens!$F$910+Sens!$F$911*Sens!$F$913-Sens!$F$912</f>
        <v>2.73214145292892</v>
      </c>
      <c r="G914" s="38" t="n">
        <f aca="false">Sens!$E$914+Sens!$F$914</f>
        <v>5.87314145292892</v>
      </c>
      <c r="H914" s="38" t="n">
        <f aca="false">Sens!$H$910+Sens!$H$911*Sens!$H$913-Sens!$H$912</f>
        <v>3.80683763678392</v>
      </c>
      <c r="I914" s="38" t="n">
        <f aca="false">Sens!$I$910+Sens!$I$911*Sens!$I$913-Sens!$I$912</f>
        <v>0.18271867763516</v>
      </c>
      <c r="J914" s="38" t="n">
        <f aca="false">Sens!$J$910+Sens!$J$911*Sens!$J$913-Sens!$J$912</f>
        <v>-3.72633774401784</v>
      </c>
      <c r="K914" s="38" t="n">
        <f aca="false">Sens!$K$910+Sens!$K$911*Sens!$K$913-Sens!$K$912</f>
        <v>-7.81330935729924</v>
      </c>
      <c r="L914" s="38" t="n">
        <f aca="false">Sens!$L$910+Sens!$L$911*Sens!$L$913-Sens!$L$912</f>
        <v>-9.98744884035728</v>
      </c>
      <c r="M914" s="38" t="n">
        <f aca="false">Sens!$M$910+Sens!$M$911*Sens!$M$913-Sens!$M$912</f>
        <v>-10.4762301188165</v>
      </c>
      <c r="N914" s="38" t="n">
        <f aca="false">Q!$N$23</f>
        <v>2.511</v>
      </c>
      <c r="O914" s="38" t="n">
        <f aca="false">Q!$O$23</f>
        <v>2.239</v>
      </c>
    </row>
    <row r="915" customFormat="false" ht="17.15" hidden="false" customHeight="false" outlineLevel="0" collapsed="false">
      <c r="A915" s="0" t="s">
        <v>731</v>
      </c>
      <c r="B915" s="0" t="s">
        <v>86</v>
      </c>
      <c r="C915" s="38" t="n">
        <f aca="false">Sens!$C$855</f>
        <v>1.68487161926111</v>
      </c>
      <c r="D915" s="38" t="n">
        <f aca="false">Sens!$D$855</f>
        <v>5.43194352745356</v>
      </c>
      <c r="E915" s="38" t="n">
        <f aca="false">Sens!$E$855</f>
        <v>3.20383256633701</v>
      </c>
      <c r="F915" s="38" t="n">
        <f aca="false">Sens!$F$855</f>
        <v>8.29840699128434</v>
      </c>
      <c r="G915" s="38" t="n">
        <f aca="false">Sens!$G$855</f>
        <v>11.5022395576214</v>
      </c>
      <c r="H915" s="38" t="n">
        <f aca="false">Sens!$H$855</f>
        <v>26.2266384782728</v>
      </c>
      <c r="I915" s="38" t="n">
        <f aca="false">Sens!$I$855</f>
        <v>37.0849339372942</v>
      </c>
      <c r="J915" s="38" t="n">
        <f aca="false">Sens!$J$855</f>
        <v>47.3017664130775</v>
      </c>
      <c r="K915" s="38" t="n">
        <f aca="false">Sens!$K$855</f>
        <v>52.0500378946496</v>
      </c>
      <c r="L915" s="38" t="n">
        <f aca="false">Sens!$L$855</f>
        <v>54.1073658706492</v>
      </c>
      <c r="M915" s="38" t="n">
        <f aca="false">Sens!$M$855</f>
        <v>52.1178711693931</v>
      </c>
      <c r="N915" s="38" t="n">
        <f aca="false">Sens!$N$855</f>
        <v>1.69956239523287</v>
      </c>
      <c r="O915" s="38" t="n">
        <f aca="false">Sens!$O$855</f>
        <v>3.73238113222069</v>
      </c>
    </row>
    <row r="916" customFormat="false" ht="17.15" hidden="false" customHeight="false" outlineLevel="0" collapsed="false">
      <c r="A916" s="0" t="s">
        <v>649</v>
      </c>
      <c r="B916" s="0" t="s">
        <v>86</v>
      </c>
      <c r="C916" s="38" t="n">
        <f aca="false">Sens!$C$860</f>
        <v>38.1491283807389</v>
      </c>
      <c r="D916" s="38" t="n">
        <f aca="false">Sens!$D$860</f>
        <v>40.1740564725464</v>
      </c>
      <c r="E916" s="38" t="n">
        <f aca="false">Sens!$E$860</f>
        <v>27.578167433663</v>
      </c>
      <c r="F916" s="38" t="n">
        <f aca="false">Sens!$F$860</f>
        <v>25.5267206004884</v>
      </c>
      <c r="G916" s="38" t="n">
        <f aca="false">Sens!$G$860</f>
        <v>53.1048880341514</v>
      </c>
      <c r="H916" s="38" t="n">
        <f aca="false">Sens!$H$860</f>
        <v>57.2701412761676</v>
      </c>
      <c r="I916" s="38" t="n">
        <f aca="false">Sens!$I$860</f>
        <v>63.5843698657149</v>
      </c>
      <c r="J916" s="38" t="n">
        <f aca="false">Sens!$J$860</f>
        <v>69.6329415841507</v>
      </c>
      <c r="K916" s="38" t="n">
        <f aca="false">Sens!$K$860</f>
        <v>75.2035769108827</v>
      </c>
      <c r="L916" s="38" t="n">
        <f aca="false">Sens!$L$860</f>
        <v>81.2198630637534</v>
      </c>
      <c r="M916" s="38" t="n">
        <f aca="false">Sens!$M$860</f>
        <v>87.7174521088536</v>
      </c>
      <c r="N916" s="38" t="n">
        <f aca="false">Sens!$N$860</f>
        <v>20.0074376047671</v>
      </c>
      <c r="O916" s="38" t="n">
        <f aca="false">Sens!$O$860</f>
        <v>20.1666188677793</v>
      </c>
    </row>
    <row r="917" customFormat="false" ht="17.15" hidden="false" customHeight="false" outlineLevel="0" collapsed="false">
      <c r="A917" s="1" t="s">
        <v>732</v>
      </c>
      <c r="B917" s="8" t="s">
        <v>86</v>
      </c>
      <c r="C917" s="38" t="n">
        <f aca="false">Q!$D$24</f>
        <v>39.834</v>
      </c>
      <c r="D917" s="38" t="n">
        <f aca="false">Q!$E$24</f>
        <v>45.606</v>
      </c>
      <c r="E917" s="38" t="n">
        <f aca="false">Q!$P$24</f>
        <v>30.782</v>
      </c>
      <c r="F917" s="38" t="n">
        <f aca="false">Sens!$F$915+Sens!$F$916</f>
        <v>33.8251275917727</v>
      </c>
      <c r="G917" s="38" t="n">
        <f aca="false">Sens!$G$915+Sens!$G$916</f>
        <v>64.6071275917727</v>
      </c>
      <c r="H917" s="38" t="n">
        <f aca="false">Sens!$H$915+Sens!$H$916</f>
        <v>83.4967797544404</v>
      </c>
      <c r="I917" s="38" t="n">
        <f aca="false">Sens!$I$915+Sens!$I$916</f>
        <v>100.669303803009</v>
      </c>
      <c r="J917" s="38" t="n">
        <f aca="false">Sens!$J$915+Sens!$J$916</f>
        <v>116.934707997228</v>
      </c>
      <c r="K917" s="38" t="n">
        <f aca="false">Sens!$K$915+Sens!$K$916</f>
        <v>127.253614805532</v>
      </c>
      <c r="L917" s="38" t="n">
        <f aca="false">Sens!$L$915+Sens!$L$916</f>
        <v>135.327228934403</v>
      </c>
      <c r="M917" s="38" t="n">
        <f aca="false">Sens!$M$915+Sens!$M$916</f>
        <v>139.835323278247</v>
      </c>
      <c r="N917" s="38" t="n">
        <f aca="false">Q!$N$24</f>
        <v>21.707</v>
      </c>
      <c r="O917" s="38" t="n">
        <f aca="false">Q!$O$24</f>
        <v>23.899</v>
      </c>
    </row>
    <row r="918" customFormat="false" ht="17.15" hidden="false" customHeight="false" outlineLevel="0" collapsed="false">
      <c r="A918" s="5" t="s">
        <v>733</v>
      </c>
      <c r="B918" s="0" t="s">
        <v>86</v>
      </c>
      <c r="C918" s="38" t="n">
        <f aca="false">Q!$D$26</f>
        <v>0</v>
      </c>
      <c r="D918" s="38" t="n">
        <f aca="false">Q!$E$26</f>
        <v>0</v>
      </c>
      <c r="E918" s="38" t="n">
        <f aca="false">Q!$P$26</f>
        <v>0</v>
      </c>
      <c r="F918" s="39" t="n">
        <v>0</v>
      </c>
      <c r="G918" s="38" t="n">
        <f aca="false">Sens!$E$918+Sens!$F$918</f>
        <v>0</v>
      </c>
      <c r="H918" s="39" t="n">
        <v>0</v>
      </c>
      <c r="I918" s="39" t="n">
        <v>0</v>
      </c>
      <c r="J918" s="39" t="n">
        <v>0</v>
      </c>
      <c r="K918" s="39" t="n">
        <v>0</v>
      </c>
      <c r="L918" s="39" t="n">
        <v>0</v>
      </c>
      <c r="M918" s="39" t="n">
        <v>0</v>
      </c>
      <c r="N918" s="38" t="n">
        <f aca="false">Q!$N$26</f>
        <v>0</v>
      </c>
      <c r="O918" s="38" t="n">
        <f aca="false">Q!$O$26</f>
        <v>0</v>
      </c>
    </row>
    <row r="919" customFormat="false" ht="15" hidden="false" customHeight="false" outlineLevel="0" collapsed="false">
      <c r="A919" s="3" t="s">
        <v>534</v>
      </c>
      <c r="B919" s="8" t="s">
        <v>86</v>
      </c>
      <c r="C919" s="38" t="n">
        <f aca="false">Q!$D$25</f>
        <v>68.593</v>
      </c>
      <c r="D919" s="38" t="n">
        <f aca="false">Q!$E$25</f>
        <v>79.975</v>
      </c>
      <c r="E919" s="38" t="n">
        <f aca="false">Q!$P$25</f>
        <v>51.313</v>
      </c>
      <c r="F919" s="38" t="n">
        <f aca="false">Sens!$F$909+Sens!$F$914+Sens!$F$917+Sens!$F$918</f>
        <v>56.5593282582957</v>
      </c>
      <c r="G919" s="38" t="n">
        <f aca="false">Sens!$G$909+Sens!$G$914+Sens!$G$917+Sens!$G$918</f>
        <v>107.872328258296</v>
      </c>
      <c r="H919" s="38" t="n">
        <f aca="false">Sens!$H$909+Sens!$H$914+Sens!$H$917+Sens!$H$918</f>
        <v>122.708525394118</v>
      </c>
      <c r="I919" s="38" t="n">
        <f aca="false">Sens!$I$909+Sens!$I$914+Sens!$I$917+Sens!$I$918</f>
        <v>130.333273588375</v>
      </c>
      <c r="J919" s="38" t="n">
        <f aca="false">Sens!$J$909+Sens!$J$914+Sens!$J$917+Sens!$J$918</f>
        <v>136.072987523169</v>
      </c>
      <c r="K919" s="38" t="n">
        <f aca="false">Sens!$K$909+Sens!$K$914+Sens!$K$917+Sens!$K$918</f>
        <v>135.182642590095</v>
      </c>
      <c r="L919" s="38" t="n">
        <f aca="false">Sens!$L$909+Sens!$L$914+Sens!$L$917+Sens!$L$918</f>
        <v>137.514229928849</v>
      </c>
      <c r="M919" s="38" t="n">
        <f aca="false">Sens!$M$909+Sens!$M$914+Sens!$M$917+Sens!$M$918</f>
        <v>142.493178904844</v>
      </c>
      <c r="N919" s="38" t="n">
        <f aca="false">Q!$N$25</f>
        <v>37.576</v>
      </c>
      <c r="O919" s="38" t="n">
        <f aca="false">Q!$O$25</f>
        <v>42.399</v>
      </c>
    </row>
    <row r="920" customFormat="false" ht="17.15" hidden="false" customHeight="false" outlineLevel="0" collapsed="false">
      <c r="A920" s="24" t="s">
        <v>764</v>
      </c>
      <c r="B920" s="25" t="s">
        <v>86</v>
      </c>
      <c r="C920" s="41" t="n">
        <f aca="false">Sens!$C$909+Sens!$C$914+Sens!$C$917+Sens!$C$918-Sens!$C$919</f>
        <v>0</v>
      </c>
      <c r="D920" s="41" t="n">
        <f aca="false">Sens!$D$909+Sens!$D$914+Sens!$D$917+Sens!$D$918-Sens!$D$919</f>
        <v>0</v>
      </c>
      <c r="E920" s="41" t="n">
        <f aca="false">Sens!$E$909+Sens!$E$914+Sens!$E$917+Sens!$E$918-Sens!$E$919</f>
        <v>0</v>
      </c>
      <c r="F920" s="41" t="n">
        <f aca="false">Sens!$F$909+Sens!$F$914+Sens!$F$917+Sens!$F$918-Sens!$F$919</f>
        <v>0</v>
      </c>
      <c r="G920" s="41" t="n">
        <f aca="false">Sens!$G$909+Sens!$G$914+Sens!$G$917+Sens!$G$918-Sens!$G$919</f>
        <v>0</v>
      </c>
      <c r="H920" s="41" t="n">
        <f aca="false">Sens!$H$909+Sens!$H$914+Sens!$H$917+Sens!$H$918-Sens!$H$919</f>
        <v>0</v>
      </c>
      <c r="I920" s="41" t="n">
        <f aca="false">Sens!$I$909+Sens!$I$914+Sens!$I$917+Sens!$I$918-Sens!$I$919</f>
        <v>0</v>
      </c>
      <c r="J920" s="41" t="n">
        <f aca="false">Sens!$J$909+Sens!$J$914+Sens!$J$917+Sens!$J$918-Sens!$J$919</f>
        <v>0</v>
      </c>
      <c r="K920" s="41" t="n">
        <f aca="false">Sens!$K$909+Sens!$K$914+Sens!$K$917+Sens!$K$918-Sens!$K$919</f>
        <v>0</v>
      </c>
      <c r="L920" s="41" t="n">
        <f aca="false">Sens!$L$909+Sens!$L$914+Sens!$L$917+Sens!$L$918-Sens!$L$919</f>
        <v>0</v>
      </c>
      <c r="M920" s="41" t="n">
        <f aca="false">Sens!$M$909+Sens!$M$914+Sens!$M$917+Sens!$M$918-Sens!$M$919</f>
        <v>0</v>
      </c>
      <c r="N920" s="41" t="n">
        <f aca="false">Sens!$N$909+Sens!$N$914+Sens!$N$917+Sens!$N$918-Sens!$N$919</f>
        <v>0</v>
      </c>
      <c r="O920" s="41" t="n">
        <f aca="false">Sens!$O$909+Sens!$O$914+Sens!$O$917+Sens!$O$918-Sens!$O$919</f>
        <v>0</v>
      </c>
    </row>
    <row r="921" customFormat="false" ht="17.15" hidden="false" customHeight="false" outlineLevel="0" collapsed="false">
      <c r="A921" s="5" t="s">
        <v>735</v>
      </c>
      <c r="B921" s="0" t="s">
        <v>86</v>
      </c>
      <c r="C921" s="38" t="n">
        <f aca="false">Sens!$C$857</f>
        <v>0</v>
      </c>
      <c r="D921" s="38" t="n">
        <f aca="false">Sens!$D$857</f>
        <v>0</v>
      </c>
      <c r="E921" s="38" t="n">
        <f aca="false">Sens!$E$857</f>
        <v>0</v>
      </c>
      <c r="F921" s="38" t="n">
        <f aca="false">Sens!$F$857</f>
        <v>10.0565879513551</v>
      </c>
      <c r="G921" s="38" t="n">
        <f aca="false">Sens!$G$857</f>
        <v>10.0565879513551</v>
      </c>
      <c r="H921" s="38" t="n">
        <f aca="false">Sens!$H$857</f>
        <v>40.4361449626381</v>
      </c>
      <c r="I921" s="38" t="n">
        <f aca="false">Sens!$I$857</f>
        <v>68.218358298637</v>
      </c>
      <c r="J921" s="38" t="n">
        <f aca="false">Sens!$J$857</f>
        <v>96.1241664477658</v>
      </c>
      <c r="K921" s="38" t="n">
        <f aca="false">Sens!$K$857</f>
        <v>119.93097707361</v>
      </c>
      <c r="L921" s="38" t="n">
        <f aca="false">Sens!$L$857</f>
        <v>135.57693014875</v>
      </c>
      <c r="M921" s="38" t="n">
        <f aca="false">Sens!$M$857</f>
        <v>143.041923806484</v>
      </c>
      <c r="N921" s="38" t="n">
        <f aca="false">Sens!$N$857</f>
        <v>0</v>
      </c>
      <c r="O921" s="38" t="n">
        <f aca="false">Sens!$O$857</f>
        <v>0</v>
      </c>
      <c r="P921" s="5" t="s">
        <v>736</v>
      </c>
    </row>
    <row r="922" customFormat="false" ht="17.15" hidden="false" customHeight="false" outlineLevel="0" collapsed="false">
      <c r="A922" s="5" t="s">
        <v>737</v>
      </c>
      <c r="B922" s="0" t="s">
        <v>86</v>
      </c>
      <c r="C922" s="38" t="n">
        <f aca="false">Sens!$C$919+Sens!$C$921</f>
        <v>68.593</v>
      </c>
      <c r="D922" s="38" t="n">
        <f aca="false">Sens!$D$919+Sens!$D$921</f>
        <v>79.975</v>
      </c>
      <c r="E922" s="38" t="n">
        <f aca="false">Sens!$E$919+Sens!$E$921</f>
        <v>51.313</v>
      </c>
      <c r="F922" s="38" t="n">
        <f aca="false">Sens!$F$919+Sens!$F$921</f>
        <v>66.6159162096508</v>
      </c>
      <c r="G922" s="38" t="n">
        <f aca="false">Sens!$G$919+Sens!$G$921</f>
        <v>117.928916209651</v>
      </c>
      <c r="H922" s="38" t="n">
        <f aca="false">Sens!$H$919+Sens!$H$921</f>
        <v>163.144670356756</v>
      </c>
      <c r="I922" s="38" t="n">
        <f aca="false">Sens!$I$919+Sens!$I$921</f>
        <v>198.551631887012</v>
      </c>
      <c r="J922" s="38" t="n">
        <f aca="false">Sens!$J$919+Sens!$J$921</f>
        <v>232.197153970935</v>
      </c>
      <c r="K922" s="38" t="n">
        <f aca="false">Sens!$K$919+Sens!$K$921</f>
        <v>255.113619663705</v>
      </c>
      <c r="L922" s="38" t="n">
        <f aca="false">Sens!$L$919+Sens!$L$921</f>
        <v>273.091160077599</v>
      </c>
      <c r="M922" s="38" t="n">
        <f aca="false">Sens!$M$919+Sens!$M$921</f>
        <v>285.535102711328</v>
      </c>
      <c r="N922" s="38" t="n">
        <f aca="false">Sens!$N$919+Sens!$N$921</f>
        <v>37.576</v>
      </c>
      <c r="O922" s="38" t="n">
        <f aca="false">Sens!$O$919+Sens!$O$921</f>
        <v>42.399</v>
      </c>
    </row>
    <row r="923" customFormat="false" ht="17.15" hidden="false" customHeight="false" outlineLevel="0" collapsed="false">
      <c r="A923" s="0" t="s">
        <v>738</v>
      </c>
      <c r="B923" s="0" t="s">
        <v>52</v>
      </c>
      <c r="C923" s="13" t="n">
        <f aca="false">Sens!$C$909/Sens!$C$894</f>
        <v>0.0644314665661928</v>
      </c>
      <c r="D923" s="13" t="n">
        <f aca="false">Sens!$D$909/Sens!$D$894</f>
        <v>0.0694784250712518</v>
      </c>
      <c r="E923" s="13" t="n">
        <f aca="false">Sens!$E$909/Sens!$E$894</f>
        <v>0.0789306463326071</v>
      </c>
      <c r="F923" s="13" t="n">
        <f aca="false">Sens!$F$909/Sens!$F$894</f>
        <v>0.0798040108951157</v>
      </c>
      <c r="G923" s="13" t="n">
        <f aca="false">Sens!$G$909/Sens!$G$894</f>
        <v>0.0793954416472799</v>
      </c>
      <c r="H923" s="13" t="n">
        <f aca="false">Sens!$H$909/Sens!$H$894</f>
        <v>0.0679052386301693</v>
      </c>
      <c r="I923" s="13" t="n">
        <f aca="false">Sens!$I$909/Sens!$I$894</f>
        <v>0.0517084424243722</v>
      </c>
      <c r="J923" s="13" t="n">
        <f aca="false">Sens!$J$909/Sens!$J$894</f>
        <v>0.0371545912733328</v>
      </c>
      <c r="K923" s="13" t="n">
        <f aca="false">Sens!$K$909/Sens!$K$894</f>
        <v>0.0240264643813304</v>
      </c>
      <c r="L923" s="13" t="n">
        <f aca="false">Sens!$L$909/Sens!$L$894</f>
        <v>0.0174467108202219</v>
      </c>
      <c r="M923" s="13" t="n">
        <f aca="false">Sens!$M$909/Sens!$M$894</f>
        <v>0.017667605071097</v>
      </c>
      <c r="N923" s="13" t="n">
        <f aca="false">Sens!$N$909/Sens!$N$894</f>
        <v>0.069228576611127</v>
      </c>
      <c r="O923" s="13" t="n">
        <f aca="false">Sens!$O$909/Sens!$O$894</f>
        <v>0.069685022498393</v>
      </c>
    </row>
    <row r="924" customFormat="false" ht="17.15" hidden="false" customHeight="false" outlineLevel="0" collapsed="false">
      <c r="A924" s="0" t="s">
        <v>739</v>
      </c>
      <c r="B924" s="0" t="s">
        <v>52</v>
      </c>
      <c r="C924" s="13" t="n">
        <f aca="false">Sens!$C$914/Sens!$C$895</f>
        <v>0.026534925055631</v>
      </c>
      <c r="D924" s="13" t="n">
        <f aca="false">Sens!$D$914/Sens!$D$895</f>
        <v>0.0293401855535103</v>
      </c>
      <c r="E924" s="13" t="n">
        <f aca="false">Sens!$E$914/Sens!$E$895</f>
        <v>0.03831141902276</v>
      </c>
      <c r="F924" s="13" t="n">
        <f aca="false">Sens!$F$914/Sens!$F$895</f>
        <v>0.0277632759037498</v>
      </c>
      <c r="G924" s="13" t="n">
        <f aca="false">Sens!$G$914/Sens!$G$895</f>
        <v>0.0325572148230098</v>
      </c>
      <c r="H924" s="13" t="n">
        <f aca="false">Sens!$H$914/Sens!$H$895</f>
        <v>0.0190618374644684</v>
      </c>
      <c r="I924" s="13" t="n">
        <f aca="false">Sens!$I$914/Sens!$I$895</f>
        <v>0.000836679422335439</v>
      </c>
      <c r="J924" s="13" t="n">
        <f aca="false">Sens!$J$914/Sens!$J$895</f>
        <v>-0.0158085255584951</v>
      </c>
      <c r="K924" s="13" t="n">
        <f aca="false">Sens!$K$914/Sens!$K$895</f>
        <v>-0.0311326633798469</v>
      </c>
      <c r="L924" s="13" t="n">
        <f aca="false">Sens!$L$914/Sens!$L$895</f>
        <v>-0.0373662387283594</v>
      </c>
      <c r="M924" s="13" t="n">
        <f aca="false">Sens!$M$914/Sens!$M$895</f>
        <v>-0.0367911584943694</v>
      </c>
      <c r="N924" s="13" t="n">
        <f aca="false">Sens!$N$914/Sens!$N$895</f>
        <v>0.0357315650169337</v>
      </c>
      <c r="O924" s="13" t="n">
        <f aca="false">Sens!$O$914/Sens!$O$895</f>
        <v>0.0244378956559703</v>
      </c>
    </row>
    <row r="925" customFormat="false" ht="17.15" hidden="false" customHeight="false" outlineLevel="0" collapsed="false">
      <c r="A925" s="14" t="s">
        <v>740</v>
      </c>
      <c r="B925" s="14" t="s">
        <v>52</v>
      </c>
      <c r="C925" s="17" t="n">
        <f aca="false">Sens!$C$917/Sens!$C$896</f>
        <v>0.370355907620217</v>
      </c>
      <c r="D925" s="17" t="n">
        <f aca="false">Sens!$D$917/Sens!$D$896</f>
        <v>0.35429015342785</v>
      </c>
      <c r="E925" s="17" t="n">
        <f aca="false">Sens!$E$917/Sens!$E$896</f>
        <v>0.385647527531039</v>
      </c>
      <c r="F925" s="17" t="n">
        <f aca="false">Sens!$F$917/Sens!$F$896</f>
        <v>0.389992638887315</v>
      </c>
      <c r="G925" s="17" t="n">
        <f aca="false">Sens!$G$917/Sens!$G$896</f>
        <v>0.387910268225747</v>
      </c>
      <c r="H925" s="17" t="n">
        <f aca="false">Sens!$H$917/Sens!$H$896</f>
        <v>0.377500946722993</v>
      </c>
      <c r="I925" s="17" t="n">
        <f aca="false">Sens!$I$917/Sens!$I$896</f>
        <v>0.359182436628397</v>
      </c>
      <c r="J925" s="17" t="n">
        <f aca="false">Sens!$J$917/Sens!$J$896</f>
        <v>0.345142803333005</v>
      </c>
      <c r="K925" s="17" t="n">
        <f aca="false">Sens!$K$917/Sens!$K$896</f>
        <v>0.326386975272093</v>
      </c>
      <c r="L925" s="17" t="n">
        <f aca="false">Sens!$L$917/Sens!$L$896</f>
        <v>0.314655440888915</v>
      </c>
      <c r="M925" s="17" t="n">
        <f aca="false">Sens!$M$917/Sens!$M$896</f>
        <v>0.304349603588646</v>
      </c>
      <c r="N925" s="17" t="n">
        <f aca="false">Sens!$N$917/Sens!$N$896</f>
        <v>0.360941137346192</v>
      </c>
      <c r="O925" s="17" t="n">
        <f aca="false">Sens!$O$917/Sens!$O$896</f>
        <v>0.348458117664212</v>
      </c>
    </row>
    <row r="926" customFormat="false" ht="17.15" hidden="false" customHeight="false" outlineLevel="0" collapsed="false">
      <c r="A926" s="0" t="s">
        <v>741</v>
      </c>
      <c r="B926" s="0" t="s">
        <v>52</v>
      </c>
      <c r="C926" s="13" t="n">
        <f aca="false">Sens!$C$915/Sens!$C$897</f>
        <v>0.725923192809006</v>
      </c>
      <c r="D926" s="13" t="n">
        <f aca="false">Sens!$D$915/Sens!$D$897</f>
        <v>0.624090879254298</v>
      </c>
      <c r="E926" s="13" t="n">
        <f aca="false">Sens!$E$915/Sens!$E$897</f>
        <v>0.376462947604405</v>
      </c>
      <c r="F926" s="13" t="n">
        <f aca="false">Sens!$F$915/Sens!$F$897</f>
        <v>0.554579061752465</v>
      </c>
      <c r="G926" s="13" t="n">
        <f aca="false">Sens!$G$915/Sens!$G$897</f>
        <v>0.490003583302531</v>
      </c>
      <c r="H926" s="13" t="n">
        <f aca="false">Sens!$H$915/Sens!$H$897</f>
        <v>0.435905429994337</v>
      </c>
      <c r="I926" s="13" t="n">
        <f aca="false">Sens!$I$915/Sens!$I$897</f>
        <v>0.365355491994908</v>
      </c>
      <c r="J926" s="13" t="n">
        <f aca="false">Sens!$J$915/Sens!$J$897</f>
        <v>0.330722822994983</v>
      </c>
      <c r="K926" s="13" t="n">
        <f aca="false">Sens!$K$915/Sens!$K$897</f>
        <v>0.291681625913924</v>
      </c>
      <c r="L926" s="13" t="n">
        <f aca="false">Sens!$L$915/Sens!$L$897</f>
        <v>0.268219278262234</v>
      </c>
      <c r="M926" s="13" t="n">
        <f aca="false">Sens!$M$915/Sens!$M$897</f>
        <v>0.244874024900146</v>
      </c>
      <c r="N926" s="13" t="n">
        <f aca="false">Sens!$N$915/Sens!$N$897</f>
        <v>0.557906804562749</v>
      </c>
      <c r="O926" s="13" t="n">
        <f aca="false">Sens!$O$915/Sens!$O$897</f>
        <v>0.659728457934363</v>
      </c>
    </row>
    <row r="927" customFormat="false" ht="15" hidden="false" customHeight="false" outlineLevel="0" collapsed="false">
      <c r="A927" s="5" t="s">
        <v>742</v>
      </c>
      <c r="B927" s="0" t="s">
        <v>52</v>
      </c>
      <c r="C927" s="13" t="n">
        <f aca="false">Sens!$C$919/Sens!$C$899</f>
        <v>0.107519448742004</v>
      </c>
      <c r="D927" s="13" t="n">
        <f aca="false">Sens!$D$919/Sens!$D$899</f>
        <v>0.111552967957552</v>
      </c>
      <c r="E927" s="13" t="n">
        <f aca="false">Sens!$E$919/Sens!$E$899</f>
        <v>0.13428328426562</v>
      </c>
      <c r="F927" s="13" t="n">
        <f aca="false">Sens!$F$919/Sens!$F$899</f>
        <v>0.129788429261576</v>
      </c>
      <c r="G927" s="13" t="n">
        <f aca="false">Sens!$G$919/Sens!$G$899</f>
        <v>0.131888421828867</v>
      </c>
      <c r="H927" s="13" t="n">
        <f aca="false">Sens!$H$919/Sens!$H$899</f>
        <v>0.130225138993385</v>
      </c>
      <c r="I927" s="13" t="n">
        <f aca="false">Sens!$I$919/Sens!$I$899</f>
        <v>0.121943231730241</v>
      </c>
      <c r="J927" s="13" t="n">
        <f aca="false">Sens!$J$919/Sens!$J$899</f>
        <v>0.114355759466746</v>
      </c>
      <c r="K927" s="13" t="n">
        <f aca="false">Sens!$K$919/Sens!$K$899</f>
        <v>0.104302592178937</v>
      </c>
      <c r="L927" s="13" t="n">
        <f aca="false">Sens!$L$919/Sens!$L$899</f>
        <v>0.0985642293006247</v>
      </c>
      <c r="M927" s="13" t="n">
        <f aca="false">Sens!$M$919/Sens!$M$899</f>
        <v>0.0957870274086524</v>
      </c>
      <c r="N927" s="13" t="n">
        <f aca="false">Sens!$N$919/Sens!$N$899</f>
        <v>0.116201614873411</v>
      </c>
      <c r="O927" s="13" t="n">
        <f aca="false">Sens!$O$919/Sens!$O$899</f>
        <v>0.107733353660861</v>
      </c>
    </row>
    <row r="928" customFormat="false" ht="17.15" hidden="false" customHeight="false" outlineLevel="0" collapsed="false">
      <c r="A928" s="1" t="s">
        <v>743</v>
      </c>
    </row>
    <row r="929" customFormat="false" ht="17.15" hidden="false" customHeight="false" outlineLevel="0" collapsed="false">
      <c r="A929" s="5" t="s">
        <v>744</v>
      </c>
      <c r="B929" s="0" t="s">
        <v>52</v>
      </c>
      <c r="D929" s="28" t="n">
        <f aca="false">(Q!$E$29+Q!$E$30-(1-ext_sh_lo)*Sens!$D$851)/Sens!$D$805</f>
        <v>0.0331757121550445</v>
      </c>
    </row>
    <row r="930" customFormat="false" ht="17.15" hidden="false" customHeight="false" outlineLevel="0" collapsed="false">
      <c r="A930" s="0" t="s">
        <v>538</v>
      </c>
      <c r="B930" s="0" t="s">
        <v>86</v>
      </c>
      <c r="C930" s="38" t="n">
        <f aca="false">Q!$D$29</f>
        <v>14.285</v>
      </c>
      <c r="D930" s="38" t="n">
        <f aca="false">Q!$E$29</f>
        <v>15.503</v>
      </c>
      <c r="E930" s="38" t="n">
        <f aca="false">Q!$P$29</f>
        <v>8.78</v>
      </c>
      <c r="F930" s="38" t="n">
        <f aca="false">(Sens!$D$929*Sens!$F$805+(1-ext_sh_lo)*Sens!$F$851)*Sens!$F$806</f>
        <v>9.95313432471077</v>
      </c>
      <c r="G930" s="38" t="n">
        <f aca="false">Sens!$E$930+Sens!$F$930</f>
        <v>18.7331343247108</v>
      </c>
      <c r="H930" s="38" t="n">
        <f aca="false">(Sens!$D$929*Sens!$H$805+(1-ext_sh_lo)*Sens!$H$851)*Sens!$H$806</f>
        <v>27.5600902562954</v>
      </c>
      <c r="I930" s="38" t="n">
        <f aca="false">(Sens!$D$929*Sens!$I$805+(1-ext_sh_lo)*Sens!$I$851)*Sens!$I$806</f>
        <v>39.8683676580611</v>
      </c>
      <c r="J930" s="38" t="n">
        <f aca="false">(Sens!$D$929*Sens!$J$805+(1-ext_sh_lo)*Sens!$J$851)*Sens!$J$806</f>
        <v>52.4506737095224</v>
      </c>
      <c r="K930" s="38" t="n">
        <f aca="false">(Sens!$D$929*Sens!$K$805+(1-ext_sh_lo)*Sens!$K$851)*Sens!$K$806</f>
        <v>65.1363926839305</v>
      </c>
      <c r="L930" s="38" t="n">
        <f aca="false">(Sens!$D$929*Sens!$L$805+(1-ext_sh_lo)*Sens!$L$851)*Sens!$L$806</f>
        <v>74.5310923913591</v>
      </c>
      <c r="M930" s="38" t="n">
        <f aca="false">(Sens!$D$929*Sens!$M$805+(1-ext_sh_lo)*Sens!$M$851)*Sens!$M$806</f>
        <v>81.2820804652315</v>
      </c>
      <c r="N930" s="38" t="n">
        <f aca="false">Q!$N$29</f>
        <v>7.272</v>
      </c>
      <c r="O930" s="38" t="n">
        <f aca="false">Q!$O$29</f>
        <v>8.231</v>
      </c>
    </row>
    <row r="931" customFormat="false" ht="17.15" hidden="false" customHeight="false" outlineLevel="0" collapsed="false">
      <c r="A931" s="0" t="s">
        <v>540</v>
      </c>
      <c r="B931" s="0" t="s">
        <v>86</v>
      </c>
      <c r="C931" s="38" t="n">
        <f aca="false">Q!$D$30</f>
        <v>4.462</v>
      </c>
      <c r="D931" s="38" t="n">
        <f aca="false">Q!$E$30</f>
        <v>4.907</v>
      </c>
      <c r="E931" s="38" t="n">
        <f aca="false">Q!$P$30</f>
        <v>2.57</v>
      </c>
      <c r="F931" s="38" t="n">
        <f aca="false">(Sens!$D$929*Sens!$F$805+(1-ext_sh_lo)*Sens!$F$851)*(1-Sens!$F$806)</f>
        <v>3.90789015140348</v>
      </c>
      <c r="G931" s="38" t="n">
        <f aca="false">Sens!$E$931+Sens!$F$931</f>
        <v>6.47789015140348</v>
      </c>
      <c r="H931" s="38" t="n">
        <f aca="false">(Sens!$D$929*Sens!$H$805+(1-ext_sh_lo)*Sens!$H$851)*(1-Sens!$H$806)</f>
        <v>10.5565020715456</v>
      </c>
      <c r="I931" s="38" t="n">
        <f aca="false">(Sens!$D$929*Sens!$I$805+(1-ext_sh_lo)*Sens!$I$851)*(1-Sens!$I$806)</f>
        <v>15.2710133333227</v>
      </c>
      <c r="J931" s="38" t="n">
        <f aca="false">(Sens!$D$929*Sens!$J$805+(1-ext_sh_lo)*Sens!$J$851)*(1-Sens!$J$806)</f>
        <v>20.0904873866318</v>
      </c>
      <c r="K931" s="38" t="n">
        <f aca="false">(Sens!$D$929*Sens!$K$805+(1-ext_sh_lo)*Sens!$K$851)*(1-Sens!$K$806)</f>
        <v>24.9495722948096</v>
      </c>
      <c r="L931" s="38" t="n">
        <f aca="false">(Sens!$D$929*Sens!$L$805+(1-ext_sh_lo)*Sens!$L$851)*(1-Sens!$L$806)</f>
        <v>28.5480789034868</v>
      </c>
      <c r="M931" s="38" t="n">
        <f aca="false">(Sens!$D$929*Sens!$M$805+(1-ext_sh_lo)*Sens!$M$851)*(1-Sens!$M$806)</f>
        <v>31.1339492298924</v>
      </c>
      <c r="N931" s="38" t="n">
        <f aca="false">Q!$N$30</f>
        <v>2.316</v>
      </c>
      <c r="O931" s="38" t="n">
        <f aca="false">Q!$O$30</f>
        <v>2.591</v>
      </c>
    </row>
    <row r="932" customFormat="false" ht="17.15" hidden="false" customHeight="false" outlineLevel="0" collapsed="false">
      <c r="A932" s="0" t="s">
        <v>541</v>
      </c>
      <c r="B932" s="0" t="s">
        <v>86</v>
      </c>
      <c r="C932" s="38" t="n">
        <f aca="false">Sens!$C$863</f>
        <v>13.32</v>
      </c>
      <c r="D932" s="38" t="n">
        <f aca="false">Sens!$D$863</f>
        <v>21.45</v>
      </c>
      <c r="E932" s="38" t="n">
        <f aca="false">Sens!$E$863</f>
        <v>15.353</v>
      </c>
      <c r="F932" s="38" t="n">
        <f aca="false">Sens!$F$863</f>
        <v>15.4443987606255</v>
      </c>
      <c r="G932" s="38" t="n">
        <f aca="false">Sens!$G$863</f>
        <v>30.7973987606255</v>
      </c>
      <c r="H932" s="38" t="n">
        <f aca="false">Sens!$H$863</f>
        <v>48.2640138739814</v>
      </c>
      <c r="I932" s="38" t="n">
        <f aca="false">Sens!$I$863</f>
        <v>73.4164331887152</v>
      </c>
      <c r="J932" s="38" t="n">
        <f aca="false">Sens!$J$863</f>
        <v>99.2537456235689</v>
      </c>
      <c r="K932" s="38" t="n">
        <f aca="false">Sens!$K$863</f>
        <v>125.454264415424</v>
      </c>
      <c r="L932" s="38" t="n">
        <f aca="false">Sens!$L$863</f>
        <v>144.845762370727</v>
      </c>
      <c r="M932" s="38" t="n">
        <f aca="false">Sens!$M$863</f>
        <v>158.773496622404</v>
      </c>
      <c r="N932" s="38" t="n">
        <f aca="false">Sens!$N$863</f>
        <v>9.234</v>
      </c>
      <c r="O932" s="38" t="n">
        <f aca="false">Sens!$O$863</f>
        <v>12.216</v>
      </c>
    </row>
    <row r="933" customFormat="false" ht="17.15" hidden="false" customHeight="false" outlineLevel="0" collapsed="false">
      <c r="A933" s="5" t="s">
        <v>745</v>
      </c>
      <c r="B933" s="0" t="s">
        <v>86</v>
      </c>
      <c r="C933" s="38" t="n">
        <f aca="false">Sens!$C$930+Sens!$C$931+Sens!$C$932</f>
        <v>32.067</v>
      </c>
      <c r="D933" s="38" t="n">
        <f aca="false">Sens!$D$930+Sens!$D$931+Sens!$D$932</f>
        <v>41.86</v>
      </c>
      <c r="E933" s="38" t="n">
        <f aca="false">Sens!$E$930+Sens!$E$931+Sens!$E$932</f>
        <v>26.703</v>
      </c>
      <c r="F933" s="38" t="n">
        <f aca="false">Sens!$F$930+Sens!$F$931+Sens!$F$932</f>
        <v>29.3054232367397</v>
      </c>
      <c r="G933" s="38" t="n">
        <f aca="false">Sens!$G$930+Sens!$G$931+Sens!$G$932</f>
        <v>56.0084232367397</v>
      </c>
      <c r="H933" s="38" t="n">
        <f aca="false">Sens!$H$930+Sens!$H$931+Sens!$H$932</f>
        <v>86.3806062018225</v>
      </c>
      <c r="I933" s="38" t="n">
        <f aca="false">Sens!$I$930+Sens!$I$931+Sens!$I$932</f>
        <v>128.555814180099</v>
      </c>
      <c r="J933" s="38" t="n">
        <f aca="false">Sens!$J$930+Sens!$J$931+Sens!$J$932</f>
        <v>171.794906719723</v>
      </c>
      <c r="K933" s="38" t="n">
        <f aca="false">Sens!$K$930+Sens!$K$931+Sens!$K$932</f>
        <v>215.540229394164</v>
      </c>
      <c r="L933" s="38" t="n">
        <f aca="false">Sens!$L$930+Sens!$L$931+Sens!$L$932</f>
        <v>247.924933665573</v>
      </c>
      <c r="M933" s="38" t="n">
        <f aca="false">Sens!$M$930+Sens!$M$931+Sens!$M$932</f>
        <v>271.189526317527</v>
      </c>
      <c r="N933" s="38" t="n">
        <f aca="false">Sens!$N$930+Sens!$N$931+Sens!$N$932</f>
        <v>18.822</v>
      </c>
      <c r="O933" s="38" t="n">
        <f aca="false">Sens!$O$930+Sens!$O$931+Sens!$O$932</f>
        <v>23.038</v>
      </c>
    </row>
    <row r="934" customFormat="false" ht="17.15" hidden="false" customHeight="false" outlineLevel="0" collapsed="false">
      <c r="A934" s="0" t="s">
        <v>746</v>
      </c>
      <c r="B934" s="0" t="s">
        <v>86</v>
      </c>
      <c r="C934" s="38" t="n">
        <f aca="false">Sens!$C$905+Sens!$C$910</f>
        <v>28.107</v>
      </c>
      <c r="D934" s="38" t="n">
        <f aca="false">Sens!$D$905+Sens!$D$910</f>
        <v>34.3175</v>
      </c>
      <c r="E934" s="38" t="n">
        <f aca="false">Sens!$E$905+Sens!$E$910</f>
        <v>18.526</v>
      </c>
      <c r="F934" s="38" t="n">
        <f aca="false">Sens!$F$905+Sens!$F$910</f>
        <v>23.0786109972074</v>
      </c>
      <c r="G934" s="38" t="n">
        <f aca="false">Sens!$G$905+Sens!$G$910</f>
        <v>41.6046109972074</v>
      </c>
      <c r="H934" s="38" t="n">
        <f aca="false">Sens!$H$905+Sens!$H$910</f>
        <v>49.9484611939488</v>
      </c>
      <c r="I934" s="38" t="n">
        <f aca="false">Sens!$I$905+Sens!$I$910</f>
        <v>58.2915555477481</v>
      </c>
      <c r="J934" s="38" t="n">
        <f aca="false">Sens!$J$905+Sens!$J$910</f>
        <v>66.0744709709759</v>
      </c>
      <c r="K934" s="38" t="n">
        <f aca="false">Sens!$K$905+Sens!$K$910</f>
        <v>72.6819180680735</v>
      </c>
      <c r="L934" s="38" t="n">
        <f aca="false">Sens!$L$905+Sens!$L$910</f>
        <v>79.9501098748808</v>
      </c>
      <c r="M934" s="38" t="n">
        <f aca="false">Sens!$M$905+Sens!$M$910</f>
        <v>87.9451208623689</v>
      </c>
      <c r="N934" s="38" t="n">
        <f aca="false">Sens!$N$905+Sens!$N$910</f>
        <v>14.8075</v>
      </c>
      <c r="O934" s="38" t="n">
        <f aca="false">Sens!$O$905+Sens!$O$910</f>
        <v>19.51</v>
      </c>
    </row>
    <row r="935" customFormat="false" ht="17.15" hidden="false" customHeight="false" outlineLevel="0" collapsed="false">
      <c r="A935" s="0" t="s">
        <v>747</v>
      </c>
      <c r="B935" s="0" t="s">
        <v>86</v>
      </c>
      <c r="C935" s="38" t="n">
        <f aca="false">Sens!$C$909+Sens!$C$914+Sens!$C$930+Sens!$C$931-Sens!$C$934</f>
        <v>19.399</v>
      </c>
      <c r="D935" s="38" t="n">
        <f aca="false">Sens!$D$909+Sens!$D$914+Sens!$D$930+Sens!$D$931-Sens!$D$934</f>
        <v>20.4615</v>
      </c>
      <c r="E935" s="38" t="n">
        <f aca="false">Sens!$E$909+Sens!$E$914+Sens!$E$930+Sens!$E$931-Sens!$E$934</f>
        <v>13.355</v>
      </c>
      <c r="F935" s="38" t="n">
        <f aca="false">Sens!$F$909+Sens!$F$914+Sens!$F$930+Sens!$F$931-Sens!$F$934</f>
        <v>13.5166141454298</v>
      </c>
      <c r="G935" s="38" t="n">
        <f aca="false">Sens!$G$909+Sens!$G$914+Sens!$G$930+Sens!$G$931-Sens!$G$934</f>
        <v>26.8716141454298</v>
      </c>
      <c r="H935" s="38" t="n">
        <f aca="false">Sens!$H$909+Sens!$H$914+Sens!$H$930+Sens!$H$931-Sens!$H$934</f>
        <v>27.3798767735701</v>
      </c>
      <c r="I935" s="38" t="n">
        <f aca="false">Sens!$I$909+Sens!$I$914+Sens!$I$930+Sens!$I$931-Sens!$I$934</f>
        <v>26.5117952290012</v>
      </c>
      <c r="J935" s="38" t="n">
        <f aca="false">Sens!$J$909+Sens!$J$914+Sens!$J$930+Sens!$J$931-Sens!$J$934</f>
        <v>25.6049696511191</v>
      </c>
      <c r="K935" s="38" t="n">
        <f aca="false">Sens!$K$909+Sens!$K$914+Sens!$K$930+Sens!$K$931-Sens!$K$934</f>
        <v>25.3330746952295</v>
      </c>
      <c r="L935" s="38" t="n">
        <f aca="false">Sens!$L$909+Sens!$L$914+Sens!$L$930+Sens!$L$931-Sens!$L$934</f>
        <v>25.3160624144113</v>
      </c>
      <c r="M935" s="38" t="n">
        <f aca="false">Sens!$M$909+Sens!$M$914+Sens!$M$930+Sens!$M$931-Sens!$M$934</f>
        <v>27.1287644593519</v>
      </c>
      <c r="N935" s="38" t="n">
        <f aca="false">Sens!$N$909+Sens!$N$914+Sens!$N$930+Sens!$N$931-Sens!$N$934</f>
        <v>10.6495</v>
      </c>
      <c r="O935" s="38" t="n">
        <f aca="false">Sens!$O$909+Sens!$O$914+Sens!$O$930+Sens!$O$931-Sens!$O$934</f>
        <v>9.81200000000001</v>
      </c>
    </row>
    <row r="936" customFormat="false" ht="17.15" hidden="false" customHeight="false" outlineLevel="0" collapsed="false">
      <c r="A936" s="0" t="s">
        <v>748</v>
      </c>
      <c r="B936" s="0" t="s">
        <v>86</v>
      </c>
      <c r="C936" s="38" t="n">
        <f aca="false">Sens!$C$916+Sens!$C$932-ext_sh_lo*Sens!$C$851</f>
        <v>51.3470500115664</v>
      </c>
      <c r="D936" s="38" t="n">
        <f aca="false">Sens!$D$916+Sens!$D$932-ext_sh_lo*Sens!$D$851</f>
        <v>60.2799375433739</v>
      </c>
      <c r="E936" s="38" t="n">
        <f aca="false">Sens!$E$916+Sens!$E$932-ext_sh_lo*Sens!$E$851</f>
        <v>39.5095167090767</v>
      </c>
      <c r="F936" s="38" t="n">
        <f aca="false">Sens!$F$916+Sens!$F$932-ext_sh_lo*Sens!$F$851</f>
        <v>37.5494686365276</v>
      </c>
      <c r="G936" s="38" t="n">
        <f aca="false">Sens!$G$916+Sens!$G$932-ext_sh_lo*Sens!$G$851</f>
        <v>77.0589853456043</v>
      </c>
      <c r="H936" s="38" t="n">
        <f aca="false">Sens!$H$916+Sens!$H$932-ext_sh_lo*Sens!$H$851</f>
        <v>84.2436209223765</v>
      </c>
      <c r="I936" s="38" t="n">
        <f aca="false">Sens!$I$916+Sens!$I$932-ext_sh_lo*Sens!$I$851</f>
        <v>93.5317677273577</v>
      </c>
      <c r="J936" s="38" t="n">
        <f aca="false">Sens!$J$916+Sens!$J$932-ext_sh_lo*Sens!$J$851</f>
        <v>102.429136785914</v>
      </c>
      <c r="K936" s="38" t="n">
        <f aca="false">Sens!$K$916+Sens!$K$932-ext_sh_lo*Sens!$K$851</f>
        <v>110.623467728787</v>
      </c>
      <c r="L936" s="38" t="n">
        <f aca="false">Sens!$L$916+Sens!$L$932-ext_sh_lo*Sens!$L$851</f>
        <v>119.47334514709</v>
      </c>
      <c r="M936" s="38" t="n">
        <f aca="false">Sens!$M$916+Sens!$M$932-ext_sh_lo*Sens!$M$851</f>
        <v>129.031212758857</v>
      </c>
      <c r="N936" s="38" t="n">
        <f aca="false">Sens!$N$916+Sens!$N$932-ext_sh_lo*Sens!$N$851</f>
        <v>28.5693781401809</v>
      </c>
      <c r="O936" s="38" t="n">
        <f aca="false">Sens!$O$916+Sens!$O$932-ext_sh_lo*Sens!$O$851</f>
        <v>31.7105594031931</v>
      </c>
    </row>
    <row r="937" customFormat="false" ht="17.15" hidden="false" customHeight="false" outlineLevel="0" collapsed="false">
      <c r="A937" s="0" t="s">
        <v>749</v>
      </c>
      <c r="B937" s="0" t="s">
        <v>86</v>
      </c>
      <c r="C937" s="38" t="n">
        <f aca="false">Sens!$C$854</f>
        <v>1.80694998843362</v>
      </c>
      <c r="D937" s="38" t="n">
        <f aca="false">Sens!$D$854</f>
        <v>6.77606245662607</v>
      </c>
      <c r="E937" s="38" t="n">
        <f aca="false">Sens!$E$854</f>
        <v>6.62548329092326</v>
      </c>
      <c r="F937" s="38" t="n">
        <f aca="false">Sens!$F$854</f>
        <v>11.7200577158706</v>
      </c>
      <c r="G937" s="38" t="n">
        <f aca="false">Sens!$G$854</f>
        <v>18.3455410067939</v>
      </c>
      <c r="H937" s="38" t="n">
        <f aca="false">Sens!$H$854</f>
        <v>47.5171727060453</v>
      </c>
      <c r="I937" s="38" t="n">
        <f aca="false">Sens!$I$854</f>
        <v>80.5539692643667</v>
      </c>
      <c r="J937" s="38" t="n">
        <f aca="false">Sens!$J$854</f>
        <v>113.759316834883</v>
      </c>
      <c r="K937" s="38" t="n">
        <f aca="false">Sens!$K$854</f>
        <v>142.084411492169</v>
      </c>
      <c r="L937" s="38" t="n">
        <f aca="false">Sens!$L$854</f>
        <v>160.69964615804</v>
      </c>
      <c r="M937" s="38" t="n">
        <f aca="false">Sens!$M$854</f>
        <v>169.577607141793</v>
      </c>
      <c r="N937" s="38" t="n">
        <f aca="false">Sens!$N$854</f>
        <v>2.37162185981912</v>
      </c>
      <c r="O937" s="38" t="n">
        <f aca="false">Sens!$O$854</f>
        <v>4.40444059680694</v>
      </c>
    </row>
    <row r="938" customFormat="false" ht="17.15" hidden="false" customHeight="false" outlineLevel="0" collapsed="false">
      <c r="A938" s="0" t="s">
        <v>750</v>
      </c>
      <c r="B938" s="0" t="s">
        <v>86</v>
      </c>
      <c r="C938" s="38" t="n">
        <f aca="false">Sens!$C$919+Sens!$C$933</f>
        <v>100.66</v>
      </c>
      <c r="D938" s="38" t="n">
        <f aca="false">Sens!$D$919+Sens!$D$933</f>
        <v>121.835</v>
      </c>
      <c r="E938" s="38" t="n">
        <f aca="false">Sens!$E$919+Sens!$E$933</f>
        <v>78.016</v>
      </c>
      <c r="F938" s="38" t="n">
        <f aca="false">Sens!$F$919+Sens!$F$933</f>
        <v>85.8647514950354</v>
      </c>
      <c r="G938" s="38" t="n">
        <f aca="false">Sens!$G$919+Sens!$G$933</f>
        <v>163.880751495035</v>
      </c>
      <c r="H938" s="38" t="n">
        <f aca="false">Sens!$H$919+Sens!$H$933</f>
        <v>209.089131595941</v>
      </c>
      <c r="I938" s="38" t="n">
        <f aca="false">Sens!$I$919+Sens!$I$933</f>
        <v>258.889087768474</v>
      </c>
      <c r="J938" s="38" t="n">
        <f aca="false">Sens!$J$919+Sens!$J$933</f>
        <v>307.867894242892</v>
      </c>
      <c r="K938" s="38" t="n">
        <f aca="false">Sens!$K$919+Sens!$K$933</f>
        <v>350.722871984259</v>
      </c>
      <c r="L938" s="38" t="n">
        <f aca="false">Sens!$L$919+Sens!$L$933</f>
        <v>385.439163594422</v>
      </c>
      <c r="M938" s="38" t="n">
        <f aca="false">Sens!$M$919+Sens!$M$933</f>
        <v>413.682705222371</v>
      </c>
      <c r="N938" s="38" t="n">
        <f aca="false">Sens!$N$919+Sens!$N$933</f>
        <v>56.398</v>
      </c>
      <c r="O938" s="38" t="n">
        <f aca="false">Sens!$O$919+Sens!$O$933</f>
        <v>65.437</v>
      </c>
    </row>
    <row r="939" customFormat="false" ht="17.15" hidden="false" customHeight="false" outlineLevel="0" collapsed="false">
      <c r="A939" s="1" t="s">
        <v>751</v>
      </c>
    </row>
    <row r="940" customFormat="false" ht="15" hidden="false" customHeight="false" outlineLevel="0" collapsed="false">
      <c r="A940" s="5" t="s">
        <v>544</v>
      </c>
      <c r="B940" s="0" t="s">
        <v>86</v>
      </c>
      <c r="C940" s="38" t="n">
        <f aca="false">Q!$D$34</f>
        <v>2.406</v>
      </c>
      <c r="D940" s="38" t="n">
        <f aca="false">Q!$E$34</f>
        <v>2.274</v>
      </c>
      <c r="E940" s="38" t="n">
        <f aca="false">Q!$P$34</f>
        <v>2.114</v>
      </c>
      <c r="F940" s="38" t="n">
        <f aca="false">Sens!$F$978</f>
        <v>3.24888962733561</v>
      </c>
      <c r="G940" s="38" t="n">
        <f aca="false">Sens!$E$940+Sens!$F$940</f>
        <v>5.36288962733561</v>
      </c>
      <c r="H940" s="38" t="n">
        <f aca="false">Sens!$H$978</f>
        <v>7.42354172302123</v>
      </c>
      <c r="I940" s="38" t="n">
        <f aca="false">Sens!$I$978</f>
        <v>14.6594679955379</v>
      </c>
      <c r="J940" s="38" t="n">
        <f aca="false">Sens!$J$978</f>
        <v>20.4504539003182</v>
      </c>
      <c r="K940" s="38" t="n">
        <f aca="false">Sens!$K$978</f>
        <v>24.115615321509</v>
      </c>
      <c r="L940" s="38" t="n">
        <f aca="false">Sens!$L$978</f>
        <v>24.115615321509</v>
      </c>
      <c r="M940" s="38" t="n">
        <f aca="false">Sens!$M$978</f>
        <v>24.115615321509</v>
      </c>
      <c r="N940" s="38" t="n">
        <f aca="false">Q!$N$34</f>
        <v>1.057</v>
      </c>
      <c r="O940" s="38" t="n">
        <f aca="false">Q!$O$34</f>
        <v>1.217</v>
      </c>
    </row>
    <row r="941" customFormat="false" ht="15" hidden="false" customHeight="false" outlineLevel="0" collapsed="false">
      <c r="A941" s="5" t="s">
        <v>752</v>
      </c>
      <c r="B941" s="0" t="s">
        <v>86</v>
      </c>
      <c r="F941" s="38" t="n">
        <f aca="false">Sens!$F$979</f>
        <v>2.59</v>
      </c>
      <c r="H941" s="38" t="n">
        <f aca="false">Sens!$H$979</f>
        <v>2.46008624421112</v>
      </c>
      <c r="I941" s="38" t="n">
        <f aca="false">Sens!$I$979</f>
        <v>2.10589651022864</v>
      </c>
      <c r="J941" s="38" t="n">
        <f aca="false">Sens!$J$979</f>
        <v>2.10589651022864</v>
      </c>
      <c r="K941" s="38" t="n">
        <f aca="false">Sens!$K$979</f>
        <v>2.10589651022864</v>
      </c>
      <c r="L941" s="38" t="n">
        <f aca="false">Sens!$L$979</f>
        <v>4.3157737232199</v>
      </c>
      <c r="M941" s="38" t="n">
        <f aca="false">Sens!$M$979</f>
        <v>9.21680582815864</v>
      </c>
    </row>
    <row r="942" customFormat="false" ht="17.15" hidden="false" customHeight="false" outlineLevel="0" collapsed="false">
      <c r="A942" s="5" t="s">
        <v>753</v>
      </c>
      <c r="B942" s="0" t="s">
        <v>86</v>
      </c>
      <c r="C942" s="38" t="n">
        <f aca="false">Q!$D$39</f>
        <v>2.427</v>
      </c>
      <c r="D942" s="38" t="n">
        <f aca="false">Q!$E$39</f>
        <v>19.61</v>
      </c>
      <c r="E942" s="38" t="n">
        <f aca="false">Q!$P$39</f>
        <v>71.492</v>
      </c>
      <c r="F942" s="39" t="n">
        <v>0</v>
      </c>
      <c r="G942" s="38" t="n">
        <f aca="false">Sens!$E$942+Sens!$F$942</f>
        <v>71.492</v>
      </c>
      <c r="H942" s="39" t="n">
        <v>0</v>
      </c>
      <c r="I942" s="39" t="n">
        <v>0</v>
      </c>
      <c r="J942" s="39" t="n">
        <v>0</v>
      </c>
      <c r="K942" s="39" t="n">
        <v>0</v>
      </c>
      <c r="L942" s="39" t="n">
        <v>0</v>
      </c>
      <c r="M942" s="39" t="n">
        <v>0</v>
      </c>
      <c r="N942" s="38" t="n">
        <f aca="false">Q!$N$39</f>
        <v>6.017</v>
      </c>
      <c r="O942" s="38" t="n">
        <f aca="false">Q!$O$39</f>
        <v>13.593</v>
      </c>
      <c r="P942" s="5" t="s">
        <v>754</v>
      </c>
    </row>
    <row r="943" customFormat="false" ht="15" hidden="false" customHeight="false" outlineLevel="0" collapsed="false">
      <c r="A943" s="5" t="s">
        <v>547</v>
      </c>
      <c r="B943" s="0" t="s">
        <v>86</v>
      </c>
      <c r="C943" s="38" t="n">
        <f aca="false">Q!$D$36</f>
        <v>68.614</v>
      </c>
      <c r="D943" s="38" t="n">
        <f aca="false">Q!$E$36</f>
        <v>97.311</v>
      </c>
      <c r="E943" s="38" t="n">
        <f aca="false">Q!$P$36</f>
        <v>120.691</v>
      </c>
      <c r="F943" s="38" t="n">
        <f aca="false">Sens!$F$919-Sens!$F$940+Sens!$F$941+Sens!$F$942</f>
        <v>55.90043863096</v>
      </c>
      <c r="G943" s="38" t="n">
        <f aca="false">Sens!$E$943+Sens!$F$943</f>
        <v>176.59143863096</v>
      </c>
      <c r="H943" s="38" t="n">
        <f aca="false">Sens!$H$919-Sens!$H$940+Sens!$H$941+Sens!$H$942</f>
        <v>117.745069915308</v>
      </c>
      <c r="I943" s="38" t="n">
        <f aca="false">Sens!$I$919-Sens!$I$940+Sens!$I$941+Sens!$I$942</f>
        <v>117.779702103065</v>
      </c>
      <c r="J943" s="38" t="n">
        <f aca="false">Sens!$J$919-Sens!$J$940+Sens!$J$941+Sens!$J$942</f>
        <v>117.728430133079</v>
      </c>
      <c r="K943" s="38" t="n">
        <f aca="false">Sens!$K$919-Sens!$K$940+Sens!$K$941+Sens!$K$942</f>
        <v>113.172923778815</v>
      </c>
      <c r="L943" s="38" t="n">
        <f aca="false">Sens!$L$919-Sens!$L$940+Sens!$L$941+Sens!$L$942</f>
        <v>117.71438833056</v>
      </c>
      <c r="M943" s="38" t="n">
        <f aca="false">Sens!$M$919-Sens!$M$940+Sens!$M$941+Sens!$M$942</f>
        <v>127.594369411493</v>
      </c>
      <c r="N943" s="38" t="n">
        <f aca="false">Q!$N$36</f>
        <v>42.536</v>
      </c>
      <c r="O943" s="38" t="n">
        <f aca="false">Q!$O$36</f>
        <v>54.775</v>
      </c>
    </row>
    <row r="944" customFormat="false" ht="15" hidden="false" customHeight="false" outlineLevel="0" collapsed="false">
      <c r="A944" s="5" t="s">
        <v>548</v>
      </c>
      <c r="B944" s="0" t="s">
        <v>86</v>
      </c>
      <c r="C944" s="38" t="n">
        <f aca="false">Q!$D$37</f>
        <v>9.265</v>
      </c>
      <c r="D944" s="38" t="n">
        <f aca="false">Q!$E$37</f>
        <v>19.087</v>
      </c>
      <c r="E944" s="38" t="n">
        <f aca="false">Q!$P$37</f>
        <v>27.759</v>
      </c>
      <c r="F944" s="38" t="n">
        <f aca="false">Sens!$F$943*tax</f>
        <v>9.7034511776629</v>
      </c>
      <c r="G944" s="38" t="n">
        <f aca="false">Sens!$E$944+Sens!$F$944</f>
        <v>37.4624511776629</v>
      </c>
      <c r="H944" s="38" t="n">
        <f aca="false">Sens!$H$943*tax</f>
        <v>20.4387222232084</v>
      </c>
      <c r="I944" s="38" t="n">
        <f aca="false">Sens!$I$943*tax</f>
        <v>20.444733835126</v>
      </c>
      <c r="J944" s="38" t="n">
        <f aca="false">Sens!$J$943*tax</f>
        <v>20.4358338144871</v>
      </c>
      <c r="K944" s="38" t="n">
        <f aca="false">Sens!$K$943*tax</f>
        <v>19.645068400463</v>
      </c>
      <c r="L944" s="38" t="n">
        <f aca="false">Sens!$L$943*tax</f>
        <v>20.4333963748438</v>
      </c>
      <c r="M944" s="38" t="n">
        <f aca="false">Sens!$M$943*tax</f>
        <v>22.1484082138024</v>
      </c>
      <c r="N944" s="38" t="n">
        <f aca="false">Q!$N$37</f>
        <v>7.231</v>
      </c>
      <c r="O944" s="38" t="n">
        <f aca="false">Q!$O$37</f>
        <v>11.856</v>
      </c>
    </row>
    <row r="945" customFormat="false" ht="15" hidden="false" customHeight="false" outlineLevel="0" collapsed="false">
      <c r="A945" s="3" t="s">
        <v>549</v>
      </c>
      <c r="B945" s="8" t="s">
        <v>86</v>
      </c>
      <c r="C945" s="38" t="n">
        <f aca="false">Q!$D$38</f>
        <v>59.248</v>
      </c>
      <c r="D945" s="38" t="n">
        <f aca="false">Q!$E$38</f>
        <v>77.67</v>
      </c>
      <c r="E945" s="38" t="n">
        <f aca="false">Q!$P$38</f>
        <v>92.902</v>
      </c>
      <c r="F945" s="38" t="n">
        <f aca="false">Sens!$F$943-Sens!$F$944</f>
        <v>46.1969874532971</v>
      </c>
      <c r="G945" s="38" t="n">
        <f aca="false">Sens!$E$945+Sens!$F$945</f>
        <v>139.098987453297</v>
      </c>
      <c r="H945" s="38" t="n">
        <f aca="false">Sens!$H$943-Sens!$H$944</f>
        <v>97.3063476920998</v>
      </c>
      <c r="I945" s="38" t="n">
        <f aca="false">Sens!$I$943-Sens!$I$944</f>
        <v>97.3349682679393</v>
      </c>
      <c r="J945" s="38" t="n">
        <f aca="false">Sens!$J$943-Sens!$J$944</f>
        <v>97.2925963185924</v>
      </c>
      <c r="K945" s="38" t="n">
        <f aca="false">Sens!$K$943-Sens!$K$944</f>
        <v>93.5278553783518</v>
      </c>
      <c r="L945" s="38" t="n">
        <f aca="false">Sens!$L$943-Sens!$L$944</f>
        <v>97.2809919557159</v>
      </c>
      <c r="M945" s="38" t="n">
        <f aca="false">Sens!$M$943-Sens!$M$944</f>
        <v>105.445961197691</v>
      </c>
      <c r="N945" s="38" t="n">
        <f aca="false">Q!$N$38</f>
        <v>35.291</v>
      </c>
      <c r="O945" s="38" t="n">
        <f aca="false">Q!$O$38</f>
        <v>42.379</v>
      </c>
    </row>
    <row r="946" customFormat="false" ht="17.15" hidden="false" customHeight="false" outlineLevel="0" collapsed="false">
      <c r="A946" s="5" t="s">
        <v>552</v>
      </c>
      <c r="B946" s="5" t="s">
        <v>33</v>
      </c>
      <c r="C946" s="22" t="n">
        <f aca="false">Q!$D$41</f>
        <v>10.721</v>
      </c>
      <c r="D946" s="22" t="n">
        <f aca="false">Q!$E$41</f>
        <v>10.827</v>
      </c>
      <c r="E946" s="22" t="n">
        <f aca="false">(Q!$L$41+Q!$M$41)/2</f>
        <v>10.8885</v>
      </c>
      <c r="F946" s="22" t="n">
        <f aca="false">Sens!$G$946</f>
        <v>10.924806</v>
      </c>
      <c r="G946" s="22" t="n">
        <f aca="false">Q!$M$41*(1+sh_g*0.25)</f>
        <v>10.924806</v>
      </c>
      <c r="H946" s="22" t="n">
        <f aca="false">Sens!$G$946*(1+sh_g)</f>
        <v>11.012204448</v>
      </c>
      <c r="I946" s="22" t="n">
        <f aca="false">Sens!$H$946*(1+sh_g)</f>
        <v>11.100302083584</v>
      </c>
      <c r="J946" s="22" t="n">
        <f aca="false">Sens!$I$946*(1+sh_g)</f>
        <v>11.1891045002527</v>
      </c>
      <c r="K946" s="22" t="n">
        <f aca="false">Sens!$J$946*(1+sh_g)</f>
        <v>11.2786173362547</v>
      </c>
      <c r="L946" s="22" t="n">
        <f aca="false">Sens!$K$946*(1+sh_g)</f>
        <v>11.3688462749447</v>
      </c>
      <c r="M946" s="22" t="n">
        <f aca="false">Sens!$L$946*(1+sh_g)</f>
        <v>11.4597970451443</v>
      </c>
      <c r="P946" s="5" t="s">
        <v>755</v>
      </c>
    </row>
    <row r="947" customFormat="false" ht="17.15" hidden="false" customHeight="false" outlineLevel="0" collapsed="false">
      <c r="A947" s="5" t="s">
        <v>756</v>
      </c>
      <c r="B947" s="0" t="s">
        <v>86</v>
      </c>
      <c r="C947" s="38" t="n">
        <f aca="false">Sens!$C$945+Sens!$C$921*(1-tax)</f>
        <v>59.248</v>
      </c>
      <c r="D947" s="38" t="n">
        <f aca="false">Sens!$D$945+Sens!$D$921*(1-tax)</f>
        <v>77.67</v>
      </c>
      <c r="E947" s="38" t="n">
        <f aca="false">Sens!$E$945+Sens!$E$921*(1-tax)</f>
        <v>92.902</v>
      </c>
      <c r="F947" s="38" t="n">
        <f aca="false">Sens!$F$945+Sens!$F$921*(1-tax)</f>
        <v>54.5079073456936</v>
      </c>
      <c r="G947" s="38" t="n">
        <f aca="false">Sens!$G$945+Sens!$G$921*(1-tax)</f>
        <v>147.409907345694</v>
      </c>
      <c r="H947" s="38" t="n">
        <f aca="false">Sens!$H$945+Sens!$H$921*(1-tax)</f>
        <v>130.723403573019</v>
      </c>
      <c r="I947" s="38" t="n">
        <f aca="false">Sens!$I$945+Sens!$I$921*(1-tax)</f>
        <v>153.711675134444</v>
      </c>
      <c r="J947" s="38" t="n">
        <f aca="false">Sens!$J$945+Sens!$J$921*(1-tax)</f>
        <v>176.731094836682</v>
      </c>
      <c r="K947" s="38" t="n">
        <f aca="false">Sens!$K$945+Sens!$K$921*(1-tax)</f>
        <v>192.640670569442</v>
      </c>
      <c r="L947" s="38" t="n">
        <f aca="false">Sens!$L$945+Sens!$L$921*(1-tax)</f>
        <v>209.323864863863</v>
      </c>
      <c r="M947" s="38" t="n">
        <f aca="false">Sens!$M$945+Sens!$M$921*(1-tax)</f>
        <v>223.658020373266</v>
      </c>
      <c r="N947" s="38" t="n">
        <f aca="false">Sens!$N$945+Sens!$N$921*(1-tax)</f>
        <v>35.291</v>
      </c>
      <c r="O947" s="38" t="n">
        <f aca="false">Sens!$O$945+Sens!$O$921*(1-tax)</f>
        <v>42.379</v>
      </c>
    </row>
    <row r="948" customFormat="false" ht="17.15" hidden="false" customHeight="false" outlineLevel="0" collapsed="false">
      <c r="A948" s="43" t="s">
        <v>757</v>
      </c>
      <c r="B948" s="14" t="s">
        <v>27</v>
      </c>
      <c r="C948" s="44" t="n">
        <f aca="false">Sens!$C$947/Sens!$C$946</f>
        <v>5.52635015390355</v>
      </c>
      <c r="D948" s="44" t="n">
        <f aca="false">Sens!$D$947/Sens!$D$946</f>
        <v>7.1737323358271</v>
      </c>
      <c r="E948" s="44" t="n">
        <f aca="false">Sens!$E$947/Sens!$E$946</f>
        <v>8.53212104513937</v>
      </c>
      <c r="F948" s="14"/>
      <c r="G948" s="44" t="n">
        <f aca="false">Sens!$G$947/Sens!$G$946</f>
        <v>13.4931373010828</v>
      </c>
      <c r="H948" s="44" t="n">
        <f aca="false">Sens!$H$947/Sens!$H$946</f>
        <v>11.8707752103859</v>
      </c>
      <c r="I948" s="44" t="n">
        <f aca="false">Sens!$I$947/Sens!$I$946</f>
        <v>13.8475218040926</v>
      </c>
      <c r="J948" s="44" t="n">
        <f aca="false">Sens!$J$947/Sens!$J$946</f>
        <v>15.7949275415822</v>
      </c>
      <c r="K948" s="44" t="n">
        <f aca="false">Sens!$K$947/Sens!$K$946</f>
        <v>17.0801672604146</v>
      </c>
      <c r="L948" s="44" t="n">
        <f aca="false">Sens!$L$947/Sens!$L$946</f>
        <v>18.4120586910549</v>
      </c>
      <c r="M948" s="44" t="n">
        <f aca="false">Sens!$M$947/Sens!$M$946</f>
        <v>19.5167523030465</v>
      </c>
      <c r="N948" s="14"/>
      <c r="O948" s="14"/>
    </row>
    <row r="949" customFormat="false" ht="17.15" hidden="false" customHeight="false" outlineLevel="0" collapsed="false">
      <c r="A949" s="0" t="s">
        <v>758</v>
      </c>
      <c r="B949" s="0" t="s">
        <v>27</v>
      </c>
      <c r="C949" s="30" t="n">
        <f aca="false">Sens!$C$945/Sens!$C$946</f>
        <v>5.52635015390355</v>
      </c>
      <c r="D949" s="30" t="n">
        <f aca="false">Sens!$D$945/Sens!$D$946</f>
        <v>7.1737323358271</v>
      </c>
      <c r="E949" s="30" t="n">
        <f aca="false">Sens!$E$945/Sens!$E$946</f>
        <v>8.53212104513937</v>
      </c>
      <c r="G949" s="30" t="n">
        <f aca="false">Sens!$G$945/Sens!$G$946</f>
        <v>12.7323988593754</v>
      </c>
      <c r="H949" s="30" t="n">
        <f aca="false">Sens!$H$945/Sens!$H$946</f>
        <v>8.83622785533847</v>
      </c>
      <c r="I949" s="30" t="n">
        <f aca="false">Sens!$I$945/Sens!$I$946</f>
        <v>8.7686774229222</v>
      </c>
      <c r="J949" s="30" t="n">
        <f aca="false">Sens!$J$945/Sens!$J$946</f>
        <v>8.69529785126194</v>
      </c>
      <c r="K949" s="30" t="n">
        <f aca="false">Sens!$K$945/Sens!$K$946</f>
        <v>8.2924930060097</v>
      </c>
      <c r="L949" s="30" t="n">
        <f aca="false">Sens!$L$945/Sens!$L$946</f>
        <v>8.55680423528189</v>
      </c>
      <c r="M949" s="30" t="n">
        <f aca="false">Sens!$M$945/Sens!$M$946</f>
        <v>9.20138120965853</v>
      </c>
    </row>
    <row r="950" customFormat="false" ht="17.15" hidden="false" customHeight="false" outlineLevel="0" collapsed="false">
      <c r="A950" s="0" t="s">
        <v>759</v>
      </c>
      <c r="B950" s="0" t="s">
        <v>27</v>
      </c>
      <c r="C950" s="30" t="n">
        <f aca="false">(Sens!$C$945-Sens!$C$942*(1-tax))/Sens!$C$946</f>
        <v>5.33926775917445</v>
      </c>
      <c r="D950" s="30" t="n">
        <f aca="false">(Sens!$D$945-Sens!$D$942*(1-tax))/Sens!$D$946</f>
        <v>5.67691812755503</v>
      </c>
      <c r="E950" s="30" t="n">
        <f aca="false">(Sens!$E$945-Sens!$E$942*(1-tax))/Sens!$E$946</f>
        <v>3.10602057006846</v>
      </c>
      <c r="G950" s="30" t="n">
        <f aca="false">(Sens!$G$945-Sens!$G$942*(1-tax))/Sens!$G$946</f>
        <v>7.32433074147838</v>
      </c>
      <c r="H950" s="30" t="n">
        <f aca="false">(Sens!$H$945-Sens!$H$942*(1-tax))/Sens!$H$946</f>
        <v>8.83622785533847</v>
      </c>
      <c r="I950" s="30" t="n">
        <f aca="false">(Sens!$I$945-Sens!$I$942*(1-tax))/Sens!$I$946</f>
        <v>8.7686774229222</v>
      </c>
      <c r="J950" s="30" t="n">
        <f aca="false">(Sens!$J$945-Sens!$J$942*(1-tax))/Sens!$J$946</f>
        <v>8.69529785126194</v>
      </c>
      <c r="K950" s="30" t="n">
        <f aca="false">(Sens!$K$945-Sens!$K$942*(1-tax))/Sens!$K$946</f>
        <v>8.2924930060097</v>
      </c>
      <c r="L950" s="30" t="n">
        <f aca="false">(Sens!$L$945-Sens!$L$942*(1-tax))/Sens!$L$946</f>
        <v>8.55680423528189</v>
      </c>
      <c r="M950" s="30" t="n">
        <f aca="false">(Sens!$M$945-Sens!$M$942*(1-tax))/Sens!$M$946</f>
        <v>9.20138120965853</v>
      </c>
      <c r="P950" s="5" t="s">
        <v>760</v>
      </c>
    </row>
    <row r="951" customFormat="false" ht="17.15" hidden="false" customHeight="false" outlineLevel="0" collapsed="false">
      <c r="A951" s="0" t="s">
        <v>761</v>
      </c>
      <c r="B951" s="0" t="s">
        <v>52</v>
      </c>
      <c r="H951" s="13" t="n">
        <f aca="false">Sens!$H$948/Sens!$G$948-1</f>
        <v>-0.120236091466051</v>
      </c>
      <c r="I951" s="13" t="n">
        <f aca="false">Sens!$I$948/Sens!$H$948-1</f>
        <v>0.166522114914387</v>
      </c>
      <c r="J951" s="13" t="n">
        <f aca="false">Sens!$J$948/Sens!$I$948-1</f>
        <v>0.14063207590791</v>
      </c>
      <c r="K951" s="13" t="n">
        <f aca="false">Sens!$K$948/Sens!$J$948-1</f>
        <v>0.081370409294306</v>
      </c>
      <c r="L951" s="13" t="n">
        <f aca="false">Sens!$L$948/Sens!$K$948-1</f>
        <v>0.0779788283295742</v>
      </c>
      <c r="M951" s="13" t="n">
        <f aca="false">Sens!$M$948/Sens!$L$948-1</f>
        <v>0.0599983755498412</v>
      </c>
    </row>
    <row r="954" customFormat="false" ht="19.4" hidden="false" customHeight="false" outlineLevel="0" collapsed="false">
      <c r="A954" s="31" t="s">
        <v>1153</v>
      </c>
    </row>
    <row r="955" customFormat="false" ht="17.15" hidden="false" customHeight="false" outlineLevel="0" collapsed="false">
      <c r="A955" s="6" t="s">
        <v>16</v>
      </c>
      <c r="B955" s="6" t="s">
        <v>17</v>
      </c>
      <c r="C955" s="20" t="s">
        <v>497</v>
      </c>
      <c r="D955" s="20" t="s">
        <v>498</v>
      </c>
      <c r="E955" s="20" t="s">
        <v>580</v>
      </c>
      <c r="F955" s="20" t="s">
        <v>581</v>
      </c>
      <c r="G955" s="20" t="s">
        <v>582</v>
      </c>
      <c r="H955" s="20" t="s">
        <v>583</v>
      </c>
      <c r="I955" s="20" t="s">
        <v>584</v>
      </c>
      <c r="J955" s="20" t="s">
        <v>585</v>
      </c>
      <c r="K955" s="20" t="s">
        <v>586</v>
      </c>
      <c r="L955" s="20" t="s">
        <v>587</v>
      </c>
      <c r="M955" s="20" t="s">
        <v>588</v>
      </c>
      <c r="N955" s="20" t="s">
        <v>589</v>
      </c>
      <c r="O955" s="20" t="s">
        <v>590</v>
      </c>
      <c r="P955" s="6" t="s">
        <v>23</v>
      </c>
      <c r="R955" s="20" t="n">
        <v>2023</v>
      </c>
      <c r="S955" s="20" t="n">
        <v>2024</v>
      </c>
      <c r="T955" s="20" t="n">
        <v>2025</v>
      </c>
      <c r="U955" s="20" t="n">
        <v>2026</v>
      </c>
      <c r="V955" s="20" t="n">
        <v>2027</v>
      </c>
      <c r="W955" s="20" t="n">
        <v>2028</v>
      </c>
      <c r="X955" s="20" t="n">
        <v>2029</v>
      </c>
      <c r="Y955" s="20" t="n">
        <v>2030</v>
      </c>
      <c r="Z955" s="20" t="n">
        <v>2031</v>
      </c>
      <c r="AA955" s="20" t="n">
        <v>2032</v>
      </c>
    </row>
    <row r="956" customFormat="false" ht="15" hidden="false" customHeight="false" outlineLevel="0" collapsed="false">
      <c r="A956" s="5" t="s">
        <v>549</v>
      </c>
      <c r="B956" s="0" t="s">
        <v>86</v>
      </c>
      <c r="C956" s="38" t="n">
        <f aca="false">Sens!$C$945</f>
        <v>59.248</v>
      </c>
      <c r="D956" s="38" t="n">
        <f aca="false">Sens!$D$945</f>
        <v>77.67</v>
      </c>
      <c r="E956" s="38" t="n">
        <f aca="false">Sens!$E$945</f>
        <v>92.902</v>
      </c>
      <c r="F956" s="38" t="n">
        <f aca="false">Sens!$F$945</f>
        <v>46.1969874532971</v>
      </c>
      <c r="G956" s="38" t="n">
        <f aca="false">Sens!$G$945</f>
        <v>139.098987453297</v>
      </c>
      <c r="H956" s="38" t="n">
        <f aca="false">Sens!$H$945</f>
        <v>97.3063476920998</v>
      </c>
      <c r="I956" s="38" t="n">
        <f aca="false">Sens!$I$945</f>
        <v>97.3349682679393</v>
      </c>
      <c r="J956" s="38" t="n">
        <f aca="false">Sens!$J$945</f>
        <v>97.2925963185924</v>
      </c>
      <c r="K956" s="38" t="n">
        <f aca="false">Sens!$K$945</f>
        <v>93.5278553783518</v>
      </c>
      <c r="L956" s="38" t="n">
        <f aca="false">Sens!$L$945</f>
        <v>97.2809919557159</v>
      </c>
      <c r="M956" s="38" t="n">
        <f aca="false">Sens!$M$945</f>
        <v>105.445961197691</v>
      </c>
    </row>
    <row r="957" customFormat="false" ht="17.15" hidden="false" customHeight="false" outlineLevel="0" collapsed="false">
      <c r="A957" s="5" t="s">
        <v>784</v>
      </c>
      <c r="B957" s="0" t="s">
        <v>86</v>
      </c>
      <c r="C957" s="38" t="n">
        <f aca="false">Sens!$C$933</f>
        <v>32.067</v>
      </c>
      <c r="D957" s="38" t="n">
        <f aca="false">Sens!$D$933</f>
        <v>41.86</v>
      </c>
      <c r="E957" s="38" t="n">
        <f aca="false">Sens!$E$933</f>
        <v>26.703</v>
      </c>
      <c r="F957" s="38" t="n">
        <f aca="false">Sens!$F$933</f>
        <v>29.3054232367397</v>
      </c>
      <c r="G957" s="38" t="n">
        <f aca="false">Sens!$G$933</f>
        <v>56.0084232367397</v>
      </c>
      <c r="H957" s="38" t="n">
        <f aca="false">Sens!$H$933</f>
        <v>86.3806062018225</v>
      </c>
      <c r="I957" s="38" t="n">
        <f aca="false">Sens!$I$933</f>
        <v>128.555814180099</v>
      </c>
      <c r="J957" s="38" t="n">
        <f aca="false">Sens!$J$933</f>
        <v>171.794906719723</v>
      </c>
      <c r="K957" s="38" t="n">
        <f aca="false">Sens!$K$933</f>
        <v>215.540229394164</v>
      </c>
      <c r="L957" s="38" t="n">
        <f aca="false">Sens!$L$933</f>
        <v>247.924933665573</v>
      </c>
      <c r="M957" s="38" t="n">
        <f aca="false">Sens!$M$933</f>
        <v>271.189526317527</v>
      </c>
    </row>
    <row r="958" customFormat="false" ht="15" hidden="false" customHeight="false" outlineLevel="0" collapsed="false">
      <c r="A958" s="5" t="s">
        <v>785</v>
      </c>
      <c r="B958" s="0" t="s">
        <v>86</v>
      </c>
      <c r="C958" s="38" t="n">
        <f aca="false">Q!$D$48</f>
        <v>22.011</v>
      </c>
      <c r="D958" s="38" t="n">
        <f aca="false">Q!$E$48</f>
        <v>19.467</v>
      </c>
      <c r="E958" s="38" t="n">
        <f aca="false">Q!$P$48</f>
        <v>10.07</v>
      </c>
      <c r="F958" s="38" t="n">
        <f aca="false">sbc_r*Sens!$F$875</f>
        <v>10.8507035798037</v>
      </c>
      <c r="G958" s="38" t="n">
        <f aca="false">Sens!$E$958+Sens!$F$958</f>
        <v>20.9207035798037</v>
      </c>
      <c r="H958" s="38" t="n">
        <f aca="false">sbc_r*Sens!$H$875</f>
        <v>23.46224366345</v>
      </c>
      <c r="I958" s="38" t="n">
        <f aca="false">sbc_r*Sens!$I$875</f>
        <v>26.6125957111676</v>
      </c>
      <c r="J958" s="38" t="n">
        <f aca="false">sbc_r*Sens!$J$875</f>
        <v>29.6280801413323</v>
      </c>
      <c r="K958" s="38" t="n">
        <f aca="false">sbc_r*Sens!$K$875</f>
        <v>32.2712258901105</v>
      </c>
      <c r="L958" s="38" t="n">
        <f aca="false">sbc_r*Sens!$L$875</f>
        <v>34.7390505016737</v>
      </c>
      <c r="M958" s="38" t="n">
        <f aca="false">sbc_r*Sens!$M$875</f>
        <v>37.0405146906692</v>
      </c>
    </row>
    <row r="959" customFormat="false" ht="17.15" hidden="false" customHeight="false" outlineLevel="0" collapsed="false">
      <c r="A959" s="5" t="s">
        <v>786</v>
      </c>
      <c r="B959" s="0" t="s">
        <v>86</v>
      </c>
      <c r="C959" s="38" t="n">
        <f aca="false">Q!$D$44-Sens!$C$956-Sens!$C$957-Sens!$C$958</f>
        <v>2.551</v>
      </c>
      <c r="D959" s="38" t="n">
        <f aca="false">Q!$E$44-Sens!$D$956-Sens!$D$957-Sens!$D$958</f>
        <v>0.51700000000001</v>
      </c>
      <c r="E959" s="38" t="n">
        <f aca="false">Q!$P$44-Sens!$E$956-Sens!$E$957-Sens!$E$958</f>
        <v>-58.256</v>
      </c>
      <c r="F959" s="38" t="n">
        <f aca="false">oth_r*Sens!$F$875</f>
        <v>5.22265251035878</v>
      </c>
      <c r="G959" s="38" t="n">
        <f aca="false">Sens!$E$959+Sens!$F$959</f>
        <v>-53.0333474896412</v>
      </c>
      <c r="H959" s="38" t="n">
        <f aca="false">oth_r*Sens!$H$875</f>
        <v>11.2928295263397</v>
      </c>
      <c r="I959" s="38" t="n">
        <f aca="false">oth_r*Sens!$I$875</f>
        <v>12.8091546115766</v>
      </c>
      <c r="J959" s="38" t="n">
        <f aca="false">oth_r*Sens!$J$875</f>
        <v>14.2605653162668</v>
      </c>
      <c r="K959" s="38" t="n">
        <f aca="false">oth_r*Sens!$K$875</f>
        <v>15.5327622460396</v>
      </c>
      <c r="L959" s="38" t="n">
        <f aca="false">oth_r*Sens!$L$875</f>
        <v>16.720573737517</v>
      </c>
      <c r="M959" s="38" t="n">
        <f aca="false">oth_r*Sens!$M$875</f>
        <v>17.8283127551536</v>
      </c>
      <c r="P959" s="8" t="s">
        <v>787</v>
      </c>
    </row>
    <row r="960" customFormat="false" ht="15" hidden="false" customHeight="false" outlineLevel="0" collapsed="false">
      <c r="A960" s="3" t="s">
        <v>555</v>
      </c>
      <c r="B960" s="8" t="s">
        <v>86</v>
      </c>
      <c r="C960" s="38" t="n">
        <f aca="false">Q!$D$44</f>
        <v>115.877</v>
      </c>
      <c r="D960" s="38" t="n">
        <f aca="false">Q!$E$44</f>
        <v>139.514</v>
      </c>
      <c r="E960" s="38" t="n">
        <f aca="false">Q!$P$44</f>
        <v>71.419</v>
      </c>
      <c r="F960" s="38" t="n">
        <f aca="false">Sens!$F$956+Sens!$F$957+Sens!$F$958+Sens!$F$959</f>
        <v>91.5757667801993</v>
      </c>
      <c r="G960" s="38" t="n">
        <f aca="false">Sens!$E$960+Sens!$F$960</f>
        <v>162.994766780199</v>
      </c>
      <c r="H960" s="38" t="n">
        <f aca="false">Sens!$H$956+Sens!$H$957+Sens!$H$958+Sens!$H$959</f>
        <v>218.442027083712</v>
      </c>
      <c r="I960" s="38" t="n">
        <f aca="false">Sens!$I$956+Sens!$I$957+Sens!$I$958+Sens!$I$959</f>
        <v>265.312532770783</v>
      </c>
      <c r="J960" s="38" t="n">
        <f aca="false">Sens!$J$956+Sens!$J$957+Sens!$J$958+Sens!$J$959</f>
        <v>312.976148495914</v>
      </c>
      <c r="K960" s="38" t="n">
        <f aca="false">Sens!$K$956+Sens!$K$957+Sens!$K$958+Sens!$K$959</f>
        <v>356.872072908666</v>
      </c>
      <c r="L960" s="38" t="n">
        <f aca="false">Sens!$L$956+Sens!$L$957+Sens!$L$958+Sens!$L$959</f>
        <v>396.66554986048</v>
      </c>
      <c r="M960" s="38" t="n">
        <f aca="false">Sens!$M$956+Sens!$M$957+Sens!$M$958+Sens!$M$959</f>
        <v>431.504314961041</v>
      </c>
    </row>
    <row r="961" customFormat="false" ht="17.15" hidden="false" customHeight="false" outlineLevel="0" collapsed="false">
      <c r="A961" s="5" t="s">
        <v>788</v>
      </c>
      <c r="B961" s="0" t="s">
        <v>86</v>
      </c>
      <c r="C961" s="38" t="n">
        <f aca="false">Sens!$C$842</f>
        <v>25.2781053077374</v>
      </c>
      <c r="D961" s="38" t="n">
        <f aca="false">Sens!$D$842</f>
        <v>69.5686316310026</v>
      </c>
      <c r="E961" s="38" t="n">
        <f aca="false">Sens!$E$842</f>
        <v>64.1899206485108</v>
      </c>
      <c r="F961" s="38" t="n">
        <f aca="false">Sens!$F$842</f>
        <v>128.330839986</v>
      </c>
      <c r="G961" s="38" t="n">
        <f aca="false">Sens!$G$842</f>
        <v>192.520760634511</v>
      </c>
      <c r="H961" s="38" t="n">
        <f aca="false">Sens!$H$842</f>
        <v>264.761819926333</v>
      </c>
      <c r="I961" s="38" t="n">
        <f aca="false">Sens!$I$842</f>
        <v>272.861959880667</v>
      </c>
      <c r="J961" s="38" t="n">
        <f aca="false">Sens!$J$842</f>
        <v>279.844317480667</v>
      </c>
      <c r="K961" s="38" t="n">
        <f aca="false">Sens!$K$842</f>
        <v>206.984513700268</v>
      </c>
      <c r="L961" s="38" t="n">
        <f aca="false">Sens!$L$842</f>
        <v>176.018855519869</v>
      </c>
      <c r="M961" s="38" t="n">
        <f aca="false">Sens!$M$842</f>
        <v>176.30797554647</v>
      </c>
    </row>
    <row r="962" customFormat="false" ht="17.15" hidden="false" customHeight="false" outlineLevel="0" collapsed="false">
      <c r="A962" s="5" t="s">
        <v>789</v>
      </c>
      <c r="B962" s="0" t="s">
        <v>86</v>
      </c>
      <c r="C962" s="38" t="n">
        <f aca="false">cx_awso*Sens!$C$873</f>
        <v>21.0469989286053</v>
      </c>
      <c r="D962" s="38" t="n">
        <f aca="false">cx_awso*Sens!$D$873</f>
        <v>24.0042459822698</v>
      </c>
      <c r="E962" s="38" t="n">
        <f aca="false">cx_awso*Sens!$E$873</f>
        <v>14.261729404886</v>
      </c>
      <c r="F962" s="38" t="n">
        <f aca="false">cx_awso*Sens!$F$873</f>
        <v>14.3538599588493</v>
      </c>
      <c r="G962" s="38" t="n">
        <f aca="false">Sens!$E$962+Sens!$F$962</f>
        <v>28.6155893637353</v>
      </c>
      <c r="H962" s="38" t="n">
        <f aca="false">cx_awso*Sens!$H$873</f>
        <v>32.2034154158406</v>
      </c>
      <c r="I962" s="38" t="n">
        <f aca="false">cx_awso*Sens!$I$873</f>
        <v>35.7539519042915</v>
      </c>
      <c r="J962" s="38" t="n">
        <f aca="false">cx_awso*Sens!$J$873</f>
        <v>39.1551076091815</v>
      </c>
      <c r="K962" s="38" t="n">
        <f aca="false">cx_awso*Sens!$K$873</f>
        <v>42.287516217916</v>
      </c>
      <c r="L962" s="38" t="n">
        <f aca="false">cx_awso*Sens!$L$873</f>
        <v>45.6705175153492</v>
      </c>
      <c r="M962" s="38" t="n">
        <f aca="false">cx_awso*Sens!$M$873</f>
        <v>49.3241589165772</v>
      </c>
    </row>
    <row r="963" customFormat="false" ht="17.15" hidden="false" customHeight="false" outlineLevel="0" collapsed="false">
      <c r="A963" s="5" t="s">
        <v>790</v>
      </c>
      <c r="B963" s="0" t="s">
        <v>86</v>
      </c>
      <c r="C963" s="38" t="n">
        <f aca="false">Q!$D$46-Sens!$C$961-Sens!$C$962</f>
        <v>31.3328957636573</v>
      </c>
      <c r="D963" s="38" t="n">
        <f aca="false">Q!$E$46-Sens!$D$961-Sens!$D$962</f>
        <v>34.7471223867276</v>
      </c>
      <c r="E963" s="38" t="n">
        <f aca="false">Q!$P$46-Sens!$E$961-Sens!$E$962</f>
        <v>17.8583499466032</v>
      </c>
      <c r="F963" s="38" t="n">
        <f aca="false">cx_rt*Sens!$F$805</f>
        <v>20.6195895799373</v>
      </c>
      <c r="G963" s="38" t="n">
        <f aca="false">Sens!$E$963+Sens!$F$963</f>
        <v>38.4779395265405</v>
      </c>
      <c r="H963" s="38" t="n">
        <f aca="false">cx_rt*Sens!$H$805</f>
        <v>42.5978994743075</v>
      </c>
      <c r="I963" s="38" t="n">
        <f aca="false">cx_rt*Sens!$I$805</f>
        <v>46.5813904136335</v>
      </c>
      <c r="J963" s="38" t="n">
        <f aca="false">cx_rt*Sens!$J$805</f>
        <v>50.2781676586844</v>
      </c>
      <c r="K963" s="38" t="n">
        <f aca="false">cx_rt*Sens!$K$805</f>
        <v>53.5312440191755</v>
      </c>
      <c r="L963" s="38" t="n">
        <f aca="false">cx_rt*Sens!$L$805</f>
        <v>57.0116717051447</v>
      </c>
      <c r="M963" s="38" t="n">
        <f aca="false">cx_rt*Sens!$M$805</f>
        <v>60.7365554669226</v>
      </c>
    </row>
    <row r="964" customFormat="false" ht="15" hidden="false" customHeight="false" outlineLevel="0" collapsed="false">
      <c r="A964" s="3" t="s">
        <v>791</v>
      </c>
      <c r="B964" s="8" t="s">
        <v>86</v>
      </c>
      <c r="C964" s="38" t="n">
        <f aca="false">Q!$D$46</f>
        <v>77.658</v>
      </c>
      <c r="D964" s="38" t="n">
        <f aca="false">Q!$E$46</f>
        <v>128.32</v>
      </c>
      <c r="E964" s="38" t="n">
        <f aca="false">Q!$P$46</f>
        <v>96.31</v>
      </c>
      <c r="F964" s="38" t="n">
        <f aca="false">Sens!$F$961+Sens!$F$962+Sens!$F$963</f>
        <v>163.304289524787</v>
      </c>
      <c r="G964" s="38" t="n">
        <f aca="false">Sens!$E$964+Sens!$F$964</f>
        <v>259.614289524787</v>
      </c>
      <c r="H964" s="38" t="n">
        <f aca="false">Sens!$H$961+Sens!$H$962+Sens!$H$963</f>
        <v>339.563134816481</v>
      </c>
      <c r="I964" s="38" t="n">
        <f aca="false">Sens!$I$961+Sens!$I$962+Sens!$I$963</f>
        <v>355.197302198592</v>
      </c>
      <c r="J964" s="38" t="n">
        <f aca="false">Sens!$J$961+Sens!$J$962+Sens!$J$963</f>
        <v>369.277592748533</v>
      </c>
      <c r="K964" s="38" t="n">
        <f aca="false">Sens!$K$961+Sens!$K$962+Sens!$K$963</f>
        <v>302.803273937359</v>
      </c>
      <c r="L964" s="38" t="n">
        <f aca="false">Sens!$L$961+Sens!$L$962+Sens!$L$963</f>
        <v>278.701044740363</v>
      </c>
      <c r="M964" s="38" t="n">
        <f aca="false">Sens!$M$961+Sens!$M$962+Sens!$M$963</f>
        <v>286.36868992997</v>
      </c>
    </row>
    <row r="965" customFormat="false" ht="17.15" hidden="false" customHeight="false" outlineLevel="0" collapsed="false">
      <c r="A965" s="5" t="s">
        <v>563</v>
      </c>
      <c r="B965" s="0" t="s">
        <v>86</v>
      </c>
      <c r="C965" s="38" t="n">
        <f aca="false">Q!$D$50</f>
        <v>2.043</v>
      </c>
      <c r="D965" s="38" t="n">
        <f aca="false">Q!$E$50</f>
        <v>1.557</v>
      </c>
      <c r="E965" s="38" t="n">
        <f aca="false">lease_pr/2</f>
        <v>0.8</v>
      </c>
      <c r="F965" s="38" t="n">
        <f aca="false">lease_pr/2</f>
        <v>0.8</v>
      </c>
      <c r="G965" s="38" t="n">
        <f aca="false">Sens!$E$965+Sens!$F$965</f>
        <v>1.6</v>
      </c>
      <c r="H965" s="38" t="n">
        <f aca="false">lease_pr</f>
        <v>1.6</v>
      </c>
      <c r="I965" s="38" t="n">
        <f aca="false">lease_pr</f>
        <v>1.6</v>
      </c>
      <c r="J965" s="38" t="n">
        <f aca="false">lease_pr</f>
        <v>1.6</v>
      </c>
      <c r="K965" s="38" t="n">
        <f aca="false">lease_pr</f>
        <v>1.6</v>
      </c>
      <c r="L965" s="38" t="n">
        <f aca="false">lease_pr</f>
        <v>1.6</v>
      </c>
      <c r="M965" s="38" t="n">
        <f aca="false">lease_pr</f>
        <v>1.6</v>
      </c>
      <c r="P965" s="8" t="s">
        <v>792</v>
      </c>
    </row>
    <row r="966" customFormat="false" ht="15" hidden="false" customHeight="false" outlineLevel="0" collapsed="false">
      <c r="A966" s="47" t="s">
        <v>793</v>
      </c>
      <c r="B966" s="14" t="s">
        <v>86</v>
      </c>
      <c r="C966" s="48" t="n">
        <f aca="false">Sens!$C$960-Sens!$C$964-Sens!$C$965</f>
        <v>36.176</v>
      </c>
      <c r="D966" s="48" t="n">
        <f aca="false">Sens!$D$960-Sens!$D$964-Sens!$D$965</f>
        <v>9.63700000000002</v>
      </c>
      <c r="E966" s="48" t="n">
        <f aca="false">Sens!$E$960-Sens!$E$964-Sens!$E$965</f>
        <v>-25.691</v>
      </c>
      <c r="F966" s="48" t="n">
        <f aca="false">Sens!$F$960-Sens!$F$964-Sens!$F$965</f>
        <v>-72.5285227445873</v>
      </c>
      <c r="G966" s="48" t="n">
        <f aca="false">Sens!$G$960-Sens!$G$964-Sens!$G$965</f>
        <v>-98.2195227445873</v>
      </c>
      <c r="H966" s="48" t="n">
        <f aca="false">Sens!$H$960-Sens!$H$964-Sens!$H$965</f>
        <v>-122.721107732769</v>
      </c>
      <c r="I966" s="48" t="n">
        <f aca="false">Sens!$I$960-Sens!$I$964-Sens!$I$965</f>
        <v>-91.4847694278091</v>
      </c>
      <c r="J966" s="48" t="n">
        <f aca="false">Sens!$J$960-Sens!$J$964-Sens!$J$965</f>
        <v>-57.9014442526181</v>
      </c>
      <c r="K966" s="48" t="n">
        <f aca="false">Sens!$K$960-Sens!$K$964-Sens!$K$965</f>
        <v>52.4687989713067</v>
      </c>
      <c r="L966" s="48" t="n">
        <f aca="false">Sens!$L$960-Sens!$L$964-Sens!$L$965</f>
        <v>116.364505120117</v>
      </c>
      <c r="M966" s="48" t="n">
        <f aca="false">Sens!$M$960-Sens!$M$964-Sens!$M$965</f>
        <v>143.535625031072</v>
      </c>
      <c r="N966" s="14"/>
      <c r="O966" s="14"/>
    </row>
    <row r="967" customFormat="false" ht="17.15" hidden="false" customHeight="false" outlineLevel="0" collapsed="false">
      <c r="A967" s="5" t="s">
        <v>794</v>
      </c>
      <c r="B967" s="0" t="s">
        <v>86</v>
      </c>
      <c r="C967" s="38" t="n">
        <f aca="false">dps*Sens!$C$946</f>
        <v>0</v>
      </c>
      <c r="D967" s="38" t="n">
        <f aca="false">dps*Sens!$D$946</f>
        <v>0</v>
      </c>
      <c r="E967" s="38" t="n">
        <f aca="false">dps*Sens!$E$946</f>
        <v>0</v>
      </c>
      <c r="F967" s="38" t="n">
        <f aca="false">0</f>
        <v>0</v>
      </c>
      <c r="G967" s="38" t="n">
        <f aca="false">dps*Sens!$G$946</f>
        <v>0</v>
      </c>
      <c r="H967" s="38" t="n">
        <f aca="false">dps*Sens!$H$946</f>
        <v>0</v>
      </c>
      <c r="I967" s="38" t="n">
        <f aca="false">dps*Sens!$I$946</f>
        <v>0</v>
      </c>
      <c r="J967" s="38" t="n">
        <f aca="false">dps*Sens!$J$946</f>
        <v>0</v>
      </c>
      <c r="K967" s="38" t="n">
        <f aca="false">dps*Sens!$K$946</f>
        <v>0</v>
      </c>
      <c r="L967" s="38" t="n">
        <f aca="false">dps*Sens!$L$946</f>
        <v>0</v>
      </c>
      <c r="M967" s="38" t="n">
        <f aca="false">dps*Sens!$M$946</f>
        <v>0</v>
      </c>
      <c r="P967" s="8" t="s">
        <v>795</v>
      </c>
    </row>
    <row r="968" customFormat="false" ht="17.15" hidden="false" customHeight="false" outlineLevel="0" collapsed="false">
      <c r="A968" s="5" t="s">
        <v>796</v>
      </c>
      <c r="B968" s="0" t="s">
        <v>86</v>
      </c>
      <c r="C968" s="38" t="n">
        <f aca="false">0</f>
        <v>0</v>
      </c>
      <c r="D968" s="38" t="n">
        <f aca="false">0</f>
        <v>0</v>
      </c>
      <c r="E968" s="38" t="n">
        <f aca="false">0</f>
        <v>0</v>
      </c>
      <c r="F968" s="38" t="n">
        <f aca="false">0</f>
        <v>0</v>
      </c>
      <c r="G968" s="38" t="n">
        <f aca="false">0</f>
        <v>0</v>
      </c>
      <c r="H968" s="38" t="n">
        <f aca="false">0</f>
        <v>0</v>
      </c>
      <c r="I968" s="38" t="n">
        <f aca="false">0</f>
        <v>0</v>
      </c>
      <c r="J968" s="38" t="n">
        <f aca="false">0</f>
        <v>0</v>
      </c>
      <c r="K968" s="38" t="n">
        <f aca="false">0</f>
        <v>0</v>
      </c>
      <c r="L968" s="38" t="n">
        <f aca="false">0</f>
        <v>0</v>
      </c>
      <c r="M968" s="38" t="n">
        <f aca="false">0</f>
        <v>0</v>
      </c>
      <c r="P968" s="8" t="s">
        <v>797</v>
      </c>
    </row>
    <row r="969" customFormat="false" ht="15" hidden="false" customHeight="false" outlineLevel="0" collapsed="false">
      <c r="A969" s="3" t="s">
        <v>798</v>
      </c>
      <c r="B969" s="8" t="s">
        <v>86</v>
      </c>
      <c r="C969" s="38" t="n">
        <f aca="false">Sens!$C$966-Sens!$C$967</f>
        <v>36.176</v>
      </c>
      <c r="D969" s="38" t="n">
        <f aca="false">Sens!$D$966-Sens!$D$967</f>
        <v>9.63700000000002</v>
      </c>
      <c r="E969" s="38" t="n">
        <f aca="false">Sens!$E$966-Sens!$E$967</f>
        <v>-25.691</v>
      </c>
      <c r="F969" s="38" t="n">
        <f aca="false">Sens!$F$966-Sens!$F$967</f>
        <v>-72.5285227445873</v>
      </c>
      <c r="G969" s="38" t="n">
        <f aca="false">Sens!$G$966-Sens!$G$967</f>
        <v>-98.2195227445873</v>
      </c>
      <c r="H969" s="38" t="n">
        <f aca="false">Sens!$H$966-Sens!$H$967</f>
        <v>-122.721107732769</v>
      </c>
      <c r="I969" s="38" t="n">
        <f aca="false">Sens!$I$966-Sens!$I$967</f>
        <v>-91.4847694278091</v>
      </c>
      <c r="J969" s="38" t="n">
        <f aca="false">Sens!$J$966-Sens!$J$967</f>
        <v>-57.9014442526181</v>
      </c>
      <c r="K969" s="38" t="n">
        <f aca="false">Sens!$K$966-Sens!$K$967</f>
        <v>52.4687989713067</v>
      </c>
      <c r="L969" s="38" t="n">
        <f aca="false">Sens!$L$966-Sens!$L$967</f>
        <v>116.364505120117</v>
      </c>
      <c r="M969" s="38" t="n">
        <f aca="false">Sens!$M$966-Sens!$M$967</f>
        <v>143.535625031072</v>
      </c>
    </row>
    <row r="970" customFormat="false" ht="17.15" hidden="false" customHeight="false" outlineLevel="0" collapsed="false">
      <c r="A970" s="5" t="s">
        <v>799</v>
      </c>
      <c r="B970" s="0" t="s">
        <v>86</v>
      </c>
      <c r="E970" s="38" t="n">
        <f aca="false">Q!$P$53</f>
        <v>39.767</v>
      </c>
      <c r="F970" s="38" t="n">
        <f aca="false">inv_2h26</f>
        <v>21.3</v>
      </c>
      <c r="G970" s="38" t="n">
        <f aca="false">Sens!$E$970+Sens!$F$970</f>
        <v>61.067</v>
      </c>
      <c r="H970" s="39" t="n">
        <v>0</v>
      </c>
      <c r="I970" s="39" t="n">
        <v>0</v>
      </c>
      <c r="J970" s="39" t="n">
        <v>0</v>
      </c>
      <c r="K970" s="39" t="n">
        <v>0</v>
      </c>
      <c r="L970" s="39" t="n">
        <v>0</v>
      </c>
      <c r="M970" s="39" t="n">
        <v>0</v>
      </c>
    </row>
    <row r="971" customFormat="false" ht="17.15" hidden="false" customHeight="false" outlineLevel="0" collapsed="false">
      <c r="A971" s="5" t="s">
        <v>800</v>
      </c>
      <c r="B971" s="0" t="s">
        <v>86</v>
      </c>
      <c r="F971" s="38" t="n">
        <f aca="false">iss_2h26</f>
        <v>29.249999</v>
      </c>
      <c r="G971" s="38" t="n">
        <f aca="false">Sens!$F$971</f>
        <v>29.249999</v>
      </c>
      <c r="H971" s="39" t="n">
        <v>0</v>
      </c>
      <c r="I971" s="39" t="n">
        <v>0</v>
      </c>
      <c r="J971" s="39" t="n">
        <v>0</v>
      </c>
      <c r="K971" s="39" t="n">
        <v>0</v>
      </c>
      <c r="L971" s="39" t="n">
        <v>0</v>
      </c>
      <c r="M971" s="39" t="n">
        <v>0</v>
      </c>
    </row>
    <row r="972" customFormat="false" ht="17.15" hidden="false" customHeight="false" outlineLevel="0" collapsed="false">
      <c r="A972" s="5" t="s">
        <v>801</v>
      </c>
      <c r="B972" s="0" t="s">
        <v>86</v>
      </c>
      <c r="F972" s="38" t="n">
        <f aca="false">cash_q2</f>
        <v>122.988</v>
      </c>
      <c r="G972" s="38" t="n">
        <f aca="false">cash_q2</f>
        <v>122.988</v>
      </c>
      <c r="H972" s="38" t="n">
        <f aca="false">Sens!$G$975</f>
        <v>58.4094762554127</v>
      </c>
      <c r="I972" s="38" t="n">
        <f aca="false">Sens!$H$975</f>
        <v>50</v>
      </c>
      <c r="J972" s="38" t="n">
        <f aca="false">Sens!$I$975</f>
        <v>50</v>
      </c>
      <c r="K972" s="38" t="n">
        <f aca="false">Sens!$J$975</f>
        <v>50</v>
      </c>
      <c r="L972" s="38" t="n">
        <f aca="false">Sens!$K$975</f>
        <v>102.468798971307</v>
      </c>
      <c r="M972" s="38" t="n">
        <f aca="false">Sens!$L$975</f>
        <v>218.833304091424</v>
      </c>
    </row>
    <row r="973" customFormat="false" ht="15" hidden="false" customHeight="false" outlineLevel="0" collapsed="false">
      <c r="A973" s="5" t="s">
        <v>802</v>
      </c>
      <c r="B973" s="0" t="s">
        <v>86</v>
      </c>
      <c r="F973" s="38" t="n">
        <f aca="false">Sens!$F$972+Sens!$F$969-Sens!$F$968-Sens!$F$970+Sens!$F$971</f>
        <v>58.4094762554127</v>
      </c>
      <c r="H973" s="38" t="n">
        <f aca="false">Sens!$H$972+Sens!$H$969-Sens!$H$968-Sens!$H$970+Sens!$H$971</f>
        <v>-64.3116314773567</v>
      </c>
      <c r="I973" s="38" t="n">
        <f aca="false">Sens!$I$972+Sens!$I$969-Sens!$I$968-Sens!$I$970+Sens!$I$971</f>
        <v>-41.4847694278091</v>
      </c>
      <c r="J973" s="38" t="n">
        <f aca="false">Sens!$J$972+Sens!$J$969-Sens!$J$968-Sens!$J$970+Sens!$J$971</f>
        <v>-7.90144425261813</v>
      </c>
      <c r="K973" s="38" t="n">
        <f aca="false">Sens!$K$972+Sens!$K$969-Sens!$K$968-Sens!$K$970+Sens!$K$971</f>
        <v>102.468798971307</v>
      </c>
      <c r="L973" s="38" t="n">
        <f aca="false">Sens!$L$972+Sens!$L$969-Sens!$L$968-Sens!$L$970+Sens!$L$971</f>
        <v>218.833304091424</v>
      </c>
      <c r="M973" s="38" t="n">
        <f aca="false">Sens!$M$972+Sens!$M$969-Sens!$M$968-Sens!$M$970+Sens!$M$971</f>
        <v>362.368929122495</v>
      </c>
    </row>
    <row r="974" customFormat="false" ht="17.15" hidden="false" customHeight="false" outlineLevel="0" collapsed="false">
      <c r="A974" s="5" t="s">
        <v>803</v>
      </c>
      <c r="B974" s="0" t="s">
        <v>86</v>
      </c>
      <c r="F974" s="38" t="n">
        <f aca="false">MAX(0,min_cash-Sens!$F$973)</f>
        <v>0</v>
      </c>
      <c r="G974" s="38" t="n">
        <f aca="false">Sens!$F$974</f>
        <v>0</v>
      </c>
      <c r="H974" s="38" t="n">
        <f aca="false">MAX(0,min_cash-Sens!$H$973)</f>
        <v>114.311631477357</v>
      </c>
      <c r="I974" s="38" t="n">
        <f aca="false">MAX(0,min_cash-Sens!$I$973)</f>
        <v>91.4847694278091</v>
      </c>
      <c r="J974" s="38" t="n">
        <f aca="false">MAX(0,min_cash-Sens!$J$973)</f>
        <v>57.9014442526181</v>
      </c>
      <c r="K974" s="38" t="n">
        <f aca="false">MAX(0,min_cash-Sens!$K$973)</f>
        <v>0</v>
      </c>
      <c r="L974" s="38" t="n">
        <f aca="false">MAX(0,min_cash-Sens!$L$973)</f>
        <v>0</v>
      </c>
      <c r="M974" s="38" t="n">
        <f aca="false">MAX(0,min_cash-Sens!$M$973)</f>
        <v>0</v>
      </c>
      <c r="P974" s="5" t="s">
        <v>804</v>
      </c>
    </row>
    <row r="975" customFormat="false" ht="15" hidden="false" customHeight="false" outlineLevel="0" collapsed="false">
      <c r="A975" s="5" t="s">
        <v>805</v>
      </c>
      <c r="B975" s="0" t="s">
        <v>86</v>
      </c>
      <c r="D975" s="38" t="n">
        <f aca="false">Q!$E$61</f>
        <v>123.029</v>
      </c>
      <c r="E975" s="38" t="n">
        <f aca="false">Q!$M$61</f>
        <v>122.988</v>
      </c>
      <c r="F975" s="38" t="n">
        <f aca="false">Sens!$F$973+Sens!$F$974</f>
        <v>58.4094762554127</v>
      </c>
      <c r="G975" s="38" t="n">
        <f aca="false">Sens!$F$975</f>
        <v>58.4094762554127</v>
      </c>
      <c r="H975" s="38" t="n">
        <f aca="false">Sens!$H$973+Sens!$H$974</f>
        <v>50</v>
      </c>
      <c r="I975" s="38" t="n">
        <f aca="false">Sens!$I$973+Sens!$I$974</f>
        <v>50</v>
      </c>
      <c r="J975" s="38" t="n">
        <f aca="false">Sens!$J$973+Sens!$J$974</f>
        <v>50</v>
      </c>
      <c r="K975" s="38" t="n">
        <f aca="false">Sens!$K$973+Sens!$K$974</f>
        <v>102.468798971307</v>
      </c>
      <c r="L975" s="38" t="n">
        <f aca="false">Sens!$L$973+Sens!$L$974</f>
        <v>218.833304091424</v>
      </c>
      <c r="M975" s="38" t="n">
        <f aca="false">Sens!$M$973+Sens!$M$974</f>
        <v>362.368929122495</v>
      </c>
    </row>
    <row r="976" customFormat="false" ht="15" hidden="false" customHeight="false" outlineLevel="0" collapsed="false">
      <c r="A976" s="5" t="s">
        <v>806</v>
      </c>
      <c r="B976" s="0" t="s">
        <v>86</v>
      </c>
      <c r="D976" s="38" t="n">
        <f aca="false">Q!$E$62</f>
        <v>68.836</v>
      </c>
      <c r="E976" s="38" t="n">
        <f aca="false">Q!$M$62</f>
        <v>132.995</v>
      </c>
      <c r="F976" s="38" t="n">
        <f aca="false">debt_q2+Sens!$F$971+Sens!$F$974</f>
        <v>162.244999</v>
      </c>
      <c r="G976" s="38" t="n">
        <f aca="false">Sens!$F$976</f>
        <v>162.244999</v>
      </c>
      <c r="H976" s="38" t="n">
        <f aca="false">Sens!$G$976+Sens!$H$974</f>
        <v>276.556630477357</v>
      </c>
      <c r="I976" s="38" t="n">
        <f aca="false">Sens!$H$976+Sens!$I$974</f>
        <v>368.041399905166</v>
      </c>
      <c r="J976" s="38" t="n">
        <f aca="false">Sens!$I$976+Sens!$J$974</f>
        <v>425.942844157784</v>
      </c>
      <c r="K976" s="38" t="n">
        <f aca="false">Sens!$J$976+Sens!$K$974</f>
        <v>425.942844157784</v>
      </c>
      <c r="L976" s="38" t="n">
        <f aca="false">Sens!$K$976+Sens!$L$974</f>
        <v>425.942844157784</v>
      </c>
      <c r="M976" s="38" t="n">
        <f aca="false">Sens!$L$976+Sens!$M$974</f>
        <v>425.942844157784</v>
      </c>
    </row>
    <row r="977" customFormat="false" ht="15" hidden="false" customHeight="false" outlineLevel="0" collapsed="false">
      <c r="A977" s="5" t="s">
        <v>807</v>
      </c>
      <c r="B977" s="0" t="s">
        <v>86</v>
      </c>
      <c r="D977" s="38" t="n">
        <f aca="false">Sens!$D$976-Sens!$D$975</f>
        <v>-54.193</v>
      </c>
      <c r="E977" s="38" t="n">
        <f aca="false">Sens!$E$976-Sens!$E$975</f>
        <v>10.007</v>
      </c>
      <c r="F977" s="38" t="n">
        <f aca="false">Sens!$F$976-Sens!$F$975</f>
        <v>103.835522744587</v>
      </c>
      <c r="G977" s="38" t="n">
        <f aca="false">Sens!$G$976-Sens!$G$975</f>
        <v>103.835522744587</v>
      </c>
      <c r="H977" s="38" t="n">
        <f aca="false">Sens!$H$976-Sens!$H$975</f>
        <v>226.556630477357</v>
      </c>
      <c r="I977" s="38" t="n">
        <f aca="false">Sens!$I$976-Sens!$I$975</f>
        <v>318.041399905166</v>
      </c>
      <c r="J977" s="38" t="n">
        <f aca="false">Sens!$J$976-Sens!$J$975</f>
        <v>375.942844157784</v>
      </c>
      <c r="K977" s="38" t="n">
        <f aca="false">Sens!$K$976-Sens!$K$975</f>
        <v>323.474045186477</v>
      </c>
      <c r="L977" s="38" t="n">
        <f aca="false">Sens!$L$976-Sens!$L$975</f>
        <v>207.10954006636</v>
      </c>
      <c r="M977" s="38" t="n">
        <f aca="false">Sens!$M$976-Sens!$M$975</f>
        <v>63.5739150352889</v>
      </c>
    </row>
    <row r="978" customFormat="false" ht="17.15" hidden="false" customHeight="false" outlineLevel="0" collapsed="false">
      <c r="A978" s="5" t="s">
        <v>808</v>
      </c>
      <c r="B978" s="0" t="s">
        <v>86</v>
      </c>
      <c r="F978" s="38" t="n">
        <f aca="false">debt_q2*kd_book*0.5+iss_2h26*kd_new*iss_t</f>
        <v>3.24888962733561</v>
      </c>
      <c r="H978" s="38" t="n">
        <f aca="false">debt_q2*kd_book+(Sens!$G$976-debt_q2)*kd_new</f>
        <v>7.42354172302123</v>
      </c>
      <c r="I978" s="38" t="n">
        <f aca="false">debt_q2*kd_book+(Sens!$H$976-debt_q2)*kd_new</f>
        <v>14.6594679955379</v>
      </c>
      <c r="J978" s="38" t="n">
        <f aca="false">debt_q2*kd_book+(Sens!$I$976-debt_q2)*kd_new</f>
        <v>20.4504539003182</v>
      </c>
      <c r="K978" s="38" t="n">
        <f aca="false">debt_q2*kd_book+(Sens!$J$976-debt_q2)*kd_new</f>
        <v>24.115615321509</v>
      </c>
      <c r="L978" s="38" t="n">
        <f aca="false">debt_q2*kd_book+(Sens!$K$976-debt_q2)*kd_new</f>
        <v>24.115615321509</v>
      </c>
      <c r="M978" s="38" t="n">
        <f aca="false">debt_q2*kd_book+(Sens!$L$976-debt_q2)*kd_new</f>
        <v>24.115615321509</v>
      </c>
    </row>
    <row r="979" customFormat="false" ht="17.15" hidden="false" customHeight="false" outlineLevel="0" collapsed="false">
      <c r="A979" s="5" t="s">
        <v>809</v>
      </c>
      <c r="B979" s="0" t="s">
        <v>86</v>
      </c>
      <c r="F979" s="38" t="n">
        <f aca="false">cash_q2*y_cash*0.5</f>
        <v>2.59</v>
      </c>
      <c r="H979" s="38" t="n">
        <f aca="false">Sens!$G$975*y_cash</f>
        <v>2.46008624421112</v>
      </c>
      <c r="I979" s="38" t="n">
        <f aca="false">Sens!$H$975*y_cash</f>
        <v>2.10589651022864</v>
      </c>
      <c r="J979" s="38" t="n">
        <f aca="false">Sens!$I$975*y_cash</f>
        <v>2.10589651022864</v>
      </c>
      <c r="K979" s="38" t="n">
        <f aca="false">Sens!$J$975*y_cash</f>
        <v>2.10589651022864</v>
      </c>
      <c r="L979" s="38" t="n">
        <f aca="false">Sens!$K$975*y_cash</f>
        <v>4.3157737232199</v>
      </c>
      <c r="M979" s="38" t="n">
        <f aca="false">Sens!$L$975*y_cash</f>
        <v>9.21680582815864</v>
      </c>
    </row>
    <row r="980" customFormat="false" ht="17.15" hidden="false" customHeight="false" outlineLevel="0" collapsed="false">
      <c r="A980" s="47" t="s">
        <v>810</v>
      </c>
      <c r="B980" s="14" t="s">
        <v>86</v>
      </c>
      <c r="C980" s="14"/>
      <c r="D980" s="14"/>
      <c r="E980" s="14"/>
      <c r="F980" s="14"/>
      <c r="G980" s="48" t="n">
        <f aca="false">SUM(Sens!$G$969:$K$969)</f>
        <v>-317.858045186477</v>
      </c>
      <c r="H980" s="14"/>
      <c r="I980" s="14"/>
      <c r="J980" s="14"/>
      <c r="K980" s="14"/>
      <c r="L980" s="14"/>
      <c r="M980" s="14"/>
      <c r="N980" s="14"/>
      <c r="O980" s="14"/>
    </row>
    <row r="981" customFormat="false" ht="17.15" hidden="false" customHeight="false" outlineLevel="0" collapsed="false">
      <c r="A981" s="0" t="s">
        <v>776</v>
      </c>
      <c r="B981" s="0" t="s">
        <v>86</v>
      </c>
      <c r="G981" s="38" t="n">
        <f aca="false">SUM(Sens!$G$974:$K$974)</f>
        <v>263.697845157784</v>
      </c>
    </row>
    <row r="982" customFormat="false" ht="17.15" hidden="false" customHeight="false" outlineLevel="0" collapsed="false">
      <c r="A982" s="24" t="s">
        <v>813</v>
      </c>
      <c r="B982" s="25" t="s">
        <v>86</v>
      </c>
      <c r="C982" s="25"/>
      <c r="D982" s="25"/>
      <c r="E982" s="25"/>
      <c r="F982" s="25"/>
      <c r="G982" s="41" t="n">
        <f aca="false">Sens!$G$980-(Sens!$G$969+Sens!$H$969+Sens!$I$969+Sens!$J$969+Sens!$K$969)</f>
        <v>0</v>
      </c>
      <c r="H982" s="25"/>
      <c r="I982" s="25"/>
      <c r="J982" s="25"/>
      <c r="K982" s="25"/>
      <c r="L982" s="25"/>
      <c r="M982" s="25"/>
      <c r="N982" s="25"/>
      <c r="O982" s="25"/>
    </row>
    <row r="985" customFormat="false" ht="19.4" hidden="false" customHeight="false" outlineLevel="0" collapsed="false">
      <c r="A985" s="31" t="s">
        <v>1154</v>
      </c>
    </row>
    <row r="986" customFormat="false" ht="17.15" hidden="false" customHeight="false" outlineLevel="0" collapsed="false">
      <c r="A986" s="6" t="s">
        <v>16</v>
      </c>
      <c r="B986" s="6" t="s">
        <v>17</v>
      </c>
      <c r="C986" s="20" t="s">
        <v>497</v>
      </c>
      <c r="D986" s="20" t="s">
        <v>498</v>
      </c>
      <c r="E986" s="20" t="s">
        <v>580</v>
      </c>
      <c r="F986" s="20" t="s">
        <v>581</v>
      </c>
      <c r="G986" s="20" t="s">
        <v>582</v>
      </c>
      <c r="H986" s="20" t="s">
        <v>583</v>
      </c>
      <c r="I986" s="20" t="s">
        <v>584</v>
      </c>
      <c r="J986" s="20" t="s">
        <v>585</v>
      </c>
      <c r="K986" s="20" t="s">
        <v>586</v>
      </c>
      <c r="L986" s="20" t="s">
        <v>587</v>
      </c>
      <c r="M986" s="20" t="s">
        <v>588</v>
      </c>
      <c r="N986" s="20" t="s">
        <v>589</v>
      </c>
      <c r="O986" s="20" t="s">
        <v>590</v>
      </c>
      <c r="P986" s="6" t="s">
        <v>23</v>
      </c>
      <c r="R986" s="20" t="n">
        <v>2023</v>
      </c>
      <c r="S986" s="20" t="n">
        <v>2024</v>
      </c>
      <c r="T986" s="20" t="n">
        <v>2025</v>
      </c>
      <c r="U986" s="20" t="n">
        <v>2026</v>
      </c>
      <c r="V986" s="20" t="n">
        <v>2027</v>
      </c>
      <c r="W986" s="20" t="n">
        <v>2028</v>
      </c>
      <c r="X986" s="20" t="n">
        <v>2029</v>
      </c>
      <c r="Y986" s="20" t="n">
        <v>2030</v>
      </c>
      <c r="Z986" s="20" t="n">
        <v>2031</v>
      </c>
      <c r="AA986" s="20" t="n">
        <v>2032</v>
      </c>
    </row>
    <row r="987" customFormat="false" ht="17.15" hidden="false" customHeight="false" outlineLevel="0" collapsed="false">
      <c r="A987" s="1" t="s">
        <v>915</v>
      </c>
    </row>
    <row r="988" customFormat="false" ht="17.15" hidden="false" customHeight="false" outlineLevel="0" collapsed="false">
      <c r="A988" s="0" t="s">
        <v>916</v>
      </c>
      <c r="B988" s="0" t="s">
        <v>86</v>
      </c>
      <c r="H988" s="38" t="n">
        <f aca="false">Sens!$H$922*(1-tax)</f>
        <v>134.825279982136</v>
      </c>
      <c r="I988" s="38" t="n">
        <f aca="false">Sens!$I$922*(1-tax)</f>
        <v>164.086140856073</v>
      </c>
      <c r="J988" s="38" t="n">
        <f aca="false">Sens!$J$922*(1-tax)</f>
        <v>191.891320916141</v>
      </c>
      <c r="K988" s="38" t="n">
        <f aca="false">Sens!$K$922*(1-tax)</f>
        <v>210.829842759805</v>
      </c>
      <c r="L988" s="38" t="n">
        <f aca="false">Sens!$L$922*(1-tax)</f>
        <v>225.686760331142</v>
      </c>
      <c r="M988" s="38" t="n">
        <f aca="false">Sens!$M$922*(1-tax)</f>
        <v>235.970627073496</v>
      </c>
    </row>
    <row r="989" customFormat="false" ht="15" hidden="false" customHeight="false" outlineLevel="0" collapsed="false">
      <c r="A989" s="5" t="s">
        <v>917</v>
      </c>
      <c r="B989" s="0" t="s">
        <v>86</v>
      </c>
      <c r="H989" s="38" t="n">
        <f aca="false">Sens!$H$933</f>
        <v>86.3806062018225</v>
      </c>
      <c r="I989" s="38" t="n">
        <f aca="false">Sens!$I$933</f>
        <v>128.555814180099</v>
      </c>
      <c r="J989" s="38" t="n">
        <f aca="false">Sens!$J$933</f>
        <v>171.794906719723</v>
      </c>
      <c r="K989" s="38" t="n">
        <f aca="false">Sens!$K$933</f>
        <v>215.540229394164</v>
      </c>
      <c r="L989" s="38" t="n">
        <f aca="false">Sens!$L$933</f>
        <v>247.924933665573</v>
      </c>
      <c r="M989" s="38" t="n">
        <f aca="false">Sens!$M$933</f>
        <v>271.189526317527</v>
      </c>
    </row>
    <row r="990" customFormat="false" ht="15" hidden="false" customHeight="false" outlineLevel="0" collapsed="false">
      <c r="A990" s="5" t="s">
        <v>918</v>
      </c>
      <c r="B990" s="0" t="s">
        <v>86</v>
      </c>
      <c r="H990" s="38" t="n">
        <f aca="false">Sens!$H$964</f>
        <v>339.563134816481</v>
      </c>
      <c r="I990" s="38" t="n">
        <f aca="false">Sens!$I$964</f>
        <v>355.197302198592</v>
      </c>
      <c r="J990" s="38" t="n">
        <f aca="false">Sens!$J$964</f>
        <v>369.277592748533</v>
      </c>
      <c r="K990" s="38" t="n">
        <f aca="false">Sens!$K$964</f>
        <v>302.803273937359</v>
      </c>
      <c r="L990" s="38" t="n">
        <f aca="false">Sens!$L$964</f>
        <v>278.701044740363</v>
      </c>
      <c r="M990" s="38" t="n">
        <f aca="false">Sens!$M$964</f>
        <v>286.36868992997</v>
      </c>
    </row>
    <row r="991" customFormat="false" ht="15" hidden="false" customHeight="false" outlineLevel="0" collapsed="false">
      <c r="A991" s="5" t="s">
        <v>919</v>
      </c>
      <c r="B991" s="0" t="s">
        <v>86</v>
      </c>
      <c r="H991" s="38" t="n">
        <f aca="false">Sens!$H$965</f>
        <v>1.6</v>
      </c>
      <c r="I991" s="38" t="n">
        <f aca="false">Sens!$I$965</f>
        <v>1.6</v>
      </c>
      <c r="J991" s="38" t="n">
        <f aca="false">Sens!$J$965</f>
        <v>1.6</v>
      </c>
      <c r="K991" s="38" t="n">
        <f aca="false">Sens!$K$965</f>
        <v>1.6</v>
      </c>
      <c r="L991" s="38" t="n">
        <f aca="false">Sens!$L$965</f>
        <v>1.6</v>
      </c>
      <c r="M991" s="38" t="n">
        <f aca="false">Sens!$M$965</f>
        <v>1.6</v>
      </c>
    </row>
    <row r="992" customFormat="false" ht="15" hidden="false" customHeight="false" outlineLevel="0" collapsed="false">
      <c r="A992" s="5" t="s">
        <v>920</v>
      </c>
      <c r="B992" s="0" t="s">
        <v>86</v>
      </c>
      <c r="H992" s="38" t="n">
        <f aca="false">Sens!$H$959</f>
        <v>11.2928295263397</v>
      </c>
      <c r="I992" s="38" t="n">
        <f aca="false">Sens!$I$959</f>
        <v>12.8091546115766</v>
      </c>
      <c r="J992" s="38" t="n">
        <f aca="false">Sens!$J$959</f>
        <v>14.2605653162668</v>
      </c>
      <c r="K992" s="38" t="n">
        <f aca="false">Sens!$K$959</f>
        <v>15.5327622460396</v>
      </c>
      <c r="L992" s="38" t="n">
        <f aca="false">Sens!$L$959</f>
        <v>16.720573737517</v>
      </c>
      <c r="M992" s="38" t="n">
        <f aca="false">Sens!$M$959</f>
        <v>17.8283127551536</v>
      </c>
    </row>
    <row r="993" customFormat="false" ht="17.15" hidden="false" customHeight="false" outlineLevel="0" collapsed="false">
      <c r="A993" s="1" t="s">
        <v>921</v>
      </c>
      <c r="B993" s="8" t="s">
        <v>86</v>
      </c>
      <c r="H993" s="38" t="n">
        <f aca="false">Sens!$H$988+Sens!$H$989-Sens!$H$990+Sens!$H$992</f>
        <v>-107.064419106184</v>
      </c>
      <c r="I993" s="38" t="n">
        <f aca="false">Sens!$I$988+Sens!$I$989-Sens!$I$990+Sens!$I$992</f>
        <v>-49.7461925508435</v>
      </c>
      <c r="J993" s="38" t="n">
        <f aca="false">Sens!$J$988+Sens!$J$989-Sens!$J$990+Sens!$J$992</f>
        <v>8.66920020359783</v>
      </c>
      <c r="K993" s="38" t="n">
        <f aca="false">Sens!$K$988+Sens!$K$989-Sens!$K$990+Sens!$K$992</f>
        <v>139.099560462649</v>
      </c>
      <c r="L993" s="38" t="n">
        <f aca="false">Sens!$L$988+Sens!$L$989-Sens!$L$990+Sens!$L$992</f>
        <v>211.631222993869</v>
      </c>
      <c r="M993" s="38" t="n">
        <f aca="false">Sens!$M$988+Sens!$M$989-Sens!$M$990+Sens!$M$992</f>
        <v>238.619776216207</v>
      </c>
    </row>
    <row r="994" customFormat="false" ht="15" hidden="false" customHeight="false" outlineLevel="0" collapsed="false">
      <c r="A994" s="5" t="s">
        <v>922</v>
      </c>
      <c r="B994" s="0" t="s">
        <v>57</v>
      </c>
      <c r="H994" s="40" t="n">
        <f aca="false">1/(1+wacc)^(2027-2026-0.5)</f>
        <v>0.947751320380232</v>
      </c>
      <c r="I994" s="40" t="n">
        <f aca="false">1/(1+wacc)^(2028-2026-0.5)</f>
        <v>0.851301099754987</v>
      </c>
      <c r="J994" s="40" t="n">
        <f aca="false">1/(1+wacc)^(2029-2026-0.5)</f>
        <v>0.764666370660713</v>
      </c>
      <c r="K994" s="40" t="n">
        <f aca="false">1/(1+wacc)^(2030-2026-0.5)</f>
        <v>0.686848235703811</v>
      </c>
      <c r="L994" s="40" t="n">
        <f aca="false">1/(1+wacc)^(2031-2026-0.5)</f>
        <v>0.616949452715975</v>
      </c>
      <c r="M994" s="40" t="n">
        <f aca="false">1/(1+wacc)^(2032-2026-0.5)</f>
        <v>0.554164089562688</v>
      </c>
    </row>
    <row r="995" customFormat="false" ht="15" hidden="false" customHeight="false" outlineLevel="0" collapsed="false">
      <c r="A995" s="5" t="s">
        <v>923</v>
      </c>
      <c r="B995" s="0" t="s">
        <v>86</v>
      </c>
      <c r="H995" s="38" t="n">
        <f aca="false">Sens!$H$993*Sens!$H$994</f>
        <v>-101.470444573628</v>
      </c>
      <c r="I995" s="38" t="n">
        <f aca="false">Sens!$I$993*Sens!$I$994</f>
        <v>-42.3489884271564</v>
      </c>
      <c r="J995" s="38" t="n">
        <f aca="false">Sens!$J$993*Sens!$J$994</f>
        <v>6.62904585621627</v>
      </c>
      <c r="K995" s="38" t="n">
        <f aca="false">Sens!$K$993*Sens!$K$994</f>
        <v>95.540287690946</v>
      </c>
      <c r="L995" s="38" t="n">
        <f aca="false">Sens!$L$993*Sens!$L$994</f>
        <v>130.56576720368</v>
      </c>
      <c r="M995" s="38" t="n">
        <f aca="false">Sens!$M$993*Sens!$M$994</f>
        <v>132.234511038507</v>
      </c>
    </row>
    <row r="996" customFormat="false" ht="15" hidden="false" customHeight="false" outlineLevel="0" collapsed="false">
      <c r="A996" s="5" t="s">
        <v>924</v>
      </c>
      <c r="B996" s="0" t="s">
        <v>86</v>
      </c>
      <c r="C996" s="38" t="n">
        <f aca="false">SUM(Sens!$H$995:$M$995)</f>
        <v>221.150178788565</v>
      </c>
    </row>
    <row r="997" customFormat="false" ht="17.15" hidden="false" customHeight="false" outlineLevel="0" collapsed="false">
      <c r="A997" s="5" t="s">
        <v>925</v>
      </c>
      <c r="B997" s="0" t="s">
        <v>86</v>
      </c>
      <c r="C997" s="38" t="n">
        <f aca="false">Sens!$M$988*(1+tg)*(1-tg/ronic)/(wacc-tg)</f>
        <v>2145.23631596039</v>
      </c>
    </row>
    <row r="998" customFormat="false" ht="15" hidden="false" customHeight="false" outlineLevel="0" collapsed="false">
      <c r="A998" s="5" t="s">
        <v>926</v>
      </c>
      <c r="B998" s="0" t="s">
        <v>86</v>
      </c>
      <c r="C998" s="38" t="n">
        <f aca="false">Sens!$C$997/(1+wacc)^6</f>
        <v>1126.6990240272</v>
      </c>
    </row>
    <row r="999" customFormat="false" ht="17.15" hidden="false" customHeight="false" outlineLevel="0" collapsed="false">
      <c r="A999" s="5" t="s">
        <v>927</v>
      </c>
      <c r="B999" s="0" t="s">
        <v>86</v>
      </c>
      <c r="C999" s="38" t="n">
        <f aca="false">Sens!$C$996+Sens!$C$998</f>
        <v>1347.84920281577</v>
      </c>
    </row>
    <row r="1000" customFormat="false" ht="17.15" hidden="false" customHeight="false" outlineLevel="0" collapsed="false">
      <c r="A1000" s="5" t="s">
        <v>928</v>
      </c>
      <c r="B1000" s="0" t="s">
        <v>52</v>
      </c>
      <c r="C1000" s="13" t="n">
        <f aca="false">Sens!$C$998/Sens!$C$999</f>
        <v>0.835923649079909</v>
      </c>
    </row>
    <row r="1001" customFormat="false" ht="17.15" hidden="false" customHeight="false" outlineLevel="0" collapsed="false">
      <c r="A1001" s="5" t="s">
        <v>929</v>
      </c>
      <c r="B1001" s="0" t="s">
        <v>86</v>
      </c>
      <c r="C1001" s="38" t="n">
        <f aca="false">Sens!$G$977+fin_debt</f>
        <v>128.356522744587</v>
      </c>
    </row>
    <row r="1002" customFormat="false" ht="17.15" hidden="false" customHeight="false" outlineLevel="0" collapsed="false">
      <c r="A1002" s="5" t="s">
        <v>930</v>
      </c>
      <c r="B1002" s="0" t="s">
        <v>86</v>
      </c>
      <c r="C1002" s="38" t="n">
        <f aca="false">(ant_val*ant_sh+oai_val*oai_sh)*(1-liq_disc)</f>
        <v>178.944</v>
      </c>
    </row>
    <row r="1003" customFormat="false" ht="15" hidden="false" customHeight="false" outlineLevel="0" collapsed="false">
      <c r="A1003" s="5" t="s">
        <v>931</v>
      </c>
      <c r="B1003" s="0" t="s">
        <v>86</v>
      </c>
      <c r="C1003" s="38" t="n">
        <f aca="false">Sens!$C$999-Sens!$C$1001+Sens!$C$1002</f>
        <v>1398.43668007118</v>
      </c>
    </row>
    <row r="1004" customFormat="false" ht="17.15" hidden="false" customHeight="false" outlineLevel="0" collapsed="false">
      <c r="A1004" s="5" t="s">
        <v>932</v>
      </c>
      <c r="B1004" s="0" t="s">
        <v>27</v>
      </c>
      <c r="C1004" s="30" t="n">
        <f aca="false">Sens!$C$1003/sh_out</f>
        <v>129.649172096342</v>
      </c>
    </row>
    <row r="1005" customFormat="false" ht="17.15" hidden="false" customHeight="false" outlineLevel="0" collapsed="false">
      <c r="A1005" s="1" t="s">
        <v>933</v>
      </c>
      <c r="B1005" s="8" t="s">
        <v>27</v>
      </c>
      <c r="C1005" s="30" t="n">
        <f aca="false">Sens!$C$1004*(1+ke)^tp_yf-dps*tp_yf</f>
        <v>142.013664085561</v>
      </c>
    </row>
    <row r="1006" customFormat="false" ht="17.15" hidden="false" customHeight="false" outlineLevel="0" collapsed="false">
      <c r="A1006" s="3" t="s">
        <v>934</v>
      </c>
    </row>
    <row r="1007" customFormat="false" ht="17.15" hidden="false" customHeight="false" outlineLevel="0" collapsed="false">
      <c r="A1007" s="5" t="s">
        <v>935</v>
      </c>
      <c r="B1007" s="0" t="s">
        <v>86</v>
      </c>
      <c r="C1007" s="38" t="n">
        <f aca="false">(1-tp_yf)*(Sens!$H$934+sbc_ab*Sens!$H$958*Sens!$H$798/Sens!$H$875)+tp_yf*(Sens!$I$934+sbc_ab*Sens!$I$958*Sens!$I$798/Sens!$I$875)</f>
        <v>59.634664536349</v>
      </c>
    </row>
    <row r="1008" customFormat="false" ht="15" hidden="false" customHeight="false" outlineLevel="0" collapsed="false">
      <c r="A1008" s="5" t="s">
        <v>936</v>
      </c>
      <c r="B1008" s="0" t="s">
        <v>57</v>
      </c>
      <c r="C1008" s="30" t="n">
        <f aca="false">m_ads*m_x</f>
        <v>9.11</v>
      </c>
    </row>
    <row r="1009" customFormat="false" ht="17.15" hidden="false" customHeight="false" outlineLevel="0" collapsed="false">
      <c r="A1009" s="5" t="s">
        <v>937</v>
      </c>
      <c r="B1009" s="0" t="s">
        <v>86</v>
      </c>
      <c r="C1009" s="38" t="n">
        <f aca="false">Sens!$C$1007*Sens!$C$1008</f>
        <v>543.271793926139</v>
      </c>
    </row>
    <row r="1010" customFormat="false" ht="17.15" hidden="false" customHeight="false" outlineLevel="0" collapsed="false">
      <c r="A1010" s="5" t="s">
        <v>938</v>
      </c>
      <c r="B1010" s="0" t="s">
        <v>86</v>
      </c>
      <c r="C1010" s="38" t="n">
        <f aca="false">(1-tp_yf)*(Sens!$H$935+sbc_ab*Sens!$H$958*(Sens!$H$805-Sens!$H$798)/Sens!$H$875+IF(internal_ai_reading=2,1,0)*(1-ext_sh_lo)*Sens!$H$835)+tp_yf*(Sens!$I$935+sbc_ab*Sens!$I$958*(Sens!$I$805-Sens!$I$798)/Sens!$I$875+IF(internal_ai_reading=2,1,0)*(1-ext_sh_lo)*Sens!$I$835)</f>
        <v>56.1534349354981</v>
      </c>
    </row>
    <row r="1011" customFormat="false" ht="17.15" hidden="false" customHeight="false" outlineLevel="0" collapsed="false">
      <c r="A1011" s="5" t="s">
        <v>939</v>
      </c>
      <c r="B1011" s="0" t="s">
        <v>57</v>
      </c>
      <c r="C1011" s="30" t="n">
        <f aca="false">m_retail*m_x</f>
        <v>17.72</v>
      </c>
    </row>
    <row r="1012" customFormat="false" ht="17.15" hidden="false" customHeight="false" outlineLevel="0" collapsed="false">
      <c r="A1012" s="5" t="s">
        <v>940</v>
      </c>
      <c r="B1012" s="0" t="s">
        <v>86</v>
      </c>
      <c r="C1012" s="38" t="n">
        <f aca="false">Sens!$C$1010*Sens!$C$1011</f>
        <v>995.038867057025</v>
      </c>
    </row>
    <row r="1013" customFormat="false" ht="17.15" hidden="false" customHeight="false" outlineLevel="0" collapsed="false">
      <c r="A1013" s="0" t="s">
        <v>941</v>
      </c>
      <c r="B1013" s="0" t="s">
        <v>86</v>
      </c>
      <c r="C1013" s="38" t="n">
        <f aca="false">(1-tp_yf)*(Sens!$H$936+sbc_ab*Sens!$H$958*Sens!$H$873/Sens!$H$875)+tp_yf*(Sens!$I$936+sbc_ab*Sens!$I$958*Sens!$I$873/Sens!$I$875)</f>
        <v>96.2502636258411</v>
      </c>
    </row>
    <row r="1014" customFormat="false" ht="17.15" hidden="false" customHeight="false" outlineLevel="0" collapsed="false">
      <c r="A1014" s="0" t="s">
        <v>942</v>
      </c>
      <c r="B1014" s="0" t="s">
        <v>57</v>
      </c>
      <c r="C1014" s="30" t="n">
        <f aca="false">m_cloud*m_x</f>
        <v>13.82</v>
      </c>
    </row>
    <row r="1015" customFormat="false" ht="17.15" hidden="false" customHeight="false" outlineLevel="0" collapsed="false">
      <c r="A1015" s="0" t="s">
        <v>943</v>
      </c>
      <c r="B1015" s="0" t="s">
        <v>86</v>
      </c>
      <c r="C1015" s="38" t="n">
        <f aca="false">Sens!$C$1013*Sens!$C$1014</f>
        <v>1330.17864330912</v>
      </c>
    </row>
    <row r="1016" customFormat="false" ht="17.15" hidden="false" customHeight="false" outlineLevel="0" collapsed="false">
      <c r="A1016" s="0" t="s">
        <v>944</v>
      </c>
      <c r="B1016" s="0" t="s">
        <v>86</v>
      </c>
      <c r="H1016" s="38" t="n">
        <f aca="false">Sens!$H$854-tax*Sens!$H$855-ext_sh_lo*Sens!$H$842</f>
        <v>-115.892457874866</v>
      </c>
      <c r="I1016" s="38" t="n">
        <f aca="false">Sens!$I$854-tax*Sens!$I$855-ext_sh_lo*Sens!$I$842</f>
        <v>-89.6005773663105</v>
      </c>
      <c r="J1016" s="38" t="n">
        <f aca="false">Sens!$J$854-tax*Sens!$J$855-ext_sh_lo*Sens!$J$842</f>
        <v>-62.358128384669</v>
      </c>
      <c r="K1016" s="38" t="n">
        <f aca="false">Sens!$K$854-tax*Sens!$K$855-ext_sh_lo*Sens!$K$842</f>
        <v>8.85862208345954</v>
      </c>
      <c r="L1016" s="38" t="n">
        <f aca="false">Sens!$L$854-tax*Sens!$L$855-ext_sh_lo*Sens!$L$842</f>
        <v>45.6961313547516</v>
      </c>
      <c r="M1016" s="38" t="n">
        <f aca="false">Sens!$M$854-tax*Sens!$M$855-ext_sh_lo*Sens!$M$842</f>
        <v>54.7459658184767</v>
      </c>
    </row>
    <row r="1017" customFormat="false" ht="17.15" hidden="false" customHeight="false" outlineLevel="0" collapsed="false">
      <c r="A1017" s="5" t="s">
        <v>945</v>
      </c>
      <c r="B1017" s="0" t="s">
        <v>86</v>
      </c>
      <c r="H1017" s="38" t="n">
        <f aca="false">Sens!$H$1016*Sens!$H$994</f>
        <v>-109.837229973015</v>
      </c>
      <c r="I1017" s="38" t="n">
        <f aca="false">Sens!$I$1016*Sens!$I$994</f>
        <v>-76.277070050622</v>
      </c>
      <c r="J1017" s="38" t="n">
        <f aca="false">Sens!$J$1016*Sens!$J$994</f>
        <v>-47.6831637130997</v>
      </c>
      <c r="K1017" s="38" t="n">
        <f aca="false">Sens!$K$1016*Sens!$K$994</f>
        <v>6.084528948791</v>
      </c>
      <c r="L1017" s="38" t="n">
        <f aca="false">Sens!$L$1016*Sens!$L$994</f>
        <v>28.1922032305513</v>
      </c>
      <c r="M1017" s="38" t="n">
        <f aca="false">Sens!$M$1016*Sens!$M$994</f>
        <v>30.3382483050262</v>
      </c>
    </row>
    <row r="1018" customFormat="false" ht="17.15" hidden="false" customHeight="false" outlineLevel="0" collapsed="false">
      <c r="A1018" s="5" t="s">
        <v>946</v>
      </c>
      <c r="B1018" s="0" t="s">
        <v>86</v>
      </c>
      <c r="C1018" s="38" t="n">
        <f aca="false">Sens!$M$855*(1-tax)*(1+tg)*(1-tg/ronic)/(wacc-tg)</f>
        <v>391.563590190733</v>
      </c>
    </row>
    <row r="1019" customFormat="false" ht="17.15" hidden="false" customHeight="false" outlineLevel="0" collapsed="false">
      <c r="A1019" s="0" t="s">
        <v>947</v>
      </c>
      <c r="B1019" s="0" t="s">
        <v>86</v>
      </c>
      <c r="C1019" s="38" t="n">
        <f aca="false">(SUM(Sens!$I$1017:$M$1017)+Sens!$C$1018/(1+wacc)^6)*(1+wacc)^tp_yf</f>
        <v>159.800429725297</v>
      </c>
    </row>
    <row r="1020" customFormat="false" ht="17.15" hidden="false" customHeight="false" outlineLevel="0" collapsed="false">
      <c r="A1020" s="5" t="s">
        <v>948</v>
      </c>
      <c r="B1020" s="0" t="s">
        <v>86</v>
      </c>
      <c r="C1020" s="38" t="n">
        <f aca="false">(1-tp_yf)*(Sens!$H$937)+tp_yf*(Sens!$I$937)</f>
        <v>74.6707041238437</v>
      </c>
    </row>
    <row r="1021" customFormat="false" ht="17.15" hidden="false" customHeight="false" outlineLevel="0" collapsed="false">
      <c r="A1021" s="5" t="s">
        <v>949</v>
      </c>
      <c r="B1021" s="0" t="s">
        <v>86</v>
      </c>
      <c r="C1021" s="38" t="n">
        <f aca="false">Sens!$C$1020*m_ai</f>
        <v>448.024224743062</v>
      </c>
    </row>
    <row r="1022" customFormat="false" ht="17.15" hidden="false" customHeight="false" outlineLevel="0" collapsed="false">
      <c r="A1022" s="0" t="s">
        <v>950</v>
      </c>
      <c r="B1022" s="0" t="s">
        <v>86</v>
      </c>
      <c r="C1022" s="38" t="n">
        <f aca="false">IF(ai_leg=1,Sens!$C$1019,Sens!$C$1021)</f>
        <v>159.800429725297</v>
      </c>
    </row>
    <row r="1023" customFormat="false" ht="17.15" hidden="false" customHeight="false" outlineLevel="0" collapsed="false">
      <c r="A1023" s="5" t="s">
        <v>951</v>
      </c>
      <c r="B1023" s="0" t="s">
        <v>86</v>
      </c>
      <c r="C1023" s="38" t="n">
        <f aca="false">Sens!$C$1009+Sens!$C$1012+Sens!$C$1015+Sens!$C$1022</f>
        <v>3028.28973401759</v>
      </c>
    </row>
    <row r="1024" customFormat="false" ht="17.15" hidden="false" customHeight="false" outlineLevel="0" collapsed="false">
      <c r="A1024" s="5" t="s">
        <v>952</v>
      </c>
      <c r="B1024" s="0" t="s">
        <v>86</v>
      </c>
      <c r="C1024" s="38" t="n">
        <f aca="false">Sens!$H$977+fin_debt</f>
        <v>251.077630477357</v>
      </c>
    </row>
    <row r="1025" customFormat="false" ht="15" hidden="false" customHeight="false" outlineLevel="0" collapsed="false">
      <c r="A1025" s="5" t="s">
        <v>953</v>
      </c>
      <c r="B1025" s="0" t="s">
        <v>86</v>
      </c>
      <c r="C1025" s="38" t="n">
        <f aca="false">Sens!$C$1023-Sens!$C$1024+Sens!$C$1002</f>
        <v>2956.15610354023</v>
      </c>
    </row>
    <row r="1026" customFormat="false" ht="15" hidden="false" customHeight="false" outlineLevel="0" collapsed="false">
      <c r="A1026" s="3" t="s">
        <v>954</v>
      </c>
      <c r="B1026" s="8" t="s">
        <v>27</v>
      </c>
      <c r="C1026" s="30" t="n">
        <f aca="false">Sens!$C$1025/sh_val</f>
        <v>268.002896702689</v>
      </c>
    </row>
    <row r="1027" customFormat="false" ht="17.15" hidden="false" customHeight="false" outlineLevel="0" collapsed="false">
      <c r="A1027" s="47" t="s">
        <v>955</v>
      </c>
      <c r="B1027" s="14" t="s">
        <v>27</v>
      </c>
      <c r="C1027" s="44" t="n">
        <f aca="false">w_dcf*Sens!$C$1005+(1-w_dcf)*Sens!$C$1026</f>
        <v>205.008280394125</v>
      </c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</row>
    <row r="1028" customFormat="false" ht="17.15" hidden="false" customHeight="false" outlineLevel="0" collapsed="false">
      <c r="A1028" s="5" t="s">
        <v>956</v>
      </c>
      <c r="B1028" s="0" t="s">
        <v>27</v>
      </c>
      <c r="C1028" s="30" t="n">
        <f aca="false">v022_wdcf*Sens!$C$1005+(1-v022_wdcf)*Sens!$C$1026</f>
        <v>211.307742024982</v>
      </c>
    </row>
    <row r="1029" customFormat="false" ht="17.15" hidden="false" customHeight="false" outlineLevel="0" collapsed="false">
      <c r="A1029" s="5" t="s">
        <v>957</v>
      </c>
      <c r="B1029" s="0" t="s">
        <v>27</v>
      </c>
      <c r="C1029" s="30" t="n">
        <f aca="false">(Sens!$C$1025-Sens!$C$1022+Sens!$C$1021)/sh_val</f>
        <v>294.133049934752</v>
      </c>
    </row>
    <row r="1032" customFormat="false" ht="19.4" hidden="false" customHeight="false" outlineLevel="0" collapsed="false">
      <c r="A1032" s="31" t="s">
        <v>1155</v>
      </c>
    </row>
    <row r="1033" customFormat="false" ht="17.15" hidden="false" customHeight="false" outlineLevel="0" collapsed="false">
      <c r="A1033" s="6" t="s">
        <v>16</v>
      </c>
      <c r="B1033" s="6" t="s">
        <v>17</v>
      </c>
      <c r="C1033" s="20" t="s">
        <v>497</v>
      </c>
      <c r="D1033" s="20" t="s">
        <v>498</v>
      </c>
      <c r="E1033" s="20" t="s">
        <v>580</v>
      </c>
      <c r="F1033" s="20" t="s">
        <v>581</v>
      </c>
      <c r="G1033" s="20" t="s">
        <v>582</v>
      </c>
      <c r="H1033" s="20" t="s">
        <v>583</v>
      </c>
      <c r="I1033" s="20" t="s">
        <v>584</v>
      </c>
      <c r="J1033" s="20" t="s">
        <v>585</v>
      </c>
      <c r="K1033" s="20" t="s">
        <v>586</v>
      </c>
      <c r="L1033" s="20" t="s">
        <v>587</v>
      </c>
      <c r="M1033" s="20" t="s">
        <v>588</v>
      </c>
      <c r="N1033" s="20" t="s">
        <v>589</v>
      </c>
      <c r="O1033" s="20" t="s">
        <v>590</v>
      </c>
      <c r="P1033" s="6" t="s">
        <v>23</v>
      </c>
      <c r="R1033" s="20" t="n">
        <v>2023</v>
      </c>
      <c r="S1033" s="20" t="n">
        <v>2024</v>
      </c>
      <c r="T1033" s="20" t="n">
        <v>2025</v>
      </c>
      <c r="U1033" s="20" t="n">
        <v>2026</v>
      </c>
      <c r="V1033" s="20" t="n">
        <v>2027</v>
      </c>
      <c r="W1033" s="20" t="n">
        <v>2028</v>
      </c>
      <c r="X1033" s="20" t="n">
        <v>2029</v>
      </c>
      <c r="Y1033" s="20" t="n">
        <v>2030</v>
      </c>
      <c r="Z1033" s="20" t="n">
        <v>2031</v>
      </c>
      <c r="AA1033" s="20" t="n">
        <v>2032</v>
      </c>
    </row>
    <row r="1034" customFormat="false" ht="17.15" hidden="false" customHeight="false" outlineLevel="0" collapsed="false">
      <c r="A1034" s="1" t="s">
        <v>666</v>
      </c>
    </row>
    <row r="1035" customFormat="false" ht="17.15" hidden="false" customHeight="false" outlineLevel="0" collapsed="false">
      <c r="A1035" s="0" t="s">
        <v>519</v>
      </c>
      <c r="B1035" s="0" t="s">
        <v>86</v>
      </c>
      <c r="C1035" s="38" t="n">
        <f aca="false">Q!$D$10</f>
        <v>247.029</v>
      </c>
      <c r="D1035" s="38" t="n">
        <f aca="false">Q!$E$10</f>
        <v>269.287</v>
      </c>
      <c r="E1035" s="38" t="n">
        <f aca="false">Q!$P$10</f>
        <v>134.686</v>
      </c>
      <c r="F1035" s="38" t="n">
        <f aca="false">Sens!$O$1035*(1+Sens!$F$1036)*Sens!$F$1047</f>
        <v>158.293876822267</v>
      </c>
      <c r="G1035" s="38" t="n">
        <f aca="false">Sens!$E$1035+Sens!$F$1035</f>
        <v>292.979876822267</v>
      </c>
      <c r="H1035" s="38" t="n">
        <f aca="false">Sens!$G$1035*(1+Sens!$H$1036)</f>
        <v>318.184543087396</v>
      </c>
      <c r="I1035" s="38" t="n">
        <f aca="false">Sens!$H$1035*(1+Sens!$I$1036)</f>
        <v>341.736278761793</v>
      </c>
      <c r="J1035" s="38" t="n">
        <f aca="false">Sens!$I$1035*(1+Sens!$J$1036)</f>
        <v>362.927192787048</v>
      </c>
      <c r="K1035" s="38" t="n">
        <f aca="false">Sens!$J$1035*(1+Sens!$K$1036)</f>
        <v>381.0735524264</v>
      </c>
      <c r="L1035" s="38" t="n">
        <f aca="false">Sens!$K$1035*(1+Sens!$L$1036)</f>
        <v>400.12723004772</v>
      </c>
      <c r="M1035" s="38" t="n">
        <f aca="false">Sens!$L$1035*(1+Sens!$M$1036)</f>
        <v>420.133591550106</v>
      </c>
      <c r="N1035" s="38" t="n">
        <f aca="false">Q!$N$10</f>
        <v>118.892</v>
      </c>
      <c r="O1035" s="38" t="n">
        <f aca="false">Q!$O$10</f>
        <v>150.395</v>
      </c>
      <c r="P1035" s="8" t="s">
        <v>667</v>
      </c>
    </row>
    <row r="1036" customFormat="false" ht="17.15" hidden="false" customHeight="false" outlineLevel="0" collapsed="false">
      <c r="A1036" s="0" t="s">
        <v>668</v>
      </c>
      <c r="B1036" s="0" t="s">
        <v>52</v>
      </c>
      <c r="E1036" s="13" t="n">
        <f aca="false">Sens!$E$1035/Sens!$N$1035-1</f>
        <v>0.132843252699929</v>
      </c>
      <c r="F1036" s="13" t="n">
        <f aca="false">Sens!$O$1035/(Q!$F$10+Q!$G$10)-1</f>
        <v>0.0980382135842941</v>
      </c>
      <c r="G1036" s="13" t="n">
        <f aca="false">Sens!$G$1035/Sens!$D$1035-1</f>
        <v>0.0879837378791657</v>
      </c>
      <c r="H1036" s="13" t="n">
        <f aca="false">Sens!$F$1036+(g_os-Sens!$F$1036)*1/4</f>
        <v>0.0860286601882206</v>
      </c>
      <c r="I1036" s="13" t="n">
        <f aca="false">Sens!$F$1036+(g_os-Sens!$F$1036)*2/4</f>
        <v>0.074019106792147</v>
      </c>
      <c r="J1036" s="13" t="n">
        <f aca="false">Sens!$F$1036+(g_os-Sens!$F$1036)*3/4</f>
        <v>0.0620095533960735</v>
      </c>
      <c r="K1036" s="13" t="n">
        <f aca="false">Sens!$F$1036+(g_os-Sens!$F$1036)*4/4</f>
        <v>0.05</v>
      </c>
      <c r="L1036" s="13" t="n">
        <f aca="false">g_os</f>
        <v>0.05</v>
      </c>
      <c r="M1036" s="13" t="n">
        <f aca="false">g_os</f>
        <v>0.05</v>
      </c>
      <c r="P1036" s="8" t="s">
        <v>669</v>
      </c>
    </row>
    <row r="1037" customFormat="false" ht="17.15" hidden="false" customHeight="false" outlineLevel="0" collapsed="false">
      <c r="A1037" s="0" t="s">
        <v>520</v>
      </c>
      <c r="B1037" s="0" t="s">
        <v>86</v>
      </c>
      <c r="C1037" s="38" t="n">
        <f aca="false">Q!$D$11</f>
        <v>21.215</v>
      </c>
      <c r="D1037" s="38" t="n">
        <f aca="false">Q!$E$11</f>
        <v>22.561</v>
      </c>
      <c r="E1037" s="38" t="n">
        <f aca="false">Q!$P$11</f>
        <v>11.579</v>
      </c>
      <c r="F1037" s="38" t="n">
        <f aca="false">Sens!$O$1037*(1+Sens!$F$1038)*Sens!$F$1047</f>
        <v>11.5938724610325</v>
      </c>
      <c r="G1037" s="38" t="n">
        <f aca="false">Sens!$E$1037+Sens!$F$1037</f>
        <v>23.1728724610325</v>
      </c>
      <c r="H1037" s="38" t="n">
        <f aca="false">Sens!$G$1037*(1+Sens!$H$1038)</f>
        <v>24.353392759506</v>
      </c>
      <c r="I1037" s="38" t="n">
        <f aca="false">Sens!$H$1037*(1+Sens!$I$1038)</f>
        <v>25.4240338872015</v>
      </c>
      <c r="J1037" s="38" t="n">
        <f aca="false">Sens!$I$1037*(1+Sens!$J$1038)</f>
        <v>26.3642491017174</v>
      </c>
      <c r="K1037" s="38" t="n">
        <f aca="false">Sens!$J$1037*(1+Sens!$K$1038)</f>
        <v>27.155176574769</v>
      </c>
      <c r="L1037" s="38" t="n">
        <f aca="false">Sens!$K$1037*(1+Sens!$L$1038)</f>
        <v>27.969831872012</v>
      </c>
      <c r="M1037" s="38" t="n">
        <f aca="false">Sens!$L$1037*(1+Sens!$M$1038)</f>
        <v>28.8089268281724</v>
      </c>
      <c r="N1037" s="38" t="n">
        <f aca="false">Q!$N$11</f>
        <v>11.128</v>
      </c>
      <c r="O1037" s="38" t="n">
        <f aca="false">Q!$O$11</f>
        <v>11.433</v>
      </c>
      <c r="P1037" s="8" t="s">
        <v>667</v>
      </c>
    </row>
    <row r="1038" customFormat="false" ht="17.15" hidden="false" customHeight="false" outlineLevel="0" collapsed="false">
      <c r="A1038" s="0" t="s">
        <v>670</v>
      </c>
      <c r="B1038" s="0" t="s">
        <v>52</v>
      </c>
      <c r="E1038" s="13" t="n">
        <f aca="false">Sens!$E$1037/Sens!$N$1037-1</f>
        <v>0.0405283968368082</v>
      </c>
      <c r="F1038" s="13" t="n">
        <f aca="false">Sens!$O$1037/(Q!$F$11+Q!$G$11)-1</f>
        <v>0.0579254187100955</v>
      </c>
      <c r="G1038" s="13" t="n">
        <f aca="false">Sens!$G$1037/Sens!$D$1037-1</f>
        <v>0.0271208040881397</v>
      </c>
      <c r="H1038" s="13" t="n">
        <f aca="false">Sens!$F$1038+(g_ps-Sens!$F$1038)*1/4</f>
        <v>0.0509440640325716</v>
      </c>
      <c r="I1038" s="13" t="n">
        <f aca="false">Sens!$F$1038+(g_ps-Sens!$F$1038)*2/4</f>
        <v>0.0439627093550477</v>
      </c>
      <c r="J1038" s="13" t="n">
        <f aca="false">Sens!$F$1038+(g_ps-Sens!$F$1038)*3/4</f>
        <v>0.0369813546775239</v>
      </c>
      <c r="K1038" s="13" t="n">
        <f aca="false">Sens!$F$1038+(g_ps-Sens!$F$1038)*4/4</f>
        <v>0.03</v>
      </c>
      <c r="L1038" s="13" t="n">
        <f aca="false">g_ps</f>
        <v>0.03</v>
      </c>
      <c r="M1038" s="13" t="n">
        <f aca="false">g_ps</f>
        <v>0.03</v>
      </c>
      <c r="P1038" s="8" t="s">
        <v>671</v>
      </c>
    </row>
    <row r="1039" customFormat="false" ht="17.15" hidden="false" customHeight="false" outlineLevel="0" collapsed="false">
      <c r="A1039" s="0" t="s">
        <v>521</v>
      </c>
      <c r="B1039" s="0" t="s">
        <v>86</v>
      </c>
      <c r="C1039" s="38" t="n">
        <f aca="false">Q!$D$12</f>
        <v>156.146</v>
      </c>
      <c r="D1039" s="38" t="n">
        <f aca="false">Q!$E$12</f>
        <v>172.162</v>
      </c>
      <c r="E1039" s="38" t="n">
        <f aca="false">Q!$P$12</f>
        <v>88.358</v>
      </c>
      <c r="F1039" s="38" t="n">
        <f aca="false">Sens!$O$1039*(1+Sens!$F$1040)*Sens!$F$1047</f>
        <v>102.004388260171</v>
      </c>
      <c r="G1039" s="38" t="n">
        <f aca="false">Sens!$E$1039+Sens!$F$1039</f>
        <v>190.362388260171</v>
      </c>
      <c r="H1039" s="38" t="n">
        <f aca="false">Sens!$G$1039*(1+Sens!$H$1040)</f>
        <v>210.343106588311</v>
      </c>
      <c r="I1039" s="38" t="n">
        <f aca="false">Sens!$H$1039*(1+Sens!$I$1040)</f>
        <v>229.969728494648</v>
      </c>
      <c r="J1039" s="38" t="n">
        <f aca="false">Sens!$I$1039*(1+Sens!$J$1040)</f>
        <v>248.747636972598</v>
      </c>
      <c r="K1039" s="38" t="n">
        <f aca="false">Sens!$J$1039*(1+Sens!$K$1040)</f>
        <v>266.15997156068</v>
      </c>
      <c r="L1039" s="38" t="n">
        <f aca="false">Sens!$K$1039*(1+Sens!$L$1040)</f>
        <v>284.791169569927</v>
      </c>
      <c r="M1039" s="38" t="n">
        <f aca="false">Sens!$L$1039*(1+Sens!$M$1040)</f>
        <v>304.726551439822</v>
      </c>
      <c r="N1039" s="38" t="n">
        <f aca="false">Q!$N$12</f>
        <v>76.86</v>
      </c>
      <c r="O1039" s="38" t="n">
        <f aca="false">Q!$O$12</f>
        <v>95.302</v>
      </c>
      <c r="P1039" s="8" t="s">
        <v>667</v>
      </c>
    </row>
    <row r="1040" customFormat="false" ht="17.15" hidden="false" customHeight="false" outlineLevel="0" collapsed="false">
      <c r="A1040" s="0" t="s">
        <v>672</v>
      </c>
      <c r="B1040" s="0" t="s">
        <v>52</v>
      </c>
      <c r="E1040" s="13" t="n">
        <f aca="false">Sens!$E$1039/Sens!$N$1039-1</f>
        <v>0.1495966692688</v>
      </c>
      <c r="F1040" s="13" t="n">
        <f aca="false">Sens!$O$1039/(Q!$F$12+Q!$G$12)-1</f>
        <v>0.11661530890813</v>
      </c>
      <c r="G1040" s="13" t="n">
        <f aca="false">Sens!$G$1039/Sens!$D$1039-1</f>
        <v>0.105716640490767</v>
      </c>
      <c r="H1040" s="13" t="n">
        <f aca="false">Sens!$F$1040+(g_sp-Sens!$F$1040)*1/4</f>
        <v>0.104961481681098</v>
      </c>
      <c r="I1040" s="13" t="n">
        <f aca="false">Sens!$F$1040+(g_sp-Sens!$F$1040)*2/4</f>
        <v>0.0933076544540651</v>
      </c>
      <c r="J1040" s="13" t="n">
        <f aca="false">Sens!$F$1040+(g_sp-Sens!$F$1040)*3/4</f>
        <v>0.0816538272270325</v>
      </c>
      <c r="K1040" s="13" t="n">
        <f aca="false">Sens!$F$1040+(g_sp-Sens!$F$1040)*4/4</f>
        <v>0.07</v>
      </c>
      <c r="L1040" s="13" t="n">
        <f aca="false">g_sp</f>
        <v>0.07</v>
      </c>
      <c r="M1040" s="13" t="n">
        <f aca="false">g_sp</f>
        <v>0.07</v>
      </c>
      <c r="P1040" s="8" t="s">
        <v>673</v>
      </c>
    </row>
    <row r="1041" customFormat="false" ht="17.15" hidden="false" customHeight="false" outlineLevel="0" collapsed="false">
      <c r="A1041" s="0" t="s">
        <v>522</v>
      </c>
      <c r="B1041" s="0" t="s">
        <v>86</v>
      </c>
      <c r="C1041" s="38" t="n">
        <f aca="false">Q!$D$13</f>
        <v>56.214</v>
      </c>
      <c r="D1041" s="38" t="n">
        <f aca="false">Q!$E$13</f>
        <v>68.635</v>
      </c>
      <c r="E1041" s="38" t="n">
        <f aca="false">Q!$P$13</f>
        <v>37.052</v>
      </c>
      <c r="F1041" s="38" t="n">
        <f aca="false">Sens!$O$1041*(1+Sens!$F$1042)*Sens!$F$1047</f>
        <v>46.1572219944148</v>
      </c>
      <c r="G1041" s="38" t="n">
        <f aca="false">Sens!$E$1041+Sens!$F$1041</f>
        <v>83.2092219944148</v>
      </c>
      <c r="H1041" s="38" t="n">
        <f aca="false">Sens!$G$1041*(1+Sens!$H$1042)</f>
        <v>99.8969223878976</v>
      </c>
      <c r="I1041" s="38" t="n">
        <f aca="false">Sens!$H$1041*(1+Sens!$I$1042)</f>
        <v>116.583111095496</v>
      </c>
      <c r="J1041" s="38" t="n">
        <f aca="false">Sens!$I$1041*(1+Sens!$J$1042)</f>
        <v>132.148941941952</v>
      </c>
      <c r="K1041" s="38" t="n">
        <f aca="false">Sens!$J$1041*(1+Sens!$K$1042)</f>
        <v>145.363836136147</v>
      </c>
      <c r="L1041" s="38" t="n">
        <f aca="false">Sens!$K$1041*(1+Sens!$L$1042)</f>
        <v>159.900219749762</v>
      </c>
      <c r="M1041" s="38" t="n">
        <f aca="false">Sens!$L$1041*(1+Sens!$M$1042)</f>
        <v>175.890241724738</v>
      </c>
      <c r="N1041" s="38" t="n">
        <f aca="false">Q!$N$13</f>
        <v>29.615</v>
      </c>
      <c r="O1041" s="38" t="n">
        <f aca="false">Q!$O$13</f>
        <v>39.02</v>
      </c>
      <c r="P1041" s="8" t="s">
        <v>667</v>
      </c>
    </row>
    <row r="1042" customFormat="false" ht="17.15" hidden="false" customHeight="false" outlineLevel="0" collapsed="false">
      <c r="A1042" s="0" t="s">
        <v>674</v>
      </c>
      <c r="B1042" s="0" t="s">
        <v>52</v>
      </c>
      <c r="E1042" s="13" t="n">
        <f aca="false">Sens!$E$1041/Sens!$N$1041-1</f>
        <v>0.25112274185379</v>
      </c>
      <c r="F1042" s="13" t="n">
        <f aca="false">Sens!$O$1041/(Q!$F$13+Q!$G$13)-1</f>
        <v>0.234068123596572</v>
      </c>
      <c r="G1042" s="13" t="n">
        <f aca="false">Sens!$G$1041/Sens!$D$1041-1</f>
        <v>0.212343876949294</v>
      </c>
      <c r="H1042" s="13" t="n">
        <f aca="false">Sens!$F$1042+(g_ad-Sens!$F$1042)*1/4</f>
        <v>0.200551092697429</v>
      </c>
      <c r="I1042" s="13" t="n">
        <f aca="false">Sens!$F$1042+(g_ad-Sens!$F$1042)*2/4</f>
        <v>0.167034061798286</v>
      </c>
      <c r="J1042" s="13" t="n">
        <f aca="false">Sens!$F$1042+(g_ad-Sens!$F$1042)*3/4</f>
        <v>0.133517030899143</v>
      </c>
      <c r="K1042" s="13" t="n">
        <f aca="false">Sens!$F$1042+(g_ad-Sens!$F$1042)*4/4</f>
        <v>0.1</v>
      </c>
      <c r="L1042" s="13" t="n">
        <f aca="false">g_ad</f>
        <v>0.1</v>
      </c>
      <c r="M1042" s="13" t="n">
        <f aca="false">g_ad</f>
        <v>0.1</v>
      </c>
      <c r="P1042" s="8" t="s">
        <v>675</v>
      </c>
    </row>
    <row r="1043" customFormat="false" ht="17.15" hidden="false" customHeight="false" outlineLevel="0" collapsed="false">
      <c r="A1043" s="0" t="s">
        <v>523</v>
      </c>
      <c r="B1043" s="0" t="s">
        <v>86</v>
      </c>
      <c r="C1043" s="38" t="n">
        <f aca="false">Q!$D$14</f>
        <v>44.374</v>
      </c>
      <c r="D1043" s="38" t="n">
        <f aca="false">Q!$E$14</f>
        <v>49.619</v>
      </c>
      <c r="E1043" s="38" t="n">
        <f aca="false">Q!$P$14</f>
        <v>27.157</v>
      </c>
      <c r="F1043" s="38" t="n">
        <f aca="false">Sens!$O$1043*(1+Sens!$F$1044)*Sens!$F$1047</f>
        <v>27.7764165988154</v>
      </c>
      <c r="G1043" s="38" t="n">
        <f aca="false">Sens!$E$1043+Sens!$F$1043</f>
        <v>54.9334165988154</v>
      </c>
      <c r="H1043" s="38" t="n">
        <f aca="false">Sens!$G$1043*(1+Sens!$H$1044)</f>
        <v>61.1564112561829</v>
      </c>
      <c r="I1043" s="38" t="n">
        <f aca="false">Sens!$H$1043*(1+Sens!$I$1044)</f>
        <v>67.2020282103945</v>
      </c>
      <c r="J1043" s="38" t="n">
        <f aca="false">Sens!$I$1043*(1+Sens!$J$1044)</f>
        <v>72.8757274028885</v>
      </c>
      <c r="K1043" s="38" t="n">
        <f aca="false">Sens!$J$1043*(1+Sens!$K$1044)</f>
        <v>77.9770283210907</v>
      </c>
      <c r="L1043" s="38" t="n">
        <f aca="false">Sens!$K$1043*(1+Sens!$L$1044)</f>
        <v>83.4354203035671</v>
      </c>
      <c r="M1043" s="38" t="n">
        <f aca="false">Sens!$L$1043*(1+Sens!$M$1044)</f>
        <v>89.2758997248168</v>
      </c>
      <c r="N1043" s="38" t="n">
        <f aca="false">Q!$N$14</f>
        <v>23.923</v>
      </c>
      <c r="O1043" s="38" t="n">
        <f aca="false">Q!$O$14</f>
        <v>25.696</v>
      </c>
      <c r="P1043" s="8" t="s">
        <v>667</v>
      </c>
    </row>
    <row r="1044" customFormat="false" ht="17.15" hidden="false" customHeight="false" outlineLevel="0" collapsed="false">
      <c r="A1044" s="0" t="s">
        <v>676</v>
      </c>
      <c r="B1044" s="0" t="s">
        <v>52</v>
      </c>
      <c r="E1044" s="13" t="n">
        <f aca="false">Sens!$E$1043/Sens!$N$1043-1</f>
        <v>0.135183714417088</v>
      </c>
      <c r="F1044" s="13" t="n">
        <f aca="false">Sens!$O$1043/(Q!$F$14+Q!$G$14)-1</f>
        <v>0.127709997366804</v>
      </c>
      <c r="G1044" s="13" t="n">
        <f aca="false">Sens!$G$1043/Sens!$D$1043-1</f>
        <v>0.107104468022641</v>
      </c>
      <c r="H1044" s="13" t="n">
        <f aca="false">Sens!$F$1044+(g_sub-Sens!$F$1044)*1/4</f>
        <v>0.113282498025103</v>
      </c>
      <c r="I1044" s="13" t="n">
        <f aca="false">Sens!$F$1044+(g_sub-Sens!$F$1044)*2/4</f>
        <v>0.0988549986834021</v>
      </c>
      <c r="J1044" s="13" t="n">
        <f aca="false">Sens!$F$1044+(g_sub-Sens!$F$1044)*3/4</f>
        <v>0.084427499341701</v>
      </c>
      <c r="K1044" s="13" t="n">
        <f aca="false">Sens!$F$1044+(g_sub-Sens!$F$1044)*4/4</f>
        <v>0.07</v>
      </c>
      <c r="L1044" s="13" t="n">
        <f aca="false">g_sub</f>
        <v>0.07</v>
      </c>
      <c r="M1044" s="13" t="n">
        <f aca="false">g_sub</f>
        <v>0.07</v>
      </c>
      <c r="P1044" s="8" t="s">
        <v>677</v>
      </c>
    </row>
    <row r="1045" customFormat="false" ht="17.15" hidden="false" customHeight="false" outlineLevel="0" collapsed="false">
      <c r="A1045" s="0" t="s">
        <v>524</v>
      </c>
      <c r="B1045" s="0" t="s">
        <v>86</v>
      </c>
      <c r="C1045" s="38" t="n">
        <f aca="false">Q!$D$15</f>
        <v>5.425</v>
      </c>
      <c r="D1045" s="38" t="n">
        <f aca="false">Q!$E$15</f>
        <v>5.935</v>
      </c>
      <c r="E1045" s="38" t="n">
        <f aca="false">Q!$P$15</f>
        <v>3.474</v>
      </c>
      <c r="F1045" s="38" t="n">
        <f aca="false">Sens!$O$1045*(1+Sens!$F$1046)*Sens!$F$1047</f>
        <v>3.22246550883619</v>
      </c>
      <c r="G1045" s="38" t="n">
        <f aca="false">Sens!$E$1045+Sens!$F$1045</f>
        <v>6.69646550883619</v>
      </c>
      <c r="H1045" s="38" t="n">
        <f aca="false">Sens!$G$1045*(1+Sens!$H$1046)</f>
        <v>7.16251344209196</v>
      </c>
      <c r="I1045" s="38" t="n">
        <f aca="false">Sens!$H$1045*(1+Sens!$I$1046)</f>
        <v>7.61421070299826</v>
      </c>
      <c r="J1045" s="38" t="n">
        <f aca="false">Sens!$I$1045*(1+Sens!$J$1046)</f>
        <v>8.04465753523932</v>
      </c>
      <c r="K1045" s="38" t="n">
        <f aca="false">Sens!$J$1045*(1+Sens!$K$1046)</f>
        <v>8.44689041200128</v>
      </c>
      <c r="L1045" s="38" t="n">
        <f aca="false">Sens!$K$1045*(1+Sens!$L$1046)</f>
        <v>8.86923493260135</v>
      </c>
      <c r="M1045" s="38" t="n">
        <f aca="false">Sens!$L$1045*(1+Sens!$M$1046)</f>
        <v>9.31269667923142</v>
      </c>
      <c r="N1045" s="38" t="n">
        <f aca="false">Q!$N$15</f>
        <v>2.811</v>
      </c>
      <c r="O1045" s="38" t="n">
        <f aca="false">Q!$O$15</f>
        <v>3.124</v>
      </c>
      <c r="P1045" s="8" t="s">
        <v>667</v>
      </c>
    </row>
    <row r="1046" customFormat="false" ht="17.15" hidden="false" customHeight="false" outlineLevel="0" collapsed="false">
      <c r="A1046" s="0" t="s">
        <v>678</v>
      </c>
      <c r="B1046" s="0" t="s">
        <v>52</v>
      </c>
      <c r="E1046" s="13" t="n">
        <f aca="false">Sens!$E$1045/Sens!$N$1045-1</f>
        <v>0.235859124866596</v>
      </c>
      <c r="F1046" s="13" t="n">
        <f aca="false">Sens!$O$1045/(Q!$F$15+Q!$G$15)-1</f>
        <v>0.0761281433000345</v>
      </c>
      <c r="G1046" s="13" t="n">
        <f aca="false">Sens!$G$1045/Sens!$D$1045-1</f>
        <v>0.128300843948811</v>
      </c>
      <c r="H1046" s="13" t="n">
        <f aca="false">Sens!$F$1046+(g_ot-Sens!$F$1046)*1/4</f>
        <v>0.0695961074750259</v>
      </c>
      <c r="I1046" s="13" t="n">
        <f aca="false">Sens!$F$1046+(g_ot-Sens!$F$1046)*2/4</f>
        <v>0.0630640716500172</v>
      </c>
      <c r="J1046" s="13" t="n">
        <f aca="false">Sens!$F$1046+(g_ot-Sens!$F$1046)*3/4</f>
        <v>0.0565320358250086</v>
      </c>
      <c r="K1046" s="13" t="n">
        <f aca="false">Sens!$F$1046+(g_ot-Sens!$F$1046)*4/4</f>
        <v>0.05</v>
      </c>
      <c r="L1046" s="13" t="n">
        <f aca="false">g_ot</f>
        <v>0.05</v>
      </c>
      <c r="M1046" s="13" t="n">
        <f aca="false">g_ot</f>
        <v>0.05</v>
      </c>
      <c r="P1046" s="8" t="s">
        <v>679</v>
      </c>
    </row>
    <row r="1047" customFormat="false" ht="17.15" hidden="false" customHeight="false" outlineLevel="0" collapsed="false">
      <c r="A1047" s="0" t="s">
        <v>680</v>
      </c>
      <c r="B1047" s="0" t="s">
        <v>57</v>
      </c>
      <c r="F1047" s="40" t="n">
        <f aca="false">(g26q3_mid*Q!$O$8/Q!$J$8-Thesis!$F$86-Thesis!$F$90)/(Sens!$O$1035*(1+Sens!$F$1036)+Sens!$O$1037*(1+Sens!$F$1038)+Sens!$O$1039*(1+Sens!$F$1040)+Sens!$O$1041*(1+Sens!$F$1042)+Sens!$O$1043*(1+Sens!$F$1044)+Sens!$O$1045*(1+Sens!$F$1046))</f>
        <v>0.958546670622329</v>
      </c>
      <c r="P1047" s="8" t="s">
        <v>681</v>
      </c>
    </row>
    <row r="1048" customFormat="false" ht="17.15" hidden="false" customHeight="false" outlineLevel="0" collapsed="false">
      <c r="A1048" s="3" t="s">
        <v>682</v>
      </c>
      <c r="B1048" s="8" t="s">
        <v>86</v>
      </c>
      <c r="C1048" s="38" t="n">
        <f aca="false">Sens!$C$1035+Sens!$C$1037+Sens!$C$1039+Sens!$C$1041+Sens!$C$1043+Sens!$C$1045</f>
        <v>530.403</v>
      </c>
      <c r="D1048" s="38" t="n">
        <f aca="false">Sens!$D$1035+Sens!$D$1037+Sens!$D$1039+Sens!$D$1041+Sens!$D$1043+Sens!$D$1045</f>
        <v>588.199</v>
      </c>
      <c r="E1048" s="38" t="n">
        <f aca="false">Sens!$E$1035+Sens!$E$1037+Sens!$E$1039+Sens!$E$1041+Sens!$E$1043+Sens!$E$1045</f>
        <v>302.306</v>
      </c>
      <c r="F1048" s="38" t="n">
        <f aca="false">Sens!$F$1035+Sens!$F$1037+Sens!$F$1039+Sens!$F$1041+Sens!$F$1043+Sens!$F$1045</f>
        <v>349.048241645537</v>
      </c>
      <c r="G1048" s="38" t="n">
        <f aca="false">Sens!$G$1035+Sens!$G$1037+Sens!$G$1039+Sens!$G$1041+Sens!$G$1043+Sens!$G$1045</f>
        <v>651.354241645537</v>
      </c>
      <c r="H1048" s="38" t="n">
        <f aca="false">Sens!$H$1035+Sens!$H$1037+Sens!$H$1039+Sens!$H$1041+Sens!$H$1043+Sens!$H$1045</f>
        <v>721.096889521386</v>
      </c>
      <c r="I1048" s="38" t="n">
        <f aca="false">Sens!$I$1035+Sens!$I$1037+Sens!$I$1039+Sens!$I$1041+Sens!$I$1043+Sens!$I$1045</f>
        <v>788.529391152531</v>
      </c>
      <c r="J1048" s="38" t="n">
        <f aca="false">Sens!$J$1035+Sens!$J$1037+Sens!$J$1039+Sens!$J$1041+Sens!$J$1043+Sens!$J$1045</f>
        <v>851.108405741443</v>
      </c>
      <c r="K1048" s="38" t="n">
        <f aca="false">Sens!$K$1035+Sens!$K$1037+Sens!$K$1039+Sens!$K$1041+Sens!$K$1043+Sens!$K$1045</f>
        <v>906.176455431088</v>
      </c>
      <c r="L1048" s="38" t="n">
        <f aca="false">Sens!$L$1035+Sens!$L$1037+Sens!$L$1039+Sens!$L$1041+Sens!$L$1043+Sens!$L$1045</f>
        <v>965.093106475589</v>
      </c>
      <c r="M1048" s="38" t="n">
        <f aca="false">Sens!$M$1035+Sens!$M$1037+Sens!$M$1039+Sens!$M$1041+Sens!$M$1043+Sens!$M$1045</f>
        <v>1028.14790794689</v>
      </c>
      <c r="N1048" s="38" t="n">
        <f aca="false">Sens!$N$1035+Sens!$N$1037+Sens!$N$1039+Sens!$N$1041+Sens!$N$1043+Sens!$N$1045</f>
        <v>263.229</v>
      </c>
      <c r="O1048" s="38" t="n">
        <f aca="false">Sens!$O$1035+Sens!$O$1037+Sens!$O$1039+Sens!$O$1041+Sens!$O$1043+Sens!$O$1045</f>
        <v>324.97</v>
      </c>
    </row>
    <row r="1049" customFormat="false" ht="17.15" hidden="false" customHeight="false" outlineLevel="0" collapsed="false">
      <c r="A1049" s="5" t="s">
        <v>683</v>
      </c>
      <c r="B1049" s="0" t="s">
        <v>52</v>
      </c>
      <c r="C1049" s="13" t="n">
        <f aca="false">Q!$D$5/(Q!$D$5+Q!$D$6)</f>
        <v>0.730570905519011</v>
      </c>
      <c r="D1049" s="13" t="n">
        <f aca="false">Q!$E$5/(Q!$E$5+Q!$E$6)</f>
        <v>0.724763217890544</v>
      </c>
      <c r="E1049" s="13" t="n">
        <f aca="false">Q!$P$5/(Q!$P$5+Q!$P$6)</f>
        <v>0.728797972914861</v>
      </c>
      <c r="F1049" s="13" t="n">
        <f aca="false">Sens!$O$1049</f>
        <v>0.718066283041511</v>
      </c>
      <c r="G1049" s="13" t="n">
        <f aca="false">Sens!$G$1050/Sens!$G$1048</f>
        <v>0.723047066202847</v>
      </c>
      <c r="H1049" s="13" t="n">
        <f aca="false">Sens!$G$1049</f>
        <v>0.723047066202847</v>
      </c>
      <c r="I1049" s="13" t="n">
        <f aca="false">Sens!$G$1049</f>
        <v>0.723047066202847</v>
      </c>
      <c r="J1049" s="13" t="n">
        <f aca="false">Sens!$G$1049</f>
        <v>0.723047066202847</v>
      </c>
      <c r="K1049" s="13" t="n">
        <f aca="false">Sens!$G$1049</f>
        <v>0.723047066202847</v>
      </c>
      <c r="L1049" s="13" t="n">
        <f aca="false">Sens!$G$1049</f>
        <v>0.723047066202847</v>
      </c>
      <c r="M1049" s="13" t="n">
        <f aca="false">Sens!$G$1049</f>
        <v>0.723047066202847</v>
      </c>
      <c r="N1049" s="13" t="n">
        <f aca="false">Q!$N$5/(Q!$N$5+Q!$N$6)</f>
        <v>0.733030935041352</v>
      </c>
      <c r="O1049" s="13" t="n">
        <f aca="false">Q!$O$5/(Q!$O$5+Q!$O$6)</f>
        <v>0.718066283041511</v>
      </c>
      <c r="P1049" s="8" t="s">
        <v>684</v>
      </c>
    </row>
    <row r="1050" customFormat="false" ht="17.15" hidden="false" customHeight="false" outlineLevel="0" collapsed="false">
      <c r="A1050" s="1" t="s">
        <v>512</v>
      </c>
      <c r="B1050" s="8" t="s">
        <v>86</v>
      </c>
      <c r="C1050" s="38" t="n">
        <f aca="false">Q!$D$5</f>
        <v>387.497</v>
      </c>
      <c r="D1050" s="38" t="n">
        <f aca="false">Q!$E$5</f>
        <v>426.305</v>
      </c>
      <c r="E1050" s="38" t="n">
        <f aca="false">Q!$P$5</f>
        <v>220.32</v>
      </c>
      <c r="F1050" s="38" t="n">
        <f aca="false">Sens!$F$1048*Sens!$F$1049</f>
        <v>250.639773480586</v>
      </c>
      <c r="G1050" s="38" t="n">
        <f aca="false">Sens!$E$1050+Sens!$F$1050</f>
        <v>470.959773480586</v>
      </c>
      <c r="H1050" s="38" t="n">
        <f aca="false">Sens!$H$1048*Sens!$H$1049</f>
        <v>521.386990416437</v>
      </c>
      <c r="I1050" s="38" t="n">
        <f aca="false">Sens!$I$1048*Sens!$I$1049</f>
        <v>570.143862887555</v>
      </c>
      <c r="J1050" s="38" t="n">
        <f aca="false">Sens!$J$1048*Sens!$J$1049</f>
        <v>615.391435791933</v>
      </c>
      <c r="K1050" s="38" t="n">
        <f aca="false">Sens!$K$1048*Sens!$K$1049</f>
        <v>655.208227561543</v>
      </c>
      <c r="L1050" s="38" t="n">
        <f aca="false">Sens!$L$1048*Sens!$L$1049</f>
        <v>697.807739249767</v>
      </c>
      <c r="M1050" s="38" t="n">
        <f aca="false">Sens!$M$1048*Sens!$M$1049</f>
        <v>743.399328463592</v>
      </c>
      <c r="N1050" s="38" t="n">
        <f aca="false">Q!$N$5</f>
        <v>192.955</v>
      </c>
      <c r="O1050" s="38" t="n">
        <f aca="false">Q!$O$5</f>
        <v>233.35</v>
      </c>
      <c r="P1050" s="5" t="s">
        <v>685</v>
      </c>
    </row>
    <row r="1051" customFormat="false" ht="17.15" hidden="false" customHeight="false" outlineLevel="0" collapsed="false">
      <c r="A1051" s="1" t="s">
        <v>515</v>
      </c>
      <c r="B1051" s="8" t="s">
        <v>86</v>
      </c>
      <c r="C1051" s="38" t="n">
        <f aca="false">Q!$D$6</f>
        <v>142.906</v>
      </c>
      <c r="D1051" s="38" t="n">
        <f aca="false">Q!$E$6</f>
        <v>161.894</v>
      </c>
      <c r="E1051" s="38" t="n">
        <f aca="false">Q!$P$6</f>
        <v>81.986</v>
      </c>
      <c r="F1051" s="38" t="n">
        <f aca="false">Sens!$F$1048*(1-Sens!$F$1049)</f>
        <v>98.408468164951</v>
      </c>
      <c r="G1051" s="38" t="n">
        <f aca="false">Sens!$E$1051+Sens!$F$1051</f>
        <v>180.394468164951</v>
      </c>
      <c r="H1051" s="38" t="n">
        <f aca="false">Sens!$H$1048*(1-Sens!$H$1049)</f>
        <v>199.709899104949</v>
      </c>
      <c r="I1051" s="38" t="n">
        <f aca="false">Sens!$I$1048*(1-Sens!$I$1049)</f>
        <v>218.385528264976</v>
      </c>
      <c r="J1051" s="38" t="n">
        <f aca="false">Sens!$J$1048*(1-Sens!$J$1049)</f>
        <v>235.71696994951</v>
      </c>
      <c r="K1051" s="38" t="n">
        <f aca="false">Sens!$K$1048*(1-Sens!$K$1049)</f>
        <v>250.968227869545</v>
      </c>
      <c r="L1051" s="38" t="n">
        <f aca="false">Sens!$L$1048*(1-Sens!$L$1049)</f>
        <v>267.285367225822</v>
      </c>
      <c r="M1051" s="38" t="n">
        <f aca="false">Sens!$M$1048*(1-Sens!$M$1049)</f>
        <v>284.748579483295</v>
      </c>
      <c r="N1051" s="38" t="n">
        <f aca="false">Q!$N$6</f>
        <v>70.274</v>
      </c>
      <c r="O1051" s="38" t="n">
        <f aca="false">Q!$O$6</f>
        <v>91.62</v>
      </c>
      <c r="P1051" s="5" t="s">
        <v>686</v>
      </c>
    </row>
    <row r="1052" customFormat="false" ht="17.15" hidden="false" customHeight="false" outlineLevel="0" collapsed="false">
      <c r="A1052" s="5" t="s">
        <v>687</v>
      </c>
      <c r="B1052" s="0" t="s">
        <v>86</v>
      </c>
      <c r="C1052" s="38" t="n">
        <f aca="false">Sens!$C$1041*Sens!$C$1049</f>
        <v>41.0683128828457</v>
      </c>
      <c r="D1052" s="38" t="n">
        <f aca="false">Sens!$D$1041*Sens!$D$1049</f>
        <v>49.7441234599175</v>
      </c>
      <c r="E1052" s="38" t="n">
        <f aca="false">Sens!$E$1041*Sens!$E$1049</f>
        <v>27.0034224924414</v>
      </c>
      <c r="F1052" s="38" t="n">
        <f aca="false">Sens!$F$1041*Sens!$F$1049</f>
        <v>33.1439448330513</v>
      </c>
      <c r="G1052" s="38" t="n">
        <f aca="false">Sens!$G$1041*Sens!$G$1049</f>
        <v>60.164183844083</v>
      </c>
      <c r="H1052" s="38" t="n">
        <f aca="false">Sens!$H$1041*Sens!$H$1049</f>
        <v>72.2301766552629</v>
      </c>
      <c r="I1052" s="38" t="n">
        <f aca="false">Sens!$I$1041*Sens!$I$1049</f>
        <v>84.2950764463991</v>
      </c>
      <c r="J1052" s="38" t="n">
        <f aca="false">Sens!$J$1041*Sens!$J$1049</f>
        <v>95.5499047729386</v>
      </c>
      <c r="K1052" s="38" t="n">
        <f aca="false">Sens!$K$1041*Sens!$K$1049</f>
        <v>105.104895250232</v>
      </c>
      <c r="L1052" s="38" t="n">
        <f aca="false">Sens!$L$1041*Sens!$L$1049</f>
        <v>115.615384775256</v>
      </c>
      <c r="M1052" s="38" t="n">
        <f aca="false">Sens!$M$1041*Sens!$M$1049</f>
        <v>127.176923252781</v>
      </c>
      <c r="N1052" s="38" t="n">
        <f aca="false">Sens!$N$1041*Sens!$N$1049</f>
        <v>21.7087111412496</v>
      </c>
      <c r="O1052" s="38" t="n">
        <f aca="false">Sens!$O$1041*Sens!$O$1049</f>
        <v>28.0189463642798</v>
      </c>
      <c r="P1052" s="5" t="s">
        <v>688</v>
      </c>
    </row>
    <row r="1053" customFormat="false" ht="15" hidden="false" customHeight="false" outlineLevel="0" collapsed="false">
      <c r="A1053" s="5" t="s">
        <v>689</v>
      </c>
      <c r="B1053" s="0" t="s">
        <v>86</v>
      </c>
      <c r="C1053" s="38" t="n">
        <f aca="false">Sens!$C$1041-Sens!$C$1052</f>
        <v>15.1456871171543</v>
      </c>
      <c r="D1053" s="38" t="n">
        <f aca="false">Sens!$D$1041-Sens!$D$1052</f>
        <v>18.8908765400825</v>
      </c>
      <c r="E1053" s="38" t="n">
        <f aca="false">Sens!$E$1041-Sens!$E$1052</f>
        <v>10.0485775075586</v>
      </c>
      <c r="F1053" s="38" t="n">
        <f aca="false">Sens!$F$1041-Sens!$F$1052</f>
        <v>13.0132771613635</v>
      </c>
      <c r="G1053" s="38" t="n">
        <f aca="false">Sens!$G$1041-Sens!$G$1052</f>
        <v>23.0450381503318</v>
      </c>
      <c r="H1053" s="38" t="n">
        <f aca="false">Sens!$H$1041-Sens!$H$1052</f>
        <v>27.6667457326347</v>
      </c>
      <c r="I1053" s="38" t="n">
        <f aca="false">Sens!$I$1041-Sens!$I$1052</f>
        <v>32.2880346490971</v>
      </c>
      <c r="J1053" s="38" t="n">
        <f aca="false">Sens!$J$1041-Sens!$J$1052</f>
        <v>36.5990371690132</v>
      </c>
      <c r="K1053" s="38" t="n">
        <f aca="false">Sens!$K$1041-Sens!$K$1052</f>
        <v>40.2589408859145</v>
      </c>
      <c r="L1053" s="38" t="n">
        <f aca="false">Sens!$L$1041-Sens!$L$1052</f>
        <v>44.2848349745059</v>
      </c>
      <c r="M1053" s="38" t="n">
        <f aca="false">Sens!$M$1041-Sens!$M$1052</f>
        <v>48.7133184719565</v>
      </c>
      <c r="N1053" s="38" t="n">
        <f aca="false">Sens!$N$1041-Sens!$N$1052</f>
        <v>7.90628885875037</v>
      </c>
      <c r="O1053" s="38" t="n">
        <f aca="false">Sens!$O$1041-Sens!$O$1052</f>
        <v>11.0010536357202</v>
      </c>
    </row>
    <row r="1054" customFormat="false" ht="19.4" hidden="false" customHeight="false" outlineLevel="0" collapsed="false">
      <c r="A1054" s="31" t="s">
        <v>1156</v>
      </c>
    </row>
    <row r="1055" customFormat="false" ht="17.15" hidden="false" customHeight="false" outlineLevel="0" collapsed="false">
      <c r="A1055" s="6" t="s">
        <v>16</v>
      </c>
      <c r="B1055" s="6" t="s">
        <v>17</v>
      </c>
      <c r="C1055" s="20" t="s">
        <v>497</v>
      </c>
      <c r="D1055" s="20" t="s">
        <v>498</v>
      </c>
      <c r="E1055" s="20" t="s">
        <v>580</v>
      </c>
      <c r="F1055" s="20" t="s">
        <v>581</v>
      </c>
      <c r="G1055" s="20" t="s">
        <v>582</v>
      </c>
      <c r="H1055" s="20" t="s">
        <v>583</v>
      </c>
      <c r="I1055" s="20" t="s">
        <v>584</v>
      </c>
      <c r="J1055" s="20" t="s">
        <v>585</v>
      </c>
      <c r="K1055" s="20" t="s">
        <v>586</v>
      </c>
      <c r="L1055" s="20" t="s">
        <v>587</v>
      </c>
      <c r="M1055" s="20" t="s">
        <v>588</v>
      </c>
      <c r="N1055" s="20" t="s">
        <v>589</v>
      </c>
      <c r="O1055" s="20" t="s">
        <v>590</v>
      </c>
      <c r="P1055" s="6" t="s">
        <v>23</v>
      </c>
      <c r="R1055" s="20" t="n">
        <v>2023</v>
      </c>
      <c r="S1055" s="20" t="n">
        <v>2024</v>
      </c>
      <c r="T1055" s="20" t="n">
        <v>2025</v>
      </c>
      <c r="U1055" s="20" t="n">
        <v>2026</v>
      </c>
      <c r="V1055" s="20" t="n">
        <v>2027</v>
      </c>
      <c r="W1055" s="20" t="n">
        <v>2028</v>
      </c>
      <c r="X1055" s="20" t="n">
        <v>2029</v>
      </c>
      <c r="Y1055" s="20" t="n">
        <v>2030</v>
      </c>
      <c r="Z1055" s="20" t="n">
        <v>2031</v>
      </c>
      <c r="AA1055" s="20" t="n">
        <v>2032</v>
      </c>
    </row>
    <row r="1056" customFormat="false" ht="17.15" hidden="false" customHeight="false" outlineLevel="0" collapsed="false">
      <c r="A1056" s="1" t="s">
        <v>591</v>
      </c>
    </row>
    <row r="1057" customFormat="false" ht="17.15" hidden="false" customHeight="false" outlineLevel="0" collapsed="false">
      <c r="A1057" s="5" t="s">
        <v>592</v>
      </c>
      <c r="B1057" s="0" t="s">
        <v>144</v>
      </c>
      <c r="H1057" s="32" t="n">
        <f aca="false">pace_B</f>
        <v>3634.3</v>
      </c>
      <c r="I1057" s="32" t="n">
        <f aca="false">pace_B</f>
        <v>3634.3</v>
      </c>
      <c r="J1057" s="32" t="n">
        <f aca="false">pace_B</f>
        <v>3634.3</v>
      </c>
      <c r="K1057" s="32" t="n">
        <f aca="false">pace_B+(Sens!$J$1058*tg-pace_B)*1/3</f>
        <v>2570.86716666667</v>
      </c>
      <c r="L1057" s="32" t="n">
        <f aca="false">pace_B+(Sens!$J$1058*tg-pace_B)*2/3</f>
        <v>1507.43433333333</v>
      </c>
      <c r="M1057" s="32" t="n">
        <f aca="false">pace_B+(Sens!$J$1058*tg-pace_B)*3/3</f>
        <v>444.0015</v>
      </c>
      <c r="P1057" s="5" t="s">
        <v>593</v>
      </c>
    </row>
    <row r="1058" customFormat="false" ht="17.15" hidden="false" customHeight="false" outlineLevel="0" collapsed="false">
      <c r="A1058" s="15" t="s">
        <v>594</v>
      </c>
      <c r="B1058" s="14" t="s">
        <v>129</v>
      </c>
      <c r="C1058" s="33" t="n">
        <f aca="false">mw_ye24</f>
        <v>360</v>
      </c>
      <c r="D1058" s="33" t="n">
        <f aca="false">mw_ye25</f>
        <v>1440</v>
      </c>
      <c r="E1058" s="33" t="n">
        <f aca="false">mw_open</f>
        <v>2080</v>
      </c>
      <c r="F1058" s="33" t="n">
        <f aca="false">Sens!$E$1058+pace_B*0.5</f>
        <v>3897.15</v>
      </c>
      <c r="G1058" s="33" t="n">
        <f aca="false">Sens!$F$1058</f>
        <v>3897.15</v>
      </c>
      <c r="H1058" s="33" t="n">
        <f aca="false">Sens!$G$1058+Sens!$H$1057</f>
        <v>7531.45</v>
      </c>
      <c r="I1058" s="33" t="n">
        <f aca="false">Sens!$H$1058+Sens!$I$1057</f>
        <v>11165.75</v>
      </c>
      <c r="J1058" s="33" t="n">
        <f aca="false">Sens!$I$1058+Sens!$J$1057</f>
        <v>14800.05</v>
      </c>
      <c r="K1058" s="33" t="n">
        <f aca="false">Sens!$J$1058+Sens!$K$1057</f>
        <v>17370.9171666667</v>
      </c>
      <c r="L1058" s="33" t="n">
        <f aca="false">Sens!$K$1058+Sens!$L$1057</f>
        <v>18878.3515</v>
      </c>
      <c r="M1058" s="33" t="n">
        <f aca="false">Sens!$L$1058+Sens!$M$1057</f>
        <v>19322.353</v>
      </c>
      <c r="N1058" s="33" t="n">
        <f aca="false">(mw_ye24+mw_ye25)/2</f>
        <v>900</v>
      </c>
      <c r="O1058" s="33" t="n">
        <f aca="false">mw_ye25</f>
        <v>1440</v>
      </c>
      <c r="P1058" s="5" t="s">
        <v>595</v>
      </c>
    </row>
    <row r="1059" customFormat="false" ht="17.15" hidden="false" customHeight="false" outlineLevel="0" collapsed="false">
      <c r="A1059" s="5" t="s">
        <v>596</v>
      </c>
      <c r="B1059" s="0" t="s">
        <v>129</v>
      </c>
      <c r="C1059" s="32" t="n">
        <f aca="false">(mw_ye23+mw_ye24)/2</f>
        <v>240</v>
      </c>
      <c r="D1059" s="32" t="n">
        <f aca="false">(Sens!$C$1058+Sens!$D$1058)/2</f>
        <v>900</v>
      </c>
      <c r="E1059" s="32" t="n">
        <f aca="false">(Sens!$D$1058+Sens!$E$1058)/2</f>
        <v>1760</v>
      </c>
      <c r="F1059" s="32" t="n">
        <f aca="false">(Sens!$E$1058+Sens!$F$1058)/2</f>
        <v>2988.575</v>
      </c>
      <c r="G1059" s="32" t="n">
        <f aca="false">(Sens!$E$1059+Sens!$F$1059)/2</f>
        <v>2374.2875</v>
      </c>
      <c r="H1059" s="32" t="n">
        <f aca="false">(Sens!$G$1058+Sens!$H$1058)/2</f>
        <v>5714.3</v>
      </c>
      <c r="I1059" s="32" t="n">
        <f aca="false">(Sens!$H$1058+Sens!$I$1058)/2</f>
        <v>9348.6</v>
      </c>
      <c r="J1059" s="32" t="n">
        <f aca="false">(Sens!$I$1058+Sens!$J$1058)/2</f>
        <v>12982.9</v>
      </c>
      <c r="K1059" s="32" t="n">
        <f aca="false">(Sens!$J$1058+Sens!$K$1058)/2</f>
        <v>16085.4835833333</v>
      </c>
      <c r="L1059" s="32" t="n">
        <f aca="false">(Sens!$K$1058+Sens!$L$1058)/2</f>
        <v>18124.6343333333</v>
      </c>
      <c r="M1059" s="32" t="n">
        <f aca="false">(Sens!$L$1058+Sens!$M$1058)/2</f>
        <v>19100.35225</v>
      </c>
      <c r="N1059" s="32" t="n">
        <f aca="false">(Sens!$C$1058+Sens!$N$1058)/2</f>
        <v>630</v>
      </c>
      <c r="O1059" s="32" t="n">
        <f aca="false">(Sens!$N$1058+Sens!$O$1058)/2</f>
        <v>1170</v>
      </c>
    </row>
    <row r="1060" customFormat="false" ht="15" hidden="false" customHeight="false" outlineLevel="0" collapsed="false">
      <c r="A1060" s="5" t="s">
        <v>597</v>
      </c>
      <c r="B1060" s="5" t="s">
        <v>123</v>
      </c>
      <c r="C1060" s="34" t="n">
        <v>1</v>
      </c>
      <c r="D1060" s="34" t="n">
        <v>1</v>
      </c>
      <c r="E1060" s="34" t="n">
        <v>0.5</v>
      </c>
      <c r="F1060" s="34" t="n">
        <v>0.5</v>
      </c>
      <c r="G1060" s="34" t="n">
        <v>1</v>
      </c>
      <c r="H1060" s="34" t="n">
        <v>1</v>
      </c>
      <c r="I1060" s="34" t="n">
        <v>1</v>
      </c>
      <c r="J1060" s="34" t="n">
        <v>1</v>
      </c>
      <c r="K1060" s="34" t="n">
        <v>1</v>
      </c>
      <c r="L1060" s="34" t="n">
        <v>1</v>
      </c>
      <c r="M1060" s="34" t="n">
        <v>1</v>
      </c>
      <c r="N1060" s="34" t="n">
        <v>0.5</v>
      </c>
      <c r="O1060" s="34" t="n">
        <v>0.5</v>
      </c>
    </row>
    <row r="1061" customFormat="false" ht="17.15" hidden="false" customHeight="false" outlineLevel="0" collapsed="false">
      <c r="A1061" s="5" t="s">
        <v>598</v>
      </c>
      <c r="B1061" s="0" t="s">
        <v>129</v>
      </c>
      <c r="C1061" s="32" t="n">
        <f aca="false">Sens!$C$1058-mw_ye23</f>
        <v>240</v>
      </c>
      <c r="D1061" s="32" t="n">
        <f aca="false">Sens!$D$1058-Sens!$C$1058</f>
        <v>1080</v>
      </c>
      <c r="E1061" s="32" t="n">
        <f aca="false">Sens!$E$1058-Sens!$D$1058</f>
        <v>640</v>
      </c>
      <c r="F1061" s="32" t="n">
        <f aca="false">Sens!$F$1058-Sens!$E$1058</f>
        <v>1817.15</v>
      </c>
      <c r="G1061" s="32" t="n">
        <f aca="false">Sens!$E$1061+Sens!$F$1061</f>
        <v>2457.15</v>
      </c>
      <c r="H1061" s="32" t="n">
        <f aca="false">Sens!$H$1058-Sens!$G$1058</f>
        <v>3634.3</v>
      </c>
      <c r="I1061" s="32" t="n">
        <f aca="false">Sens!$I$1058-Sens!$H$1058</f>
        <v>3634.3</v>
      </c>
      <c r="J1061" s="32" t="n">
        <f aca="false">Sens!$J$1058-Sens!$I$1058</f>
        <v>3634.3</v>
      </c>
      <c r="K1061" s="32" t="n">
        <f aca="false">Sens!$K$1058-Sens!$J$1058</f>
        <v>2570.86716666667</v>
      </c>
      <c r="L1061" s="32" t="n">
        <f aca="false">Sens!$L$1058-Sens!$K$1058</f>
        <v>1507.43433333333</v>
      </c>
      <c r="M1061" s="32" t="n">
        <f aca="false">Sens!$M$1058-Sens!$L$1058</f>
        <v>444.001499999999</v>
      </c>
      <c r="N1061" s="32" t="n">
        <f aca="false">Sens!$N$1058-Sens!$C$1058</f>
        <v>540</v>
      </c>
      <c r="O1061" s="32" t="n">
        <f aca="false">Sens!$O$1058-Sens!$N$1058</f>
        <v>540</v>
      </c>
    </row>
    <row r="1062" customFormat="false" ht="17.15" hidden="false" customHeight="false" outlineLevel="0" collapsed="false">
      <c r="A1062" s="5" t="s">
        <v>599</v>
      </c>
      <c r="B1062" s="0" t="s">
        <v>129</v>
      </c>
      <c r="C1062" s="32" t="n">
        <f aca="false">Sens!$C$1061/ext_sh_hi</f>
        <v>240</v>
      </c>
      <c r="D1062" s="32" t="n">
        <f aca="false">Sens!$D$1061/ext_sh_hi</f>
        <v>1080</v>
      </c>
      <c r="E1062" s="32" t="n">
        <f aca="false">Sens!$E$1061/ext_sh_hi</f>
        <v>640</v>
      </c>
      <c r="F1062" s="32" t="n">
        <f aca="false">Sens!$F$1061/ext_sh_hi</f>
        <v>1817.15</v>
      </c>
      <c r="G1062" s="32" t="n">
        <f aca="false">Sens!$G$1061/ext_sh_hi</f>
        <v>2457.15</v>
      </c>
      <c r="H1062" s="32" t="n">
        <f aca="false">Sens!$H$1061/ext_sh_hi</f>
        <v>3634.3</v>
      </c>
      <c r="I1062" s="32" t="n">
        <f aca="false">Sens!$I$1061/ext_sh_hi</f>
        <v>3634.3</v>
      </c>
      <c r="J1062" s="32" t="n">
        <f aca="false">Sens!$J$1061/ext_sh_hi</f>
        <v>3634.3</v>
      </c>
      <c r="K1062" s="32" t="n">
        <f aca="false">Sens!$K$1061/ext_sh_hi</f>
        <v>2570.86716666667</v>
      </c>
      <c r="L1062" s="32" t="n">
        <f aca="false">Sens!$L$1061/ext_sh_hi</f>
        <v>1507.43433333333</v>
      </c>
      <c r="M1062" s="32" t="n">
        <f aca="false">Sens!$M$1061/ext_sh_hi</f>
        <v>444.001499999999</v>
      </c>
      <c r="N1062" s="32" t="n">
        <f aca="false">Sens!$N$1061/ext_sh_hi</f>
        <v>540</v>
      </c>
      <c r="O1062" s="32" t="n">
        <f aca="false">Sens!$O$1061/ext_sh_hi</f>
        <v>540</v>
      </c>
      <c r="P1062" s="8" t="s">
        <v>600</v>
      </c>
      <c r="R1062" s="32" t="n">
        <f aca="false">mw_ye23/ext_sh_hi</f>
        <v>120</v>
      </c>
      <c r="S1062" s="32" t="n">
        <f aca="false">Sens!$C$1062</f>
        <v>240</v>
      </c>
      <c r="T1062" s="32" t="n">
        <f aca="false">Sens!$D$1062</f>
        <v>1080</v>
      </c>
      <c r="U1062" s="32" t="n">
        <f aca="false">Sens!$G$1062</f>
        <v>2457.15</v>
      </c>
      <c r="V1062" s="32" t="n">
        <f aca="false">Sens!$H$1062</f>
        <v>3634.3</v>
      </c>
      <c r="W1062" s="32" t="n">
        <f aca="false">Sens!$I$1062</f>
        <v>3634.3</v>
      </c>
      <c r="X1062" s="32" t="n">
        <f aca="false">Sens!$J$1062</f>
        <v>3634.3</v>
      </c>
      <c r="Y1062" s="32" t="n">
        <f aca="false">Sens!$K$1062</f>
        <v>2570.86716666667</v>
      </c>
      <c r="Z1062" s="32" t="n">
        <f aca="false">Sens!$L$1062</f>
        <v>1507.43433333333</v>
      </c>
      <c r="AA1062" s="32" t="n">
        <f aca="false">Sens!$M$1062</f>
        <v>444.001499999999</v>
      </c>
    </row>
    <row r="1063" customFormat="false" ht="17.15" hidden="false" customHeight="false" outlineLevel="0" collapsed="false">
      <c r="A1063" s="1" t="s">
        <v>601</v>
      </c>
    </row>
    <row r="1064" customFormat="false" ht="17.15" hidden="false" customHeight="false" outlineLevel="0" collapsed="false">
      <c r="A1064" s="0" t="s">
        <v>602</v>
      </c>
      <c r="B1064" s="0" t="s">
        <v>52</v>
      </c>
      <c r="F1064" s="35" t="n">
        <f aca="false">na_vr26</f>
        <v>0</v>
      </c>
      <c r="G1064" s="35" t="n">
        <f aca="false">na_vr26</f>
        <v>0</v>
      </c>
      <c r="H1064" s="35" t="n">
        <f aca="false">na_vr27</f>
        <v>0.5</v>
      </c>
      <c r="I1064" s="35" t="n">
        <f aca="false">na_vr28</f>
        <v>1</v>
      </c>
      <c r="J1064" s="35" t="n">
        <f aca="false">na_vr28</f>
        <v>1</v>
      </c>
      <c r="K1064" s="35" t="n">
        <f aca="false">na_vr28</f>
        <v>1</v>
      </c>
      <c r="L1064" s="35" t="n">
        <f aca="false">na_vr28</f>
        <v>1</v>
      </c>
      <c r="M1064" s="35" t="n">
        <f aca="false">na_vr28</f>
        <v>1</v>
      </c>
    </row>
    <row r="1065" customFormat="false" ht="17.15" hidden="false" customHeight="false" outlineLevel="0" collapsed="false">
      <c r="A1065" s="5" t="s">
        <v>603</v>
      </c>
      <c r="B1065" s="0" t="s">
        <v>173</v>
      </c>
      <c r="F1065" s="36" t="n">
        <f aca="false">cust_sh*tk_he_gb300*cf_chip+(1-cust_sh)*((1-Sens!$F$1064)*tk_he_gb300+Sens!$F$1064*tk_he_vr200)</f>
        <v>10.8864110021101</v>
      </c>
      <c r="G1065" s="36" t="n">
        <f aca="false">cust_sh*tk_he_gb300*cf_chip+(1-cust_sh)*((1-Sens!$G$1064)*tk_he_gb300+Sens!$G$1064*tk_he_vr200)</f>
        <v>10.8864110021101</v>
      </c>
      <c r="H1065" s="36" t="n">
        <f aca="false">cust_sh*tk_he_gb300*cf_chip+(1-cust_sh)*((1-Sens!$H$1064)*tk_he_gb300+Sens!$H$1064*tk_he_vr200)</f>
        <v>11.2211760027286</v>
      </c>
      <c r="I1065" s="36" t="n">
        <f aca="false">cust_sh*tk_he_gb300*cf_chip+(1-cust_sh)*((1-Sens!$I$1064)*tk_he_gb300+Sens!$I$1064*tk_he_vr200)</f>
        <v>11.5559410033471</v>
      </c>
      <c r="J1065" s="36" t="n">
        <f aca="false">cust_sh*tk_he_gb300*cf_chip+(1-cust_sh)*((1-Sens!$J$1064)*tk_he_gb300+Sens!$J$1064*tk_he_vr200)</f>
        <v>11.5559410033471</v>
      </c>
      <c r="K1065" s="36" t="n">
        <f aca="false">cust_sh*tk_he_gb300*cf_chip+(1-cust_sh)*((1-Sens!$K$1064)*tk_he_gb300+Sens!$K$1064*tk_he_vr200)</f>
        <v>11.5559410033471</v>
      </c>
      <c r="L1065" s="36" t="n">
        <f aca="false">cust_sh*tk_he_gb300*cf_chip+(1-cust_sh)*((1-Sens!$L$1064)*tk_he_gb300+Sens!$L$1064*tk_he_vr200)</f>
        <v>11.5559410033471</v>
      </c>
      <c r="M1065" s="36" t="n">
        <f aca="false">cust_sh*tk_he_gb300*cf_chip+(1-cust_sh)*((1-Sens!$M$1064)*tk_he_gb300+Sens!$M$1064*tk_he_vr200)</f>
        <v>11.5559410033471</v>
      </c>
    </row>
    <row r="1066" customFormat="false" ht="17.15" hidden="false" customHeight="false" outlineLevel="0" collapsed="false">
      <c r="A1066" s="5" t="s">
        <v>604</v>
      </c>
      <c r="B1066" s="0" t="s">
        <v>173</v>
      </c>
      <c r="F1066" s="36" t="n">
        <f aca="false">cust_sh*tk_ox_gb300+(1-cust_sh)*((1-Sens!$F$1064)*tk_ox_gb300+Sens!$F$1064*tk_ox_vr200)</f>
        <v>1.98263481314457</v>
      </c>
      <c r="G1066" s="36" t="n">
        <f aca="false">cust_sh*tk_ox_gb300+(1-cust_sh)*((1-Sens!$G$1064)*tk_ox_gb300+Sens!$G$1064*tk_ox_vr200)</f>
        <v>1.98263481314457</v>
      </c>
      <c r="H1066" s="36" t="n">
        <f aca="false">cust_sh*tk_ox_gb300+(1-cust_sh)*((1-Sens!$H$1064)*tk_ox_gb300+Sens!$H$1064*tk_ox_vr200)</f>
        <v>2.01034999693694</v>
      </c>
      <c r="I1066" s="36" t="n">
        <f aca="false">cust_sh*tk_ox_gb300+(1-cust_sh)*((1-Sens!$I$1064)*tk_ox_gb300+Sens!$I$1064*tk_ox_vr200)</f>
        <v>2.0380651807293</v>
      </c>
      <c r="J1066" s="36" t="n">
        <f aca="false">cust_sh*tk_ox_gb300+(1-cust_sh)*((1-Sens!$J$1064)*tk_ox_gb300+Sens!$J$1064*tk_ox_vr200)</f>
        <v>2.0380651807293</v>
      </c>
      <c r="K1066" s="36" t="n">
        <f aca="false">cust_sh*tk_ox_gb300+(1-cust_sh)*((1-Sens!$K$1064)*tk_ox_gb300+Sens!$K$1064*tk_ox_vr200)</f>
        <v>2.0380651807293</v>
      </c>
      <c r="L1066" s="36" t="n">
        <f aca="false">cust_sh*tk_ox_gb300+(1-cust_sh)*((1-Sens!$L$1064)*tk_ox_gb300+Sens!$L$1064*tk_ox_vr200)</f>
        <v>2.0380651807293</v>
      </c>
      <c r="M1066" s="36" t="n">
        <f aca="false">cust_sh*tk_ox_gb300+(1-cust_sh)*((1-Sens!$M$1064)*tk_ox_gb300+Sens!$M$1064*tk_ox_vr200)</f>
        <v>2.0380651807293</v>
      </c>
    </row>
    <row r="1067" customFormat="false" ht="17.15" hidden="false" customHeight="false" outlineLevel="0" collapsed="false">
      <c r="A1067" s="5" t="s">
        <v>605</v>
      </c>
      <c r="B1067" s="0" t="s">
        <v>192</v>
      </c>
      <c r="F1067" s="36" t="n">
        <f aca="false">cust_sh*tk_cx_gb300*cf_cx+(1-cust_sh)*((1-Sens!$F$1064)*tk_cx_gb300+Sens!$F$1064*tk_cx_vr200)</f>
        <v>32.237224</v>
      </c>
      <c r="G1067" s="36" t="n">
        <f aca="false">cust_sh*tk_cx_gb300*cf_cx+(1-cust_sh)*((1-Sens!$G$1064)*tk_cx_gb300+Sens!$G$1064*tk_cx_vr200)</f>
        <v>32.237224</v>
      </c>
      <c r="H1067" s="36" t="n">
        <f aca="false">cust_sh*tk_cx_gb300*cf_cx+(1-cust_sh)*((1-Sens!$H$1064)*tk_cx_gb300+Sens!$H$1064*tk_cx_vr200)</f>
        <v>33.574506</v>
      </c>
      <c r="I1067" s="36" t="n">
        <f aca="false">cust_sh*tk_cx_gb300*cf_cx+(1-cust_sh)*((1-Sens!$I$1064)*tk_cx_gb300+Sens!$I$1064*tk_cx_vr200)</f>
        <v>34.911788</v>
      </c>
      <c r="J1067" s="36" t="n">
        <f aca="false">cust_sh*tk_cx_gb300*cf_cx+(1-cust_sh)*((1-Sens!$J$1064)*tk_cx_gb300+Sens!$J$1064*tk_cx_vr200)</f>
        <v>34.911788</v>
      </c>
      <c r="K1067" s="36" t="n">
        <f aca="false">cust_sh*tk_cx_gb300*cf_cx+(1-cust_sh)*((1-Sens!$K$1064)*tk_cx_gb300+Sens!$K$1064*tk_cx_vr200)</f>
        <v>34.911788</v>
      </c>
      <c r="L1067" s="36" t="n">
        <f aca="false">cust_sh*tk_cx_gb300*cf_cx+(1-cust_sh)*((1-Sens!$L$1064)*tk_cx_gb300+Sens!$L$1064*tk_cx_vr200)</f>
        <v>34.911788</v>
      </c>
      <c r="M1067" s="36" t="n">
        <f aca="false">cust_sh*tk_cx_gb300*cf_cx+(1-cust_sh)*((1-Sens!$M$1064)*tk_cx_gb300+Sens!$M$1064*tk_cx_vr200)</f>
        <v>34.911788</v>
      </c>
    </row>
    <row r="1068" customFormat="false" ht="17.15" hidden="false" customHeight="false" outlineLevel="0" collapsed="false">
      <c r="A1068" s="5" t="s">
        <v>606</v>
      </c>
      <c r="B1068" s="0" t="s">
        <v>129</v>
      </c>
      <c r="F1068" s="32" t="n">
        <f aca="false">Sens!$F$1058-mw_open</f>
        <v>1817.15</v>
      </c>
      <c r="G1068" s="32" t="n">
        <f aca="false">Sens!$F$1068</f>
        <v>1817.15</v>
      </c>
      <c r="H1068" s="32" t="n">
        <f aca="false">Sens!$H$1058-mw_open</f>
        <v>5451.45</v>
      </c>
      <c r="I1068" s="32" t="n">
        <f aca="false">Sens!$I$1058-mw_open</f>
        <v>9085.75</v>
      </c>
      <c r="J1068" s="32" t="n">
        <f aca="false">Sens!$J$1058-mw_open</f>
        <v>12720.05</v>
      </c>
      <c r="K1068" s="32" t="n">
        <f aca="false">Sens!$K$1058-mw_open</f>
        <v>15290.9171666667</v>
      </c>
      <c r="L1068" s="32" t="n">
        <f aca="false">Sens!$L$1058-mw_open</f>
        <v>16798.3515</v>
      </c>
      <c r="M1068" s="32" t="n">
        <f aca="false">Sens!$M$1058-mw_open</f>
        <v>17242.353</v>
      </c>
    </row>
    <row r="1069" customFormat="false" ht="17.15" hidden="false" customHeight="false" outlineLevel="0" collapsed="false">
      <c r="A1069" s="0" t="s">
        <v>607</v>
      </c>
      <c r="B1069" s="0" t="s">
        <v>608</v>
      </c>
      <c r="F1069" s="32" t="n">
        <f aca="false">Sens!$F$1061*Sens!$F$1065</f>
        <v>19782.2417524844</v>
      </c>
      <c r="G1069" s="32" t="n">
        <f aca="false">Sens!$F$1069</f>
        <v>19782.2417524844</v>
      </c>
      <c r="H1069" s="32" t="n">
        <f aca="false">Sens!$G$1069+Sens!$H$1061*Sens!$H$1065</f>
        <v>60563.3616992009</v>
      </c>
      <c r="I1069" s="32" t="n">
        <f aca="false">Sens!$H$1069+Sens!$I$1061*Sens!$I$1065</f>
        <v>102561.118087665</v>
      </c>
      <c r="J1069" s="32" t="n">
        <f aca="false">Sens!$I$1069+Sens!$J$1061*Sens!$J$1065</f>
        <v>144558.87447613</v>
      </c>
      <c r="K1069" s="32" t="n">
        <f aca="false">Sens!$J$1069+Sens!$K$1061*Sens!$K$1065</f>
        <v>174267.663781572</v>
      </c>
      <c r="L1069" s="32" t="n">
        <f aca="false">Sens!$K$1069+Sens!$L$1061*Sens!$L$1065</f>
        <v>191687.486003992</v>
      </c>
      <c r="M1069" s="32" t="n">
        <f aca="false">Sens!$L$1069+Sens!$M$1061*Sens!$M$1065</f>
        <v>196818.341143389</v>
      </c>
    </row>
    <row r="1070" customFormat="false" ht="17.15" hidden="false" customHeight="false" outlineLevel="0" collapsed="false">
      <c r="A1070" s="0" t="s">
        <v>609</v>
      </c>
      <c r="B1070" s="0" t="s">
        <v>608</v>
      </c>
      <c r="F1070" s="32" t="n">
        <f aca="false">Sens!$F$1061*Sens!$F$1066</f>
        <v>3602.74485070566</v>
      </c>
      <c r="G1070" s="32" t="n">
        <f aca="false">Sens!$F$1070</f>
        <v>3602.74485070566</v>
      </c>
      <c r="H1070" s="32" t="n">
        <f aca="false">Sens!$G$1070+Sens!$H$1061*Sens!$H$1066</f>
        <v>10908.9598445736</v>
      </c>
      <c r="I1070" s="32" t="n">
        <f aca="false">Sens!$H$1070+Sens!$I$1061*Sens!$I$1066</f>
        <v>18315.9001308981</v>
      </c>
      <c r="J1070" s="32" t="n">
        <f aca="false">Sens!$I$1070+Sens!$J$1061*Sens!$J$1066</f>
        <v>25722.8404172225</v>
      </c>
      <c r="K1070" s="32" t="n">
        <f aca="false">Sens!$J$1070+Sens!$K$1061*Sens!$K$1066</f>
        <v>30962.4352738861</v>
      </c>
      <c r="L1070" s="32" t="n">
        <f aca="false">Sens!$K$1070+Sens!$L$1061*Sens!$L$1066</f>
        <v>34034.6847008886</v>
      </c>
      <c r="M1070" s="32" t="n">
        <f aca="false">Sens!$L$1070+Sens!$M$1061*Sens!$M$1066</f>
        <v>34939.5886982302</v>
      </c>
    </row>
    <row r="1071" customFormat="false" ht="17.15" hidden="false" customHeight="false" outlineLevel="0" collapsed="false">
      <c r="A1071" s="5" t="s">
        <v>610</v>
      </c>
      <c r="B1071" s="0" t="s">
        <v>173</v>
      </c>
      <c r="F1071" s="36" t="n">
        <f aca="false">IF(Sens!$F$1068&gt;0,Sens!$F$1069/Sens!$F$1068,Sens!$F$1065)</f>
        <v>10.8864110021101</v>
      </c>
      <c r="G1071" s="36" t="n">
        <f aca="false">IF(Sens!$G$1068&gt;0,Sens!$G$1069/Sens!$G$1068,Sens!$G$1065)</f>
        <v>10.8864110021101</v>
      </c>
      <c r="H1071" s="36" t="n">
        <f aca="false">IF(Sens!$H$1068&gt;0,Sens!$H$1069/Sens!$H$1068,Sens!$H$1065)</f>
        <v>11.1095876691891</v>
      </c>
      <c r="I1071" s="36" t="n">
        <f aca="false">IF(Sens!$I$1068&gt;0,Sens!$I$1069/Sens!$I$1068,Sens!$I$1065)</f>
        <v>11.2881290028523</v>
      </c>
      <c r="J1071" s="36" t="n">
        <f aca="false">IF(Sens!$J$1068&gt;0,Sens!$J$1069/Sens!$J$1068,Sens!$J$1065)</f>
        <v>11.3646467172794</v>
      </c>
      <c r="K1071" s="36" t="n">
        <f aca="false">IF(Sens!$K$1068&gt;0,Sens!$K$1069/Sens!$K$1068,Sens!$K$1065)</f>
        <v>11.3968090914432</v>
      </c>
      <c r="L1071" s="36" t="n">
        <f aca="false">IF(Sens!$L$1068&gt;0,Sens!$L$1069/Sens!$L$1068,Sens!$L$1065)</f>
        <v>11.4110891181192</v>
      </c>
      <c r="M1071" s="36" t="n">
        <f aca="false">IF(Sens!$M$1068&gt;0,Sens!$M$1069/Sens!$M$1068,Sens!$M$1065)</f>
        <v>11.4148191458201</v>
      </c>
    </row>
    <row r="1072" customFormat="false" ht="17.15" hidden="false" customHeight="false" outlineLevel="0" collapsed="false">
      <c r="A1072" s="5" t="s">
        <v>611</v>
      </c>
      <c r="B1072" s="0" t="s">
        <v>173</v>
      </c>
      <c r="F1072" s="36" t="n">
        <f aca="false">IF(Sens!$F$1068&gt;0,Sens!$F$1070/Sens!$F$1068,Sens!$F$1066)</f>
        <v>1.98263481314457</v>
      </c>
      <c r="G1072" s="36" t="n">
        <f aca="false">IF(Sens!$G$1068&gt;0,Sens!$G$1070/Sens!$G$1068,Sens!$G$1066)</f>
        <v>1.98263481314457</v>
      </c>
      <c r="H1072" s="36" t="n">
        <f aca="false">IF(Sens!$H$1068&gt;0,Sens!$H$1070/Sens!$H$1068,Sens!$H$1066)</f>
        <v>2.00111160233948</v>
      </c>
      <c r="I1072" s="36" t="n">
        <f aca="false">IF(Sens!$I$1068&gt;0,Sens!$I$1070/Sens!$I$1068,Sens!$I$1066)</f>
        <v>2.01589303369541</v>
      </c>
      <c r="J1072" s="36" t="n">
        <f aca="false">IF(Sens!$J$1068&gt;0,Sens!$J$1070/Sens!$J$1068,Sens!$J$1066)</f>
        <v>2.02222793284795</v>
      </c>
      <c r="K1072" s="36" t="n">
        <f aca="false">IF(Sens!$K$1068&gt;0,Sens!$K$1070/Sens!$K$1068,Sens!$K$1066)</f>
        <v>2.02489065478573</v>
      </c>
      <c r="L1072" s="36" t="n">
        <f aca="false">IF(Sens!$L$1068&gt;0,Sens!$L$1070/Sens!$L$1068,Sens!$L$1066)</f>
        <v>2.0260728977417</v>
      </c>
      <c r="M1072" s="36" t="n">
        <f aca="false">IF(Sens!$M$1068&gt;0,Sens!$M$1070/Sens!$M$1068,Sens!$M$1066)</f>
        <v>2.02638170661685</v>
      </c>
    </row>
    <row r="1073" customFormat="false" ht="17.15" hidden="false" customHeight="false" outlineLevel="0" collapsed="false">
      <c r="A1073" s="15" t="s">
        <v>612</v>
      </c>
      <c r="B1073" s="14" t="s">
        <v>173</v>
      </c>
      <c r="C1073" s="14"/>
      <c r="D1073" s="14"/>
      <c r="E1073" s="14"/>
      <c r="F1073" s="37" t="n">
        <f aca="false">Sens!$F$1071*k_B</f>
        <v>10.7987645808025</v>
      </c>
      <c r="G1073" s="37" t="n">
        <f aca="false">Sens!$G$1071*k_B</f>
        <v>10.7987645808025</v>
      </c>
      <c r="H1073" s="37" t="n">
        <f aca="false">Sens!$H$1071*k_B</f>
        <v>11.0201444540452</v>
      </c>
      <c r="I1073" s="37" t="n">
        <f aca="false">Sens!$I$1071*k_B</f>
        <v>11.1972483526393</v>
      </c>
      <c r="J1073" s="37" t="n">
        <f aca="false">Sens!$J$1071*k_B</f>
        <v>11.2731500234653</v>
      </c>
      <c r="K1073" s="37" t="n">
        <f aca="false">Sens!$K$1071*k_B</f>
        <v>11.3050534585724</v>
      </c>
      <c r="L1073" s="37" t="n">
        <f aca="false">Sens!$L$1071*k_B</f>
        <v>11.3192185168503</v>
      </c>
      <c r="M1073" s="37" t="n">
        <f aca="false">Sens!$M$1071*k_B</f>
        <v>11.3229185141234</v>
      </c>
      <c r="N1073" s="14"/>
      <c r="O1073" s="14"/>
      <c r="P1073" s="5" t="s">
        <v>613</v>
      </c>
    </row>
    <row r="1074" customFormat="false" ht="17.15" hidden="false" customHeight="false" outlineLevel="0" collapsed="false">
      <c r="A1074" s="5" t="s">
        <v>614</v>
      </c>
      <c r="B1074" s="0" t="s">
        <v>129</v>
      </c>
      <c r="F1074" s="32" t="n">
        <f aca="false">Sens!$F$1068/2</f>
        <v>908.575</v>
      </c>
      <c r="H1074" s="32" t="n">
        <f aca="false">(Sens!$G$1068+Sens!$H$1068)/2</f>
        <v>3634.3</v>
      </c>
      <c r="I1074" s="32" t="n">
        <f aca="false">(Sens!$H$1068+Sens!$I$1068)/2</f>
        <v>7268.6</v>
      </c>
      <c r="J1074" s="32" t="n">
        <f aca="false">(Sens!$I$1068+Sens!$J$1068)/2</f>
        <v>10902.9</v>
      </c>
      <c r="K1074" s="32" t="n">
        <f aca="false">(Sens!$J$1068+Sens!$K$1068)/2</f>
        <v>14005.4835833333</v>
      </c>
      <c r="L1074" s="32" t="n">
        <f aca="false">(Sens!$K$1068+Sens!$L$1068)/2</f>
        <v>16044.6343333333</v>
      </c>
      <c r="M1074" s="32" t="n">
        <f aca="false">(Sens!$L$1068+Sens!$M$1068)/2</f>
        <v>17020.35225</v>
      </c>
    </row>
    <row r="1075" customFormat="false" ht="17.15" hidden="false" customHeight="false" outlineLevel="0" collapsed="false">
      <c r="A1075" s="1" t="s">
        <v>615</v>
      </c>
    </row>
    <row r="1076" customFormat="false" ht="17.15" hidden="false" customHeight="false" outlineLevel="0" collapsed="false">
      <c r="A1076" s="1" t="s">
        <v>616</v>
      </c>
      <c r="B1076" s="8" t="s">
        <v>86</v>
      </c>
      <c r="C1076" s="38" t="n">
        <f aca="false">Sens!$C$1059*rpm_open*Sens!$C$1060/1000</f>
        <v>2.32100535697364</v>
      </c>
      <c r="D1076" s="38" t="n">
        <f aca="false">Sens!$D$1059*rpm_open*Sens!$D$1060/1000</f>
        <v>8.70377008865116</v>
      </c>
      <c r="E1076" s="38" t="n">
        <f aca="false">Sens!$E$1059*rpm_open*Sens!$E$1060/1000</f>
        <v>8.51035297557002</v>
      </c>
      <c r="F1076" s="38" t="n">
        <f aca="false">(mw_open*rpm_open+Sens!$F$1074*Sens!$F$1073)*Sens!$F$1060/1000</f>
        <v>14.9634336447205</v>
      </c>
      <c r="G1076" s="38" t="n">
        <f aca="false">Sens!$E$1076+Sens!$F$1076</f>
        <v>23.4737866202905</v>
      </c>
      <c r="H1076" s="38" t="n">
        <f aca="false">(mw_open*rpm_open+Sens!$H$1074*Sens!$H$1073)/1000</f>
        <v>60.1658907497746</v>
      </c>
      <c r="I1076" s="38" t="n">
        <f aca="false">(mw_open*rpm_open+Sens!$I$1074*Sens!$I$1073)/1000</f>
        <v>101.503699136432</v>
      </c>
      <c r="J1076" s="38" t="n">
        <f aca="false">(mw_open*rpm_open+Sens!$J$1074*Sens!$J$1073)/1000</f>
        <v>143.025407151278</v>
      </c>
      <c r="K1076" s="38" t="n">
        <f aca="false">(mw_open*rpm_open+Sens!$K$1074*Sens!$K$1073)/1000</f>
        <v>178.44812038318</v>
      </c>
      <c r="L1076" s="38" t="n">
        <f aca="false">(mw_open*rpm_open+Sens!$L$1074*Sens!$L$1073)/1000</f>
        <v>201.728101802396</v>
      </c>
      <c r="M1076" s="38" t="n">
        <f aca="false">(mw_open*rpm_open+Sens!$M$1074*Sens!$M$1073)/1000</f>
        <v>212.835441368865</v>
      </c>
      <c r="N1076" s="38" t="n">
        <f aca="false">Sens!$N$1059*rpm_open*Sens!$N$1060/1000</f>
        <v>3.04631953102791</v>
      </c>
      <c r="O1076" s="38" t="n">
        <f aca="false">Sens!$O$1059*rpm_open*Sens!$O$1060/1000</f>
        <v>5.65745055762326</v>
      </c>
      <c r="P1076" s="5" t="s">
        <v>617</v>
      </c>
    </row>
    <row r="1077" customFormat="false" ht="17.15" hidden="false" customHeight="false" outlineLevel="0" collapsed="false">
      <c r="A1077" s="5" t="s">
        <v>618</v>
      </c>
      <c r="B1077" s="0" t="s">
        <v>173</v>
      </c>
      <c r="C1077" s="36" t="n">
        <f aca="false">Sens!$C$1076*1000/(Sens!$C$1059*Sens!$C$1060)</f>
        <v>9.67085565405685</v>
      </c>
      <c r="D1077" s="36" t="n">
        <f aca="false">Sens!$D$1076*1000/(Sens!$D$1059*Sens!$D$1060)</f>
        <v>9.67085565405685</v>
      </c>
      <c r="E1077" s="36" t="n">
        <f aca="false">Sens!$E$1076*1000/(Sens!$E$1059*Sens!$E$1060)</f>
        <v>9.67085565405685</v>
      </c>
      <c r="F1077" s="36" t="n">
        <f aca="false">Sens!$F$1076*1000/(Sens!$F$1059*Sens!$F$1060)</f>
        <v>10.0137581588017</v>
      </c>
      <c r="G1077" s="36" t="n">
        <f aca="false">Sens!$G$1076*1000/(Sens!$G$1059*Sens!$G$1060)</f>
        <v>9.88666562928478</v>
      </c>
      <c r="H1077" s="36" t="n">
        <f aca="false">Sens!$H$1076*1000/(Sens!$H$1059*Sens!$H$1060)</f>
        <v>10.5290045586992</v>
      </c>
      <c r="I1077" s="36" t="n">
        <f aca="false">Sens!$I$1076*1000/(Sens!$I$1059*Sens!$I$1060)</f>
        <v>10.8576363451674</v>
      </c>
      <c r="J1077" s="36" t="n">
        <f aca="false">Sens!$J$1076*1000/(Sens!$J$1059*Sens!$J$1060)</f>
        <v>11.0164452588619</v>
      </c>
      <c r="K1077" s="36" t="n">
        <f aca="false">Sens!$K$1076*1000/(Sens!$K$1059*Sens!$K$1060)</f>
        <v>11.0937367508227</v>
      </c>
      <c r="L1077" s="36" t="n">
        <f aca="false">Sens!$L$1076*1000/(Sens!$L$1059*Sens!$L$1060)</f>
        <v>11.1300508519168</v>
      </c>
      <c r="M1077" s="36" t="n">
        <f aca="false">Sens!$M$1076*1000/(Sens!$M$1059*Sens!$M$1060)</f>
        <v>11.1430113216297</v>
      </c>
      <c r="N1077" s="36" t="n">
        <f aca="false">Sens!$N$1076*1000/(Sens!$N$1059*Sens!$N$1060)</f>
        <v>9.67085565405685</v>
      </c>
      <c r="O1077" s="36" t="n">
        <f aca="false">Sens!$O$1076*1000/(Sens!$O$1059*Sens!$O$1060)</f>
        <v>9.67085565405685</v>
      </c>
    </row>
    <row r="1078" customFormat="false" ht="17.15" hidden="false" customHeight="false" outlineLevel="0" collapsed="false">
      <c r="A1078" s="0" t="s">
        <v>619</v>
      </c>
      <c r="B1078" s="0" t="s">
        <v>86</v>
      </c>
      <c r="C1078" s="38" t="n">
        <f aca="false">Sens!$C$1059/ext_sh_hi*(ox_open+rent_mw)*Sens!$C$1060/1000</f>
        <v>0.514055368540026</v>
      </c>
      <c r="D1078" s="38" t="n">
        <f aca="false">Sens!$D$1059/ext_sh_hi*(ox_open+rent_mw)*Sens!$D$1060/1000</f>
        <v>1.9277076320251</v>
      </c>
      <c r="E1078" s="38" t="n">
        <f aca="false">Sens!$E$1059/ext_sh_hi*(ox_open+rent_mw)*Sens!$E$1060/1000</f>
        <v>1.88486968464676</v>
      </c>
      <c r="F1078" s="38" t="n">
        <f aca="false">((mw_open*ox_open+Sens!$F$1074*Sens!$F$1072)/ext_sh_hi+Sens!$F$1059/ext_sh_hi*rent_mw)*Sens!$F$1060/1000</f>
        <v>3.24337592884986</v>
      </c>
      <c r="G1078" s="38" t="n">
        <f aca="false">Sens!$E$1078+Sens!$F$1078</f>
        <v>5.12824561349662</v>
      </c>
      <c r="H1078" s="38" t="n">
        <f aca="false">((mw_open*ox_open+Sens!$H$1074*Sens!$H$1072)/ext_sh_hi+Sens!$H$1059/ext_sh_hi*rent_mw)*Sens!$H$1060/1000</f>
        <v>12.6487180437293</v>
      </c>
      <c r="I1078" s="38" t="n">
        <f aca="false">((mw_open*ox_open+Sens!$I$1074*Sens!$I$1072)/ext_sh_hi+Sens!$I$1059/ext_sh_hi*rent_mw)*Sens!$I$1060/1000</f>
        <v>20.9497298720653</v>
      </c>
      <c r="J1078" s="38" t="n">
        <f aca="false">((mw_open*ox_open+Sens!$J$1074*Sens!$J$1072)/ext_sh_hi+Sens!$J$1059/ext_sh_hi*rent_mw)*Sens!$J$1060/1000</f>
        <v>29.2660903163948</v>
      </c>
      <c r="K1078" s="38" t="n">
        <f aca="false">((mw_open*ox_open+Sens!$K$1074*Sens!$K$1072)/ext_sh_hi+Sens!$K$1059/ext_sh_hi*rent_mw)*Sens!$K$1060/1000</f>
        <v>36.3637088910102</v>
      </c>
      <c r="L1078" s="38" t="n">
        <f aca="false">((mw_open*ox_open+Sens!$L$1074*Sens!$L$1072)/ext_sh_hi+Sens!$L$1059/ext_sh_hi*rent_mw)*Sens!$L$1060/1000</f>
        <v>41.0284556443562</v>
      </c>
      <c r="M1078" s="38" t="n">
        <f aca="false">((mw_open*ox_open+Sens!$M$1074*Sens!$M$1072)/ext_sh_hi+Sens!$M$1059/ext_sh_hi*rent_mw)*Sens!$M$1060/1000</f>
        <v>43.2578342270719</v>
      </c>
      <c r="N1078" s="38" t="n">
        <f aca="false">Sens!$N$1059/ext_sh_hi*(ox_open+rent_mw)*Sens!$N$1060/1000</f>
        <v>0.674697671208784</v>
      </c>
      <c r="O1078" s="38" t="n">
        <f aca="false">Sens!$O$1059/ext_sh_hi*(ox_open+rent_mw)*Sens!$O$1060/1000</f>
        <v>1.25300996081631</v>
      </c>
    </row>
    <row r="1079" customFormat="false" ht="17.15" hidden="false" customHeight="false" outlineLevel="0" collapsed="false">
      <c r="A1079" s="0" t="s">
        <v>620</v>
      </c>
      <c r="B1079" s="0" t="s">
        <v>86</v>
      </c>
      <c r="C1079" s="38" t="n">
        <f aca="false">Q!$D$7</f>
        <v>107.556</v>
      </c>
      <c r="D1079" s="38" t="n">
        <f aca="false">Q!$E$7</f>
        <v>128.725</v>
      </c>
      <c r="E1079" s="38" t="n">
        <f aca="false">Q!$P$7</f>
        <v>79.819</v>
      </c>
      <c r="N1079" s="38" t="n">
        <f aca="false">Q!$N$7</f>
        <v>60.14</v>
      </c>
      <c r="O1079" s="38" t="n">
        <f aca="false">Q!$O$7</f>
        <v>68.585</v>
      </c>
    </row>
    <row r="1080" customFormat="false" ht="17.15" hidden="false" customHeight="false" outlineLevel="0" collapsed="false">
      <c r="A1080" s="1" t="s">
        <v>621</v>
      </c>
      <c r="B1080" s="8" t="s">
        <v>86</v>
      </c>
      <c r="C1080" s="38" t="n">
        <f aca="false">Sens!$C$1079-Sens!$C$1076</f>
        <v>105.234994643026</v>
      </c>
      <c r="D1080" s="38" t="n">
        <f aca="false">Sens!$D$1079-Sens!$D$1076</f>
        <v>120.021229911349</v>
      </c>
      <c r="E1080" s="38" t="n">
        <f aca="false">Sens!$E$1079-Sens!$E$1076</f>
        <v>71.30864702443</v>
      </c>
      <c r="F1080" s="38" t="n">
        <f aca="false">Sens!$O$1080*(1+Sens!$F$1081)</f>
        <v>71.7692997942464</v>
      </c>
      <c r="G1080" s="38" t="n">
        <f aca="false">Sens!$E$1080+Sens!$F$1080</f>
        <v>143.077946818676</v>
      </c>
      <c r="H1080" s="38" t="n">
        <f aca="false">Sens!$G$1080*(1+Sens!$H$1081)</f>
        <v>161.017077079203</v>
      </c>
      <c r="I1080" s="38" t="n">
        <f aca="false">Sens!$H$1080*(1+Sens!$I$1081)</f>
        <v>178.769759521457</v>
      </c>
      <c r="J1080" s="38" t="n">
        <f aca="false">Sens!$I$1080*(1+Sens!$J$1081)</f>
        <v>195.775538045907</v>
      </c>
      <c r="K1080" s="38" t="n">
        <f aca="false">Sens!$J$1080*(1+Sens!$K$1081)</f>
        <v>211.43758108958</v>
      </c>
      <c r="L1080" s="38" t="n">
        <f aca="false">Sens!$K$1080*(1+Sens!$L$1081)</f>
        <v>228.352587576746</v>
      </c>
      <c r="M1080" s="38" t="n">
        <f aca="false">Sens!$L$1080*(1+Sens!$M$1081)</f>
        <v>246.620794582886</v>
      </c>
      <c r="N1080" s="38" t="n">
        <f aca="false">Sens!$N$1079-Sens!$N$1076</f>
        <v>57.0936804689721</v>
      </c>
      <c r="O1080" s="38" t="n">
        <f aca="false">Sens!$O$1079-Sens!$O$1076</f>
        <v>62.9275494423768</v>
      </c>
      <c r="P1080" s="5" t="s">
        <v>622</v>
      </c>
    </row>
    <row r="1081" customFormat="false" ht="17.15" hidden="false" customHeight="false" outlineLevel="0" collapsed="false">
      <c r="A1081" s="0" t="s">
        <v>623</v>
      </c>
      <c r="B1081" s="0" t="s">
        <v>52</v>
      </c>
      <c r="D1081" s="13" t="n">
        <f aca="false">Sens!$D$1080/Sens!$C$1080-1</f>
        <v>0.140506827776062</v>
      </c>
      <c r="E1081" s="13" t="n">
        <f aca="false">Sens!$E$1080/Sens!$N$1080-1</f>
        <v>0.248976181579029</v>
      </c>
      <c r="F1081" s="13" t="n">
        <f aca="false">Sens!$D$1081</f>
        <v>0.140506827776062</v>
      </c>
      <c r="G1081" s="13" t="n">
        <f aca="false">Sens!$G$1080/Sens!$D$1080-1</f>
        <v>0.19210532106993</v>
      </c>
      <c r="H1081" s="13" t="n">
        <f aca="false">Sens!$F$1081+(g_awso_lt-Sens!$F$1081)*1/4</f>
        <v>0.125380120832046</v>
      </c>
      <c r="I1081" s="13" t="n">
        <f aca="false">Sens!$F$1081+(g_awso_lt-Sens!$F$1081)*2/4</f>
        <v>0.110253413888031</v>
      </c>
      <c r="J1081" s="13" t="n">
        <f aca="false">Sens!$F$1081+(g_awso_lt-Sens!$F$1081)*3/4</f>
        <v>0.0951267069440154</v>
      </c>
      <c r="K1081" s="13" t="n">
        <f aca="false">Sens!$F$1081+(g_awso_lt-Sens!$F$1081)*4/4</f>
        <v>0.08</v>
      </c>
      <c r="L1081" s="13" t="n">
        <f aca="false">g_awso_lt</f>
        <v>0.08</v>
      </c>
      <c r="M1081" s="13" t="n">
        <f aca="false">g_awso_lt</f>
        <v>0.08</v>
      </c>
      <c r="P1081" s="5" t="s">
        <v>624</v>
      </c>
    </row>
    <row r="1082" customFormat="false" ht="17.15" hidden="false" customHeight="false" outlineLevel="0" collapsed="false">
      <c r="A1082" s="1" t="s">
        <v>625</v>
      </c>
    </row>
    <row r="1083" customFormat="false" ht="17.15" hidden="false" customHeight="false" outlineLevel="0" collapsed="false">
      <c r="A1083" s="0" t="s">
        <v>626</v>
      </c>
      <c r="B1083" s="0" t="s">
        <v>86</v>
      </c>
      <c r="F1083" s="38" t="n">
        <f aca="false">cx_rt*Sens!$F$1048+cx_awso*Sens!$F$1080</f>
        <v>34.9734495387866</v>
      </c>
    </row>
    <row r="1084" customFormat="false" ht="17.15" hidden="false" customHeight="false" outlineLevel="0" collapsed="false">
      <c r="A1084" s="0" t="s">
        <v>627</v>
      </c>
      <c r="B1084" s="0" t="s">
        <v>52</v>
      </c>
      <c r="C1084" s="13" t="n">
        <f aca="false">tk_cx_h100/(tk_cx_h100+tk_fac*(1-colo_sh))</f>
        <v>0.730756458006641</v>
      </c>
      <c r="D1084" s="13" t="n">
        <f aca="false">tk_cx_h100/(tk_cx_h100+tk_fac*(1-colo_sh))</f>
        <v>0.730756458006641</v>
      </c>
      <c r="E1084" s="13" t="n">
        <f aca="false">Sens!$F$1084</f>
        <v>0.760792334328868</v>
      </c>
      <c r="F1084" s="13" t="n">
        <f aca="false">Sens!$F$1067/(Sens!$F$1067+tk_fac*(1-colo_sh))</f>
        <v>0.760792334328868</v>
      </c>
      <c r="G1084" s="13" t="n">
        <f aca="false">Sens!$G$1067/(Sens!$G$1067+tk_fac*(1-colo_sh))</f>
        <v>0.760792334328868</v>
      </c>
      <c r="H1084" s="13" t="n">
        <f aca="false">Sens!$H$1067/(Sens!$H$1067+tk_fac*(1-colo_sh))</f>
        <v>0.768110668862996</v>
      </c>
      <c r="I1084" s="13" t="n">
        <f aca="false">Sens!$I$1067/(Sens!$I$1067+tk_fac*(1-colo_sh))</f>
        <v>0.77499450139483</v>
      </c>
      <c r="J1084" s="13" t="n">
        <f aca="false">Sens!$J$1067/(Sens!$J$1067+tk_fac*(1-colo_sh))</f>
        <v>0.77499450139483</v>
      </c>
      <c r="K1084" s="13" t="n">
        <f aca="false">Sens!$K$1067/(Sens!$K$1067+tk_fac*(1-colo_sh))</f>
        <v>0.77499450139483</v>
      </c>
      <c r="L1084" s="13" t="n">
        <f aca="false">Sens!$L$1067/(Sens!$L$1067+tk_fac*(1-colo_sh))</f>
        <v>0.77499450139483</v>
      </c>
      <c r="M1084" s="13" t="n">
        <f aca="false">Sens!$M$1067/(Sens!$M$1067+tk_fac*(1-colo_sh))</f>
        <v>0.77499450139483</v>
      </c>
    </row>
    <row r="1085" customFormat="false" ht="17.15" hidden="false" customHeight="false" outlineLevel="0" collapsed="false">
      <c r="A1085" s="1" t="s">
        <v>628</v>
      </c>
      <c r="B1085" s="8" t="s">
        <v>86</v>
      </c>
      <c r="C1085" s="38" t="n">
        <f aca="false">Q!$D$46-cx_rt*Q!$D$16-cx_awso*Sens!$C$1080</f>
        <v>25.2781053077374</v>
      </c>
      <c r="D1085" s="38" t="n">
        <f aca="false">Q!$E$46-cx_rt*Q!$E$16-cx_awso*Sens!$D$1080</f>
        <v>69.5686316310026</v>
      </c>
      <c r="E1085" s="38" t="n">
        <f aca="false">Q!$P$46-cx_rt*Q!$P$16-cx_awso*Sens!$E$1080</f>
        <v>64.1899206485108</v>
      </c>
      <c r="F1085" s="38" t="n">
        <f aca="false">MAX(Sens!$F$1062*(Sens!$F$1067+tk_fac*(1-colo_sh))/1000,capex_g26-Q!$P$46-Sens!$F$1083)</f>
        <v>88.7165504612134</v>
      </c>
      <c r="G1085" s="38" t="n">
        <f aca="false">Sens!$E$1085+Sens!$F$1085</f>
        <v>152.906471109724</v>
      </c>
      <c r="H1085" s="38" t="n">
        <f aca="false">Sens!$H$1062*(Sens!$H$1067+tk_fac*(1-colo_sh))/1000+Sens!$H$1086</f>
        <v>158.8570919558</v>
      </c>
      <c r="I1085" s="38" t="n">
        <f aca="false">Sens!$I$1062*(Sens!$I$1067+tk_fac*(1-colo_sh))/1000+Sens!$I$1086</f>
        <v>163.7171759284</v>
      </c>
      <c r="J1085" s="38" t="n">
        <f aca="false">Sens!$J$1062*(Sens!$J$1067+tk_fac*(1-colo_sh))/1000+Sens!$J$1086</f>
        <v>167.9065904884</v>
      </c>
      <c r="K1085" s="38" t="n">
        <f aca="false">Sens!$K$1062*(Sens!$K$1067+tk_fac*(1-colo_sh))/1000+Sens!$K$1086</f>
        <v>124.190708220161</v>
      </c>
      <c r="L1085" s="38" t="n">
        <f aca="false">Sens!$L$1062*(Sens!$L$1067+tk_fac*(1-colo_sh))/1000+Sens!$L$1086</f>
        <v>105.611313311921</v>
      </c>
      <c r="M1085" s="38" t="n">
        <f aca="false">Sens!$M$1062*(Sens!$M$1067+tk_fac*(1-colo_sh))/1000+Sens!$M$1086</f>
        <v>105.784785327882</v>
      </c>
      <c r="P1085" s="5" t="s">
        <v>629</v>
      </c>
      <c r="R1085" s="38" t="n">
        <f aca="false">Q!$C$46-cx_rt*Q!$C$16-cx_awso*(Q!$C$7-mw_ye23/2*rpm_open/1000)</f>
        <v>1.50429979529945</v>
      </c>
      <c r="S1085" s="38" t="n">
        <f aca="false">Sens!$C$1085</f>
        <v>25.2781053077374</v>
      </c>
      <c r="T1085" s="38" t="n">
        <f aca="false">Sens!$D$1085</f>
        <v>69.5686316310026</v>
      </c>
      <c r="U1085" s="38" t="n">
        <f aca="false">Sens!$G$1085</f>
        <v>152.906471109724</v>
      </c>
      <c r="V1085" s="38" t="n">
        <f aca="false">Sens!$H$1085</f>
        <v>158.8570919558</v>
      </c>
      <c r="W1085" s="38" t="n">
        <f aca="false">Sens!$I$1085</f>
        <v>163.7171759284</v>
      </c>
      <c r="X1085" s="38" t="n">
        <f aca="false">Sens!$J$1085</f>
        <v>167.9065904884</v>
      </c>
      <c r="Y1085" s="38" t="n">
        <f aca="false">Sens!$K$1085</f>
        <v>124.190708220161</v>
      </c>
      <c r="Z1085" s="38" t="n">
        <f aca="false">Sens!$L$1085</f>
        <v>105.611313311921</v>
      </c>
      <c r="AA1085" s="38" t="n">
        <f aca="false">Sens!$M$1085</f>
        <v>105.784785327882</v>
      </c>
    </row>
    <row r="1086" customFormat="false" ht="17.15" hidden="false" customHeight="false" outlineLevel="0" collapsed="false">
      <c r="A1086" s="0" t="s">
        <v>630</v>
      </c>
      <c r="B1086" s="0" t="s">
        <v>86</v>
      </c>
      <c r="H1086" s="38" t="n">
        <f aca="false">SUMPRODUCT(--(Sens!$R$1055:$AA$1055=2027-tk_life),Sens!$R$1062:$AA$1062)*Sens!$H$1067/1000</f>
        <v>0</v>
      </c>
      <c r="I1086" s="38" t="n">
        <f aca="false">SUMPRODUCT(--(Sens!$R$1055:$AA$1055=2028-tk_life),Sens!$R$1062:$AA$1062)*Sens!$I$1067/1000</f>
        <v>0</v>
      </c>
      <c r="J1086" s="38" t="n">
        <f aca="false">SUMPRODUCT(--(Sens!$R$1055:$AA$1055=2029-tk_life),Sens!$R$1062:$AA$1062)*Sens!$J$1067/1000</f>
        <v>4.18941456</v>
      </c>
      <c r="K1086" s="38" t="n">
        <f aca="false">SUMPRODUCT(--(Sens!$R$1055:$AA$1055=2030-tk_life),Sens!$R$1062:$AA$1062)*Sens!$K$1067/1000</f>
        <v>8.37882912</v>
      </c>
      <c r="L1086" s="38" t="n">
        <f aca="false">SUMPRODUCT(--(Sens!$R$1055:$AA$1055=2031-tk_life),Sens!$R$1062:$AA$1062)*Sens!$L$1067/1000</f>
        <v>37.70473104</v>
      </c>
      <c r="M1086" s="38" t="n">
        <f aca="false">SUMPRODUCT(--(Sens!$R$1055:$AA$1055=2032-tk_life),Sens!$R$1062:$AA$1062)*Sens!$M$1067/1000</f>
        <v>85.7834998842</v>
      </c>
    </row>
    <row r="1087" customFormat="false" ht="17.15" hidden="false" customHeight="false" outlineLevel="0" collapsed="false">
      <c r="A1087" s="0" t="s">
        <v>631</v>
      </c>
      <c r="B1087" s="0" t="s">
        <v>86</v>
      </c>
      <c r="C1087" s="38" t="n">
        <f aca="false">MIN(Sens!$C$1085,Sens!$C$1062*(tk_cx_h100+tk_fac*(1-colo_sh))/1000)</f>
        <v>9.03509136</v>
      </c>
      <c r="D1087" s="38" t="n">
        <f aca="false">MIN(Sens!$D$1085,Sens!$D$1062*(tk_cx_h100+tk_fac*(1-colo_sh))/1000)</f>
        <v>40.65791112</v>
      </c>
      <c r="E1087" s="38" t="n">
        <f aca="false">MIN(Sens!$E$1085,Sens!$E$1062*(Sens!$F$1067+tk_fac*(1-colo_sh))/1000)</f>
        <v>27.11886336</v>
      </c>
      <c r="F1087" s="38" t="n">
        <f aca="false">Sens!$F$1085</f>
        <v>88.7165504612134</v>
      </c>
      <c r="G1087" s="38" t="n">
        <f aca="false">Sens!$E$1087+Sens!$F$1087</f>
        <v>115.835413821213</v>
      </c>
      <c r="H1087" s="38" t="n">
        <f aca="false">Sens!$H$1085</f>
        <v>158.8570919558</v>
      </c>
      <c r="I1087" s="38" t="n">
        <f aca="false">Sens!$I$1085</f>
        <v>163.7171759284</v>
      </c>
      <c r="J1087" s="38" t="n">
        <f aca="false">Sens!$J$1085</f>
        <v>167.9065904884</v>
      </c>
      <c r="K1087" s="38" t="n">
        <f aca="false">Sens!$K$1085</f>
        <v>124.190708220161</v>
      </c>
      <c r="L1087" s="38" t="n">
        <f aca="false">Sens!$L$1085</f>
        <v>105.611313311921</v>
      </c>
      <c r="M1087" s="38" t="n">
        <f aca="false">Sens!$M$1085</f>
        <v>105.784785327882</v>
      </c>
      <c r="P1087" s="5" t="s">
        <v>632</v>
      </c>
      <c r="R1087" s="38" t="n">
        <f aca="false">MIN(Sens!$R$1085,Sens!$R$1062*(tk_cx_h100+tk_fac*(1-colo_sh))/1000)</f>
        <v>1.50429979529945</v>
      </c>
      <c r="S1087" s="38" t="n">
        <f aca="false">Sens!$C$1087</f>
        <v>9.03509136</v>
      </c>
      <c r="T1087" s="38" t="n">
        <f aca="false">Sens!$D$1087</f>
        <v>40.65791112</v>
      </c>
      <c r="U1087" s="38" t="n">
        <f aca="false">Sens!$G$1087</f>
        <v>115.835413821213</v>
      </c>
      <c r="V1087" s="38" t="n">
        <f aca="false">Sens!$H$1087</f>
        <v>158.8570919558</v>
      </c>
      <c r="W1087" s="38" t="n">
        <f aca="false">Sens!$I$1087</f>
        <v>163.7171759284</v>
      </c>
      <c r="X1087" s="38" t="n">
        <f aca="false">Sens!$J$1087</f>
        <v>167.9065904884</v>
      </c>
      <c r="Y1087" s="38" t="n">
        <f aca="false">Sens!$K$1087</f>
        <v>124.190708220161</v>
      </c>
      <c r="Z1087" s="38" t="n">
        <f aca="false">Sens!$L$1087</f>
        <v>105.611313311921</v>
      </c>
      <c r="AA1087" s="38" t="n">
        <f aca="false">Sens!$M$1087</f>
        <v>105.784785327882</v>
      </c>
    </row>
    <row r="1088" customFormat="false" ht="17.15" hidden="false" customHeight="false" outlineLevel="0" collapsed="false">
      <c r="A1088" s="5" t="s">
        <v>633</v>
      </c>
      <c r="B1088" s="0" t="s">
        <v>86</v>
      </c>
      <c r="C1088" s="38" t="n">
        <f aca="false">Sens!$C$1085-Sens!$C$1087</f>
        <v>16.2430139477374</v>
      </c>
      <c r="D1088" s="38" t="n">
        <f aca="false">Sens!$D$1085-Sens!$D$1087</f>
        <v>28.9107205110026</v>
      </c>
      <c r="E1088" s="38" t="n">
        <f aca="false">Sens!$E$1085-Sens!$E$1087</f>
        <v>37.0710572885108</v>
      </c>
      <c r="F1088" s="38" t="n">
        <f aca="false">Sens!$F$1085-Sens!$F$1087</f>
        <v>0</v>
      </c>
      <c r="G1088" s="38" t="n">
        <f aca="false">Sens!$G$1085-Sens!$G$1087</f>
        <v>37.0710572885108</v>
      </c>
      <c r="H1088" s="38" t="n">
        <f aca="false">Sens!$H$1085-Sens!$H$1087</f>
        <v>0</v>
      </c>
      <c r="I1088" s="38" t="n">
        <f aca="false">Sens!$I$1085-Sens!$I$1087</f>
        <v>0</v>
      </c>
      <c r="J1088" s="38" t="n">
        <f aca="false">Sens!$J$1085-Sens!$J$1087</f>
        <v>0</v>
      </c>
      <c r="K1088" s="38" t="n">
        <f aca="false">Sens!$K$1085-Sens!$K$1087</f>
        <v>0</v>
      </c>
      <c r="L1088" s="38" t="n">
        <f aca="false">Sens!$L$1085-Sens!$L$1087</f>
        <v>0</v>
      </c>
      <c r="M1088" s="38" t="n">
        <f aca="false">Sens!$M$1085-Sens!$M$1087</f>
        <v>0</v>
      </c>
    </row>
    <row r="1089" customFormat="false" ht="17.15" hidden="false" customHeight="false" outlineLevel="0" collapsed="false">
      <c r="A1089" s="5" t="s">
        <v>634</v>
      </c>
      <c r="B1089" s="0" t="s">
        <v>86</v>
      </c>
      <c r="C1089" s="38" t="n">
        <f aca="false">Sens!$C$1087*Sens!$C$1084</f>
        <v>6.60245136</v>
      </c>
      <c r="D1089" s="38" t="n">
        <f aca="false">Sens!$D$1087*Sens!$D$1084</f>
        <v>29.71103112</v>
      </c>
      <c r="E1089" s="38" t="n">
        <f aca="false">Sens!$E$1087*Sens!$E$1084</f>
        <v>20.63182336</v>
      </c>
      <c r="F1089" s="38" t="n">
        <f aca="false">Sens!$F$1087*Sens!$F$1084</f>
        <v>67.4948715189913</v>
      </c>
      <c r="G1089" s="38" t="n">
        <f aca="false">Sens!$E$1089+Sens!$F$1089</f>
        <v>88.1266948789913</v>
      </c>
      <c r="H1089" s="38" t="n">
        <f aca="false">(Sens!$H$1087-Sens!$H$1086)*Sens!$H$1084+Sens!$H$1086</f>
        <v>122.0198271558</v>
      </c>
      <c r="I1089" s="38" t="n">
        <f aca="false">(Sens!$I$1087-Sens!$I$1086)*Sens!$I$1084+Sens!$I$1086</f>
        <v>126.8799111284</v>
      </c>
      <c r="J1089" s="38" t="n">
        <f aca="false">(Sens!$J$1087-Sens!$J$1086)*Sens!$J$1084+Sens!$J$1086</f>
        <v>131.0693256884</v>
      </c>
      <c r="K1089" s="38" t="n">
        <f aca="false">(Sens!$K$1087-Sens!$K$1086)*Sens!$K$1084+Sens!$K$1086</f>
        <v>98.1323986188274</v>
      </c>
      <c r="L1089" s="38" t="n">
        <f aca="false">(Sens!$L$1087-Sens!$L$1086)*Sens!$L$1084+Sens!$L$1086</f>
        <v>90.3319589092547</v>
      </c>
      <c r="M1089" s="38" t="n">
        <f aca="false">(Sens!$M$1087-Sens!$M$1086)*Sens!$M$1084+Sens!$M$1086</f>
        <v>101.284386123882</v>
      </c>
      <c r="R1089" s="38" t="n">
        <f aca="false">Sens!$R$1087*Sens!$C$1084</f>
        <v>1.09927679019314</v>
      </c>
      <c r="S1089" s="38" t="n">
        <f aca="false">Sens!$C$1089</f>
        <v>6.60245136</v>
      </c>
      <c r="T1089" s="38" t="n">
        <f aca="false">Sens!$D$1089</f>
        <v>29.71103112</v>
      </c>
      <c r="U1089" s="38" t="n">
        <f aca="false">Sens!$G$1089</f>
        <v>88.1266948789913</v>
      </c>
      <c r="V1089" s="38" t="n">
        <f aca="false">Sens!$H$1089</f>
        <v>122.0198271558</v>
      </c>
      <c r="W1089" s="38" t="n">
        <f aca="false">Sens!$I$1089</f>
        <v>126.8799111284</v>
      </c>
      <c r="X1089" s="38" t="n">
        <f aca="false">Sens!$J$1089</f>
        <v>131.0693256884</v>
      </c>
      <c r="Y1089" s="38" t="n">
        <f aca="false">Sens!$K$1089</f>
        <v>98.1323986188274</v>
      </c>
      <c r="Z1089" s="38" t="n">
        <f aca="false">Sens!$L$1089</f>
        <v>90.3319589092547</v>
      </c>
      <c r="AA1089" s="38" t="n">
        <f aca="false">Sens!$M$1089</f>
        <v>101.284386123882</v>
      </c>
    </row>
    <row r="1090" customFormat="false" ht="15" hidden="false" customHeight="false" outlineLevel="0" collapsed="false">
      <c r="A1090" s="5" t="s">
        <v>635</v>
      </c>
      <c r="B1090" s="0" t="s">
        <v>86</v>
      </c>
      <c r="C1090" s="38" t="n">
        <f aca="false">Sens!$C$1087-Sens!$C$1089</f>
        <v>2.43264</v>
      </c>
      <c r="D1090" s="38" t="n">
        <f aca="false">Sens!$D$1087-Sens!$D$1089</f>
        <v>10.94688</v>
      </c>
      <c r="E1090" s="38" t="n">
        <f aca="false">Sens!$E$1087-Sens!$E$1089</f>
        <v>6.48704</v>
      </c>
      <c r="F1090" s="38" t="n">
        <f aca="false">Sens!$F$1087-Sens!$F$1089</f>
        <v>21.2216789422221</v>
      </c>
      <c r="G1090" s="38" t="n">
        <f aca="false">Sens!$G$1087-Sens!$G$1089</f>
        <v>27.7087189422221</v>
      </c>
      <c r="H1090" s="38" t="n">
        <f aca="false">Sens!$H$1087-Sens!$H$1089</f>
        <v>36.8372648</v>
      </c>
      <c r="I1090" s="38" t="n">
        <f aca="false">Sens!$I$1087-Sens!$I$1089</f>
        <v>36.8372648</v>
      </c>
      <c r="J1090" s="38" t="n">
        <f aca="false">Sens!$J$1087-Sens!$J$1089</f>
        <v>36.8372648</v>
      </c>
      <c r="K1090" s="38" t="n">
        <f aca="false">Sens!$K$1087-Sens!$K$1089</f>
        <v>26.0583096013333</v>
      </c>
      <c r="L1090" s="38" t="n">
        <f aca="false">Sens!$L$1087-Sens!$L$1089</f>
        <v>15.2793544026667</v>
      </c>
      <c r="M1090" s="38" t="n">
        <f aca="false">Sens!$M$1087-Sens!$M$1089</f>
        <v>4.50039920399999</v>
      </c>
      <c r="R1090" s="38" t="n">
        <f aca="false">Sens!$R$1087-Sens!$R$1089</f>
        <v>0.405023005106309</v>
      </c>
      <c r="S1090" s="38" t="n">
        <f aca="false">Sens!$S$1087-Sens!$S$1089</f>
        <v>2.43264</v>
      </c>
      <c r="T1090" s="38" t="n">
        <f aca="false">Sens!$T$1087-Sens!$T$1089</f>
        <v>10.94688</v>
      </c>
      <c r="U1090" s="38" t="n">
        <f aca="false">Sens!$U$1087-Sens!$U$1089</f>
        <v>27.7087189422221</v>
      </c>
      <c r="V1090" s="38" t="n">
        <f aca="false">Sens!$V$1087-Sens!$V$1089</f>
        <v>36.8372648</v>
      </c>
      <c r="W1090" s="38" t="n">
        <f aca="false">Sens!$W$1087-Sens!$W$1089</f>
        <v>36.8372648</v>
      </c>
      <c r="X1090" s="38" t="n">
        <f aca="false">Sens!$X$1087-Sens!$X$1089</f>
        <v>36.8372648</v>
      </c>
      <c r="Y1090" s="38" t="n">
        <f aca="false">Sens!$Y$1087-Sens!$Y$1089</f>
        <v>26.0583096013333</v>
      </c>
      <c r="Z1090" s="38" t="n">
        <f aca="false">Sens!$Z$1087-Sens!$Z$1089</f>
        <v>15.2793544026667</v>
      </c>
      <c r="AA1090" s="38" t="n">
        <f aca="false">Sens!$AA$1087-Sens!$AA$1089</f>
        <v>4.50039920399999</v>
      </c>
    </row>
    <row r="1091" customFormat="false" ht="17.15" hidden="false" customHeight="false" outlineLevel="0" collapsed="false">
      <c r="A1091" s="0" t="s">
        <v>636</v>
      </c>
      <c r="B1091" s="0" t="s">
        <v>52</v>
      </c>
      <c r="C1091" s="13" t="n">
        <f aca="false">Sens!$C$1085/Sens!$C$1207</f>
        <v>0.325505489553393</v>
      </c>
      <c r="D1091" s="13" t="n">
        <f aca="false">Sens!$D$1085/Sens!$D$1207</f>
        <v>0.54214956071542</v>
      </c>
      <c r="E1091" s="13" t="n">
        <f aca="false">Sens!$E$1085/Sens!$E$1207</f>
        <v>0.666492790452817</v>
      </c>
      <c r="F1091" s="13" t="n">
        <f aca="false">Sens!$F$1085/Sens!$F$1207</f>
        <v>0.71724917504417</v>
      </c>
      <c r="G1091" s="13" t="n">
        <f aca="false">Sens!$G$1085/Sens!$G$1207</f>
        <v>0.69502941413511</v>
      </c>
      <c r="H1091" s="13" t="n">
        <f aca="false">Sens!$H$1085/Sens!$H$1207</f>
        <v>0.67986893388576</v>
      </c>
      <c r="I1091" s="13" t="n">
        <f aca="false">Sens!$I$1085/Sens!$I$1207</f>
        <v>0.665374925220239</v>
      </c>
      <c r="J1091" s="13" t="n">
        <f aca="false">Sens!$J$1085/Sens!$J$1207</f>
        <v>0.652470187605636</v>
      </c>
      <c r="K1091" s="13" t="n">
        <f aca="false">Sens!$K$1085/Sens!$K$1207</f>
        <v>0.564478924889048</v>
      </c>
      <c r="L1091" s="13" t="n">
        <f aca="false">Sens!$L$1085/Sens!$L$1207</f>
        <v>0.507031242107448</v>
      </c>
      <c r="M1091" s="13" t="n">
        <f aca="false">Sens!$M$1085/Sens!$M$1207</f>
        <v>0.490094931186114</v>
      </c>
    </row>
    <row r="1092" customFormat="false" ht="17.15" hidden="false" customHeight="false" outlineLevel="0" collapsed="false">
      <c r="A1092" s="0" t="s">
        <v>637</v>
      </c>
      <c r="B1092" s="0" t="s">
        <v>86</v>
      </c>
      <c r="C1092" s="38" t="n">
        <f aca="false">Sens!$S$1092</f>
        <v>0.183212798365523</v>
      </c>
      <c r="D1092" s="38" t="n">
        <f aca="false">Sens!$T$1092</f>
        <v>1.28362135836552</v>
      </c>
      <c r="E1092" s="38" t="n">
        <f aca="false">Sens!$G$1092/2</f>
        <v>3.11772993918276</v>
      </c>
      <c r="F1092" s="38" t="n">
        <f aca="false">Sens!$G$1092/2</f>
        <v>3.11772993918276</v>
      </c>
      <c r="G1092" s="38" t="n">
        <f aca="false">Sens!$U$1092</f>
        <v>6.23545987836552</v>
      </c>
      <c r="H1092" s="38" t="n">
        <f aca="false">Sens!$V$1092</f>
        <v>20.9232423581974</v>
      </c>
      <c r="I1092" s="38" t="n">
        <f aca="false">Sens!$W$1092</f>
        <v>41.2598802174974</v>
      </c>
      <c r="J1092" s="38" t="n">
        <f aca="false">Sens!$X$1092</f>
        <v>62.4065320722308</v>
      </c>
      <c r="K1092" s="38" t="n">
        <f aca="false">Sens!$Y$1092</f>
        <v>84.0682068885986</v>
      </c>
      <c r="L1092" s="38" t="n">
        <f aca="false">Sens!$Z$1092</f>
        <v>99.3231980984031</v>
      </c>
      <c r="M1092" s="38" t="n">
        <f aca="false">Sens!$AA$1092</f>
        <v>109.426686063279</v>
      </c>
      <c r="N1092" s="38" t="n">
        <f aca="false">Sens!$D$1092/2</f>
        <v>0.641810679182762</v>
      </c>
      <c r="O1092" s="38" t="n">
        <f aca="false">Sens!$D$1092/2</f>
        <v>0.641810679182762</v>
      </c>
      <c r="R1092" s="38" t="n">
        <f aca="false">SUMPRODUCT(--(Sens!$R$1055:$AA$1055&lt;Sens!R$1055),--(Sens!$R$1055:$AA$1055&gt;=Sens!R$1055-tk_life),Sens!$R$1089:$AA$1089)/tk_life</f>
        <v>0</v>
      </c>
      <c r="S1092" s="38" t="n">
        <f aca="false">SUMPRODUCT(--(Sens!$R$1055:$AA$1055&lt;Sens!S$1055),--(Sens!$R$1055:$AA$1055&gt;=Sens!S$1055-tk_life),Sens!$R$1089:$AA$1089)/tk_life</f>
        <v>0.183212798365523</v>
      </c>
      <c r="T1092" s="38" t="n">
        <f aca="false">SUMPRODUCT(--(Sens!$R$1055:$AA$1055&lt;Sens!T$1055),--(Sens!$R$1055:$AA$1055&gt;=Sens!T$1055-tk_life),Sens!$R$1089:$AA$1089)/tk_life</f>
        <v>1.28362135836552</v>
      </c>
      <c r="U1092" s="38" t="n">
        <f aca="false">SUMPRODUCT(--(Sens!$R$1055:$AA$1055&lt;Sens!U$1055),--(Sens!$R$1055:$AA$1055&gt;=Sens!U$1055-tk_life),Sens!$R$1089:$AA$1089)/tk_life</f>
        <v>6.23545987836552</v>
      </c>
      <c r="V1092" s="38" t="n">
        <f aca="false">SUMPRODUCT(--(Sens!$R$1055:$AA$1055&lt;Sens!V$1055),--(Sens!$R$1055:$AA$1055&gt;=Sens!V$1055-tk_life),Sens!$R$1089:$AA$1089)/tk_life</f>
        <v>20.9232423581974</v>
      </c>
      <c r="W1092" s="38" t="n">
        <f aca="false">SUMPRODUCT(--(Sens!$R$1055:$AA$1055&lt;Sens!W$1055),--(Sens!$R$1055:$AA$1055&gt;=Sens!W$1055-tk_life),Sens!$R$1089:$AA$1089)/tk_life</f>
        <v>41.2598802174974</v>
      </c>
      <c r="X1092" s="38" t="n">
        <f aca="false">SUMPRODUCT(--(Sens!$R$1055:$AA$1055&lt;Sens!X$1055),--(Sens!$R$1055:$AA$1055&gt;=Sens!X$1055-tk_life),Sens!$R$1089:$AA$1089)/tk_life</f>
        <v>62.4065320722308</v>
      </c>
      <c r="Y1092" s="38" t="n">
        <f aca="false">SUMPRODUCT(--(Sens!$R$1055:$AA$1055&lt;Sens!Y$1055),--(Sens!$R$1055:$AA$1055&gt;=Sens!Y$1055-tk_life),Sens!$R$1089:$AA$1089)/tk_life</f>
        <v>84.0682068885986</v>
      </c>
      <c r="Z1092" s="38" t="n">
        <f aca="false">SUMPRODUCT(--(Sens!$R$1055:$AA$1055&lt;Sens!Z$1055),--(Sens!$R$1055:$AA$1055&gt;=Sens!Z$1055-tk_life),Sens!$R$1089:$AA$1089)/tk_life</f>
        <v>99.3231980984031</v>
      </c>
      <c r="AA1092" s="38" t="n">
        <f aca="false">SUMPRODUCT(--(Sens!$R$1055:$AA$1055&lt;Sens!AA$1055),--(Sens!$R$1055:$AA$1055&gt;=Sens!AA$1055-tk_life),Sens!$R$1089:$AA$1089)/tk_life</f>
        <v>109.426686063279</v>
      </c>
    </row>
    <row r="1093" customFormat="false" ht="17.15" hidden="false" customHeight="false" outlineLevel="0" collapsed="false">
      <c r="A1093" s="0" t="s">
        <v>638</v>
      </c>
      <c r="B1093" s="0" t="s">
        <v>86</v>
      </c>
      <c r="C1093" s="38" t="n">
        <f aca="false">Sens!$S$1093</f>
        <v>0.0202511502553155</v>
      </c>
      <c r="D1093" s="38" t="n">
        <f aca="false">Sens!$T$1093</f>
        <v>0.141883150255315</v>
      </c>
      <c r="E1093" s="38" t="n">
        <f aca="false">Sens!$G$1093/2</f>
        <v>0.344613575127658</v>
      </c>
      <c r="F1093" s="38" t="n">
        <f aca="false">Sens!$G$1093/2</f>
        <v>0.344613575127658</v>
      </c>
      <c r="G1093" s="38" t="n">
        <f aca="false">Sens!$U$1093</f>
        <v>0.689227150255315</v>
      </c>
      <c r="H1093" s="38" t="n">
        <f aca="false">Sens!$V$1093</f>
        <v>2.07466309736642</v>
      </c>
      <c r="I1093" s="38" t="n">
        <f aca="false">Sens!$W$1093</f>
        <v>3.91652633736642</v>
      </c>
      <c r="J1093" s="38" t="n">
        <f aca="false">Sens!$X$1093</f>
        <v>5.75838957736642</v>
      </c>
      <c r="K1093" s="38" t="n">
        <f aca="false">Sens!$Y$1093</f>
        <v>7.60025281736642</v>
      </c>
      <c r="L1093" s="38" t="n">
        <f aca="false">Sens!$Z$1093</f>
        <v>8.90316829743309</v>
      </c>
      <c r="M1093" s="38" t="n">
        <f aca="false">Sens!$AA$1093</f>
        <v>9.66713601756642</v>
      </c>
      <c r="N1093" s="38" t="n">
        <f aca="false">Sens!$D$1093/2</f>
        <v>0.0709415751276577</v>
      </c>
      <c r="O1093" s="38" t="n">
        <f aca="false">Sens!$D$1093/2</f>
        <v>0.0709415751276577</v>
      </c>
      <c r="R1093" s="38" t="n">
        <f aca="false">SUMPRODUCT(--(Sens!$R$1055:$AA$1055&lt;Sens!R$1055),Sens!$R$1090:$AA$1090)/fac_life</f>
        <v>0</v>
      </c>
      <c r="S1093" s="38" t="n">
        <f aca="false">SUMPRODUCT(--(Sens!$R$1055:$AA$1055&lt;Sens!S$1055),Sens!$R$1090:$AA$1090)/fac_life</f>
        <v>0.0202511502553155</v>
      </c>
      <c r="T1093" s="38" t="n">
        <f aca="false">SUMPRODUCT(--(Sens!$R$1055:$AA$1055&lt;Sens!T$1055),Sens!$R$1090:$AA$1090)/fac_life</f>
        <v>0.141883150255315</v>
      </c>
      <c r="U1093" s="38" t="n">
        <f aca="false">SUMPRODUCT(--(Sens!$R$1055:$AA$1055&lt;Sens!U$1055),Sens!$R$1090:$AA$1090)/fac_life</f>
        <v>0.689227150255315</v>
      </c>
      <c r="V1093" s="38" t="n">
        <f aca="false">SUMPRODUCT(--(Sens!$R$1055:$AA$1055&lt;Sens!V$1055),Sens!$R$1090:$AA$1090)/fac_life</f>
        <v>2.07466309736642</v>
      </c>
      <c r="W1093" s="38" t="n">
        <f aca="false">SUMPRODUCT(--(Sens!$R$1055:$AA$1055&lt;Sens!W$1055),Sens!$R$1090:$AA$1090)/fac_life</f>
        <v>3.91652633736642</v>
      </c>
      <c r="X1093" s="38" t="n">
        <f aca="false">SUMPRODUCT(--(Sens!$R$1055:$AA$1055&lt;Sens!X$1055),Sens!$R$1090:$AA$1090)/fac_life</f>
        <v>5.75838957736642</v>
      </c>
      <c r="Y1093" s="38" t="n">
        <f aca="false">SUMPRODUCT(--(Sens!$R$1055:$AA$1055&lt;Sens!Y$1055),Sens!$R$1090:$AA$1090)/fac_life</f>
        <v>7.60025281736642</v>
      </c>
      <c r="Z1093" s="38" t="n">
        <f aca="false">SUMPRODUCT(--(Sens!$R$1055:$AA$1055&lt;Sens!Z$1055),Sens!$R$1090:$AA$1090)/fac_life</f>
        <v>8.90316829743309</v>
      </c>
      <c r="AA1093" s="38" t="n">
        <f aca="false">SUMPRODUCT(--(Sens!$R$1055:$AA$1055&lt;Sens!AA$1055),Sens!$R$1090:$AA$1090)/fac_life</f>
        <v>9.66713601756642</v>
      </c>
    </row>
    <row r="1094" customFormat="false" ht="17.15" hidden="false" customHeight="false" outlineLevel="0" collapsed="false">
      <c r="A1094" s="1" t="s">
        <v>639</v>
      </c>
      <c r="B1094" s="8" t="s">
        <v>86</v>
      </c>
      <c r="C1094" s="38" t="n">
        <f aca="false">Sens!$C$1092+Sens!$C$1093</f>
        <v>0.203463948620839</v>
      </c>
      <c r="D1094" s="38" t="n">
        <f aca="false">Sens!$D$1092+Sens!$D$1093</f>
        <v>1.42550450862084</v>
      </c>
      <c r="E1094" s="38" t="n">
        <f aca="false">Sens!$E$1092+Sens!$E$1093</f>
        <v>3.46234351431042</v>
      </c>
      <c r="F1094" s="38" t="n">
        <f aca="false">Sens!$F$1092+Sens!$F$1093</f>
        <v>3.46234351431042</v>
      </c>
      <c r="G1094" s="38" t="n">
        <f aca="false">Sens!$G$1092+Sens!$G$1093</f>
        <v>6.92468702862084</v>
      </c>
      <c r="H1094" s="38" t="n">
        <f aca="false">Sens!$H$1092+Sens!$H$1093</f>
        <v>22.9979054555638</v>
      </c>
      <c r="I1094" s="38" t="n">
        <f aca="false">Sens!$I$1092+Sens!$I$1093</f>
        <v>45.1764065548638</v>
      </c>
      <c r="J1094" s="38" t="n">
        <f aca="false">Sens!$J$1092+Sens!$J$1093</f>
        <v>68.1649216495972</v>
      </c>
      <c r="K1094" s="38" t="n">
        <f aca="false">Sens!$K$1092+Sens!$K$1093</f>
        <v>91.668459705965</v>
      </c>
      <c r="L1094" s="38" t="n">
        <f aca="false">Sens!$L$1092+Sens!$L$1093</f>
        <v>108.226366395836</v>
      </c>
      <c r="M1094" s="38" t="n">
        <f aca="false">Sens!$M$1092+Sens!$M$1093</f>
        <v>119.093822080845</v>
      </c>
      <c r="N1094" s="38" t="n">
        <f aca="false">Sens!$N$1092+Sens!$N$1093</f>
        <v>0.712752254310419</v>
      </c>
      <c r="O1094" s="38" t="n">
        <f aca="false">Sens!$O$1092+Sens!$O$1093</f>
        <v>0.712752254310419</v>
      </c>
      <c r="R1094" s="38" t="n">
        <f aca="false">Sens!$R$1092+Sens!$R$1093</f>
        <v>0</v>
      </c>
      <c r="S1094" s="38" t="n">
        <f aca="false">Sens!$S$1092+Sens!$S$1093</f>
        <v>0.203463948620839</v>
      </c>
      <c r="T1094" s="38" t="n">
        <f aca="false">Sens!$T$1092+Sens!$T$1093</f>
        <v>1.42550450862084</v>
      </c>
      <c r="U1094" s="38" t="n">
        <f aca="false">Sens!$U$1092+Sens!$U$1093</f>
        <v>6.92468702862084</v>
      </c>
      <c r="V1094" s="38" t="n">
        <f aca="false">Sens!$V$1092+Sens!$V$1093</f>
        <v>22.9979054555638</v>
      </c>
      <c r="W1094" s="38" t="n">
        <f aca="false">Sens!$W$1092+Sens!$W$1093</f>
        <v>45.1764065548638</v>
      </c>
      <c r="X1094" s="38" t="n">
        <f aca="false">Sens!$X$1092+Sens!$X$1093</f>
        <v>68.1649216495972</v>
      </c>
      <c r="Y1094" s="38" t="n">
        <f aca="false">Sens!$Y$1092+Sens!$Y$1093</f>
        <v>91.668459705965</v>
      </c>
      <c r="Z1094" s="38" t="n">
        <f aca="false">Sens!$Z$1092+Sens!$Z$1093</f>
        <v>108.226366395836</v>
      </c>
      <c r="AA1094" s="38" t="n">
        <f aca="false">Sens!$AA$1092+Sens!$AA$1093</f>
        <v>119.093822080845</v>
      </c>
    </row>
    <row r="1095" customFormat="false" ht="17.15" hidden="false" customHeight="false" outlineLevel="0" collapsed="false">
      <c r="A1095" s="0" t="s">
        <v>640</v>
      </c>
      <c r="B1095" s="0" t="s">
        <v>86</v>
      </c>
      <c r="C1095" s="38" t="n">
        <f aca="false">Sens!$S$1095</f>
        <v>10.3359272066786</v>
      </c>
      <c r="D1095" s="38" t="n">
        <f aca="false">Sens!$T$1095</f>
        <v>49.5683338180578</v>
      </c>
      <c r="G1095" s="38" t="n">
        <f aca="false">Sens!$U$1095</f>
        <v>158.47906061065</v>
      </c>
      <c r="H1095" s="38" t="n">
        <f aca="false">Sens!$V$1095</f>
        <v>294.338247110887</v>
      </c>
      <c r="I1095" s="38" t="n">
        <f aca="false">Sens!$W$1095</f>
        <v>412.879016484423</v>
      </c>
      <c r="J1095" s="38" t="n">
        <f aca="false">Sens!$X$1095</f>
        <v>512.620685323226</v>
      </c>
      <c r="K1095" s="38" t="n">
        <f aca="false">Sens!$Y$1095</f>
        <v>545.142933837421</v>
      </c>
      <c r="L1095" s="38" t="n">
        <f aca="false">Sens!$Z$1095</f>
        <v>542.527880753507</v>
      </c>
      <c r="M1095" s="38" t="n">
        <f aca="false">Sens!$AA$1095</f>
        <v>529.218844000543</v>
      </c>
      <c r="R1095" s="38" t="n">
        <f aca="false">SUM(Sens!$R$1087:$R$1087)-SUM(Sens!$R$1094:$R$1094)</f>
        <v>1.50429979529945</v>
      </c>
      <c r="S1095" s="38" t="n">
        <f aca="false">SUM(Sens!$R$1087:$S$1087)-SUM(Sens!$R$1094:$S$1094)</f>
        <v>10.3359272066786</v>
      </c>
      <c r="T1095" s="38" t="n">
        <f aca="false">SUM(Sens!$R$1087:$T$1087)-SUM(Sens!$R$1094:$T$1094)</f>
        <v>49.5683338180578</v>
      </c>
      <c r="U1095" s="38" t="n">
        <f aca="false">SUM(Sens!$R$1087:$U$1087)-SUM(Sens!$R$1094:$U$1094)</f>
        <v>158.47906061065</v>
      </c>
      <c r="V1095" s="38" t="n">
        <f aca="false">SUM(Sens!$R$1087:$V$1087)-SUM(Sens!$R$1094:$V$1094)</f>
        <v>294.338247110887</v>
      </c>
      <c r="W1095" s="38" t="n">
        <f aca="false">SUM(Sens!$R$1087:$W$1087)-SUM(Sens!$R$1094:$W$1094)</f>
        <v>412.879016484423</v>
      </c>
      <c r="X1095" s="38" t="n">
        <f aca="false">SUM(Sens!$R$1087:$X$1087)-SUM(Sens!$R$1094:$X$1094)</f>
        <v>512.620685323226</v>
      </c>
      <c r="Y1095" s="38" t="n">
        <f aca="false">SUM(Sens!$R$1087:$Y$1087)-SUM(Sens!$R$1094:$Y$1094)</f>
        <v>545.142933837421</v>
      </c>
      <c r="Z1095" s="38" t="n">
        <f aca="false">SUM(Sens!$R$1087:$Z$1087)-SUM(Sens!$R$1094:$Z$1094)</f>
        <v>542.527880753507</v>
      </c>
      <c r="AA1095" s="38" t="n">
        <f aca="false">SUM(Sens!$R$1087:$AA$1087)-SUM(Sens!$R$1094:$AA$1094)</f>
        <v>529.218844000543</v>
      </c>
    </row>
    <row r="1096" customFormat="false" ht="17.15" hidden="false" customHeight="false" outlineLevel="0" collapsed="false">
      <c r="A1096" s="1" t="s">
        <v>641</v>
      </c>
    </row>
    <row r="1097" customFormat="false" ht="17.15" hidden="false" customHeight="false" outlineLevel="0" collapsed="false">
      <c r="A1097" s="0" t="s">
        <v>642</v>
      </c>
      <c r="B1097" s="0" t="s">
        <v>86</v>
      </c>
      <c r="C1097" s="38" t="n">
        <f aca="false">Sens!$C$1076-ext_sh_hi*Sens!$C$1078</f>
        <v>1.80694998843362</v>
      </c>
      <c r="D1097" s="38" t="n">
        <f aca="false">Sens!$D$1076-ext_sh_hi*Sens!$D$1078</f>
        <v>6.77606245662606</v>
      </c>
      <c r="E1097" s="38" t="n">
        <f aca="false">Sens!$E$1076-ext_sh_hi*Sens!$E$1078</f>
        <v>6.62548329092326</v>
      </c>
      <c r="F1097" s="38" t="n">
        <f aca="false">Sens!$F$1076-ext_sh_hi*Sens!$F$1078</f>
        <v>11.7200577158706</v>
      </c>
      <c r="G1097" s="38" t="n">
        <f aca="false">Sens!$G$1076-ext_sh_hi*Sens!$G$1078</f>
        <v>18.3455410067939</v>
      </c>
      <c r="H1097" s="38" t="n">
        <f aca="false">Sens!$H$1076-ext_sh_hi*Sens!$H$1078</f>
        <v>47.5171727060453</v>
      </c>
      <c r="I1097" s="38" t="n">
        <f aca="false">Sens!$I$1076-ext_sh_hi*Sens!$I$1078</f>
        <v>80.5539692643667</v>
      </c>
      <c r="J1097" s="38" t="n">
        <f aca="false">Sens!$J$1076-ext_sh_hi*Sens!$J$1078</f>
        <v>113.759316834883</v>
      </c>
      <c r="K1097" s="38" t="n">
        <f aca="false">Sens!$K$1076-ext_sh_hi*Sens!$K$1078</f>
        <v>142.084411492169</v>
      </c>
      <c r="L1097" s="38" t="n">
        <f aca="false">Sens!$L$1076-ext_sh_hi*Sens!$L$1078</f>
        <v>160.69964615804</v>
      </c>
      <c r="M1097" s="38" t="n">
        <f aca="false">Sens!$M$1076-ext_sh_hi*Sens!$M$1078</f>
        <v>169.577607141793</v>
      </c>
      <c r="N1097" s="38" t="n">
        <f aca="false">Sens!$N$1076-ext_sh_hi*Sens!$N$1078</f>
        <v>2.37162185981912</v>
      </c>
      <c r="O1097" s="38" t="n">
        <f aca="false">Sens!$O$1076-ext_sh_hi*Sens!$O$1078</f>
        <v>4.40444059680694</v>
      </c>
    </row>
    <row r="1098" customFormat="false" ht="17.15" hidden="false" customHeight="false" outlineLevel="0" collapsed="false">
      <c r="A1098" s="1" t="s">
        <v>643</v>
      </c>
      <c r="B1098" s="8" t="s">
        <v>86</v>
      </c>
      <c r="C1098" s="38" t="n">
        <f aca="false">Sens!$C$1097-ext_sh_hi*Sens!$C$1094</f>
        <v>1.60348603981278</v>
      </c>
      <c r="D1098" s="38" t="n">
        <f aca="false">Sens!$D$1097-ext_sh_hi*Sens!$D$1094</f>
        <v>5.35055794800523</v>
      </c>
      <c r="E1098" s="38" t="n">
        <f aca="false">Sens!$E$1097-ext_sh_hi*Sens!$E$1094</f>
        <v>3.16313977661284</v>
      </c>
      <c r="F1098" s="38" t="n">
        <f aca="false">Sens!$F$1097-ext_sh_hi*Sens!$F$1094</f>
        <v>8.25771420156017</v>
      </c>
      <c r="G1098" s="38" t="n">
        <f aca="false">Sens!$G$1097-ext_sh_hi*Sens!$G$1094</f>
        <v>11.420853978173</v>
      </c>
      <c r="H1098" s="38" t="n">
        <f aca="false">Sens!$H$1097-ext_sh_hi*Sens!$H$1094</f>
        <v>24.5192672504815</v>
      </c>
      <c r="I1098" s="38" t="n">
        <f aca="false">Sens!$I$1097-ext_sh_hi*Sens!$I$1094</f>
        <v>35.3775627095029</v>
      </c>
      <c r="J1098" s="38" t="n">
        <f aca="false">Sens!$J$1097-ext_sh_hi*Sens!$J$1094</f>
        <v>45.5943951852862</v>
      </c>
      <c r="K1098" s="38" t="n">
        <f aca="false">Sens!$K$1097-ext_sh_hi*Sens!$K$1094</f>
        <v>50.4159517862044</v>
      </c>
      <c r="L1098" s="38" t="n">
        <f aca="false">Sens!$L$1097-ext_sh_hi*Sens!$L$1094</f>
        <v>52.4732797622041</v>
      </c>
      <c r="M1098" s="38" t="n">
        <f aca="false">Sens!$M$1097-ext_sh_hi*Sens!$M$1094</f>
        <v>50.483785060948</v>
      </c>
      <c r="N1098" s="38" t="n">
        <f aca="false">Sens!$N$1097-ext_sh_hi*Sens!$N$1094</f>
        <v>1.6588696055087</v>
      </c>
      <c r="O1098" s="38" t="n">
        <f aca="false">Sens!$O$1097-ext_sh_hi*Sens!$O$1094</f>
        <v>3.69168834249652</v>
      </c>
    </row>
    <row r="1099" customFormat="false" ht="17.15" hidden="false" customHeight="false" outlineLevel="0" collapsed="false">
      <c r="A1099" s="0" t="s">
        <v>644</v>
      </c>
      <c r="B1099" s="0" t="s">
        <v>52</v>
      </c>
      <c r="C1099" s="13" t="n">
        <f aca="false">Sens!$C$1098/Sens!$C$1076</f>
        <v>0.690858396769735</v>
      </c>
      <c r="D1099" s="13" t="n">
        <f aca="false">Sens!$D$1098/Sens!$D$1076</f>
        <v>0.614740266977159</v>
      </c>
      <c r="E1099" s="13" t="n">
        <f aca="false">Sens!$E$1098/Sens!$E$1076</f>
        <v>0.371681384508141</v>
      </c>
      <c r="F1099" s="13" t="n">
        <f aca="false">Sens!$F$1098/Sens!$F$1076</f>
        <v>0.551859579667648</v>
      </c>
      <c r="G1099" s="13" t="n">
        <f aca="false">Sens!$G$1098/Sens!$G$1076</f>
        <v>0.486536499752492</v>
      </c>
      <c r="H1099" s="13" t="n">
        <f aca="false">Sens!$H$1098/Sens!$H$1076</f>
        <v>0.407527702904878</v>
      </c>
      <c r="I1099" s="13" t="n">
        <f aca="false">Sens!$I$1098/Sens!$I$1076</f>
        <v>0.348534713616216</v>
      </c>
      <c r="J1099" s="13" t="n">
        <f aca="false">Sens!$J$1098/Sens!$J$1076</f>
        <v>0.318785285030239</v>
      </c>
      <c r="K1099" s="13" t="n">
        <f aca="false">Sens!$K$1098/Sens!$K$1076</f>
        <v>0.282524420419486</v>
      </c>
      <c r="L1099" s="13" t="n">
        <f aca="false">Sens!$L$1098/Sens!$L$1076</f>
        <v>0.260118839632985</v>
      </c>
      <c r="M1099" s="13" t="n">
        <f aca="false">Sens!$M$1098/Sens!$M$1076</f>
        <v>0.237196327530125</v>
      </c>
      <c r="N1099" s="13" t="n">
        <f aca="false">Sens!$N$1098/Sens!$N$1076</f>
        <v>0.544548787023979</v>
      </c>
      <c r="O1099" s="13" t="n">
        <f aca="false">Sens!$O$1098/Sens!$O$1076</f>
        <v>0.652535679259641</v>
      </c>
    </row>
    <row r="1100" customFormat="false" ht="17.15" hidden="false" customHeight="false" outlineLevel="0" collapsed="false">
      <c r="A1100" s="5" t="s">
        <v>645</v>
      </c>
      <c r="B1100" s="0" t="s">
        <v>86</v>
      </c>
      <c r="C1100" s="39" t="n">
        <v>0</v>
      </c>
      <c r="D1100" s="39" t="n">
        <v>0</v>
      </c>
      <c r="E1100" s="39" t="n">
        <v>0</v>
      </c>
      <c r="F1100" s="38" t="n">
        <f aca="false">IF(internal_ai_reading=2,1,0)*(1-ext_sh_hi)/ext_sh_hi*(mw_open*he_open+Sens!$F$1074*Sens!$F$1071)*Sens!$F$1060/1000</f>
        <v>0</v>
      </c>
      <c r="G1100" s="38" t="n">
        <f aca="false">Sens!$E$1100+Sens!$F$1100</f>
        <v>0</v>
      </c>
      <c r="H1100" s="38" t="n">
        <f aca="false">IF(internal_ai_reading=2,1,0)*(1-ext_sh_hi)/ext_sh_hi*(mw_open*he_open+Sens!$H$1074*Sens!$H$1071)*Sens!$H$1060/1000</f>
        <v>0</v>
      </c>
      <c r="I1100" s="38" t="n">
        <f aca="false">IF(internal_ai_reading=2,1,0)*(1-ext_sh_hi)/ext_sh_hi*(mw_open*he_open+Sens!$I$1074*Sens!$I$1071)*Sens!$I$1060/1000</f>
        <v>0</v>
      </c>
      <c r="J1100" s="38" t="n">
        <f aca="false">IF(internal_ai_reading=2,1,0)*(1-ext_sh_hi)/ext_sh_hi*(mw_open*he_open+Sens!$J$1074*Sens!$J$1071)*Sens!$J$1060/1000</f>
        <v>0</v>
      </c>
      <c r="K1100" s="38" t="n">
        <f aca="false">IF(internal_ai_reading=2,1,0)*(1-ext_sh_hi)/ext_sh_hi*(mw_open*he_open+Sens!$K$1074*Sens!$K$1071)*Sens!$K$1060/1000</f>
        <v>0</v>
      </c>
      <c r="L1100" s="38" t="n">
        <f aca="false">IF(internal_ai_reading=2,1,0)*(1-ext_sh_hi)/ext_sh_hi*(mw_open*he_open+Sens!$L$1074*Sens!$L$1071)*Sens!$L$1060/1000</f>
        <v>0</v>
      </c>
      <c r="M1100" s="38" t="n">
        <f aca="false">IF(internal_ai_reading=2,1,0)*(1-ext_sh_hi)/ext_sh_hi*(mw_open*he_open+Sens!$M$1074*Sens!$M$1071)*Sens!$M$1060/1000</f>
        <v>0</v>
      </c>
      <c r="N1100" s="39" t="n">
        <v>0</v>
      </c>
      <c r="O1100" s="39" t="n">
        <v>0</v>
      </c>
      <c r="P1100" s="8" t="s">
        <v>646</v>
      </c>
    </row>
    <row r="1101" customFormat="false" ht="17.15" hidden="false" customHeight="false" outlineLevel="0" collapsed="false">
      <c r="A1101" s="5" t="s">
        <v>647</v>
      </c>
      <c r="B1101" s="0" t="s">
        <v>86</v>
      </c>
      <c r="C1101" s="38" t="n">
        <f aca="false">(1-ext_sh_hi)*(Sens!$C$1078+Sens!$C$1094)</f>
        <v>0</v>
      </c>
      <c r="D1101" s="38" t="n">
        <f aca="false">(1-ext_sh_hi)*(Sens!$D$1078+Sens!$D$1094)</f>
        <v>0</v>
      </c>
      <c r="E1101" s="38" t="n">
        <f aca="false">(1-ext_sh_hi)*(Sens!$E$1078+Sens!$E$1094)</f>
        <v>0</v>
      </c>
      <c r="F1101" s="38" t="n">
        <f aca="false">(1-ext_sh_hi)*(Sens!$F$1078+Sens!$F$1094)</f>
        <v>0</v>
      </c>
      <c r="G1101" s="38" t="n">
        <f aca="false">(1-ext_sh_hi)*(Sens!$G$1078+Sens!$G$1094)</f>
        <v>0</v>
      </c>
      <c r="H1101" s="38" t="n">
        <f aca="false">(1-ext_sh_hi)*(Sens!$H$1078+Sens!$H$1094)</f>
        <v>0</v>
      </c>
      <c r="I1101" s="38" t="n">
        <f aca="false">(1-ext_sh_hi)*(Sens!$I$1078+Sens!$I$1094)</f>
        <v>0</v>
      </c>
      <c r="J1101" s="38" t="n">
        <f aca="false">(1-ext_sh_hi)*(Sens!$J$1078+Sens!$J$1094)</f>
        <v>0</v>
      </c>
      <c r="K1101" s="38" t="n">
        <f aca="false">(1-ext_sh_hi)*(Sens!$K$1078+Sens!$K$1094)</f>
        <v>0</v>
      </c>
      <c r="L1101" s="38" t="n">
        <f aca="false">(1-ext_sh_hi)*(Sens!$L$1078+Sens!$L$1094)</f>
        <v>0</v>
      </c>
      <c r="M1101" s="38" t="n">
        <f aca="false">(1-ext_sh_hi)*(Sens!$M$1078+Sens!$M$1094)</f>
        <v>0</v>
      </c>
      <c r="N1101" s="38" t="n">
        <f aca="false">(1-ext_sh_hi)*(Sens!$N$1078+Sens!$N$1094)</f>
        <v>0</v>
      </c>
      <c r="O1101" s="38" t="n">
        <f aca="false">(1-ext_sh_hi)*(Sens!$O$1078+Sens!$O$1094)</f>
        <v>0</v>
      </c>
    </row>
    <row r="1102" customFormat="false" ht="17.15" hidden="false" customHeight="false" outlineLevel="0" collapsed="false">
      <c r="A1102" s="0" t="s">
        <v>648</v>
      </c>
      <c r="B1102" s="0" t="s">
        <v>86</v>
      </c>
      <c r="C1102" s="38" t="n">
        <f aca="false">Q!$D$24</f>
        <v>39.834</v>
      </c>
      <c r="D1102" s="38" t="n">
        <f aca="false">Q!$E$24</f>
        <v>45.606</v>
      </c>
      <c r="E1102" s="38" t="n">
        <f aca="false">Q!$P$24</f>
        <v>30.782</v>
      </c>
      <c r="N1102" s="38" t="n">
        <f aca="false">Q!$N$24</f>
        <v>21.707</v>
      </c>
      <c r="O1102" s="38" t="n">
        <f aca="false">Q!$O$24</f>
        <v>23.899</v>
      </c>
    </row>
    <row r="1103" customFormat="false" ht="17.15" hidden="false" customHeight="false" outlineLevel="0" collapsed="false">
      <c r="A1103" s="0" t="s">
        <v>649</v>
      </c>
      <c r="B1103" s="0" t="s">
        <v>86</v>
      </c>
      <c r="C1103" s="38" t="n">
        <f aca="false">Sens!$C$1102-Sens!$C$1098</f>
        <v>38.2305139601872</v>
      </c>
      <c r="D1103" s="38" t="n">
        <f aca="false">Sens!$D$1102-Sens!$D$1098</f>
        <v>40.2554420519948</v>
      </c>
      <c r="E1103" s="38" t="n">
        <f aca="false">Sens!$E$1102-Sens!$E$1098</f>
        <v>27.6188602233872</v>
      </c>
      <c r="F1103" s="38" t="n">
        <f aca="false">Sens!$F$1080*Sens!$F$1104</f>
        <v>25.5702333504328</v>
      </c>
      <c r="G1103" s="38" t="n">
        <f aca="false">Sens!$E$1103+Sens!$F$1103</f>
        <v>53.18909357382</v>
      </c>
      <c r="H1103" s="38" t="n">
        <f aca="false">Sens!$H$1080*Sens!$H$1104</f>
        <v>57.3677637391403</v>
      </c>
      <c r="I1103" s="38" t="n">
        <f aca="false">Sens!$I$1080*Sens!$I$1104</f>
        <v>63.6927555385025</v>
      </c>
      <c r="J1103" s="38" t="n">
        <f aca="false">Sens!$J$1080*Sens!$J$1104</f>
        <v>69.7516376290704</v>
      </c>
      <c r="K1103" s="38" t="n">
        <f aca="false">Sens!$K$1080*Sens!$K$1104</f>
        <v>75.331768639396</v>
      </c>
      <c r="L1103" s="38" t="n">
        <f aca="false">Sens!$L$1080*Sens!$L$1104</f>
        <v>81.3583101305477</v>
      </c>
      <c r="M1103" s="38" t="n">
        <f aca="false">Sens!$M$1080*Sens!$M$1104</f>
        <v>87.8669749409915</v>
      </c>
      <c r="N1103" s="38" t="n">
        <f aca="false">Sens!$N$1102-Sens!$N$1098</f>
        <v>20.0481303944913</v>
      </c>
      <c r="O1103" s="38" t="n">
        <f aca="false">Sens!$O$1102-Sens!$O$1098</f>
        <v>20.2073116575035</v>
      </c>
      <c r="P1103" s="5" t="s">
        <v>650</v>
      </c>
    </row>
    <row r="1104" customFormat="false" ht="17.15" hidden="false" customHeight="false" outlineLevel="0" collapsed="false">
      <c r="A1104" s="0" t="s">
        <v>651</v>
      </c>
      <c r="B1104" s="0" t="s">
        <v>52</v>
      </c>
      <c r="C1104" s="13" t="n">
        <f aca="false">Sens!$C$1103/Sens!$C$1080</f>
        <v>0.36328708040392</v>
      </c>
      <c r="D1104" s="13" t="n">
        <f aca="false">Sens!$D$1103/Sens!$D$1080</f>
        <v>0.335402679023775</v>
      </c>
      <c r="E1104" s="13" t="n">
        <f aca="false">Sens!$E$1103/Sens!$E$1080</f>
        <v>0.387314321276143</v>
      </c>
      <c r="F1104" s="13" t="n">
        <f aca="false">(Sens!$O$1103+Sens!$E$1103)/(Sens!$O$1080+Sens!$E$1080)</f>
        <v>0.356283723315394</v>
      </c>
      <c r="G1104" s="13" t="n">
        <f aca="false">Sens!$G$1103/Sens!$G$1080</f>
        <v>0.371749069346284</v>
      </c>
      <c r="H1104" s="13" t="n">
        <f aca="false">Sens!$F$1104</f>
        <v>0.356283723315394</v>
      </c>
      <c r="I1104" s="13" t="n">
        <f aca="false">Sens!$F$1104</f>
        <v>0.356283723315394</v>
      </c>
      <c r="J1104" s="13" t="n">
        <f aca="false">Sens!$F$1104</f>
        <v>0.356283723315394</v>
      </c>
      <c r="K1104" s="13" t="n">
        <f aca="false">Sens!$F$1104</f>
        <v>0.356283723315394</v>
      </c>
      <c r="L1104" s="13" t="n">
        <f aca="false">Sens!$F$1104</f>
        <v>0.356283723315394</v>
      </c>
      <c r="M1104" s="13" t="n">
        <f aca="false">Sens!$F$1104</f>
        <v>0.356283723315394</v>
      </c>
      <c r="N1104" s="13" t="n">
        <f aca="false">Sens!$N$1103/Sens!$N$1080</f>
        <v>0.351144473956038</v>
      </c>
      <c r="O1104" s="13" t="n">
        <f aca="false">Sens!$O$1103/Sens!$O$1080</f>
        <v>0.321120269843139</v>
      </c>
      <c r="P1104" s="8" t="s">
        <v>652</v>
      </c>
    </row>
    <row r="1105" customFormat="false" ht="17.15" hidden="false" customHeight="false" outlineLevel="0" collapsed="false">
      <c r="A1105" s="0" t="s">
        <v>653</v>
      </c>
      <c r="B1105" s="0" t="s">
        <v>52</v>
      </c>
      <c r="D1105" s="13" t="n">
        <f aca="false">(Q!$E$31-ext_sh_hi*Sens!$D$1094)/Sens!$D$1080</f>
        <v>0.166841278881826</v>
      </c>
    </row>
    <row r="1106" customFormat="false" ht="17.15" hidden="false" customHeight="false" outlineLevel="0" collapsed="false">
      <c r="A1106" s="0" t="s">
        <v>654</v>
      </c>
      <c r="B1106" s="0" t="s">
        <v>86</v>
      </c>
      <c r="C1106" s="38" t="n">
        <f aca="false">Q!$D$31</f>
        <v>13.32</v>
      </c>
      <c r="D1106" s="38" t="n">
        <f aca="false">Q!$E$31</f>
        <v>21.45</v>
      </c>
      <c r="E1106" s="38" t="n">
        <f aca="false">Q!$P$31</f>
        <v>15.353</v>
      </c>
      <c r="F1106" s="38" t="n">
        <f aca="false">ext_sh_hi*Sens!$F$1094+Sens!$D$1105*Sens!$F$1080</f>
        <v>15.4364252764357</v>
      </c>
      <c r="G1106" s="38" t="n">
        <f aca="false">Sens!$E$1106+Sens!$F$1106</f>
        <v>30.7894252764357</v>
      </c>
      <c r="H1106" s="38" t="n">
        <f aca="false">ext_sh_hi*Sens!$H$1094+Sens!$D$1105*Sens!$H$1080</f>
        <v>49.8622005172717</v>
      </c>
      <c r="I1106" s="38" t="n">
        <f aca="false">ext_sh_hi*Sens!$I$1094+Sens!$D$1105*Sens!$I$1080</f>
        <v>75.0025818588204</v>
      </c>
      <c r="J1106" s="38" t="n">
        <f aca="false">ext_sh_hi*Sens!$J$1094+Sens!$D$1105*Sens!$J$1080</f>
        <v>100.828362790954</v>
      </c>
      <c r="K1106" s="38" t="n">
        <f aca="false">ext_sh_hi*Sens!$K$1094+Sens!$D$1105*Sens!$K$1080</f>
        <v>126.94497613863</v>
      </c>
      <c r="L1106" s="38" t="n">
        <f aca="false">ext_sh_hi*Sens!$L$1094+Sens!$D$1105*Sens!$L$1080</f>
        <v>146.325004143115</v>
      </c>
      <c r="M1106" s="38" t="n">
        <f aca="false">ext_sh_hi*Sens!$M$1094+Sens!$D$1105*Sens!$M$1080</f>
        <v>160.240350847906</v>
      </c>
      <c r="N1106" s="38" t="n">
        <f aca="false">Q!$N$31</f>
        <v>9.234</v>
      </c>
      <c r="O1106" s="38" t="n">
        <f aca="false">Q!$O$31</f>
        <v>12.216</v>
      </c>
    </row>
    <row r="1107" customFormat="false" ht="17.15" hidden="false" customHeight="false" outlineLevel="0" collapsed="false">
      <c r="A1107" s="1" t="s">
        <v>655</v>
      </c>
    </row>
    <row r="1108" customFormat="false" ht="17.15" hidden="false" customHeight="false" outlineLevel="0" collapsed="false">
      <c r="A1108" s="15" t="s">
        <v>656</v>
      </c>
      <c r="B1108" s="14" t="s">
        <v>52</v>
      </c>
      <c r="C1108" s="14"/>
      <c r="D1108" s="14"/>
      <c r="E1108" s="14"/>
      <c r="F1108" s="14"/>
      <c r="G1108" s="17" t="n">
        <f aca="false">Sens!$G$1098*(1-tax)/(ext_sh_hi*(Sens!$D$1095+Sens!$G$1095)/2)</f>
        <v>0.0907328877891643</v>
      </c>
      <c r="H1108" s="17" t="n">
        <f aca="false">Sens!$H$1098*(1-tax)/(ext_sh_hi*(Sens!$G$1095+Sens!$H$1095)/2)</f>
        <v>0.0894979123199645</v>
      </c>
      <c r="I1108" s="17" t="n">
        <f aca="false">Sens!$I$1098*(1-tax)/(ext_sh_hi*(Sens!$H$1095+Sens!$I$1095)/2)</f>
        <v>0.0826805756548901</v>
      </c>
      <c r="J1108" s="17" t="n">
        <f aca="false">Sens!$J$1098*(1-tax)/(ext_sh_hi*(Sens!$I$1095+Sens!$J$1095)/2)</f>
        <v>0.0814260957769764</v>
      </c>
      <c r="K1108" s="17" t="n">
        <f aca="false">Sens!$K$1098*(1-tax)/(ext_sh_hi*(Sens!$J$1095+Sens!$K$1095)/2)</f>
        <v>0.0787785132831647</v>
      </c>
      <c r="L1108" s="17" t="n">
        <f aca="false">Sens!$L$1098*(1-tax)/(ext_sh_hi*(Sens!$K$1095+Sens!$L$1095)/2)</f>
        <v>0.0797387035722544</v>
      </c>
      <c r="M1108" s="17" t="n">
        <f aca="false">Sens!$M$1098*(1-tax)/(ext_sh_hi*(Sens!$L$1095+Sens!$M$1095)/2)</f>
        <v>0.0778552995133808</v>
      </c>
      <c r="N1108" s="14"/>
      <c r="O1108" s="14"/>
      <c r="P1108" s="8" t="s">
        <v>657</v>
      </c>
    </row>
    <row r="1109" customFormat="false" ht="17.15" hidden="false" customHeight="false" outlineLevel="0" collapsed="false">
      <c r="A1109" s="5" t="s">
        <v>658</v>
      </c>
      <c r="B1109" s="0" t="s">
        <v>57</v>
      </c>
      <c r="H1109" s="36" t="n">
        <f aca="false">Sens!$H$1076*1000/(mw_open*he_open+Sens!$H$1074*Sens!$H$1071)</f>
        <v>0.991949006767191</v>
      </c>
      <c r="I1109" s="36" t="n">
        <f aca="false">Sens!$I$1076*1000/(mw_open*he_open+Sens!$I$1074*Sens!$I$1071)</f>
        <v>0.991949006767191</v>
      </c>
      <c r="J1109" s="36" t="n">
        <f aca="false">Sens!$J$1076*1000/(mw_open*he_open+Sens!$J$1074*Sens!$J$1071)</f>
        <v>0.991949006767191</v>
      </c>
      <c r="K1109" s="36" t="n">
        <f aca="false">Sens!$K$1076*1000/(mw_open*he_open+Sens!$K$1074*Sens!$K$1071)</f>
        <v>0.991949006767191</v>
      </c>
      <c r="L1109" s="36" t="n">
        <f aca="false">Sens!$L$1076*1000/(mw_open*he_open+Sens!$L$1074*Sens!$L$1071)</f>
        <v>0.991949006767191</v>
      </c>
      <c r="M1109" s="36" t="n">
        <f aca="false">Sens!$M$1076*1000/(mw_open*he_open+Sens!$M$1074*Sens!$M$1071)</f>
        <v>0.991949006767191</v>
      </c>
    </row>
    <row r="1110" customFormat="false" ht="17.15" hidden="false" customHeight="false" outlineLevel="0" collapsed="false">
      <c r="A1110" s="5" t="s">
        <v>659</v>
      </c>
      <c r="B1110" s="0" t="s">
        <v>57</v>
      </c>
      <c r="H1110" s="36" t="n">
        <f aca="false">Sens!$H$1109*(Sens!$H$1076+wacc*ext_sh_hi*(Sens!$G$1095+Sens!$H$1095)/2/(1-tax)-Sens!$H$1098)/Sens!$H$1076</f>
        <v>1.09944730840335</v>
      </c>
      <c r="I1110" s="36" t="n">
        <f aca="false">Sens!$I$1109*(Sens!$I$1076+wacc*ext_sh_hi*(Sens!$H$1095+Sens!$I$1095)/2/(1-tax)-Sens!$I$1098)/Sens!$I$1076</f>
        <v>1.1199732923171</v>
      </c>
      <c r="J1110" s="36" t="n">
        <f aca="false">Sens!$J$1109*(Sens!$J$1076+wacc*ext_sh_hi*(Sens!$I$1095+Sens!$J$1095)/2/(1-tax)-Sens!$J$1098)/Sens!$J$1076</f>
        <v>1.11572150248044</v>
      </c>
      <c r="K1110" s="36" t="n">
        <f aca="false">Sens!$K$1109*(Sens!$K$1076+wacc*ext_sh_hi*(Sens!$J$1095+Sens!$K$1095)/2/(1-tax)-Sens!$K$1098)/Sens!$K$1076</f>
        <v>1.11474794918073</v>
      </c>
      <c r="L1110" s="36" t="n">
        <f aca="false">Sens!$L$1109*(Sens!$L$1076+wacc*ext_sh_hi*(Sens!$K$1095+Sens!$L$1095)/2/(1-tax)-Sens!$L$1098)/Sens!$L$1076</f>
        <v>1.10054088928148</v>
      </c>
      <c r="M1110" s="36" t="n">
        <f aca="false">Sens!$M$1109*(Sens!$M$1076+wacc*ext_sh_hi*(Sens!$L$1095+Sens!$M$1095)/2/(1-tax)-Sens!$M$1098)/Sens!$M$1076</f>
        <v>1.09905872075884</v>
      </c>
    </row>
    <row r="1111" customFormat="false" ht="17.15" hidden="false" customHeight="false" outlineLevel="0" collapsed="false">
      <c r="A1111" s="5" t="s">
        <v>660</v>
      </c>
      <c r="B1111" s="0" t="s">
        <v>52</v>
      </c>
      <c r="C1111" s="13" t="n">
        <f aca="false">Sens!$C$1077/tk_pq</f>
        <v>0.195316432429398</v>
      </c>
      <c r="D1111" s="13" t="n">
        <f aca="false">Sens!$D$1077/tk_pq</f>
        <v>0.195316432429398</v>
      </c>
      <c r="E1111" s="13" t="n">
        <f aca="false">Sens!$E$1077/tk_pq</f>
        <v>0.195316432429398</v>
      </c>
      <c r="F1111" s="13" t="n">
        <f aca="false">Sens!$F$1077/tk_pq</f>
        <v>0.202241827274866</v>
      </c>
      <c r="G1111" s="13" t="n">
        <f aca="false">Sens!$G$1077/tk_pq</f>
        <v>0.199675016194063</v>
      </c>
      <c r="H1111" s="13" t="n">
        <f aca="false">Sens!$H$1077/tk_pq</f>
        <v>0.212647947710325</v>
      </c>
      <c r="I1111" s="13" t="n">
        <f aca="false">Sens!$I$1077/tk_pq</f>
        <v>0.219285125475351</v>
      </c>
      <c r="J1111" s="13" t="n">
        <f aca="false">Sens!$J$1077/tk_pq</f>
        <v>0.222492493217189</v>
      </c>
      <c r="K1111" s="13" t="n">
        <f aca="false">Sens!$K$1077/tk_pq</f>
        <v>0.224053502812094</v>
      </c>
      <c r="L1111" s="13" t="n">
        <f aca="false">Sens!$L$1077/tk_pq</f>
        <v>0.224786916785614</v>
      </c>
      <c r="M1111" s="13" t="n">
        <f aca="false">Sens!$M$1077/tk_pq</f>
        <v>0.225048671566937</v>
      </c>
      <c r="N1111" s="13" t="n">
        <f aca="false">Sens!$N$1077/tk_pq</f>
        <v>0.195316432429398</v>
      </c>
      <c r="O1111" s="13" t="n">
        <f aca="false">Sens!$O$1077/tk_pq</f>
        <v>0.195316432429398</v>
      </c>
      <c r="P1111" s="5" t="s">
        <v>661</v>
      </c>
    </row>
    <row r="1114" customFormat="false" ht="17.15" hidden="false" customHeight="false" outlineLevel="0" collapsed="false">
      <c r="A1114" s="1" t="s">
        <v>690</v>
      </c>
    </row>
    <row r="1115" customFormat="false" ht="17.15" hidden="false" customHeight="false" outlineLevel="0" collapsed="false">
      <c r="A1115" s="0" t="s">
        <v>691</v>
      </c>
      <c r="B1115" s="0" t="s">
        <v>86</v>
      </c>
      <c r="C1115" s="38" t="n">
        <f aca="false">Sens!$C$1076</f>
        <v>2.32100535697364</v>
      </c>
      <c r="D1115" s="38" t="n">
        <f aca="false">Sens!$D$1076</f>
        <v>8.70377008865116</v>
      </c>
      <c r="E1115" s="38" t="n">
        <f aca="false">Sens!$E$1076</f>
        <v>8.51035297557002</v>
      </c>
      <c r="F1115" s="38" t="n">
        <f aca="false">Sens!$F$1076</f>
        <v>14.9634336447205</v>
      </c>
      <c r="G1115" s="38" t="n">
        <f aca="false">Sens!$G$1076</f>
        <v>23.4737866202905</v>
      </c>
      <c r="H1115" s="38" t="n">
        <f aca="false">Sens!$H$1076</f>
        <v>60.1658907497746</v>
      </c>
      <c r="I1115" s="38" t="n">
        <f aca="false">Sens!$I$1076</f>
        <v>101.503699136432</v>
      </c>
      <c r="J1115" s="38" t="n">
        <f aca="false">Sens!$J$1076</f>
        <v>143.025407151278</v>
      </c>
      <c r="K1115" s="38" t="n">
        <f aca="false">Sens!$K$1076</f>
        <v>178.44812038318</v>
      </c>
      <c r="L1115" s="38" t="n">
        <f aca="false">Sens!$L$1076</f>
        <v>201.728101802396</v>
      </c>
      <c r="M1115" s="38" t="n">
        <f aca="false">Sens!$M$1076</f>
        <v>212.835441368865</v>
      </c>
      <c r="N1115" s="38" t="n">
        <f aca="false">Sens!$N$1076</f>
        <v>3.04631953102791</v>
      </c>
      <c r="O1115" s="38" t="n">
        <f aca="false">Sens!$O$1076</f>
        <v>5.65745055762326</v>
      </c>
      <c r="P1115" s="8" t="s">
        <v>692</v>
      </c>
    </row>
    <row r="1116" customFormat="false" ht="17.15" hidden="false" customHeight="false" outlineLevel="0" collapsed="false">
      <c r="A1116" s="0" t="s">
        <v>693</v>
      </c>
      <c r="B1116" s="0" t="s">
        <v>86</v>
      </c>
      <c r="C1116" s="38" t="n">
        <f aca="false">Sens!$C$1080</f>
        <v>105.234994643026</v>
      </c>
      <c r="D1116" s="38" t="n">
        <f aca="false">Sens!$D$1080</f>
        <v>120.021229911349</v>
      </c>
      <c r="E1116" s="38" t="n">
        <f aca="false">Sens!$E$1080</f>
        <v>71.30864702443</v>
      </c>
      <c r="F1116" s="38" t="n">
        <f aca="false">Sens!$F$1080</f>
        <v>71.7692997942464</v>
      </c>
      <c r="G1116" s="38" t="n">
        <f aca="false">Sens!$G$1080</f>
        <v>143.077946818676</v>
      </c>
      <c r="H1116" s="38" t="n">
        <f aca="false">Sens!$H$1080</f>
        <v>161.017077079203</v>
      </c>
      <c r="I1116" s="38" t="n">
        <f aca="false">Sens!$I$1080</f>
        <v>178.769759521457</v>
      </c>
      <c r="J1116" s="38" t="n">
        <f aca="false">Sens!$J$1080</f>
        <v>195.775538045907</v>
      </c>
      <c r="K1116" s="38" t="n">
        <f aca="false">Sens!$K$1080</f>
        <v>211.43758108958</v>
      </c>
      <c r="L1116" s="38" t="n">
        <f aca="false">Sens!$L$1080</f>
        <v>228.352587576746</v>
      </c>
      <c r="M1116" s="38" t="n">
        <f aca="false">Sens!$M$1080</f>
        <v>246.620794582886</v>
      </c>
      <c r="N1116" s="38" t="n">
        <f aca="false">Sens!$N$1080</f>
        <v>57.0936804689721</v>
      </c>
      <c r="O1116" s="38" t="n">
        <f aca="false">Sens!$O$1080</f>
        <v>62.9275494423768</v>
      </c>
      <c r="P1116" s="8" t="s">
        <v>692</v>
      </c>
    </row>
    <row r="1117" customFormat="false" ht="17.15" hidden="false" customHeight="false" outlineLevel="0" collapsed="false">
      <c r="A1117" s="1" t="s">
        <v>516</v>
      </c>
      <c r="B1117" s="8" t="s">
        <v>86</v>
      </c>
      <c r="C1117" s="38" t="n">
        <f aca="false">Q!$D$7</f>
        <v>107.556</v>
      </c>
      <c r="D1117" s="38" t="n">
        <f aca="false">Q!$E$7</f>
        <v>128.725</v>
      </c>
      <c r="E1117" s="38" t="n">
        <f aca="false">Q!$P$7</f>
        <v>79.819</v>
      </c>
      <c r="F1117" s="38" t="n">
        <f aca="false">Sens!$F$1115+Sens!$F$1116</f>
        <v>86.7327334389669</v>
      </c>
      <c r="G1117" s="38" t="n">
        <f aca="false">Sens!$G$1115+Sens!$G$1116</f>
        <v>166.551733438967</v>
      </c>
      <c r="H1117" s="38" t="n">
        <f aca="false">Sens!$H$1115+Sens!$H$1116</f>
        <v>221.182967828978</v>
      </c>
      <c r="I1117" s="38" t="n">
        <f aca="false">Sens!$I$1115+Sens!$I$1116</f>
        <v>280.27345865789</v>
      </c>
      <c r="J1117" s="38" t="n">
        <f aca="false">Sens!$J$1115+Sens!$J$1116</f>
        <v>338.800945197185</v>
      </c>
      <c r="K1117" s="38" t="n">
        <f aca="false">Sens!$K$1115+Sens!$K$1116</f>
        <v>389.88570147276</v>
      </c>
      <c r="L1117" s="38" t="n">
        <f aca="false">Sens!$L$1115+Sens!$L$1116</f>
        <v>430.080689379143</v>
      </c>
      <c r="M1117" s="38" t="n">
        <f aca="false">Sens!$M$1115+Sens!$M$1116</f>
        <v>459.456235951751</v>
      </c>
      <c r="N1117" s="38" t="n">
        <f aca="false">Q!$N$7</f>
        <v>60.14</v>
      </c>
      <c r="O1117" s="38" t="n">
        <f aca="false">Q!$O$7</f>
        <v>68.585</v>
      </c>
      <c r="P1117" s="5" t="s">
        <v>694</v>
      </c>
    </row>
    <row r="1118" customFormat="false" ht="15" hidden="false" customHeight="false" outlineLevel="0" collapsed="false">
      <c r="A1118" s="3" t="s">
        <v>695</v>
      </c>
      <c r="B1118" s="8" t="s">
        <v>86</v>
      </c>
      <c r="C1118" s="38" t="n">
        <f aca="false">Q!$D$8</f>
        <v>637.959</v>
      </c>
      <c r="D1118" s="38" t="n">
        <f aca="false">Q!$E$8</f>
        <v>716.924</v>
      </c>
      <c r="E1118" s="38" t="n">
        <f aca="false">Q!$P$8</f>
        <v>382.125</v>
      </c>
      <c r="F1118" s="38" t="n">
        <f aca="false">Sens!$F$1048+Sens!$F$1117</f>
        <v>435.780975084504</v>
      </c>
      <c r="G1118" s="38" t="n">
        <f aca="false">Sens!$G$1048+Sens!$G$1117</f>
        <v>817.905975084504</v>
      </c>
      <c r="H1118" s="38" t="n">
        <f aca="false">Sens!$H$1048+Sens!$H$1117</f>
        <v>942.279857350364</v>
      </c>
      <c r="I1118" s="38" t="n">
        <f aca="false">Sens!$I$1048+Sens!$I$1117</f>
        <v>1068.80284981042</v>
      </c>
      <c r="J1118" s="38" t="n">
        <f aca="false">Sens!$J$1048+Sens!$J$1117</f>
        <v>1189.90935093863</v>
      </c>
      <c r="K1118" s="38" t="n">
        <f aca="false">Sens!$K$1048+Sens!$K$1117</f>
        <v>1296.06215690385</v>
      </c>
      <c r="L1118" s="38" t="n">
        <f aca="false">Sens!$L$1048+Sens!$L$1117</f>
        <v>1395.17379585473</v>
      </c>
      <c r="M1118" s="38" t="n">
        <f aca="false">Sens!$M$1048+Sens!$M$1117</f>
        <v>1487.60414389864</v>
      </c>
      <c r="N1118" s="38" t="n">
        <f aca="false">Q!$N$8</f>
        <v>323.369</v>
      </c>
      <c r="O1118" s="38" t="n">
        <f aca="false">Q!$O$8</f>
        <v>393.555</v>
      </c>
    </row>
    <row r="1119" customFormat="false" ht="17.15" hidden="false" customHeight="false" outlineLevel="0" collapsed="false">
      <c r="A1119" s="24" t="s">
        <v>703</v>
      </c>
      <c r="B1119" s="25" t="s">
        <v>86</v>
      </c>
      <c r="C1119" s="41" t="n">
        <f aca="false">Sens!$C$1048-(Sens!$C$1050+Sens!$C$1051)</f>
        <v>0</v>
      </c>
      <c r="D1119" s="41" t="n">
        <f aca="false">Sens!$D$1048-(Sens!$D$1050+Sens!$D$1051)</f>
        <v>0</v>
      </c>
      <c r="E1119" s="41" t="n">
        <f aca="false">Sens!$E$1048-(Sens!$E$1050+Sens!$E$1051)</f>
        <v>0</v>
      </c>
      <c r="F1119" s="41" t="n">
        <f aca="false">Sens!$F$1048-(Sens!$F$1050+Sens!$F$1051)</f>
        <v>0</v>
      </c>
      <c r="G1119" s="41" t="n">
        <f aca="false">Sens!$G$1048-(Sens!$G$1050+Sens!$G$1051)</f>
        <v>0</v>
      </c>
      <c r="H1119" s="41" t="n">
        <f aca="false">Sens!$H$1048-(Sens!$H$1050+Sens!$H$1051)</f>
        <v>0</v>
      </c>
      <c r="I1119" s="41" t="n">
        <f aca="false">Sens!$I$1048-(Sens!$I$1050+Sens!$I$1051)</f>
        <v>0</v>
      </c>
      <c r="J1119" s="41" t="n">
        <f aca="false">Sens!$J$1048-(Sens!$J$1050+Sens!$J$1051)</f>
        <v>0</v>
      </c>
      <c r="K1119" s="41" t="n">
        <f aca="false">Sens!$K$1048-(Sens!$K$1050+Sens!$K$1051)</f>
        <v>0</v>
      </c>
      <c r="L1119" s="41" t="n">
        <f aca="false">Sens!$L$1048-(Sens!$L$1050+Sens!$L$1051)</f>
        <v>0</v>
      </c>
      <c r="M1119" s="41" t="n">
        <f aca="false">Sens!$M$1048-(Sens!$M$1050+Sens!$M$1051)</f>
        <v>0</v>
      </c>
      <c r="N1119" s="41" t="n">
        <f aca="false">Sens!$N$1048-(Sens!$N$1050+Sens!$N$1051)</f>
        <v>0</v>
      </c>
      <c r="O1119" s="41" t="n">
        <f aca="false">Sens!$O$1048-(Sens!$O$1050+Sens!$O$1051)</f>
        <v>0</v>
      </c>
    </row>
    <row r="1120" customFormat="false" ht="17.15" hidden="false" customHeight="false" outlineLevel="0" collapsed="false">
      <c r="A1120" s="24" t="s">
        <v>704</v>
      </c>
      <c r="B1120" s="25" t="s">
        <v>86</v>
      </c>
      <c r="C1120" s="41" t="n">
        <f aca="false">Sens!$C$1115+Sens!$C$1116-Sens!$C$1117</f>
        <v>0</v>
      </c>
      <c r="D1120" s="41" t="n">
        <f aca="false">Sens!$D$1115+Sens!$D$1116-Sens!$D$1117</f>
        <v>0</v>
      </c>
      <c r="E1120" s="41" t="n">
        <f aca="false">Sens!$E$1115+Sens!$E$1116-Sens!$E$1117</f>
        <v>0</v>
      </c>
      <c r="F1120" s="41" t="n">
        <f aca="false">Sens!$F$1115+Sens!$F$1116-Sens!$F$1117</f>
        <v>0</v>
      </c>
      <c r="G1120" s="41" t="n">
        <f aca="false">Sens!$G$1115+Sens!$G$1116-Sens!$G$1117</f>
        <v>0</v>
      </c>
      <c r="H1120" s="41" t="n">
        <f aca="false">Sens!$H$1115+Sens!$H$1116-Sens!$H$1117</f>
        <v>0</v>
      </c>
      <c r="I1120" s="41" t="n">
        <f aca="false">Sens!$I$1115+Sens!$I$1116-Sens!$I$1117</f>
        <v>0</v>
      </c>
      <c r="J1120" s="41" t="n">
        <f aca="false">Sens!$J$1115+Sens!$J$1116-Sens!$J$1117</f>
        <v>0</v>
      </c>
      <c r="K1120" s="41" t="n">
        <f aca="false">Sens!$K$1115+Sens!$K$1116-Sens!$K$1117</f>
        <v>0</v>
      </c>
      <c r="L1120" s="41" t="n">
        <f aca="false">Sens!$L$1115+Sens!$L$1116-Sens!$L$1117</f>
        <v>0</v>
      </c>
      <c r="M1120" s="41" t="n">
        <f aca="false">Sens!$M$1115+Sens!$M$1116-Sens!$M$1117</f>
        <v>0</v>
      </c>
      <c r="N1120" s="41" t="n">
        <f aca="false">Sens!$N$1115+Sens!$N$1116-Sens!$N$1117</f>
        <v>0</v>
      </c>
      <c r="O1120" s="41" t="n">
        <f aca="false">Sens!$O$1115+Sens!$O$1116-Sens!$O$1117</f>
        <v>0</v>
      </c>
    </row>
    <row r="1121" customFormat="false" ht="17.15" hidden="false" customHeight="false" outlineLevel="0" collapsed="false">
      <c r="A1121" s="24" t="s">
        <v>705</v>
      </c>
      <c r="B1121" s="25" t="s">
        <v>86</v>
      </c>
      <c r="C1121" s="41" t="n">
        <f aca="false">Sens!$C$1050+Sens!$C$1051+Sens!$C$1117-Sens!$C$1118</f>
        <v>0</v>
      </c>
      <c r="D1121" s="41" t="n">
        <f aca="false">Sens!$D$1050+Sens!$D$1051+Sens!$D$1117-Sens!$D$1118</f>
        <v>0</v>
      </c>
      <c r="E1121" s="41" t="n">
        <f aca="false">Sens!$E$1050+Sens!$E$1051+Sens!$E$1117-Sens!$E$1118</f>
        <v>0</v>
      </c>
      <c r="F1121" s="41" t="n">
        <f aca="false">Sens!$F$1050+Sens!$F$1051+Sens!$F$1117-Sens!$F$1118</f>
        <v>0</v>
      </c>
      <c r="G1121" s="41" t="n">
        <f aca="false">Sens!$G$1050+Sens!$G$1051+Sens!$G$1117-Sens!$G$1118</f>
        <v>0</v>
      </c>
      <c r="H1121" s="41" t="n">
        <f aca="false">Sens!$H$1050+Sens!$H$1051+Sens!$H$1117-Sens!$H$1118</f>
        <v>0</v>
      </c>
      <c r="I1121" s="41" t="n">
        <f aca="false">Sens!$I$1050+Sens!$I$1051+Sens!$I$1117-Sens!$I$1118</f>
        <v>0</v>
      </c>
      <c r="J1121" s="41" t="n">
        <f aca="false">Sens!$J$1050+Sens!$J$1051+Sens!$J$1117-Sens!$J$1118</f>
        <v>0</v>
      </c>
      <c r="K1121" s="41" t="n">
        <f aca="false">Sens!$K$1050+Sens!$K$1051+Sens!$K$1117-Sens!$K$1118</f>
        <v>0</v>
      </c>
      <c r="L1121" s="41" t="n">
        <f aca="false">Sens!$L$1050+Sens!$L$1051+Sens!$L$1117-Sens!$L$1118</f>
        <v>0</v>
      </c>
      <c r="M1121" s="41" t="n">
        <f aca="false">Sens!$M$1050+Sens!$M$1051+Sens!$M$1117-Sens!$M$1118</f>
        <v>0</v>
      </c>
      <c r="N1121" s="41" t="n">
        <f aca="false">Sens!$N$1050+Sens!$N$1051+Sens!$N$1117-Sens!$N$1118</f>
        <v>0</v>
      </c>
      <c r="O1121" s="41" t="n">
        <f aca="false">Sens!$O$1050+Sens!$O$1051+Sens!$O$1117-Sens!$O$1118</f>
        <v>0</v>
      </c>
    </row>
    <row r="1122" customFormat="false" ht="15" hidden="false" customHeight="false" outlineLevel="0" collapsed="false">
      <c r="A1122" s="5" t="s">
        <v>699</v>
      </c>
      <c r="B1122" s="0" t="s">
        <v>52</v>
      </c>
      <c r="G1122" s="13" t="n">
        <f aca="false">Sens!$G$1118/Sens!$D$1118-1</f>
        <v>0.140854504918937</v>
      </c>
      <c r="H1122" s="13" t="n">
        <f aca="false">Sens!$H$1118/Sens!$G$1118-1</f>
        <v>0.152063789793209</v>
      </c>
      <c r="I1122" s="13" t="n">
        <f aca="false">Sens!$I$1118/Sens!$H$1118-1</f>
        <v>0.134273264437417</v>
      </c>
      <c r="J1122" s="13" t="n">
        <f aca="false">Sens!$J$1118/Sens!$I$1118-1</f>
        <v>0.113310421234083</v>
      </c>
      <c r="K1122" s="13" t="n">
        <f aca="false">Sens!$K$1118/Sens!$J$1118-1</f>
        <v>0.0892108343223652</v>
      </c>
      <c r="L1122" s="13" t="n">
        <f aca="false">Sens!$L$1118/Sens!$K$1118-1</f>
        <v>0.076471362444261</v>
      </c>
      <c r="M1122" s="13" t="n">
        <f aca="false">Sens!$M$1118/Sens!$L$1118-1</f>
        <v>0.066250060256672</v>
      </c>
    </row>
    <row r="1123" customFormat="false" ht="17.15" hidden="false" customHeight="false" outlineLevel="0" collapsed="false">
      <c r="A1123" s="0" t="s">
        <v>700</v>
      </c>
      <c r="B1123" s="0" t="s">
        <v>52</v>
      </c>
      <c r="C1123" s="13" t="n">
        <f aca="false">Sens!$C$1117/Sens!$C$1118</f>
        <v>0.168593906504964</v>
      </c>
      <c r="D1123" s="13" t="n">
        <f aca="false">Sens!$D$1117/Sens!$D$1118</f>
        <v>0.179551807444025</v>
      </c>
      <c r="E1123" s="13" t="n">
        <f aca="false">Sens!$E$1117/Sens!$E$1118</f>
        <v>0.208881910369643</v>
      </c>
      <c r="F1123" s="13" t="n">
        <f aca="false">Sens!$F$1117/Sens!$F$1118</f>
        <v>0.199028269699356</v>
      </c>
      <c r="G1123" s="13" t="n">
        <f aca="false">Sens!$G$1117/Sens!$G$1118</f>
        <v>0.203631882529968</v>
      </c>
      <c r="H1123" s="13" t="n">
        <f aca="false">Sens!$H$1117/Sens!$H$1118</f>
        <v>0.234731715958496</v>
      </c>
      <c r="I1123" s="13" t="n">
        <f aca="false">Sens!$I$1117/Sens!$I$1118</f>
        <v>0.262231204480418</v>
      </c>
      <c r="J1123" s="13" t="n">
        <f aca="false">Sens!$J$1117/Sens!$J$1118</f>
        <v>0.284728366013706</v>
      </c>
      <c r="K1123" s="13" t="n">
        <f aca="false">Sens!$K$1117/Sens!$K$1118</f>
        <v>0.300823304959505</v>
      </c>
      <c r="L1123" s="13" t="n">
        <f aca="false">Sens!$L$1117/Sens!$L$1118</f>
        <v>0.308263164529735</v>
      </c>
      <c r="M1123" s="13" t="n">
        <f aca="false">Sens!$M$1117/Sens!$M$1118</f>
        <v>0.308856517936036</v>
      </c>
      <c r="N1123" s="13" t="n">
        <f aca="false">Sens!$N$1117/Sens!$N$1118</f>
        <v>0.185979484737251</v>
      </c>
      <c r="O1123" s="13" t="n">
        <f aca="false">Sens!$O$1117/Sens!$O$1118</f>
        <v>0.174270432341096</v>
      </c>
    </row>
    <row r="1124" customFormat="false" ht="17.15" hidden="false" customHeight="false" outlineLevel="0" collapsed="false">
      <c r="A1124" s="0" t="s">
        <v>701</v>
      </c>
      <c r="B1124" s="0" t="s">
        <v>52</v>
      </c>
      <c r="C1124" s="13" t="n">
        <f aca="false">Sens!$C$1115/Sens!$C$1117</f>
        <v>0.0215795060896058</v>
      </c>
      <c r="D1124" s="13" t="n">
        <f aca="false">Sens!$D$1115/Sens!$D$1117</f>
        <v>0.0676152269462122</v>
      </c>
      <c r="E1124" s="13" t="n">
        <f aca="false">Sens!$E$1115/Sens!$E$1117</f>
        <v>0.106620641395783</v>
      </c>
      <c r="F1124" s="13" t="n">
        <f aca="false">Sens!$F$1115/Sens!$F$1117</f>
        <v>0.172523487401099</v>
      </c>
      <c r="G1124" s="13" t="n">
        <f aca="false">Sens!$G$1115/Sens!$G$1117</f>
        <v>0.140939911795589</v>
      </c>
      <c r="H1124" s="13" t="n">
        <f aca="false">Sens!$H$1115/Sens!$H$1117</f>
        <v>0.272018642937714</v>
      </c>
      <c r="I1124" s="13" t="n">
        <f aca="false">Sens!$I$1115/Sens!$I$1117</f>
        <v>0.362159512436497</v>
      </c>
      <c r="J1124" s="13" t="n">
        <f aca="false">Sens!$J$1115/Sens!$J$1117</f>
        <v>0.422151735934609</v>
      </c>
      <c r="K1124" s="13" t="n">
        <f aca="false">Sens!$K$1115/Sens!$K$1117</f>
        <v>0.45769342068485</v>
      </c>
      <c r="L1124" s="13" t="n">
        <f aca="false">Sens!$L$1115/Sens!$L$1117</f>
        <v>0.469047103913472</v>
      </c>
      <c r="M1124" s="13" t="n">
        <f aca="false">Sens!$M$1115/Sens!$M$1117</f>
        <v>0.463233328258093</v>
      </c>
      <c r="N1124" s="13" t="n">
        <f aca="false">Sens!$N$1115/Sens!$N$1117</f>
        <v>0.0506537999838362</v>
      </c>
      <c r="O1124" s="13" t="n">
        <f aca="false">Sens!$O$1115/Sens!$O$1117</f>
        <v>0.0824881615167056</v>
      </c>
    </row>
    <row r="1127" customFormat="false" ht="19.4" hidden="false" customHeight="false" outlineLevel="0" collapsed="false">
      <c r="A1127" s="31" t="s">
        <v>1157</v>
      </c>
    </row>
    <row r="1128" customFormat="false" ht="17.15" hidden="false" customHeight="false" outlineLevel="0" collapsed="false">
      <c r="A1128" s="6" t="s">
        <v>16</v>
      </c>
      <c r="B1128" s="6" t="s">
        <v>17</v>
      </c>
      <c r="C1128" s="20" t="s">
        <v>497</v>
      </c>
      <c r="D1128" s="20" t="s">
        <v>498</v>
      </c>
      <c r="E1128" s="20" t="s">
        <v>580</v>
      </c>
      <c r="F1128" s="20" t="s">
        <v>581</v>
      </c>
      <c r="G1128" s="20" t="s">
        <v>582</v>
      </c>
      <c r="H1128" s="20" t="s">
        <v>583</v>
      </c>
      <c r="I1128" s="20" t="s">
        <v>584</v>
      </c>
      <c r="J1128" s="20" t="s">
        <v>585</v>
      </c>
      <c r="K1128" s="20" t="s">
        <v>586</v>
      </c>
      <c r="L1128" s="20" t="s">
        <v>587</v>
      </c>
      <c r="M1128" s="20" t="s">
        <v>588</v>
      </c>
      <c r="N1128" s="20" t="s">
        <v>589</v>
      </c>
      <c r="O1128" s="20" t="s">
        <v>590</v>
      </c>
      <c r="P1128" s="6" t="s">
        <v>23</v>
      </c>
      <c r="R1128" s="20" t="n">
        <v>2023</v>
      </c>
      <c r="S1128" s="20" t="n">
        <v>2024</v>
      </c>
      <c r="T1128" s="20" t="n">
        <v>2025</v>
      </c>
      <c r="U1128" s="20" t="n">
        <v>2026</v>
      </c>
      <c r="V1128" s="20" t="n">
        <v>2027</v>
      </c>
      <c r="W1128" s="20" t="n">
        <v>2028</v>
      </c>
      <c r="X1128" s="20" t="n">
        <v>2029</v>
      </c>
      <c r="Y1128" s="20" t="n">
        <v>2030</v>
      </c>
      <c r="Z1128" s="20" t="n">
        <v>2031</v>
      </c>
      <c r="AA1128" s="20" t="n">
        <v>2032</v>
      </c>
    </row>
    <row r="1129" customFormat="false" ht="17.15" hidden="false" customHeight="false" outlineLevel="0" collapsed="false">
      <c r="A1129" s="1" t="s">
        <v>716</v>
      </c>
    </row>
    <row r="1130" customFormat="false" ht="15" hidden="false" customHeight="false" outlineLevel="0" collapsed="false">
      <c r="A1130" s="0" t="s">
        <v>519</v>
      </c>
      <c r="B1130" s="0" t="s">
        <v>86</v>
      </c>
      <c r="C1130" s="38" t="n">
        <f aca="false">Sens!$C$1035</f>
        <v>247.029</v>
      </c>
      <c r="D1130" s="38" t="n">
        <f aca="false">Sens!$D$1035</f>
        <v>269.287</v>
      </c>
      <c r="E1130" s="38" t="n">
        <f aca="false">Sens!$E$1035</f>
        <v>134.686</v>
      </c>
      <c r="F1130" s="38" t="n">
        <f aca="false">Sens!$F$1035</f>
        <v>158.293876822267</v>
      </c>
      <c r="G1130" s="38" t="n">
        <f aca="false">Sens!$G$1035</f>
        <v>292.979876822267</v>
      </c>
      <c r="H1130" s="38" t="n">
        <f aca="false">Sens!$H$1035</f>
        <v>318.184543087396</v>
      </c>
      <c r="I1130" s="38" t="n">
        <f aca="false">Sens!$I$1035</f>
        <v>341.736278761793</v>
      </c>
      <c r="J1130" s="38" t="n">
        <f aca="false">Sens!$J$1035</f>
        <v>362.927192787048</v>
      </c>
      <c r="K1130" s="38" t="n">
        <f aca="false">Sens!$K$1035</f>
        <v>381.0735524264</v>
      </c>
      <c r="L1130" s="38" t="n">
        <f aca="false">Sens!$L$1035</f>
        <v>400.12723004772</v>
      </c>
      <c r="M1130" s="38" t="n">
        <f aca="false">Sens!$M$1035</f>
        <v>420.133591550106</v>
      </c>
      <c r="N1130" s="38" t="n">
        <f aca="false">Sens!$N$1035</f>
        <v>118.892</v>
      </c>
      <c r="O1130" s="38" t="n">
        <f aca="false">Sens!$O$1035</f>
        <v>150.395</v>
      </c>
    </row>
    <row r="1131" customFormat="false" ht="15" hidden="false" customHeight="false" outlineLevel="0" collapsed="false">
      <c r="A1131" s="0" t="s">
        <v>520</v>
      </c>
      <c r="B1131" s="0" t="s">
        <v>86</v>
      </c>
      <c r="C1131" s="38" t="n">
        <f aca="false">Sens!$C$1037</f>
        <v>21.215</v>
      </c>
      <c r="D1131" s="38" t="n">
        <f aca="false">Sens!$D$1037</f>
        <v>22.561</v>
      </c>
      <c r="E1131" s="38" t="n">
        <f aca="false">Sens!$E$1037</f>
        <v>11.579</v>
      </c>
      <c r="F1131" s="38" t="n">
        <f aca="false">Sens!$F$1037</f>
        <v>11.5938724610325</v>
      </c>
      <c r="G1131" s="38" t="n">
        <f aca="false">Sens!$G$1037</f>
        <v>23.1728724610325</v>
      </c>
      <c r="H1131" s="38" t="n">
        <f aca="false">Sens!$H$1037</f>
        <v>24.353392759506</v>
      </c>
      <c r="I1131" s="38" t="n">
        <f aca="false">Sens!$I$1037</f>
        <v>25.4240338872015</v>
      </c>
      <c r="J1131" s="38" t="n">
        <f aca="false">Sens!$J$1037</f>
        <v>26.3642491017174</v>
      </c>
      <c r="K1131" s="38" t="n">
        <f aca="false">Sens!$K$1037</f>
        <v>27.155176574769</v>
      </c>
      <c r="L1131" s="38" t="n">
        <f aca="false">Sens!$L$1037</f>
        <v>27.969831872012</v>
      </c>
      <c r="M1131" s="38" t="n">
        <f aca="false">Sens!$M$1037</f>
        <v>28.8089268281724</v>
      </c>
      <c r="N1131" s="38" t="n">
        <f aca="false">Sens!$N$1037</f>
        <v>11.128</v>
      </c>
      <c r="O1131" s="38" t="n">
        <f aca="false">Sens!$O$1037</f>
        <v>11.433</v>
      </c>
    </row>
    <row r="1132" customFormat="false" ht="15" hidden="false" customHeight="false" outlineLevel="0" collapsed="false">
      <c r="A1132" s="0" t="s">
        <v>521</v>
      </c>
      <c r="B1132" s="0" t="s">
        <v>86</v>
      </c>
      <c r="C1132" s="38" t="n">
        <f aca="false">Sens!$C$1039</f>
        <v>156.146</v>
      </c>
      <c r="D1132" s="38" t="n">
        <f aca="false">Sens!$D$1039</f>
        <v>172.162</v>
      </c>
      <c r="E1132" s="38" t="n">
        <f aca="false">Sens!$E$1039</f>
        <v>88.358</v>
      </c>
      <c r="F1132" s="38" t="n">
        <f aca="false">Sens!$F$1039</f>
        <v>102.004388260171</v>
      </c>
      <c r="G1132" s="38" t="n">
        <f aca="false">Sens!$G$1039</f>
        <v>190.362388260171</v>
      </c>
      <c r="H1132" s="38" t="n">
        <f aca="false">Sens!$H$1039</f>
        <v>210.343106588311</v>
      </c>
      <c r="I1132" s="38" t="n">
        <f aca="false">Sens!$I$1039</f>
        <v>229.969728494648</v>
      </c>
      <c r="J1132" s="38" t="n">
        <f aca="false">Sens!$J$1039</f>
        <v>248.747636972598</v>
      </c>
      <c r="K1132" s="38" t="n">
        <f aca="false">Sens!$K$1039</f>
        <v>266.15997156068</v>
      </c>
      <c r="L1132" s="38" t="n">
        <f aca="false">Sens!$L$1039</f>
        <v>284.791169569927</v>
      </c>
      <c r="M1132" s="38" t="n">
        <f aca="false">Sens!$M$1039</f>
        <v>304.726551439822</v>
      </c>
      <c r="N1132" s="38" t="n">
        <f aca="false">Sens!$N$1039</f>
        <v>76.86</v>
      </c>
      <c r="O1132" s="38" t="n">
        <f aca="false">Sens!$O$1039</f>
        <v>95.302</v>
      </c>
    </row>
    <row r="1133" customFormat="false" ht="15" hidden="false" customHeight="false" outlineLevel="0" collapsed="false">
      <c r="A1133" s="0" t="s">
        <v>522</v>
      </c>
      <c r="B1133" s="0" t="s">
        <v>86</v>
      </c>
      <c r="C1133" s="38" t="n">
        <f aca="false">Sens!$C$1041</f>
        <v>56.214</v>
      </c>
      <c r="D1133" s="38" t="n">
        <f aca="false">Sens!$D$1041</f>
        <v>68.635</v>
      </c>
      <c r="E1133" s="38" t="n">
        <f aca="false">Sens!$E$1041</f>
        <v>37.052</v>
      </c>
      <c r="F1133" s="38" t="n">
        <f aca="false">Sens!$F$1041</f>
        <v>46.1572219944148</v>
      </c>
      <c r="G1133" s="38" t="n">
        <f aca="false">Sens!$G$1041</f>
        <v>83.2092219944148</v>
      </c>
      <c r="H1133" s="38" t="n">
        <f aca="false">Sens!$H$1041</f>
        <v>99.8969223878976</v>
      </c>
      <c r="I1133" s="38" t="n">
        <f aca="false">Sens!$I$1041</f>
        <v>116.583111095496</v>
      </c>
      <c r="J1133" s="38" t="n">
        <f aca="false">Sens!$J$1041</f>
        <v>132.148941941952</v>
      </c>
      <c r="K1133" s="38" t="n">
        <f aca="false">Sens!$K$1041</f>
        <v>145.363836136147</v>
      </c>
      <c r="L1133" s="38" t="n">
        <f aca="false">Sens!$L$1041</f>
        <v>159.900219749762</v>
      </c>
      <c r="M1133" s="38" t="n">
        <f aca="false">Sens!$M$1041</f>
        <v>175.890241724738</v>
      </c>
      <c r="N1133" s="38" t="n">
        <f aca="false">Sens!$N$1041</f>
        <v>29.615</v>
      </c>
      <c r="O1133" s="38" t="n">
        <f aca="false">Sens!$O$1041</f>
        <v>39.02</v>
      </c>
    </row>
    <row r="1134" customFormat="false" ht="15" hidden="false" customHeight="false" outlineLevel="0" collapsed="false">
      <c r="A1134" s="0" t="s">
        <v>523</v>
      </c>
      <c r="B1134" s="0" t="s">
        <v>86</v>
      </c>
      <c r="C1134" s="38" t="n">
        <f aca="false">Sens!$C$1043</f>
        <v>44.374</v>
      </c>
      <c r="D1134" s="38" t="n">
        <f aca="false">Sens!$D$1043</f>
        <v>49.619</v>
      </c>
      <c r="E1134" s="38" t="n">
        <f aca="false">Sens!$E$1043</f>
        <v>27.157</v>
      </c>
      <c r="F1134" s="38" t="n">
        <f aca="false">Sens!$F$1043</f>
        <v>27.7764165988154</v>
      </c>
      <c r="G1134" s="38" t="n">
        <f aca="false">Sens!$G$1043</f>
        <v>54.9334165988154</v>
      </c>
      <c r="H1134" s="38" t="n">
        <f aca="false">Sens!$H$1043</f>
        <v>61.1564112561829</v>
      </c>
      <c r="I1134" s="38" t="n">
        <f aca="false">Sens!$I$1043</f>
        <v>67.2020282103945</v>
      </c>
      <c r="J1134" s="38" t="n">
        <f aca="false">Sens!$J$1043</f>
        <v>72.8757274028885</v>
      </c>
      <c r="K1134" s="38" t="n">
        <f aca="false">Sens!$K$1043</f>
        <v>77.9770283210907</v>
      </c>
      <c r="L1134" s="38" t="n">
        <f aca="false">Sens!$L$1043</f>
        <v>83.4354203035671</v>
      </c>
      <c r="M1134" s="38" t="n">
        <f aca="false">Sens!$M$1043</f>
        <v>89.2758997248168</v>
      </c>
      <c r="N1134" s="38" t="n">
        <f aca="false">Sens!$N$1043</f>
        <v>23.923</v>
      </c>
      <c r="O1134" s="38" t="n">
        <f aca="false">Sens!$O$1043</f>
        <v>25.696</v>
      </c>
    </row>
    <row r="1135" customFormat="false" ht="15" hidden="false" customHeight="false" outlineLevel="0" collapsed="false">
      <c r="A1135" s="0" t="s">
        <v>524</v>
      </c>
      <c r="B1135" s="0" t="s">
        <v>86</v>
      </c>
      <c r="C1135" s="38" t="n">
        <f aca="false">Sens!$C$1045</f>
        <v>5.425</v>
      </c>
      <c r="D1135" s="38" t="n">
        <f aca="false">Sens!$D$1045</f>
        <v>5.935</v>
      </c>
      <c r="E1135" s="38" t="n">
        <f aca="false">Sens!$E$1045</f>
        <v>3.474</v>
      </c>
      <c r="F1135" s="38" t="n">
        <f aca="false">Sens!$F$1045</f>
        <v>3.22246550883619</v>
      </c>
      <c r="G1135" s="38" t="n">
        <f aca="false">Sens!$G$1045</f>
        <v>6.69646550883619</v>
      </c>
      <c r="H1135" s="38" t="n">
        <f aca="false">Sens!$H$1045</f>
        <v>7.16251344209196</v>
      </c>
      <c r="I1135" s="38" t="n">
        <f aca="false">Sens!$I$1045</f>
        <v>7.61421070299826</v>
      </c>
      <c r="J1135" s="38" t="n">
        <f aca="false">Sens!$J$1045</f>
        <v>8.04465753523932</v>
      </c>
      <c r="K1135" s="38" t="n">
        <f aca="false">Sens!$K$1045</f>
        <v>8.44689041200128</v>
      </c>
      <c r="L1135" s="38" t="n">
        <f aca="false">Sens!$L$1045</f>
        <v>8.86923493260135</v>
      </c>
      <c r="M1135" s="38" t="n">
        <f aca="false">Sens!$M$1045</f>
        <v>9.31269667923142</v>
      </c>
      <c r="N1135" s="38" t="n">
        <f aca="false">Sens!$N$1045</f>
        <v>2.811</v>
      </c>
      <c r="O1135" s="38" t="n">
        <f aca="false">Sens!$O$1045</f>
        <v>3.124</v>
      </c>
    </row>
    <row r="1136" customFormat="false" ht="17.15" hidden="false" customHeight="false" outlineLevel="0" collapsed="false">
      <c r="A1136" s="0" t="s">
        <v>717</v>
      </c>
      <c r="B1136" s="0" t="s">
        <v>86</v>
      </c>
      <c r="C1136" s="38" t="n">
        <f aca="false">Sens!$C$1117</f>
        <v>107.556</v>
      </c>
      <c r="D1136" s="38" t="n">
        <f aca="false">Sens!$D$1117</f>
        <v>128.725</v>
      </c>
      <c r="E1136" s="38" t="n">
        <f aca="false">Sens!$E$1117</f>
        <v>79.819</v>
      </c>
      <c r="F1136" s="38" t="n">
        <f aca="false">Sens!$F$1117</f>
        <v>86.7327334389669</v>
      </c>
      <c r="G1136" s="38" t="n">
        <f aca="false">Sens!$G$1117</f>
        <v>166.551733438967</v>
      </c>
      <c r="H1136" s="38" t="n">
        <f aca="false">Sens!$H$1117</f>
        <v>221.182967828978</v>
      </c>
      <c r="I1136" s="38" t="n">
        <f aca="false">Sens!$I$1117</f>
        <v>280.27345865789</v>
      </c>
      <c r="J1136" s="38" t="n">
        <f aca="false">Sens!$J$1117</f>
        <v>338.800945197185</v>
      </c>
      <c r="K1136" s="38" t="n">
        <f aca="false">Sens!$K$1117</f>
        <v>389.88570147276</v>
      </c>
      <c r="L1136" s="38" t="n">
        <f aca="false">Sens!$L$1117</f>
        <v>430.080689379143</v>
      </c>
      <c r="M1136" s="38" t="n">
        <f aca="false">Sens!$M$1117</f>
        <v>459.456235951751</v>
      </c>
      <c r="N1136" s="38" t="n">
        <f aca="false">Sens!$N$1117</f>
        <v>60.14</v>
      </c>
      <c r="O1136" s="38" t="n">
        <f aca="false">Sens!$O$1117</f>
        <v>68.585</v>
      </c>
    </row>
    <row r="1137" customFormat="false" ht="15" hidden="false" customHeight="false" outlineLevel="0" collapsed="false">
      <c r="A1137" s="1" t="s">
        <v>512</v>
      </c>
      <c r="B1137" s="8" t="s">
        <v>86</v>
      </c>
      <c r="C1137" s="38" t="n">
        <f aca="false">Sens!$C$1050</f>
        <v>387.497</v>
      </c>
      <c r="D1137" s="38" t="n">
        <f aca="false">Sens!$D$1050</f>
        <v>426.305</v>
      </c>
      <c r="E1137" s="38" t="n">
        <f aca="false">Sens!$E$1050</f>
        <v>220.32</v>
      </c>
      <c r="F1137" s="38" t="n">
        <f aca="false">Sens!$F$1050</f>
        <v>250.639773480586</v>
      </c>
      <c r="G1137" s="38" t="n">
        <f aca="false">Sens!$G$1050</f>
        <v>470.959773480586</v>
      </c>
      <c r="H1137" s="38" t="n">
        <f aca="false">Sens!$H$1050</f>
        <v>521.386990416437</v>
      </c>
      <c r="I1137" s="38" t="n">
        <f aca="false">Sens!$I$1050</f>
        <v>570.143862887555</v>
      </c>
      <c r="J1137" s="38" t="n">
        <f aca="false">Sens!$J$1050</f>
        <v>615.391435791933</v>
      </c>
      <c r="K1137" s="38" t="n">
        <f aca="false">Sens!$K$1050</f>
        <v>655.208227561543</v>
      </c>
      <c r="L1137" s="38" t="n">
        <f aca="false">Sens!$L$1050</f>
        <v>697.807739249767</v>
      </c>
      <c r="M1137" s="38" t="n">
        <f aca="false">Sens!$M$1050</f>
        <v>743.399328463592</v>
      </c>
      <c r="N1137" s="38" t="n">
        <f aca="false">Sens!$N$1050</f>
        <v>192.955</v>
      </c>
      <c r="O1137" s="38" t="n">
        <f aca="false">Sens!$O$1050</f>
        <v>233.35</v>
      </c>
    </row>
    <row r="1138" customFormat="false" ht="15" hidden="false" customHeight="false" outlineLevel="0" collapsed="false">
      <c r="A1138" s="1" t="s">
        <v>515</v>
      </c>
      <c r="B1138" s="8" t="s">
        <v>86</v>
      </c>
      <c r="C1138" s="38" t="n">
        <f aca="false">Sens!$C$1051</f>
        <v>142.906</v>
      </c>
      <c r="D1138" s="38" t="n">
        <f aca="false">Sens!$D$1051</f>
        <v>161.894</v>
      </c>
      <c r="E1138" s="38" t="n">
        <f aca="false">Sens!$E$1051</f>
        <v>81.986</v>
      </c>
      <c r="F1138" s="38" t="n">
        <f aca="false">Sens!$F$1051</f>
        <v>98.408468164951</v>
      </c>
      <c r="G1138" s="38" t="n">
        <f aca="false">Sens!$G$1051</f>
        <v>180.394468164951</v>
      </c>
      <c r="H1138" s="38" t="n">
        <f aca="false">Sens!$H$1051</f>
        <v>199.709899104949</v>
      </c>
      <c r="I1138" s="38" t="n">
        <f aca="false">Sens!$I$1051</f>
        <v>218.385528264976</v>
      </c>
      <c r="J1138" s="38" t="n">
        <f aca="false">Sens!$J$1051</f>
        <v>235.71696994951</v>
      </c>
      <c r="K1138" s="38" t="n">
        <f aca="false">Sens!$K$1051</f>
        <v>250.968227869545</v>
      </c>
      <c r="L1138" s="38" t="n">
        <f aca="false">Sens!$L$1051</f>
        <v>267.285367225822</v>
      </c>
      <c r="M1138" s="38" t="n">
        <f aca="false">Sens!$M$1051</f>
        <v>284.748579483295</v>
      </c>
      <c r="N1138" s="38" t="n">
        <f aca="false">Sens!$N$1051</f>
        <v>70.274</v>
      </c>
      <c r="O1138" s="38" t="n">
        <f aca="false">Sens!$O$1051</f>
        <v>91.62</v>
      </c>
    </row>
    <row r="1139" customFormat="false" ht="15" hidden="false" customHeight="false" outlineLevel="0" collapsed="false">
      <c r="A1139" s="1" t="s">
        <v>516</v>
      </c>
      <c r="B1139" s="8" t="s">
        <v>86</v>
      </c>
      <c r="C1139" s="38" t="n">
        <f aca="false">Sens!$C$1117</f>
        <v>107.556</v>
      </c>
      <c r="D1139" s="38" t="n">
        <f aca="false">Sens!$D$1117</f>
        <v>128.725</v>
      </c>
      <c r="E1139" s="38" t="n">
        <f aca="false">Sens!$E$1117</f>
        <v>79.819</v>
      </c>
      <c r="F1139" s="38" t="n">
        <f aca="false">Sens!$F$1117</f>
        <v>86.7327334389669</v>
      </c>
      <c r="G1139" s="38" t="n">
        <f aca="false">Sens!$G$1117</f>
        <v>166.551733438967</v>
      </c>
      <c r="H1139" s="38" t="n">
        <f aca="false">Sens!$H$1117</f>
        <v>221.182967828978</v>
      </c>
      <c r="I1139" s="38" t="n">
        <f aca="false">Sens!$I$1117</f>
        <v>280.27345865789</v>
      </c>
      <c r="J1139" s="38" t="n">
        <f aca="false">Sens!$J$1117</f>
        <v>338.800945197185</v>
      </c>
      <c r="K1139" s="38" t="n">
        <f aca="false">Sens!$K$1117</f>
        <v>389.88570147276</v>
      </c>
      <c r="L1139" s="38" t="n">
        <f aca="false">Sens!$L$1117</f>
        <v>430.080689379143</v>
      </c>
      <c r="M1139" s="38" t="n">
        <f aca="false">Sens!$M$1117</f>
        <v>459.456235951751</v>
      </c>
      <c r="N1139" s="38" t="n">
        <f aca="false">Sens!$N$1117</f>
        <v>60.14</v>
      </c>
      <c r="O1139" s="38" t="n">
        <f aca="false">Sens!$O$1117</f>
        <v>68.585</v>
      </c>
    </row>
    <row r="1140" customFormat="false" ht="17.15" hidden="false" customHeight="false" outlineLevel="0" collapsed="false">
      <c r="A1140" s="0" t="s">
        <v>691</v>
      </c>
      <c r="B1140" s="0" t="s">
        <v>86</v>
      </c>
      <c r="C1140" s="38" t="n">
        <f aca="false">Sens!$C$1115</f>
        <v>2.32100535697364</v>
      </c>
      <c r="D1140" s="38" t="n">
        <f aca="false">Sens!$D$1115</f>
        <v>8.70377008865116</v>
      </c>
      <c r="E1140" s="38" t="n">
        <f aca="false">Sens!$E$1115</f>
        <v>8.51035297557002</v>
      </c>
      <c r="F1140" s="38" t="n">
        <f aca="false">Sens!$F$1115</f>
        <v>14.9634336447205</v>
      </c>
      <c r="G1140" s="38" t="n">
        <f aca="false">Sens!$G$1115</f>
        <v>23.4737866202905</v>
      </c>
      <c r="H1140" s="38" t="n">
        <f aca="false">Sens!$H$1115</f>
        <v>60.1658907497746</v>
      </c>
      <c r="I1140" s="38" t="n">
        <f aca="false">Sens!$I$1115</f>
        <v>101.503699136432</v>
      </c>
      <c r="J1140" s="38" t="n">
        <f aca="false">Sens!$J$1115</f>
        <v>143.025407151278</v>
      </c>
      <c r="K1140" s="38" t="n">
        <f aca="false">Sens!$K$1115</f>
        <v>178.44812038318</v>
      </c>
      <c r="L1140" s="38" t="n">
        <f aca="false">Sens!$L$1115</f>
        <v>201.728101802396</v>
      </c>
      <c r="M1140" s="38" t="n">
        <f aca="false">Sens!$M$1115</f>
        <v>212.835441368865</v>
      </c>
      <c r="N1140" s="38" t="n">
        <f aca="false">Sens!$N$1115</f>
        <v>3.04631953102791</v>
      </c>
      <c r="O1140" s="38" t="n">
        <f aca="false">Sens!$O$1115</f>
        <v>5.65745055762326</v>
      </c>
    </row>
    <row r="1141" customFormat="false" ht="17.15" hidden="false" customHeight="false" outlineLevel="0" collapsed="false">
      <c r="A1141" s="0" t="s">
        <v>693</v>
      </c>
      <c r="B1141" s="0" t="s">
        <v>86</v>
      </c>
      <c r="C1141" s="38" t="n">
        <f aca="false">Sens!$C$1116</f>
        <v>105.234994643026</v>
      </c>
      <c r="D1141" s="38" t="n">
        <f aca="false">Sens!$D$1116</f>
        <v>120.021229911349</v>
      </c>
      <c r="E1141" s="38" t="n">
        <f aca="false">Sens!$E$1116</f>
        <v>71.30864702443</v>
      </c>
      <c r="F1141" s="38" t="n">
        <f aca="false">Sens!$F$1116</f>
        <v>71.7692997942464</v>
      </c>
      <c r="G1141" s="38" t="n">
        <f aca="false">Sens!$G$1116</f>
        <v>143.077946818676</v>
      </c>
      <c r="H1141" s="38" t="n">
        <f aca="false">Sens!$H$1116</f>
        <v>161.017077079203</v>
      </c>
      <c r="I1141" s="38" t="n">
        <f aca="false">Sens!$I$1116</f>
        <v>178.769759521457</v>
      </c>
      <c r="J1141" s="38" t="n">
        <f aca="false">Sens!$J$1116</f>
        <v>195.775538045907</v>
      </c>
      <c r="K1141" s="38" t="n">
        <f aca="false">Sens!$K$1116</f>
        <v>211.43758108958</v>
      </c>
      <c r="L1141" s="38" t="n">
        <f aca="false">Sens!$L$1116</f>
        <v>228.352587576746</v>
      </c>
      <c r="M1141" s="38" t="n">
        <f aca="false">Sens!$M$1116</f>
        <v>246.620794582886</v>
      </c>
      <c r="N1141" s="38" t="n">
        <f aca="false">Sens!$N$1116</f>
        <v>57.0936804689721</v>
      </c>
      <c r="O1141" s="38" t="n">
        <f aca="false">Sens!$O$1116</f>
        <v>62.9275494423768</v>
      </c>
    </row>
    <row r="1142" customFormat="false" ht="15" hidden="false" customHeight="false" outlineLevel="0" collapsed="false">
      <c r="A1142" s="3" t="s">
        <v>517</v>
      </c>
      <c r="B1142" s="8" t="s">
        <v>86</v>
      </c>
      <c r="C1142" s="38" t="n">
        <f aca="false">Sens!$C$1118</f>
        <v>637.959</v>
      </c>
      <c r="D1142" s="38" t="n">
        <f aca="false">Sens!$D$1118</f>
        <v>716.924</v>
      </c>
      <c r="E1142" s="38" t="n">
        <f aca="false">Sens!$E$1118</f>
        <v>382.125</v>
      </c>
      <c r="F1142" s="38" t="n">
        <f aca="false">Sens!$F$1118</f>
        <v>435.780975084504</v>
      </c>
      <c r="G1142" s="38" t="n">
        <f aca="false">Sens!$G$1118</f>
        <v>817.905975084504</v>
      </c>
      <c r="H1142" s="38" t="n">
        <f aca="false">Sens!$H$1118</f>
        <v>942.279857350364</v>
      </c>
      <c r="I1142" s="38" t="n">
        <f aca="false">Sens!$I$1118</f>
        <v>1068.80284981042</v>
      </c>
      <c r="J1142" s="38" t="n">
        <f aca="false">Sens!$J$1118</f>
        <v>1189.90935093863</v>
      </c>
      <c r="K1142" s="38" t="n">
        <f aca="false">Sens!$K$1118</f>
        <v>1296.06215690385</v>
      </c>
      <c r="L1142" s="38" t="n">
        <f aca="false">Sens!$L$1118</f>
        <v>1395.17379585473</v>
      </c>
      <c r="M1142" s="38" t="n">
        <f aca="false">Sens!$M$1118</f>
        <v>1487.60414389864</v>
      </c>
      <c r="N1142" s="38" t="n">
        <f aca="false">Sens!$N$1118</f>
        <v>323.369</v>
      </c>
      <c r="O1142" s="38" t="n">
        <f aca="false">Sens!$O$1118</f>
        <v>393.555</v>
      </c>
    </row>
    <row r="1143" customFormat="false" ht="17.15" hidden="false" customHeight="false" outlineLevel="0" collapsed="false">
      <c r="A1143" s="24" t="s">
        <v>703</v>
      </c>
      <c r="B1143" s="25" t="s">
        <v>86</v>
      </c>
      <c r="C1143" s="41" t="n">
        <f aca="false">Sens!$C$1130+Sens!$C$1131+Sens!$C$1132+Sens!$C$1133+Sens!$C$1134+Sens!$C$1135-(Sens!$C$1137+Sens!$C$1138)</f>
        <v>0</v>
      </c>
      <c r="D1143" s="41" t="n">
        <f aca="false">Sens!$D$1130+Sens!$D$1131+Sens!$D$1132+Sens!$D$1133+Sens!$D$1134+Sens!$D$1135-(Sens!$D$1137+Sens!$D$1138)</f>
        <v>0</v>
      </c>
      <c r="E1143" s="41" t="n">
        <f aca="false">Sens!$E$1130+Sens!$E$1131+Sens!$E$1132+Sens!$E$1133+Sens!$E$1134+Sens!$E$1135-(Sens!$E$1137+Sens!$E$1138)</f>
        <v>0</v>
      </c>
      <c r="F1143" s="41" t="n">
        <f aca="false">Sens!$F$1130+Sens!$F$1131+Sens!$F$1132+Sens!$F$1133+Sens!$F$1134+Sens!$F$1135-(Sens!$F$1137+Sens!$F$1138)</f>
        <v>0</v>
      </c>
      <c r="G1143" s="41" t="n">
        <f aca="false">Sens!$G$1130+Sens!$G$1131+Sens!$G$1132+Sens!$G$1133+Sens!$G$1134+Sens!$G$1135-(Sens!$G$1137+Sens!$G$1138)</f>
        <v>0</v>
      </c>
      <c r="H1143" s="41" t="n">
        <f aca="false">Sens!$H$1130+Sens!$H$1131+Sens!$H$1132+Sens!$H$1133+Sens!$H$1134+Sens!$H$1135-(Sens!$H$1137+Sens!$H$1138)</f>
        <v>0</v>
      </c>
      <c r="I1143" s="41" t="n">
        <f aca="false">Sens!$I$1130+Sens!$I$1131+Sens!$I$1132+Sens!$I$1133+Sens!$I$1134+Sens!$I$1135-(Sens!$I$1137+Sens!$I$1138)</f>
        <v>0</v>
      </c>
      <c r="J1143" s="41" t="n">
        <f aca="false">Sens!$J$1130+Sens!$J$1131+Sens!$J$1132+Sens!$J$1133+Sens!$J$1134+Sens!$J$1135-(Sens!$J$1137+Sens!$J$1138)</f>
        <v>0</v>
      </c>
      <c r="K1143" s="41" t="n">
        <f aca="false">Sens!$K$1130+Sens!$K$1131+Sens!$K$1132+Sens!$K$1133+Sens!$K$1134+Sens!$K$1135-(Sens!$K$1137+Sens!$K$1138)</f>
        <v>0</v>
      </c>
      <c r="L1143" s="41" t="n">
        <f aca="false">Sens!$L$1130+Sens!$L$1131+Sens!$L$1132+Sens!$L$1133+Sens!$L$1134+Sens!$L$1135-(Sens!$L$1137+Sens!$L$1138)</f>
        <v>0</v>
      </c>
      <c r="M1143" s="41" t="n">
        <f aca="false">Sens!$M$1130+Sens!$M$1131+Sens!$M$1132+Sens!$M$1133+Sens!$M$1134+Sens!$M$1135-(Sens!$M$1137+Sens!$M$1138)</f>
        <v>0</v>
      </c>
      <c r="N1143" s="41" t="n">
        <f aca="false">Sens!$N$1130+Sens!$N$1131+Sens!$N$1132+Sens!$N$1133+Sens!$N$1134+Sens!$N$1135-(Sens!$N$1137+Sens!$N$1138)</f>
        <v>0</v>
      </c>
      <c r="O1143" s="41" t="n">
        <f aca="false">Sens!$O$1130+Sens!$O$1131+Sens!$O$1132+Sens!$O$1133+Sens!$O$1134+Sens!$O$1135-(Sens!$O$1137+Sens!$O$1138)</f>
        <v>0</v>
      </c>
    </row>
    <row r="1144" customFormat="false" ht="17.15" hidden="false" customHeight="false" outlineLevel="0" collapsed="false">
      <c r="A1144" s="24" t="s">
        <v>704</v>
      </c>
      <c r="B1144" s="25" t="s">
        <v>86</v>
      </c>
      <c r="C1144" s="41" t="n">
        <f aca="false">Sens!$C$1140+Sens!$C$1141-Sens!$C$1139</f>
        <v>0</v>
      </c>
      <c r="D1144" s="41" t="n">
        <f aca="false">Sens!$D$1140+Sens!$D$1141-Sens!$D$1139</f>
        <v>0</v>
      </c>
      <c r="E1144" s="41" t="n">
        <f aca="false">Sens!$E$1140+Sens!$E$1141-Sens!$E$1139</f>
        <v>0</v>
      </c>
      <c r="F1144" s="41" t="n">
        <f aca="false">Sens!$F$1140+Sens!$F$1141-Sens!$F$1139</f>
        <v>0</v>
      </c>
      <c r="G1144" s="41" t="n">
        <f aca="false">Sens!$G$1140+Sens!$G$1141-Sens!$G$1139</f>
        <v>0</v>
      </c>
      <c r="H1144" s="41" t="n">
        <f aca="false">Sens!$H$1140+Sens!$H$1141-Sens!$H$1139</f>
        <v>0</v>
      </c>
      <c r="I1144" s="41" t="n">
        <f aca="false">Sens!$I$1140+Sens!$I$1141-Sens!$I$1139</f>
        <v>0</v>
      </c>
      <c r="J1144" s="41" t="n">
        <f aca="false">Sens!$J$1140+Sens!$J$1141-Sens!$J$1139</f>
        <v>0</v>
      </c>
      <c r="K1144" s="41" t="n">
        <f aca="false">Sens!$K$1140+Sens!$K$1141-Sens!$K$1139</f>
        <v>0</v>
      </c>
      <c r="L1144" s="41" t="n">
        <f aca="false">Sens!$L$1140+Sens!$L$1141-Sens!$L$1139</f>
        <v>0</v>
      </c>
      <c r="M1144" s="41" t="n">
        <f aca="false">Sens!$M$1140+Sens!$M$1141-Sens!$M$1139</f>
        <v>0</v>
      </c>
      <c r="N1144" s="41" t="n">
        <f aca="false">Sens!$N$1140+Sens!$N$1141-Sens!$N$1139</f>
        <v>0</v>
      </c>
      <c r="O1144" s="41" t="n">
        <f aca="false">Sens!$O$1140+Sens!$O$1141-Sens!$O$1139</f>
        <v>0</v>
      </c>
    </row>
    <row r="1145" customFormat="false" ht="17.15" hidden="false" customHeight="false" outlineLevel="0" collapsed="false">
      <c r="A1145" s="24" t="s">
        <v>763</v>
      </c>
      <c r="B1145" s="25" t="s">
        <v>86</v>
      </c>
      <c r="C1145" s="41" t="n">
        <f aca="false">Sens!$C$1130+Sens!$C$1131+Sens!$C$1132+Sens!$C$1133+Sens!$C$1134+Sens!$C$1135+Sens!$C$1136-Sens!$C$1142</f>
        <v>0</v>
      </c>
      <c r="D1145" s="41" t="n">
        <f aca="false">Sens!$D$1130+Sens!$D$1131+Sens!$D$1132+Sens!$D$1133+Sens!$D$1134+Sens!$D$1135+Sens!$D$1136-Sens!$D$1142</f>
        <v>0</v>
      </c>
      <c r="E1145" s="41" t="n">
        <f aca="false">Sens!$E$1130+Sens!$E$1131+Sens!$E$1132+Sens!$E$1133+Sens!$E$1134+Sens!$E$1135+Sens!$E$1136-Sens!$E$1142</f>
        <v>0</v>
      </c>
      <c r="F1145" s="41" t="n">
        <f aca="false">Sens!$F$1130+Sens!$F$1131+Sens!$F$1132+Sens!$F$1133+Sens!$F$1134+Sens!$F$1135+Sens!$F$1136-Sens!$F$1142</f>
        <v>0</v>
      </c>
      <c r="G1145" s="41" t="n">
        <f aca="false">Sens!$G$1130+Sens!$G$1131+Sens!$G$1132+Sens!$G$1133+Sens!$G$1134+Sens!$G$1135+Sens!$G$1136-Sens!$G$1142</f>
        <v>0</v>
      </c>
      <c r="H1145" s="41" t="n">
        <f aca="false">Sens!$H$1130+Sens!$H$1131+Sens!$H$1132+Sens!$H$1133+Sens!$H$1134+Sens!$H$1135+Sens!$H$1136-Sens!$H$1142</f>
        <v>0</v>
      </c>
      <c r="I1145" s="41" t="n">
        <f aca="false">Sens!$I$1130+Sens!$I$1131+Sens!$I$1132+Sens!$I$1133+Sens!$I$1134+Sens!$I$1135+Sens!$I$1136-Sens!$I$1142</f>
        <v>0</v>
      </c>
      <c r="J1145" s="41" t="n">
        <f aca="false">Sens!$J$1130+Sens!$J$1131+Sens!$J$1132+Sens!$J$1133+Sens!$J$1134+Sens!$J$1135+Sens!$J$1136-Sens!$J$1142</f>
        <v>0</v>
      </c>
      <c r="K1145" s="41" t="n">
        <f aca="false">Sens!$K$1130+Sens!$K$1131+Sens!$K$1132+Sens!$K$1133+Sens!$K$1134+Sens!$K$1135+Sens!$K$1136-Sens!$K$1142</f>
        <v>0</v>
      </c>
      <c r="L1145" s="41" t="n">
        <f aca="false">Sens!$L$1130+Sens!$L$1131+Sens!$L$1132+Sens!$L$1133+Sens!$L$1134+Sens!$L$1135+Sens!$L$1136-Sens!$L$1142</f>
        <v>0</v>
      </c>
      <c r="M1145" s="41" t="n">
        <f aca="false">Sens!$M$1130+Sens!$M$1131+Sens!$M$1132+Sens!$M$1133+Sens!$M$1134+Sens!$M$1135+Sens!$M$1136-Sens!$M$1142</f>
        <v>0</v>
      </c>
      <c r="N1145" s="41" t="n">
        <f aca="false">Sens!$N$1130+Sens!$N$1131+Sens!$N$1132+Sens!$N$1133+Sens!$N$1134+Sens!$N$1135+Sens!$N$1136-Sens!$N$1142</f>
        <v>0</v>
      </c>
      <c r="O1145" s="41" t="n">
        <f aca="false">Sens!$O$1130+Sens!$O$1131+Sens!$O$1132+Sens!$O$1133+Sens!$O$1134+Sens!$O$1135+Sens!$O$1136-Sens!$O$1142</f>
        <v>0</v>
      </c>
    </row>
    <row r="1146" customFormat="false" ht="17.15" hidden="false" customHeight="false" outlineLevel="0" collapsed="false">
      <c r="A1146" s="24" t="s">
        <v>705</v>
      </c>
      <c r="B1146" s="25" t="s">
        <v>86</v>
      </c>
      <c r="C1146" s="41" t="n">
        <f aca="false">Sens!$C$1137+Sens!$C$1138+Sens!$C$1139-Sens!$C$1142</f>
        <v>0</v>
      </c>
      <c r="D1146" s="41" t="n">
        <f aca="false">Sens!$D$1137+Sens!$D$1138+Sens!$D$1139-Sens!$D$1142</f>
        <v>0</v>
      </c>
      <c r="E1146" s="41" t="n">
        <f aca="false">Sens!$E$1137+Sens!$E$1138+Sens!$E$1139-Sens!$E$1142</f>
        <v>0</v>
      </c>
      <c r="F1146" s="41" t="n">
        <f aca="false">Sens!$F$1137+Sens!$F$1138+Sens!$F$1139-Sens!$F$1142</f>
        <v>0</v>
      </c>
      <c r="G1146" s="41" t="n">
        <f aca="false">Sens!$G$1137+Sens!$G$1138+Sens!$G$1139-Sens!$G$1142</f>
        <v>0</v>
      </c>
      <c r="H1146" s="41" t="n">
        <f aca="false">Sens!$H$1137+Sens!$H$1138+Sens!$H$1139-Sens!$H$1142</f>
        <v>0</v>
      </c>
      <c r="I1146" s="41" t="n">
        <f aca="false">Sens!$I$1137+Sens!$I$1138+Sens!$I$1139-Sens!$I$1142</f>
        <v>0</v>
      </c>
      <c r="J1146" s="41" t="n">
        <f aca="false">Sens!$J$1137+Sens!$J$1138+Sens!$J$1139-Sens!$J$1142</f>
        <v>0</v>
      </c>
      <c r="K1146" s="41" t="n">
        <f aca="false">Sens!$K$1137+Sens!$K$1138+Sens!$K$1139-Sens!$K$1142</f>
        <v>0</v>
      </c>
      <c r="L1146" s="41" t="n">
        <f aca="false">Sens!$L$1137+Sens!$L$1138+Sens!$L$1139-Sens!$L$1142</f>
        <v>0</v>
      </c>
      <c r="M1146" s="41" t="n">
        <f aca="false">Sens!$M$1137+Sens!$M$1138+Sens!$M$1139-Sens!$M$1142</f>
        <v>0</v>
      </c>
      <c r="N1146" s="41" t="n">
        <f aca="false">Sens!$N$1137+Sens!$N$1138+Sens!$N$1139-Sens!$N$1142</f>
        <v>0</v>
      </c>
      <c r="O1146" s="41" t="n">
        <f aca="false">Sens!$O$1137+Sens!$O$1138+Sens!$O$1139-Sens!$O$1142</f>
        <v>0</v>
      </c>
    </row>
    <row r="1147" customFormat="false" ht="17.15" hidden="false" customHeight="false" outlineLevel="0" collapsed="false">
      <c r="A1147" s="1" t="s">
        <v>719</v>
      </c>
    </row>
    <row r="1148" customFormat="false" ht="17.15" hidden="false" customHeight="false" outlineLevel="0" collapsed="false">
      <c r="A1148" s="0" t="s">
        <v>720</v>
      </c>
      <c r="B1148" s="0" t="s">
        <v>86</v>
      </c>
      <c r="C1148" s="38" t="n">
        <f aca="false">Sens!$C$1052*m_ad</f>
        <v>20.5341564414228</v>
      </c>
      <c r="D1148" s="38" t="n">
        <f aca="false">Sens!$D$1052*m_ad</f>
        <v>24.8720617299587</v>
      </c>
      <c r="E1148" s="38" t="n">
        <f aca="false">Sens!$E$1052*m_ad</f>
        <v>13.5017112462207</v>
      </c>
      <c r="F1148" s="38" t="n">
        <f aca="false">Sens!$F$1052*m_ad</f>
        <v>16.5719724165257</v>
      </c>
      <c r="G1148" s="38" t="n">
        <f aca="false">Sens!$G$1052*m_ad</f>
        <v>30.0820919220415</v>
      </c>
      <c r="H1148" s="38" t="n">
        <f aca="false">Sens!$H$1052*m_ad</f>
        <v>36.1150883276314</v>
      </c>
      <c r="I1148" s="38" t="n">
        <f aca="false">Sens!$I$1052*m_ad</f>
        <v>42.1475382231996</v>
      </c>
      <c r="J1148" s="38" t="n">
        <f aca="false">Sens!$J$1052*m_ad</f>
        <v>47.7749523864693</v>
      </c>
      <c r="K1148" s="38" t="n">
        <f aca="false">Sens!$K$1052*m_ad</f>
        <v>52.5524476251162</v>
      </c>
      <c r="L1148" s="38" t="n">
        <f aca="false">Sens!$L$1052*m_ad</f>
        <v>57.8076923876279</v>
      </c>
      <c r="M1148" s="38" t="n">
        <f aca="false">Sens!$M$1052*m_ad</f>
        <v>63.5884616263907</v>
      </c>
      <c r="N1148" s="38" t="n">
        <f aca="false">Sens!$N$1052*m_ad</f>
        <v>10.8543555706248</v>
      </c>
      <c r="O1148" s="38" t="n">
        <f aca="false">Sens!$O$1052*m_ad</f>
        <v>14.0094731821399</v>
      </c>
    </row>
    <row r="1149" customFormat="false" ht="17.15" hidden="false" customHeight="false" outlineLevel="0" collapsed="false">
      <c r="A1149" s="0" t="s">
        <v>721</v>
      </c>
      <c r="B1149" s="0" t="s">
        <v>86</v>
      </c>
      <c r="C1149" s="38" t="n">
        <f aca="false">Sens!$C$1050-Sens!$C$1052</f>
        <v>346.428687117154</v>
      </c>
      <c r="D1149" s="38" t="n">
        <f aca="false">Sens!$D$1050-Sens!$D$1052</f>
        <v>376.560876540083</v>
      </c>
      <c r="E1149" s="38" t="n">
        <f aca="false">Sens!$E$1050-Sens!$E$1052</f>
        <v>193.316577507559</v>
      </c>
      <c r="F1149" s="38" t="n">
        <f aca="false">Sens!$F$1050-Sens!$F$1052</f>
        <v>217.495828647535</v>
      </c>
      <c r="G1149" s="38" t="n">
        <f aca="false">Sens!$G$1050-Sens!$G$1052</f>
        <v>410.795589636503</v>
      </c>
      <c r="H1149" s="38" t="n">
        <f aca="false">Sens!$H$1050-Sens!$H$1052</f>
        <v>449.156813761174</v>
      </c>
      <c r="I1149" s="38" t="n">
        <f aca="false">Sens!$I$1050-Sens!$I$1052</f>
        <v>485.848786441156</v>
      </c>
      <c r="J1149" s="38" t="n">
        <f aca="false">Sens!$J$1050-Sens!$J$1052</f>
        <v>519.841531018994</v>
      </c>
      <c r="K1149" s="38" t="n">
        <f aca="false">Sens!$K$1050-Sens!$K$1052</f>
        <v>550.103332311311</v>
      </c>
      <c r="L1149" s="38" t="n">
        <f aca="false">Sens!$L$1050-Sens!$L$1052</f>
        <v>582.192354474511</v>
      </c>
      <c r="M1149" s="38" t="n">
        <f aca="false">Sens!$M$1050-Sens!$M$1052</f>
        <v>616.22240521081</v>
      </c>
      <c r="N1149" s="38" t="n">
        <f aca="false">Sens!$N$1050-Sens!$N$1052</f>
        <v>171.24628885875</v>
      </c>
      <c r="O1149" s="38" t="n">
        <f aca="false">Sens!$O$1050-Sens!$O$1052</f>
        <v>205.33105363572</v>
      </c>
    </row>
    <row r="1150" customFormat="false" ht="17.15" hidden="false" customHeight="false" outlineLevel="0" collapsed="false">
      <c r="A1150" s="0" t="s">
        <v>722</v>
      </c>
      <c r="B1150" s="0" t="s">
        <v>86</v>
      </c>
      <c r="C1150" s="38" t="n">
        <f aca="false">Sens!$C$1101*Sens!$C$1049</f>
        <v>0</v>
      </c>
      <c r="D1150" s="38" t="n">
        <f aca="false">Sens!$D$1101*Sens!$D$1049</f>
        <v>0</v>
      </c>
      <c r="E1150" s="38" t="n">
        <f aca="false">Sens!$E$1101*Sens!$E$1049</f>
        <v>0</v>
      </c>
      <c r="F1150" s="38" t="n">
        <f aca="false">Sens!$F$1101*Sens!$F$1049</f>
        <v>0</v>
      </c>
      <c r="G1150" s="38" t="n">
        <f aca="false">Sens!$G$1101*Sens!$G$1049</f>
        <v>0</v>
      </c>
      <c r="H1150" s="38" t="n">
        <f aca="false">Sens!$H$1101*Sens!$H$1049</f>
        <v>0</v>
      </c>
      <c r="I1150" s="38" t="n">
        <f aca="false">Sens!$I$1101*Sens!$I$1049</f>
        <v>0</v>
      </c>
      <c r="J1150" s="38" t="n">
        <f aca="false">Sens!$J$1101*Sens!$J$1049</f>
        <v>0</v>
      </c>
      <c r="K1150" s="38" t="n">
        <f aca="false">Sens!$K$1101*Sens!$K$1049</f>
        <v>0</v>
      </c>
      <c r="L1150" s="38" t="n">
        <f aca="false">Sens!$L$1101*Sens!$L$1049</f>
        <v>0</v>
      </c>
      <c r="M1150" s="38" t="n">
        <f aca="false">Sens!$M$1101*Sens!$M$1049</f>
        <v>0</v>
      </c>
      <c r="N1150" s="38" t="n">
        <f aca="false">Sens!$N$1101*Sens!$N$1049</f>
        <v>0</v>
      </c>
      <c r="O1150" s="38" t="n">
        <f aca="false">Sens!$O$1101*Sens!$O$1049</f>
        <v>0</v>
      </c>
    </row>
    <row r="1151" customFormat="false" ht="17.15" hidden="false" customHeight="false" outlineLevel="0" collapsed="false">
      <c r="A1151" s="0" t="s">
        <v>723</v>
      </c>
      <c r="B1151" s="0" t="s">
        <v>52</v>
      </c>
      <c r="C1151" s="28" t="n">
        <f aca="false">(Sens!$C$1152-Sens!$C$1148+Sens!$C$1150)/Sens!$C$1149</f>
        <v>0.0127958328031826</v>
      </c>
      <c r="D1151" s="28" t="n">
        <f aca="false">(Sens!$D$1152-Sens!$D$1148+Sens!$D$1150)/Sens!$D$1149</f>
        <v>0.0126060314965726</v>
      </c>
      <c r="E1151" s="28" t="n">
        <f aca="false">(Sens!$E$1152-Sens!$E$1148+Sens!$E$1150)/Sens!$E$1149</f>
        <v>0.0201135815868003</v>
      </c>
      <c r="F1151" s="28" t="n">
        <f aca="false">Sens!$O$1151+(Sens!$E$1151-Sens!$N$1151)</f>
        <v>0.0164587930208895</v>
      </c>
      <c r="G1151" s="28" t="n">
        <f aca="false">(Sens!$G$1152-Sens!$G$1148+Sens!$G$1150)/Sens!$G$1149</f>
        <v>0.0181589080050774</v>
      </c>
      <c r="H1151" s="28" t="n">
        <f aca="false">Sens!$G$1151+step_na</f>
        <v>0.0211589080050774</v>
      </c>
      <c r="I1151" s="28" t="n">
        <f aca="false">Sens!$H$1151+step_na</f>
        <v>0.0241589080050774</v>
      </c>
      <c r="J1151" s="28" t="n">
        <f aca="false">Sens!$I$1151+step_na</f>
        <v>0.0271589080050774</v>
      </c>
      <c r="K1151" s="28" t="n">
        <f aca="false">Sens!$J$1151+step_na</f>
        <v>0.0301589080050774</v>
      </c>
      <c r="L1151" s="28" t="n">
        <f aca="false">Sens!$K$1151</f>
        <v>0.0301589080050774</v>
      </c>
      <c r="M1151" s="28" t="n">
        <f aca="false">Sens!$L$1151</f>
        <v>0.0301589080050774</v>
      </c>
      <c r="N1151" s="28" t="n">
        <f aca="false">(Sens!$N$1152-Sens!$N$1148+Sens!$N$1150)/Sens!$N$1149</f>
        <v>0.0146201383169259</v>
      </c>
      <c r="O1151" s="28" t="n">
        <f aca="false">(Sens!$O$1152-Sens!$O$1148+Sens!$O$1150)/Sens!$O$1149</f>
        <v>0.0109653497510151</v>
      </c>
      <c r="P1151" s="8" t="s">
        <v>724</v>
      </c>
    </row>
    <row r="1152" customFormat="false" ht="17.15" hidden="false" customHeight="false" outlineLevel="0" collapsed="false">
      <c r="A1152" s="1" t="s">
        <v>725</v>
      </c>
      <c r="B1152" s="8" t="s">
        <v>86</v>
      </c>
      <c r="C1152" s="38" t="n">
        <f aca="false">Q!$D$22</f>
        <v>24.967</v>
      </c>
      <c r="D1152" s="38" t="n">
        <f aca="false">Q!$E$22</f>
        <v>29.619</v>
      </c>
      <c r="E1152" s="38" t="n">
        <f aca="false">Q!$P$22</f>
        <v>17.39</v>
      </c>
      <c r="F1152" s="38" t="n">
        <f aca="false">Sens!$F$1148+Sens!$F$1149*Sens!$F$1151-Sens!$F$1150</f>
        <v>20.1516912431423</v>
      </c>
      <c r="G1152" s="38" t="n">
        <f aca="false">Sens!$E$1152+Sens!$F$1152</f>
        <v>37.5416912431423</v>
      </c>
      <c r="H1152" s="38" t="n">
        <f aca="false">Sens!$H$1148+Sens!$H$1149*Sens!$H$1151-Sens!$H$1150</f>
        <v>45.6187560298578</v>
      </c>
      <c r="I1152" s="38" t="n">
        <f aca="false">Sens!$I$1148+Sens!$I$1149*Sens!$I$1151-Sens!$I$1150</f>
        <v>53.8851143592099</v>
      </c>
      <c r="J1152" s="38" t="n">
        <f aca="false">Sens!$J$1148+Sens!$J$1149*Sens!$J$1151-Sens!$J$1150</f>
        <v>61.8932807046327</v>
      </c>
      <c r="K1152" s="38" t="n">
        <f aca="false">Sens!$K$1148+Sens!$K$1149*Sens!$K$1151-Sens!$K$1150</f>
        <v>69.1429634175796</v>
      </c>
      <c r="L1152" s="38" t="n">
        <f aca="false">Sens!$L$1148+Sens!$L$1149*Sens!$L$1151-Sens!$L$1150</f>
        <v>75.365978047484</v>
      </c>
      <c r="M1152" s="38" t="n">
        <f aca="false">Sens!$M$1148+Sens!$M$1149*Sens!$M$1151-Sens!$M$1150</f>
        <v>82.173056455811</v>
      </c>
      <c r="N1152" s="38" t="n">
        <f aca="false">Q!$N$22</f>
        <v>13.358</v>
      </c>
      <c r="O1152" s="38" t="n">
        <f aca="false">Q!$O$22</f>
        <v>16.261</v>
      </c>
    </row>
    <row r="1153" customFormat="false" ht="17.15" hidden="false" customHeight="false" outlineLevel="0" collapsed="false">
      <c r="A1153" s="0" t="s">
        <v>726</v>
      </c>
      <c r="B1153" s="0" t="s">
        <v>86</v>
      </c>
      <c r="C1153" s="38" t="n">
        <f aca="false">Sens!$C$1053*m_ad</f>
        <v>7.57284355857716</v>
      </c>
      <c r="D1153" s="38" t="n">
        <f aca="false">Sens!$D$1053*m_ad</f>
        <v>9.44543827004127</v>
      </c>
      <c r="E1153" s="38" t="n">
        <f aca="false">Sens!$E$1053*m_ad</f>
        <v>5.02428875377928</v>
      </c>
      <c r="F1153" s="38" t="n">
        <f aca="false">Sens!$F$1053*m_ad</f>
        <v>6.50663858068173</v>
      </c>
      <c r="G1153" s="38" t="n">
        <f aca="false">Sens!$G$1053*m_ad</f>
        <v>11.5225190751659</v>
      </c>
      <c r="H1153" s="38" t="n">
        <f aca="false">Sens!$H$1053*m_ad</f>
        <v>13.8333728663174</v>
      </c>
      <c r="I1153" s="38" t="n">
        <f aca="false">Sens!$I$1053*m_ad</f>
        <v>16.1440173245485</v>
      </c>
      <c r="J1153" s="38" t="n">
        <f aca="false">Sens!$J$1053*m_ad</f>
        <v>18.2995185845066</v>
      </c>
      <c r="K1153" s="38" t="n">
        <f aca="false">Sens!$K$1053*m_ad</f>
        <v>20.1294704429572</v>
      </c>
      <c r="L1153" s="38" t="n">
        <f aca="false">Sens!$L$1053*m_ad</f>
        <v>22.142417487253</v>
      </c>
      <c r="M1153" s="38" t="n">
        <f aca="false">Sens!$M$1053*m_ad</f>
        <v>24.3566592359783</v>
      </c>
      <c r="N1153" s="38" t="n">
        <f aca="false">Sens!$N$1053*m_ad</f>
        <v>3.95314442937518</v>
      </c>
      <c r="O1153" s="38" t="n">
        <f aca="false">Sens!$O$1053*m_ad</f>
        <v>5.50052681786011</v>
      </c>
    </row>
    <row r="1154" customFormat="false" ht="17.15" hidden="false" customHeight="false" outlineLevel="0" collapsed="false">
      <c r="A1154" s="0" t="s">
        <v>727</v>
      </c>
      <c r="B1154" s="0" t="s">
        <v>86</v>
      </c>
      <c r="C1154" s="38" t="n">
        <f aca="false">Sens!$C$1051-Sens!$C$1053</f>
        <v>127.760312882846</v>
      </c>
      <c r="D1154" s="38" t="n">
        <f aca="false">Sens!$D$1051-Sens!$D$1053</f>
        <v>143.003123459917</v>
      </c>
      <c r="E1154" s="38" t="n">
        <f aca="false">Sens!$E$1051-Sens!$E$1053</f>
        <v>71.9374224924414</v>
      </c>
      <c r="F1154" s="38" t="n">
        <f aca="false">Sens!$F$1051-Sens!$F$1053</f>
        <v>85.3951910035875</v>
      </c>
      <c r="G1154" s="38" t="n">
        <f aca="false">Sens!$G$1051-Sens!$G$1053</f>
        <v>157.349430014619</v>
      </c>
      <c r="H1154" s="38" t="n">
        <f aca="false">Sens!$H$1051-Sens!$H$1053</f>
        <v>172.043153372315</v>
      </c>
      <c r="I1154" s="38" t="n">
        <f aca="false">Sens!$I$1051-Sens!$I$1053</f>
        <v>186.097493615879</v>
      </c>
      <c r="J1154" s="38" t="n">
        <f aca="false">Sens!$J$1051-Sens!$J$1053</f>
        <v>199.117932780497</v>
      </c>
      <c r="K1154" s="38" t="n">
        <f aca="false">Sens!$K$1051-Sens!$K$1053</f>
        <v>210.70928698363</v>
      </c>
      <c r="L1154" s="38" t="n">
        <f aca="false">Sens!$L$1051-Sens!$L$1053</f>
        <v>223.000532251316</v>
      </c>
      <c r="M1154" s="38" t="n">
        <f aca="false">Sens!$M$1051-Sens!$M$1053</f>
        <v>236.035261011339</v>
      </c>
      <c r="N1154" s="38" t="n">
        <f aca="false">Sens!$N$1051-Sens!$N$1053</f>
        <v>62.3677111412496</v>
      </c>
      <c r="O1154" s="38" t="n">
        <f aca="false">Sens!$O$1051-Sens!$O$1053</f>
        <v>80.6189463642798</v>
      </c>
    </row>
    <row r="1155" customFormat="false" ht="17.15" hidden="false" customHeight="false" outlineLevel="0" collapsed="false">
      <c r="A1155" s="0" t="s">
        <v>728</v>
      </c>
      <c r="B1155" s="0" t="s">
        <v>86</v>
      </c>
      <c r="C1155" s="38" t="n">
        <f aca="false">Sens!$C$1101*(1-Sens!$C$1049)</f>
        <v>0</v>
      </c>
      <c r="D1155" s="38" t="n">
        <f aca="false">Sens!$D$1101*(1-Sens!$D$1049)</f>
        <v>0</v>
      </c>
      <c r="E1155" s="38" t="n">
        <f aca="false">Sens!$E$1101*(1-Sens!$E$1049)</f>
        <v>0</v>
      </c>
      <c r="F1155" s="38" t="n">
        <f aca="false">Sens!$F$1101*(1-Sens!$F$1049)</f>
        <v>0</v>
      </c>
      <c r="G1155" s="38" t="n">
        <f aca="false">Sens!$G$1101*(1-Sens!$G$1049)</f>
        <v>0</v>
      </c>
      <c r="H1155" s="38" t="n">
        <f aca="false">Sens!$H$1101*(1-Sens!$H$1049)</f>
        <v>0</v>
      </c>
      <c r="I1155" s="38" t="n">
        <f aca="false">Sens!$I$1101*(1-Sens!$I$1049)</f>
        <v>0</v>
      </c>
      <c r="J1155" s="38" t="n">
        <f aca="false">Sens!$J$1101*(1-Sens!$J$1049)</f>
        <v>0</v>
      </c>
      <c r="K1155" s="38" t="n">
        <f aca="false">Sens!$K$1101*(1-Sens!$K$1049)</f>
        <v>0</v>
      </c>
      <c r="L1155" s="38" t="n">
        <f aca="false">Sens!$L$1101*(1-Sens!$L$1049)</f>
        <v>0</v>
      </c>
      <c r="M1155" s="38" t="n">
        <f aca="false">Sens!$M$1101*(1-Sens!$M$1049)</f>
        <v>0</v>
      </c>
      <c r="N1155" s="38" t="n">
        <f aca="false">Sens!$N$1101*(1-Sens!$N$1049)</f>
        <v>0</v>
      </c>
      <c r="O1155" s="38" t="n">
        <f aca="false">Sens!$O$1101*(1-Sens!$O$1049)</f>
        <v>0</v>
      </c>
    </row>
    <row r="1156" customFormat="false" ht="17.15" hidden="false" customHeight="false" outlineLevel="0" collapsed="false">
      <c r="A1156" s="0" t="s">
        <v>729</v>
      </c>
      <c r="B1156" s="0" t="s">
        <v>52</v>
      </c>
      <c r="C1156" s="28" t="n">
        <f aca="false">(Sens!$C$1157-Sens!$C$1153+Sens!$C$1155)/Sens!$C$1154</f>
        <v>-0.0295932553174328</v>
      </c>
      <c r="D1156" s="28" t="n">
        <f aca="false">(Sens!$D$1157-Sens!$D$1153+Sens!$D$1155)/Sens!$D$1154</f>
        <v>-0.0328345154737642</v>
      </c>
      <c r="E1156" s="28" t="n">
        <f aca="false">(Sens!$E$1157-Sens!$E$1153+Sens!$E$1155)/Sens!$E$1154</f>
        <v>-0.0261795417256875</v>
      </c>
      <c r="F1156" s="28" t="n">
        <f aca="false">Sens!$O$1156+(Sens!$E$1156-Sens!$N$1156)</f>
        <v>-0.0435123710750293</v>
      </c>
      <c r="G1156" s="28" t="n">
        <f aca="false">(Sens!$G$1157-Sens!$G$1153+Sens!$G$1155)/Sens!$G$1154</f>
        <v>-0.0355300157931035</v>
      </c>
      <c r="H1156" s="28" t="n">
        <f aca="false">Sens!$G$1156+step_in</f>
        <v>-0.0355300157931035</v>
      </c>
      <c r="I1156" s="28" t="n">
        <f aca="false">Sens!$H$1156+step_in</f>
        <v>-0.0355300157931035</v>
      </c>
      <c r="J1156" s="28" t="n">
        <f aca="false">Sens!$I$1156+step_in</f>
        <v>-0.0355300157931035</v>
      </c>
      <c r="K1156" s="28" t="n">
        <f aca="false">Sens!$J$1156+step_in</f>
        <v>-0.0355300157931035</v>
      </c>
      <c r="L1156" s="28" t="n">
        <f aca="false">Sens!$K$1156</f>
        <v>-0.0355300157931035</v>
      </c>
      <c r="M1156" s="28" t="n">
        <f aca="false">Sens!$L$1156</f>
        <v>-0.0355300157931035</v>
      </c>
      <c r="N1156" s="28" t="n">
        <f aca="false">(Sens!$N$1157-Sens!$N$1153+Sens!$N$1155)/Sens!$N$1154</f>
        <v>-0.0231232540522295</v>
      </c>
      <c r="O1156" s="28" t="n">
        <f aca="false">(Sens!$O$1157-Sens!$O$1153+Sens!$O$1155)/Sens!$O$1154</f>
        <v>-0.0404560834015714</v>
      </c>
      <c r="P1156" s="8" t="s">
        <v>724</v>
      </c>
    </row>
    <row r="1157" customFormat="false" ht="17.15" hidden="false" customHeight="false" outlineLevel="0" collapsed="false">
      <c r="A1157" s="1" t="s">
        <v>730</v>
      </c>
      <c r="B1157" s="8" t="s">
        <v>86</v>
      </c>
      <c r="C1157" s="38" t="n">
        <f aca="false">Q!$D$23</f>
        <v>3.792</v>
      </c>
      <c r="D1157" s="38" t="n">
        <f aca="false">Q!$E$23</f>
        <v>4.75</v>
      </c>
      <c r="E1157" s="38" t="n">
        <f aca="false">Q!$P$23</f>
        <v>3.141</v>
      </c>
      <c r="F1157" s="38" t="n">
        <f aca="false">Sens!$F$1153+Sens!$F$1154*Sens!$F$1156-Sens!$F$1155</f>
        <v>2.79089134171062</v>
      </c>
      <c r="G1157" s="38" t="n">
        <f aca="false">Sens!$E$1157+Sens!$F$1157</f>
        <v>5.93189134171062</v>
      </c>
      <c r="H1157" s="38" t="n">
        <f aca="false">Sens!$H$1153+Sens!$H$1154*Sens!$H$1156-Sens!$H$1155</f>
        <v>7.7206769099037</v>
      </c>
      <c r="I1157" s="38" t="n">
        <f aca="false">Sens!$I$1153+Sens!$I$1154*Sens!$I$1156-Sens!$I$1155</f>
        <v>9.53197043731938</v>
      </c>
      <c r="J1157" s="38" t="n">
        <f aca="false">Sens!$J$1153+Sens!$J$1154*Sens!$J$1156-Sens!$J$1155</f>
        <v>11.2248552881254</v>
      </c>
      <c r="K1157" s="38" t="n">
        <f aca="false">Sens!$K$1153+Sens!$K$1154*Sens!$K$1156-Sens!$K$1155</f>
        <v>12.6429661486753</v>
      </c>
      <c r="L1157" s="38" t="n">
        <f aca="false">Sens!$L$1153+Sens!$L$1154*Sens!$L$1156-Sens!$L$1155</f>
        <v>14.2192050544932</v>
      </c>
      <c r="M1157" s="38" t="n">
        <f aca="false">Sens!$M$1153+Sens!$M$1154*Sens!$M$1156-Sens!$M$1155</f>
        <v>15.9703226845161</v>
      </c>
      <c r="N1157" s="38" t="n">
        <f aca="false">Q!$N$23</f>
        <v>2.511</v>
      </c>
      <c r="O1157" s="38" t="n">
        <f aca="false">Q!$O$23</f>
        <v>2.239</v>
      </c>
    </row>
    <row r="1158" customFormat="false" ht="17.15" hidden="false" customHeight="false" outlineLevel="0" collapsed="false">
      <c r="A1158" s="0" t="s">
        <v>731</v>
      </c>
      <c r="B1158" s="0" t="s">
        <v>86</v>
      </c>
      <c r="C1158" s="38" t="n">
        <f aca="false">Sens!$C$1098</f>
        <v>1.60348603981278</v>
      </c>
      <c r="D1158" s="38" t="n">
        <f aca="false">Sens!$D$1098</f>
        <v>5.35055794800523</v>
      </c>
      <c r="E1158" s="38" t="n">
        <f aca="false">Sens!$E$1098</f>
        <v>3.16313977661284</v>
      </c>
      <c r="F1158" s="38" t="n">
        <f aca="false">Sens!$F$1098</f>
        <v>8.25771420156017</v>
      </c>
      <c r="G1158" s="38" t="n">
        <f aca="false">Sens!$G$1098</f>
        <v>11.420853978173</v>
      </c>
      <c r="H1158" s="38" t="n">
        <f aca="false">Sens!$H$1098</f>
        <v>24.5192672504815</v>
      </c>
      <c r="I1158" s="38" t="n">
        <f aca="false">Sens!$I$1098</f>
        <v>35.3775627095029</v>
      </c>
      <c r="J1158" s="38" t="n">
        <f aca="false">Sens!$J$1098</f>
        <v>45.5943951852862</v>
      </c>
      <c r="K1158" s="38" t="n">
        <f aca="false">Sens!$K$1098</f>
        <v>50.4159517862044</v>
      </c>
      <c r="L1158" s="38" t="n">
        <f aca="false">Sens!$L$1098</f>
        <v>52.4732797622041</v>
      </c>
      <c r="M1158" s="38" t="n">
        <f aca="false">Sens!$M$1098</f>
        <v>50.483785060948</v>
      </c>
      <c r="N1158" s="38" t="n">
        <f aca="false">Sens!$N$1098</f>
        <v>1.6588696055087</v>
      </c>
      <c r="O1158" s="38" t="n">
        <f aca="false">Sens!$O$1098</f>
        <v>3.69168834249652</v>
      </c>
    </row>
    <row r="1159" customFormat="false" ht="17.15" hidden="false" customHeight="false" outlineLevel="0" collapsed="false">
      <c r="A1159" s="0" t="s">
        <v>649</v>
      </c>
      <c r="B1159" s="0" t="s">
        <v>86</v>
      </c>
      <c r="C1159" s="38" t="n">
        <f aca="false">Sens!$C$1103</f>
        <v>38.2305139601872</v>
      </c>
      <c r="D1159" s="38" t="n">
        <f aca="false">Sens!$D$1103</f>
        <v>40.2554420519948</v>
      </c>
      <c r="E1159" s="38" t="n">
        <f aca="false">Sens!$E$1103</f>
        <v>27.6188602233872</v>
      </c>
      <c r="F1159" s="38" t="n">
        <f aca="false">Sens!$F$1103</f>
        <v>25.5702333504328</v>
      </c>
      <c r="G1159" s="38" t="n">
        <f aca="false">Sens!$G$1103</f>
        <v>53.18909357382</v>
      </c>
      <c r="H1159" s="38" t="n">
        <f aca="false">Sens!$H$1103</f>
        <v>57.3677637391403</v>
      </c>
      <c r="I1159" s="38" t="n">
        <f aca="false">Sens!$I$1103</f>
        <v>63.6927555385025</v>
      </c>
      <c r="J1159" s="38" t="n">
        <f aca="false">Sens!$J$1103</f>
        <v>69.7516376290704</v>
      </c>
      <c r="K1159" s="38" t="n">
        <f aca="false">Sens!$K$1103</f>
        <v>75.331768639396</v>
      </c>
      <c r="L1159" s="38" t="n">
        <f aca="false">Sens!$L$1103</f>
        <v>81.3583101305477</v>
      </c>
      <c r="M1159" s="38" t="n">
        <f aca="false">Sens!$M$1103</f>
        <v>87.8669749409915</v>
      </c>
      <c r="N1159" s="38" t="n">
        <f aca="false">Sens!$N$1103</f>
        <v>20.0481303944913</v>
      </c>
      <c r="O1159" s="38" t="n">
        <f aca="false">Sens!$O$1103</f>
        <v>20.2073116575035</v>
      </c>
    </row>
    <row r="1160" customFormat="false" ht="17.15" hidden="false" customHeight="false" outlineLevel="0" collapsed="false">
      <c r="A1160" s="1" t="s">
        <v>732</v>
      </c>
      <c r="B1160" s="8" t="s">
        <v>86</v>
      </c>
      <c r="C1160" s="38" t="n">
        <f aca="false">Q!$D$24</f>
        <v>39.834</v>
      </c>
      <c r="D1160" s="38" t="n">
        <f aca="false">Q!$E$24</f>
        <v>45.606</v>
      </c>
      <c r="E1160" s="38" t="n">
        <f aca="false">Q!$P$24</f>
        <v>30.782</v>
      </c>
      <c r="F1160" s="38" t="n">
        <f aca="false">Sens!$F$1158+Sens!$F$1159</f>
        <v>33.827947551993</v>
      </c>
      <c r="G1160" s="38" t="n">
        <f aca="false">Sens!$G$1158+Sens!$G$1159</f>
        <v>64.609947551993</v>
      </c>
      <c r="H1160" s="38" t="n">
        <f aca="false">Sens!$H$1158+Sens!$H$1159</f>
        <v>81.8870309896217</v>
      </c>
      <c r="I1160" s="38" t="n">
        <f aca="false">Sens!$I$1158+Sens!$I$1159</f>
        <v>99.0703182480053</v>
      </c>
      <c r="J1160" s="38" t="n">
        <f aca="false">Sens!$J$1158+Sens!$J$1159</f>
        <v>115.346032814357</v>
      </c>
      <c r="K1160" s="38" t="n">
        <f aca="false">Sens!$K$1158+Sens!$K$1159</f>
        <v>125.7477204256</v>
      </c>
      <c r="L1160" s="38" t="n">
        <f aca="false">Sens!$L$1158+Sens!$L$1159</f>
        <v>133.831589892752</v>
      </c>
      <c r="M1160" s="38" t="n">
        <f aca="false">Sens!$M$1158+Sens!$M$1159</f>
        <v>138.35076000194</v>
      </c>
      <c r="N1160" s="38" t="n">
        <f aca="false">Q!$N$24</f>
        <v>21.707</v>
      </c>
      <c r="O1160" s="38" t="n">
        <f aca="false">Q!$O$24</f>
        <v>23.899</v>
      </c>
    </row>
    <row r="1161" customFormat="false" ht="17.15" hidden="false" customHeight="false" outlineLevel="0" collapsed="false">
      <c r="A1161" s="5" t="s">
        <v>733</v>
      </c>
      <c r="B1161" s="0" t="s">
        <v>86</v>
      </c>
      <c r="C1161" s="38" t="n">
        <f aca="false">Q!$D$26</f>
        <v>0</v>
      </c>
      <c r="D1161" s="38" t="n">
        <f aca="false">Q!$E$26</f>
        <v>0</v>
      </c>
      <c r="E1161" s="38" t="n">
        <f aca="false">Q!$P$26</f>
        <v>0</v>
      </c>
      <c r="F1161" s="39" t="n">
        <v>0</v>
      </c>
      <c r="G1161" s="38" t="n">
        <f aca="false">Sens!$E$1161+Sens!$F$1161</f>
        <v>0</v>
      </c>
      <c r="H1161" s="39" t="n">
        <v>0</v>
      </c>
      <c r="I1161" s="39" t="n">
        <v>0</v>
      </c>
      <c r="J1161" s="39" t="n">
        <v>0</v>
      </c>
      <c r="K1161" s="39" t="n">
        <v>0</v>
      </c>
      <c r="L1161" s="39" t="n">
        <v>0</v>
      </c>
      <c r="M1161" s="39" t="n">
        <v>0</v>
      </c>
      <c r="N1161" s="38" t="n">
        <f aca="false">Q!$N$26</f>
        <v>0</v>
      </c>
      <c r="O1161" s="38" t="n">
        <f aca="false">Q!$O$26</f>
        <v>0</v>
      </c>
    </row>
    <row r="1162" customFormat="false" ht="15" hidden="false" customHeight="false" outlineLevel="0" collapsed="false">
      <c r="A1162" s="3" t="s">
        <v>534</v>
      </c>
      <c r="B1162" s="8" t="s">
        <v>86</v>
      </c>
      <c r="C1162" s="38" t="n">
        <f aca="false">Q!$D$25</f>
        <v>68.593</v>
      </c>
      <c r="D1162" s="38" t="n">
        <f aca="false">Q!$E$25</f>
        <v>79.975</v>
      </c>
      <c r="E1162" s="38" t="n">
        <f aca="false">Q!$P$25</f>
        <v>51.313</v>
      </c>
      <c r="F1162" s="38" t="n">
        <f aca="false">Sens!$F$1152+Sens!$F$1157+Sens!$F$1160+Sens!$F$1161</f>
        <v>56.7705301368459</v>
      </c>
      <c r="G1162" s="38" t="n">
        <f aca="false">Sens!$G$1152+Sens!$G$1157+Sens!$G$1160+Sens!$G$1161</f>
        <v>108.083530136846</v>
      </c>
      <c r="H1162" s="38" t="n">
        <f aca="false">Sens!$H$1152+Sens!$H$1157+Sens!$H$1160+Sens!$H$1161</f>
        <v>135.226463929383</v>
      </c>
      <c r="I1162" s="38" t="n">
        <f aca="false">Sens!$I$1152+Sens!$I$1157+Sens!$I$1160+Sens!$I$1161</f>
        <v>162.487403044535</v>
      </c>
      <c r="J1162" s="38" t="n">
        <f aca="false">Sens!$J$1152+Sens!$J$1157+Sens!$J$1160+Sens!$J$1161</f>
        <v>188.464168807115</v>
      </c>
      <c r="K1162" s="38" t="n">
        <f aca="false">Sens!$K$1152+Sens!$K$1157+Sens!$K$1160+Sens!$K$1161</f>
        <v>207.533649991855</v>
      </c>
      <c r="L1162" s="38" t="n">
        <f aca="false">Sens!$L$1152+Sens!$L$1157+Sens!$L$1160+Sens!$L$1161</f>
        <v>223.416772994729</v>
      </c>
      <c r="M1162" s="38" t="n">
        <f aca="false">Sens!$M$1152+Sens!$M$1157+Sens!$M$1160+Sens!$M$1161</f>
        <v>236.494139142267</v>
      </c>
      <c r="N1162" s="38" t="n">
        <f aca="false">Q!$N$25</f>
        <v>37.576</v>
      </c>
      <c r="O1162" s="38" t="n">
        <f aca="false">Q!$O$25</f>
        <v>42.399</v>
      </c>
    </row>
    <row r="1163" customFormat="false" ht="17.15" hidden="false" customHeight="false" outlineLevel="0" collapsed="false">
      <c r="A1163" s="24" t="s">
        <v>764</v>
      </c>
      <c r="B1163" s="25" t="s">
        <v>86</v>
      </c>
      <c r="C1163" s="41" t="n">
        <f aca="false">Sens!$C$1152+Sens!$C$1157+Sens!$C$1160+Sens!$C$1161-Sens!$C$1162</f>
        <v>0</v>
      </c>
      <c r="D1163" s="41" t="n">
        <f aca="false">Sens!$D$1152+Sens!$D$1157+Sens!$D$1160+Sens!$D$1161-Sens!$D$1162</f>
        <v>0</v>
      </c>
      <c r="E1163" s="41" t="n">
        <f aca="false">Sens!$E$1152+Sens!$E$1157+Sens!$E$1160+Sens!$E$1161-Sens!$E$1162</f>
        <v>0</v>
      </c>
      <c r="F1163" s="41" t="n">
        <f aca="false">Sens!$F$1152+Sens!$F$1157+Sens!$F$1160+Sens!$F$1161-Sens!$F$1162</f>
        <v>0</v>
      </c>
      <c r="G1163" s="41" t="n">
        <f aca="false">Sens!$G$1152+Sens!$G$1157+Sens!$G$1160+Sens!$G$1161-Sens!$G$1162</f>
        <v>0</v>
      </c>
      <c r="H1163" s="41" t="n">
        <f aca="false">Sens!$H$1152+Sens!$H$1157+Sens!$H$1160+Sens!$H$1161-Sens!$H$1162</f>
        <v>0</v>
      </c>
      <c r="I1163" s="41" t="n">
        <f aca="false">Sens!$I$1152+Sens!$I$1157+Sens!$I$1160+Sens!$I$1161-Sens!$I$1162</f>
        <v>0</v>
      </c>
      <c r="J1163" s="41" t="n">
        <f aca="false">Sens!$J$1152+Sens!$J$1157+Sens!$J$1160+Sens!$J$1161-Sens!$J$1162</f>
        <v>0</v>
      </c>
      <c r="K1163" s="41" t="n">
        <f aca="false">Sens!$K$1152+Sens!$K$1157+Sens!$K$1160+Sens!$K$1161-Sens!$K$1162</f>
        <v>0</v>
      </c>
      <c r="L1163" s="41" t="n">
        <f aca="false">Sens!$L$1152+Sens!$L$1157+Sens!$L$1160+Sens!$L$1161-Sens!$L$1162</f>
        <v>0</v>
      </c>
      <c r="M1163" s="41" t="n">
        <f aca="false">Sens!$M$1152+Sens!$M$1157+Sens!$M$1160+Sens!$M$1161-Sens!$M$1162</f>
        <v>0</v>
      </c>
      <c r="N1163" s="41" t="n">
        <f aca="false">Sens!$N$1152+Sens!$N$1157+Sens!$N$1160+Sens!$N$1161-Sens!$N$1162</f>
        <v>0</v>
      </c>
      <c r="O1163" s="41" t="n">
        <f aca="false">Sens!$O$1152+Sens!$O$1157+Sens!$O$1160+Sens!$O$1161-Sens!$O$1162</f>
        <v>0</v>
      </c>
    </row>
    <row r="1164" customFormat="false" ht="17.15" hidden="false" customHeight="false" outlineLevel="0" collapsed="false">
      <c r="A1164" s="5" t="s">
        <v>735</v>
      </c>
      <c r="B1164" s="0" t="s">
        <v>86</v>
      </c>
      <c r="C1164" s="38" t="n">
        <f aca="false">Sens!$C$1100</f>
        <v>0</v>
      </c>
      <c r="D1164" s="38" t="n">
        <f aca="false">Sens!$D$1100</f>
        <v>0</v>
      </c>
      <c r="E1164" s="38" t="n">
        <f aca="false">Sens!$E$1100</f>
        <v>0</v>
      </c>
      <c r="F1164" s="38" t="n">
        <f aca="false">Sens!$F$1100</f>
        <v>0</v>
      </c>
      <c r="G1164" s="38" t="n">
        <f aca="false">Sens!$G$1100</f>
        <v>0</v>
      </c>
      <c r="H1164" s="38" t="n">
        <f aca="false">Sens!$H$1100</f>
        <v>0</v>
      </c>
      <c r="I1164" s="38" t="n">
        <f aca="false">Sens!$I$1100</f>
        <v>0</v>
      </c>
      <c r="J1164" s="38" t="n">
        <f aca="false">Sens!$J$1100</f>
        <v>0</v>
      </c>
      <c r="K1164" s="38" t="n">
        <f aca="false">Sens!$K$1100</f>
        <v>0</v>
      </c>
      <c r="L1164" s="38" t="n">
        <f aca="false">Sens!$L$1100</f>
        <v>0</v>
      </c>
      <c r="M1164" s="38" t="n">
        <f aca="false">Sens!$M$1100</f>
        <v>0</v>
      </c>
      <c r="N1164" s="38" t="n">
        <f aca="false">Sens!$N$1100</f>
        <v>0</v>
      </c>
      <c r="O1164" s="38" t="n">
        <f aca="false">Sens!$O$1100</f>
        <v>0</v>
      </c>
      <c r="P1164" s="5" t="s">
        <v>736</v>
      </c>
    </row>
    <row r="1165" customFormat="false" ht="17.15" hidden="false" customHeight="false" outlineLevel="0" collapsed="false">
      <c r="A1165" s="5" t="s">
        <v>737</v>
      </c>
      <c r="B1165" s="0" t="s">
        <v>86</v>
      </c>
      <c r="C1165" s="38" t="n">
        <f aca="false">Sens!$C$1162+Sens!$C$1164</f>
        <v>68.593</v>
      </c>
      <c r="D1165" s="38" t="n">
        <f aca="false">Sens!$D$1162+Sens!$D$1164</f>
        <v>79.975</v>
      </c>
      <c r="E1165" s="38" t="n">
        <f aca="false">Sens!$E$1162+Sens!$E$1164</f>
        <v>51.313</v>
      </c>
      <c r="F1165" s="38" t="n">
        <f aca="false">Sens!$F$1162+Sens!$F$1164</f>
        <v>56.7705301368459</v>
      </c>
      <c r="G1165" s="38" t="n">
        <f aca="false">Sens!$G$1162+Sens!$G$1164</f>
        <v>108.083530136846</v>
      </c>
      <c r="H1165" s="38" t="n">
        <f aca="false">Sens!$H$1162+Sens!$H$1164</f>
        <v>135.226463929383</v>
      </c>
      <c r="I1165" s="38" t="n">
        <f aca="false">Sens!$I$1162+Sens!$I$1164</f>
        <v>162.487403044535</v>
      </c>
      <c r="J1165" s="38" t="n">
        <f aca="false">Sens!$J$1162+Sens!$J$1164</f>
        <v>188.464168807115</v>
      </c>
      <c r="K1165" s="38" t="n">
        <f aca="false">Sens!$K$1162+Sens!$K$1164</f>
        <v>207.533649991855</v>
      </c>
      <c r="L1165" s="38" t="n">
        <f aca="false">Sens!$L$1162+Sens!$L$1164</f>
        <v>223.416772994729</v>
      </c>
      <c r="M1165" s="38" t="n">
        <f aca="false">Sens!$M$1162+Sens!$M$1164</f>
        <v>236.494139142267</v>
      </c>
      <c r="N1165" s="38" t="n">
        <f aca="false">Sens!$N$1162+Sens!$N$1164</f>
        <v>37.576</v>
      </c>
      <c r="O1165" s="38" t="n">
        <f aca="false">Sens!$O$1162+Sens!$O$1164</f>
        <v>42.399</v>
      </c>
    </row>
    <row r="1166" customFormat="false" ht="17.15" hidden="false" customHeight="false" outlineLevel="0" collapsed="false">
      <c r="A1166" s="0" t="s">
        <v>738</v>
      </c>
      <c r="B1166" s="0" t="s">
        <v>52</v>
      </c>
      <c r="C1166" s="13" t="n">
        <f aca="false">Sens!$C$1152/Sens!$C$1137</f>
        <v>0.0644314665661928</v>
      </c>
      <c r="D1166" s="13" t="n">
        <f aca="false">Sens!$D$1152/Sens!$D$1137</f>
        <v>0.0694784250712518</v>
      </c>
      <c r="E1166" s="13" t="n">
        <f aca="false">Sens!$E$1152/Sens!$E$1137</f>
        <v>0.0789306463326071</v>
      </c>
      <c r="F1166" s="13" t="n">
        <f aca="false">Sens!$F$1152/Sens!$F$1137</f>
        <v>0.0804010112333714</v>
      </c>
      <c r="G1166" s="13" t="n">
        <f aca="false">Sens!$G$1152/Sens!$G$1137</f>
        <v>0.0797131588664012</v>
      </c>
      <c r="H1166" s="13" t="n">
        <f aca="false">Sens!$H$1152/Sens!$H$1137</f>
        <v>0.0874950024998162</v>
      </c>
      <c r="I1166" s="13" t="n">
        <f aca="false">Sens!$I$1152/Sens!$I$1137</f>
        <v>0.0945114345111126</v>
      </c>
      <c r="J1166" s="13" t="n">
        <f aca="false">Sens!$J$1152/Sens!$J$1137</f>
        <v>0.100575466450851</v>
      </c>
      <c r="K1166" s="13" t="n">
        <f aca="false">Sens!$K$1152/Sens!$K$1137</f>
        <v>0.10552822829302</v>
      </c>
      <c r="L1166" s="13" t="n">
        <f aca="false">Sens!$L$1152/Sens!$L$1137</f>
        <v>0.108003929747916</v>
      </c>
      <c r="M1166" s="13" t="n">
        <f aca="false">Sens!$M$1152/Sens!$M$1137</f>
        <v>0.110536898957981</v>
      </c>
      <c r="N1166" s="13" t="n">
        <f aca="false">Sens!$N$1152/Sens!$N$1137</f>
        <v>0.069228576611127</v>
      </c>
      <c r="O1166" s="13" t="n">
        <f aca="false">Sens!$O$1152/Sens!$O$1137</f>
        <v>0.069685022498393</v>
      </c>
    </row>
    <row r="1167" customFormat="false" ht="17.15" hidden="false" customHeight="false" outlineLevel="0" collapsed="false">
      <c r="A1167" s="0" t="s">
        <v>739</v>
      </c>
      <c r="B1167" s="0" t="s">
        <v>52</v>
      </c>
      <c r="C1167" s="13" t="n">
        <f aca="false">Sens!$C$1157/Sens!$C$1138</f>
        <v>0.026534925055631</v>
      </c>
      <c r="D1167" s="13" t="n">
        <f aca="false">Sens!$D$1157/Sens!$D$1138</f>
        <v>0.0293401855535103</v>
      </c>
      <c r="E1167" s="13" t="n">
        <f aca="false">Sens!$E$1157/Sens!$E$1138</f>
        <v>0.03831141902276</v>
      </c>
      <c r="F1167" s="13" t="n">
        <f aca="false">Sens!$F$1157/Sens!$F$1138</f>
        <v>0.0283602762420056</v>
      </c>
      <c r="G1167" s="13" t="n">
        <f aca="false">Sens!$G$1157/Sens!$G$1138</f>
        <v>0.0328828893815444</v>
      </c>
      <c r="H1167" s="13" t="n">
        <f aca="false">Sens!$H$1157/Sens!$H$1138</f>
        <v>0.0386594602696505</v>
      </c>
      <c r="I1167" s="13" t="n">
        <f aca="false">Sens!$I$1157/Sens!$I$1138</f>
        <v>0.0436474454742892</v>
      </c>
      <c r="J1167" s="13" t="n">
        <f aca="false">Sens!$J$1157/Sens!$J$1138</f>
        <v>0.0476200559108228</v>
      </c>
      <c r="K1167" s="13" t="n">
        <f aca="false">Sens!$K$1157/Sens!$K$1138</f>
        <v>0.0503767598631936</v>
      </c>
      <c r="L1167" s="13" t="n">
        <f aca="false">Sens!$L$1157/Sens!$L$1138</f>
        <v>0.053198591460788</v>
      </c>
      <c r="M1167" s="13" t="n">
        <f aca="false">Sens!$M$1157/Sens!$M$1138</f>
        <v>0.0560856974721203</v>
      </c>
      <c r="N1167" s="13" t="n">
        <f aca="false">Sens!$N$1157/Sens!$N$1138</f>
        <v>0.0357315650169337</v>
      </c>
      <c r="O1167" s="13" t="n">
        <f aca="false">Sens!$O$1157/Sens!$O$1138</f>
        <v>0.0244378956559703</v>
      </c>
    </row>
    <row r="1168" customFormat="false" ht="17.15" hidden="false" customHeight="false" outlineLevel="0" collapsed="false">
      <c r="A1168" s="14" t="s">
        <v>740</v>
      </c>
      <c r="B1168" s="14" t="s">
        <v>52</v>
      </c>
      <c r="C1168" s="17" t="n">
        <f aca="false">Sens!$C$1160/Sens!$C$1139</f>
        <v>0.370355907620217</v>
      </c>
      <c r="D1168" s="17" t="n">
        <f aca="false">Sens!$D$1160/Sens!$D$1139</f>
        <v>0.35429015342785</v>
      </c>
      <c r="E1168" s="17" t="n">
        <f aca="false">Sens!$E$1160/Sens!$E$1139</f>
        <v>0.385647527531039</v>
      </c>
      <c r="F1168" s="17" t="n">
        <f aca="false">Sens!$F$1160/Sens!$F$1139</f>
        <v>0.390025152104741</v>
      </c>
      <c r="G1168" s="17" t="n">
        <f aca="false">Sens!$G$1160/Sens!$G$1139</f>
        <v>0.387927199662977</v>
      </c>
      <c r="H1168" s="17" t="n">
        <f aca="false">Sens!$H$1160/Sens!$H$1139</f>
        <v>0.370223041102053</v>
      </c>
      <c r="I1168" s="17" t="n">
        <f aca="false">Sens!$I$1160/Sens!$I$1139</f>
        <v>0.353477345740874</v>
      </c>
      <c r="J1168" s="17" t="n">
        <f aca="false">Sens!$J$1160/Sens!$J$1139</f>
        <v>0.340453692498479</v>
      </c>
      <c r="K1168" s="17" t="n">
        <f aca="false">Sens!$K$1160/Sens!$K$1139</f>
        <v>0.322524575665636</v>
      </c>
      <c r="L1168" s="17" t="n">
        <f aca="false">Sens!$L$1160/Sens!$L$1139</f>
        <v>0.311177863125984</v>
      </c>
      <c r="M1168" s="17" t="n">
        <f aca="false">Sens!$M$1160/Sens!$M$1139</f>
        <v>0.301118472612195</v>
      </c>
      <c r="N1168" s="17" t="n">
        <f aca="false">Sens!$N$1160/Sens!$N$1139</f>
        <v>0.360941137346192</v>
      </c>
      <c r="O1168" s="17" t="n">
        <f aca="false">Sens!$O$1160/Sens!$O$1139</f>
        <v>0.348458117664212</v>
      </c>
    </row>
    <row r="1169" customFormat="false" ht="17.15" hidden="false" customHeight="false" outlineLevel="0" collapsed="false">
      <c r="A1169" s="0" t="s">
        <v>741</v>
      </c>
      <c r="B1169" s="0" t="s">
        <v>52</v>
      </c>
      <c r="C1169" s="13" t="n">
        <f aca="false">Sens!$C$1158/Sens!$C$1140</f>
        <v>0.690858396769735</v>
      </c>
      <c r="D1169" s="13" t="n">
        <f aca="false">Sens!$D$1158/Sens!$D$1140</f>
        <v>0.614740266977159</v>
      </c>
      <c r="E1169" s="13" t="n">
        <f aca="false">Sens!$E$1158/Sens!$E$1140</f>
        <v>0.371681384508141</v>
      </c>
      <c r="F1169" s="13" t="n">
        <f aca="false">Sens!$F$1158/Sens!$F$1140</f>
        <v>0.551859579667648</v>
      </c>
      <c r="G1169" s="13" t="n">
        <f aca="false">Sens!$G$1158/Sens!$G$1140</f>
        <v>0.486536499752492</v>
      </c>
      <c r="H1169" s="13" t="n">
        <f aca="false">Sens!$H$1158/Sens!$H$1140</f>
        <v>0.407527702904878</v>
      </c>
      <c r="I1169" s="13" t="n">
        <f aca="false">Sens!$I$1158/Sens!$I$1140</f>
        <v>0.348534713616216</v>
      </c>
      <c r="J1169" s="13" t="n">
        <f aca="false">Sens!$J$1158/Sens!$J$1140</f>
        <v>0.318785285030239</v>
      </c>
      <c r="K1169" s="13" t="n">
        <f aca="false">Sens!$K$1158/Sens!$K$1140</f>
        <v>0.282524420419486</v>
      </c>
      <c r="L1169" s="13" t="n">
        <f aca="false">Sens!$L$1158/Sens!$L$1140</f>
        <v>0.260118839632985</v>
      </c>
      <c r="M1169" s="13" t="n">
        <f aca="false">Sens!$M$1158/Sens!$M$1140</f>
        <v>0.237196327530125</v>
      </c>
      <c r="N1169" s="13" t="n">
        <f aca="false">Sens!$N$1158/Sens!$N$1140</f>
        <v>0.544548787023979</v>
      </c>
      <c r="O1169" s="13" t="n">
        <f aca="false">Sens!$O$1158/Sens!$O$1140</f>
        <v>0.652535679259641</v>
      </c>
    </row>
    <row r="1170" customFormat="false" ht="15" hidden="false" customHeight="false" outlineLevel="0" collapsed="false">
      <c r="A1170" s="5" t="s">
        <v>742</v>
      </c>
      <c r="B1170" s="0" t="s">
        <v>52</v>
      </c>
      <c r="C1170" s="13" t="n">
        <f aca="false">Sens!$C$1162/Sens!$C$1142</f>
        <v>0.107519448742004</v>
      </c>
      <c r="D1170" s="13" t="n">
        <f aca="false">Sens!$D$1162/Sens!$D$1142</f>
        <v>0.111552967957552</v>
      </c>
      <c r="E1170" s="13" t="n">
        <f aca="false">Sens!$E$1162/Sens!$E$1142</f>
        <v>0.13428328426562</v>
      </c>
      <c r="F1170" s="13" t="n">
        <f aca="false">Sens!$F$1162/Sens!$F$1142</f>
        <v>0.130273080704905</v>
      </c>
      <c r="G1170" s="13" t="n">
        <f aca="false">Sens!$G$1162/Sens!$G$1142</f>
        <v>0.132146644515806</v>
      </c>
      <c r="H1170" s="13" t="n">
        <f aca="false">Sens!$H$1162/Sens!$H$1142</f>
        <v>0.143509874348404</v>
      </c>
      <c r="I1170" s="13" t="n">
        <f aca="false">Sens!$I$1162/Sens!$I$1142</f>
        <v>0.152027479224401</v>
      </c>
      <c r="J1170" s="13" t="n">
        <f aca="false">Sens!$J$1162/Sens!$J$1142</f>
        <v>0.158385316207869</v>
      </c>
      <c r="K1170" s="13" t="n">
        <f aca="false">Sens!$K$1162/Sens!$K$1142</f>
        <v>0.16012630944154</v>
      </c>
      <c r="L1170" s="13" t="n">
        <f aca="false">Sens!$L$1162/Sens!$L$1142</f>
        <v>0.160135442378959</v>
      </c>
      <c r="M1170" s="13" t="n">
        <f aca="false">Sens!$M$1162/Sens!$M$1142</f>
        <v>0.158976526189605</v>
      </c>
      <c r="N1170" s="13" t="n">
        <f aca="false">Sens!$N$1162/Sens!$N$1142</f>
        <v>0.116201614873411</v>
      </c>
      <c r="O1170" s="13" t="n">
        <f aca="false">Sens!$O$1162/Sens!$O$1142</f>
        <v>0.107733353660861</v>
      </c>
    </row>
    <row r="1171" customFormat="false" ht="17.15" hidden="false" customHeight="false" outlineLevel="0" collapsed="false">
      <c r="A1171" s="1" t="s">
        <v>743</v>
      </c>
    </row>
    <row r="1172" customFormat="false" ht="17.15" hidden="false" customHeight="false" outlineLevel="0" collapsed="false">
      <c r="A1172" s="5" t="s">
        <v>744</v>
      </c>
      <c r="B1172" s="0" t="s">
        <v>52</v>
      </c>
      <c r="D1172" s="28" t="n">
        <f aca="false">(Q!$E$29+Q!$E$30-(1-ext_sh_hi)*Sens!$D$1094)/Sens!$D$1048</f>
        <v>0.0346991409369958</v>
      </c>
    </row>
    <row r="1173" customFormat="false" ht="17.15" hidden="false" customHeight="false" outlineLevel="0" collapsed="false">
      <c r="A1173" s="0" t="s">
        <v>538</v>
      </c>
      <c r="B1173" s="0" t="s">
        <v>86</v>
      </c>
      <c r="C1173" s="38" t="n">
        <f aca="false">Q!$D$29</f>
        <v>14.285</v>
      </c>
      <c r="D1173" s="38" t="n">
        <f aca="false">Q!$E$29</f>
        <v>15.503</v>
      </c>
      <c r="E1173" s="38" t="n">
        <f aca="false">Q!$P$29</f>
        <v>8.78</v>
      </c>
      <c r="F1173" s="38" t="n">
        <f aca="false">(Sens!$D$1172*Sens!$F$1048+(1-ext_sh_hi)*Sens!$F$1094)*Sens!$F$1049</f>
        <v>8.69698482441957</v>
      </c>
      <c r="G1173" s="38" t="n">
        <f aca="false">Sens!$E$1173+Sens!$F$1173</f>
        <v>17.4769848244196</v>
      </c>
      <c r="H1173" s="38" t="n">
        <f aca="false">(Sens!$D$1172*Sens!$H$1048+(1-ext_sh_hi)*Sens!$H$1094)*Sens!$H$1049</f>
        <v>18.091680663176</v>
      </c>
      <c r="I1173" s="38" t="n">
        <f aca="false">(Sens!$D$1172*Sens!$I$1048+(1-ext_sh_hi)*Sens!$I$1094)*Sens!$I$1049</f>
        <v>19.7835022526985</v>
      </c>
      <c r="J1173" s="38" t="n">
        <f aca="false">(Sens!$D$1172*Sens!$J$1048+(1-ext_sh_hi)*Sens!$J$1094)*Sens!$J$1049</f>
        <v>21.3535541619645</v>
      </c>
      <c r="K1173" s="38" t="n">
        <f aca="false">(Sens!$D$1172*Sens!$K$1048+(1-ext_sh_hi)*Sens!$K$1094)*Sens!$K$1049</f>
        <v>22.7351626312372</v>
      </c>
      <c r="L1173" s="38" t="n">
        <f aca="false">(Sens!$D$1172*Sens!$L$1048+(1-ext_sh_hi)*Sens!$L$1094)*Sens!$L$1049</f>
        <v>24.2133290911541</v>
      </c>
      <c r="M1173" s="38" t="n">
        <f aca="false">(Sens!$D$1172*Sens!$M$1048+(1-ext_sh_hi)*Sens!$M$1094)*Sens!$M$1049</f>
        <v>25.7953180708262</v>
      </c>
      <c r="N1173" s="38" t="n">
        <f aca="false">Q!$N$29</f>
        <v>7.272</v>
      </c>
      <c r="O1173" s="38" t="n">
        <f aca="false">Q!$O$29</f>
        <v>8.231</v>
      </c>
    </row>
    <row r="1174" customFormat="false" ht="17.15" hidden="false" customHeight="false" outlineLevel="0" collapsed="false">
      <c r="A1174" s="0" t="s">
        <v>540</v>
      </c>
      <c r="B1174" s="0" t="s">
        <v>86</v>
      </c>
      <c r="C1174" s="38" t="n">
        <f aca="false">Q!$D$30</f>
        <v>4.462</v>
      </c>
      <c r="D1174" s="38" t="n">
        <f aca="false">Q!$E$30</f>
        <v>4.907</v>
      </c>
      <c r="E1174" s="38" t="n">
        <f aca="false">Q!$P$30</f>
        <v>2.57</v>
      </c>
      <c r="F1174" s="38" t="n">
        <f aca="false">(Sens!$D$1172*Sens!$F$1048+(1-ext_sh_hi)*Sens!$F$1094)*(1-Sens!$F$1049)</f>
        <v>3.4146893062495</v>
      </c>
      <c r="G1174" s="38" t="n">
        <f aca="false">Sens!$E$1174+Sens!$F$1174</f>
        <v>5.9846893062495</v>
      </c>
      <c r="H1174" s="38" t="n">
        <f aca="false">(Sens!$D$1172*Sens!$H$1048+(1-ext_sh_hi)*Sens!$H$1094)*(1-Sens!$H$1049)</f>
        <v>6.92976193555585</v>
      </c>
      <c r="I1174" s="38" t="n">
        <f aca="false">(Sens!$D$1172*Sens!$I$1048+(1-ext_sh_hi)*Sens!$I$1094)*(1-Sens!$I$1049)</f>
        <v>7.57779022386669</v>
      </c>
      <c r="J1174" s="38" t="n">
        <f aca="false">(Sens!$D$1172*Sens!$J$1048+(1-ext_sh_hi)*Sens!$J$1094)*(1-Sens!$J$1049)</f>
        <v>8.17917636151966</v>
      </c>
      <c r="K1174" s="38" t="n">
        <f aca="false">(Sens!$D$1172*Sens!$K$1048+(1-ext_sh_hi)*Sens!$K$1094)*(1-Sens!$K$1049)</f>
        <v>8.70838190955341</v>
      </c>
      <c r="L1174" s="38" t="n">
        <f aca="false">(Sens!$D$1172*Sens!$L$1048+(1-ext_sh_hi)*Sens!$L$1094)*(1-Sens!$L$1049)</f>
        <v>9.2745726277655</v>
      </c>
      <c r="M1174" s="38" t="n">
        <f aca="false">(Sens!$D$1172*Sens!$M$1048+(1-ext_sh_hi)*Sens!$M$1094)*(1-Sens!$M$1049)</f>
        <v>9.88053109110022</v>
      </c>
      <c r="N1174" s="38" t="n">
        <f aca="false">Q!$N$30</f>
        <v>2.316</v>
      </c>
      <c r="O1174" s="38" t="n">
        <f aca="false">Q!$O$30</f>
        <v>2.591</v>
      </c>
    </row>
    <row r="1175" customFormat="false" ht="17.15" hidden="false" customHeight="false" outlineLevel="0" collapsed="false">
      <c r="A1175" s="0" t="s">
        <v>541</v>
      </c>
      <c r="B1175" s="0" t="s">
        <v>86</v>
      </c>
      <c r="C1175" s="38" t="n">
        <f aca="false">Sens!$C$1106</f>
        <v>13.32</v>
      </c>
      <c r="D1175" s="38" t="n">
        <f aca="false">Sens!$D$1106</f>
        <v>21.45</v>
      </c>
      <c r="E1175" s="38" t="n">
        <f aca="false">Sens!$E$1106</f>
        <v>15.353</v>
      </c>
      <c r="F1175" s="38" t="n">
        <f aca="false">Sens!$F$1106</f>
        <v>15.4364252764357</v>
      </c>
      <c r="G1175" s="38" t="n">
        <f aca="false">Sens!$G$1106</f>
        <v>30.7894252764357</v>
      </c>
      <c r="H1175" s="38" t="n">
        <f aca="false">Sens!$H$1106</f>
        <v>49.8622005172717</v>
      </c>
      <c r="I1175" s="38" t="n">
        <f aca="false">Sens!$I$1106</f>
        <v>75.0025818588204</v>
      </c>
      <c r="J1175" s="38" t="n">
        <f aca="false">Sens!$J$1106</f>
        <v>100.828362790954</v>
      </c>
      <c r="K1175" s="38" t="n">
        <f aca="false">Sens!$K$1106</f>
        <v>126.94497613863</v>
      </c>
      <c r="L1175" s="38" t="n">
        <f aca="false">Sens!$L$1106</f>
        <v>146.325004143115</v>
      </c>
      <c r="M1175" s="38" t="n">
        <f aca="false">Sens!$M$1106</f>
        <v>160.240350847906</v>
      </c>
      <c r="N1175" s="38" t="n">
        <f aca="false">Sens!$N$1106</f>
        <v>9.234</v>
      </c>
      <c r="O1175" s="38" t="n">
        <f aca="false">Sens!$O$1106</f>
        <v>12.216</v>
      </c>
    </row>
    <row r="1176" customFormat="false" ht="17.15" hidden="false" customHeight="false" outlineLevel="0" collapsed="false">
      <c r="A1176" s="5" t="s">
        <v>745</v>
      </c>
      <c r="B1176" s="0" t="s">
        <v>86</v>
      </c>
      <c r="C1176" s="38" t="n">
        <f aca="false">Sens!$C$1173+Sens!$C$1174+Sens!$C$1175</f>
        <v>32.067</v>
      </c>
      <c r="D1176" s="38" t="n">
        <f aca="false">Sens!$D$1173+Sens!$D$1174+Sens!$D$1175</f>
        <v>41.86</v>
      </c>
      <c r="E1176" s="38" t="n">
        <f aca="false">Sens!$E$1173+Sens!$E$1174+Sens!$E$1175</f>
        <v>26.703</v>
      </c>
      <c r="F1176" s="38" t="n">
        <f aca="false">Sens!$F$1173+Sens!$F$1174+Sens!$F$1175</f>
        <v>27.5480994071048</v>
      </c>
      <c r="G1176" s="38" t="n">
        <f aca="false">Sens!$G$1173+Sens!$G$1174+Sens!$G$1175</f>
        <v>54.2510994071048</v>
      </c>
      <c r="H1176" s="38" t="n">
        <f aca="false">Sens!$H$1173+Sens!$H$1174+Sens!$H$1175</f>
        <v>74.8836431160036</v>
      </c>
      <c r="I1176" s="38" t="n">
        <f aca="false">Sens!$I$1173+Sens!$I$1174+Sens!$I$1175</f>
        <v>102.363874335386</v>
      </c>
      <c r="J1176" s="38" t="n">
        <f aca="false">Sens!$J$1173+Sens!$J$1174+Sens!$J$1175</f>
        <v>130.361093314438</v>
      </c>
      <c r="K1176" s="38" t="n">
        <f aca="false">Sens!$K$1173+Sens!$K$1174+Sens!$K$1175</f>
        <v>158.388520679421</v>
      </c>
      <c r="L1176" s="38" t="n">
        <f aca="false">Sens!$L$1173+Sens!$L$1174+Sens!$L$1175</f>
        <v>179.812905862034</v>
      </c>
      <c r="M1176" s="38" t="n">
        <f aca="false">Sens!$M$1173+Sens!$M$1174+Sens!$M$1175</f>
        <v>195.916200009833</v>
      </c>
      <c r="N1176" s="38" t="n">
        <f aca="false">Sens!$N$1173+Sens!$N$1174+Sens!$N$1175</f>
        <v>18.822</v>
      </c>
      <c r="O1176" s="38" t="n">
        <f aca="false">Sens!$O$1173+Sens!$O$1174+Sens!$O$1175</f>
        <v>23.038</v>
      </c>
    </row>
    <row r="1177" customFormat="false" ht="17.15" hidden="false" customHeight="false" outlineLevel="0" collapsed="false">
      <c r="A1177" s="0" t="s">
        <v>746</v>
      </c>
      <c r="B1177" s="0" t="s">
        <v>86</v>
      </c>
      <c r="C1177" s="38" t="n">
        <f aca="false">Sens!$C$1148+Sens!$C$1153</f>
        <v>28.107</v>
      </c>
      <c r="D1177" s="38" t="n">
        <f aca="false">Sens!$D$1148+Sens!$D$1153</f>
        <v>34.3175</v>
      </c>
      <c r="E1177" s="38" t="n">
        <f aca="false">Sens!$E$1148+Sens!$E$1153</f>
        <v>18.526</v>
      </c>
      <c r="F1177" s="38" t="n">
        <f aca="false">Sens!$F$1148+Sens!$F$1153</f>
        <v>23.0786109972074</v>
      </c>
      <c r="G1177" s="38" t="n">
        <f aca="false">Sens!$G$1148+Sens!$G$1153</f>
        <v>41.6046109972074</v>
      </c>
      <c r="H1177" s="38" t="n">
        <f aca="false">Sens!$H$1148+Sens!$H$1153</f>
        <v>49.9484611939488</v>
      </c>
      <c r="I1177" s="38" t="n">
        <f aca="false">Sens!$I$1148+Sens!$I$1153</f>
        <v>58.2915555477481</v>
      </c>
      <c r="J1177" s="38" t="n">
        <f aca="false">Sens!$J$1148+Sens!$J$1153</f>
        <v>66.0744709709759</v>
      </c>
      <c r="K1177" s="38" t="n">
        <f aca="false">Sens!$K$1148+Sens!$K$1153</f>
        <v>72.6819180680735</v>
      </c>
      <c r="L1177" s="38" t="n">
        <f aca="false">Sens!$L$1148+Sens!$L$1153</f>
        <v>79.9501098748808</v>
      </c>
      <c r="M1177" s="38" t="n">
        <f aca="false">Sens!$M$1148+Sens!$M$1153</f>
        <v>87.9451208623689</v>
      </c>
      <c r="N1177" s="38" t="n">
        <f aca="false">Sens!$N$1148+Sens!$N$1153</f>
        <v>14.8075</v>
      </c>
      <c r="O1177" s="38" t="n">
        <f aca="false">Sens!$O$1148+Sens!$O$1153</f>
        <v>19.51</v>
      </c>
    </row>
    <row r="1178" customFormat="false" ht="17.15" hidden="false" customHeight="false" outlineLevel="0" collapsed="false">
      <c r="A1178" s="0" t="s">
        <v>747</v>
      </c>
      <c r="B1178" s="0" t="s">
        <v>86</v>
      </c>
      <c r="C1178" s="38" t="n">
        <f aca="false">Sens!$C$1152+Sens!$C$1157+Sens!$C$1173+Sens!$C$1174-Sens!$C$1177</f>
        <v>19.399</v>
      </c>
      <c r="D1178" s="38" t="n">
        <f aca="false">Sens!$D$1152+Sens!$D$1157+Sens!$D$1173+Sens!$D$1174-Sens!$D$1177</f>
        <v>20.4615</v>
      </c>
      <c r="E1178" s="38" t="n">
        <f aca="false">Sens!$E$1152+Sens!$E$1157+Sens!$E$1173+Sens!$E$1174-Sens!$E$1177</f>
        <v>13.355</v>
      </c>
      <c r="F1178" s="38" t="n">
        <f aca="false">Sens!$F$1152+Sens!$F$1157+Sens!$F$1173+Sens!$F$1174-Sens!$F$1177</f>
        <v>11.9756457183146</v>
      </c>
      <c r="G1178" s="38" t="n">
        <f aca="false">Sens!$G$1152+Sens!$G$1157+Sens!$G$1173+Sens!$G$1174-Sens!$G$1177</f>
        <v>25.3306457183146</v>
      </c>
      <c r="H1178" s="38" t="n">
        <f aca="false">Sens!$H$1152+Sens!$H$1157+Sens!$H$1173+Sens!$H$1174-Sens!$H$1177</f>
        <v>28.4124143445446</v>
      </c>
      <c r="I1178" s="38" t="n">
        <f aca="false">Sens!$I$1152+Sens!$I$1157+Sens!$I$1173+Sens!$I$1174-Sens!$I$1177</f>
        <v>32.4868217253464</v>
      </c>
      <c r="J1178" s="38" t="n">
        <f aca="false">Sens!$J$1152+Sens!$J$1157+Sens!$J$1173+Sens!$J$1174-Sens!$J$1177</f>
        <v>36.5763955452664</v>
      </c>
      <c r="K1178" s="38" t="n">
        <f aca="false">Sens!$K$1152+Sens!$K$1157+Sens!$K$1173+Sens!$K$1174-Sens!$K$1177</f>
        <v>40.547556038972</v>
      </c>
      <c r="L1178" s="38" t="n">
        <f aca="false">Sens!$L$1152+Sens!$L$1157+Sens!$L$1173+Sens!$L$1174-Sens!$L$1177</f>
        <v>43.122974946016</v>
      </c>
      <c r="M1178" s="38" t="n">
        <f aca="false">Sens!$M$1152+Sens!$M$1157+Sens!$M$1173+Sens!$M$1174-Sens!$M$1177</f>
        <v>45.8741074398846</v>
      </c>
      <c r="N1178" s="38" t="n">
        <f aca="false">Sens!$N$1152+Sens!$N$1157+Sens!$N$1173+Sens!$N$1174-Sens!$N$1177</f>
        <v>10.6495</v>
      </c>
      <c r="O1178" s="38" t="n">
        <f aca="false">Sens!$O$1152+Sens!$O$1157+Sens!$O$1173+Sens!$O$1174-Sens!$O$1177</f>
        <v>9.81200000000001</v>
      </c>
    </row>
    <row r="1179" customFormat="false" ht="17.15" hidden="false" customHeight="false" outlineLevel="0" collapsed="false">
      <c r="A1179" s="0" t="s">
        <v>748</v>
      </c>
      <c r="B1179" s="0" t="s">
        <v>86</v>
      </c>
      <c r="C1179" s="38" t="n">
        <f aca="false">Sens!$C$1159+Sens!$C$1175-ext_sh_hi*Sens!$C$1094</f>
        <v>51.3470500115664</v>
      </c>
      <c r="D1179" s="38" t="n">
        <f aca="false">Sens!$D$1159+Sens!$D$1175-ext_sh_hi*Sens!$D$1094</f>
        <v>60.2799375433739</v>
      </c>
      <c r="E1179" s="38" t="n">
        <f aca="false">Sens!$E$1159+Sens!$E$1175-ext_sh_hi*Sens!$E$1094</f>
        <v>39.5095167090767</v>
      </c>
      <c r="F1179" s="38" t="n">
        <f aca="false">Sens!$F$1159+Sens!$F$1175-ext_sh_hi*Sens!$F$1094</f>
        <v>37.5443151125581</v>
      </c>
      <c r="G1179" s="38" t="n">
        <f aca="false">Sens!$G$1159+Sens!$G$1175-ext_sh_hi*Sens!$G$1094</f>
        <v>77.0538318216348</v>
      </c>
      <c r="H1179" s="38" t="n">
        <f aca="false">Sens!$H$1159+Sens!$H$1175-ext_sh_hi*Sens!$H$1094</f>
        <v>84.2320588008481</v>
      </c>
      <c r="I1179" s="38" t="n">
        <f aca="false">Sens!$I$1159+Sens!$I$1175-ext_sh_hi*Sens!$I$1094</f>
        <v>93.518930842459</v>
      </c>
      <c r="J1179" s="38" t="n">
        <f aca="false">Sens!$J$1159+Sens!$J$1175-ext_sh_hi*Sens!$J$1094</f>
        <v>102.415078770427</v>
      </c>
      <c r="K1179" s="38" t="n">
        <f aca="false">Sens!$K$1159+Sens!$K$1175-ext_sh_hi*Sens!$K$1094</f>
        <v>110.608285072061</v>
      </c>
      <c r="L1179" s="38" t="n">
        <f aca="false">Sens!$L$1159+Sens!$L$1175-ext_sh_hi*Sens!$L$1094</f>
        <v>119.456947877826</v>
      </c>
      <c r="M1179" s="38" t="n">
        <f aca="false">Sens!$M$1159+Sens!$M$1175-ext_sh_hi*Sens!$M$1094</f>
        <v>129.013503708052</v>
      </c>
      <c r="N1179" s="38" t="n">
        <f aca="false">Sens!$N$1159+Sens!$N$1175-ext_sh_hi*Sens!$N$1094</f>
        <v>28.5693781401809</v>
      </c>
      <c r="O1179" s="38" t="n">
        <f aca="false">Sens!$O$1159+Sens!$O$1175-ext_sh_hi*Sens!$O$1094</f>
        <v>31.7105594031931</v>
      </c>
    </row>
    <row r="1180" customFormat="false" ht="17.15" hidden="false" customHeight="false" outlineLevel="0" collapsed="false">
      <c r="A1180" s="0" t="s">
        <v>749</v>
      </c>
      <c r="B1180" s="0" t="s">
        <v>86</v>
      </c>
      <c r="C1180" s="38" t="n">
        <f aca="false">Sens!$C$1097</f>
        <v>1.80694998843362</v>
      </c>
      <c r="D1180" s="38" t="n">
        <f aca="false">Sens!$D$1097</f>
        <v>6.77606245662606</v>
      </c>
      <c r="E1180" s="38" t="n">
        <f aca="false">Sens!$E$1097</f>
        <v>6.62548329092326</v>
      </c>
      <c r="F1180" s="38" t="n">
        <f aca="false">Sens!$F$1097</f>
        <v>11.7200577158706</v>
      </c>
      <c r="G1180" s="38" t="n">
        <f aca="false">Sens!$G$1097</f>
        <v>18.3455410067939</v>
      </c>
      <c r="H1180" s="38" t="n">
        <f aca="false">Sens!$H$1097</f>
        <v>47.5171727060453</v>
      </c>
      <c r="I1180" s="38" t="n">
        <f aca="false">Sens!$I$1097</f>
        <v>80.5539692643667</v>
      </c>
      <c r="J1180" s="38" t="n">
        <f aca="false">Sens!$J$1097</f>
        <v>113.759316834883</v>
      </c>
      <c r="K1180" s="38" t="n">
        <f aca="false">Sens!$K$1097</f>
        <v>142.084411492169</v>
      </c>
      <c r="L1180" s="38" t="n">
        <f aca="false">Sens!$L$1097</f>
        <v>160.69964615804</v>
      </c>
      <c r="M1180" s="38" t="n">
        <f aca="false">Sens!$M$1097</f>
        <v>169.577607141793</v>
      </c>
      <c r="N1180" s="38" t="n">
        <f aca="false">Sens!$N$1097</f>
        <v>2.37162185981912</v>
      </c>
      <c r="O1180" s="38" t="n">
        <f aca="false">Sens!$O$1097</f>
        <v>4.40444059680694</v>
      </c>
    </row>
    <row r="1181" customFormat="false" ht="17.15" hidden="false" customHeight="false" outlineLevel="0" collapsed="false">
      <c r="A1181" s="0" t="s">
        <v>750</v>
      </c>
      <c r="B1181" s="0" t="s">
        <v>86</v>
      </c>
      <c r="C1181" s="38" t="n">
        <f aca="false">Sens!$C$1162+Sens!$C$1176</f>
        <v>100.66</v>
      </c>
      <c r="D1181" s="38" t="n">
        <f aca="false">Sens!$D$1162+Sens!$D$1176</f>
        <v>121.835</v>
      </c>
      <c r="E1181" s="38" t="n">
        <f aca="false">Sens!$E$1162+Sens!$E$1176</f>
        <v>78.016</v>
      </c>
      <c r="F1181" s="38" t="n">
        <f aca="false">Sens!$F$1162+Sens!$F$1176</f>
        <v>84.3186295439507</v>
      </c>
      <c r="G1181" s="38" t="n">
        <f aca="false">Sens!$G$1162+Sens!$G$1176</f>
        <v>162.334629543951</v>
      </c>
      <c r="H1181" s="38" t="n">
        <f aca="false">Sens!$H$1162+Sens!$H$1176</f>
        <v>210.110107045387</v>
      </c>
      <c r="I1181" s="38" t="n">
        <f aca="false">Sens!$I$1162+Sens!$I$1176</f>
        <v>264.85127737992</v>
      </c>
      <c r="J1181" s="38" t="n">
        <f aca="false">Sens!$J$1162+Sens!$J$1176</f>
        <v>318.825262121553</v>
      </c>
      <c r="K1181" s="38" t="n">
        <f aca="false">Sens!$K$1162+Sens!$K$1176</f>
        <v>365.922170671276</v>
      </c>
      <c r="L1181" s="38" t="n">
        <f aca="false">Sens!$L$1162+Sens!$L$1176</f>
        <v>403.229678856764</v>
      </c>
      <c r="M1181" s="38" t="n">
        <f aca="false">Sens!$M$1162+Sens!$M$1176</f>
        <v>432.410339152099</v>
      </c>
      <c r="N1181" s="38" t="n">
        <f aca="false">Sens!$N$1162+Sens!$N$1176</f>
        <v>56.398</v>
      </c>
      <c r="O1181" s="38" t="n">
        <f aca="false">Sens!$O$1162+Sens!$O$1176</f>
        <v>65.437</v>
      </c>
    </row>
    <row r="1182" customFormat="false" ht="17.15" hidden="false" customHeight="false" outlineLevel="0" collapsed="false">
      <c r="A1182" s="1" t="s">
        <v>751</v>
      </c>
    </row>
    <row r="1183" customFormat="false" ht="15" hidden="false" customHeight="false" outlineLevel="0" collapsed="false">
      <c r="A1183" s="5" t="s">
        <v>544</v>
      </c>
      <c r="B1183" s="0" t="s">
        <v>86</v>
      </c>
      <c r="C1183" s="38" t="n">
        <f aca="false">Q!$D$34</f>
        <v>2.406</v>
      </c>
      <c r="D1183" s="38" t="n">
        <f aca="false">Q!$E$34</f>
        <v>2.274</v>
      </c>
      <c r="E1183" s="38" t="n">
        <f aca="false">Q!$P$34</f>
        <v>2.114</v>
      </c>
      <c r="F1183" s="38" t="n">
        <f aca="false">Sens!$F$1221</f>
        <v>3.24888962733561</v>
      </c>
      <c r="G1183" s="38" t="n">
        <f aca="false">Sens!$E$1183+Sens!$F$1183</f>
        <v>5.36288962733561</v>
      </c>
      <c r="H1183" s="38" t="n">
        <f aca="false">Sens!$H$1221</f>
        <v>7.42354172302123</v>
      </c>
      <c r="I1183" s="38" t="n">
        <f aca="false">Sens!$I$1221</f>
        <v>7.42354172302123</v>
      </c>
      <c r="J1183" s="38" t="n">
        <f aca="false">Sens!$J$1221</f>
        <v>7.42354172302123</v>
      </c>
      <c r="K1183" s="38" t="n">
        <f aca="false">Sens!$K$1221</f>
        <v>7.42354172302123</v>
      </c>
      <c r="L1183" s="38" t="n">
        <f aca="false">Sens!$L$1221</f>
        <v>7.42354172302123</v>
      </c>
      <c r="M1183" s="38" t="n">
        <f aca="false">Sens!$M$1221</f>
        <v>7.42354172302123</v>
      </c>
      <c r="N1183" s="38" t="n">
        <f aca="false">Q!$N$34</f>
        <v>1.057</v>
      </c>
      <c r="O1183" s="38" t="n">
        <f aca="false">Q!$O$34</f>
        <v>1.217</v>
      </c>
    </row>
    <row r="1184" customFormat="false" ht="15" hidden="false" customHeight="false" outlineLevel="0" collapsed="false">
      <c r="A1184" s="5" t="s">
        <v>752</v>
      </c>
      <c r="B1184" s="0" t="s">
        <v>86</v>
      </c>
      <c r="F1184" s="38" t="n">
        <f aca="false">Sens!$F$1222</f>
        <v>2.59</v>
      </c>
      <c r="H1184" s="38" t="n">
        <f aca="false">Sens!$H$1222</f>
        <v>4.06189456773186</v>
      </c>
      <c r="I1184" s="38" t="n">
        <f aca="false">Sens!$I$1222</f>
        <v>3.36085991703196</v>
      </c>
      <c r="J1184" s="38" t="n">
        <f aca="false">Sens!$J$1222</f>
        <v>4.4162403734918</v>
      </c>
      <c r="K1184" s="38" t="n">
        <f aca="false">Sens!$K$1222</f>
        <v>7.30444786741354</v>
      </c>
      <c r="L1184" s="38" t="n">
        <f aca="false">Sens!$L$1222</f>
        <v>13.8745770652079</v>
      </c>
      <c r="M1184" s="38" t="n">
        <f aca="false">Sens!$M$1222</f>
        <v>22.7760053953586</v>
      </c>
    </row>
    <row r="1185" customFormat="false" ht="17.15" hidden="false" customHeight="false" outlineLevel="0" collapsed="false">
      <c r="A1185" s="5" t="s">
        <v>753</v>
      </c>
      <c r="B1185" s="0" t="s">
        <v>86</v>
      </c>
      <c r="C1185" s="38" t="n">
        <f aca="false">Q!$D$39</f>
        <v>2.427</v>
      </c>
      <c r="D1185" s="38" t="n">
        <f aca="false">Q!$E$39</f>
        <v>19.61</v>
      </c>
      <c r="E1185" s="38" t="n">
        <f aca="false">Q!$P$39</f>
        <v>71.492</v>
      </c>
      <c r="F1185" s="39" t="n">
        <v>0</v>
      </c>
      <c r="G1185" s="38" t="n">
        <f aca="false">Sens!$E$1185+Sens!$F$1185</f>
        <v>71.492</v>
      </c>
      <c r="H1185" s="39" t="n">
        <v>0</v>
      </c>
      <c r="I1185" s="39" t="n">
        <v>0</v>
      </c>
      <c r="J1185" s="39" t="n">
        <v>0</v>
      </c>
      <c r="K1185" s="39" t="n">
        <v>0</v>
      </c>
      <c r="L1185" s="39" t="n">
        <v>0</v>
      </c>
      <c r="M1185" s="39" t="n">
        <v>0</v>
      </c>
      <c r="N1185" s="38" t="n">
        <f aca="false">Q!$N$39</f>
        <v>6.017</v>
      </c>
      <c r="O1185" s="38" t="n">
        <f aca="false">Q!$O$39</f>
        <v>13.593</v>
      </c>
      <c r="P1185" s="5" t="s">
        <v>754</v>
      </c>
    </row>
    <row r="1186" customFormat="false" ht="15" hidden="false" customHeight="false" outlineLevel="0" collapsed="false">
      <c r="A1186" s="5" t="s">
        <v>547</v>
      </c>
      <c r="B1186" s="0" t="s">
        <v>86</v>
      </c>
      <c r="C1186" s="38" t="n">
        <f aca="false">Q!$D$36</f>
        <v>68.614</v>
      </c>
      <c r="D1186" s="38" t="n">
        <f aca="false">Q!$E$36</f>
        <v>97.311</v>
      </c>
      <c r="E1186" s="38" t="n">
        <f aca="false">Q!$P$36</f>
        <v>120.691</v>
      </c>
      <c r="F1186" s="38" t="n">
        <f aca="false">Sens!$F$1162-Sens!$F$1183+Sens!$F$1184+Sens!$F$1185</f>
        <v>56.1116405095103</v>
      </c>
      <c r="G1186" s="38" t="n">
        <f aca="false">Sens!$E$1186+Sens!$F$1186</f>
        <v>176.80264050951</v>
      </c>
      <c r="H1186" s="38" t="n">
        <f aca="false">Sens!$H$1162-Sens!$H$1183+Sens!$H$1184+Sens!$H$1185</f>
        <v>131.864816774094</v>
      </c>
      <c r="I1186" s="38" t="n">
        <f aca="false">Sens!$I$1162-Sens!$I$1183+Sens!$I$1184+Sens!$I$1185</f>
        <v>158.424721238545</v>
      </c>
      <c r="J1186" s="38" t="n">
        <f aca="false">Sens!$J$1162-Sens!$J$1183+Sens!$J$1184+Sens!$J$1185</f>
        <v>185.456867457585</v>
      </c>
      <c r="K1186" s="38" t="n">
        <f aca="false">Sens!$K$1162-Sens!$K$1183+Sens!$K$1184+Sens!$K$1185</f>
        <v>207.414556136248</v>
      </c>
      <c r="L1186" s="38" t="n">
        <f aca="false">Sens!$L$1162-Sens!$L$1183+Sens!$L$1184+Sens!$L$1185</f>
        <v>229.867808336916</v>
      </c>
      <c r="M1186" s="38" t="n">
        <f aca="false">Sens!$M$1162-Sens!$M$1183+Sens!$M$1184+Sens!$M$1185</f>
        <v>251.846602814604</v>
      </c>
      <c r="N1186" s="38" t="n">
        <f aca="false">Q!$N$36</f>
        <v>42.536</v>
      </c>
      <c r="O1186" s="38" t="n">
        <f aca="false">Q!$O$36</f>
        <v>54.775</v>
      </c>
    </row>
    <row r="1187" customFormat="false" ht="15" hidden="false" customHeight="false" outlineLevel="0" collapsed="false">
      <c r="A1187" s="5" t="s">
        <v>548</v>
      </c>
      <c r="B1187" s="0" t="s">
        <v>86</v>
      </c>
      <c r="C1187" s="38" t="n">
        <f aca="false">Q!$D$37</f>
        <v>9.265</v>
      </c>
      <c r="D1187" s="38" t="n">
        <f aca="false">Q!$E$37</f>
        <v>19.087</v>
      </c>
      <c r="E1187" s="38" t="n">
        <f aca="false">Q!$P$37</f>
        <v>27.759</v>
      </c>
      <c r="F1187" s="38" t="n">
        <f aca="false">Sens!$F$1186*tax</f>
        <v>9.74011255577252</v>
      </c>
      <c r="G1187" s="38" t="n">
        <f aca="false">Sens!$E$1187+Sens!$F$1187</f>
        <v>37.4991125557725</v>
      </c>
      <c r="H1187" s="38" t="n">
        <f aca="false">Sens!$H$1186*tax</f>
        <v>22.8896917976994</v>
      </c>
      <c r="I1187" s="38" t="n">
        <f aca="false">Sens!$I$1186*tax</f>
        <v>27.5000802412609</v>
      </c>
      <c r="J1187" s="38" t="n">
        <f aca="false">Sens!$J$1186*tax</f>
        <v>32.1924425462433</v>
      </c>
      <c r="K1187" s="38" t="n">
        <f aca="false">Sens!$K$1186*tax</f>
        <v>36.0039575412207</v>
      </c>
      <c r="L1187" s="38" t="n">
        <f aca="false">Sens!$L$1186*tax</f>
        <v>39.9014946955762</v>
      </c>
      <c r="M1187" s="38" t="n">
        <f aca="false">Sens!$M$1186*tax</f>
        <v>43.7166733306865</v>
      </c>
      <c r="N1187" s="38" t="n">
        <f aca="false">Q!$N$37</f>
        <v>7.231</v>
      </c>
      <c r="O1187" s="38" t="n">
        <f aca="false">Q!$O$37</f>
        <v>11.856</v>
      </c>
    </row>
    <row r="1188" customFormat="false" ht="15" hidden="false" customHeight="false" outlineLevel="0" collapsed="false">
      <c r="A1188" s="3" t="s">
        <v>549</v>
      </c>
      <c r="B1188" s="8" t="s">
        <v>86</v>
      </c>
      <c r="C1188" s="38" t="n">
        <f aca="false">Q!$D$38</f>
        <v>59.248</v>
      </c>
      <c r="D1188" s="38" t="n">
        <f aca="false">Q!$E$38</f>
        <v>77.67</v>
      </c>
      <c r="E1188" s="38" t="n">
        <f aca="false">Q!$P$38</f>
        <v>92.902</v>
      </c>
      <c r="F1188" s="38" t="n">
        <f aca="false">Sens!$F$1186-Sens!$F$1187</f>
        <v>46.3715279537378</v>
      </c>
      <c r="G1188" s="38" t="n">
        <f aca="false">Sens!$E$1188+Sens!$F$1188</f>
        <v>139.273527953738</v>
      </c>
      <c r="H1188" s="38" t="n">
        <f aca="false">Sens!$H$1186-Sens!$H$1187</f>
        <v>108.975124976394</v>
      </c>
      <c r="I1188" s="38" t="n">
        <f aca="false">Sens!$I$1186-Sens!$I$1187</f>
        <v>130.924640997284</v>
      </c>
      <c r="J1188" s="38" t="n">
        <f aca="false">Sens!$J$1186-Sens!$J$1187</f>
        <v>153.264424911342</v>
      </c>
      <c r="K1188" s="38" t="n">
        <f aca="false">Sens!$K$1186-Sens!$K$1187</f>
        <v>171.410598595027</v>
      </c>
      <c r="L1188" s="38" t="n">
        <f aca="false">Sens!$L$1186-Sens!$L$1187</f>
        <v>189.96631364134</v>
      </c>
      <c r="M1188" s="38" t="n">
        <f aca="false">Sens!$M$1186-Sens!$M$1187</f>
        <v>208.129929483917</v>
      </c>
      <c r="N1188" s="38" t="n">
        <f aca="false">Q!$N$38</f>
        <v>35.291</v>
      </c>
      <c r="O1188" s="38" t="n">
        <f aca="false">Q!$O$38</f>
        <v>42.379</v>
      </c>
    </row>
    <row r="1189" customFormat="false" ht="17.15" hidden="false" customHeight="false" outlineLevel="0" collapsed="false">
      <c r="A1189" s="5" t="s">
        <v>552</v>
      </c>
      <c r="B1189" s="5" t="s">
        <v>33</v>
      </c>
      <c r="C1189" s="22" t="n">
        <f aca="false">Q!$D$41</f>
        <v>10.721</v>
      </c>
      <c r="D1189" s="22" t="n">
        <f aca="false">Q!$E$41</f>
        <v>10.827</v>
      </c>
      <c r="E1189" s="22" t="n">
        <f aca="false">(Q!$L$41+Q!$M$41)/2</f>
        <v>10.8885</v>
      </c>
      <c r="F1189" s="22" t="n">
        <f aca="false">Sens!$G$1189</f>
        <v>10.924806</v>
      </c>
      <c r="G1189" s="22" t="n">
        <f aca="false">Q!$M$41*(1+sh_g*0.25)</f>
        <v>10.924806</v>
      </c>
      <c r="H1189" s="22" t="n">
        <f aca="false">Sens!$G$1189*(1+sh_g)</f>
        <v>11.012204448</v>
      </c>
      <c r="I1189" s="22" t="n">
        <f aca="false">Sens!$H$1189*(1+sh_g)</f>
        <v>11.100302083584</v>
      </c>
      <c r="J1189" s="22" t="n">
        <f aca="false">Sens!$I$1189*(1+sh_g)</f>
        <v>11.1891045002527</v>
      </c>
      <c r="K1189" s="22" t="n">
        <f aca="false">Sens!$J$1189*(1+sh_g)</f>
        <v>11.2786173362547</v>
      </c>
      <c r="L1189" s="22" t="n">
        <f aca="false">Sens!$K$1189*(1+sh_g)</f>
        <v>11.3688462749447</v>
      </c>
      <c r="M1189" s="22" t="n">
        <f aca="false">Sens!$L$1189*(1+sh_g)</f>
        <v>11.4597970451443</v>
      </c>
      <c r="P1189" s="5" t="s">
        <v>755</v>
      </c>
    </row>
    <row r="1190" customFormat="false" ht="17.15" hidden="false" customHeight="false" outlineLevel="0" collapsed="false">
      <c r="A1190" s="5" t="s">
        <v>756</v>
      </c>
      <c r="B1190" s="0" t="s">
        <v>86</v>
      </c>
      <c r="C1190" s="38" t="n">
        <f aca="false">Sens!$C$1188+Sens!$C$1164*(1-tax)</f>
        <v>59.248</v>
      </c>
      <c r="D1190" s="38" t="n">
        <f aca="false">Sens!$D$1188+Sens!$D$1164*(1-tax)</f>
        <v>77.67</v>
      </c>
      <c r="E1190" s="38" t="n">
        <f aca="false">Sens!$E$1188+Sens!$E$1164*(1-tax)</f>
        <v>92.902</v>
      </c>
      <c r="F1190" s="38" t="n">
        <f aca="false">Sens!$F$1188+Sens!$F$1164*(1-tax)</f>
        <v>46.3715279537378</v>
      </c>
      <c r="G1190" s="38" t="n">
        <f aca="false">Sens!$G$1188+Sens!$G$1164*(1-tax)</f>
        <v>139.273527953738</v>
      </c>
      <c r="H1190" s="38" t="n">
        <f aca="false">Sens!$H$1188+Sens!$H$1164*(1-tax)</f>
        <v>108.975124976394</v>
      </c>
      <c r="I1190" s="38" t="n">
        <f aca="false">Sens!$I$1188+Sens!$I$1164*(1-tax)</f>
        <v>130.924640997284</v>
      </c>
      <c r="J1190" s="38" t="n">
        <f aca="false">Sens!$J$1188+Sens!$J$1164*(1-tax)</f>
        <v>153.264424911342</v>
      </c>
      <c r="K1190" s="38" t="n">
        <f aca="false">Sens!$K$1188+Sens!$K$1164*(1-tax)</f>
        <v>171.410598595027</v>
      </c>
      <c r="L1190" s="38" t="n">
        <f aca="false">Sens!$L$1188+Sens!$L$1164*(1-tax)</f>
        <v>189.96631364134</v>
      </c>
      <c r="M1190" s="38" t="n">
        <f aca="false">Sens!$M$1188+Sens!$M$1164*(1-tax)</f>
        <v>208.129929483917</v>
      </c>
      <c r="N1190" s="38" t="n">
        <f aca="false">Sens!$N$1188+Sens!$N$1164*(1-tax)</f>
        <v>35.291</v>
      </c>
      <c r="O1190" s="38" t="n">
        <f aca="false">Sens!$O$1188+Sens!$O$1164*(1-tax)</f>
        <v>42.379</v>
      </c>
    </row>
    <row r="1191" customFormat="false" ht="17.15" hidden="false" customHeight="false" outlineLevel="0" collapsed="false">
      <c r="A1191" s="43" t="s">
        <v>757</v>
      </c>
      <c r="B1191" s="14" t="s">
        <v>27</v>
      </c>
      <c r="C1191" s="44" t="n">
        <f aca="false">Sens!$C$1190/Sens!$C$1189</f>
        <v>5.52635015390355</v>
      </c>
      <c r="D1191" s="44" t="n">
        <f aca="false">Sens!$D$1190/Sens!$D$1189</f>
        <v>7.1737323358271</v>
      </c>
      <c r="E1191" s="44" t="n">
        <f aca="false">Sens!$E$1190/Sens!$E$1189</f>
        <v>8.53212104513937</v>
      </c>
      <c r="F1191" s="14"/>
      <c r="G1191" s="44" t="n">
        <f aca="false">Sens!$G$1190/Sens!$G$1189</f>
        <v>12.7483753902575</v>
      </c>
      <c r="H1191" s="44" t="n">
        <f aca="false">Sens!$H$1190/Sens!$H$1189</f>
        <v>9.89585014435381</v>
      </c>
      <c r="I1191" s="44" t="n">
        <f aca="false">Sens!$I$1190/Sens!$I$1189</f>
        <v>11.7946917130216</v>
      </c>
      <c r="J1191" s="44" t="n">
        <f aca="false">Sens!$J$1190/Sens!$J$1189</f>
        <v>13.6976488965566</v>
      </c>
      <c r="K1191" s="44" t="n">
        <f aca="false">Sens!$K$1190/Sens!$K$1189</f>
        <v>15.1978379516462</v>
      </c>
      <c r="L1191" s="44" t="n">
        <f aca="false">Sens!$L$1190/Sens!$L$1189</f>
        <v>16.7093748166863</v>
      </c>
      <c r="M1191" s="44" t="n">
        <f aca="false">Sens!$M$1190/Sens!$M$1189</f>
        <v>18.1617465531037</v>
      </c>
      <c r="N1191" s="14"/>
      <c r="O1191" s="14"/>
    </row>
    <row r="1192" customFormat="false" ht="17.15" hidden="false" customHeight="false" outlineLevel="0" collapsed="false">
      <c r="A1192" s="0" t="s">
        <v>758</v>
      </c>
      <c r="B1192" s="0" t="s">
        <v>27</v>
      </c>
      <c r="C1192" s="30" t="n">
        <f aca="false">Sens!$C$1188/Sens!$C$1189</f>
        <v>5.52635015390355</v>
      </c>
      <c r="D1192" s="30" t="n">
        <f aca="false">Sens!$D$1188/Sens!$D$1189</f>
        <v>7.1737323358271</v>
      </c>
      <c r="E1192" s="30" t="n">
        <f aca="false">Sens!$E$1188/Sens!$E$1189</f>
        <v>8.53212104513937</v>
      </c>
      <c r="G1192" s="30" t="n">
        <f aca="false">Sens!$G$1188/Sens!$G$1189</f>
        <v>12.7483753902575</v>
      </c>
      <c r="H1192" s="30" t="n">
        <f aca="false">Sens!$H$1188/Sens!$H$1189</f>
        <v>9.89585014435381</v>
      </c>
      <c r="I1192" s="30" t="n">
        <f aca="false">Sens!$I$1188/Sens!$I$1189</f>
        <v>11.7946917130216</v>
      </c>
      <c r="J1192" s="30" t="n">
        <f aca="false">Sens!$J$1188/Sens!$J$1189</f>
        <v>13.6976488965566</v>
      </c>
      <c r="K1192" s="30" t="n">
        <f aca="false">Sens!$K$1188/Sens!$K$1189</f>
        <v>15.1978379516462</v>
      </c>
      <c r="L1192" s="30" t="n">
        <f aca="false">Sens!$L$1188/Sens!$L$1189</f>
        <v>16.7093748166863</v>
      </c>
      <c r="M1192" s="30" t="n">
        <f aca="false">Sens!$M$1188/Sens!$M$1189</f>
        <v>18.1617465531037</v>
      </c>
    </row>
    <row r="1193" customFormat="false" ht="17.15" hidden="false" customHeight="false" outlineLevel="0" collapsed="false">
      <c r="A1193" s="0" t="s">
        <v>759</v>
      </c>
      <c r="B1193" s="0" t="s">
        <v>27</v>
      </c>
      <c r="C1193" s="30" t="n">
        <f aca="false">(Sens!$C$1188-Sens!$C$1185*(1-tax))/Sens!$C$1189</f>
        <v>5.33926775917445</v>
      </c>
      <c r="D1193" s="30" t="n">
        <f aca="false">(Sens!$D$1188-Sens!$D$1185*(1-tax))/Sens!$D$1189</f>
        <v>5.67691812755503</v>
      </c>
      <c r="E1193" s="30" t="n">
        <f aca="false">(Sens!$E$1188-Sens!$E$1185*(1-tax))/Sens!$E$1189</f>
        <v>3.10602057006846</v>
      </c>
      <c r="G1193" s="30" t="n">
        <f aca="false">(Sens!$G$1188-Sens!$G$1185*(1-tax))/Sens!$G$1189</f>
        <v>7.34030727236055</v>
      </c>
      <c r="H1193" s="30" t="n">
        <f aca="false">(Sens!$H$1188-Sens!$H$1185*(1-tax))/Sens!$H$1189</f>
        <v>9.89585014435381</v>
      </c>
      <c r="I1193" s="30" t="n">
        <f aca="false">(Sens!$I$1188-Sens!$I$1185*(1-tax))/Sens!$I$1189</f>
        <v>11.7946917130216</v>
      </c>
      <c r="J1193" s="30" t="n">
        <f aca="false">(Sens!$J$1188-Sens!$J$1185*(1-tax))/Sens!$J$1189</f>
        <v>13.6976488965566</v>
      </c>
      <c r="K1193" s="30" t="n">
        <f aca="false">(Sens!$K$1188-Sens!$K$1185*(1-tax))/Sens!$K$1189</f>
        <v>15.1978379516462</v>
      </c>
      <c r="L1193" s="30" t="n">
        <f aca="false">(Sens!$L$1188-Sens!$L$1185*(1-tax))/Sens!$L$1189</f>
        <v>16.7093748166863</v>
      </c>
      <c r="M1193" s="30" t="n">
        <f aca="false">(Sens!$M$1188-Sens!$M$1185*(1-tax))/Sens!$M$1189</f>
        <v>18.1617465531037</v>
      </c>
      <c r="P1193" s="5" t="s">
        <v>760</v>
      </c>
    </row>
    <row r="1194" customFormat="false" ht="17.15" hidden="false" customHeight="false" outlineLevel="0" collapsed="false">
      <c r="A1194" s="0" t="s">
        <v>761</v>
      </c>
      <c r="B1194" s="0" t="s">
        <v>52</v>
      </c>
      <c r="H1194" s="13" t="n">
        <f aca="false">Sens!$H$1191/Sens!$G$1191-1</f>
        <v>-0.223755981337328</v>
      </c>
      <c r="I1194" s="13" t="n">
        <f aca="false">Sens!$I$1191/Sens!$H$1191-1</f>
        <v>0.191882611495606</v>
      </c>
      <c r="J1194" s="13" t="n">
        <f aca="false">Sens!$J$1191/Sens!$I$1191-1</f>
        <v>0.161340137566636</v>
      </c>
      <c r="K1194" s="13" t="n">
        <f aca="false">Sens!$K$1191/Sens!$J$1191-1</f>
        <v>0.109521646117446</v>
      </c>
      <c r="L1194" s="13" t="n">
        <f aca="false">Sens!$L$1191/Sens!$K$1191-1</f>
        <v>0.0994573616226995</v>
      </c>
      <c r="M1194" s="13" t="n">
        <f aca="false">Sens!$M$1191/Sens!$L$1191-1</f>
        <v>0.086919573733365</v>
      </c>
    </row>
    <row r="1197" customFormat="false" ht="19.4" hidden="false" customHeight="false" outlineLevel="0" collapsed="false">
      <c r="A1197" s="31" t="s">
        <v>1158</v>
      </c>
    </row>
    <row r="1198" customFormat="false" ht="17.15" hidden="false" customHeight="false" outlineLevel="0" collapsed="false">
      <c r="A1198" s="6" t="s">
        <v>16</v>
      </c>
      <c r="B1198" s="6" t="s">
        <v>17</v>
      </c>
      <c r="C1198" s="20" t="s">
        <v>497</v>
      </c>
      <c r="D1198" s="20" t="s">
        <v>498</v>
      </c>
      <c r="E1198" s="20" t="s">
        <v>580</v>
      </c>
      <c r="F1198" s="20" t="s">
        <v>581</v>
      </c>
      <c r="G1198" s="20" t="s">
        <v>582</v>
      </c>
      <c r="H1198" s="20" t="s">
        <v>583</v>
      </c>
      <c r="I1198" s="20" t="s">
        <v>584</v>
      </c>
      <c r="J1198" s="20" t="s">
        <v>585</v>
      </c>
      <c r="K1198" s="20" t="s">
        <v>586</v>
      </c>
      <c r="L1198" s="20" t="s">
        <v>587</v>
      </c>
      <c r="M1198" s="20" t="s">
        <v>588</v>
      </c>
      <c r="N1198" s="20" t="s">
        <v>589</v>
      </c>
      <c r="O1198" s="20" t="s">
        <v>590</v>
      </c>
      <c r="P1198" s="6" t="s">
        <v>23</v>
      </c>
      <c r="R1198" s="20" t="n">
        <v>2023</v>
      </c>
      <c r="S1198" s="20" t="n">
        <v>2024</v>
      </c>
      <c r="T1198" s="20" t="n">
        <v>2025</v>
      </c>
      <c r="U1198" s="20" t="n">
        <v>2026</v>
      </c>
      <c r="V1198" s="20" t="n">
        <v>2027</v>
      </c>
      <c r="W1198" s="20" t="n">
        <v>2028</v>
      </c>
      <c r="X1198" s="20" t="n">
        <v>2029</v>
      </c>
      <c r="Y1198" s="20" t="n">
        <v>2030</v>
      </c>
      <c r="Z1198" s="20" t="n">
        <v>2031</v>
      </c>
      <c r="AA1198" s="20" t="n">
        <v>2032</v>
      </c>
    </row>
    <row r="1199" customFormat="false" ht="15" hidden="false" customHeight="false" outlineLevel="0" collapsed="false">
      <c r="A1199" s="5" t="s">
        <v>549</v>
      </c>
      <c r="B1199" s="0" t="s">
        <v>86</v>
      </c>
      <c r="C1199" s="38" t="n">
        <f aca="false">Sens!$C$1188</f>
        <v>59.248</v>
      </c>
      <c r="D1199" s="38" t="n">
        <f aca="false">Sens!$D$1188</f>
        <v>77.67</v>
      </c>
      <c r="E1199" s="38" t="n">
        <f aca="false">Sens!$E$1188</f>
        <v>92.902</v>
      </c>
      <c r="F1199" s="38" t="n">
        <f aca="false">Sens!$F$1188</f>
        <v>46.3715279537378</v>
      </c>
      <c r="G1199" s="38" t="n">
        <f aca="false">Sens!$G$1188</f>
        <v>139.273527953738</v>
      </c>
      <c r="H1199" s="38" t="n">
        <f aca="false">Sens!$H$1188</f>
        <v>108.975124976394</v>
      </c>
      <c r="I1199" s="38" t="n">
        <f aca="false">Sens!$I$1188</f>
        <v>130.924640997284</v>
      </c>
      <c r="J1199" s="38" t="n">
        <f aca="false">Sens!$J$1188</f>
        <v>153.264424911342</v>
      </c>
      <c r="K1199" s="38" t="n">
        <f aca="false">Sens!$K$1188</f>
        <v>171.410598595027</v>
      </c>
      <c r="L1199" s="38" t="n">
        <f aca="false">Sens!$L$1188</f>
        <v>189.96631364134</v>
      </c>
      <c r="M1199" s="38" t="n">
        <f aca="false">Sens!$M$1188</f>
        <v>208.129929483917</v>
      </c>
    </row>
    <row r="1200" customFormat="false" ht="17.15" hidden="false" customHeight="false" outlineLevel="0" collapsed="false">
      <c r="A1200" s="5" t="s">
        <v>784</v>
      </c>
      <c r="B1200" s="0" t="s">
        <v>86</v>
      </c>
      <c r="C1200" s="38" t="n">
        <f aca="false">Sens!$C$1176</f>
        <v>32.067</v>
      </c>
      <c r="D1200" s="38" t="n">
        <f aca="false">Sens!$D$1176</f>
        <v>41.86</v>
      </c>
      <c r="E1200" s="38" t="n">
        <f aca="false">Sens!$E$1176</f>
        <v>26.703</v>
      </c>
      <c r="F1200" s="38" t="n">
        <f aca="false">Sens!$F$1176</f>
        <v>27.5480994071048</v>
      </c>
      <c r="G1200" s="38" t="n">
        <f aca="false">Sens!$G$1176</f>
        <v>54.2510994071048</v>
      </c>
      <c r="H1200" s="38" t="n">
        <f aca="false">Sens!$H$1176</f>
        <v>74.8836431160036</v>
      </c>
      <c r="I1200" s="38" t="n">
        <f aca="false">Sens!$I$1176</f>
        <v>102.363874335386</v>
      </c>
      <c r="J1200" s="38" t="n">
        <f aca="false">Sens!$J$1176</f>
        <v>130.361093314438</v>
      </c>
      <c r="K1200" s="38" t="n">
        <f aca="false">Sens!$K$1176</f>
        <v>158.388520679421</v>
      </c>
      <c r="L1200" s="38" t="n">
        <f aca="false">Sens!$L$1176</f>
        <v>179.812905862034</v>
      </c>
      <c r="M1200" s="38" t="n">
        <f aca="false">Sens!$M$1176</f>
        <v>195.916200009833</v>
      </c>
    </row>
    <row r="1201" customFormat="false" ht="15" hidden="false" customHeight="false" outlineLevel="0" collapsed="false">
      <c r="A1201" s="5" t="s">
        <v>785</v>
      </c>
      <c r="B1201" s="0" t="s">
        <v>86</v>
      </c>
      <c r="C1201" s="38" t="n">
        <f aca="false">Q!$D$48</f>
        <v>22.011</v>
      </c>
      <c r="D1201" s="38" t="n">
        <f aca="false">Q!$E$48</f>
        <v>19.467</v>
      </c>
      <c r="E1201" s="38" t="n">
        <f aca="false">Q!$P$48</f>
        <v>10.07</v>
      </c>
      <c r="F1201" s="38" t="n">
        <f aca="false">sbc_r*Sens!$F$1118</f>
        <v>10.8507035798037</v>
      </c>
      <c r="G1201" s="38" t="n">
        <f aca="false">Sens!$E$1201+Sens!$F$1201</f>
        <v>20.9207035798037</v>
      </c>
      <c r="H1201" s="38" t="n">
        <f aca="false">sbc_r*Sens!$H$1118</f>
        <v>23.46224366345</v>
      </c>
      <c r="I1201" s="38" t="n">
        <f aca="false">sbc_r*Sens!$I$1118</f>
        <v>26.6125957111676</v>
      </c>
      <c r="J1201" s="38" t="n">
        <f aca="false">sbc_r*Sens!$J$1118</f>
        <v>29.6280801413323</v>
      </c>
      <c r="K1201" s="38" t="n">
        <f aca="false">sbc_r*Sens!$K$1118</f>
        <v>32.2712258901105</v>
      </c>
      <c r="L1201" s="38" t="n">
        <f aca="false">sbc_r*Sens!$L$1118</f>
        <v>34.7390505016737</v>
      </c>
      <c r="M1201" s="38" t="n">
        <f aca="false">sbc_r*Sens!$M$1118</f>
        <v>37.0405146906692</v>
      </c>
    </row>
    <row r="1202" customFormat="false" ht="17.15" hidden="false" customHeight="false" outlineLevel="0" collapsed="false">
      <c r="A1202" s="5" t="s">
        <v>786</v>
      </c>
      <c r="B1202" s="0" t="s">
        <v>86</v>
      </c>
      <c r="C1202" s="38" t="n">
        <f aca="false">Q!$D$44-Sens!$C$1199-Sens!$C$1200-Sens!$C$1201</f>
        <v>2.551</v>
      </c>
      <c r="D1202" s="38" t="n">
        <f aca="false">Q!$E$44-Sens!$D$1199-Sens!$D$1200-Sens!$D$1201</f>
        <v>0.51700000000001</v>
      </c>
      <c r="E1202" s="38" t="n">
        <f aca="false">Q!$P$44-Sens!$E$1199-Sens!$E$1200-Sens!$E$1201</f>
        <v>-58.256</v>
      </c>
      <c r="F1202" s="38" t="n">
        <f aca="false">oth_r*Sens!$F$1118</f>
        <v>5.22265251035878</v>
      </c>
      <c r="G1202" s="38" t="n">
        <f aca="false">Sens!$E$1202+Sens!$F$1202</f>
        <v>-53.0333474896412</v>
      </c>
      <c r="H1202" s="38" t="n">
        <f aca="false">oth_r*Sens!$H$1118</f>
        <v>11.2928295263397</v>
      </c>
      <c r="I1202" s="38" t="n">
        <f aca="false">oth_r*Sens!$I$1118</f>
        <v>12.8091546115766</v>
      </c>
      <c r="J1202" s="38" t="n">
        <f aca="false">oth_r*Sens!$J$1118</f>
        <v>14.2605653162668</v>
      </c>
      <c r="K1202" s="38" t="n">
        <f aca="false">oth_r*Sens!$K$1118</f>
        <v>15.5327622460396</v>
      </c>
      <c r="L1202" s="38" t="n">
        <f aca="false">oth_r*Sens!$L$1118</f>
        <v>16.720573737517</v>
      </c>
      <c r="M1202" s="38" t="n">
        <f aca="false">oth_r*Sens!$M$1118</f>
        <v>17.8283127551536</v>
      </c>
      <c r="P1202" s="8" t="s">
        <v>787</v>
      </c>
    </row>
    <row r="1203" customFormat="false" ht="15" hidden="false" customHeight="false" outlineLevel="0" collapsed="false">
      <c r="A1203" s="3" t="s">
        <v>555</v>
      </c>
      <c r="B1203" s="8" t="s">
        <v>86</v>
      </c>
      <c r="C1203" s="38" t="n">
        <f aca="false">Q!$D$44</f>
        <v>115.877</v>
      </c>
      <c r="D1203" s="38" t="n">
        <f aca="false">Q!$E$44</f>
        <v>139.514</v>
      </c>
      <c r="E1203" s="38" t="n">
        <f aca="false">Q!$P$44</f>
        <v>71.419</v>
      </c>
      <c r="F1203" s="38" t="n">
        <f aca="false">Sens!$F$1199+Sens!$F$1200+Sens!$F$1201+Sens!$F$1202</f>
        <v>89.992983451005</v>
      </c>
      <c r="G1203" s="38" t="n">
        <f aca="false">Sens!$E$1203+Sens!$F$1203</f>
        <v>161.411983451005</v>
      </c>
      <c r="H1203" s="38" t="n">
        <f aca="false">Sens!$H$1199+Sens!$H$1200+Sens!$H$1201+Sens!$H$1202</f>
        <v>218.613841282188</v>
      </c>
      <c r="I1203" s="38" t="n">
        <f aca="false">Sens!$I$1199+Sens!$I$1200+Sens!$I$1201+Sens!$I$1202</f>
        <v>272.710265655414</v>
      </c>
      <c r="J1203" s="38" t="n">
        <f aca="false">Sens!$J$1199+Sens!$J$1200+Sens!$J$1201+Sens!$J$1202</f>
        <v>327.514163683379</v>
      </c>
      <c r="K1203" s="38" t="n">
        <f aca="false">Sens!$K$1199+Sens!$K$1200+Sens!$K$1201+Sens!$K$1202</f>
        <v>377.603107410598</v>
      </c>
      <c r="L1203" s="38" t="n">
        <f aca="false">Sens!$L$1199+Sens!$L$1200+Sens!$L$1201+Sens!$L$1202</f>
        <v>421.238843742565</v>
      </c>
      <c r="M1203" s="38" t="n">
        <f aca="false">Sens!$M$1199+Sens!$M$1200+Sens!$M$1201+Sens!$M$1202</f>
        <v>458.914956939573</v>
      </c>
    </row>
    <row r="1204" customFormat="false" ht="17.15" hidden="false" customHeight="false" outlineLevel="0" collapsed="false">
      <c r="A1204" s="5" t="s">
        <v>788</v>
      </c>
      <c r="B1204" s="0" t="s">
        <v>86</v>
      </c>
      <c r="C1204" s="38" t="n">
        <f aca="false">Sens!$C$1085</f>
        <v>25.2781053077374</v>
      </c>
      <c r="D1204" s="38" t="n">
        <f aca="false">Sens!$D$1085</f>
        <v>69.5686316310026</v>
      </c>
      <c r="E1204" s="38" t="n">
        <f aca="false">Sens!$E$1085</f>
        <v>64.1899206485108</v>
      </c>
      <c r="F1204" s="38" t="n">
        <f aca="false">Sens!$F$1085</f>
        <v>88.7165504612134</v>
      </c>
      <c r="G1204" s="38" t="n">
        <f aca="false">Sens!$G$1085</f>
        <v>152.906471109724</v>
      </c>
      <c r="H1204" s="38" t="n">
        <f aca="false">Sens!$H$1085</f>
        <v>158.8570919558</v>
      </c>
      <c r="I1204" s="38" t="n">
        <f aca="false">Sens!$I$1085</f>
        <v>163.7171759284</v>
      </c>
      <c r="J1204" s="38" t="n">
        <f aca="false">Sens!$J$1085</f>
        <v>167.9065904884</v>
      </c>
      <c r="K1204" s="38" t="n">
        <f aca="false">Sens!$K$1085</f>
        <v>124.190708220161</v>
      </c>
      <c r="L1204" s="38" t="n">
        <f aca="false">Sens!$L$1085</f>
        <v>105.611313311921</v>
      </c>
      <c r="M1204" s="38" t="n">
        <f aca="false">Sens!$M$1085</f>
        <v>105.784785327882</v>
      </c>
    </row>
    <row r="1205" customFormat="false" ht="17.15" hidden="false" customHeight="false" outlineLevel="0" collapsed="false">
      <c r="A1205" s="5" t="s">
        <v>789</v>
      </c>
      <c r="B1205" s="0" t="s">
        <v>86</v>
      </c>
      <c r="C1205" s="38" t="n">
        <f aca="false">cx_awso*Sens!$C$1116</f>
        <v>21.0469989286053</v>
      </c>
      <c r="D1205" s="38" t="n">
        <f aca="false">cx_awso*Sens!$D$1116</f>
        <v>24.0042459822698</v>
      </c>
      <c r="E1205" s="38" t="n">
        <f aca="false">cx_awso*Sens!$E$1116</f>
        <v>14.261729404886</v>
      </c>
      <c r="F1205" s="38" t="n">
        <f aca="false">cx_awso*Sens!$F$1116</f>
        <v>14.3538599588493</v>
      </c>
      <c r="G1205" s="38" t="n">
        <f aca="false">Sens!$E$1205+Sens!$F$1205</f>
        <v>28.6155893637353</v>
      </c>
      <c r="H1205" s="38" t="n">
        <f aca="false">cx_awso*Sens!$H$1116</f>
        <v>32.2034154158406</v>
      </c>
      <c r="I1205" s="38" t="n">
        <f aca="false">cx_awso*Sens!$I$1116</f>
        <v>35.7539519042915</v>
      </c>
      <c r="J1205" s="38" t="n">
        <f aca="false">cx_awso*Sens!$J$1116</f>
        <v>39.1551076091815</v>
      </c>
      <c r="K1205" s="38" t="n">
        <f aca="false">cx_awso*Sens!$K$1116</f>
        <v>42.287516217916</v>
      </c>
      <c r="L1205" s="38" t="n">
        <f aca="false">cx_awso*Sens!$L$1116</f>
        <v>45.6705175153492</v>
      </c>
      <c r="M1205" s="38" t="n">
        <f aca="false">cx_awso*Sens!$M$1116</f>
        <v>49.3241589165772</v>
      </c>
    </row>
    <row r="1206" customFormat="false" ht="17.15" hidden="false" customHeight="false" outlineLevel="0" collapsed="false">
      <c r="A1206" s="5" t="s">
        <v>790</v>
      </c>
      <c r="B1206" s="0" t="s">
        <v>86</v>
      </c>
      <c r="C1206" s="38" t="n">
        <f aca="false">Q!$D$46-Sens!$C$1204-Sens!$C$1205</f>
        <v>31.3328957636573</v>
      </c>
      <c r="D1206" s="38" t="n">
        <f aca="false">Q!$E$46-Sens!$D$1204-Sens!$D$1205</f>
        <v>34.7471223867276</v>
      </c>
      <c r="E1206" s="38" t="n">
        <f aca="false">Q!$P$46-Sens!$E$1204-Sens!$E$1205</f>
        <v>17.8583499466032</v>
      </c>
      <c r="F1206" s="38" t="n">
        <f aca="false">cx_rt*Sens!$F$1048</f>
        <v>20.6195895799373</v>
      </c>
      <c r="G1206" s="38" t="n">
        <f aca="false">Sens!$E$1206+Sens!$F$1206</f>
        <v>38.4779395265405</v>
      </c>
      <c r="H1206" s="38" t="n">
        <f aca="false">cx_rt*Sens!$H$1048</f>
        <v>42.5978994743075</v>
      </c>
      <c r="I1206" s="38" t="n">
        <f aca="false">cx_rt*Sens!$I$1048</f>
        <v>46.5813904136335</v>
      </c>
      <c r="J1206" s="38" t="n">
        <f aca="false">cx_rt*Sens!$J$1048</f>
        <v>50.2781676586844</v>
      </c>
      <c r="K1206" s="38" t="n">
        <f aca="false">cx_rt*Sens!$K$1048</f>
        <v>53.5312440191755</v>
      </c>
      <c r="L1206" s="38" t="n">
        <f aca="false">cx_rt*Sens!$L$1048</f>
        <v>57.0116717051447</v>
      </c>
      <c r="M1206" s="38" t="n">
        <f aca="false">cx_rt*Sens!$M$1048</f>
        <v>60.7365554669226</v>
      </c>
    </row>
    <row r="1207" customFormat="false" ht="15" hidden="false" customHeight="false" outlineLevel="0" collapsed="false">
      <c r="A1207" s="3" t="s">
        <v>791</v>
      </c>
      <c r="B1207" s="8" t="s">
        <v>86</v>
      </c>
      <c r="C1207" s="38" t="n">
        <f aca="false">Q!$D$46</f>
        <v>77.658</v>
      </c>
      <c r="D1207" s="38" t="n">
        <f aca="false">Q!$E$46</f>
        <v>128.32</v>
      </c>
      <c r="E1207" s="38" t="n">
        <f aca="false">Q!$P$46</f>
        <v>96.31</v>
      </c>
      <c r="F1207" s="38" t="n">
        <f aca="false">Sens!$F$1204+Sens!$F$1205+Sens!$F$1206</f>
        <v>123.69</v>
      </c>
      <c r="G1207" s="38" t="n">
        <f aca="false">Sens!$E$1207+Sens!$F$1207</f>
        <v>220</v>
      </c>
      <c r="H1207" s="38" t="n">
        <f aca="false">Sens!$H$1204+Sens!$H$1205+Sens!$H$1206</f>
        <v>233.658406845948</v>
      </c>
      <c r="I1207" s="38" t="n">
        <f aca="false">Sens!$I$1204+Sens!$I$1205+Sens!$I$1206</f>
        <v>246.052518246325</v>
      </c>
      <c r="J1207" s="38" t="n">
        <f aca="false">Sens!$J$1204+Sens!$J$1205+Sens!$J$1206</f>
        <v>257.339865756266</v>
      </c>
      <c r="K1207" s="38" t="n">
        <f aca="false">Sens!$K$1204+Sens!$K$1205+Sens!$K$1206</f>
        <v>220.009468457252</v>
      </c>
      <c r="L1207" s="38" t="n">
        <f aca="false">Sens!$L$1204+Sens!$L$1205+Sens!$L$1206</f>
        <v>208.293502532415</v>
      </c>
      <c r="M1207" s="38" t="n">
        <f aca="false">Sens!$M$1204+Sens!$M$1205+Sens!$M$1206</f>
        <v>215.845499711382</v>
      </c>
    </row>
    <row r="1208" customFormat="false" ht="17.15" hidden="false" customHeight="false" outlineLevel="0" collapsed="false">
      <c r="A1208" s="5" t="s">
        <v>563</v>
      </c>
      <c r="B1208" s="0" t="s">
        <v>86</v>
      </c>
      <c r="C1208" s="38" t="n">
        <f aca="false">Q!$D$50</f>
        <v>2.043</v>
      </c>
      <c r="D1208" s="38" t="n">
        <f aca="false">Q!$E$50</f>
        <v>1.557</v>
      </c>
      <c r="E1208" s="38" t="n">
        <f aca="false">lease_pr/2</f>
        <v>0.8</v>
      </c>
      <c r="F1208" s="38" t="n">
        <f aca="false">lease_pr/2</f>
        <v>0.8</v>
      </c>
      <c r="G1208" s="38" t="n">
        <f aca="false">Sens!$E$1208+Sens!$F$1208</f>
        <v>1.6</v>
      </c>
      <c r="H1208" s="38" t="n">
        <f aca="false">lease_pr</f>
        <v>1.6</v>
      </c>
      <c r="I1208" s="38" t="n">
        <f aca="false">lease_pr</f>
        <v>1.6</v>
      </c>
      <c r="J1208" s="38" t="n">
        <f aca="false">lease_pr</f>
        <v>1.6</v>
      </c>
      <c r="K1208" s="38" t="n">
        <f aca="false">lease_pr</f>
        <v>1.6</v>
      </c>
      <c r="L1208" s="38" t="n">
        <f aca="false">lease_pr</f>
        <v>1.6</v>
      </c>
      <c r="M1208" s="38" t="n">
        <f aca="false">lease_pr</f>
        <v>1.6</v>
      </c>
      <c r="P1208" s="8" t="s">
        <v>792</v>
      </c>
    </row>
    <row r="1209" customFormat="false" ht="15" hidden="false" customHeight="false" outlineLevel="0" collapsed="false">
      <c r="A1209" s="47" t="s">
        <v>793</v>
      </c>
      <c r="B1209" s="14" t="s">
        <v>86</v>
      </c>
      <c r="C1209" s="48" t="n">
        <f aca="false">Sens!$C$1203-Sens!$C$1207-Sens!$C$1208</f>
        <v>36.176</v>
      </c>
      <c r="D1209" s="48" t="n">
        <f aca="false">Sens!$D$1203-Sens!$D$1207-Sens!$D$1208</f>
        <v>9.63700000000002</v>
      </c>
      <c r="E1209" s="48" t="n">
        <f aca="false">Sens!$E$1203-Sens!$E$1207-Sens!$E$1208</f>
        <v>-25.691</v>
      </c>
      <c r="F1209" s="48" t="n">
        <f aca="false">Sens!$F$1203-Sens!$F$1207-Sens!$F$1208</f>
        <v>-34.497016548995</v>
      </c>
      <c r="G1209" s="48" t="n">
        <f aca="false">Sens!$G$1203-Sens!$G$1207-Sens!$G$1208</f>
        <v>-60.188016548995</v>
      </c>
      <c r="H1209" s="48" t="n">
        <f aca="false">Sens!$H$1203-Sens!$H$1207-Sens!$H$1208</f>
        <v>-16.6445655637604</v>
      </c>
      <c r="I1209" s="48" t="n">
        <f aca="false">Sens!$I$1203-Sens!$I$1207-Sens!$I$1208</f>
        <v>25.0577474090892</v>
      </c>
      <c r="J1209" s="48" t="n">
        <f aca="false">Sens!$J$1203-Sens!$J$1207-Sens!$J$1208</f>
        <v>68.5742979271135</v>
      </c>
      <c r="K1209" s="48" t="n">
        <f aca="false">Sens!$K$1203-Sens!$K$1207-Sens!$K$1208</f>
        <v>155.993638953346</v>
      </c>
      <c r="L1209" s="48" t="n">
        <f aca="false">Sens!$L$1203-Sens!$L$1207-Sens!$L$1208</f>
        <v>211.345341210149</v>
      </c>
      <c r="M1209" s="48" t="n">
        <f aca="false">Sens!$M$1203-Sens!$M$1207-Sens!$M$1208</f>
        <v>241.469457228191</v>
      </c>
      <c r="N1209" s="14"/>
      <c r="O1209" s="14"/>
    </row>
    <row r="1210" customFormat="false" ht="17.15" hidden="false" customHeight="false" outlineLevel="0" collapsed="false">
      <c r="A1210" s="5" t="s">
        <v>794</v>
      </c>
      <c r="B1210" s="0" t="s">
        <v>86</v>
      </c>
      <c r="C1210" s="38" t="n">
        <f aca="false">dps*Sens!$C$1189</f>
        <v>0</v>
      </c>
      <c r="D1210" s="38" t="n">
        <f aca="false">dps*Sens!$D$1189</f>
        <v>0</v>
      </c>
      <c r="E1210" s="38" t="n">
        <f aca="false">dps*Sens!$E$1189</f>
        <v>0</v>
      </c>
      <c r="F1210" s="38" t="n">
        <f aca="false">0</f>
        <v>0</v>
      </c>
      <c r="G1210" s="38" t="n">
        <f aca="false">dps*Sens!$G$1189</f>
        <v>0</v>
      </c>
      <c r="H1210" s="38" t="n">
        <f aca="false">dps*Sens!$H$1189</f>
        <v>0</v>
      </c>
      <c r="I1210" s="38" t="n">
        <f aca="false">dps*Sens!$I$1189</f>
        <v>0</v>
      </c>
      <c r="J1210" s="38" t="n">
        <f aca="false">dps*Sens!$J$1189</f>
        <v>0</v>
      </c>
      <c r="K1210" s="38" t="n">
        <f aca="false">dps*Sens!$K$1189</f>
        <v>0</v>
      </c>
      <c r="L1210" s="38" t="n">
        <f aca="false">dps*Sens!$L$1189</f>
        <v>0</v>
      </c>
      <c r="M1210" s="38" t="n">
        <f aca="false">dps*Sens!$M$1189</f>
        <v>0</v>
      </c>
      <c r="P1210" s="8" t="s">
        <v>795</v>
      </c>
    </row>
    <row r="1211" customFormat="false" ht="17.15" hidden="false" customHeight="false" outlineLevel="0" collapsed="false">
      <c r="A1211" s="5" t="s">
        <v>796</v>
      </c>
      <c r="B1211" s="0" t="s">
        <v>86</v>
      </c>
      <c r="C1211" s="38" t="n">
        <f aca="false">0</f>
        <v>0</v>
      </c>
      <c r="D1211" s="38" t="n">
        <f aca="false">0</f>
        <v>0</v>
      </c>
      <c r="E1211" s="38" t="n">
        <f aca="false">0</f>
        <v>0</v>
      </c>
      <c r="F1211" s="38" t="n">
        <f aca="false">0</f>
        <v>0</v>
      </c>
      <c r="G1211" s="38" t="n">
        <f aca="false">0</f>
        <v>0</v>
      </c>
      <c r="H1211" s="38" t="n">
        <f aca="false">0</f>
        <v>0</v>
      </c>
      <c r="I1211" s="38" t="n">
        <f aca="false">0</f>
        <v>0</v>
      </c>
      <c r="J1211" s="38" t="n">
        <f aca="false">0</f>
        <v>0</v>
      </c>
      <c r="K1211" s="38" t="n">
        <f aca="false">0</f>
        <v>0</v>
      </c>
      <c r="L1211" s="38" t="n">
        <f aca="false">0</f>
        <v>0</v>
      </c>
      <c r="M1211" s="38" t="n">
        <f aca="false">0</f>
        <v>0</v>
      </c>
      <c r="P1211" s="8" t="s">
        <v>797</v>
      </c>
    </row>
    <row r="1212" customFormat="false" ht="15" hidden="false" customHeight="false" outlineLevel="0" collapsed="false">
      <c r="A1212" s="3" t="s">
        <v>798</v>
      </c>
      <c r="B1212" s="8" t="s">
        <v>86</v>
      </c>
      <c r="C1212" s="38" t="n">
        <f aca="false">Sens!$C$1209-Sens!$C$1210</f>
        <v>36.176</v>
      </c>
      <c r="D1212" s="38" t="n">
        <f aca="false">Sens!$D$1209-Sens!$D$1210</f>
        <v>9.63700000000002</v>
      </c>
      <c r="E1212" s="38" t="n">
        <f aca="false">Sens!$E$1209-Sens!$E$1210</f>
        <v>-25.691</v>
      </c>
      <c r="F1212" s="38" t="n">
        <f aca="false">Sens!$F$1209-Sens!$F$1210</f>
        <v>-34.497016548995</v>
      </c>
      <c r="G1212" s="38" t="n">
        <f aca="false">Sens!$G$1209-Sens!$G$1210</f>
        <v>-60.188016548995</v>
      </c>
      <c r="H1212" s="38" t="n">
        <f aca="false">Sens!$H$1209-Sens!$H$1210</f>
        <v>-16.6445655637604</v>
      </c>
      <c r="I1212" s="38" t="n">
        <f aca="false">Sens!$I$1209-Sens!$I$1210</f>
        <v>25.0577474090892</v>
      </c>
      <c r="J1212" s="38" t="n">
        <f aca="false">Sens!$J$1209-Sens!$J$1210</f>
        <v>68.5742979271135</v>
      </c>
      <c r="K1212" s="38" t="n">
        <f aca="false">Sens!$K$1209-Sens!$K$1210</f>
        <v>155.993638953346</v>
      </c>
      <c r="L1212" s="38" t="n">
        <f aca="false">Sens!$L$1209-Sens!$L$1210</f>
        <v>211.345341210149</v>
      </c>
      <c r="M1212" s="38" t="n">
        <f aca="false">Sens!$M$1209-Sens!$M$1210</f>
        <v>241.469457228191</v>
      </c>
    </row>
    <row r="1213" customFormat="false" ht="17.15" hidden="false" customHeight="false" outlineLevel="0" collapsed="false">
      <c r="A1213" s="5" t="s">
        <v>799</v>
      </c>
      <c r="B1213" s="0" t="s">
        <v>86</v>
      </c>
      <c r="E1213" s="38" t="n">
        <f aca="false">Q!$P$53</f>
        <v>39.767</v>
      </c>
      <c r="F1213" s="38" t="n">
        <f aca="false">inv_2h26</f>
        <v>21.3</v>
      </c>
      <c r="G1213" s="38" t="n">
        <f aca="false">Sens!$E$1213+Sens!$F$1213</f>
        <v>61.067</v>
      </c>
      <c r="H1213" s="39" t="n">
        <v>0</v>
      </c>
      <c r="I1213" s="39" t="n">
        <v>0</v>
      </c>
      <c r="J1213" s="39" t="n">
        <v>0</v>
      </c>
      <c r="K1213" s="39" t="n">
        <v>0</v>
      </c>
      <c r="L1213" s="39" t="n">
        <v>0</v>
      </c>
      <c r="M1213" s="39" t="n">
        <v>0</v>
      </c>
    </row>
    <row r="1214" customFormat="false" ht="17.15" hidden="false" customHeight="false" outlineLevel="0" collapsed="false">
      <c r="A1214" s="5" t="s">
        <v>800</v>
      </c>
      <c r="B1214" s="0" t="s">
        <v>86</v>
      </c>
      <c r="F1214" s="38" t="n">
        <f aca="false">iss_2h26</f>
        <v>29.249999</v>
      </c>
      <c r="G1214" s="38" t="n">
        <f aca="false">Sens!$F$1214</f>
        <v>29.249999</v>
      </c>
      <c r="H1214" s="39" t="n">
        <v>0</v>
      </c>
      <c r="I1214" s="39" t="n">
        <v>0</v>
      </c>
      <c r="J1214" s="39" t="n">
        <v>0</v>
      </c>
      <c r="K1214" s="39" t="n">
        <v>0</v>
      </c>
      <c r="L1214" s="39" t="n">
        <v>0</v>
      </c>
      <c r="M1214" s="39" t="n">
        <v>0</v>
      </c>
    </row>
    <row r="1215" customFormat="false" ht="17.15" hidden="false" customHeight="false" outlineLevel="0" collapsed="false">
      <c r="A1215" s="5" t="s">
        <v>801</v>
      </c>
      <c r="B1215" s="0" t="s">
        <v>86</v>
      </c>
      <c r="F1215" s="38" t="n">
        <f aca="false">cash_q2</f>
        <v>122.988</v>
      </c>
      <c r="G1215" s="38" t="n">
        <f aca="false">cash_q2</f>
        <v>122.988</v>
      </c>
      <c r="H1215" s="38" t="n">
        <f aca="false">Sens!$G$1218</f>
        <v>96.440982451005</v>
      </c>
      <c r="I1215" s="38" t="n">
        <f aca="false">Sens!$H$1218</f>
        <v>79.7964168872446</v>
      </c>
      <c r="J1215" s="38" t="n">
        <f aca="false">Sens!$I$1218</f>
        <v>104.854164296334</v>
      </c>
      <c r="K1215" s="38" t="n">
        <f aca="false">Sens!$J$1218</f>
        <v>173.428462223447</v>
      </c>
      <c r="L1215" s="38" t="n">
        <f aca="false">Sens!$K$1218</f>
        <v>329.422101176793</v>
      </c>
      <c r="M1215" s="38" t="n">
        <f aca="false">Sens!$L$1218</f>
        <v>540.767442386942</v>
      </c>
    </row>
    <row r="1216" customFormat="false" ht="15" hidden="false" customHeight="false" outlineLevel="0" collapsed="false">
      <c r="A1216" s="5" t="s">
        <v>802</v>
      </c>
      <c r="B1216" s="0" t="s">
        <v>86</v>
      </c>
      <c r="F1216" s="38" t="n">
        <f aca="false">Sens!$F$1215+Sens!$F$1212-Sens!$F$1211-Sens!$F$1213+Sens!$F$1214</f>
        <v>96.440982451005</v>
      </c>
      <c r="H1216" s="38" t="n">
        <f aca="false">Sens!$H$1215+Sens!$H$1212-Sens!$H$1211-Sens!$H$1213+Sens!$H$1214</f>
        <v>79.7964168872446</v>
      </c>
      <c r="I1216" s="38" t="n">
        <f aca="false">Sens!$I$1215+Sens!$I$1212-Sens!$I$1211-Sens!$I$1213+Sens!$I$1214</f>
        <v>104.854164296334</v>
      </c>
      <c r="J1216" s="38" t="n">
        <f aca="false">Sens!$J$1215+Sens!$J$1212-Sens!$J$1211-Sens!$J$1213+Sens!$J$1214</f>
        <v>173.428462223447</v>
      </c>
      <c r="K1216" s="38" t="n">
        <f aca="false">Sens!$K$1215+Sens!$K$1212-Sens!$K$1211-Sens!$K$1213+Sens!$K$1214</f>
        <v>329.422101176793</v>
      </c>
      <c r="L1216" s="38" t="n">
        <f aca="false">Sens!$L$1215+Sens!$L$1212-Sens!$L$1211-Sens!$L$1213+Sens!$L$1214</f>
        <v>540.767442386942</v>
      </c>
      <c r="M1216" s="38" t="n">
        <f aca="false">Sens!$M$1215+Sens!$M$1212-Sens!$M$1211-Sens!$M$1213+Sens!$M$1214</f>
        <v>782.236899615134</v>
      </c>
    </row>
    <row r="1217" customFormat="false" ht="17.15" hidden="false" customHeight="false" outlineLevel="0" collapsed="false">
      <c r="A1217" s="5" t="s">
        <v>803</v>
      </c>
      <c r="B1217" s="0" t="s">
        <v>86</v>
      </c>
      <c r="F1217" s="38" t="n">
        <f aca="false">MAX(0,min_cash-Sens!$F$1216)</f>
        <v>0</v>
      </c>
      <c r="G1217" s="38" t="n">
        <f aca="false">Sens!$F$1217</f>
        <v>0</v>
      </c>
      <c r="H1217" s="38" t="n">
        <f aca="false">MAX(0,min_cash-Sens!$H$1216)</f>
        <v>0</v>
      </c>
      <c r="I1217" s="38" t="n">
        <f aca="false">MAX(0,min_cash-Sens!$I$1216)</f>
        <v>0</v>
      </c>
      <c r="J1217" s="38" t="n">
        <f aca="false">MAX(0,min_cash-Sens!$J$1216)</f>
        <v>0</v>
      </c>
      <c r="K1217" s="38" t="n">
        <f aca="false">MAX(0,min_cash-Sens!$K$1216)</f>
        <v>0</v>
      </c>
      <c r="L1217" s="38" t="n">
        <f aca="false">MAX(0,min_cash-Sens!$L$1216)</f>
        <v>0</v>
      </c>
      <c r="M1217" s="38" t="n">
        <f aca="false">MAX(0,min_cash-Sens!$M$1216)</f>
        <v>0</v>
      </c>
      <c r="P1217" s="5" t="s">
        <v>804</v>
      </c>
    </row>
    <row r="1218" customFormat="false" ht="15" hidden="false" customHeight="false" outlineLevel="0" collapsed="false">
      <c r="A1218" s="5" t="s">
        <v>805</v>
      </c>
      <c r="B1218" s="0" t="s">
        <v>86</v>
      </c>
      <c r="D1218" s="38" t="n">
        <f aca="false">Q!$E$61</f>
        <v>123.029</v>
      </c>
      <c r="E1218" s="38" t="n">
        <f aca="false">Q!$M$61</f>
        <v>122.988</v>
      </c>
      <c r="F1218" s="38" t="n">
        <f aca="false">Sens!$F$1216+Sens!$F$1217</f>
        <v>96.440982451005</v>
      </c>
      <c r="G1218" s="38" t="n">
        <f aca="false">Sens!$F$1218</f>
        <v>96.440982451005</v>
      </c>
      <c r="H1218" s="38" t="n">
        <f aca="false">Sens!$H$1216+Sens!$H$1217</f>
        <v>79.7964168872446</v>
      </c>
      <c r="I1218" s="38" t="n">
        <f aca="false">Sens!$I$1216+Sens!$I$1217</f>
        <v>104.854164296334</v>
      </c>
      <c r="J1218" s="38" t="n">
        <f aca="false">Sens!$J$1216+Sens!$J$1217</f>
        <v>173.428462223447</v>
      </c>
      <c r="K1218" s="38" t="n">
        <f aca="false">Sens!$K$1216+Sens!$K$1217</f>
        <v>329.422101176793</v>
      </c>
      <c r="L1218" s="38" t="n">
        <f aca="false">Sens!$L$1216+Sens!$L$1217</f>
        <v>540.767442386942</v>
      </c>
      <c r="M1218" s="38" t="n">
        <f aca="false">Sens!$M$1216+Sens!$M$1217</f>
        <v>782.236899615134</v>
      </c>
    </row>
    <row r="1219" customFormat="false" ht="15" hidden="false" customHeight="false" outlineLevel="0" collapsed="false">
      <c r="A1219" s="5" t="s">
        <v>806</v>
      </c>
      <c r="B1219" s="0" t="s">
        <v>86</v>
      </c>
      <c r="D1219" s="38" t="n">
        <f aca="false">Q!$E$62</f>
        <v>68.836</v>
      </c>
      <c r="E1219" s="38" t="n">
        <f aca="false">Q!$M$62</f>
        <v>132.995</v>
      </c>
      <c r="F1219" s="38" t="n">
        <f aca="false">debt_q2+Sens!$F$1214+Sens!$F$1217</f>
        <v>162.244999</v>
      </c>
      <c r="G1219" s="38" t="n">
        <f aca="false">Sens!$F$1219</f>
        <v>162.244999</v>
      </c>
      <c r="H1219" s="38" t="n">
        <f aca="false">Sens!$G$1219+Sens!$H$1217</f>
        <v>162.244999</v>
      </c>
      <c r="I1219" s="38" t="n">
        <f aca="false">Sens!$H$1219+Sens!$I$1217</f>
        <v>162.244999</v>
      </c>
      <c r="J1219" s="38" t="n">
        <f aca="false">Sens!$I$1219+Sens!$J$1217</f>
        <v>162.244999</v>
      </c>
      <c r="K1219" s="38" t="n">
        <f aca="false">Sens!$J$1219+Sens!$K$1217</f>
        <v>162.244999</v>
      </c>
      <c r="L1219" s="38" t="n">
        <f aca="false">Sens!$K$1219+Sens!$L$1217</f>
        <v>162.244999</v>
      </c>
      <c r="M1219" s="38" t="n">
        <f aca="false">Sens!$L$1219+Sens!$M$1217</f>
        <v>162.244999</v>
      </c>
    </row>
    <row r="1220" customFormat="false" ht="15" hidden="false" customHeight="false" outlineLevel="0" collapsed="false">
      <c r="A1220" s="5" t="s">
        <v>807</v>
      </c>
      <c r="B1220" s="0" t="s">
        <v>86</v>
      </c>
      <c r="D1220" s="38" t="n">
        <f aca="false">Sens!$D$1219-Sens!$D$1218</f>
        <v>-54.193</v>
      </c>
      <c r="E1220" s="38" t="n">
        <f aca="false">Sens!$E$1219-Sens!$E$1218</f>
        <v>10.007</v>
      </c>
      <c r="F1220" s="38" t="n">
        <f aca="false">Sens!$F$1219-Sens!$F$1218</f>
        <v>65.804016548995</v>
      </c>
      <c r="G1220" s="38" t="n">
        <f aca="false">Sens!$G$1219-Sens!$G$1218</f>
        <v>65.804016548995</v>
      </c>
      <c r="H1220" s="38" t="n">
        <f aca="false">Sens!$H$1219-Sens!$H$1218</f>
        <v>82.4485821127555</v>
      </c>
      <c r="I1220" s="38" t="n">
        <f aca="false">Sens!$I$1219-Sens!$I$1218</f>
        <v>57.3908347036662</v>
      </c>
      <c r="J1220" s="38" t="n">
        <f aca="false">Sens!$J$1219-Sens!$J$1218</f>
        <v>-11.1834632234472</v>
      </c>
      <c r="K1220" s="38" t="n">
        <f aca="false">Sens!$K$1219-Sens!$K$1218</f>
        <v>-167.177102176793</v>
      </c>
      <c r="L1220" s="38" t="n">
        <f aca="false">Sens!$L$1219-Sens!$L$1218</f>
        <v>-378.522443386942</v>
      </c>
      <c r="M1220" s="38" t="n">
        <f aca="false">Sens!$M$1219-Sens!$M$1218</f>
        <v>-619.991900615134</v>
      </c>
    </row>
    <row r="1221" customFormat="false" ht="17.15" hidden="false" customHeight="false" outlineLevel="0" collapsed="false">
      <c r="A1221" s="5" t="s">
        <v>808</v>
      </c>
      <c r="B1221" s="0" t="s">
        <v>86</v>
      </c>
      <c r="F1221" s="38" t="n">
        <f aca="false">debt_q2*kd_book*0.5+iss_2h26*kd_new*iss_t</f>
        <v>3.24888962733561</v>
      </c>
      <c r="H1221" s="38" t="n">
        <f aca="false">debt_q2*kd_book+(Sens!$G$1219-debt_q2)*kd_new</f>
        <v>7.42354172302123</v>
      </c>
      <c r="I1221" s="38" t="n">
        <f aca="false">debt_q2*kd_book+(Sens!$H$1219-debt_q2)*kd_new</f>
        <v>7.42354172302123</v>
      </c>
      <c r="J1221" s="38" t="n">
        <f aca="false">debt_q2*kd_book+(Sens!$I$1219-debt_q2)*kd_new</f>
        <v>7.42354172302123</v>
      </c>
      <c r="K1221" s="38" t="n">
        <f aca="false">debt_q2*kd_book+(Sens!$J$1219-debt_q2)*kd_new</f>
        <v>7.42354172302123</v>
      </c>
      <c r="L1221" s="38" t="n">
        <f aca="false">debt_q2*kd_book+(Sens!$K$1219-debt_q2)*kd_new</f>
        <v>7.42354172302123</v>
      </c>
      <c r="M1221" s="38" t="n">
        <f aca="false">debt_q2*kd_book+(Sens!$L$1219-debt_q2)*kd_new</f>
        <v>7.42354172302123</v>
      </c>
    </row>
    <row r="1222" customFormat="false" ht="17.15" hidden="false" customHeight="false" outlineLevel="0" collapsed="false">
      <c r="A1222" s="5" t="s">
        <v>809</v>
      </c>
      <c r="B1222" s="0" t="s">
        <v>86</v>
      </c>
      <c r="F1222" s="38" t="n">
        <f aca="false">cash_q2*y_cash*0.5</f>
        <v>2.59</v>
      </c>
      <c r="H1222" s="38" t="n">
        <f aca="false">Sens!$G$1218*y_cash</f>
        <v>4.06189456773186</v>
      </c>
      <c r="I1222" s="38" t="n">
        <f aca="false">Sens!$H$1218*y_cash</f>
        <v>3.36085991703196</v>
      </c>
      <c r="J1222" s="38" t="n">
        <f aca="false">Sens!$I$1218*y_cash</f>
        <v>4.4162403734918</v>
      </c>
      <c r="K1222" s="38" t="n">
        <f aca="false">Sens!$J$1218*y_cash</f>
        <v>7.30444786741354</v>
      </c>
      <c r="L1222" s="38" t="n">
        <f aca="false">Sens!$K$1218*y_cash</f>
        <v>13.8745770652079</v>
      </c>
      <c r="M1222" s="38" t="n">
        <f aca="false">Sens!$L$1218*y_cash</f>
        <v>22.7760053953586</v>
      </c>
    </row>
    <row r="1223" customFormat="false" ht="17.15" hidden="false" customHeight="false" outlineLevel="0" collapsed="false">
      <c r="A1223" s="47" t="s">
        <v>810</v>
      </c>
      <c r="B1223" s="14" t="s">
        <v>86</v>
      </c>
      <c r="C1223" s="14"/>
      <c r="D1223" s="14"/>
      <c r="E1223" s="14"/>
      <c r="F1223" s="14"/>
      <c r="G1223" s="48" t="n">
        <f aca="false">SUM(Sens!$G$1212:$K$1212)</f>
        <v>172.793102176793</v>
      </c>
      <c r="H1223" s="14"/>
      <c r="I1223" s="14"/>
      <c r="J1223" s="14"/>
      <c r="K1223" s="14"/>
      <c r="L1223" s="14"/>
      <c r="M1223" s="14"/>
      <c r="N1223" s="14"/>
      <c r="O1223" s="14"/>
    </row>
    <row r="1224" customFormat="false" ht="17.15" hidden="false" customHeight="false" outlineLevel="0" collapsed="false">
      <c r="A1224" s="0" t="s">
        <v>776</v>
      </c>
      <c r="B1224" s="0" t="s">
        <v>86</v>
      </c>
      <c r="G1224" s="38" t="n">
        <f aca="false">SUM(Sens!$G$1217:$K$1217)</f>
        <v>0</v>
      </c>
    </row>
    <row r="1225" customFormat="false" ht="17.15" hidden="false" customHeight="false" outlineLevel="0" collapsed="false">
      <c r="A1225" s="24" t="s">
        <v>813</v>
      </c>
      <c r="B1225" s="25" t="s">
        <v>86</v>
      </c>
      <c r="C1225" s="25"/>
      <c r="D1225" s="25"/>
      <c r="E1225" s="25"/>
      <c r="F1225" s="25"/>
      <c r="G1225" s="41" t="n">
        <f aca="false">Sens!$G$1223-(Sens!$G$1212+Sens!$H$1212+Sens!$I$1212+Sens!$J$1212+Sens!$K$1212)</f>
        <v>0</v>
      </c>
      <c r="H1225" s="25"/>
      <c r="I1225" s="25"/>
      <c r="J1225" s="25"/>
      <c r="K1225" s="25"/>
      <c r="L1225" s="25"/>
      <c r="M1225" s="25"/>
      <c r="N1225" s="25"/>
      <c r="O1225" s="25"/>
    </row>
    <row r="1228" customFormat="false" ht="19.4" hidden="false" customHeight="false" outlineLevel="0" collapsed="false">
      <c r="A1228" s="31" t="s">
        <v>1159</v>
      </c>
    </row>
    <row r="1229" customFormat="false" ht="17.15" hidden="false" customHeight="false" outlineLevel="0" collapsed="false">
      <c r="A1229" s="6" t="s">
        <v>16</v>
      </c>
      <c r="B1229" s="6" t="s">
        <v>17</v>
      </c>
      <c r="C1229" s="20" t="s">
        <v>497</v>
      </c>
      <c r="D1229" s="20" t="s">
        <v>498</v>
      </c>
      <c r="E1229" s="20" t="s">
        <v>580</v>
      </c>
      <c r="F1229" s="20" t="s">
        <v>581</v>
      </c>
      <c r="G1229" s="20" t="s">
        <v>582</v>
      </c>
      <c r="H1229" s="20" t="s">
        <v>583</v>
      </c>
      <c r="I1229" s="20" t="s">
        <v>584</v>
      </c>
      <c r="J1229" s="20" t="s">
        <v>585</v>
      </c>
      <c r="K1229" s="20" t="s">
        <v>586</v>
      </c>
      <c r="L1229" s="20" t="s">
        <v>587</v>
      </c>
      <c r="M1229" s="20" t="s">
        <v>588</v>
      </c>
      <c r="N1229" s="20" t="s">
        <v>589</v>
      </c>
      <c r="O1229" s="20" t="s">
        <v>590</v>
      </c>
      <c r="P1229" s="6" t="s">
        <v>23</v>
      </c>
      <c r="R1229" s="20" t="n">
        <v>2023</v>
      </c>
      <c r="S1229" s="20" t="n">
        <v>2024</v>
      </c>
      <c r="T1229" s="20" t="n">
        <v>2025</v>
      </c>
      <c r="U1229" s="20" t="n">
        <v>2026</v>
      </c>
      <c r="V1229" s="20" t="n">
        <v>2027</v>
      </c>
      <c r="W1229" s="20" t="n">
        <v>2028</v>
      </c>
      <c r="X1229" s="20" t="n">
        <v>2029</v>
      </c>
      <c r="Y1229" s="20" t="n">
        <v>2030</v>
      </c>
      <c r="Z1229" s="20" t="n">
        <v>2031</v>
      </c>
      <c r="AA1229" s="20" t="n">
        <v>2032</v>
      </c>
    </row>
    <row r="1230" customFormat="false" ht="17.15" hidden="false" customHeight="false" outlineLevel="0" collapsed="false">
      <c r="A1230" s="1" t="s">
        <v>915</v>
      </c>
    </row>
    <row r="1231" customFormat="false" ht="17.15" hidden="false" customHeight="false" outlineLevel="0" collapsed="false">
      <c r="A1231" s="0" t="s">
        <v>916</v>
      </c>
      <c r="B1231" s="0" t="s">
        <v>86</v>
      </c>
      <c r="H1231" s="38" t="n">
        <f aca="false">Sens!$H$1165*(1-tax)</f>
        <v>111.753242201566</v>
      </c>
      <c r="I1231" s="38" t="n">
        <f aca="false">Sens!$I$1165*(1-tax)</f>
        <v>134.282104105169</v>
      </c>
      <c r="J1231" s="38" t="n">
        <f aca="false">Sens!$J$1165*(1-tax)</f>
        <v>155.749705279707</v>
      </c>
      <c r="K1231" s="38" t="n">
        <f aca="false">Sens!$K$1165*(1-tax)</f>
        <v>171.509019600085</v>
      </c>
      <c r="L1231" s="38" t="n">
        <f aca="false">Sens!$L$1165*(1-tax)</f>
        <v>184.635078215242</v>
      </c>
      <c r="M1231" s="38" t="n">
        <f aca="false">Sens!$M$1165*(1-tax)</f>
        <v>195.442415950609</v>
      </c>
    </row>
    <row r="1232" customFormat="false" ht="15" hidden="false" customHeight="false" outlineLevel="0" collapsed="false">
      <c r="A1232" s="5" t="s">
        <v>917</v>
      </c>
      <c r="B1232" s="0" t="s">
        <v>86</v>
      </c>
      <c r="H1232" s="38" t="n">
        <f aca="false">Sens!$H$1176</f>
        <v>74.8836431160036</v>
      </c>
      <c r="I1232" s="38" t="n">
        <f aca="false">Sens!$I$1176</f>
        <v>102.363874335386</v>
      </c>
      <c r="J1232" s="38" t="n">
        <f aca="false">Sens!$J$1176</f>
        <v>130.361093314438</v>
      </c>
      <c r="K1232" s="38" t="n">
        <f aca="false">Sens!$K$1176</f>
        <v>158.388520679421</v>
      </c>
      <c r="L1232" s="38" t="n">
        <f aca="false">Sens!$L$1176</f>
        <v>179.812905862034</v>
      </c>
      <c r="M1232" s="38" t="n">
        <f aca="false">Sens!$M$1176</f>
        <v>195.916200009833</v>
      </c>
    </row>
    <row r="1233" customFormat="false" ht="15" hidden="false" customHeight="false" outlineLevel="0" collapsed="false">
      <c r="A1233" s="5" t="s">
        <v>918</v>
      </c>
      <c r="B1233" s="0" t="s">
        <v>86</v>
      </c>
      <c r="H1233" s="38" t="n">
        <f aca="false">Sens!$H$1207</f>
        <v>233.658406845948</v>
      </c>
      <c r="I1233" s="38" t="n">
        <f aca="false">Sens!$I$1207</f>
        <v>246.052518246325</v>
      </c>
      <c r="J1233" s="38" t="n">
        <f aca="false">Sens!$J$1207</f>
        <v>257.339865756266</v>
      </c>
      <c r="K1233" s="38" t="n">
        <f aca="false">Sens!$K$1207</f>
        <v>220.009468457252</v>
      </c>
      <c r="L1233" s="38" t="n">
        <f aca="false">Sens!$L$1207</f>
        <v>208.293502532415</v>
      </c>
      <c r="M1233" s="38" t="n">
        <f aca="false">Sens!$M$1207</f>
        <v>215.845499711382</v>
      </c>
    </row>
    <row r="1234" customFormat="false" ht="15" hidden="false" customHeight="false" outlineLevel="0" collapsed="false">
      <c r="A1234" s="5" t="s">
        <v>919</v>
      </c>
      <c r="B1234" s="0" t="s">
        <v>86</v>
      </c>
      <c r="H1234" s="38" t="n">
        <f aca="false">Sens!$H$1208</f>
        <v>1.6</v>
      </c>
      <c r="I1234" s="38" t="n">
        <f aca="false">Sens!$I$1208</f>
        <v>1.6</v>
      </c>
      <c r="J1234" s="38" t="n">
        <f aca="false">Sens!$J$1208</f>
        <v>1.6</v>
      </c>
      <c r="K1234" s="38" t="n">
        <f aca="false">Sens!$K$1208</f>
        <v>1.6</v>
      </c>
      <c r="L1234" s="38" t="n">
        <f aca="false">Sens!$L$1208</f>
        <v>1.6</v>
      </c>
      <c r="M1234" s="38" t="n">
        <f aca="false">Sens!$M$1208</f>
        <v>1.6</v>
      </c>
    </row>
    <row r="1235" customFormat="false" ht="15" hidden="false" customHeight="false" outlineLevel="0" collapsed="false">
      <c r="A1235" s="5" t="s">
        <v>920</v>
      </c>
      <c r="B1235" s="0" t="s">
        <v>86</v>
      </c>
      <c r="H1235" s="38" t="n">
        <f aca="false">Sens!$H$1202</f>
        <v>11.2928295263397</v>
      </c>
      <c r="I1235" s="38" t="n">
        <f aca="false">Sens!$I$1202</f>
        <v>12.8091546115766</v>
      </c>
      <c r="J1235" s="38" t="n">
        <f aca="false">Sens!$J$1202</f>
        <v>14.2605653162668</v>
      </c>
      <c r="K1235" s="38" t="n">
        <f aca="false">Sens!$K$1202</f>
        <v>15.5327622460396</v>
      </c>
      <c r="L1235" s="38" t="n">
        <f aca="false">Sens!$L$1202</f>
        <v>16.720573737517</v>
      </c>
      <c r="M1235" s="38" t="n">
        <f aca="false">Sens!$M$1202</f>
        <v>17.8283127551536</v>
      </c>
    </row>
    <row r="1236" customFormat="false" ht="17.15" hidden="false" customHeight="false" outlineLevel="0" collapsed="false">
      <c r="A1236" s="1" t="s">
        <v>921</v>
      </c>
      <c r="B1236" s="8" t="s">
        <v>86</v>
      </c>
      <c r="H1236" s="38" t="n">
        <f aca="false">Sens!$H$1231+Sens!$H$1232-Sens!$H$1233+Sens!$H$1235</f>
        <v>-35.7286920020389</v>
      </c>
      <c r="I1236" s="38" t="n">
        <f aca="false">Sens!$I$1231+Sens!$I$1232-Sens!$I$1233+Sens!$I$1235</f>
        <v>3.40261480580645</v>
      </c>
      <c r="J1236" s="38" t="n">
        <f aca="false">Sens!$J$1231+Sens!$J$1232-Sens!$J$1233+Sens!$J$1235</f>
        <v>43.0314981541457</v>
      </c>
      <c r="K1236" s="38" t="n">
        <f aca="false">Sens!$K$1231+Sens!$K$1232-Sens!$K$1233+Sens!$K$1235</f>
        <v>125.420834068294</v>
      </c>
      <c r="L1236" s="38" t="n">
        <f aca="false">Sens!$L$1231+Sens!$L$1232-Sens!$L$1233+Sens!$L$1235</f>
        <v>172.875055282378</v>
      </c>
      <c r="M1236" s="38" t="n">
        <f aca="false">Sens!$M$1231+Sens!$M$1232-Sens!$M$1233+Sens!$M$1235</f>
        <v>193.341429004214</v>
      </c>
    </row>
    <row r="1237" customFormat="false" ht="15" hidden="false" customHeight="false" outlineLevel="0" collapsed="false">
      <c r="A1237" s="5" t="s">
        <v>922</v>
      </c>
      <c r="B1237" s="0" t="s">
        <v>57</v>
      </c>
      <c r="H1237" s="40" t="n">
        <f aca="false">1/(1+wacc)^(2027-2026-0.5)</f>
        <v>0.947751320380232</v>
      </c>
      <c r="I1237" s="40" t="n">
        <f aca="false">1/(1+wacc)^(2028-2026-0.5)</f>
        <v>0.851301099754987</v>
      </c>
      <c r="J1237" s="40" t="n">
        <f aca="false">1/(1+wacc)^(2029-2026-0.5)</f>
        <v>0.764666370660713</v>
      </c>
      <c r="K1237" s="40" t="n">
        <f aca="false">1/(1+wacc)^(2030-2026-0.5)</f>
        <v>0.686848235703811</v>
      </c>
      <c r="L1237" s="40" t="n">
        <f aca="false">1/(1+wacc)^(2031-2026-0.5)</f>
        <v>0.616949452715975</v>
      </c>
      <c r="M1237" s="40" t="n">
        <f aca="false">1/(1+wacc)^(2032-2026-0.5)</f>
        <v>0.554164089562688</v>
      </c>
    </row>
    <row r="1238" customFormat="false" ht="15" hidden="false" customHeight="false" outlineLevel="0" collapsed="false">
      <c r="A1238" s="5" t="s">
        <v>923</v>
      </c>
      <c r="B1238" s="0" t="s">
        <v>86</v>
      </c>
      <c r="H1238" s="38" t="n">
        <f aca="false">Sens!$H$1236*Sens!$H$1237</f>
        <v>-33.861915020391</v>
      </c>
      <c r="I1238" s="38" t="n">
        <f aca="false">Sens!$I$1236*Sens!$I$1237</f>
        <v>2.89664972622563</v>
      </c>
      <c r="J1238" s="38" t="n">
        <f aca="false">Sens!$J$1236*Sens!$J$1237</f>
        <v>32.9047395176238</v>
      </c>
      <c r="K1238" s="38" t="n">
        <f aca="false">Sens!$K$1236*Sens!$K$1237</f>
        <v>86.145078600308</v>
      </c>
      <c r="L1238" s="38" t="n">
        <f aca="false">Sens!$L$1236*Sens!$L$1237</f>
        <v>106.655170744707</v>
      </c>
      <c r="M1238" s="38" t="n">
        <f aca="false">Sens!$M$1236*Sens!$M$1237</f>
        <v>107.142876978869</v>
      </c>
    </row>
    <row r="1239" customFormat="false" ht="15" hidden="false" customHeight="false" outlineLevel="0" collapsed="false">
      <c r="A1239" s="5" t="s">
        <v>924</v>
      </c>
      <c r="B1239" s="0" t="s">
        <v>86</v>
      </c>
      <c r="C1239" s="38" t="n">
        <f aca="false">SUM(Sens!$H$1238:$M$1238)</f>
        <v>301.882600547343</v>
      </c>
    </row>
    <row r="1240" customFormat="false" ht="17.15" hidden="false" customHeight="false" outlineLevel="0" collapsed="false">
      <c r="A1240" s="5" t="s">
        <v>925</v>
      </c>
      <c r="B1240" s="0" t="s">
        <v>86</v>
      </c>
      <c r="C1240" s="38" t="n">
        <f aca="false">Sens!$M$1231*(1+tg)*(1-tg/ronic)/(wacc-tg)</f>
        <v>1776.78965206842</v>
      </c>
    </row>
    <row r="1241" customFormat="false" ht="15" hidden="false" customHeight="false" outlineLevel="0" collapsed="false">
      <c r="A1241" s="5" t="s">
        <v>926</v>
      </c>
      <c r="B1241" s="0" t="s">
        <v>86</v>
      </c>
      <c r="C1241" s="38" t="n">
        <f aca="false">Sens!$C$1240/(1+wacc)^6</f>
        <v>933.187244683994</v>
      </c>
    </row>
    <row r="1242" customFormat="false" ht="17.15" hidden="false" customHeight="false" outlineLevel="0" collapsed="false">
      <c r="A1242" s="5" t="s">
        <v>927</v>
      </c>
      <c r="B1242" s="0" t="s">
        <v>86</v>
      </c>
      <c r="C1242" s="38" t="n">
        <f aca="false">Sens!$C$1239+Sens!$C$1241</f>
        <v>1235.06984523134</v>
      </c>
    </row>
    <row r="1243" customFormat="false" ht="17.15" hidden="false" customHeight="false" outlineLevel="0" collapsed="false">
      <c r="A1243" s="5" t="s">
        <v>928</v>
      </c>
      <c r="B1243" s="0" t="s">
        <v>52</v>
      </c>
      <c r="C1243" s="13" t="n">
        <f aca="false">Sens!$C$1241/Sens!$C$1242</f>
        <v>0.755574470777563</v>
      </c>
    </row>
    <row r="1244" customFormat="false" ht="17.15" hidden="false" customHeight="false" outlineLevel="0" collapsed="false">
      <c r="A1244" s="5" t="s">
        <v>929</v>
      </c>
      <c r="B1244" s="0" t="s">
        <v>86</v>
      </c>
      <c r="C1244" s="38" t="n">
        <f aca="false">Sens!$G$1220+fin_debt</f>
        <v>90.325016548995</v>
      </c>
    </row>
    <row r="1245" customFormat="false" ht="17.15" hidden="false" customHeight="false" outlineLevel="0" collapsed="false">
      <c r="A1245" s="5" t="s">
        <v>930</v>
      </c>
      <c r="B1245" s="0" t="s">
        <v>86</v>
      </c>
      <c r="C1245" s="38" t="n">
        <f aca="false">(ant_val*ant_sh+oai_val*oai_sh)*(1-liq_disc)</f>
        <v>178.944</v>
      </c>
    </row>
    <row r="1246" customFormat="false" ht="15" hidden="false" customHeight="false" outlineLevel="0" collapsed="false">
      <c r="A1246" s="5" t="s">
        <v>931</v>
      </c>
      <c r="B1246" s="0" t="s">
        <v>86</v>
      </c>
      <c r="C1246" s="38" t="n">
        <f aca="false">Sens!$C$1242-Sens!$C$1244+Sens!$C$1245</f>
        <v>1323.68882868234</v>
      </c>
    </row>
    <row r="1247" customFormat="false" ht="17.15" hidden="false" customHeight="false" outlineLevel="0" collapsed="false">
      <c r="A1247" s="5" t="s">
        <v>932</v>
      </c>
      <c r="B1247" s="0" t="s">
        <v>27</v>
      </c>
      <c r="C1247" s="30" t="n">
        <f aca="false">Sens!$C$1246/sh_out</f>
        <v>122.719293048797</v>
      </c>
    </row>
    <row r="1248" customFormat="false" ht="17.15" hidden="false" customHeight="false" outlineLevel="0" collapsed="false">
      <c r="A1248" s="1" t="s">
        <v>933</v>
      </c>
      <c r="B1248" s="8" t="s">
        <v>27</v>
      </c>
      <c r="C1248" s="30" t="n">
        <f aca="false">Sens!$C$1247*(1+ke)^tp_yf-dps*tp_yf</f>
        <v>134.422890467043</v>
      </c>
    </row>
    <row r="1249" customFormat="false" ht="17.15" hidden="false" customHeight="false" outlineLevel="0" collapsed="false">
      <c r="A1249" s="3" t="s">
        <v>934</v>
      </c>
    </row>
    <row r="1250" customFormat="false" ht="17.15" hidden="false" customHeight="false" outlineLevel="0" collapsed="false">
      <c r="A1250" s="5" t="s">
        <v>935</v>
      </c>
      <c r="B1250" s="0" t="s">
        <v>86</v>
      </c>
      <c r="C1250" s="38" t="n">
        <f aca="false">(1-tp_yf)*(Sens!$H$1177+sbc_ab*Sens!$H$1201*Sens!$H$1041/Sens!$H$1118)+tp_yf*(Sens!$I$1177+sbc_ab*Sens!$I$1201*Sens!$I$1041/Sens!$I$1118)</f>
        <v>59.634664536349</v>
      </c>
    </row>
    <row r="1251" customFormat="false" ht="15" hidden="false" customHeight="false" outlineLevel="0" collapsed="false">
      <c r="A1251" s="5" t="s">
        <v>936</v>
      </c>
      <c r="B1251" s="0" t="s">
        <v>57</v>
      </c>
      <c r="C1251" s="30" t="n">
        <f aca="false">m_ads*m_x</f>
        <v>9.11</v>
      </c>
    </row>
    <row r="1252" customFormat="false" ht="17.15" hidden="false" customHeight="false" outlineLevel="0" collapsed="false">
      <c r="A1252" s="5" t="s">
        <v>937</v>
      </c>
      <c r="B1252" s="0" t="s">
        <v>86</v>
      </c>
      <c r="C1252" s="38" t="n">
        <f aca="false">Sens!$C$1250*Sens!$C$1251</f>
        <v>543.271793926139</v>
      </c>
    </row>
    <row r="1253" customFormat="false" ht="17.15" hidden="false" customHeight="false" outlineLevel="0" collapsed="false">
      <c r="A1253" s="5" t="s">
        <v>938</v>
      </c>
      <c r="B1253" s="0" t="s">
        <v>86</v>
      </c>
      <c r="C1253" s="38" t="n">
        <f aca="false">(1-tp_yf)*(Sens!$H$1178+sbc_ab*Sens!$H$1201*(Sens!$H$1048-Sens!$H$1041)/Sens!$H$1118+IF(internal_ai_reading=2,1,0)*(1-ext_sh_hi)*Sens!$H$1078)+tp_yf*(Sens!$I$1178+sbc_ab*Sens!$I$1201*(Sens!$I$1048-Sens!$I$1041)/Sens!$I$1118+IF(internal_ai_reading=2,1,0)*(1-ext_sh_hi)*Sens!$I$1078)</f>
        <v>48.2673138433763</v>
      </c>
    </row>
    <row r="1254" customFormat="false" ht="17.15" hidden="false" customHeight="false" outlineLevel="0" collapsed="false">
      <c r="A1254" s="5" t="s">
        <v>939</v>
      </c>
      <c r="B1254" s="0" t="s">
        <v>57</v>
      </c>
      <c r="C1254" s="30" t="n">
        <f aca="false">m_retail*m_x</f>
        <v>17.72</v>
      </c>
    </row>
    <row r="1255" customFormat="false" ht="17.15" hidden="false" customHeight="false" outlineLevel="0" collapsed="false">
      <c r="A1255" s="5" t="s">
        <v>940</v>
      </c>
      <c r="B1255" s="0" t="s">
        <v>86</v>
      </c>
      <c r="C1255" s="38" t="n">
        <f aca="false">Sens!$C$1253*Sens!$C$1254</f>
        <v>855.296801304628</v>
      </c>
    </row>
    <row r="1256" customFormat="false" ht="17.15" hidden="false" customHeight="false" outlineLevel="0" collapsed="false">
      <c r="A1256" s="0" t="s">
        <v>941</v>
      </c>
      <c r="B1256" s="0" t="s">
        <v>86</v>
      </c>
      <c r="C1256" s="38" t="n">
        <f aca="false">(1-tp_yf)*(Sens!$H$1179+sbc_ab*Sens!$H$1201*Sens!$H$1116/Sens!$H$1118)+tp_yf*(Sens!$I$1179+sbc_ab*Sens!$I$1201*Sens!$I$1116/Sens!$I$1118)</f>
        <v>96.2376537535975</v>
      </c>
    </row>
    <row r="1257" customFormat="false" ht="17.15" hidden="false" customHeight="false" outlineLevel="0" collapsed="false">
      <c r="A1257" s="0" t="s">
        <v>942</v>
      </c>
      <c r="B1257" s="0" t="s">
        <v>57</v>
      </c>
      <c r="C1257" s="30" t="n">
        <f aca="false">m_cloud*m_x</f>
        <v>13.82</v>
      </c>
    </row>
    <row r="1258" customFormat="false" ht="17.15" hidden="false" customHeight="false" outlineLevel="0" collapsed="false">
      <c r="A1258" s="0" t="s">
        <v>943</v>
      </c>
      <c r="B1258" s="0" t="s">
        <v>86</v>
      </c>
      <c r="C1258" s="38" t="n">
        <f aca="false">Sens!$C$1256*Sens!$C$1257</f>
        <v>1330.00437487472</v>
      </c>
    </row>
    <row r="1259" customFormat="false" ht="17.15" hidden="false" customHeight="false" outlineLevel="0" collapsed="false">
      <c r="A1259" s="0" t="s">
        <v>944</v>
      </c>
      <c r="B1259" s="0" t="s">
        <v>86</v>
      </c>
      <c r="H1259" s="38" t="n">
        <f aca="false">Sens!$H$1097-tax*Sens!$H$1098-ext_sh_hi*Sens!$H$1085</f>
        <v>-115.596084648524</v>
      </c>
      <c r="I1259" s="38" t="n">
        <f aca="false">Sens!$I$1097-tax*Sens!$I$1098-ext_sh_hi*Sens!$I$1085</f>
        <v>-89.304204139968</v>
      </c>
      <c r="J1259" s="38" t="n">
        <f aca="false">Sens!$J$1097-tax*Sens!$J$1098-ext_sh_hi*Sens!$J$1085</f>
        <v>-62.0617551583265</v>
      </c>
      <c r="K1259" s="38" t="n">
        <f aca="false">Sens!$K$1097-tax*Sens!$K$1098-ext_sh_hi*Sens!$K$1085</f>
        <v>9.14227414705196</v>
      </c>
      <c r="L1259" s="38" t="n">
        <f aca="false">Sens!$L$1097-tax*Sens!$L$1098-ext_sh_hi*Sens!$L$1085</f>
        <v>45.979783418344</v>
      </c>
      <c r="M1259" s="38" t="n">
        <f aca="false">Sens!$M$1097-tax*Sens!$M$1098-ext_sh_hi*Sens!$M$1085</f>
        <v>55.0296178820691</v>
      </c>
    </row>
    <row r="1260" customFormat="false" ht="17.15" hidden="false" customHeight="false" outlineLevel="0" collapsed="false">
      <c r="A1260" s="5" t="s">
        <v>945</v>
      </c>
      <c r="B1260" s="0" t="s">
        <v>86</v>
      </c>
      <c r="H1260" s="38" t="n">
        <f aca="false">Sens!$H$1259*Sens!$H$1237</f>
        <v>-109.556341856424</v>
      </c>
      <c r="I1260" s="38" t="n">
        <f aca="false">Sens!$I$1259*Sens!$I$1237</f>
        <v>-76.0247671970987</v>
      </c>
      <c r="J1260" s="38" t="n">
        <f aca="false">Sens!$J$1259*Sens!$J$1237</f>
        <v>-47.4565370737513</v>
      </c>
      <c r="K1260" s="38" t="n">
        <f aca="false">Sens!$K$1259*Sens!$K$1237</f>
        <v>6.2793548682232</v>
      </c>
      <c r="L1260" s="38" t="n">
        <f aca="false">Sens!$L$1259*Sens!$L$1237</f>
        <v>28.3672022159464</v>
      </c>
      <c r="M1260" s="38" t="n">
        <f aca="false">Sens!$M$1259*Sens!$M$1237</f>
        <v>30.4954380925995</v>
      </c>
    </row>
    <row r="1261" customFormat="false" ht="17.15" hidden="false" customHeight="false" outlineLevel="0" collapsed="false">
      <c r="A1261" s="5" t="s">
        <v>946</v>
      </c>
      <c r="B1261" s="0" t="s">
        <v>86</v>
      </c>
      <c r="C1261" s="38" t="n">
        <f aca="false">Sens!$M$1098*(1-tax)*(1+tg)*(1-tg/ronic)/(wacc-tg)</f>
        <v>379.286637795192</v>
      </c>
    </row>
    <row r="1262" customFormat="false" ht="17.15" hidden="false" customHeight="false" outlineLevel="0" collapsed="false">
      <c r="A1262" s="0" t="s">
        <v>947</v>
      </c>
      <c r="B1262" s="0" t="s">
        <v>86</v>
      </c>
      <c r="C1262" s="38" t="n">
        <f aca="false">(SUM(Sens!$I$1260:$M$1260)+Sens!$C$1261/(1+wacc)^6)*(1+wacc)^tp_yf</f>
        <v>153.8565285454</v>
      </c>
    </row>
    <row r="1263" customFormat="false" ht="17.15" hidden="false" customHeight="false" outlineLevel="0" collapsed="false">
      <c r="A1263" s="5" t="s">
        <v>948</v>
      </c>
      <c r="B1263" s="0" t="s">
        <v>86</v>
      </c>
      <c r="C1263" s="38" t="n">
        <f aca="false">(1-tp_yf)*(Sens!$H$1180)+tp_yf*(Sens!$I$1180)</f>
        <v>74.6707041238437</v>
      </c>
    </row>
    <row r="1264" customFormat="false" ht="17.15" hidden="false" customHeight="false" outlineLevel="0" collapsed="false">
      <c r="A1264" s="5" t="s">
        <v>949</v>
      </c>
      <c r="B1264" s="0" t="s">
        <v>86</v>
      </c>
      <c r="C1264" s="38" t="n">
        <f aca="false">Sens!$C$1263*m_ai</f>
        <v>448.024224743062</v>
      </c>
    </row>
    <row r="1265" customFormat="false" ht="17.15" hidden="false" customHeight="false" outlineLevel="0" collapsed="false">
      <c r="A1265" s="0" t="s">
        <v>950</v>
      </c>
      <c r="B1265" s="0" t="s">
        <v>86</v>
      </c>
      <c r="C1265" s="38" t="n">
        <f aca="false">IF(ai_leg=1,Sens!$C$1262,Sens!$C$1264)</f>
        <v>153.8565285454</v>
      </c>
    </row>
    <row r="1266" customFormat="false" ht="17.15" hidden="false" customHeight="false" outlineLevel="0" collapsed="false">
      <c r="A1266" s="5" t="s">
        <v>951</v>
      </c>
      <c r="B1266" s="0" t="s">
        <v>86</v>
      </c>
      <c r="C1266" s="38" t="n">
        <f aca="false">Sens!$C$1252+Sens!$C$1255+Sens!$C$1258+Sens!$C$1265</f>
        <v>2882.42949865088</v>
      </c>
    </row>
    <row r="1267" customFormat="false" ht="17.15" hidden="false" customHeight="false" outlineLevel="0" collapsed="false">
      <c r="A1267" s="5" t="s">
        <v>952</v>
      </c>
      <c r="B1267" s="0" t="s">
        <v>86</v>
      </c>
      <c r="C1267" s="38" t="n">
        <f aca="false">Sens!$H$1220+fin_debt</f>
        <v>106.969582112755</v>
      </c>
    </row>
    <row r="1268" customFormat="false" ht="15" hidden="false" customHeight="false" outlineLevel="0" collapsed="false">
      <c r="A1268" s="5" t="s">
        <v>953</v>
      </c>
      <c r="B1268" s="0" t="s">
        <v>86</v>
      </c>
      <c r="C1268" s="38" t="n">
        <f aca="false">Sens!$C$1266-Sens!$C$1267+Sens!$C$1245</f>
        <v>2954.40391653813</v>
      </c>
    </row>
    <row r="1269" customFormat="false" ht="15" hidden="false" customHeight="false" outlineLevel="0" collapsed="false">
      <c r="A1269" s="3" t="s">
        <v>954</v>
      </c>
      <c r="B1269" s="8" t="s">
        <v>27</v>
      </c>
      <c r="C1269" s="30" t="n">
        <f aca="false">Sens!$C$1268/sh_val</f>
        <v>267.844044742346</v>
      </c>
    </row>
    <row r="1270" customFormat="false" ht="17.15" hidden="false" customHeight="false" outlineLevel="0" collapsed="false">
      <c r="A1270" s="47" t="s">
        <v>955</v>
      </c>
      <c r="B1270" s="14" t="s">
        <v>27</v>
      </c>
      <c r="C1270" s="44" t="n">
        <f aca="false">w_dcf*Sens!$C$1248+(1-w_dcf)*Sens!$C$1269</f>
        <v>201.133467604695</v>
      </c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4"/>
      <c r="O1270" s="14"/>
    </row>
    <row r="1271" customFormat="false" ht="17.15" hidden="false" customHeight="false" outlineLevel="0" collapsed="false">
      <c r="A1271" s="5" t="s">
        <v>956</v>
      </c>
      <c r="B1271" s="0" t="s">
        <v>27</v>
      </c>
      <c r="C1271" s="30" t="n">
        <f aca="false">v022_wdcf*Sens!$C$1248+(1-v022_wdcf)*Sens!$C$1269</f>
        <v>207.80452531846</v>
      </c>
    </row>
    <row r="1272" customFormat="false" ht="17.15" hidden="false" customHeight="false" outlineLevel="0" collapsed="false">
      <c r="A1272" s="5" t="s">
        <v>957</v>
      </c>
      <c r="B1272" s="0" t="s">
        <v>27</v>
      </c>
      <c r="C1272" s="30" t="n">
        <f aca="false">(Sens!$C$1268-Sens!$C$1265+Sens!$C$1264)/sh_val</f>
        <v>294.513067600414</v>
      </c>
    </row>
    <row r="1275" customFormat="false" ht="19.4" hidden="false" customHeight="false" outlineLevel="0" collapsed="false">
      <c r="A1275" s="31" t="s">
        <v>1160</v>
      </c>
    </row>
    <row r="1276" customFormat="false" ht="17.15" hidden="false" customHeight="false" outlineLevel="0" collapsed="false">
      <c r="A1276" s="6" t="s">
        <v>16</v>
      </c>
      <c r="B1276" s="6" t="s">
        <v>17</v>
      </c>
      <c r="C1276" s="20" t="s">
        <v>497</v>
      </c>
      <c r="D1276" s="20" t="s">
        <v>498</v>
      </c>
      <c r="E1276" s="20" t="s">
        <v>580</v>
      </c>
      <c r="F1276" s="20" t="s">
        <v>581</v>
      </c>
      <c r="G1276" s="20" t="s">
        <v>582</v>
      </c>
      <c r="H1276" s="20" t="s">
        <v>583</v>
      </c>
      <c r="I1276" s="20" t="s">
        <v>584</v>
      </c>
      <c r="J1276" s="20" t="s">
        <v>585</v>
      </c>
      <c r="K1276" s="20" t="s">
        <v>586</v>
      </c>
      <c r="L1276" s="20" t="s">
        <v>587</v>
      </c>
      <c r="M1276" s="20" t="s">
        <v>588</v>
      </c>
      <c r="N1276" s="20" t="s">
        <v>589</v>
      </c>
      <c r="O1276" s="20" t="s">
        <v>590</v>
      </c>
      <c r="P1276" s="6" t="s">
        <v>23</v>
      </c>
      <c r="R1276" s="20" t="n">
        <v>2023</v>
      </c>
      <c r="S1276" s="20" t="n">
        <v>2024</v>
      </c>
      <c r="T1276" s="20" t="n">
        <v>2025</v>
      </c>
      <c r="U1276" s="20" t="n">
        <v>2026</v>
      </c>
      <c r="V1276" s="20" t="n">
        <v>2027</v>
      </c>
      <c r="W1276" s="20" t="n">
        <v>2028</v>
      </c>
      <c r="X1276" s="20" t="n">
        <v>2029</v>
      </c>
      <c r="Y1276" s="20" t="n">
        <v>2030</v>
      </c>
      <c r="Z1276" s="20" t="n">
        <v>2031</v>
      </c>
      <c r="AA1276" s="20" t="n">
        <v>2032</v>
      </c>
    </row>
    <row r="1277" customFormat="false" ht="17.15" hidden="false" customHeight="false" outlineLevel="0" collapsed="false">
      <c r="A1277" s="1" t="s">
        <v>666</v>
      </c>
    </row>
    <row r="1278" customFormat="false" ht="17.15" hidden="false" customHeight="false" outlineLevel="0" collapsed="false">
      <c r="A1278" s="0" t="s">
        <v>519</v>
      </c>
      <c r="B1278" s="0" t="s">
        <v>86</v>
      </c>
      <c r="C1278" s="38" t="n">
        <f aca="false">Q!$D$10</f>
        <v>247.029</v>
      </c>
      <c r="D1278" s="38" t="n">
        <f aca="false">Q!$E$10</f>
        <v>269.287</v>
      </c>
      <c r="E1278" s="38" t="n">
        <f aca="false">Q!$P$10</f>
        <v>134.686</v>
      </c>
      <c r="F1278" s="38" t="n">
        <f aca="false">Sens!$O$1278*(1+Sens!$F$1279)*Sens!$F$1290</f>
        <v>158.293876822267</v>
      </c>
      <c r="G1278" s="38" t="n">
        <f aca="false">Sens!$E$1278+Sens!$F$1278</f>
        <v>292.979876822267</v>
      </c>
      <c r="H1278" s="38" t="n">
        <f aca="false">Sens!$G$1278*(1+Sens!$H$1279)</f>
        <v>318.184543087396</v>
      </c>
      <c r="I1278" s="38" t="n">
        <f aca="false">Sens!$H$1278*(1+Sens!$I$1279)</f>
        <v>341.736278761793</v>
      </c>
      <c r="J1278" s="38" t="n">
        <f aca="false">Sens!$I$1278*(1+Sens!$J$1279)</f>
        <v>362.927192787048</v>
      </c>
      <c r="K1278" s="38" t="n">
        <f aca="false">Sens!$J$1278*(1+Sens!$K$1279)</f>
        <v>381.0735524264</v>
      </c>
      <c r="L1278" s="38" t="n">
        <f aca="false">Sens!$K$1278*(1+Sens!$L$1279)</f>
        <v>400.12723004772</v>
      </c>
      <c r="M1278" s="38" t="n">
        <f aca="false">Sens!$L$1278*(1+Sens!$M$1279)</f>
        <v>420.133591550106</v>
      </c>
      <c r="N1278" s="38" t="n">
        <f aca="false">Q!$N$10</f>
        <v>118.892</v>
      </c>
      <c r="O1278" s="38" t="n">
        <f aca="false">Q!$O$10</f>
        <v>150.395</v>
      </c>
      <c r="P1278" s="8" t="s">
        <v>667</v>
      </c>
    </row>
    <row r="1279" customFormat="false" ht="17.15" hidden="false" customHeight="false" outlineLevel="0" collapsed="false">
      <c r="A1279" s="0" t="s">
        <v>668</v>
      </c>
      <c r="B1279" s="0" t="s">
        <v>52</v>
      </c>
      <c r="E1279" s="13" t="n">
        <f aca="false">Sens!$E$1278/Sens!$N$1278-1</f>
        <v>0.132843252699929</v>
      </c>
      <c r="F1279" s="13" t="n">
        <f aca="false">Sens!$O$1278/(Q!$F$10+Q!$G$10)-1</f>
        <v>0.0980382135842941</v>
      </c>
      <c r="G1279" s="13" t="n">
        <f aca="false">Sens!$G$1278/Sens!$D$1278-1</f>
        <v>0.0879837378791657</v>
      </c>
      <c r="H1279" s="13" t="n">
        <f aca="false">Sens!$F$1279+(g_os-Sens!$F$1279)*1/4</f>
        <v>0.0860286601882206</v>
      </c>
      <c r="I1279" s="13" t="n">
        <f aca="false">Sens!$F$1279+(g_os-Sens!$F$1279)*2/4</f>
        <v>0.074019106792147</v>
      </c>
      <c r="J1279" s="13" t="n">
        <f aca="false">Sens!$F$1279+(g_os-Sens!$F$1279)*3/4</f>
        <v>0.0620095533960735</v>
      </c>
      <c r="K1279" s="13" t="n">
        <f aca="false">Sens!$F$1279+(g_os-Sens!$F$1279)*4/4</f>
        <v>0.05</v>
      </c>
      <c r="L1279" s="13" t="n">
        <f aca="false">g_os</f>
        <v>0.05</v>
      </c>
      <c r="M1279" s="13" t="n">
        <f aca="false">g_os</f>
        <v>0.05</v>
      </c>
      <c r="P1279" s="8" t="s">
        <v>669</v>
      </c>
    </row>
    <row r="1280" customFormat="false" ht="17.15" hidden="false" customHeight="false" outlineLevel="0" collapsed="false">
      <c r="A1280" s="0" t="s">
        <v>520</v>
      </c>
      <c r="B1280" s="0" t="s">
        <v>86</v>
      </c>
      <c r="C1280" s="38" t="n">
        <f aca="false">Q!$D$11</f>
        <v>21.215</v>
      </c>
      <c r="D1280" s="38" t="n">
        <f aca="false">Q!$E$11</f>
        <v>22.561</v>
      </c>
      <c r="E1280" s="38" t="n">
        <f aca="false">Q!$P$11</f>
        <v>11.579</v>
      </c>
      <c r="F1280" s="38" t="n">
        <f aca="false">Sens!$O$1280*(1+Sens!$F$1281)*Sens!$F$1290</f>
        <v>11.5938724610325</v>
      </c>
      <c r="G1280" s="38" t="n">
        <f aca="false">Sens!$E$1280+Sens!$F$1280</f>
        <v>23.1728724610325</v>
      </c>
      <c r="H1280" s="38" t="n">
        <f aca="false">Sens!$G$1280*(1+Sens!$H$1281)</f>
        <v>24.353392759506</v>
      </c>
      <c r="I1280" s="38" t="n">
        <f aca="false">Sens!$H$1280*(1+Sens!$I$1281)</f>
        <v>25.4240338872015</v>
      </c>
      <c r="J1280" s="38" t="n">
        <f aca="false">Sens!$I$1280*(1+Sens!$J$1281)</f>
        <v>26.3642491017174</v>
      </c>
      <c r="K1280" s="38" t="n">
        <f aca="false">Sens!$J$1280*(1+Sens!$K$1281)</f>
        <v>27.155176574769</v>
      </c>
      <c r="L1280" s="38" t="n">
        <f aca="false">Sens!$K$1280*(1+Sens!$L$1281)</f>
        <v>27.969831872012</v>
      </c>
      <c r="M1280" s="38" t="n">
        <f aca="false">Sens!$L$1280*(1+Sens!$M$1281)</f>
        <v>28.8089268281724</v>
      </c>
      <c r="N1280" s="38" t="n">
        <f aca="false">Q!$N$11</f>
        <v>11.128</v>
      </c>
      <c r="O1280" s="38" t="n">
        <f aca="false">Q!$O$11</f>
        <v>11.433</v>
      </c>
      <c r="P1280" s="8" t="s">
        <v>667</v>
      </c>
    </row>
    <row r="1281" customFormat="false" ht="17.15" hidden="false" customHeight="false" outlineLevel="0" collapsed="false">
      <c r="A1281" s="0" t="s">
        <v>670</v>
      </c>
      <c r="B1281" s="0" t="s">
        <v>52</v>
      </c>
      <c r="E1281" s="13" t="n">
        <f aca="false">Sens!$E$1280/Sens!$N$1280-1</f>
        <v>0.0405283968368082</v>
      </c>
      <c r="F1281" s="13" t="n">
        <f aca="false">Sens!$O$1280/(Q!$F$11+Q!$G$11)-1</f>
        <v>0.0579254187100955</v>
      </c>
      <c r="G1281" s="13" t="n">
        <f aca="false">Sens!$G$1280/Sens!$D$1280-1</f>
        <v>0.0271208040881397</v>
      </c>
      <c r="H1281" s="13" t="n">
        <f aca="false">Sens!$F$1281+(g_ps-Sens!$F$1281)*1/4</f>
        <v>0.0509440640325716</v>
      </c>
      <c r="I1281" s="13" t="n">
        <f aca="false">Sens!$F$1281+(g_ps-Sens!$F$1281)*2/4</f>
        <v>0.0439627093550477</v>
      </c>
      <c r="J1281" s="13" t="n">
        <f aca="false">Sens!$F$1281+(g_ps-Sens!$F$1281)*3/4</f>
        <v>0.0369813546775239</v>
      </c>
      <c r="K1281" s="13" t="n">
        <f aca="false">Sens!$F$1281+(g_ps-Sens!$F$1281)*4/4</f>
        <v>0.03</v>
      </c>
      <c r="L1281" s="13" t="n">
        <f aca="false">g_ps</f>
        <v>0.03</v>
      </c>
      <c r="M1281" s="13" t="n">
        <f aca="false">g_ps</f>
        <v>0.03</v>
      </c>
      <c r="P1281" s="8" t="s">
        <v>671</v>
      </c>
    </row>
    <row r="1282" customFormat="false" ht="17.15" hidden="false" customHeight="false" outlineLevel="0" collapsed="false">
      <c r="A1282" s="0" t="s">
        <v>521</v>
      </c>
      <c r="B1282" s="0" t="s">
        <v>86</v>
      </c>
      <c r="C1282" s="38" t="n">
        <f aca="false">Q!$D$12</f>
        <v>156.146</v>
      </c>
      <c r="D1282" s="38" t="n">
        <f aca="false">Q!$E$12</f>
        <v>172.162</v>
      </c>
      <c r="E1282" s="38" t="n">
        <f aca="false">Q!$P$12</f>
        <v>88.358</v>
      </c>
      <c r="F1282" s="38" t="n">
        <f aca="false">Sens!$O$1282*(1+Sens!$F$1283)*Sens!$F$1290</f>
        <v>102.004388260171</v>
      </c>
      <c r="G1282" s="38" t="n">
        <f aca="false">Sens!$E$1282+Sens!$F$1282</f>
        <v>190.362388260171</v>
      </c>
      <c r="H1282" s="38" t="n">
        <f aca="false">Sens!$G$1282*(1+Sens!$H$1283)</f>
        <v>210.343106588311</v>
      </c>
      <c r="I1282" s="38" t="n">
        <f aca="false">Sens!$H$1282*(1+Sens!$I$1283)</f>
        <v>229.969728494648</v>
      </c>
      <c r="J1282" s="38" t="n">
        <f aca="false">Sens!$I$1282*(1+Sens!$J$1283)</f>
        <v>248.747636972598</v>
      </c>
      <c r="K1282" s="38" t="n">
        <f aca="false">Sens!$J$1282*(1+Sens!$K$1283)</f>
        <v>266.15997156068</v>
      </c>
      <c r="L1282" s="38" t="n">
        <f aca="false">Sens!$K$1282*(1+Sens!$L$1283)</f>
        <v>284.791169569927</v>
      </c>
      <c r="M1282" s="38" t="n">
        <f aca="false">Sens!$L$1282*(1+Sens!$M$1283)</f>
        <v>304.726551439822</v>
      </c>
      <c r="N1282" s="38" t="n">
        <f aca="false">Q!$N$12</f>
        <v>76.86</v>
      </c>
      <c r="O1282" s="38" t="n">
        <f aca="false">Q!$O$12</f>
        <v>95.302</v>
      </c>
      <c r="P1282" s="8" t="s">
        <v>667</v>
      </c>
    </row>
    <row r="1283" customFormat="false" ht="17.15" hidden="false" customHeight="false" outlineLevel="0" collapsed="false">
      <c r="A1283" s="0" t="s">
        <v>672</v>
      </c>
      <c r="B1283" s="0" t="s">
        <v>52</v>
      </c>
      <c r="E1283" s="13" t="n">
        <f aca="false">Sens!$E$1282/Sens!$N$1282-1</f>
        <v>0.1495966692688</v>
      </c>
      <c r="F1283" s="13" t="n">
        <f aca="false">Sens!$O$1282/(Q!$F$12+Q!$G$12)-1</f>
        <v>0.11661530890813</v>
      </c>
      <c r="G1283" s="13" t="n">
        <f aca="false">Sens!$G$1282/Sens!$D$1282-1</f>
        <v>0.105716640490767</v>
      </c>
      <c r="H1283" s="13" t="n">
        <f aca="false">Sens!$F$1283+(g_sp-Sens!$F$1283)*1/4</f>
        <v>0.104961481681098</v>
      </c>
      <c r="I1283" s="13" t="n">
        <f aca="false">Sens!$F$1283+(g_sp-Sens!$F$1283)*2/4</f>
        <v>0.0933076544540651</v>
      </c>
      <c r="J1283" s="13" t="n">
        <f aca="false">Sens!$F$1283+(g_sp-Sens!$F$1283)*3/4</f>
        <v>0.0816538272270325</v>
      </c>
      <c r="K1283" s="13" t="n">
        <f aca="false">Sens!$F$1283+(g_sp-Sens!$F$1283)*4/4</f>
        <v>0.07</v>
      </c>
      <c r="L1283" s="13" t="n">
        <f aca="false">g_sp</f>
        <v>0.07</v>
      </c>
      <c r="M1283" s="13" t="n">
        <f aca="false">g_sp</f>
        <v>0.07</v>
      </c>
      <c r="P1283" s="8" t="s">
        <v>673</v>
      </c>
    </row>
    <row r="1284" customFormat="false" ht="17.15" hidden="false" customHeight="false" outlineLevel="0" collapsed="false">
      <c r="A1284" s="0" t="s">
        <v>522</v>
      </c>
      <c r="B1284" s="0" t="s">
        <v>86</v>
      </c>
      <c r="C1284" s="38" t="n">
        <f aca="false">Q!$D$13</f>
        <v>56.214</v>
      </c>
      <c r="D1284" s="38" t="n">
        <f aca="false">Q!$E$13</f>
        <v>68.635</v>
      </c>
      <c r="E1284" s="38" t="n">
        <f aca="false">Q!$P$13</f>
        <v>37.052</v>
      </c>
      <c r="F1284" s="38" t="n">
        <f aca="false">Sens!$O$1284*(1+Sens!$F$1285)*Sens!$F$1290</f>
        <v>46.1572219944148</v>
      </c>
      <c r="G1284" s="38" t="n">
        <f aca="false">Sens!$E$1284+Sens!$F$1284</f>
        <v>83.2092219944148</v>
      </c>
      <c r="H1284" s="38" t="n">
        <f aca="false">Sens!$G$1284*(1+Sens!$H$1285)</f>
        <v>99.8969223878976</v>
      </c>
      <c r="I1284" s="38" t="n">
        <f aca="false">Sens!$H$1284*(1+Sens!$I$1285)</f>
        <v>116.583111095496</v>
      </c>
      <c r="J1284" s="38" t="n">
        <f aca="false">Sens!$I$1284*(1+Sens!$J$1285)</f>
        <v>132.148941941952</v>
      </c>
      <c r="K1284" s="38" t="n">
        <f aca="false">Sens!$J$1284*(1+Sens!$K$1285)</f>
        <v>145.363836136147</v>
      </c>
      <c r="L1284" s="38" t="n">
        <f aca="false">Sens!$K$1284*(1+Sens!$L$1285)</f>
        <v>159.900219749762</v>
      </c>
      <c r="M1284" s="38" t="n">
        <f aca="false">Sens!$L$1284*(1+Sens!$M$1285)</f>
        <v>175.890241724738</v>
      </c>
      <c r="N1284" s="38" t="n">
        <f aca="false">Q!$N$13</f>
        <v>29.615</v>
      </c>
      <c r="O1284" s="38" t="n">
        <f aca="false">Q!$O$13</f>
        <v>39.02</v>
      </c>
      <c r="P1284" s="8" t="s">
        <v>667</v>
      </c>
    </row>
    <row r="1285" customFormat="false" ht="17.15" hidden="false" customHeight="false" outlineLevel="0" collapsed="false">
      <c r="A1285" s="0" t="s">
        <v>674</v>
      </c>
      <c r="B1285" s="0" t="s">
        <v>52</v>
      </c>
      <c r="E1285" s="13" t="n">
        <f aca="false">Sens!$E$1284/Sens!$N$1284-1</f>
        <v>0.25112274185379</v>
      </c>
      <c r="F1285" s="13" t="n">
        <f aca="false">Sens!$O$1284/(Q!$F$13+Q!$G$13)-1</f>
        <v>0.234068123596572</v>
      </c>
      <c r="G1285" s="13" t="n">
        <f aca="false">Sens!$G$1284/Sens!$D$1284-1</f>
        <v>0.212343876949294</v>
      </c>
      <c r="H1285" s="13" t="n">
        <f aca="false">Sens!$F$1285+(g_ad-Sens!$F$1285)*1/4</f>
        <v>0.200551092697429</v>
      </c>
      <c r="I1285" s="13" t="n">
        <f aca="false">Sens!$F$1285+(g_ad-Sens!$F$1285)*2/4</f>
        <v>0.167034061798286</v>
      </c>
      <c r="J1285" s="13" t="n">
        <f aca="false">Sens!$F$1285+(g_ad-Sens!$F$1285)*3/4</f>
        <v>0.133517030899143</v>
      </c>
      <c r="K1285" s="13" t="n">
        <f aca="false">Sens!$F$1285+(g_ad-Sens!$F$1285)*4/4</f>
        <v>0.1</v>
      </c>
      <c r="L1285" s="13" t="n">
        <f aca="false">g_ad</f>
        <v>0.1</v>
      </c>
      <c r="M1285" s="13" t="n">
        <f aca="false">g_ad</f>
        <v>0.1</v>
      </c>
      <c r="P1285" s="8" t="s">
        <v>675</v>
      </c>
    </row>
    <row r="1286" customFormat="false" ht="17.15" hidden="false" customHeight="false" outlineLevel="0" collapsed="false">
      <c r="A1286" s="0" t="s">
        <v>523</v>
      </c>
      <c r="B1286" s="0" t="s">
        <v>86</v>
      </c>
      <c r="C1286" s="38" t="n">
        <f aca="false">Q!$D$14</f>
        <v>44.374</v>
      </c>
      <c r="D1286" s="38" t="n">
        <f aca="false">Q!$E$14</f>
        <v>49.619</v>
      </c>
      <c r="E1286" s="38" t="n">
        <f aca="false">Q!$P$14</f>
        <v>27.157</v>
      </c>
      <c r="F1286" s="38" t="n">
        <f aca="false">Sens!$O$1286*(1+Sens!$F$1287)*Sens!$F$1290</f>
        <v>27.7764165988154</v>
      </c>
      <c r="G1286" s="38" t="n">
        <f aca="false">Sens!$E$1286+Sens!$F$1286</f>
        <v>54.9334165988154</v>
      </c>
      <c r="H1286" s="38" t="n">
        <f aca="false">Sens!$G$1286*(1+Sens!$H$1287)</f>
        <v>61.1564112561829</v>
      </c>
      <c r="I1286" s="38" t="n">
        <f aca="false">Sens!$H$1286*(1+Sens!$I$1287)</f>
        <v>67.2020282103945</v>
      </c>
      <c r="J1286" s="38" t="n">
        <f aca="false">Sens!$I$1286*(1+Sens!$J$1287)</f>
        <v>72.8757274028885</v>
      </c>
      <c r="K1286" s="38" t="n">
        <f aca="false">Sens!$J$1286*(1+Sens!$K$1287)</f>
        <v>77.9770283210907</v>
      </c>
      <c r="L1286" s="38" t="n">
        <f aca="false">Sens!$K$1286*(1+Sens!$L$1287)</f>
        <v>83.4354203035671</v>
      </c>
      <c r="M1286" s="38" t="n">
        <f aca="false">Sens!$L$1286*(1+Sens!$M$1287)</f>
        <v>89.2758997248168</v>
      </c>
      <c r="N1286" s="38" t="n">
        <f aca="false">Q!$N$14</f>
        <v>23.923</v>
      </c>
      <c r="O1286" s="38" t="n">
        <f aca="false">Q!$O$14</f>
        <v>25.696</v>
      </c>
      <c r="P1286" s="8" t="s">
        <v>667</v>
      </c>
    </row>
    <row r="1287" customFormat="false" ht="17.15" hidden="false" customHeight="false" outlineLevel="0" collapsed="false">
      <c r="A1287" s="0" t="s">
        <v>676</v>
      </c>
      <c r="B1287" s="0" t="s">
        <v>52</v>
      </c>
      <c r="E1287" s="13" t="n">
        <f aca="false">Sens!$E$1286/Sens!$N$1286-1</f>
        <v>0.135183714417088</v>
      </c>
      <c r="F1287" s="13" t="n">
        <f aca="false">Sens!$O$1286/(Q!$F$14+Q!$G$14)-1</f>
        <v>0.127709997366804</v>
      </c>
      <c r="G1287" s="13" t="n">
        <f aca="false">Sens!$G$1286/Sens!$D$1286-1</f>
        <v>0.107104468022641</v>
      </c>
      <c r="H1287" s="13" t="n">
        <f aca="false">Sens!$F$1287+(g_sub-Sens!$F$1287)*1/4</f>
        <v>0.113282498025103</v>
      </c>
      <c r="I1287" s="13" t="n">
        <f aca="false">Sens!$F$1287+(g_sub-Sens!$F$1287)*2/4</f>
        <v>0.0988549986834021</v>
      </c>
      <c r="J1287" s="13" t="n">
        <f aca="false">Sens!$F$1287+(g_sub-Sens!$F$1287)*3/4</f>
        <v>0.084427499341701</v>
      </c>
      <c r="K1287" s="13" t="n">
        <f aca="false">Sens!$F$1287+(g_sub-Sens!$F$1287)*4/4</f>
        <v>0.07</v>
      </c>
      <c r="L1287" s="13" t="n">
        <f aca="false">g_sub</f>
        <v>0.07</v>
      </c>
      <c r="M1287" s="13" t="n">
        <f aca="false">g_sub</f>
        <v>0.07</v>
      </c>
      <c r="P1287" s="8" t="s">
        <v>677</v>
      </c>
    </row>
    <row r="1288" customFormat="false" ht="17.15" hidden="false" customHeight="false" outlineLevel="0" collapsed="false">
      <c r="A1288" s="0" t="s">
        <v>524</v>
      </c>
      <c r="B1288" s="0" t="s">
        <v>86</v>
      </c>
      <c r="C1288" s="38" t="n">
        <f aca="false">Q!$D$15</f>
        <v>5.425</v>
      </c>
      <c r="D1288" s="38" t="n">
        <f aca="false">Q!$E$15</f>
        <v>5.935</v>
      </c>
      <c r="E1288" s="38" t="n">
        <f aca="false">Q!$P$15</f>
        <v>3.474</v>
      </c>
      <c r="F1288" s="38" t="n">
        <f aca="false">Sens!$O$1288*(1+Sens!$F$1289)*Sens!$F$1290</f>
        <v>3.22246550883619</v>
      </c>
      <c r="G1288" s="38" t="n">
        <f aca="false">Sens!$E$1288+Sens!$F$1288</f>
        <v>6.69646550883619</v>
      </c>
      <c r="H1288" s="38" t="n">
        <f aca="false">Sens!$G$1288*(1+Sens!$H$1289)</f>
        <v>7.16251344209196</v>
      </c>
      <c r="I1288" s="38" t="n">
        <f aca="false">Sens!$H$1288*(1+Sens!$I$1289)</f>
        <v>7.61421070299826</v>
      </c>
      <c r="J1288" s="38" t="n">
        <f aca="false">Sens!$I$1288*(1+Sens!$J$1289)</f>
        <v>8.04465753523932</v>
      </c>
      <c r="K1288" s="38" t="n">
        <f aca="false">Sens!$J$1288*(1+Sens!$K$1289)</f>
        <v>8.44689041200128</v>
      </c>
      <c r="L1288" s="38" t="n">
        <f aca="false">Sens!$K$1288*(1+Sens!$L$1289)</f>
        <v>8.86923493260135</v>
      </c>
      <c r="M1288" s="38" t="n">
        <f aca="false">Sens!$L$1288*(1+Sens!$M$1289)</f>
        <v>9.31269667923142</v>
      </c>
      <c r="N1288" s="38" t="n">
        <f aca="false">Q!$N$15</f>
        <v>2.811</v>
      </c>
      <c r="O1288" s="38" t="n">
        <f aca="false">Q!$O$15</f>
        <v>3.124</v>
      </c>
      <c r="P1288" s="8" t="s">
        <v>667</v>
      </c>
    </row>
    <row r="1289" customFormat="false" ht="17.15" hidden="false" customHeight="false" outlineLevel="0" collapsed="false">
      <c r="A1289" s="0" t="s">
        <v>678</v>
      </c>
      <c r="B1289" s="0" t="s">
        <v>52</v>
      </c>
      <c r="E1289" s="13" t="n">
        <f aca="false">Sens!$E$1288/Sens!$N$1288-1</f>
        <v>0.235859124866596</v>
      </c>
      <c r="F1289" s="13" t="n">
        <f aca="false">Sens!$O$1288/(Q!$F$15+Q!$G$15)-1</f>
        <v>0.0761281433000345</v>
      </c>
      <c r="G1289" s="13" t="n">
        <f aca="false">Sens!$G$1288/Sens!$D$1288-1</f>
        <v>0.128300843948811</v>
      </c>
      <c r="H1289" s="13" t="n">
        <f aca="false">Sens!$F$1289+(g_ot-Sens!$F$1289)*1/4</f>
        <v>0.0695961074750259</v>
      </c>
      <c r="I1289" s="13" t="n">
        <f aca="false">Sens!$F$1289+(g_ot-Sens!$F$1289)*2/4</f>
        <v>0.0630640716500172</v>
      </c>
      <c r="J1289" s="13" t="n">
        <f aca="false">Sens!$F$1289+(g_ot-Sens!$F$1289)*3/4</f>
        <v>0.0565320358250086</v>
      </c>
      <c r="K1289" s="13" t="n">
        <f aca="false">Sens!$F$1289+(g_ot-Sens!$F$1289)*4/4</f>
        <v>0.05</v>
      </c>
      <c r="L1289" s="13" t="n">
        <f aca="false">g_ot</f>
        <v>0.05</v>
      </c>
      <c r="M1289" s="13" t="n">
        <f aca="false">g_ot</f>
        <v>0.05</v>
      </c>
      <c r="P1289" s="8" t="s">
        <v>679</v>
      </c>
    </row>
    <row r="1290" customFormat="false" ht="17.15" hidden="false" customHeight="false" outlineLevel="0" collapsed="false">
      <c r="A1290" s="0" t="s">
        <v>680</v>
      </c>
      <c r="B1290" s="0" t="s">
        <v>57</v>
      </c>
      <c r="F1290" s="40" t="n">
        <f aca="false">(g26q3_mid*Q!$O$8/Q!$J$8-Thesis!$F$86-Thesis!$F$90)/(Sens!$O$1278*(1+Sens!$F$1279)+Sens!$O$1280*(1+Sens!$F$1281)+Sens!$O$1282*(1+Sens!$F$1283)+Sens!$O$1284*(1+Sens!$F$1285)+Sens!$O$1286*(1+Sens!$F$1287)+Sens!$O$1288*(1+Sens!$F$1289))</f>
        <v>0.958546670622329</v>
      </c>
      <c r="P1290" s="8" t="s">
        <v>681</v>
      </c>
    </row>
    <row r="1291" customFormat="false" ht="17.15" hidden="false" customHeight="false" outlineLevel="0" collapsed="false">
      <c r="A1291" s="3" t="s">
        <v>682</v>
      </c>
      <c r="B1291" s="8" t="s">
        <v>86</v>
      </c>
      <c r="C1291" s="38" t="n">
        <f aca="false">Sens!$C$1278+Sens!$C$1280+Sens!$C$1282+Sens!$C$1284+Sens!$C$1286+Sens!$C$1288</f>
        <v>530.403</v>
      </c>
      <c r="D1291" s="38" t="n">
        <f aca="false">Sens!$D$1278+Sens!$D$1280+Sens!$D$1282+Sens!$D$1284+Sens!$D$1286+Sens!$D$1288</f>
        <v>588.199</v>
      </c>
      <c r="E1291" s="38" t="n">
        <f aca="false">Sens!$E$1278+Sens!$E$1280+Sens!$E$1282+Sens!$E$1284+Sens!$E$1286+Sens!$E$1288</f>
        <v>302.306</v>
      </c>
      <c r="F1291" s="38" t="n">
        <f aca="false">Sens!$F$1278+Sens!$F$1280+Sens!$F$1282+Sens!$F$1284+Sens!$F$1286+Sens!$F$1288</f>
        <v>349.048241645537</v>
      </c>
      <c r="G1291" s="38" t="n">
        <f aca="false">Sens!$G$1278+Sens!$G$1280+Sens!$G$1282+Sens!$G$1284+Sens!$G$1286+Sens!$G$1288</f>
        <v>651.354241645537</v>
      </c>
      <c r="H1291" s="38" t="n">
        <f aca="false">Sens!$H$1278+Sens!$H$1280+Sens!$H$1282+Sens!$H$1284+Sens!$H$1286+Sens!$H$1288</f>
        <v>721.096889521386</v>
      </c>
      <c r="I1291" s="38" t="n">
        <f aca="false">Sens!$I$1278+Sens!$I$1280+Sens!$I$1282+Sens!$I$1284+Sens!$I$1286+Sens!$I$1288</f>
        <v>788.529391152531</v>
      </c>
      <c r="J1291" s="38" t="n">
        <f aca="false">Sens!$J$1278+Sens!$J$1280+Sens!$J$1282+Sens!$J$1284+Sens!$J$1286+Sens!$J$1288</f>
        <v>851.108405741443</v>
      </c>
      <c r="K1291" s="38" t="n">
        <f aca="false">Sens!$K$1278+Sens!$K$1280+Sens!$K$1282+Sens!$K$1284+Sens!$K$1286+Sens!$K$1288</f>
        <v>906.176455431088</v>
      </c>
      <c r="L1291" s="38" t="n">
        <f aca="false">Sens!$L$1278+Sens!$L$1280+Sens!$L$1282+Sens!$L$1284+Sens!$L$1286+Sens!$L$1288</f>
        <v>965.093106475589</v>
      </c>
      <c r="M1291" s="38" t="n">
        <f aca="false">Sens!$M$1278+Sens!$M$1280+Sens!$M$1282+Sens!$M$1284+Sens!$M$1286+Sens!$M$1288</f>
        <v>1028.14790794689</v>
      </c>
      <c r="N1291" s="38" t="n">
        <f aca="false">Sens!$N$1278+Sens!$N$1280+Sens!$N$1282+Sens!$N$1284+Sens!$N$1286+Sens!$N$1288</f>
        <v>263.229</v>
      </c>
      <c r="O1291" s="38" t="n">
        <f aca="false">Sens!$O$1278+Sens!$O$1280+Sens!$O$1282+Sens!$O$1284+Sens!$O$1286+Sens!$O$1288</f>
        <v>324.97</v>
      </c>
    </row>
    <row r="1292" customFormat="false" ht="17.15" hidden="false" customHeight="false" outlineLevel="0" collapsed="false">
      <c r="A1292" s="5" t="s">
        <v>683</v>
      </c>
      <c r="B1292" s="0" t="s">
        <v>52</v>
      </c>
      <c r="C1292" s="13" t="n">
        <f aca="false">Q!$D$5/(Q!$D$5+Q!$D$6)</f>
        <v>0.730570905519011</v>
      </c>
      <c r="D1292" s="13" t="n">
        <f aca="false">Q!$E$5/(Q!$E$5+Q!$E$6)</f>
        <v>0.724763217890544</v>
      </c>
      <c r="E1292" s="13" t="n">
        <f aca="false">Q!$P$5/(Q!$P$5+Q!$P$6)</f>
        <v>0.728797972914861</v>
      </c>
      <c r="F1292" s="13" t="n">
        <f aca="false">Sens!$O$1292</f>
        <v>0.718066283041511</v>
      </c>
      <c r="G1292" s="13" t="n">
        <f aca="false">Sens!$G$1293/Sens!$G$1291</f>
        <v>0.723047066202847</v>
      </c>
      <c r="H1292" s="13" t="n">
        <f aca="false">Sens!$G$1292</f>
        <v>0.723047066202847</v>
      </c>
      <c r="I1292" s="13" t="n">
        <f aca="false">Sens!$G$1292</f>
        <v>0.723047066202847</v>
      </c>
      <c r="J1292" s="13" t="n">
        <f aca="false">Sens!$G$1292</f>
        <v>0.723047066202847</v>
      </c>
      <c r="K1292" s="13" t="n">
        <f aca="false">Sens!$G$1292</f>
        <v>0.723047066202847</v>
      </c>
      <c r="L1292" s="13" t="n">
        <f aca="false">Sens!$G$1292</f>
        <v>0.723047066202847</v>
      </c>
      <c r="M1292" s="13" t="n">
        <f aca="false">Sens!$G$1292</f>
        <v>0.723047066202847</v>
      </c>
      <c r="N1292" s="13" t="n">
        <f aca="false">Q!$N$5/(Q!$N$5+Q!$N$6)</f>
        <v>0.733030935041352</v>
      </c>
      <c r="O1292" s="13" t="n">
        <f aca="false">Q!$O$5/(Q!$O$5+Q!$O$6)</f>
        <v>0.718066283041511</v>
      </c>
      <c r="P1292" s="8" t="s">
        <v>684</v>
      </c>
    </row>
    <row r="1293" customFormat="false" ht="17.15" hidden="false" customHeight="false" outlineLevel="0" collapsed="false">
      <c r="A1293" s="1" t="s">
        <v>512</v>
      </c>
      <c r="B1293" s="8" t="s">
        <v>86</v>
      </c>
      <c r="C1293" s="38" t="n">
        <f aca="false">Q!$D$5</f>
        <v>387.497</v>
      </c>
      <c r="D1293" s="38" t="n">
        <f aca="false">Q!$E$5</f>
        <v>426.305</v>
      </c>
      <c r="E1293" s="38" t="n">
        <f aca="false">Q!$P$5</f>
        <v>220.32</v>
      </c>
      <c r="F1293" s="38" t="n">
        <f aca="false">Sens!$F$1291*Sens!$F$1292</f>
        <v>250.639773480586</v>
      </c>
      <c r="G1293" s="38" t="n">
        <f aca="false">Sens!$E$1293+Sens!$F$1293</f>
        <v>470.959773480586</v>
      </c>
      <c r="H1293" s="38" t="n">
        <f aca="false">Sens!$H$1291*Sens!$H$1292</f>
        <v>521.386990416437</v>
      </c>
      <c r="I1293" s="38" t="n">
        <f aca="false">Sens!$I$1291*Sens!$I$1292</f>
        <v>570.143862887555</v>
      </c>
      <c r="J1293" s="38" t="n">
        <f aca="false">Sens!$J$1291*Sens!$J$1292</f>
        <v>615.391435791933</v>
      </c>
      <c r="K1293" s="38" t="n">
        <f aca="false">Sens!$K$1291*Sens!$K$1292</f>
        <v>655.208227561543</v>
      </c>
      <c r="L1293" s="38" t="n">
        <f aca="false">Sens!$L$1291*Sens!$L$1292</f>
        <v>697.807739249767</v>
      </c>
      <c r="M1293" s="38" t="n">
        <f aca="false">Sens!$M$1291*Sens!$M$1292</f>
        <v>743.399328463592</v>
      </c>
      <c r="N1293" s="38" t="n">
        <f aca="false">Q!$N$5</f>
        <v>192.955</v>
      </c>
      <c r="O1293" s="38" t="n">
        <f aca="false">Q!$O$5</f>
        <v>233.35</v>
      </c>
      <c r="P1293" s="5" t="s">
        <v>685</v>
      </c>
    </row>
    <row r="1294" customFormat="false" ht="17.15" hidden="false" customHeight="false" outlineLevel="0" collapsed="false">
      <c r="A1294" s="1" t="s">
        <v>515</v>
      </c>
      <c r="B1294" s="8" t="s">
        <v>86</v>
      </c>
      <c r="C1294" s="38" t="n">
        <f aca="false">Q!$D$6</f>
        <v>142.906</v>
      </c>
      <c r="D1294" s="38" t="n">
        <f aca="false">Q!$E$6</f>
        <v>161.894</v>
      </c>
      <c r="E1294" s="38" t="n">
        <f aca="false">Q!$P$6</f>
        <v>81.986</v>
      </c>
      <c r="F1294" s="38" t="n">
        <f aca="false">Sens!$F$1291*(1-Sens!$F$1292)</f>
        <v>98.408468164951</v>
      </c>
      <c r="G1294" s="38" t="n">
        <f aca="false">Sens!$E$1294+Sens!$F$1294</f>
        <v>180.394468164951</v>
      </c>
      <c r="H1294" s="38" t="n">
        <f aca="false">Sens!$H$1291*(1-Sens!$H$1292)</f>
        <v>199.709899104949</v>
      </c>
      <c r="I1294" s="38" t="n">
        <f aca="false">Sens!$I$1291*(1-Sens!$I$1292)</f>
        <v>218.385528264976</v>
      </c>
      <c r="J1294" s="38" t="n">
        <f aca="false">Sens!$J$1291*(1-Sens!$J$1292)</f>
        <v>235.71696994951</v>
      </c>
      <c r="K1294" s="38" t="n">
        <f aca="false">Sens!$K$1291*(1-Sens!$K$1292)</f>
        <v>250.968227869545</v>
      </c>
      <c r="L1294" s="38" t="n">
        <f aca="false">Sens!$L$1291*(1-Sens!$L$1292)</f>
        <v>267.285367225822</v>
      </c>
      <c r="M1294" s="38" t="n">
        <f aca="false">Sens!$M$1291*(1-Sens!$M$1292)</f>
        <v>284.748579483295</v>
      </c>
      <c r="N1294" s="38" t="n">
        <f aca="false">Q!$N$6</f>
        <v>70.274</v>
      </c>
      <c r="O1294" s="38" t="n">
        <f aca="false">Q!$O$6</f>
        <v>91.62</v>
      </c>
      <c r="P1294" s="5" t="s">
        <v>686</v>
      </c>
    </row>
    <row r="1295" customFormat="false" ht="17.15" hidden="false" customHeight="false" outlineLevel="0" collapsed="false">
      <c r="A1295" s="5" t="s">
        <v>687</v>
      </c>
      <c r="B1295" s="0" t="s">
        <v>86</v>
      </c>
      <c r="C1295" s="38" t="n">
        <f aca="false">Sens!$C$1284*Sens!$C$1292</f>
        <v>41.0683128828457</v>
      </c>
      <c r="D1295" s="38" t="n">
        <f aca="false">Sens!$D$1284*Sens!$D$1292</f>
        <v>49.7441234599175</v>
      </c>
      <c r="E1295" s="38" t="n">
        <f aca="false">Sens!$E$1284*Sens!$E$1292</f>
        <v>27.0034224924414</v>
      </c>
      <c r="F1295" s="38" t="n">
        <f aca="false">Sens!$F$1284*Sens!$F$1292</f>
        <v>33.1439448330513</v>
      </c>
      <c r="G1295" s="38" t="n">
        <f aca="false">Sens!$G$1284*Sens!$G$1292</f>
        <v>60.164183844083</v>
      </c>
      <c r="H1295" s="38" t="n">
        <f aca="false">Sens!$H$1284*Sens!$H$1292</f>
        <v>72.2301766552629</v>
      </c>
      <c r="I1295" s="38" t="n">
        <f aca="false">Sens!$I$1284*Sens!$I$1292</f>
        <v>84.2950764463991</v>
      </c>
      <c r="J1295" s="38" t="n">
        <f aca="false">Sens!$J$1284*Sens!$J$1292</f>
        <v>95.5499047729386</v>
      </c>
      <c r="K1295" s="38" t="n">
        <f aca="false">Sens!$K$1284*Sens!$K$1292</f>
        <v>105.104895250232</v>
      </c>
      <c r="L1295" s="38" t="n">
        <f aca="false">Sens!$L$1284*Sens!$L$1292</f>
        <v>115.615384775256</v>
      </c>
      <c r="M1295" s="38" t="n">
        <f aca="false">Sens!$M$1284*Sens!$M$1292</f>
        <v>127.176923252781</v>
      </c>
      <c r="N1295" s="38" t="n">
        <f aca="false">Sens!$N$1284*Sens!$N$1292</f>
        <v>21.7087111412496</v>
      </c>
      <c r="O1295" s="38" t="n">
        <f aca="false">Sens!$O$1284*Sens!$O$1292</f>
        <v>28.0189463642798</v>
      </c>
      <c r="P1295" s="5" t="s">
        <v>688</v>
      </c>
    </row>
    <row r="1296" customFormat="false" ht="15" hidden="false" customHeight="false" outlineLevel="0" collapsed="false">
      <c r="A1296" s="5" t="s">
        <v>689</v>
      </c>
      <c r="B1296" s="0" t="s">
        <v>86</v>
      </c>
      <c r="C1296" s="38" t="n">
        <f aca="false">Sens!$C$1284-Sens!$C$1295</f>
        <v>15.1456871171543</v>
      </c>
      <c r="D1296" s="38" t="n">
        <f aca="false">Sens!$D$1284-Sens!$D$1295</f>
        <v>18.8908765400825</v>
      </c>
      <c r="E1296" s="38" t="n">
        <f aca="false">Sens!$E$1284-Sens!$E$1295</f>
        <v>10.0485775075586</v>
      </c>
      <c r="F1296" s="38" t="n">
        <f aca="false">Sens!$F$1284-Sens!$F$1295</f>
        <v>13.0132771613635</v>
      </c>
      <c r="G1296" s="38" t="n">
        <f aca="false">Sens!$G$1284-Sens!$G$1295</f>
        <v>23.0450381503318</v>
      </c>
      <c r="H1296" s="38" t="n">
        <f aca="false">Sens!$H$1284-Sens!$H$1295</f>
        <v>27.6667457326347</v>
      </c>
      <c r="I1296" s="38" t="n">
        <f aca="false">Sens!$I$1284-Sens!$I$1295</f>
        <v>32.2880346490971</v>
      </c>
      <c r="J1296" s="38" t="n">
        <f aca="false">Sens!$J$1284-Sens!$J$1295</f>
        <v>36.5990371690132</v>
      </c>
      <c r="K1296" s="38" t="n">
        <f aca="false">Sens!$K$1284-Sens!$K$1295</f>
        <v>40.2589408859145</v>
      </c>
      <c r="L1296" s="38" t="n">
        <f aca="false">Sens!$L$1284-Sens!$L$1295</f>
        <v>44.2848349745059</v>
      </c>
      <c r="M1296" s="38" t="n">
        <f aca="false">Sens!$M$1284-Sens!$M$1295</f>
        <v>48.7133184719565</v>
      </c>
      <c r="N1296" s="38" t="n">
        <f aca="false">Sens!$N$1284-Sens!$N$1295</f>
        <v>7.90628885875037</v>
      </c>
      <c r="O1296" s="38" t="n">
        <f aca="false">Sens!$O$1284-Sens!$O$1295</f>
        <v>11.0010536357202</v>
      </c>
    </row>
    <row r="1297" customFormat="false" ht="19.4" hidden="false" customHeight="false" outlineLevel="0" collapsed="false">
      <c r="A1297" s="31" t="s">
        <v>1161</v>
      </c>
    </row>
    <row r="1298" customFormat="false" ht="17.15" hidden="false" customHeight="false" outlineLevel="0" collapsed="false">
      <c r="A1298" s="6" t="s">
        <v>16</v>
      </c>
      <c r="B1298" s="6" t="s">
        <v>17</v>
      </c>
      <c r="C1298" s="20" t="s">
        <v>497</v>
      </c>
      <c r="D1298" s="20" t="s">
        <v>498</v>
      </c>
      <c r="E1298" s="20" t="s">
        <v>580</v>
      </c>
      <c r="F1298" s="20" t="s">
        <v>581</v>
      </c>
      <c r="G1298" s="20" t="s">
        <v>582</v>
      </c>
      <c r="H1298" s="20" t="s">
        <v>583</v>
      </c>
      <c r="I1298" s="20" t="s">
        <v>584</v>
      </c>
      <c r="J1298" s="20" t="s">
        <v>585</v>
      </c>
      <c r="K1298" s="20" t="s">
        <v>586</v>
      </c>
      <c r="L1298" s="20" t="s">
        <v>587</v>
      </c>
      <c r="M1298" s="20" t="s">
        <v>588</v>
      </c>
      <c r="N1298" s="20" t="s">
        <v>589</v>
      </c>
      <c r="O1298" s="20" t="s">
        <v>590</v>
      </c>
      <c r="P1298" s="6" t="s">
        <v>23</v>
      </c>
      <c r="R1298" s="20" t="n">
        <v>2023</v>
      </c>
      <c r="S1298" s="20" t="n">
        <v>2024</v>
      </c>
      <c r="T1298" s="20" t="n">
        <v>2025</v>
      </c>
      <c r="U1298" s="20" t="n">
        <v>2026</v>
      </c>
      <c r="V1298" s="20" t="n">
        <v>2027</v>
      </c>
      <c r="W1298" s="20" t="n">
        <v>2028</v>
      </c>
      <c r="X1298" s="20" t="n">
        <v>2029</v>
      </c>
      <c r="Y1298" s="20" t="n">
        <v>2030</v>
      </c>
      <c r="Z1298" s="20" t="n">
        <v>2031</v>
      </c>
      <c r="AA1298" s="20" t="n">
        <v>2032</v>
      </c>
    </row>
    <row r="1299" customFormat="false" ht="17.15" hidden="false" customHeight="false" outlineLevel="0" collapsed="false">
      <c r="A1299" s="1" t="s">
        <v>591</v>
      </c>
    </row>
    <row r="1300" customFormat="false" ht="17.15" hidden="false" customHeight="false" outlineLevel="0" collapsed="false">
      <c r="A1300" s="5" t="s">
        <v>592</v>
      </c>
      <c r="B1300" s="0" t="s">
        <v>144</v>
      </c>
      <c r="H1300" s="32" t="n">
        <f aca="false">(pace_B*0.75)</f>
        <v>2725.725</v>
      </c>
      <c r="I1300" s="32" t="n">
        <f aca="false">(pace_B*0.75)</f>
        <v>2725.725</v>
      </c>
      <c r="J1300" s="32" t="n">
        <f aca="false">(pace_B*0.75)</f>
        <v>2725.725</v>
      </c>
      <c r="K1300" s="32" t="n">
        <f aca="false">(pace_B*0.75)+(Sens!$J$1301*tg-(pace_B*0.75))*1/3</f>
        <v>1933.350375</v>
      </c>
      <c r="L1300" s="32" t="n">
        <f aca="false">(pace_B*0.75)+(Sens!$J$1301*tg-(pace_B*0.75))*2/3</f>
        <v>1140.97575</v>
      </c>
      <c r="M1300" s="32" t="n">
        <f aca="false">(pace_B*0.75)+(Sens!$J$1301*tg-(pace_B*0.75))*3/3</f>
        <v>348.601125</v>
      </c>
      <c r="P1300" s="5" t="s">
        <v>593</v>
      </c>
    </row>
    <row r="1301" customFormat="false" ht="17.15" hidden="false" customHeight="false" outlineLevel="0" collapsed="false">
      <c r="A1301" s="15" t="s">
        <v>594</v>
      </c>
      <c r="B1301" s="14" t="s">
        <v>129</v>
      </c>
      <c r="C1301" s="33" t="n">
        <f aca="false">mw_ye24</f>
        <v>360</v>
      </c>
      <c r="D1301" s="33" t="n">
        <f aca="false">mw_ye25</f>
        <v>1440</v>
      </c>
      <c r="E1301" s="33" t="n">
        <f aca="false">mw_open</f>
        <v>2080</v>
      </c>
      <c r="F1301" s="33" t="n">
        <f aca="false">Sens!$E$1301+(pace_B*0.75)*0.5</f>
        <v>3442.8625</v>
      </c>
      <c r="G1301" s="33" t="n">
        <f aca="false">Sens!$F$1301</f>
        <v>3442.8625</v>
      </c>
      <c r="H1301" s="33" t="n">
        <f aca="false">Sens!$G$1301+Sens!$H$1300</f>
        <v>6168.5875</v>
      </c>
      <c r="I1301" s="33" t="n">
        <f aca="false">Sens!$H$1301+Sens!$I$1300</f>
        <v>8894.3125</v>
      </c>
      <c r="J1301" s="33" t="n">
        <f aca="false">Sens!$I$1301+Sens!$J$1300</f>
        <v>11620.0375</v>
      </c>
      <c r="K1301" s="33" t="n">
        <f aca="false">Sens!$J$1301+Sens!$K$1300</f>
        <v>13553.387875</v>
      </c>
      <c r="L1301" s="33" t="n">
        <f aca="false">Sens!$K$1301+Sens!$L$1300</f>
        <v>14694.363625</v>
      </c>
      <c r="M1301" s="33" t="n">
        <f aca="false">Sens!$L$1301+Sens!$M$1300</f>
        <v>15042.96475</v>
      </c>
      <c r="N1301" s="33" t="n">
        <f aca="false">(mw_ye24+mw_ye25)/2</f>
        <v>900</v>
      </c>
      <c r="O1301" s="33" t="n">
        <f aca="false">mw_ye25</f>
        <v>1440</v>
      </c>
      <c r="P1301" s="5" t="s">
        <v>595</v>
      </c>
    </row>
    <row r="1302" customFormat="false" ht="17.15" hidden="false" customHeight="false" outlineLevel="0" collapsed="false">
      <c r="A1302" s="5" t="s">
        <v>596</v>
      </c>
      <c r="B1302" s="0" t="s">
        <v>129</v>
      </c>
      <c r="C1302" s="32" t="n">
        <f aca="false">(mw_ye23+mw_ye24)/2</f>
        <v>240</v>
      </c>
      <c r="D1302" s="32" t="n">
        <f aca="false">(Sens!$C$1301+Sens!$D$1301)/2</f>
        <v>900</v>
      </c>
      <c r="E1302" s="32" t="n">
        <f aca="false">(Sens!$D$1301+Sens!$E$1301)/2</f>
        <v>1760</v>
      </c>
      <c r="F1302" s="32" t="n">
        <f aca="false">(Sens!$E$1301+Sens!$F$1301)/2</f>
        <v>2761.43125</v>
      </c>
      <c r="G1302" s="32" t="n">
        <f aca="false">(Sens!$E$1302+Sens!$F$1302)/2</f>
        <v>2260.715625</v>
      </c>
      <c r="H1302" s="32" t="n">
        <f aca="false">(Sens!$G$1301+Sens!$H$1301)/2</f>
        <v>4805.725</v>
      </c>
      <c r="I1302" s="32" t="n">
        <f aca="false">(Sens!$H$1301+Sens!$I$1301)/2</f>
        <v>7531.45</v>
      </c>
      <c r="J1302" s="32" t="n">
        <f aca="false">(Sens!$I$1301+Sens!$J$1301)/2</f>
        <v>10257.175</v>
      </c>
      <c r="K1302" s="32" t="n">
        <f aca="false">(Sens!$J$1301+Sens!$K$1301)/2</f>
        <v>12586.7126875</v>
      </c>
      <c r="L1302" s="32" t="n">
        <f aca="false">(Sens!$K$1301+Sens!$L$1301)/2</f>
        <v>14123.87575</v>
      </c>
      <c r="M1302" s="32" t="n">
        <f aca="false">(Sens!$L$1301+Sens!$M$1301)/2</f>
        <v>14868.6641875</v>
      </c>
      <c r="N1302" s="32" t="n">
        <f aca="false">(Sens!$C$1301+Sens!$N$1301)/2</f>
        <v>630</v>
      </c>
      <c r="O1302" s="32" t="n">
        <f aca="false">(Sens!$N$1301+Sens!$O$1301)/2</f>
        <v>1170</v>
      </c>
    </row>
    <row r="1303" customFormat="false" ht="15" hidden="false" customHeight="false" outlineLevel="0" collapsed="false">
      <c r="A1303" s="5" t="s">
        <v>597</v>
      </c>
      <c r="B1303" s="5" t="s">
        <v>123</v>
      </c>
      <c r="C1303" s="34" t="n">
        <v>1</v>
      </c>
      <c r="D1303" s="34" t="n">
        <v>1</v>
      </c>
      <c r="E1303" s="34" t="n">
        <v>0.5</v>
      </c>
      <c r="F1303" s="34" t="n">
        <v>0.5</v>
      </c>
      <c r="G1303" s="34" t="n">
        <v>1</v>
      </c>
      <c r="H1303" s="34" t="n">
        <v>1</v>
      </c>
      <c r="I1303" s="34" t="n">
        <v>1</v>
      </c>
      <c r="J1303" s="34" t="n">
        <v>1</v>
      </c>
      <c r="K1303" s="34" t="n">
        <v>1</v>
      </c>
      <c r="L1303" s="34" t="n">
        <v>1</v>
      </c>
      <c r="M1303" s="34" t="n">
        <v>1</v>
      </c>
      <c r="N1303" s="34" t="n">
        <v>0.5</v>
      </c>
      <c r="O1303" s="34" t="n">
        <v>0.5</v>
      </c>
    </row>
    <row r="1304" customFormat="false" ht="17.15" hidden="false" customHeight="false" outlineLevel="0" collapsed="false">
      <c r="A1304" s="5" t="s">
        <v>598</v>
      </c>
      <c r="B1304" s="0" t="s">
        <v>129</v>
      </c>
      <c r="C1304" s="32" t="n">
        <f aca="false">Sens!$C$1301-mw_ye23</f>
        <v>240</v>
      </c>
      <c r="D1304" s="32" t="n">
        <f aca="false">Sens!$D$1301-Sens!$C$1301</f>
        <v>1080</v>
      </c>
      <c r="E1304" s="32" t="n">
        <f aca="false">Sens!$E$1301-Sens!$D$1301</f>
        <v>640</v>
      </c>
      <c r="F1304" s="32" t="n">
        <f aca="false">Sens!$F$1301-Sens!$E$1301</f>
        <v>1362.8625</v>
      </c>
      <c r="G1304" s="32" t="n">
        <f aca="false">Sens!$E$1304+Sens!$F$1304</f>
        <v>2002.8625</v>
      </c>
      <c r="H1304" s="32" t="n">
        <f aca="false">Sens!$H$1301-Sens!$G$1301</f>
        <v>2725.725</v>
      </c>
      <c r="I1304" s="32" t="n">
        <f aca="false">Sens!$I$1301-Sens!$H$1301</f>
        <v>2725.725</v>
      </c>
      <c r="J1304" s="32" t="n">
        <f aca="false">Sens!$J$1301-Sens!$I$1301</f>
        <v>2725.725</v>
      </c>
      <c r="K1304" s="32" t="n">
        <f aca="false">Sens!$K$1301-Sens!$J$1301</f>
        <v>1933.350375</v>
      </c>
      <c r="L1304" s="32" t="n">
        <f aca="false">Sens!$L$1301-Sens!$K$1301</f>
        <v>1140.97575</v>
      </c>
      <c r="M1304" s="32" t="n">
        <f aca="false">Sens!$M$1301-Sens!$L$1301</f>
        <v>348.601124999999</v>
      </c>
      <c r="N1304" s="32" t="n">
        <f aca="false">Sens!$N$1301-Sens!$C$1301</f>
        <v>540</v>
      </c>
      <c r="O1304" s="32" t="n">
        <f aca="false">Sens!$O$1301-Sens!$N$1301</f>
        <v>540</v>
      </c>
    </row>
    <row r="1305" customFormat="false" ht="17.15" hidden="false" customHeight="false" outlineLevel="0" collapsed="false">
      <c r="A1305" s="5" t="s">
        <v>599</v>
      </c>
      <c r="B1305" s="0" t="s">
        <v>129</v>
      </c>
      <c r="C1305" s="32" t="n">
        <f aca="false">Sens!$C$1304/ext_sh</f>
        <v>300</v>
      </c>
      <c r="D1305" s="32" t="n">
        <f aca="false">Sens!$D$1304/ext_sh</f>
        <v>1350</v>
      </c>
      <c r="E1305" s="32" t="n">
        <f aca="false">Sens!$E$1304/ext_sh</f>
        <v>800</v>
      </c>
      <c r="F1305" s="32" t="n">
        <f aca="false">Sens!$F$1304/ext_sh</f>
        <v>1703.578125</v>
      </c>
      <c r="G1305" s="32" t="n">
        <f aca="false">Sens!$G$1304/ext_sh</f>
        <v>2503.578125</v>
      </c>
      <c r="H1305" s="32" t="n">
        <f aca="false">Sens!$H$1304/ext_sh</f>
        <v>3407.15625</v>
      </c>
      <c r="I1305" s="32" t="n">
        <f aca="false">Sens!$I$1304/ext_sh</f>
        <v>3407.15625</v>
      </c>
      <c r="J1305" s="32" t="n">
        <f aca="false">Sens!$J$1304/ext_sh</f>
        <v>3407.15625</v>
      </c>
      <c r="K1305" s="32" t="n">
        <f aca="false">Sens!$K$1304/ext_sh</f>
        <v>2416.68796875</v>
      </c>
      <c r="L1305" s="32" t="n">
        <f aca="false">Sens!$L$1304/ext_sh</f>
        <v>1426.2196875</v>
      </c>
      <c r="M1305" s="32" t="n">
        <f aca="false">Sens!$M$1304/ext_sh</f>
        <v>435.751406249999</v>
      </c>
      <c r="N1305" s="32" t="n">
        <f aca="false">Sens!$N$1304/ext_sh</f>
        <v>675</v>
      </c>
      <c r="O1305" s="32" t="n">
        <f aca="false">Sens!$O$1304/ext_sh</f>
        <v>675</v>
      </c>
      <c r="P1305" s="8" t="s">
        <v>600</v>
      </c>
      <c r="R1305" s="32" t="n">
        <f aca="false">mw_ye23/ext_sh</f>
        <v>150</v>
      </c>
      <c r="S1305" s="32" t="n">
        <f aca="false">Sens!$C$1305</f>
        <v>300</v>
      </c>
      <c r="T1305" s="32" t="n">
        <f aca="false">Sens!$D$1305</f>
        <v>1350</v>
      </c>
      <c r="U1305" s="32" t="n">
        <f aca="false">Sens!$G$1305</f>
        <v>2503.578125</v>
      </c>
      <c r="V1305" s="32" t="n">
        <f aca="false">Sens!$H$1305</f>
        <v>3407.15625</v>
      </c>
      <c r="W1305" s="32" t="n">
        <f aca="false">Sens!$I$1305</f>
        <v>3407.15625</v>
      </c>
      <c r="X1305" s="32" t="n">
        <f aca="false">Sens!$J$1305</f>
        <v>3407.15625</v>
      </c>
      <c r="Y1305" s="32" t="n">
        <f aca="false">Sens!$K$1305</f>
        <v>2416.68796875</v>
      </c>
      <c r="Z1305" s="32" t="n">
        <f aca="false">Sens!$L$1305</f>
        <v>1426.2196875</v>
      </c>
      <c r="AA1305" s="32" t="n">
        <f aca="false">Sens!$M$1305</f>
        <v>435.751406249999</v>
      </c>
    </row>
    <row r="1306" customFormat="false" ht="17.15" hidden="false" customHeight="false" outlineLevel="0" collapsed="false">
      <c r="A1306" s="1" t="s">
        <v>601</v>
      </c>
    </row>
    <row r="1307" customFormat="false" ht="17.15" hidden="false" customHeight="false" outlineLevel="0" collapsed="false">
      <c r="A1307" s="0" t="s">
        <v>602</v>
      </c>
      <c r="B1307" s="0" t="s">
        <v>52</v>
      </c>
      <c r="F1307" s="35" t="n">
        <f aca="false">na_vr26</f>
        <v>0</v>
      </c>
      <c r="G1307" s="35" t="n">
        <f aca="false">na_vr26</f>
        <v>0</v>
      </c>
      <c r="H1307" s="35" t="n">
        <f aca="false">na_vr27</f>
        <v>0.5</v>
      </c>
      <c r="I1307" s="35" t="n">
        <f aca="false">na_vr28</f>
        <v>1</v>
      </c>
      <c r="J1307" s="35" t="n">
        <f aca="false">na_vr28</f>
        <v>1</v>
      </c>
      <c r="K1307" s="35" t="n">
        <f aca="false">na_vr28</f>
        <v>1</v>
      </c>
      <c r="L1307" s="35" t="n">
        <f aca="false">na_vr28</f>
        <v>1</v>
      </c>
      <c r="M1307" s="35" t="n">
        <f aca="false">na_vr28</f>
        <v>1</v>
      </c>
    </row>
    <row r="1308" customFormat="false" ht="17.15" hidden="false" customHeight="false" outlineLevel="0" collapsed="false">
      <c r="A1308" s="5" t="s">
        <v>603</v>
      </c>
      <c r="B1308" s="0" t="s">
        <v>173</v>
      </c>
      <c r="F1308" s="36" t="n">
        <f aca="false">cust_sh*tk_he_gb300*cf_chip+(1-cust_sh)*((1-Sens!$F$1307)*tk_he_gb300+Sens!$F$1307*tk_he_vr200)</f>
        <v>10.8864110021101</v>
      </c>
      <c r="G1308" s="36" t="n">
        <f aca="false">cust_sh*tk_he_gb300*cf_chip+(1-cust_sh)*((1-Sens!$G$1307)*tk_he_gb300+Sens!$G$1307*tk_he_vr200)</f>
        <v>10.8864110021101</v>
      </c>
      <c r="H1308" s="36" t="n">
        <f aca="false">cust_sh*tk_he_gb300*cf_chip+(1-cust_sh)*((1-Sens!$H$1307)*tk_he_gb300+Sens!$H$1307*tk_he_vr200)</f>
        <v>11.2211760027286</v>
      </c>
      <c r="I1308" s="36" t="n">
        <f aca="false">cust_sh*tk_he_gb300*cf_chip+(1-cust_sh)*((1-Sens!$I$1307)*tk_he_gb300+Sens!$I$1307*tk_he_vr200)</f>
        <v>11.5559410033471</v>
      </c>
      <c r="J1308" s="36" t="n">
        <f aca="false">cust_sh*tk_he_gb300*cf_chip+(1-cust_sh)*((1-Sens!$J$1307)*tk_he_gb300+Sens!$J$1307*tk_he_vr200)</f>
        <v>11.5559410033471</v>
      </c>
      <c r="K1308" s="36" t="n">
        <f aca="false">cust_sh*tk_he_gb300*cf_chip+(1-cust_sh)*((1-Sens!$K$1307)*tk_he_gb300+Sens!$K$1307*tk_he_vr200)</f>
        <v>11.5559410033471</v>
      </c>
      <c r="L1308" s="36" t="n">
        <f aca="false">cust_sh*tk_he_gb300*cf_chip+(1-cust_sh)*((1-Sens!$L$1307)*tk_he_gb300+Sens!$L$1307*tk_he_vr200)</f>
        <v>11.5559410033471</v>
      </c>
      <c r="M1308" s="36" t="n">
        <f aca="false">cust_sh*tk_he_gb300*cf_chip+(1-cust_sh)*((1-Sens!$M$1307)*tk_he_gb300+Sens!$M$1307*tk_he_vr200)</f>
        <v>11.5559410033471</v>
      </c>
    </row>
    <row r="1309" customFormat="false" ht="17.15" hidden="false" customHeight="false" outlineLevel="0" collapsed="false">
      <c r="A1309" s="5" t="s">
        <v>604</v>
      </c>
      <c r="B1309" s="0" t="s">
        <v>173</v>
      </c>
      <c r="F1309" s="36" t="n">
        <f aca="false">cust_sh*tk_ox_gb300+(1-cust_sh)*((1-Sens!$F$1307)*tk_ox_gb300+Sens!$F$1307*tk_ox_vr200)</f>
        <v>1.98263481314457</v>
      </c>
      <c r="G1309" s="36" t="n">
        <f aca="false">cust_sh*tk_ox_gb300+(1-cust_sh)*((1-Sens!$G$1307)*tk_ox_gb300+Sens!$G$1307*tk_ox_vr200)</f>
        <v>1.98263481314457</v>
      </c>
      <c r="H1309" s="36" t="n">
        <f aca="false">cust_sh*tk_ox_gb300+(1-cust_sh)*((1-Sens!$H$1307)*tk_ox_gb300+Sens!$H$1307*tk_ox_vr200)</f>
        <v>2.01034999693694</v>
      </c>
      <c r="I1309" s="36" t="n">
        <f aca="false">cust_sh*tk_ox_gb300+(1-cust_sh)*((1-Sens!$I$1307)*tk_ox_gb300+Sens!$I$1307*tk_ox_vr200)</f>
        <v>2.0380651807293</v>
      </c>
      <c r="J1309" s="36" t="n">
        <f aca="false">cust_sh*tk_ox_gb300+(1-cust_sh)*((1-Sens!$J$1307)*tk_ox_gb300+Sens!$J$1307*tk_ox_vr200)</f>
        <v>2.0380651807293</v>
      </c>
      <c r="K1309" s="36" t="n">
        <f aca="false">cust_sh*tk_ox_gb300+(1-cust_sh)*((1-Sens!$K$1307)*tk_ox_gb300+Sens!$K$1307*tk_ox_vr200)</f>
        <v>2.0380651807293</v>
      </c>
      <c r="L1309" s="36" t="n">
        <f aca="false">cust_sh*tk_ox_gb300+(1-cust_sh)*((1-Sens!$L$1307)*tk_ox_gb300+Sens!$L$1307*tk_ox_vr200)</f>
        <v>2.0380651807293</v>
      </c>
      <c r="M1309" s="36" t="n">
        <f aca="false">cust_sh*tk_ox_gb300+(1-cust_sh)*((1-Sens!$M$1307)*tk_ox_gb300+Sens!$M$1307*tk_ox_vr200)</f>
        <v>2.0380651807293</v>
      </c>
    </row>
    <row r="1310" customFormat="false" ht="17.15" hidden="false" customHeight="false" outlineLevel="0" collapsed="false">
      <c r="A1310" s="5" t="s">
        <v>605</v>
      </c>
      <c r="B1310" s="0" t="s">
        <v>192</v>
      </c>
      <c r="F1310" s="36" t="n">
        <f aca="false">cust_sh*tk_cx_gb300*cf_cx+(1-cust_sh)*((1-Sens!$F$1307)*tk_cx_gb300+Sens!$F$1307*tk_cx_vr200)</f>
        <v>32.237224</v>
      </c>
      <c r="G1310" s="36" t="n">
        <f aca="false">cust_sh*tk_cx_gb300*cf_cx+(1-cust_sh)*((1-Sens!$G$1307)*tk_cx_gb300+Sens!$G$1307*tk_cx_vr200)</f>
        <v>32.237224</v>
      </c>
      <c r="H1310" s="36" t="n">
        <f aca="false">cust_sh*tk_cx_gb300*cf_cx+(1-cust_sh)*((1-Sens!$H$1307)*tk_cx_gb300+Sens!$H$1307*tk_cx_vr200)</f>
        <v>33.574506</v>
      </c>
      <c r="I1310" s="36" t="n">
        <f aca="false">cust_sh*tk_cx_gb300*cf_cx+(1-cust_sh)*((1-Sens!$I$1307)*tk_cx_gb300+Sens!$I$1307*tk_cx_vr200)</f>
        <v>34.911788</v>
      </c>
      <c r="J1310" s="36" t="n">
        <f aca="false">cust_sh*tk_cx_gb300*cf_cx+(1-cust_sh)*((1-Sens!$J$1307)*tk_cx_gb300+Sens!$J$1307*tk_cx_vr200)</f>
        <v>34.911788</v>
      </c>
      <c r="K1310" s="36" t="n">
        <f aca="false">cust_sh*tk_cx_gb300*cf_cx+(1-cust_sh)*((1-Sens!$K$1307)*tk_cx_gb300+Sens!$K$1307*tk_cx_vr200)</f>
        <v>34.911788</v>
      </c>
      <c r="L1310" s="36" t="n">
        <f aca="false">cust_sh*tk_cx_gb300*cf_cx+(1-cust_sh)*((1-Sens!$L$1307)*tk_cx_gb300+Sens!$L$1307*tk_cx_vr200)</f>
        <v>34.911788</v>
      </c>
      <c r="M1310" s="36" t="n">
        <f aca="false">cust_sh*tk_cx_gb300*cf_cx+(1-cust_sh)*((1-Sens!$M$1307)*tk_cx_gb300+Sens!$M$1307*tk_cx_vr200)</f>
        <v>34.911788</v>
      </c>
    </row>
    <row r="1311" customFormat="false" ht="17.15" hidden="false" customHeight="false" outlineLevel="0" collapsed="false">
      <c r="A1311" s="5" t="s">
        <v>606</v>
      </c>
      <c r="B1311" s="0" t="s">
        <v>129</v>
      </c>
      <c r="F1311" s="32" t="n">
        <f aca="false">Sens!$F$1301-mw_open</f>
        <v>1362.8625</v>
      </c>
      <c r="G1311" s="32" t="n">
        <f aca="false">Sens!$F$1311</f>
        <v>1362.8625</v>
      </c>
      <c r="H1311" s="32" t="n">
        <f aca="false">Sens!$H$1301-mw_open</f>
        <v>4088.5875</v>
      </c>
      <c r="I1311" s="32" t="n">
        <f aca="false">Sens!$I$1301-mw_open</f>
        <v>6814.3125</v>
      </c>
      <c r="J1311" s="32" t="n">
        <f aca="false">Sens!$J$1301-mw_open</f>
        <v>9540.0375</v>
      </c>
      <c r="K1311" s="32" t="n">
        <f aca="false">Sens!$K$1301-mw_open</f>
        <v>11473.387875</v>
      </c>
      <c r="L1311" s="32" t="n">
        <f aca="false">Sens!$L$1301-mw_open</f>
        <v>12614.363625</v>
      </c>
      <c r="M1311" s="32" t="n">
        <f aca="false">Sens!$M$1301-mw_open</f>
        <v>12962.96475</v>
      </c>
    </row>
    <row r="1312" customFormat="false" ht="17.15" hidden="false" customHeight="false" outlineLevel="0" collapsed="false">
      <c r="A1312" s="0" t="s">
        <v>607</v>
      </c>
      <c r="B1312" s="0" t="s">
        <v>608</v>
      </c>
      <c r="F1312" s="32" t="n">
        <f aca="false">Sens!$F$1304*Sens!$F$1308</f>
        <v>14836.6813143633</v>
      </c>
      <c r="G1312" s="32" t="n">
        <f aca="false">Sens!$F$1312</f>
        <v>14836.6813143633</v>
      </c>
      <c r="H1312" s="32" t="n">
        <f aca="false">Sens!$G$1312+Sens!$H$1304*Sens!$H$1308</f>
        <v>45422.5212744007</v>
      </c>
      <c r="I1312" s="32" t="n">
        <f aca="false">Sens!$H$1312+Sens!$I$1304*Sens!$I$1308</f>
        <v>76920.838565749</v>
      </c>
      <c r="J1312" s="32" t="n">
        <f aca="false">Sens!$I$1312+Sens!$J$1304*Sens!$J$1308</f>
        <v>108419.155857097</v>
      </c>
      <c r="K1312" s="32" t="n">
        <f aca="false">Sens!$J$1312+Sens!$K$1304*Sens!$K$1308</f>
        <v>130760.838729396</v>
      </c>
      <c r="L1312" s="32" t="n">
        <f aca="false">Sens!$K$1312+Sens!$L$1304*Sens!$L$1308</f>
        <v>143945.887182646</v>
      </c>
      <c r="M1312" s="32" t="n">
        <f aca="false">Sens!$L$1312+Sens!$M$1304*Sens!$M$1308</f>
        <v>147974.301216846</v>
      </c>
    </row>
    <row r="1313" customFormat="false" ht="17.15" hidden="false" customHeight="false" outlineLevel="0" collapsed="false">
      <c r="A1313" s="0" t="s">
        <v>609</v>
      </c>
      <c r="B1313" s="0" t="s">
        <v>608</v>
      </c>
      <c r="F1313" s="32" t="n">
        <f aca="false">Sens!$F$1304*Sens!$F$1309</f>
        <v>2702.05863802924</v>
      </c>
      <c r="G1313" s="32" t="n">
        <f aca="false">Sens!$F$1313</f>
        <v>2702.05863802924</v>
      </c>
      <c r="H1313" s="32" t="n">
        <f aca="false">Sens!$G$1313+Sens!$H$1304*Sens!$H$1309</f>
        <v>8181.71988343017</v>
      </c>
      <c r="I1313" s="32" t="n">
        <f aca="false">Sens!$H$1313+Sens!$I$1304*Sens!$I$1309</f>
        <v>13736.9250981735</v>
      </c>
      <c r="J1313" s="32" t="n">
        <f aca="false">Sens!$I$1313+Sens!$J$1304*Sens!$J$1309</f>
        <v>19292.1303129169</v>
      </c>
      <c r="K1313" s="32" t="n">
        <f aca="false">Sens!$J$1313+Sens!$K$1304*Sens!$K$1309</f>
        <v>23232.4243943543</v>
      </c>
      <c r="L1313" s="32" t="n">
        <f aca="false">Sens!$K$1313+Sens!$L$1304*Sens!$L$1309</f>
        <v>25557.8073424858</v>
      </c>
      <c r="M1313" s="32" t="n">
        <f aca="false">Sens!$L$1313+Sens!$M$1304*Sens!$M$1309</f>
        <v>26268.2791573114</v>
      </c>
    </row>
    <row r="1314" customFormat="false" ht="17.15" hidden="false" customHeight="false" outlineLevel="0" collapsed="false">
      <c r="A1314" s="5" t="s">
        <v>610</v>
      </c>
      <c r="B1314" s="0" t="s">
        <v>173</v>
      </c>
      <c r="F1314" s="36" t="n">
        <f aca="false">IF(Sens!$F$1311&gt;0,Sens!$F$1312/Sens!$F$1311,Sens!$F$1308)</f>
        <v>10.8864110021101</v>
      </c>
      <c r="G1314" s="36" t="n">
        <f aca="false">IF(Sens!$G$1311&gt;0,Sens!$G$1312/Sens!$G$1311,Sens!$G$1308)</f>
        <v>10.8864110021101</v>
      </c>
      <c r="H1314" s="36" t="n">
        <f aca="false">IF(Sens!$H$1311&gt;0,Sens!$H$1312/Sens!$H$1311,Sens!$H$1308)</f>
        <v>11.1095876691891</v>
      </c>
      <c r="I1314" s="36" t="n">
        <f aca="false">IF(Sens!$I$1311&gt;0,Sens!$I$1312/Sens!$I$1311,Sens!$I$1308)</f>
        <v>11.2881290028523</v>
      </c>
      <c r="J1314" s="36" t="n">
        <f aca="false">IF(Sens!$J$1311&gt;0,Sens!$J$1312/Sens!$J$1311,Sens!$J$1308)</f>
        <v>11.3646467172794</v>
      </c>
      <c r="K1314" s="36" t="n">
        <f aca="false">IF(Sens!$K$1311&gt;0,Sens!$K$1312/Sens!$K$1311,Sens!$K$1308)</f>
        <v>11.3968812136403</v>
      </c>
      <c r="L1314" s="36" t="n">
        <f aca="false">IF(Sens!$L$1311&gt;0,Sens!$L$1312/Sens!$L$1311,Sens!$L$1308)</f>
        <v>11.4112682543386</v>
      </c>
      <c r="M1314" s="36" t="n">
        <f aca="false">IF(Sens!$M$1311&gt;0,Sens!$M$1312/Sens!$M$1311,Sens!$M$1308)</f>
        <v>11.4151588059241</v>
      </c>
    </row>
    <row r="1315" customFormat="false" ht="17.15" hidden="false" customHeight="false" outlineLevel="0" collapsed="false">
      <c r="A1315" s="5" t="s">
        <v>611</v>
      </c>
      <c r="B1315" s="0" t="s">
        <v>173</v>
      </c>
      <c r="F1315" s="36" t="n">
        <f aca="false">IF(Sens!$F$1311&gt;0,Sens!$F$1313/Sens!$F$1311,Sens!$F$1309)</f>
        <v>1.98263481314457</v>
      </c>
      <c r="G1315" s="36" t="n">
        <f aca="false">IF(Sens!$G$1311&gt;0,Sens!$G$1313/Sens!$G$1311,Sens!$G$1309)</f>
        <v>1.98263481314457</v>
      </c>
      <c r="H1315" s="36" t="n">
        <f aca="false">IF(Sens!$H$1311&gt;0,Sens!$H$1313/Sens!$H$1311,Sens!$H$1309)</f>
        <v>2.00111160233948</v>
      </c>
      <c r="I1315" s="36" t="n">
        <f aca="false">IF(Sens!$I$1311&gt;0,Sens!$I$1313/Sens!$I$1311,Sens!$I$1309)</f>
        <v>2.01589303369541</v>
      </c>
      <c r="J1315" s="36" t="n">
        <f aca="false">IF(Sens!$J$1311&gt;0,Sens!$J$1313/Sens!$J$1311,Sens!$J$1309)</f>
        <v>2.02222793284795</v>
      </c>
      <c r="K1315" s="36" t="n">
        <f aca="false">IF(Sens!$K$1311&gt;0,Sens!$K$1313/Sens!$K$1311,Sens!$K$1309)</f>
        <v>2.02489662578015</v>
      </c>
      <c r="L1315" s="36" t="n">
        <f aca="false">IF(Sens!$L$1311&gt;0,Sens!$L$1313/Sens!$L$1311,Sens!$L$1309)</f>
        <v>2.02608772842362</v>
      </c>
      <c r="M1315" s="36" t="n">
        <f aca="false">IF(Sens!$M$1311&gt;0,Sens!$M$1313/Sens!$M$1311,Sens!$M$1309)</f>
        <v>2.0264098270661</v>
      </c>
    </row>
    <row r="1316" customFormat="false" ht="17.15" hidden="false" customHeight="false" outlineLevel="0" collapsed="false">
      <c r="A1316" s="15" t="s">
        <v>612</v>
      </c>
      <c r="B1316" s="14" t="s">
        <v>173</v>
      </c>
      <c r="C1316" s="14"/>
      <c r="D1316" s="14"/>
      <c r="E1316" s="14"/>
      <c r="F1316" s="37" t="n">
        <f aca="false">Sens!$F$1314*k_B</f>
        <v>10.7987645808025</v>
      </c>
      <c r="G1316" s="37" t="n">
        <f aca="false">Sens!$G$1314*k_B</f>
        <v>10.7987645808025</v>
      </c>
      <c r="H1316" s="37" t="n">
        <f aca="false">Sens!$H$1314*k_B</f>
        <v>11.0201444540452</v>
      </c>
      <c r="I1316" s="37" t="n">
        <f aca="false">Sens!$I$1314*k_B</f>
        <v>11.1972483526393</v>
      </c>
      <c r="J1316" s="37" t="n">
        <f aca="false">Sens!$J$1314*k_B</f>
        <v>11.2731500234653</v>
      </c>
      <c r="K1316" s="37" t="n">
        <f aca="false">Sens!$K$1314*k_B</f>
        <v>11.3051250001142</v>
      </c>
      <c r="L1316" s="37" t="n">
        <f aca="false">Sens!$L$1314*k_B</f>
        <v>11.3193962108451</v>
      </c>
      <c r="M1316" s="37" t="n">
        <f aca="false">Sens!$M$1314*k_B</f>
        <v>11.3232554396262</v>
      </c>
      <c r="N1316" s="14"/>
      <c r="O1316" s="14"/>
      <c r="P1316" s="5" t="s">
        <v>613</v>
      </c>
    </row>
    <row r="1317" customFormat="false" ht="17.15" hidden="false" customHeight="false" outlineLevel="0" collapsed="false">
      <c r="A1317" s="5" t="s">
        <v>614</v>
      </c>
      <c r="B1317" s="0" t="s">
        <v>129</v>
      </c>
      <c r="F1317" s="32" t="n">
        <f aca="false">Sens!$F$1311/2</f>
        <v>681.43125</v>
      </c>
      <c r="H1317" s="32" t="n">
        <f aca="false">(Sens!$G$1311+Sens!$H$1311)/2</f>
        <v>2725.725</v>
      </c>
      <c r="I1317" s="32" t="n">
        <f aca="false">(Sens!$H$1311+Sens!$I$1311)/2</f>
        <v>5451.45</v>
      </c>
      <c r="J1317" s="32" t="n">
        <f aca="false">(Sens!$I$1311+Sens!$J$1311)/2</f>
        <v>8177.175</v>
      </c>
      <c r="K1317" s="32" t="n">
        <f aca="false">(Sens!$J$1311+Sens!$K$1311)/2</f>
        <v>10506.7126875</v>
      </c>
      <c r="L1317" s="32" t="n">
        <f aca="false">(Sens!$K$1311+Sens!$L$1311)/2</f>
        <v>12043.87575</v>
      </c>
      <c r="M1317" s="32" t="n">
        <f aca="false">(Sens!$L$1311+Sens!$M$1311)/2</f>
        <v>12788.6641875</v>
      </c>
    </row>
    <row r="1318" customFormat="false" ht="17.15" hidden="false" customHeight="false" outlineLevel="0" collapsed="false">
      <c r="A1318" s="1" t="s">
        <v>615</v>
      </c>
    </row>
    <row r="1319" customFormat="false" ht="17.15" hidden="false" customHeight="false" outlineLevel="0" collapsed="false">
      <c r="A1319" s="1" t="s">
        <v>616</v>
      </c>
      <c r="B1319" s="8" t="s">
        <v>86</v>
      </c>
      <c r="C1319" s="38" t="n">
        <f aca="false">Sens!$C$1302*rpm_open*Sens!$C$1303/1000</f>
        <v>2.32100535697364</v>
      </c>
      <c r="D1319" s="38" t="n">
        <f aca="false">Sens!$D$1302*rpm_open*Sens!$D$1303/1000</f>
        <v>8.70377008865116</v>
      </c>
      <c r="E1319" s="38" t="n">
        <f aca="false">Sens!$E$1302*rpm_open*Sens!$E$1303/1000</f>
        <v>8.51035297557002</v>
      </c>
      <c r="F1319" s="38" t="n">
        <f aca="false">(mw_open*rpm_open+Sens!$F$1317*Sens!$F$1316)*Sens!$F$1303/1000</f>
        <v>13.7369977035951</v>
      </c>
      <c r="G1319" s="38" t="n">
        <f aca="false">Sens!$E$1319+Sens!$F$1319</f>
        <v>22.2473506791651</v>
      </c>
      <c r="H1319" s="38" t="n">
        <f aca="false">(mw_open*rpm_open+Sens!$H$1317*Sens!$H$1316)/1000</f>
        <v>50.1532630024405</v>
      </c>
      <c r="I1319" s="38" t="n">
        <f aca="false">(mw_open*rpm_open+Sens!$I$1317*Sens!$I$1316)/1000</f>
        <v>81.1566192924336</v>
      </c>
      <c r="J1319" s="38" t="n">
        <f aca="false">(mw_open*rpm_open+Sens!$J$1317*Sens!$J$1316)/1000</f>
        <v>112.297900303568</v>
      </c>
      <c r="K1319" s="38" t="n">
        <f aca="false">(mw_open*rpm_open+Sens!$K$1317*Sens!$K$1316)/1000</f>
        <v>138.895080032911</v>
      </c>
      <c r="L1319" s="38" t="n">
        <f aca="false">(mw_open*rpm_open+Sens!$L$1317*Sens!$L$1316)/1000</f>
        <v>156.444781288878</v>
      </c>
      <c r="M1319" s="38" t="n">
        <f aca="false">(mw_open*rpm_open+Sens!$M$1317*Sens!$M$1316)/1000</f>
        <v>164.9246910871</v>
      </c>
      <c r="N1319" s="38" t="n">
        <f aca="false">Sens!$N$1302*rpm_open*Sens!$N$1303/1000</f>
        <v>3.04631953102791</v>
      </c>
      <c r="O1319" s="38" t="n">
        <f aca="false">Sens!$O$1302*rpm_open*Sens!$O$1303/1000</f>
        <v>5.65745055762326</v>
      </c>
      <c r="P1319" s="5" t="s">
        <v>617</v>
      </c>
    </row>
    <row r="1320" customFormat="false" ht="17.15" hidden="false" customHeight="false" outlineLevel="0" collapsed="false">
      <c r="A1320" s="5" t="s">
        <v>618</v>
      </c>
      <c r="B1320" s="0" t="s">
        <v>173</v>
      </c>
      <c r="C1320" s="36" t="n">
        <f aca="false">Sens!$C$1319*1000/(Sens!$C$1302*Sens!$C$1303)</f>
        <v>9.67085565405685</v>
      </c>
      <c r="D1320" s="36" t="n">
        <f aca="false">Sens!$D$1319*1000/(Sens!$D$1302*Sens!$D$1303)</f>
        <v>9.67085565405685</v>
      </c>
      <c r="E1320" s="36" t="n">
        <f aca="false">Sens!$E$1319*1000/(Sens!$E$1302*Sens!$E$1303)</f>
        <v>9.67085565405685</v>
      </c>
      <c r="F1320" s="36" t="n">
        <f aca="false">Sens!$F$1319*1000/(Sens!$F$1302*Sens!$F$1303)</f>
        <v>9.94918682374955</v>
      </c>
      <c r="G1320" s="36" t="n">
        <f aca="false">Sens!$G$1319*1000/(Sens!$G$1302*Sens!$G$1303)</f>
        <v>9.84084439154754</v>
      </c>
      <c r="H1320" s="36" t="n">
        <f aca="false">Sens!$H$1319*1000/(Sens!$H$1302*Sens!$H$1303)</f>
        <v>10.4361491767508</v>
      </c>
      <c r="I1320" s="36" t="n">
        <f aca="false">Sens!$I$1319*1000/(Sens!$I$1302*Sens!$I$1303)</f>
        <v>10.7756964850638</v>
      </c>
      <c r="J1320" s="36" t="n">
        <f aca="false">Sens!$J$1319*1000/(Sens!$J$1302*Sens!$J$1303)</f>
        <v>10.9482289522766</v>
      </c>
      <c r="K1320" s="36" t="n">
        <f aca="false">Sens!$K$1319*1000/(Sens!$K$1302*Sens!$K$1303)</f>
        <v>11.0350560532656</v>
      </c>
      <c r="L1320" s="36" t="n">
        <f aca="false">Sens!$L$1319*1000/(Sens!$L$1302*Sens!$L$1303)</f>
        <v>11.0766183488182</v>
      </c>
      <c r="M1320" s="36" t="n">
        <f aca="false">Sens!$M$1319*1000/(Sens!$M$1302*Sens!$M$1303)</f>
        <v>11.0920987257047</v>
      </c>
      <c r="N1320" s="36" t="n">
        <f aca="false">Sens!$N$1319*1000/(Sens!$N$1302*Sens!$N$1303)</f>
        <v>9.67085565405685</v>
      </c>
      <c r="O1320" s="36" t="n">
        <f aca="false">Sens!$O$1319*1000/(Sens!$O$1302*Sens!$O$1303)</f>
        <v>9.67085565405685</v>
      </c>
    </row>
    <row r="1321" customFormat="false" ht="17.15" hidden="false" customHeight="false" outlineLevel="0" collapsed="false">
      <c r="A1321" s="0" t="s">
        <v>619</v>
      </c>
      <c r="B1321" s="0" t="s">
        <v>86</v>
      </c>
      <c r="C1321" s="38" t="n">
        <f aca="false">Sens!$C$1302/ext_sh*(ox_open+rent_mw)*Sens!$C$1303/1000</f>
        <v>0.642569210675032</v>
      </c>
      <c r="D1321" s="38" t="n">
        <f aca="false">Sens!$D$1302/ext_sh*(ox_open+rent_mw)*Sens!$D$1303/1000</f>
        <v>2.40963454003137</v>
      </c>
      <c r="E1321" s="38" t="n">
        <f aca="false">Sens!$E$1302/ext_sh*(ox_open+rent_mw)*Sens!$E$1303/1000</f>
        <v>2.35608710580845</v>
      </c>
      <c r="F1321" s="38" t="n">
        <f aca="false">((mw_open*ox_open+Sens!$F$1317*Sens!$F$1315)/ext_sh+Sens!$F$1302/ext_sh*rent_mw)*Sens!$F$1303/1000</f>
        <v>3.73678157819469</v>
      </c>
      <c r="G1321" s="38" t="n">
        <f aca="false">Sens!$E$1321+Sens!$F$1321</f>
        <v>6.09286868400315</v>
      </c>
      <c r="H1321" s="38" t="n">
        <f aca="false">((mw_open*ox_open+Sens!$H$1317*Sens!$H$1315)/ext_sh+Sens!$H$1302/ext_sh*rent_mw)*Sens!$H$1303/1000</f>
        <v>13.2504064557921</v>
      </c>
      <c r="I1321" s="38" t="n">
        <f aca="false">((mw_open*ox_open+Sens!$I$1317*Sens!$I$1315)/ext_sh+Sens!$I$1302/ext_sh*rent_mw)*Sens!$I$1303/1000</f>
        <v>21.0326050448572</v>
      </c>
      <c r="J1321" s="38" t="n">
        <f aca="false">((mw_open*ox_open+Sens!$J$1317*Sens!$J$1315)/ext_sh+Sens!$J$1302/ext_sh*rent_mw)*Sens!$J$1303/1000</f>
        <v>28.829192961416</v>
      </c>
      <c r="K1321" s="38" t="n">
        <f aca="false">((mw_open*ox_open+Sens!$K$1317*Sens!$K$1315)/ext_sh+Sens!$K$1302/ext_sh*rent_mw)*Sens!$K$1303/1000</f>
        <v>35.4906932391495</v>
      </c>
      <c r="L1321" s="38" t="n">
        <f aca="false">((mw_open*ox_open+Sens!$L$1317*Sens!$L$1315)/ext_sh+Sens!$L$1302/ext_sh*rent_mw)*Sens!$L$1303/1000</f>
        <v>39.8862668776634</v>
      </c>
      <c r="M1321" s="38" t="n">
        <f aca="false">((mw_open*ox_open+Sens!$M$1317*Sens!$M$1315)/ext_sh+Sens!$M$1302/ext_sh*rent_mw)*Sens!$M$1303/1000</f>
        <v>42.0135860213221</v>
      </c>
      <c r="N1321" s="38" t="n">
        <f aca="false">Sens!$N$1302/ext_sh*(ox_open+rent_mw)*Sens!$N$1303/1000</f>
        <v>0.84337208901098</v>
      </c>
      <c r="O1321" s="38" t="n">
        <f aca="false">Sens!$O$1302/ext_sh*(ox_open+rent_mw)*Sens!$O$1303/1000</f>
        <v>1.56626245102039</v>
      </c>
    </row>
    <row r="1322" customFormat="false" ht="17.15" hidden="false" customHeight="false" outlineLevel="0" collapsed="false">
      <c r="A1322" s="0" t="s">
        <v>620</v>
      </c>
      <c r="B1322" s="0" t="s">
        <v>86</v>
      </c>
      <c r="C1322" s="38" t="n">
        <f aca="false">Q!$D$7</f>
        <v>107.556</v>
      </c>
      <c r="D1322" s="38" t="n">
        <f aca="false">Q!$E$7</f>
        <v>128.725</v>
      </c>
      <c r="E1322" s="38" t="n">
        <f aca="false">Q!$P$7</f>
        <v>79.819</v>
      </c>
      <c r="N1322" s="38" t="n">
        <f aca="false">Q!$N$7</f>
        <v>60.14</v>
      </c>
      <c r="O1322" s="38" t="n">
        <f aca="false">Q!$O$7</f>
        <v>68.585</v>
      </c>
    </row>
    <row r="1323" customFormat="false" ht="17.15" hidden="false" customHeight="false" outlineLevel="0" collapsed="false">
      <c r="A1323" s="1" t="s">
        <v>621</v>
      </c>
      <c r="B1323" s="8" t="s">
        <v>86</v>
      </c>
      <c r="C1323" s="38" t="n">
        <f aca="false">Sens!$C$1322-Sens!$C$1319</f>
        <v>105.234994643026</v>
      </c>
      <c r="D1323" s="38" t="n">
        <f aca="false">Sens!$D$1322-Sens!$D$1319</f>
        <v>120.021229911349</v>
      </c>
      <c r="E1323" s="38" t="n">
        <f aca="false">Sens!$E$1322-Sens!$E$1319</f>
        <v>71.30864702443</v>
      </c>
      <c r="F1323" s="38" t="n">
        <f aca="false">Sens!$O$1323*(1+Sens!$F$1324)</f>
        <v>71.7692997942464</v>
      </c>
      <c r="G1323" s="38" t="n">
        <f aca="false">Sens!$E$1323+Sens!$F$1323</f>
        <v>143.077946818676</v>
      </c>
      <c r="H1323" s="38" t="n">
        <f aca="false">Sens!$G$1323*(1+Sens!$H$1324)</f>
        <v>161.017077079203</v>
      </c>
      <c r="I1323" s="38" t="n">
        <f aca="false">Sens!$H$1323*(1+Sens!$I$1324)</f>
        <v>178.769759521457</v>
      </c>
      <c r="J1323" s="38" t="n">
        <f aca="false">Sens!$I$1323*(1+Sens!$J$1324)</f>
        <v>195.775538045907</v>
      </c>
      <c r="K1323" s="38" t="n">
        <f aca="false">Sens!$J$1323*(1+Sens!$K$1324)</f>
        <v>211.43758108958</v>
      </c>
      <c r="L1323" s="38" t="n">
        <f aca="false">Sens!$K$1323*(1+Sens!$L$1324)</f>
        <v>228.352587576746</v>
      </c>
      <c r="M1323" s="38" t="n">
        <f aca="false">Sens!$L$1323*(1+Sens!$M$1324)</f>
        <v>246.620794582886</v>
      </c>
      <c r="N1323" s="38" t="n">
        <f aca="false">Sens!$N$1322-Sens!$N$1319</f>
        <v>57.0936804689721</v>
      </c>
      <c r="O1323" s="38" t="n">
        <f aca="false">Sens!$O$1322-Sens!$O$1319</f>
        <v>62.9275494423768</v>
      </c>
      <c r="P1323" s="5" t="s">
        <v>622</v>
      </c>
    </row>
    <row r="1324" customFormat="false" ht="17.15" hidden="false" customHeight="false" outlineLevel="0" collapsed="false">
      <c r="A1324" s="0" t="s">
        <v>623</v>
      </c>
      <c r="B1324" s="0" t="s">
        <v>52</v>
      </c>
      <c r="D1324" s="13" t="n">
        <f aca="false">Sens!$D$1323/Sens!$C$1323-1</f>
        <v>0.140506827776062</v>
      </c>
      <c r="E1324" s="13" t="n">
        <f aca="false">Sens!$E$1323/Sens!$N$1323-1</f>
        <v>0.248976181579029</v>
      </c>
      <c r="F1324" s="13" t="n">
        <f aca="false">Sens!$D$1324</f>
        <v>0.140506827776062</v>
      </c>
      <c r="G1324" s="13" t="n">
        <f aca="false">Sens!$G$1323/Sens!$D$1323-1</f>
        <v>0.19210532106993</v>
      </c>
      <c r="H1324" s="13" t="n">
        <f aca="false">Sens!$F$1324+(g_awso_lt-Sens!$F$1324)*1/4</f>
        <v>0.125380120832046</v>
      </c>
      <c r="I1324" s="13" t="n">
        <f aca="false">Sens!$F$1324+(g_awso_lt-Sens!$F$1324)*2/4</f>
        <v>0.110253413888031</v>
      </c>
      <c r="J1324" s="13" t="n">
        <f aca="false">Sens!$F$1324+(g_awso_lt-Sens!$F$1324)*3/4</f>
        <v>0.0951267069440154</v>
      </c>
      <c r="K1324" s="13" t="n">
        <f aca="false">Sens!$F$1324+(g_awso_lt-Sens!$F$1324)*4/4</f>
        <v>0.08</v>
      </c>
      <c r="L1324" s="13" t="n">
        <f aca="false">g_awso_lt</f>
        <v>0.08</v>
      </c>
      <c r="M1324" s="13" t="n">
        <f aca="false">g_awso_lt</f>
        <v>0.08</v>
      </c>
      <c r="P1324" s="5" t="s">
        <v>624</v>
      </c>
    </row>
    <row r="1325" customFormat="false" ht="17.15" hidden="false" customHeight="false" outlineLevel="0" collapsed="false">
      <c r="A1325" s="1" t="s">
        <v>625</v>
      </c>
    </row>
    <row r="1326" customFormat="false" ht="17.15" hidden="false" customHeight="false" outlineLevel="0" collapsed="false">
      <c r="A1326" s="0" t="s">
        <v>626</v>
      </c>
      <c r="B1326" s="0" t="s">
        <v>86</v>
      </c>
      <c r="F1326" s="38" t="n">
        <f aca="false">cx_rt*Sens!$F$1291+cx_awso*Sens!$F$1323</f>
        <v>34.9734495387866</v>
      </c>
    </row>
    <row r="1327" customFormat="false" ht="17.15" hidden="false" customHeight="false" outlineLevel="0" collapsed="false">
      <c r="A1327" s="0" t="s">
        <v>627</v>
      </c>
      <c r="B1327" s="0" t="s">
        <v>52</v>
      </c>
      <c r="C1327" s="13" t="n">
        <f aca="false">tk_cx_h100/(tk_cx_h100+tk_fac*(1-colo_sh))</f>
        <v>0.730756458006641</v>
      </c>
      <c r="D1327" s="13" t="n">
        <f aca="false">tk_cx_h100/(tk_cx_h100+tk_fac*(1-colo_sh))</f>
        <v>0.730756458006641</v>
      </c>
      <c r="E1327" s="13" t="n">
        <f aca="false">Sens!$F$1327</f>
        <v>0.760792334328868</v>
      </c>
      <c r="F1327" s="13" t="n">
        <f aca="false">Sens!$F$1310/(Sens!$F$1310+tk_fac*(1-colo_sh))</f>
        <v>0.760792334328868</v>
      </c>
      <c r="G1327" s="13" t="n">
        <f aca="false">Sens!$G$1310/(Sens!$G$1310+tk_fac*(1-colo_sh))</f>
        <v>0.760792334328868</v>
      </c>
      <c r="H1327" s="13" t="n">
        <f aca="false">Sens!$H$1310/(Sens!$H$1310+tk_fac*(1-colo_sh))</f>
        <v>0.768110668862996</v>
      </c>
      <c r="I1327" s="13" t="n">
        <f aca="false">Sens!$I$1310/(Sens!$I$1310+tk_fac*(1-colo_sh))</f>
        <v>0.77499450139483</v>
      </c>
      <c r="J1327" s="13" t="n">
        <f aca="false">Sens!$J$1310/(Sens!$J$1310+tk_fac*(1-colo_sh))</f>
        <v>0.77499450139483</v>
      </c>
      <c r="K1327" s="13" t="n">
        <f aca="false">Sens!$K$1310/(Sens!$K$1310+tk_fac*(1-colo_sh))</f>
        <v>0.77499450139483</v>
      </c>
      <c r="L1327" s="13" t="n">
        <f aca="false">Sens!$L$1310/(Sens!$L$1310+tk_fac*(1-colo_sh))</f>
        <v>0.77499450139483</v>
      </c>
      <c r="M1327" s="13" t="n">
        <f aca="false">Sens!$M$1310/(Sens!$M$1310+tk_fac*(1-colo_sh))</f>
        <v>0.77499450139483</v>
      </c>
    </row>
    <row r="1328" customFormat="false" ht="17.15" hidden="false" customHeight="false" outlineLevel="0" collapsed="false">
      <c r="A1328" s="1" t="s">
        <v>628</v>
      </c>
      <c r="B1328" s="8" t="s">
        <v>86</v>
      </c>
      <c r="C1328" s="38" t="n">
        <f aca="false">Q!$D$46-cx_rt*Q!$D$16-cx_awso*Sens!$C$1323</f>
        <v>25.2781053077374</v>
      </c>
      <c r="D1328" s="38" t="n">
        <f aca="false">Q!$E$46-cx_rt*Q!$E$16-cx_awso*Sens!$D$1323</f>
        <v>69.5686316310026</v>
      </c>
      <c r="E1328" s="38" t="n">
        <f aca="false">Q!$P$46-cx_rt*Q!$P$16-cx_awso*Sens!$E$1323</f>
        <v>64.1899206485108</v>
      </c>
      <c r="F1328" s="38" t="n">
        <f aca="false">MAX(Sens!$F$1305*(Sens!$F$1310+tk_fac*(1-colo_sh))/1000,capex_g26-Q!$P$46-Sens!$F$1326)</f>
        <v>88.7165504612134</v>
      </c>
      <c r="G1328" s="38" t="n">
        <f aca="false">Sens!$E$1328+Sens!$F$1328</f>
        <v>152.906471109724</v>
      </c>
      <c r="H1328" s="38" t="n">
        <f aca="false">Sens!$H$1305*(Sens!$H$1310+tk_fac*(1-colo_sh))/1000+Sens!$H$1329</f>
        <v>148.928523708563</v>
      </c>
      <c r="I1328" s="38" t="n">
        <f aca="false">Sens!$I$1305*(Sens!$I$1310+tk_fac*(1-colo_sh))/1000+Sens!$I$1329</f>
        <v>153.484852432875</v>
      </c>
      <c r="J1328" s="38" t="n">
        <f aca="false">Sens!$J$1305*(Sens!$J$1310+tk_fac*(1-colo_sh))/1000+Sens!$J$1329</f>
        <v>158.721620632875</v>
      </c>
      <c r="K1328" s="38" t="n">
        <f aca="false">Sens!$K$1305*(Sens!$K$1310+tk_fac*(1-colo_sh))/1000+Sens!$K$1329</f>
        <v>119.339983678401</v>
      </c>
      <c r="L1328" s="38" t="n">
        <f aca="false">Sens!$L$1305*(Sens!$L$1310+tk_fac*(1-colo_sh))/1000+Sens!$L$1329</f>
        <v>111.378955923926</v>
      </c>
      <c r="M1328" s="38" t="n">
        <f aca="false">Sens!$M$1305*(Sens!$M$1310+tk_fac*(1-colo_sh))/1000+Sens!$M$1329</f>
        <v>107.034025710889</v>
      </c>
      <c r="P1328" s="5" t="s">
        <v>629</v>
      </c>
      <c r="R1328" s="38" t="n">
        <f aca="false">Q!$C$46-cx_rt*Q!$C$16-cx_awso*(Q!$C$7-mw_ye23/2*rpm_open/1000)</f>
        <v>1.50429979529945</v>
      </c>
      <c r="S1328" s="38" t="n">
        <f aca="false">Sens!$C$1328</f>
        <v>25.2781053077374</v>
      </c>
      <c r="T1328" s="38" t="n">
        <f aca="false">Sens!$D$1328</f>
        <v>69.5686316310026</v>
      </c>
      <c r="U1328" s="38" t="n">
        <f aca="false">Sens!$G$1328</f>
        <v>152.906471109724</v>
      </c>
      <c r="V1328" s="38" t="n">
        <f aca="false">Sens!$H$1328</f>
        <v>148.928523708563</v>
      </c>
      <c r="W1328" s="38" t="n">
        <f aca="false">Sens!$I$1328</f>
        <v>153.484852432875</v>
      </c>
      <c r="X1328" s="38" t="n">
        <f aca="false">Sens!$J$1328</f>
        <v>158.721620632875</v>
      </c>
      <c r="Y1328" s="38" t="n">
        <f aca="false">Sens!$K$1328</f>
        <v>119.339983678401</v>
      </c>
      <c r="Z1328" s="38" t="n">
        <f aca="false">Sens!$L$1328</f>
        <v>111.378955923926</v>
      </c>
      <c r="AA1328" s="38" t="n">
        <f aca="false">Sens!$M$1328</f>
        <v>107.034025710889</v>
      </c>
    </row>
    <row r="1329" customFormat="false" ht="17.15" hidden="false" customHeight="false" outlineLevel="0" collapsed="false">
      <c r="A1329" s="0" t="s">
        <v>630</v>
      </c>
      <c r="B1329" s="0" t="s">
        <v>86</v>
      </c>
      <c r="H1329" s="38" t="n">
        <f aca="false">SUMPRODUCT(--(Sens!$R$1298:$AA$1298=2027-tk_life),Sens!$R$1305:$AA$1305)*Sens!$H$1310/1000</f>
        <v>0</v>
      </c>
      <c r="I1329" s="38" t="n">
        <f aca="false">SUMPRODUCT(--(Sens!$R$1298:$AA$1298=2028-tk_life),Sens!$R$1305:$AA$1305)*Sens!$I$1310/1000</f>
        <v>0</v>
      </c>
      <c r="J1329" s="38" t="n">
        <f aca="false">SUMPRODUCT(--(Sens!$R$1298:$AA$1298=2029-tk_life),Sens!$R$1305:$AA$1305)*Sens!$J$1310/1000</f>
        <v>5.2367682</v>
      </c>
      <c r="K1329" s="38" t="n">
        <f aca="false">SUMPRODUCT(--(Sens!$R$1298:$AA$1298=2030-tk_life),Sens!$R$1305:$AA$1305)*Sens!$K$1310/1000</f>
        <v>10.4735364</v>
      </c>
      <c r="L1329" s="38" t="n">
        <f aca="false">SUMPRODUCT(--(Sens!$R$1298:$AA$1298=2031-tk_life),Sens!$R$1305:$AA$1305)*Sens!$L$1310/1000</f>
        <v>47.1309138</v>
      </c>
      <c r="M1329" s="38" t="n">
        <f aca="false">SUMPRODUCT(--(Sens!$R$1298:$AA$1298=2032-tk_life),Sens!$R$1305:$AA$1305)*Sens!$M$1310/1000</f>
        <v>87.4043887414375</v>
      </c>
    </row>
    <row r="1330" customFormat="false" ht="17.15" hidden="false" customHeight="false" outlineLevel="0" collapsed="false">
      <c r="A1330" s="0" t="s">
        <v>631</v>
      </c>
      <c r="B1330" s="0" t="s">
        <v>86</v>
      </c>
      <c r="C1330" s="38" t="n">
        <f aca="false">MIN(Sens!$C$1328,Sens!$C$1305*(tk_cx_h100+tk_fac*(1-colo_sh))/1000)</f>
        <v>11.2938642</v>
      </c>
      <c r="D1330" s="38" t="n">
        <f aca="false">MIN(Sens!$D$1328,Sens!$D$1305*(tk_cx_h100+tk_fac*(1-colo_sh))/1000)</f>
        <v>50.8223889</v>
      </c>
      <c r="E1330" s="38" t="n">
        <f aca="false">MIN(Sens!$E$1328,Sens!$E$1305*(Sens!$F$1310+tk_fac*(1-colo_sh))/1000)</f>
        <v>33.8985792</v>
      </c>
      <c r="F1330" s="38" t="n">
        <f aca="false">Sens!$F$1328</f>
        <v>88.7165504612134</v>
      </c>
      <c r="G1330" s="38" t="n">
        <f aca="false">Sens!$E$1330+Sens!$F$1330</f>
        <v>122.615129661213</v>
      </c>
      <c r="H1330" s="38" t="n">
        <f aca="false">Sens!$H$1328</f>
        <v>148.928523708563</v>
      </c>
      <c r="I1330" s="38" t="n">
        <f aca="false">Sens!$I$1328</f>
        <v>153.484852432875</v>
      </c>
      <c r="J1330" s="38" t="n">
        <f aca="false">Sens!$J$1328</f>
        <v>158.721620632875</v>
      </c>
      <c r="K1330" s="38" t="n">
        <f aca="false">Sens!$K$1328</f>
        <v>119.339983678401</v>
      </c>
      <c r="L1330" s="38" t="n">
        <f aca="false">Sens!$L$1328</f>
        <v>111.378955923926</v>
      </c>
      <c r="M1330" s="38" t="n">
        <f aca="false">Sens!$M$1328</f>
        <v>107.034025710889</v>
      </c>
      <c r="P1330" s="5" t="s">
        <v>632</v>
      </c>
      <c r="R1330" s="38" t="n">
        <f aca="false">MIN(Sens!$R$1328,Sens!$R$1305*(tk_cx_h100+tk_fac*(1-colo_sh))/1000)</f>
        <v>1.50429979529945</v>
      </c>
      <c r="S1330" s="38" t="n">
        <f aca="false">Sens!$C$1330</f>
        <v>11.2938642</v>
      </c>
      <c r="T1330" s="38" t="n">
        <f aca="false">Sens!$D$1330</f>
        <v>50.8223889</v>
      </c>
      <c r="U1330" s="38" t="n">
        <f aca="false">Sens!$G$1330</f>
        <v>122.615129661213</v>
      </c>
      <c r="V1330" s="38" t="n">
        <f aca="false">Sens!$H$1330</f>
        <v>148.928523708563</v>
      </c>
      <c r="W1330" s="38" t="n">
        <f aca="false">Sens!$I$1330</f>
        <v>153.484852432875</v>
      </c>
      <c r="X1330" s="38" t="n">
        <f aca="false">Sens!$J$1330</f>
        <v>158.721620632875</v>
      </c>
      <c r="Y1330" s="38" t="n">
        <f aca="false">Sens!$K$1330</f>
        <v>119.339983678401</v>
      </c>
      <c r="Z1330" s="38" t="n">
        <f aca="false">Sens!$L$1330</f>
        <v>111.378955923926</v>
      </c>
      <c r="AA1330" s="38" t="n">
        <f aca="false">Sens!$M$1330</f>
        <v>107.034025710889</v>
      </c>
    </row>
    <row r="1331" customFormat="false" ht="17.15" hidden="false" customHeight="false" outlineLevel="0" collapsed="false">
      <c r="A1331" s="5" t="s">
        <v>633</v>
      </c>
      <c r="B1331" s="0" t="s">
        <v>86</v>
      </c>
      <c r="C1331" s="38" t="n">
        <f aca="false">Sens!$C$1328-Sens!$C$1330</f>
        <v>13.9842411077374</v>
      </c>
      <c r="D1331" s="38" t="n">
        <f aca="false">Sens!$D$1328-Sens!$D$1330</f>
        <v>18.7462427310026</v>
      </c>
      <c r="E1331" s="38" t="n">
        <f aca="false">Sens!$E$1328-Sens!$E$1330</f>
        <v>30.2913414485108</v>
      </c>
      <c r="F1331" s="38" t="n">
        <f aca="false">Sens!$F$1328-Sens!$F$1330</f>
        <v>0</v>
      </c>
      <c r="G1331" s="38" t="n">
        <f aca="false">Sens!$G$1328-Sens!$G$1330</f>
        <v>30.2913414485108</v>
      </c>
      <c r="H1331" s="38" t="n">
        <f aca="false">Sens!$H$1328-Sens!$H$1330</f>
        <v>0</v>
      </c>
      <c r="I1331" s="38" t="n">
        <f aca="false">Sens!$I$1328-Sens!$I$1330</f>
        <v>0</v>
      </c>
      <c r="J1331" s="38" t="n">
        <f aca="false">Sens!$J$1328-Sens!$J$1330</f>
        <v>0</v>
      </c>
      <c r="K1331" s="38" t="n">
        <f aca="false">Sens!$K$1328-Sens!$K$1330</f>
        <v>0</v>
      </c>
      <c r="L1331" s="38" t="n">
        <f aca="false">Sens!$L$1328-Sens!$L$1330</f>
        <v>0</v>
      </c>
      <c r="M1331" s="38" t="n">
        <f aca="false">Sens!$M$1328-Sens!$M$1330</f>
        <v>0</v>
      </c>
    </row>
    <row r="1332" customFormat="false" ht="17.15" hidden="false" customHeight="false" outlineLevel="0" collapsed="false">
      <c r="A1332" s="5" t="s">
        <v>634</v>
      </c>
      <c r="B1332" s="0" t="s">
        <v>86</v>
      </c>
      <c r="C1332" s="38" t="n">
        <f aca="false">Sens!$C$1330*Sens!$C$1327</f>
        <v>8.2530642</v>
      </c>
      <c r="D1332" s="38" t="n">
        <f aca="false">Sens!$D$1330*Sens!$D$1327</f>
        <v>37.1387889</v>
      </c>
      <c r="E1332" s="38" t="n">
        <f aca="false">Sens!$E$1330*Sens!$E$1327</f>
        <v>25.7897792</v>
      </c>
      <c r="F1332" s="38" t="n">
        <f aca="false">Sens!$F$1330*Sens!$F$1327</f>
        <v>67.4948715189913</v>
      </c>
      <c r="G1332" s="38" t="n">
        <f aca="false">Sens!$E$1332+Sens!$F$1332</f>
        <v>93.2846507189913</v>
      </c>
      <c r="H1332" s="38" t="n">
        <f aca="false">(Sens!$H$1330-Sens!$H$1329)*Sens!$H$1327+Sens!$H$1329</f>
        <v>114.393587958563</v>
      </c>
      <c r="I1332" s="38" t="n">
        <f aca="false">(Sens!$I$1330-Sens!$I$1329)*Sens!$I$1327+Sens!$I$1329</f>
        <v>118.949916682875</v>
      </c>
      <c r="J1332" s="38" t="n">
        <f aca="false">(Sens!$J$1330-Sens!$J$1329)*Sens!$J$1327+Sens!$J$1329</f>
        <v>124.186684882875</v>
      </c>
      <c r="K1332" s="38" t="n">
        <f aca="false">(Sens!$K$1330-Sens!$K$1329)*Sens!$K$1327+Sens!$K$1329</f>
        <v>94.8444344271506</v>
      </c>
      <c r="L1332" s="38" t="n">
        <f aca="false">(Sens!$L$1330-Sens!$L$1329)*Sens!$L$1327+Sens!$L$1329</f>
        <v>96.9227931714262</v>
      </c>
      <c r="M1332" s="38" t="n">
        <f aca="false">(Sens!$M$1330-Sens!$M$1329)*Sens!$M$1327+Sens!$M$1329</f>
        <v>102.617249457139</v>
      </c>
      <c r="R1332" s="38" t="n">
        <f aca="false">Sens!$R$1330*Sens!$C$1327</f>
        <v>1.09927679019314</v>
      </c>
      <c r="S1332" s="38" t="n">
        <f aca="false">Sens!$C$1332</f>
        <v>8.2530642</v>
      </c>
      <c r="T1332" s="38" t="n">
        <f aca="false">Sens!$D$1332</f>
        <v>37.1387889</v>
      </c>
      <c r="U1332" s="38" t="n">
        <f aca="false">Sens!$G$1332</f>
        <v>93.2846507189913</v>
      </c>
      <c r="V1332" s="38" t="n">
        <f aca="false">Sens!$H$1332</f>
        <v>114.393587958563</v>
      </c>
      <c r="W1332" s="38" t="n">
        <f aca="false">Sens!$I$1332</f>
        <v>118.949916682875</v>
      </c>
      <c r="X1332" s="38" t="n">
        <f aca="false">Sens!$J$1332</f>
        <v>124.186684882875</v>
      </c>
      <c r="Y1332" s="38" t="n">
        <f aca="false">Sens!$K$1332</f>
        <v>94.8444344271506</v>
      </c>
      <c r="Z1332" s="38" t="n">
        <f aca="false">Sens!$L$1332</f>
        <v>96.9227931714262</v>
      </c>
      <c r="AA1332" s="38" t="n">
        <f aca="false">Sens!$M$1332</f>
        <v>102.617249457139</v>
      </c>
    </row>
    <row r="1333" customFormat="false" ht="15" hidden="false" customHeight="false" outlineLevel="0" collapsed="false">
      <c r="A1333" s="5" t="s">
        <v>635</v>
      </c>
      <c r="B1333" s="0" t="s">
        <v>86</v>
      </c>
      <c r="C1333" s="38" t="n">
        <f aca="false">Sens!$C$1330-Sens!$C$1332</f>
        <v>3.0408</v>
      </c>
      <c r="D1333" s="38" t="n">
        <f aca="false">Sens!$D$1330-Sens!$D$1332</f>
        <v>13.6836</v>
      </c>
      <c r="E1333" s="38" t="n">
        <f aca="false">Sens!$E$1330-Sens!$E$1332</f>
        <v>8.1088</v>
      </c>
      <c r="F1333" s="38" t="n">
        <f aca="false">Sens!$F$1330-Sens!$F$1332</f>
        <v>21.2216789422221</v>
      </c>
      <c r="G1333" s="38" t="n">
        <f aca="false">Sens!$G$1330-Sens!$G$1332</f>
        <v>29.3304789422221</v>
      </c>
      <c r="H1333" s="38" t="n">
        <f aca="false">Sens!$H$1330-Sens!$H$1332</f>
        <v>34.53493575</v>
      </c>
      <c r="I1333" s="38" t="n">
        <f aca="false">Sens!$I$1330-Sens!$I$1332</f>
        <v>34.53493575</v>
      </c>
      <c r="J1333" s="38" t="n">
        <f aca="false">Sens!$J$1330-Sens!$J$1332</f>
        <v>34.53493575</v>
      </c>
      <c r="K1333" s="38" t="n">
        <f aca="false">Sens!$K$1330-Sens!$K$1332</f>
        <v>24.49554925125</v>
      </c>
      <c r="L1333" s="38" t="n">
        <f aca="false">Sens!$L$1330-Sens!$L$1332</f>
        <v>14.4561627525</v>
      </c>
      <c r="M1333" s="38" t="n">
        <f aca="false">Sens!$M$1330-Sens!$M$1332</f>
        <v>4.41677625374999</v>
      </c>
      <c r="R1333" s="38" t="n">
        <f aca="false">Sens!$R$1330-Sens!$R$1332</f>
        <v>0.405023005106309</v>
      </c>
      <c r="S1333" s="38" t="n">
        <f aca="false">Sens!$S$1330-Sens!$S$1332</f>
        <v>3.0408</v>
      </c>
      <c r="T1333" s="38" t="n">
        <f aca="false">Sens!$T$1330-Sens!$T$1332</f>
        <v>13.6836</v>
      </c>
      <c r="U1333" s="38" t="n">
        <f aca="false">Sens!$U$1330-Sens!$U$1332</f>
        <v>29.3304789422221</v>
      </c>
      <c r="V1333" s="38" t="n">
        <f aca="false">Sens!$V$1330-Sens!$V$1332</f>
        <v>34.53493575</v>
      </c>
      <c r="W1333" s="38" t="n">
        <f aca="false">Sens!$W$1330-Sens!$W$1332</f>
        <v>34.53493575</v>
      </c>
      <c r="X1333" s="38" t="n">
        <f aca="false">Sens!$X$1330-Sens!$X$1332</f>
        <v>34.53493575</v>
      </c>
      <c r="Y1333" s="38" t="n">
        <f aca="false">Sens!$Y$1330-Sens!$Y$1332</f>
        <v>24.49554925125</v>
      </c>
      <c r="Z1333" s="38" t="n">
        <f aca="false">Sens!$Z$1330-Sens!$Z$1332</f>
        <v>14.4561627525</v>
      </c>
      <c r="AA1333" s="38" t="n">
        <f aca="false">Sens!$AA$1330-Sens!$AA$1332</f>
        <v>4.41677625374999</v>
      </c>
    </row>
    <row r="1334" customFormat="false" ht="17.15" hidden="false" customHeight="false" outlineLevel="0" collapsed="false">
      <c r="A1334" s="0" t="s">
        <v>636</v>
      </c>
      <c r="B1334" s="0" t="s">
        <v>52</v>
      </c>
      <c r="C1334" s="13" t="n">
        <f aca="false">Sens!$C$1328/Sens!$C$1450</f>
        <v>0.325505489553393</v>
      </c>
      <c r="D1334" s="13" t="n">
        <f aca="false">Sens!$D$1328/Sens!$D$1450</f>
        <v>0.54214956071542</v>
      </c>
      <c r="E1334" s="13" t="n">
        <f aca="false">Sens!$E$1328/Sens!$E$1450</f>
        <v>0.666492790452817</v>
      </c>
      <c r="F1334" s="13" t="n">
        <f aca="false">Sens!$F$1328/Sens!$F$1450</f>
        <v>0.71724917504417</v>
      </c>
      <c r="G1334" s="13" t="n">
        <f aca="false">Sens!$G$1328/Sens!$G$1450</f>
        <v>0.69502941413511</v>
      </c>
      <c r="H1334" s="13" t="n">
        <f aca="false">Sens!$H$1328/Sens!$H$1450</f>
        <v>0.66566232131283</v>
      </c>
      <c r="I1334" s="13" t="n">
        <f aca="false">Sens!$I$1328/Sens!$I$1450</f>
        <v>0.650855422263849</v>
      </c>
      <c r="J1334" s="13" t="n">
        <f aca="false">Sens!$J$1328/Sens!$J$1450</f>
        <v>0.639607048882734</v>
      </c>
      <c r="K1334" s="13" t="n">
        <f aca="false">Sens!$K$1328/Sens!$K$1450</f>
        <v>0.554660161639881</v>
      </c>
      <c r="L1334" s="13" t="n">
        <f aca="false">Sens!$L$1328/Sens!$L$1450</f>
        <v>0.520313744228465</v>
      </c>
      <c r="M1334" s="13" t="n">
        <f aca="false">Sens!$M$1328/Sens!$M$1450</f>
        <v>0.493029106390845</v>
      </c>
    </row>
    <row r="1335" customFormat="false" ht="17.15" hidden="false" customHeight="false" outlineLevel="0" collapsed="false">
      <c r="A1335" s="0" t="s">
        <v>637</v>
      </c>
      <c r="B1335" s="0" t="s">
        <v>86</v>
      </c>
      <c r="C1335" s="38" t="n">
        <f aca="false">Sens!$S$1335</f>
        <v>0.183212798365523</v>
      </c>
      <c r="D1335" s="38" t="n">
        <f aca="false">Sens!$T$1335</f>
        <v>1.55872349836552</v>
      </c>
      <c r="E1335" s="38" t="n">
        <f aca="false">Sens!$G$1335/2</f>
        <v>3.87426082418276</v>
      </c>
      <c r="F1335" s="38" t="n">
        <f aca="false">Sens!$G$1335/2</f>
        <v>3.87426082418276</v>
      </c>
      <c r="G1335" s="38" t="n">
        <f aca="false">Sens!$U$1335</f>
        <v>7.74852164836552</v>
      </c>
      <c r="H1335" s="38" t="n">
        <f aca="false">Sens!$V$1335</f>
        <v>23.2959634348641</v>
      </c>
      <c r="I1335" s="38" t="n">
        <f aca="false">Sens!$W$1335</f>
        <v>42.3615614279578</v>
      </c>
      <c r="J1335" s="38" t="n">
        <f aca="false">Sens!$X$1335</f>
        <v>62.1865475417703</v>
      </c>
      <c r="K1335" s="38" t="n">
        <f aca="false">Sens!$Y$1335</f>
        <v>82.7011155572173</v>
      </c>
      <c r="L1335" s="38" t="n">
        <f aca="false">Sens!$Z$1335</f>
        <v>97.1330105950758</v>
      </c>
      <c r="M1335" s="38" t="n">
        <f aca="false">Sens!$AA$1335</f>
        <v>107.09701130698</v>
      </c>
      <c r="N1335" s="38" t="n">
        <f aca="false">Sens!$D$1335/2</f>
        <v>0.779361749182762</v>
      </c>
      <c r="O1335" s="38" t="n">
        <f aca="false">Sens!$D$1335/2</f>
        <v>0.779361749182762</v>
      </c>
      <c r="R1335" s="38" t="n">
        <f aca="false">SUMPRODUCT(--(Sens!$R$1298:$AA$1298&lt;Sens!R$1298),--(Sens!$R$1298:$AA$1298&gt;=Sens!R$1298-tk_life),Sens!$R$1332:$AA$1332)/tk_life</f>
        <v>0</v>
      </c>
      <c r="S1335" s="38" t="n">
        <f aca="false">SUMPRODUCT(--(Sens!$R$1298:$AA$1298&lt;Sens!S$1298),--(Sens!$R$1298:$AA$1298&gt;=Sens!S$1298-tk_life),Sens!$R$1332:$AA$1332)/tk_life</f>
        <v>0.183212798365523</v>
      </c>
      <c r="T1335" s="38" t="n">
        <f aca="false">SUMPRODUCT(--(Sens!$R$1298:$AA$1298&lt;Sens!T$1298),--(Sens!$R$1298:$AA$1298&gt;=Sens!T$1298-tk_life),Sens!$R$1332:$AA$1332)/tk_life</f>
        <v>1.55872349836552</v>
      </c>
      <c r="U1335" s="38" t="n">
        <f aca="false">SUMPRODUCT(--(Sens!$R$1298:$AA$1298&lt;Sens!U$1298),--(Sens!$R$1298:$AA$1298&gt;=Sens!U$1298-tk_life),Sens!$R$1332:$AA$1332)/tk_life</f>
        <v>7.74852164836552</v>
      </c>
      <c r="V1335" s="38" t="n">
        <f aca="false">SUMPRODUCT(--(Sens!$R$1298:$AA$1298&lt;Sens!V$1298),--(Sens!$R$1298:$AA$1298&gt;=Sens!V$1298-tk_life),Sens!$R$1332:$AA$1332)/tk_life</f>
        <v>23.2959634348641</v>
      </c>
      <c r="W1335" s="38" t="n">
        <f aca="false">SUMPRODUCT(--(Sens!$R$1298:$AA$1298&lt;Sens!W$1298),--(Sens!$R$1298:$AA$1298&gt;=Sens!W$1298-tk_life),Sens!$R$1332:$AA$1332)/tk_life</f>
        <v>42.3615614279578</v>
      </c>
      <c r="X1335" s="38" t="n">
        <f aca="false">SUMPRODUCT(--(Sens!$R$1298:$AA$1298&lt;Sens!X$1298),--(Sens!$R$1298:$AA$1298&gt;=Sens!X$1298-tk_life),Sens!$R$1332:$AA$1332)/tk_life</f>
        <v>62.1865475417703</v>
      </c>
      <c r="Y1335" s="38" t="n">
        <f aca="false">SUMPRODUCT(--(Sens!$R$1298:$AA$1298&lt;Sens!Y$1298),--(Sens!$R$1298:$AA$1298&gt;=Sens!Y$1298-tk_life),Sens!$R$1332:$AA$1332)/tk_life</f>
        <v>82.7011155572173</v>
      </c>
      <c r="Z1335" s="38" t="n">
        <f aca="false">SUMPRODUCT(--(Sens!$R$1298:$AA$1298&lt;Sens!Z$1298),--(Sens!$R$1298:$AA$1298&gt;=Sens!Z$1298-tk_life),Sens!$R$1332:$AA$1332)/tk_life</f>
        <v>97.1330105950758</v>
      </c>
      <c r="AA1335" s="38" t="n">
        <f aca="false">SUMPRODUCT(--(Sens!$R$1298:$AA$1298&lt;Sens!AA$1298),--(Sens!$R$1298:$AA$1298&gt;=Sens!AA$1298-tk_life),Sens!$R$1332:$AA$1332)/tk_life</f>
        <v>107.09701130698</v>
      </c>
    </row>
    <row r="1336" customFormat="false" ht="17.15" hidden="false" customHeight="false" outlineLevel="0" collapsed="false">
      <c r="A1336" s="0" t="s">
        <v>638</v>
      </c>
      <c r="B1336" s="0" t="s">
        <v>86</v>
      </c>
      <c r="C1336" s="38" t="n">
        <f aca="false">Sens!$S$1336</f>
        <v>0.0202511502553155</v>
      </c>
      <c r="D1336" s="38" t="n">
        <f aca="false">Sens!$T$1336</f>
        <v>0.172291150255315</v>
      </c>
      <c r="E1336" s="38" t="n">
        <f aca="false">Sens!$G$1336/2</f>
        <v>0.428235575127658</v>
      </c>
      <c r="F1336" s="38" t="n">
        <f aca="false">Sens!$G$1336/2</f>
        <v>0.428235575127658</v>
      </c>
      <c r="G1336" s="38" t="n">
        <f aca="false">Sens!$U$1336</f>
        <v>0.856471150255315</v>
      </c>
      <c r="H1336" s="38" t="n">
        <f aca="false">Sens!$V$1336</f>
        <v>2.32299509736642</v>
      </c>
      <c r="I1336" s="38" t="n">
        <f aca="false">Sens!$W$1336</f>
        <v>4.04974188486642</v>
      </c>
      <c r="J1336" s="38" t="n">
        <f aca="false">Sens!$X$1336</f>
        <v>5.77648867236642</v>
      </c>
      <c r="K1336" s="38" t="n">
        <f aca="false">Sens!$Y$1336</f>
        <v>7.50323545986642</v>
      </c>
      <c r="L1336" s="38" t="n">
        <f aca="false">Sens!$Z$1336</f>
        <v>8.72801292242892</v>
      </c>
      <c r="M1336" s="38" t="n">
        <f aca="false">Sens!$AA$1336</f>
        <v>9.45082106005392</v>
      </c>
      <c r="N1336" s="38" t="n">
        <f aca="false">Sens!$D$1336/2</f>
        <v>0.0861455751276577</v>
      </c>
      <c r="O1336" s="38" t="n">
        <f aca="false">Sens!$D$1336/2</f>
        <v>0.0861455751276577</v>
      </c>
      <c r="R1336" s="38" t="n">
        <f aca="false">SUMPRODUCT(--(Sens!$R$1298:$AA$1298&lt;Sens!R$1298),Sens!$R$1333:$AA$1333)/fac_life</f>
        <v>0</v>
      </c>
      <c r="S1336" s="38" t="n">
        <f aca="false">SUMPRODUCT(--(Sens!$R$1298:$AA$1298&lt;Sens!S$1298),Sens!$R$1333:$AA$1333)/fac_life</f>
        <v>0.0202511502553155</v>
      </c>
      <c r="T1336" s="38" t="n">
        <f aca="false">SUMPRODUCT(--(Sens!$R$1298:$AA$1298&lt;Sens!T$1298),Sens!$R$1333:$AA$1333)/fac_life</f>
        <v>0.172291150255315</v>
      </c>
      <c r="U1336" s="38" t="n">
        <f aca="false">SUMPRODUCT(--(Sens!$R$1298:$AA$1298&lt;Sens!U$1298),Sens!$R$1333:$AA$1333)/fac_life</f>
        <v>0.856471150255315</v>
      </c>
      <c r="V1336" s="38" t="n">
        <f aca="false">SUMPRODUCT(--(Sens!$R$1298:$AA$1298&lt;Sens!V$1298),Sens!$R$1333:$AA$1333)/fac_life</f>
        <v>2.32299509736642</v>
      </c>
      <c r="W1336" s="38" t="n">
        <f aca="false">SUMPRODUCT(--(Sens!$R$1298:$AA$1298&lt;Sens!W$1298),Sens!$R$1333:$AA$1333)/fac_life</f>
        <v>4.04974188486642</v>
      </c>
      <c r="X1336" s="38" t="n">
        <f aca="false">SUMPRODUCT(--(Sens!$R$1298:$AA$1298&lt;Sens!X$1298),Sens!$R$1333:$AA$1333)/fac_life</f>
        <v>5.77648867236642</v>
      </c>
      <c r="Y1336" s="38" t="n">
        <f aca="false">SUMPRODUCT(--(Sens!$R$1298:$AA$1298&lt;Sens!Y$1298),Sens!$R$1333:$AA$1333)/fac_life</f>
        <v>7.50323545986642</v>
      </c>
      <c r="Z1336" s="38" t="n">
        <f aca="false">SUMPRODUCT(--(Sens!$R$1298:$AA$1298&lt;Sens!Z$1298),Sens!$R$1333:$AA$1333)/fac_life</f>
        <v>8.72801292242892</v>
      </c>
      <c r="AA1336" s="38" t="n">
        <f aca="false">SUMPRODUCT(--(Sens!$R$1298:$AA$1298&lt;Sens!AA$1298),Sens!$R$1333:$AA$1333)/fac_life</f>
        <v>9.45082106005392</v>
      </c>
    </row>
    <row r="1337" customFormat="false" ht="17.15" hidden="false" customHeight="false" outlineLevel="0" collapsed="false">
      <c r="A1337" s="1" t="s">
        <v>639</v>
      </c>
      <c r="B1337" s="8" t="s">
        <v>86</v>
      </c>
      <c r="C1337" s="38" t="n">
        <f aca="false">Sens!$C$1335+Sens!$C$1336</f>
        <v>0.203463948620839</v>
      </c>
      <c r="D1337" s="38" t="n">
        <f aca="false">Sens!$D$1335+Sens!$D$1336</f>
        <v>1.73101464862084</v>
      </c>
      <c r="E1337" s="38" t="n">
        <f aca="false">Sens!$E$1335+Sens!$E$1336</f>
        <v>4.30249639931042</v>
      </c>
      <c r="F1337" s="38" t="n">
        <f aca="false">Sens!$F$1335+Sens!$F$1336</f>
        <v>4.30249639931042</v>
      </c>
      <c r="G1337" s="38" t="n">
        <f aca="false">Sens!$G$1335+Sens!$G$1336</f>
        <v>8.60499279862084</v>
      </c>
      <c r="H1337" s="38" t="n">
        <f aca="false">Sens!$H$1335+Sens!$H$1336</f>
        <v>25.6189585322305</v>
      </c>
      <c r="I1337" s="38" t="n">
        <f aca="false">Sens!$I$1335+Sens!$I$1336</f>
        <v>46.4113033128243</v>
      </c>
      <c r="J1337" s="38" t="n">
        <f aca="false">Sens!$J$1335+Sens!$J$1336</f>
        <v>67.9630362141368</v>
      </c>
      <c r="K1337" s="38" t="n">
        <f aca="false">Sens!$K$1335+Sens!$K$1336</f>
        <v>90.2043510170837</v>
      </c>
      <c r="L1337" s="38" t="n">
        <f aca="false">Sens!$L$1335+Sens!$L$1336</f>
        <v>105.861023517505</v>
      </c>
      <c r="M1337" s="38" t="n">
        <f aca="false">Sens!$M$1335+Sens!$M$1336</f>
        <v>116.547832367034</v>
      </c>
      <c r="N1337" s="38" t="n">
        <f aca="false">Sens!$N$1335+Sens!$N$1336</f>
        <v>0.865507324310419</v>
      </c>
      <c r="O1337" s="38" t="n">
        <f aca="false">Sens!$O$1335+Sens!$O$1336</f>
        <v>0.865507324310419</v>
      </c>
      <c r="R1337" s="38" t="n">
        <f aca="false">Sens!$R$1335+Sens!$R$1336</f>
        <v>0</v>
      </c>
      <c r="S1337" s="38" t="n">
        <f aca="false">Sens!$S$1335+Sens!$S$1336</f>
        <v>0.203463948620839</v>
      </c>
      <c r="T1337" s="38" t="n">
        <f aca="false">Sens!$T$1335+Sens!$T$1336</f>
        <v>1.73101464862084</v>
      </c>
      <c r="U1337" s="38" t="n">
        <f aca="false">Sens!$U$1335+Sens!$U$1336</f>
        <v>8.60499279862084</v>
      </c>
      <c r="V1337" s="38" t="n">
        <f aca="false">Sens!$V$1335+Sens!$V$1336</f>
        <v>25.6189585322305</v>
      </c>
      <c r="W1337" s="38" t="n">
        <f aca="false">Sens!$W$1335+Sens!$W$1336</f>
        <v>46.4113033128243</v>
      </c>
      <c r="X1337" s="38" t="n">
        <f aca="false">Sens!$X$1335+Sens!$X$1336</f>
        <v>67.9630362141368</v>
      </c>
      <c r="Y1337" s="38" t="n">
        <f aca="false">Sens!$Y$1335+Sens!$Y$1336</f>
        <v>90.2043510170837</v>
      </c>
      <c r="Z1337" s="38" t="n">
        <f aca="false">Sens!$Z$1335+Sens!$Z$1336</f>
        <v>105.861023517505</v>
      </c>
      <c r="AA1337" s="38" t="n">
        <f aca="false">Sens!$AA$1335+Sens!$AA$1336</f>
        <v>116.547832367034</v>
      </c>
    </row>
    <row r="1338" customFormat="false" ht="17.15" hidden="false" customHeight="false" outlineLevel="0" collapsed="false">
      <c r="A1338" s="0" t="s">
        <v>640</v>
      </c>
      <c r="B1338" s="0" t="s">
        <v>86</v>
      </c>
      <c r="C1338" s="38" t="n">
        <f aca="false">Sens!$S$1338</f>
        <v>12.5947000466786</v>
      </c>
      <c r="D1338" s="38" t="n">
        <f aca="false">Sens!$T$1338</f>
        <v>61.6860742980578</v>
      </c>
      <c r="G1338" s="38" t="n">
        <f aca="false">Sens!$U$1338</f>
        <v>175.69621116065</v>
      </c>
      <c r="H1338" s="38" t="n">
        <f aca="false">Sens!$V$1338</f>
        <v>299.005776336982</v>
      </c>
      <c r="I1338" s="38" t="n">
        <f aca="false">Sens!$W$1338</f>
        <v>406.079325457033</v>
      </c>
      <c r="J1338" s="38" t="n">
        <f aca="false">Sens!$X$1338</f>
        <v>496.837909875771</v>
      </c>
      <c r="K1338" s="38" t="n">
        <f aca="false">Sens!$Y$1338</f>
        <v>525.973542537088</v>
      </c>
      <c r="L1338" s="38" t="n">
        <f aca="false">Sens!$Z$1338</f>
        <v>531.49147494351</v>
      </c>
      <c r="M1338" s="38" t="n">
        <f aca="false">Sens!$AA$1338</f>
        <v>521.977668287365</v>
      </c>
      <c r="R1338" s="38" t="n">
        <f aca="false">SUM(Sens!$R$1330:$R$1330)-SUM(Sens!$R$1337:$R$1337)</f>
        <v>1.50429979529945</v>
      </c>
      <c r="S1338" s="38" t="n">
        <f aca="false">SUM(Sens!$R$1330:$S$1330)-SUM(Sens!$R$1337:$S$1337)</f>
        <v>12.5947000466786</v>
      </c>
      <c r="T1338" s="38" t="n">
        <f aca="false">SUM(Sens!$R$1330:$T$1330)-SUM(Sens!$R$1337:$T$1337)</f>
        <v>61.6860742980578</v>
      </c>
      <c r="U1338" s="38" t="n">
        <f aca="false">SUM(Sens!$R$1330:$U$1330)-SUM(Sens!$R$1337:$U$1337)</f>
        <v>175.69621116065</v>
      </c>
      <c r="V1338" s="38" t="n">
        <f aca="false">SUM(Sens!$R$1330:$V$1330)-SUM(Sens!$R$1337:$V$1337)</f>
        <v>299.005776336982</v>
      </c>
      <c r="W1338" s="38" t="n">
        <f aca="false">SUM(Sens!$R$1330:$W$1330)-SUM(Sens!$R$1337:$W$1337)</f>
        <v>406.079325457033</v>
      </c>
      <c r="X1338" s="38" t="n">
        <f aca="false">SUM(Sens!$R$1330:$X$1330)-SUM(Sens!$R$1337:$X$1337)</f>
        <v>496.837909875771</v>
      </c>
      <c r="Y1338" s="38" t="n">
        <f aca="false">SUM(Sens!$R$1330:$Y$1330)-SUM(Sens!$R$1337:$Y$1337)</f>
        <v>525.973542537088</v>
      </c>
      <c r="Z1338" s="38" t="n">
        <f aca="false">SUM(Sens!$R$1330:$Z$1330)-SUM(Sens!$R$1337:$Z$1337)</f>
        <v>531.49147494351</v>
      </c>
      <c r="AA1338" s="38" t="n">
        <f aca="false">SUM(Sens!$R$1330:$AA$1330)-SUM(Sens!$R$1337:$AA$1337)</f>
        <v>521.977668287365</v>
      </c>
    </row>
    <row r="1339" customFormat="false" ht="17.15" hidden="false" customHeight="false" outlineLevel="0" collapsed="false">
      <c r="A1339" s="1" t="s">
        <v>641</v>
      </c>
    </row>
    <row r="1340" customFormat="false" ht="17.15" hidden="false" customHeight="false" outlineLevel="0" collapsed="false">
      <c r="A1340" s="0" t="s">
        <v>642</v>
      </c>
      <c r="B1340" s="0" t="s">
        <v>86</v>
      </c>
      <c r="C1340" s="38" t="n">
        <f aca="false">Sens!$C$1319-ext_sh*Sens!$C$1321</f>
        <v>1.80694998843362</v>
      </c>
      <c r="D1340" s="38" t="n">
        <f aca="false">Sens!$D$1319-ext_sh*Sens!$D$1321</f>
        <v>6.77606245662607</v>
      </c>
      <c r="E1340" s="38" t="n">
        <f aca="false">Sens!$E$1319-ext_sh*Sens!$E$1321</f>
        <v>6.62548329092326</v>
      </c>
      <c r="F1340" s="38" t="n">
        <f aca="false">Sens!$F$1319-ext_sh*Sens!$F$1321</f>
        <v>10.7475724410394</v>
      </c>
      <c r="G1340" s="38" t="n">
        <f aca="false">Sens!$G$1319-ext_sh*Sens!$G$1321</f>
        <v>17.3730557319626</v>
      </c>
      <c r="H1340" s="38" t="n">
        <f aca="false">Sens!$H$1319-ext_sh*Sens!$H$1321</f>
        <v>39.5529378378068</v>
      </c>
      <c r="I1340" s="38" t="n">
        <f aca="false">Sens!$I$1319-ext_sh*Sens!$I$1321</f>
        <v>64.3305352565479</v>
      </c>
      <c r="J1340" s="38" t="n">
        <f aca="false">Sens!$J$1319-ext_sh*Sens!$J$1321</f>
        <v>89.2345459344354</v>
      </c>
      <c r="K1340" s="38" t="n">
        <f aca="false">Sens!$K$1319-ext_sh*Sens!$K$1321</f>
        <v>110.502525441592</v>
      </c>
      <c r="L1340" s="38" t="n">
        <f aca="false">Sens!$L$1319-ext_sh*Sens!$L$1321</f>
        <v>124.535767786747</v>
      </c>
      <c r="M1340" s="38" t="n">
        <f aca="false">Sens!$M$1319-ext_sh*Sens!$M$1321</f>
        <v>131.313822270043</v>
      </c>
      <c r="N1340" s="38" t="n">
        <f aca="false">Sens!$N$1319-ext_sh*Sens!$N$1321</f>
        <v>2.37162185981912</v>
      </c>
      <c r="O1340" s="38" t="n">
        <f aca="false">Sens!$O$1319-ext_sh*Sens!$O$1321</f>
        <v>4.40444059680694</v>
      </c>
    </row>
    <row r="1341" customFormat="false" ht="17.15" hidden="false" customHeight="false" outlineLevel="0" collapsed="false">
      <c r="A1341" s="1" t="s">
        <v>643</v>
      </c>
      <c r="B1341" s="8" t="s">
        <v>86</v>
      </c>
      <c r="C1341" s="38" t="n">
        <f aca="false">Sens!$C$1340-ext_sh*Sens!$C$1337</f>
        <v>1.64417882953695</v>
      </c>
      <c r="D1341" s="38" t="n">
        <f aca="false">Sens!$D$1340-ext_sh*Sens!$D$1337</f>
        <v>5.39125073772939</v>
      </c>
      <c r="E1341" s="38" t="n">
        <f aca="false">Sens!$E$1340-ext_sh*Sens!$E$1337</f>
        <v>3.18348617147493</v>
      </c>
      <c r="F1341" s="38" t="n">
        <f aca="false">Sens!$F$1340-ext_sh*Sens!$F$1337</f>
        <v>7.30557532159103</v>
      </c>
      <c r="G1341" s="38" t="n">
        <f aca="false">Sens!$G$1340-ext_sh*Sens!$G$1337</f>
        <v>10.489061493066</v>
      </c>
      <c r="H1341" s="38" t="n">
        <f aca="false">Sens!$H$1340-ext_sh*Sens!$H$1337</f>
        <v>19.0577710120224</v>
      </c>
      <c r="I1341" s="38" t="n">
        <f aca="false">Sens!$I$1340-ext_sh*Sens!$I$1337</f>
        <v>27.2014926062884</v>
      </c>
      <c r="J1341" s="38" t="n">
        <f aca="false">Sens!$J$1340-ext_sh*Sens!$J$1337</f>
        <v>34.864116963126</v>
      </c>
      <c r="K1341" s="38" t="n">
        <f aca="false">Sens!$K$1340-ext_sh*Sens!$K$1337</f>
        <v>38.3390446279248</v>
      </c>
      <c r="L1341" s="38" t="n">
        <f aca="false">Sens!$L$1340-ext_sh*Sens!$L$1337</f>
        <v>39.8469489727435</v>
      </c>
      <c r="M1341" s="38" t="n">
        <f aca="false">Sens!$M$1340-ext_sh*Sens!$M$1337</f>
        <v>38.0755563764153</v>
      </c>
      <c r="N1341" s="38" t="n">
        <f aca="false">Sens!$N$1340-ext_sh*Sens!$N$1337</f>
        <v>1.67921600037079</v>
      </c>
      <c r="O1341" s="38" t="n">
        <f aca="false">Sens!$O$1340-ext_sh*Sens!$O$1337</f>
        <v>3.71203473735861</v>
      </c>
    </row>
    <row r="1342" customFormat="false" ht="17.15" hidden="false" customHeight="false" outlineLevel="0" collapsed="false">
      <c r="A1342" s="0" t="s">
        <v>644</v>
      </c>
      <c r="B1342" s="0" t="s">
        <v>52</v>
      </c>
      <c r="C1342" s="13" t="n">
        <f aca="false">Sens!$C$1341/Sens!$C$1319</f>
        <v>0.708390794789371</v>
      </c>
      <c r="D1342" s="13" t="n">
        <f aca="false">Sens!$D$1341/Sens!$D$1319</f>
        <v>0.619415573115729</v>
      </c>
      <c r="E1342" s="13" t="n">
        <f aca="false">Sens!$E$1341/Sens!$E$1319</f>
        <v>0.374072166056273</v>
      </c>
      <c r="F1342" s="13" t="n">
        <f aca="false">Sens!$F$1341/Sens!$F$1319</f>
        <v>0.531817466903928</v>
      </c>
      <c r="G1342" s="13" t="n">
        <f aca="false">Sens!$G$1341/Sens!$G$1319</f>
        <v>0.471474632837476</v>
      </c>
      <c r="H1342" s="13" t="n">
        <f aca="false">Sens!$H$1341/Sens!$H$1319</f>
        <v>0.379990650081832</v>
      </c>
      <c r="I1342" s="13" t="n">
        <f aca="false">Sens!$I$1341/Sens!$I$1319</f>
        <v>0.335172815765929</v>
      </c>
      <c r="J1342" s="13" t="n">
        <f aca="false">Sens!$J$1341/Sens!$J$1319</f>
        <v>0.310460986971973</v>
      </c>
      <c r="K1342" s="13" t="n">
        <f aca="false">Sens!$K$1341/Sens!$K$1319</f>
        <v>0.276028816995104</v>
      </c>
      <c r="L1342" s="13" t="n">
        <f aca="false">Sens!$L$1341/Sens!$L$1319</f>
        <v>0.254702960651435</v>
      </c>
      <c r="M1342" s="13" t="n">
        <f aca="false">Sens!$M$1341/Sens!$M$1319</f>
        <v>0.230866319199633</v>
      </c>
      <c r="N1342" s="13" t="n">
        <f aca="false">Sens!$N$1341/Sens!$N$1319</f>
        <v>0.551227795793364</v>
      </c>
      <c r="O1342" s="13" t="n">
        <f aca="false">Sens!$O$1341/Sens!$O$1319</f>
        <v>0.656132068597002</v>
      </c>
    </row>
    <row r="1343" customFormat="false" ht="17.15" hidden="false" customHeight="false" outlineLevel="0" collapsed="false">
      <c r="A1343" s="5" t="s">
        <v>645</v>
      </c>
      <c r="B1343" s="0" t="s">
        <v>86</v>
      </c>
      <c r="C1343" s="39" t="n">
        <v>0</v>
      </c>
      <c r="D1343" s="39" t="n">
        <v>0</v>
      </c>
      <c r="E1343" s="39" t="n">
        <v>0</v>
      </c>
      <c r="F1343" s="38" t="n">
        <f aca="false">IF(internal_ai_reading=2,1,0)*(1-ext_sh)/ext_sh*(mw_open*he_open+Sens!$F$1317*Sens!$F$1314)*Sens!$F$1303/1000</f>
        <v>3.46212295437561</v>
      </c>
      <c r="G1343" s="38" t="n">
        <f aca="false">Sens!$E$1343+Sens!$F$1343</f>
        <v>3.46212295437561</v>
      </c>
      <c r="H1343" s="38" t="n">
        <f aca="false">IF(internal_ai_reading=2,1,0)*(1-ext_sh)/ext_sh*(mw_open*he_open+Sens!$H$1317*Sens!$H$1314)*Sens!$H$1303/1000</f>
        <v>12.6400809568559</v>
      </c>
      <c r="I1343" s="38" t="n">
        <f aca="false">IF(internal_ai_reading=2,1,0)*(1-ext_sh)/ext_sh*(mw_open*he_open+Sens!$I$1317*Sens!$I$1314)*Sens!$I$1303/1000</f>
        <v>20.4538284576056</v>
      </c>
      <c r="J1343" s="38" t="n">
        <f aca="false">IF(internal_ai_reading=2,1,0)*(1-ext_sh)/ext_sh*(mw_open*he_open+Sens!$J$1317*Sens!$J$1314)*Sens!$J$1303/1000</f>
        <v>28.3023369995481</v>
      </c>
      <c r="K1343" s="38" t="n">
        <f aca="false">IF(internal_ai_reading=2,1,0)*(1-ext_sh)/ext_sh*(mw_open*he_open+Sens!$K$1317*Sens!$K$1314)*Sens!$K$1303/1000</f>
        <v>35.0055998557771</v>
      </c>
      <c r="L1343" s="38" t="n">
        <f aca="false">IF(internal_ai_reading=2,1,0)*(1-ext_sh)/ext_sh*(mw_open*he_open+Sens!$L$1317*Sens!$L$1314)*Sens!$L$1303/1000</f>
        <v>39.4286349957492</v>
      </c>
      <c r="M1343" s="38" t="n">
        <f aca="false">IF(internal_ai_reading=2,1,0)*(1-ext_sh)/ext_sh*(mw_open*he_open+Sens!$M$1317*Sens!$M$1314)*Sens!$M$1303/1000</f>
        <v>41.5658188984426</v>
      </c>
      <c r="N1343" s="39" t="n">
        <v>0</v>
      </c>
      <c r="O1343" s="39" t="n">
        <v>0</v>
      </c>
      <c r="P1343" s="8" t="s">
        <v>646</v>
      </c>
    </row>
    <row r="1344" customFormat="false" ht="17.15" hidden="false" customHeight="false" outlineLevel="0" collapsed="false">
      <c r="A1344" s="5" t="s">
        <v>647</v>
      </c>
      <c r="B1344" s="0" t="s">
        <v>86</v>
      </c>
      <c r="C1344" s="38" t="n">
        <f aca="false">(1-ext_sh)*(Sens!$C$1321+Sens!$C$1337)</f>
        <v>0.169206631859174</v>
      </c>
      <c r="D1344" s="38" t="n">
        <f aca="false">(1-ext_sh)*(Sens!$D$1321+Sens!$D$1337)</f>
        <v>0.828129837730442</v>
      </c>
      <c r="E1344" s="38" t="n">
        <f aca="false">(1-ext_sh)*(Sens!$E$1321+Sens!$E$1337)</f>
        <v>1.33171670102377</v>
      </c>
      <c r="F1344" s="38" t="n">
        <f aca="false">(1-ext_sh)*(Sens!$F$1321+Sens!$F$1337)</f>
        <v>1.60785559550102</v>
      </c>
      <c r="G1344" s="38" t="n">
        <f aca="false">(1-ext_sh)*(Sens!$G$1321+Sens!$G$1337)</f>
        <v>2.9395722965248</v>
      </c>
      <c r="H1344" s="38" t="n">
        <f aca="false">(1-ext_sh)*(Sens!$H$1321+Sens!$H$1337)</f>
        <v>7.77387299760451</v>
      </c>
      <c r="I1344" s="38" t="n">
        <f aca="false">(1-ext_sh)*(Sens!$I$1321+Sens!$I$1337)</f>
        <v>13.4887816715363</v>
      </c>
      <c r="J1344" s="38" t="n">
        <f aca="false">(1-ext_sh)*(Sens!$J$1321+Sens!$J$1337)</f>
        <v>19.3584458351105</v>
      </c>
      <c r="K1344" s="38" t="n">
        <f aca="false">(1-ext_sh)*(Sens!$K$1321+Sens!$K$1337)</f>
        <v>25.1390088512466</v>
      </c>
      <c r="L1344" s="38" t="n">
        <f aca="false">(1-ext_sh)*(Sens!$L$1321+Sens!$L$1337)</f>
        <v>29.1494580790336</v>
      </c>
      <c r="M1344" s="38" t="n">
        <f aca="false">(1-ext_sh)*(Sens!$M$1321+Sens!$M$1337)</f>
        <v>31.7122836776712</v>
      </c>
      <c r="N1344" s="38" t="n">
        <f aca="false">(1-ext_sh)*(Sens!$N$1321+Sens!$N$1337)</f>
        <v>0.34177588266428</v>
      </c>
      <c r="O1344" s="38" t="n">
        <f aca="false">(1-ext_sh)*(Sens!$O$1321+Sens!$O$1337)</f>
        <v>0.486353955066162</v>
      </c>
    </row>
    <row r="1345" customFormat="false" ht="17.15" hidden="false" customHeight="false" outlineLevel="0" collapsed="false">
      <c r="A1345" s="0" t="s">
        <v>648</v>
      </c>
      <c r="B1345" s="0" t="s">
        <v>86</v>
      </c>
      <c r="C1345" s="38" t="n">
        <f aca="false">Q!$D$24</f>
        <v>39.834</v>
      </c>
      <c r="D1345" s="38" t="n">
        <f aca="false">Q!$E$24</f>
        <v>45.606</v>
      </c>
      <c r="E1345" s="38" t="n">
        <f aca="false">Q!$P$24</f>
        <v>30.782</v>
      </c>
      <c r="N1345" s="38" t="n">
        <f aca="false">Q!$N$24</f>
        <v>21.707</v>
      </c>
      <c r="O1345" s="38" t="n">
        <f aca="false">Q!$O$24</f>
        <v>23.899</v>
      </c>
    </row>
    <row r="1346" customFormat="false" ht="17.15" hidden="false" customHeight="false" outlineLevel="0" collapsed="false">
      <c r="A1346" s="0" t="s">
        <v>649</v>
      </c>
      <c r="B1346" s="0" t="s">
        <v>86</v>
      </c>
      <c r="C1346" s="38" t="n">
        <f aca="false">Sens!$C$1345-Sens!$C$1341</f>
        <v>38.1898211704631</v>
      </c>
      <c r="D1346" s="38" t="n">
        <f aca="false">Sens!$D$1345-Sens!$D$1341</f>
        <v>40.2147492622706</v>
      </c>
      <c r="E1346" s="38" t="n">
        <f aca="false">Sens!$E$1345-Sens!$E$1341</f>
        <v>27.5985138285251</v>
      </c>
      <c r="F1346" s="38" t="n">
        <f aca="false">Sens!$F$1323*Sens!$F$1347</f>
        <v>25.5484769754606</v>
      </c>
      <c r="G1346" s="38" t="n">
        <f aca="false">Sens!$E$1346+Sens!$F$1346</f>
        <v>53.1469908039857</v>
      </c>
      <c r="H1346" s="38" t="n">
        <f aca="false">Sens!$H$1323*Sens!$H$1347</f>
        <v>57.3189525076539</v>
      </c>
      <c r="I1346" s="38" t="n">
        <f aca="false">Sens!$I$1323*Sens!$I$1347</f>
        <v>63.6385627021087</v>
      </c>
      <c r="J1346" s="38" t="n">
        <f aca="false">Sens!$J$1323*Sens!$J$1347</f>
        <v>69.6922896066105</v>
      </c>
      <c r="K1346" s="38" t="n">
        <f aca="false">Sens!$K$1323*Sens!$K$1347</f>
        <v>75.2676727751394</v>
      </c>
      <c r="L1346" s="38" t="n">
        <f aca="false">Sens!$L$1323*Sens!$L$1347</f>
        <v>81.2890865971505</v>
      </c>
      <c r="M1346" s="38" t="n">
        <f aca="false">Sens!$M$1323*Sens!$M$1347</f>
        <v>87.7922135249226</v>
      </c>
      <c r="N1346" s="38" t="n">
        <f aca="false">Sens!$N$1345-Sens!$N$1341</f>
        <v>20.0277839996292</v>
      </c>
      <c r="O1346" s="38" t="n">
        <f aca="false">Sens!$O$1345-Sens!$O$1341</f>
        <v>20.1869652626414</v>
      </c>
      <c r="P1346" s="5" t="s">
        <v>650</v>
      </c>
    </row>
    <row r="1347" customFormat="false" ht="17.15" hidden="false" customHeight="false" outlineLevel="0" collapsed="false">
      <c r="A1347" s="0" t="s">
        <v>651</v>
      </c>
      <c r="B1347" s="0" t="s">
        <v>52</v>
      </c>
      <c r="C1347" s="13" t="n">
        <f aca="false">Sens!$C$1346/Sens!$C$1323</f>
        <v>0.362900395443635</v>
      </c>
      <c r="D1347" s="13" t="n">
        <f aca="false">Sens!$D$1346/Sens!$D$1323</f>
        <v>0.335063632425483</v>
      </c>
      <c r="E1347" s="13" t="n">
        <f aca="false">Sens!$E$1346/Sens!$E$1323</f>
        <v>0.387028992698038</v>
      </c>
      <c r="F1347" s="13" t="n">
        <f aca="false">(Sens!$O$1346+Sens!$E$1346)/(Sens!$O$1323+Sens!$E$1323)</f>
        <v>0.355980580118587</v>
      </c>
      <c r="G1347" s="13" t="n">
        <f aca="false">Sens!$G$1346/Sens!$G$1323</f>
        <v>0.371454804780916</v>
      </c>
      <c r="H1347" s="13" t="n">
        <f aca="false">Sens!$F$1347</f>
        <v>0.355980580118587</v>
      </c>
      <c r="I1347" s="13" t="n">
        <f aca="false">Sens!$F$1347</f>
        <v>0.355980580118587</v>
      </c>
      <c r="J1347" s="13" t="n">
        <f aca="false">Sens!$F$1347</f>
        <v>0.355980580118587</v>
      </c>
      <c r="K1347" s="13" t="n">
        <f aca="false">Sens!$F$1347</f>
        <v>0.355980580118587</v>
      </c>
      <c r="L1347" s="13" t="n">
        <f aca="false">Sens!$F$1347</f>
        <v>0.355980580118587</v>
      </c>
      <c r="M1347" s="13" t="n">
        <f aca="false">Sens!$F$1347</f>
        <v>0.355980580118587</v>
      </c>
      <c r="N1347" s="13" t="n">
        <f aca="false">Sens!$N$1346/Sens!$N$1323</f>
        <v>0.35078810535806</v>
      </c>
      <c r="O1347" s="13" t="n">
        <f aca="false">Sens!$O$1346/Sens!$O$1323</f>
        <v>0.320796939361619</v>
      </c>
      <c r="P1347" s="8" t="s">
        <v>652</v>
      </c>
    </row>
    <row r="1348" customFormat="false" ht="17.15" hidden="false" customHeight="false" outlineLevel="0" collapsed="false">
      <c r="A1348" s="0" t="s">
        <v>653</v>
      </c>
      <c r="B1348" s="0" t="s">
        <v>52</v>
      </c>
      <c r="D1348" s="13" t="n">
        <f aca="false">(Q!$E$31-ext_sh*Sens!$D$1337)/Sens!$D$1323</f>
        <v>0.167180325480118</v>
      </c>
    </row>
    <row r="1349" customFormat="false" ht="17.15" hidden="false" customHeight="false" outlineLevel="0" collapsed="false">
      <c r="A1349" s="0" t="s">
        <v>654</v>
      </c>
      <c r="B1349" s="0" t="s">
        <v>86</v>
      </c>
      <c r="C1349" s="38" t="n">
        <f aca="false">Q!$D$31</f>
        <v>13.32</v>
      </c>
      <c r="D1349" s="38" t="n">
        <f aca="false">Q!$E$31</f>
        <v>21.45</v>
      </c>
      <c r="E1349" s="38" t="n">
        <f aca="false">Q!$P$31</f>
        <v>15.353</v>
      </c>
      <c r="F1349" s="38" t="n">
        <f aca="false">ext_sh*Sens!$F$1337+Sens!$D$1348*Sens!$F$1323</f>
        <v>15.4404120185306</v>
      </c>
      <c r="G1349" s="38" t="n">
        <f aca="false">Sens!$E$1349+Sens!$F$1349</f>
        <v>30.7934120185306</v>
      </c>
      <c r="H1349" s="38" t="n">
        <f aca="false">ext_sh*Sens!$H$1337+Sens!$D$1348*Sens!$H$1323</f>
        <v>47.4140541797428</v>
      </c>
      <c r="I1349" s="38" t="n">
        <f aca="false">ext_sh*Sens!$I$1337+Sens!$D$1348*Sens!$I$1323</f>
        <v>67.015829233059</v>
      </c>
      <c r="J1349" s="38" t="n">
        <f aca="false">ext_sh*Sens!$J$1337+Sens!$D$1348*Sens!$J$1323</f>
        <v>87.1002471428693</v>
      </c>
      <c r="K1349" s="38" t="n">
        <f aca="false">ext_sh*Sens!$K$1337+Sens!$D$1348*Sens!$K$1323</f>
        <v>107.511684438952</v>
      </c>
      <c r="L1349" s="38" t="n">
        <f aca="false">ext_sh*Sens!$L$1337+Sens!$D$1348*Sens!$L$1323</f>
        <v>122.864878729311</v>
      </c>
      <c r="M1349" s="38" t="n">
        <f aca="false">ext_sh*Sens!$M$1337+Sens!$D$1348*Sens!$M$1323</f>
        <v>134.468410602159</v>
      </c>
      <c r="N1349" s="38" t="n">
        <f aca="false">Q!$N$31</f>
        <v>9.234</v>
      </c>
      <c r="O1349" s="38" t="n">
        <f aca="false">Q!$O$31</f>
        <v>12.216</v>
      </c>
    </row>
    <row r="1350" customFormat="false" ht="17.15" hidden="false" customHeight="false" outlineLevel="0" collapsed="false">
      <c r="A1350" s="1" t="s">
        <v>655</v>
      </c>
    </row>
    <row r="1351" customFormat="false" ht="17.15" hidden="false" customHeight="false" outlineLevel="0" collapsed="false">
      <c r="A1351" s="15" t="s">
        <v>656</v>
      </c>
      <c r="B1351" s="14" t="s">
        <v>52</v>
      </c>
      <c r="C1351" s="14"/>
      <c r="D1351" s="14"/>
      <c r="E1351" s="14"/>
      <c r="F1351" s="14"/>
      <c r="G1351" s="17" t="n">
        <f aca="false">Sens!$G$1341*(1-tax)/(ext_sh*(Sens!$D$1338+Sens!$G$1338)/2)</f>
        <v>0.0912907496692829</v>
      </c>
      <c r="H1351" s="17" t="n">
        <f aca="false">Sens!$H$1341*(1-tax)/(ext_sh*(Sens!$G$1338+Sens!$H$1338)/2)</f>
        <v>0.0829448647111845</v>
      </c>
      <c r="I1351" s="17" t="n">
        <f aca="false">Sens!$I$1341*(1-tax)/(ext_sh*(Sens!$H$1338+Sens!$I$1338)/2)</f>
        <v>0.0797057487516159</v>
      </c>
      <c r="J1351" s="17" t="n">
        <f aca="false">Sens!$J$1341*(1-tax)/(ext_sh*(Sens!$I$1338+Sens!$J$1338)/2)</f>
        <v>0.0797754339947942</v>
      </c>
      <c r="K1351" s="17" t="n">
        <f aca="false">Sens!$K$1341*(1-tax)/(ext_sh*(Sens!$J$1338+Sens!$K$1338)/2)</f>
        <v>0.0774433539054049</v>
      </c>
      <c r="L1351" s="17" t="n">
        <f aca="false">Sens!$L$1341*(1-tax)/(ext_sh*(Sens!$K$1338+Sens!$L$1338)/2)</f>
        <v>0.0778515947422862</v>
      </c>
      <c r="M1351" s="17" t="n">
        <f aca="false">Sens!$M$1341*(1-tax)/(ext_sh*(Sens!$L$1338+Sens!$M$1338)/2)</f>
        <v>0.074672877580637</v>
      </c>
      <c r="N1351" s="14"/>
      <c r="O1351" s="14"/>
      <c r="P1351" s="8" t="s">
        <v>657</v>
      </c>
    </row>
    <row r="1352" customFormat="false" ht="17.15" hidden="false" customHeight="false" outlineLevel="0" collapsed="false">
      <c r="A1352" s="5" t="s">
        <v>658</v>
      </c>
      <c r="B1352" s="0" t="s">
        <v>57</v>
      </c>
      <c r="H1352" s="36" t="n">
        <f aca="false">Sens!$H$1319*1000/(mw_open*he_open+Sens!$H$1317*Sens!$H$1314)</f>
        <v>0.991949006767191</v>
      </c>
      <c r="I1352" s="36" t="n">
        <f aca="false">Sens!$I$1319*1000/(mw_open*he_open+Sens!$I$1317*Sens!$I$1314)</f>
        <v>0.991949006767191</v>
      </c>
      <c r="J1352" s="36" t="n">
        <f aca="false">Sens!$J$1319*1000/(mw_open*he_open+Sens!$J$1317*Sens!$J$1314)</f>
        <v>0.991949006767192</v>
      </c>
      <c r="K1352" s="36" t="n">
        <f aca="false">Sens!$K$1319*1000/(mw_open*he_open+Sens!$K$1317*Sens!$K$1314)</f>
        <v>0.991949006767192</v>
      </c>
      <c r="L1352" s="36" t="n">
        <f aca="false">Sens!$L$1319*1000/(mw_open*he_open+Sens!$L$1317*Sens!$L$1314)</f>
        <v>0.991949006767191</v>
      </c>
      <c r="M1352" s="36" t="n">
        <f aca="false">Sens!$M$1319*1000/(mw_open*he_open+Sens!$M$1317*Sens!$M$1314)</f>
        <v>0.991949006767191</v>
      </c>
    </row>
    <row r="1353" customFormat="false" ht="17.15" hidden="false" customHeight="false" outlineLevel="0" collapsed="false">
      <c r="A1353" s="5" t="s">
        <v>659</v>
      </c>
      <c r="B1353" s="0" t="s">
        <v>57</v>
      </c>
      <c r="H1353" s="36" t="n">
        <f aca="false">Sens!$H$1352*(Sens!$H$1319+wacc*ext_sh*(Sens!$G$1338+Sens!$H$1338)/2/(1-tax)-Sens!$H$1341)/Sens!$H$1319</f>
        <v>1.12988196586815</v>
      </c>
      <c r="I1353" s="36" t="n">
        <f aca="false">Sens!$I$1352*(Sens!$I$1319+wacc*ext_sh*(Sens!$H$1338+Sens!$I$1338)/2/(1-tax)-Sens!$I$1341)/Sens!$I$1319</f>
        <v>1.13206900926498</v>
      </c>
      <c r="J1353" s="36" t="n">
        <f aca="false">Sens!$J$1352*(Sens!$J$1319+wacc*ext_sh*(Sens!$I$1338+Sens!$J$1338)/2/(1-tax)-Sens!$J$1341)/Sens!$J$1319</f>
        <v>1.12135577214888</v>
      </c>
      <c r="K1353" s="36" t="n">
        <f aca="false">Sens!$K$1352*(Sens!$K$1319+wacc*ext_sh*(Sens!$J$1338+Sens!$K$1338)/2/(1-tax)-Sens!$K$1341)/Sens!$K$1319</f>
        <v>1.11871362900759</v>
      </c>
      <c r="L1353" s="36" t="n">
        <f aca="false">Sens!$L$1352*(Sens!$L$1319+wacc*ext_sh*(Sens!$K$1338+Sens!$L$1338)/2/(1-tax)-Sens!$L$1341)/Sens!$L$1319</f>
        <v>1.10698161135078</v>
      </c>
      <c r="M1353" s="36" t="n">
        <f aca="false">Sens!$M$1352*(Sens!$M$1319+wacc*ext_sh*(Sens!$L$1338+Sens!$M$1338)/2/(1-tax)-Sens!$M$1341)/Sens!$M$1319</f>
        <v>1.11040319396794</v>
      </c>
    </row>
    <row r="1354" customFormat="false" ht="17.15" hidden="false" customHeight="false" outlineLevel="0" collapsed="false">
      <c r="A1354" s="5" t="s">
        <v>660</v>
      </c>
      <c r="B1354" s="0" t="s">
        <v>52</v>
      </c>
      <c r="C1354" s="13" t="n">
        <f aca="false">Sens!$C$1320/tk_pq</f>
        <v>0.195316432429398</v>
      </c>
      <c r="D1354" s="13" t="n">
        <f aca="false">Sens!$D$1320/tk_pq</f>
        <v>0.195316432429398</v>
      </c>
      <c r="E1354" s="13" t="n">
        <f aca="false">Sens!$E$1320/tk_pq</f>
        <v>0.195316432429398</v>
      </c>
      <c r="F1354" s="13" t="n">
        <f aca="false">Sens!$F$1320/tk_pq</f>
        <v>0.200937719008675</v>
      </c>
      <c r="G1354" s="13" t="n">
        <f aca="false">Sens!$G$1320/tk_pq</f>
        <v>0.198749592322125</v>
      </c>
      <c r="H1354" s="13" t="n">
        <f aca="false">Sens!$H$1320/tk_pq</f>
        <v>0.210772603626741</v>
      </c>
      <c r="I1354" s="13" t="n">
        <f aca="false">Sens!$I$1320/tk_pq</f>
        <v>0.217630235595727</v>
      </c>
      <c r="J1354" s="13" t="n">
        <f aca="false">Sens!$J$1320/tk_pq</f>
        <v>0.221114769661761</v>
      </c>
      <c r="K1354" s="13" t="n">
        <f aca="false">Sens!$K$1320/tk_pq</f>
        <v>0.222868364194653</v>
      </c>
      <c r="L1354" s="13" t="n">
        <f aca="false">Sens!$L$1320/tk_pq</f>
        <v>0.223707772782817</v>
      </c>
      <c r="M1354" s="13" t="n">
        <f aca="false">Sens!$M$1320/tk_pq</f>
        <v>0.224020420607819</v>
      </c>
      <c r="N1354" s="13" t="n">
        <f aca="false">Sens!$N$1320/tk_pq</f>
        <v>0.195316432429398</v>
      </c>
      <c r="O1354" s="13" t="n">
        <f aca="false">Sens!$O$1320/tk_pq</f>
        <v>0.195316432429398</v>
      </c>
      <c r="P1354" s="5" t="s">
        <v>661</v>
      </c>
    </row>
    <row r="1357" customFormat="false" ht="17.15" hidden="false" customHeight="false" outlineLevel="0" collapsed="false">
      <c r="A1357" s="1" t="s">
        <v>690</v>
      </c>
    </row>
    <row r="1358" customFormat="false" ht="17.15" hidden="false" customHeight="false" outlineLevel="0" collapsed="false">
      <c r="A1358" s="0" t="s">
        <v>691</v>
      </c>
      <c r="B1358" s="0" t="s">
        <v>86</v>
      </c>
      <c r="C1358" s="38" t="n">
        <f aca="false">Sens!$C$1319</f>
        <v>2.32100535697364</v>
      </c>
      <c r="D1358" s="38" t="n">
        <f aca="false">Sens!$D$1319</f>
        <v>8.70377008865116</v>
      </c>
      <c r="E1358" s="38" t="n">
        <f aca="false">Sens!$E$1319</f>
        <v>8.51035297557002</v>
      </c>
      <c r="F1358" s="38" t="n">
        <f aca="false">Sens!$F$1319</f>
        <v>13.7369977035951</v>
      </c>
      <c r="G1358" s="38" t="n">
        <f aca="false">Sens!$G$1319</f>
        <v>22.2473506791651</v>
      </c>
      <c r="H1358" s="38" t="n">
        <f aca="false">Sens!$H$1319</f>
        <v>50.1532630024405</v>
      </c>
      <c r="I1358" s="38" t="n">
        <f aca="false">Sens!$I$1319</f>
        <v>81.1566192924336</v>
      </c>
      <c r="J1358" s="38" t="n">
        <f aca="false">Sens!$J$1319</f>
        <v>112.297900303568</v>
      </c>
      <c r="K1358" s="38" t="n">
        <f aca="false">Sens!$K$1319</f>
        <v>138.895080032911</v>
      </c>
      <c r="L1358" s="38" t="n">
        <f aca="false">Sens!$L$1319</f>
        <v>156.444781288878</v>
      </c>
      <c r="M1358" s="38" t="n">
        <f aca="false">Sens!$M$1319</f>
        <v>164.9246910871</v>
      </c>
      <c r="N1358" s="38" t="n">
        <f aca="false">Sens!$N$1319</f>
        <v>3.04631953102791</v>
      </c>
      <c r="O1358" s="38" t="n">
        <f aca="false">Sens!$O$1319</f>
        <v>5.65745055762326</v>
      </c>
      <c r="P1358" s="8" t="s">
        <v>692</v>
      </c>
    </row>
    <row r="1359" customFormat="false" ht="17.15" hidden="false" customHeight="false" outlineLevel="0" collapsed="false">
      <c r="A1359" s="0" t="s">
        <v>693</v>
      </c>
      <c r="B1359" s="0" t="s">
        <v>86</v>
      </c>
      <c r="C1359" s="38" t="n">
        <f aca="false">Sens!$C$1323</f>
        <v>105.234994643026</v>
      </c>
      <c r="D1359" s="38" t="n">
        <f aca="false">Sens!$D$1323</f>
        <v>120.021229911349</v>
      </c>
      <c r="E1359" s="38" t="n">
        <f aca="false">Sens!$E$1323</f>
        <v>71.30864702443</v>
      </c>
      <c r="F1359" s="38" t="n">
        <f aca="false">Sens!$F$1323</f>
        <v>71.7692997942464</v>
      </c>
      <c r="G1359" s="38" t="n">
        <f aca="false">Sens!$G$1323</f>
        <v>143.077946818676</v>
      </c>
      <c r="H1359" s="38" t="n">
        <f aca="false">Sens!$H$1323</f>
        <v>161.017077079203</v>
      </c>
      <c r="I1359" s="38" t="n">
        <f aca="false">Sens!$I$1323</f>
        <v>178.769759521457</v>
      </c>
      <c r="J1359" s="38" t="n">
        <f aca="false">Sens!$J$1323</f>
        <v>195.775538045907</v>
      </c>
      <c r="K1359" s="38" t="n">
        <f aca="false">Sens!$K$1323</f>
        <v>211.43758108958</v>
      </c>
      <c r="L1359" s="38" t="n">
        <f aca="false">Sens!$L$1323</f>
        <v>228.352587576746</v>
      </c>
      <c r="M1359" s="38" t="n">
        <f aca="false">Sens!$M$1323</f>
        <v>246.620794582886</v>
      </c>
      <c r="N1359" s="38" t="n">
        <f aca="false">Sens!$N$1323</f>
        <v>57.0936804689721</v>
      </c>
      <c r="O1359" s="38" t="n">
        <f aca="false">Sens!$O$1323</f>
        <v>62.9275494423768</v>
      </c>
      <c r="P1359" s="8" t="s">
        <v>692</v>
      </c>
    </row>
    <row r="1360" customFormat="false" ht="17.15" hidden="false" customHeight="false" outlineLevel="0" collapsed="false">
      <c r="A1360" s="1" t="s">
        <v>516</v>
      </c>
      <c r="B1360" s="8" t="s">
        <v>86</v>
      </c>
      <c r="C1360" s="38" t="n">
        <f aca="false">Q!$D$7</f>
        <v>107.556</v>
      </c>
      <c r="D1360" s="38" t="n">
        <f aca="false">Q!$E$7</f>
        <v>128.725</v>
      </c>
      <c r="E1360" s="38" t="n">
        <f aca="false">Q!$P$7</f>
        <v>79.819</v>
      </c>
      <c r="F1360" s="38" t="n">
        <f aca="false">Sens!$F$1358+Sens!$F$1359</f>
        <v>85.5062974978415</v>
      </c>
      <c r="G1360" s="38" t="n">
        <f aca="false">Sens!$G$1358+Sens!$G$1359</f>
        <v>165.325297497842</v>
      </c>
      <c r="H1360" s="38" t="n">
        <f aca="false">Sens!$H$1358+Sens!$H$1359</f>
        <v>211.170340081644</v>
      </c>
      <c r="I1360" s="38" t="n">
        <f aca="false">Sens!$I$1358+Sens!$I$1359</f>
        <v>259.926378813891</v>
      </c>
      <c r="J1360" s="38" t="n">
        <f aca="false">Sens!$J$1358+Sens!$J$1359</f>
        <v>308.073438349475</v>
      </c>
      <c r="K1360" s="38" t="n">
        <f aca="false">Sens!$K$1358+Sens!$K$1359</f>
        <v>350.332661122491</v>
      </c>
      <c r="L1360" s="38" t="n">
        <f aca="false">Sens!$L$1358+Sens!$L$1359</f>
        <v>384.797368865624</v>
      </c>
      <c r="M1360" s="38" t="n">
        <f aca="false">Sens!$M$1358+Sens!$M$1359</f>
        <v>411.545485669986</v>
      </c>
      <c r="N1360" s="38" t="n">
        <f aca="false">Q!$N$7</f>
        <v>60.14</v>
      </c>
      <c r="O1360" s="38" t="n">
        <f aca="false">Q!$O$7</f>
        <v>68.585</v>
      </c>
      <c r="P1360" s="5" t="s">
        <v>694</v>
      </c>
    </row>
    <row r="1361" customFormat="false" ht="15" hidden="false" customHeight="false" outlineLevel="0" collapsed="false">
      <c r="A1361" s="3" t="s">
        <v>695</v>
      </c>
      <c r="B1361" s="8" t="s">
        <v>86</v>
      </c>
      <c r="C1361" s="38" t="n">
        <f aca="false">Q!$D$8</f>
        <v>637.959</v>
      </c>
      <c r="D1361" s="38" t="n">
        <f aca="false">Q!$E$8</f>
        <v>716.924</v>
      </c>
      <c r="E1361" s="38" t="n">
        <f aca="false">Q!$P$8</f>
        <v>382.125</v>
      </c>
      <c r="F1361" s="38" t="n">
        <f aca="false">Sens!$F$1291+Sens!$F$1360</f>
        <v>434.554539143379</v>
      </c>
      <c r="G1361" s="38" t="n">
        <f aca="false">Sens!$G$1291+Sens!$G$1360</f>
        <v>816.679539143379</v>
      </c>
      <c r="H1361" s="38" t="n">
        <f aca="false">Sens!$H$1291+Sens!$H$1360</f>
        <v>932.26722960303</v>
      </c>
      <c r="I1361" s="38" t="n">
        <f aca="false">Sens!$I$1291+Sens!$I$1360</f>
        <v>1048.45576996642</v>
      </c>
      <c r="J1361" s="38" t="n">
        <f aca="false">Sens!$J$1291+Sens!$J$1360</f>
        <v>1159.18184409092</v>
      </c>
      <c r="K1361" s="38" t="n">
        <f aca="false">Sens!$K$1291+Sens!$K$1360</f>
        <v>1256.50911655358</v>
      </c>
      <c r="L1361" s="38" t="n">
        <f aca="false">Sens!$L$1291+Sens!$L$1360</f>
        <v>1349.89047534121</v>
      </c>
      <c r="M1361" s="38" t="n">
        <f aca="false">Sens!$M$1291+Sens!$M$1360</f>
        <v>1439.69339361687</v>
      </c>
      <c r="N1361" s="38" t="n">
        <f aca="false">Q!$N$8</f>
        <v>323.369</v>
      </c>
      <c r="O1361" s="38" t="n">
        <f aca="false">Q!$O$8</f>
        <v>393.555</v>
      </c>
    </row>
    <row r="1362" customFormat="false" ht="17.15" hidden="false" customHeight="false" outlineLevel="0" collapsed="false">
      <c r="A1362" s="24" t="s">
        <v>703</v>
      </c>
      <c r="B1362" s="25" t="s">
        <v>86</v>
      </c>
      <c r="C1362" s="41" t="n">
        <f aca="false">Sens!$C$1291-(Sens!$C$1293+Sens!$C$1294)</f>
        <v>0</v>
      </c>
      <c r="D1362" s="41" t="n">
        <f aca="false">Sens!$D$1291-(Sens!$D$1293+Sens!$D$1294)</f>
        <v>0</v>
      </c>
      <c r="E1362" s="41" t="n">
        <f aca="false">Sens!$E$1291-(Sens!$E$1293+Sens!$E$1294)</f>
        <v>0</v>
      </c>
      <c r="F1362" s="41" t="n">
        <f aca="false">Sens!$F$1291-(Sens!$F$1293+Sens!$F$1294)</f>
        <v>0</v>
      </c>
      <c r="G1362" s="41" t="n">
        <f aca="false">Sens!$G$1291-(Sens!$G$1293+Sens!$G$1294)</f>
        <v>0</v>
      </c>
      <c r="H1362" s="41" t="n">
        <f aca="false">Sens!$H$1291-(Sens!$H$1293+Sens!$H$1294)</f>
        <v>0</v>
      </c>
      <c r="I1362" s="41" t="n">
        <f aca="false">Sens!$I$1291-(Sens!$I$1293+Sens!$I$1294)</f>
        <v>0</v>
      </c>
      <c r="J1362" s="41" t="n">
        <f aca="false">Sens!$J$1291-(Sens!$J$1293+Sens!$J$1294)</f>
        <v>0</v>
      </c>
      <c r="K1362" s="41" t="n">
        <f aca="false">Sens!$K$1291-(Sens!$K$1293+Sens!$K$1294)</f>
        <v>0</v>
      </c>
      <c r="L1362" s="41" t="n">
        <f aca="false">Sens!$L$1291-(Sens!$L$1293+Sens!$L$1294)</f>
        <v>0</v>
      </c>
      <c r="M1362" s="41" t="n">
        <f aca="false">Sens!$M$1291-(Sens!$M$1293+Sens!$M$1294)</f>
        <v>0</v>
      </c>
      <c r="N1362" s="41" t="n">
        <f aca="false">Sens!$N$1291-(Sens!$N$1293+Sens!$N$1294)</f>
        <v>0</v>
      </c>
      <c r="O1362" s="41" t="n">
        <f aca="false">Sens!$O$1291-(Sens!$O$1293+Sens!$O$1294)</f>
        <v>0</v>
      </c>
    </row>
    <row r="1363" customFormat="false" ht="17.15" hidden="false" customHeight="false" outlineLevel="0" collapsed="false">
      <c r="A1363" s="24" t="s">
        <v>704</v>
      </c>
      <c r="B1363" s="25" t="s">
        <v>86</v>
      </c>
      <c r="C1363" s="41" t="n">
        <f aca="false">Sens!$C$1358+Sens!$C$1359-Sens!$C$1360</f>
        <v>0</v>
      </c>
      <c r="D1363" s="41" t="n">
        <f aca="false">Sens!$D$1358+Sens!$D$1359-Sens!$D$1360</f>
        <v>0</v>
      </c>
      <c r="E1363" s="41" t="n">
        <f aca="false">Sens!$E$1358+Sens!$E$1359-Sens!$E$1360</f>
        <v>0</v>
      </c>
      <c r="F1363" s="41" t="n">
        <f aca="false">Sens!$F$1358+Sens!$F$1359-Sens!$F$1360</f>
        <v>0</v>
      </c>
      <c r="G1363" s="41" t="n">
        <f aca="false">Sens!$G$1358+Sens!$G$1359-Sens!$G$1360</f>
        <v>0</v>
      </c>
      <c r="H1363" s="41" t="n">
        <f aca="false">Sens!$H$1358+Sens!$H$1359-Sens!$H$1360</f>
        <v>0</v>
      </c>
      <c r="I1363" s="41" t="n">
        <f aca="false">Sens!$I$1358+Sens!$I$1359-Sens!$I$1360</f>
        <v>0</v>
      </c>
      <c r="J1363" s="41" t="n">
        <f aca="false">Sens!$J$1358+Sens!$J$1359-Sens!$J$1360</f>
        <v>0</v>
      </c>
      <c r="K1363" s="41" t="n">
        <f aca="false">Sens!$K$1358+Sens!$K$1359-Sens!$K$1360</f>
        <v>0</v>
      </c>
      <c r="L1363" s="41" t="n">
        <f aca="false">Sens!$L$1358+Sens!$L$1359-Sens!$L$1360</f>
        <v>0</v>
      </c>
      <c r="M1363" s="41" t="n">
        <f aca="false">Sens!$M$1358+Sens!$M$1359-Sens!$M$1360</f>
        <v>0</v>
      </c>
      <c r="N1363" s="41" t="n">
        <f aca="false">Sens!$N$1358+Sens!$N$1359-Sens!$N$1360</f>
        <v>0</v>
      </c>
      <c r="O1363" s="41" t="n">
        <f aca="false">Sens!$O$1358+Sens!$O$1359-Sens!$O$1360</f>
        <v>0</v>
      </c>
    </row>
    <row r="1364" customFormat="false" ht="17.15" hidden="false" customHeight="false" outlineLevel="0" collapsed="false">
      <c r="A1364" s="24" t="s">
        <v>705</v>
      </c>
      <c r="B1364" s="25" t="s">
        <v>86</v>
      </c>
      <c r="C1364" s="41" t="n">
        <f aca="false">Sens!$C$1293+Sens!$C$1294+Sens!$C$1360-Sens!$C$1361</f>
        <v>0</v>
      </c>
      <c r="D1364" s="41" t="n">
        <f aca="false">Sens!$D$1293+Sens!$D$1294+Sens!$D$1360-Sens!$D$1361</f>
        <v>0</v>
      </c>
      <c r="E1364" s="41" t="n">
        <f aca="false">Sens!$E$1293+Sens!$E$1294+Sens!$E$1360-Sens!$E$1361</f>
        <v>0</v>
      </c>
      <c r="F1364" s="41" t="n">
        <f aca="false">Sens!$F$1293+Sens!$F$1294+Sens!$F$1360-Sens!$F$1361</f>
        <v>0</v>
      </c>
      <c r="G1364" s="41" t="n">
        <f aca="false">Sens!$G$1293+Sens!$G$1294+Sens!$G$1360-Sens!$G$1361</f>
        <v>0</v>
      </c>
      <c r="H1364" s="41" t="n">
        <f aca="false">Sens!$H$1293+Sens!$H$1294+Sens!$H$1360-Sens!$H$1361</f>
        <v>0</v>
      </c>
      <c r="I1364" s="41" t="n">
        <f aca="false">Sens!$I$1293+Sens!$I$1294+Sens!$I$1360-Sens!$I$1361</f>
        <v>0</v>
      </c>
      <c r="J1364" s="41" t="n">
        <f aca="false">Sens!$J$1293+Sens!$J$1294+Sens!$J$1360-Sens!$J$1361</f>
        <v>0</v>
      </c>
      <c r="K1364" s="41" t="n">
        <f aca="false">Sens!$K$1293+Sens!$K$1294+Sens!$K$1360-Sens!$K$1361</f>
        <v>0</v>
      </c>
      <c r="L1364" s="41" t="n">
        <f aca="false">Sens!$L$1293+Sens!$L$1294+Sens!$L$1360-Sens!$L$1361</f>
        <v>0</v>
      </c>
      <c r="M1364" s="41" t="n">
        <f aca="false">Sens!$M$1293+Sens!$M$1294+Sens!$M$1360-Sens!$M$1361</f>
        <v>0</v>
      </c>
      <c r="N1364" s="41" t="n">
        <f aca="false">Sens!$N$1293+Sens!$N$1294+Sens!$N$1360-Sens!$N$1361</f>
        <v>0</v>
      </c>
      <c r="O1364" s="41" t="n">
        <f aca="false">Sens!$O$1293+Sens!$O$1294+Sens!$O$1360-Sens!$O$1361</f>
        <v>0</v>
      </c>
    </row>
    <row r="1365" customFormat="false" ht="15" hidden="false" customHeight="false" outlineLevel="0" collapsed="false">
      <c r="A1365" s="5" t="s">
        <v>699</v>
      </c>
      <c r="B1365" s="0" t="s">
        <v>52</v>
      </c>
      <c r="G1365" s="13" t="n">
        <f aca="false">Sens!$G$1361/Sens!$D$1361-1</f>
        <v>0.13914381321225</v>
      </c>
      <c r="H1365" s="13" t="n">
        <f aca="false">Sens!$H$1361/Sens!$G$1361-1</f>
        <v>0.141533716616547</v>
      </c>
      <c r="I1365" s="13" t="n">
        <f aca="false">Sens!$I$1361/Sens!$H$1361-1</f>
        <v>0.124630081026088</v>
      </c>
      <c r="J1365" s="13" t="n">
        <f aca="false">Sens!$J$1361/Sens!$I$1361-1</f>
        <v>0.105608722176274</v>
      </c>
      <c r="K1365" s="13" t="n">
        <f aca="false">Sens!$K$1361/Sens!$J$1361-1</f>
        <v>0.0839620400878427</v>
      </c>
      <c r="L1365" s="13" t="n">
        <f aca="false">Sens!$L$1361/Sens!$K$1361-1</f>
        <v>0.0743180909373469</v>
      </c>
      <c r="M1365" s="13" t="n">
        <f aca="false">Sens!$M$1361/Sens!$L$1361-1</f>
        <v>0.0665260774233998</v>
      </c>
    </row>
    <row r="1366" customFormat="false" ht="17.15" hidden="false" customHeight="false" outlineLevel="0" collapsed="false">
      <c r="A1366" s="0" t="s">
        <v>700</v>
      </c>
      <c r="B1366" s="0" t="s">
        <v>52</v>
      </c>
      <c r="C1366" s="13" t="n">
        <f aca="false">Sens!$C$1360/Sens!$C$1361</f>
        <v>0.168593906504964</v>
      </c>
      <c r="D1366" s="13" t="n">
        <f aca="false">Sens!$D$1360/Sens!$D$1361</f>
        <v>0.179551807444025</v>
      </c>
      <c r="E1366" s="13" t="n">
        <f aca="false">Sens!$E$1360/Sens!$E$1361</f>
        <v>0.208881910369643</v>
      </c>
      <c r="F1366" s="13" t="n">
        <f aca="false">Sens!$F$1360/Sens!$F$1361</f>
        <v>0.196767700704259</v>
      </c>
      <c r="G1366" s="13" t="n">
        <f aca="false">Sens!$G$1360/Sens!$G$1361</f>
        <v>0.202435948954044</v>
      </c>
      <c r="H1366" s="13" t="n">
        <f aca="false">Sens!$H$1360/Sens!$H$1361</f>
        <v>0.226512670805304</v>
      </c>
      <c r="I1366" s="13" t="n">
        <f aca="false">Sens!$I$1360/Sens!$I$1361</f>
        <v>0.247913537470651</v>
      </c>
      <c r="J1366" s="13" t="n">
        <f aca="false">Sens!$J$1360/Sens!$J$1361</f>
        <v>0.265767998282513</v>
      </c>
      <c r="K1366" s="13" t="n">
        <f aca="false">Sens!$K$1360/Sens!$K$1361</f>
        <v>0.27881426127922</v>
      </c>
      <c r="L1366" s="13" t="n">
        <f aca="false">Sens!$L$1360/Sens!$L$1361</f>
        <v>0.285058214643939</v>
      </c>
      <c r="M1366" s="13" t="n">
        <f aca="false">Sens!$M$1360/Sens!$M$1361</f>
        <v>0.285856341006108</v>
      </c>
      <c r="N1366" s="13" t="n">
        <f aca="false">Sens!$N$1360/Sens!$N$1361</f>
        <v>0.185979484737251</v>
      </c>
      <c r="O1366" s="13" t="n">
        <f aca="false">Sens!$O$1360/Sens!$O$1361</f>
        <v>0.174270432341096</v>
      </c>
    </row>
    <row r="1367" customFormat="false" ht="17.15" hidden="false" customHeight="false" outlineLevel="0" collapsed="false">
      <c r="A1367" s="0" t="s">
        <v>701</v>
      </c>
      <c r="B1367" s="0" t="s">
        <v>52</v>
      </c>
      <c r="C1367" s="13" t="n">
        <f aca="false">Sens!$C$1358/Sens!$C$1360</f>
        <v>0.0215795060896058</v>
      </c>
      <c r="D1367" s="13" t="n">
        <f aca="false">Sens!$D$1358/Sens!$D$1360</f>
        <v>0.0676152269462122</v>
      </c>
      <c r="E1367" s="13" t="n">
        <f aca="false">Sens!$E$1358/Sens!$E$1360</f>
        <v>0.106620641395783</v>
      </c>
      <c r="F1367" s="13" t="n">
        <f aca="false">Sens!$F$1358/Sens!$F$1360</f>
        <v>0.160654806787089</v>
      </c>
      <c r="G1367" s="13" t="n">
        <f aca="false">Sens!$G$1358/Sens!$G$1360</f>
        <v>0.134567129264991</v>
      </c>
      <c r="H1367" s="13" t="n">
        <f aca="false">Sens!$H$1358/Sens!$H$1360</f>
        <v>0.237501454906262</v>
      </c>
      <c r="I1367" s="13" t="n">
        <f aca="false">Sens!$I$1358/Sens!$I$1360</f>
        <v>0.3122292537709</v>
      </c>
      <c r="J1367" s="13" t="n">
        <f aca="false">Sens!$J$1358/Sens!$J$1360</f>
        <v>0.364516658447453</v>
      </c>
      <c r="K1367" s="13" t="n">
        <f aca="false">Sens!$K$1358/Sens!$K$1360</f>
        <v>0.396466260347755</v>
      </c>
      <c r="L1367" s="13" t="n">
        <f aca="false">Sens!$L$1358/Sens!$L$1360</f>
        <v>0.406564061885544</v>
      </c>
      <c r="M1367" s="13" t="n">
        <f aca="false">Sens!$M$1358/Sens!$M$1360</f>
        <v>0.400744745914554</v>
      </c>
      <c r="N1367" s="13" t="n">
        <f aca="false">Sens!$N$1358/Sens!$N$1360</f>
        <v>0.0506537999838362</v>
      </c>
      <c r="O1367" s="13" t="n">
        <f aca="false">Sens!$O$1358/Sens!$O$1360</f>
        <v>0.0824881615167056</v>
      </c>
    </row>
    <row r="1370" customFormat="false" ht="19.4" hidden="false" customHeight="false" outlineLevel="0" collapsed="false">
      <c r="A1370" s="31" t="s">
        <v>1162</v>
      </c>
    </row>
    <row r="1371" customFormat="false" ht="17.15" hidden="false" customHeight="false" outlineLevel="0" collapsed="false">
      <c r="A1371" s="6" t="s">
        <v>16</v>
      </c>
      <c r="B1371" s="6" t="s">
        <v>17</v>
      </c>
      <c r="C1371" s="20" t="s">
        <v>497</v>
      </c>
      <c r="D1371" s="20" t="s">
        <v>498</v>
      </c>
      <c r="E1371" s="20" t="s">
        <v>580</v>
      </c>
      <c r="F1371" s="20" t="s">
        <v>581</v>
      </c>
      <c r="G1371" s="20" t="s">
        <v>582</v>
      </c>
      <c r="H1371" s="20" t="s">
        <v>583</v>
      </c>
      <c r="I1371" s="20" t="s">
        <v>584</v>
      </c>
      <c r="J1371" s="20" t="s">
        <v>585</v>
      </c>
      <c r="K1371" s="20" t="s">
        <v>586</v>
      </c>
      <c r="L1371" s="20" t="s">
        <v>587</v>
      </c>
      <c r="M1371" s="20" t="s">
        <v>588</v>
      </c>
      <c r="N1371" s="20" t="s">
        <v>589</v>
      </c>
      <c r="O1371" s="20" t="s">
        <v>590</v>
      </c>
      <c r="P1371" s="6" t="s">
        <v>23</v>
      </c>
      <c r="R1371" s="20" t="n">
        <v>2023</v>
      </c>
      <c r="S1371" s="20" t="n">
        <v>2024</v>
      </c>
      <c r="T1371" s="20" t="n">
        <v>2025</v>
      </c>
      <c r="U1371" s="20" t="n">
        <v>2026</v>
      </c>
      <c r="V1371" s="20" t="n">
        <v>2027</v>
      </c>
      <c r="W1371" s="20" t="n">
        <v>2028</v>
      </c>
      <c r="X1371" s="20" t="n">
        <v>2029</v>
      </c>
      <c r="Y1371" s="20" t="n">
        <v>2030</v>
      </c>
      <c r="Z1371" s="20" t="n">
        <v>2031</v>
      </c>
      <c r="AA1371" s="20" t="n">
        <v>2032</v>
      </c>
    </row>
    <row r="1372" customFormat="false" ht="17.15" hidden="false" customHeight="false" outlineLevel="0" collapsed="false">
      <c r="A1372" s="1" t="s">
        <v>716</v>
      </c>
    </row>
    <row r="1373" customFormat="false" ht="15" hidden="false" customHeight="false" outlineLevel="0" collapsed="false">
      <c r="A1373" s="0" t="s">
        <v>519</v>
      </c>
      <c r="B1373" s="0" t="s">
        <v>86</v>
      </c>
      <c r="C1373" s="38" t="n">
        <f aca="false">Sens!$C$1278</f>
        <v>247.029</v>
      </c>
      <c r="D1373" s="38" t="n">
        <f aca="false">Sens!$D$1278</f>
        <v>269.287</v>
      </c>
      <c r="E1373" s="38" t="n">
        <f aca="false">Sens!$E$1278</f>
        <v>134.686</v>
      </c>
      <c r="F1373" s="38" t="n">
        <f aca="false">Sens!$F$1278</f>
        <v>158.293876822267</v>
      </c>
      <c r="G1373" s="38" t="n">
        <f aca="false">Sens!$G$1278</f>
        <v>292.979876822267</v>
      </c>
      <c r="H1373" s="38" t="n">
        <f aca="false">Sens!$H$1278</f>
        <v>318.184543087396</v>
      </c>
      <c r="I1373" s="38" t="n">
        <f aca="false">Sens!$I$1278</f>
        <v>341.736278761793</v>
      </c>
      <c r="J1373" s="38" t="n">
        <f aca="false">Sens!$J$1278</f>
        <v>362.927192787048</v>
      </c>
      <c r="K1373" s="38" t="n">
        <f aca="false">Sens!$K$1278</f>
        <v>381.0735524264</v>
      </c>
      <c r="L1373" s="38" t="n">
        <f aca="false">Sens!$L$1278</f>
        <v>400.12723004772</v>
      </c>
      <c r="M1373" s="38" t="n">
        <f aca="false">Sens!$M$1278</f>
        <v>420.133591550106</v>
      </c>
      <c r="N1373" s="38" t="n">
        <f aca="false">Sens!$N$1278</f>
        <v>118.892</v>
      </c>
      <c r="O1373" s="38" t="n">
        <f aca="false">Sens!$O$1278</f>
        <v>150.395</v>
      </c>
    </row>
    <row r="1374" customFormat="false" ht="15" hidden="false" customHeight="false" outlineLevel="0" collapsed="false">
      <c r="A1374" s="0" t="s">
        <v>520</v>
      </c>
      <c r="B1374" s="0" t="s">
        <v>86</v>
      </c>
      <c r="C1374" s="38" t="n">
        <f aca="false">Sens!$C$1280</f>
        <v>21.215</v>
      </c>
      <c r="D1374" s="38" t="n">
        <f aca="false">Sens!$D$1280</f>
        <v>22.561</v>
      </c>
      <c r="E1374" s="38" t="n">
        <f aca="false">Sens!$E$1280</f>
        <v>11.579</v>
      </c>
      <c r="F1374" s="38" t="n">
        <f aca="false">Sens!$F$1280</f>
        <v>11.5938724610325</v>
      </c>
      <c r="G1374" s="38" t="n">
        <f aca="false">Sens!$G$1280</f>
        <v>23.1728724610325</v>
      </c>
      <c r="H1374" s="38" t="n">
        <f aca="false">Sens!$H$1280</f>
        <v>24.353392759506</v>
      </c>
      <c r="I1374" s="38" t="n">
        <f aca="false">Sens!$I$1280</f>
        <v>25.4240338872015</v>
      </c>
      <c r="J1374" s="38" t="n">
        <f aca="false">Sens!$J$1280</f>
        <v>26.3642491017174</v>
      </c>
      <c r="K1374" s="38" t="n">
        <f aca="false">Sens!$K$1280</f>
        <v>27.155176574769</v>
      </c>
      <c r="L1374" s="38" t="n">
        <f aca="false">Sens!$L$1280</f>
        <v>27.969831872012</v>
      </c>
      <c r="M1374" s="38" t="n">
        <f aca="false">Sens!$M$1280</f>
        <v>28.8089268281724</v>
      </c>
      <c r="N1374" s="38" t="n">
        <f aca="false">Sens!$N$1280</f>
        <v>11.128</v>
      </c>
      <c r="O1374" s="38" t="n">
        <f aca="false">Sens!$O$1280</f>
        <v>11.433</v>
      </c>
    </row>
    <row r="1375" customFormat="false" ht="15" hidden="false" customHeight="false" outlineLevel="0" collapsed="false">
      <c r="A1375" s="0" t="s">
        <v>521</v>
      </c>
      <c r="B1375" s="0" t="s">
        <v>86</v>
      </c>
      <c r="C1375" s="38" t="n">
        <f aca="false">Sens!$C$1282</f>
        <v>156.146</v>
      </c>
      <c r="D1375" s="38" t="n">
        <f aca="false">Sens!$D$1282</f>
        <v>172.162</v>
      </c>
      <c r="E1375" s="38" t="n">
        <f aca="false">Sens!$E$1282</f>
        <v>88.358</v>
      </c>
      <c r="F1375" s="38" t="n">
        <f aca="false">Sens!$F$1282</f>
        <v>102.004388260171</v>
      </c>
      <c r="G1375" s="38" t="n">
        <f aca="false">Sens!$G$1282</f>
        <v>190.362388260171</v>
      </c>
      <c r="H1375" s="38" t="n">
        <f aca="false">Sens!$H$1282</f>
        <v>210.343106588311</v>
      </c>
      <c r="I1375" s="38" t="n">
        <f aca="false">Sens!$I$1282</f>
        <v>229.969728494648</v>
      </c>
      <c r="J1375" s="38" t="n">
        <f aca="false">Sens!$J$1282</f>
        <v>248.747636972598</v>
      </c>
      <c r="K1375" s="38" t="n">
        <f aca="false">Sens!$K$1282</f>
        <v>266.15997156068</v>
      </c>
      <c r="L1375" s="38" t="n">
        <f aca="false">Sens!$L$1282</f>
        <v>284.791169569927</v>
      </c>
      <c r="M1375" s="38" t="n">
        <f aca="false">Sens!$M$1282</f>
        <v>304.726551439822</v>
      </c>
      <c r="N1375" s="38" t="n">
        <f aca="false">Sens!$N$1282</f>
        <v>76.86</v>
      </c>
      <c r="O1375" s="38" t="n">
        <f aca="false">Sens!$O$1282</f>
        <v>95.302</v>
      </c>
    </row>
    <row r="1376" customFormat="false" ht="15" hidden="false" customHeight="false" outlineLevel="0" collapsed="false">
      <c r="A1376" s="0" t="s">
        <v>522</v>
      </c>
      <c r="B1376" s="0" t="s">
        <v>86</v>
      </c>
      <c r="C1376" s="38" t="n">
        <f aca="false">Sens!$C$1284</f>
        <v>56.214</v>
      </c>
      <c r="D1376" s="38" t="n">
        <f aca="false">Sens!$D$1284</f>
        <v>68.635</v>
      </c>
      <c r="E1376" s="38" t="n">
        <f aca="false">Sens!$E$1284</f>
        <v>37.052</v>
      </c>
      <c r="F1376" s="38" t="n">
        <f aca="false">Sens!$F$1284</f>
        <v>46.1572219944148</v>
      </c>
      <c r="G1376" s="38" t="n">
        <f aca="false">Sens!$G$1284</f>
        <v>83.2092219944148</v>
      </c>
      <c r="H1376" s="38" t="n">
        <f aca="false">Sens!$H$1284</f>
        <v>99.8969223878976</v>
      </c>
      <c r="I1376" s="38" t="n">
        <f aca="false">Sens!$I$1284</f>
        <v>116.583111095496</v>
      </c>
      <c r="J1376" s="38" t="n">
        <f aca="false">Sens!$J$1284</f>
        <v>132.148941941952</v>
      </c>
      <c r="K1376" s="38" t="n">
        <f aca="false">Sens!$K$1284</f>
        <v>145.363836136147</v>
      </c>
      <c r="L1376" s="38" t="n">
        <f aca="false">Sens!$L$1284</f>
        <v>159.900219749762</v>
      </c>
      <c r="M1376" s="38" t="n">
        <f aca="false">Sens!$M$1284</f>
        <v>175.890241724738</v>
      </c>
      <c r="N1376" s="38" t="n">
        <f aca="false">Sens!$N$1284</f>
        <v>29.615</v>
      </c>
      <c r="O1376" s="38" t="n">
        <f aca="false">Sens!$O$1284</f>
        <v>39.02</v>
      </c>
    </row>
    <row r="1377" customFormat="false" ht="15" hidden="false" customHeight="false" outlineLevel="0" collapsed="false">
      <c r="A1377" s="0" t="s">
        <v>523</v>
      </c>
      <c r="B1377" s="0" t="s">
        <v>86</v>
      </c>
      <c r="C1377" s="38" t="n">
        <f aca="false">Sens!$C$1286</f>
        <v>44.374</v>
      </c>
      <c r="D1377" s="38" t="n">
        <f aca="false">Sens!$D$1286</f>
        <v>49.619</v>
      </c>
      <c r="E1377" s="38" t="n">
        <f aca="false">Sens!$E$1286</f>
        <v>27.157</v>
      </c>
      <c r="F1377" s="38" t="n">
        <f aca="false">Sens!$F$1286</f>
        <v>27.7764165988154</v>
      </c>
      <c r="G1377" s="38" t="n">
        <f aca="false">Sens!$G$1286</f>
        <v>54.9334165988154</v>
      </c>
      <c r="H1377" s="38" t="n">
        <f aca="false">Sens!$H$1286</f>
        <v>61.1564112561829</v>
      </c>
      <c r="I1377" s="38" t="n">
        <f aca="false">Sens!$I$1286</f>
        <v>67.2020282103945</v>
      </c>
      <c r="J1377" s="38" t="n">
        <f aca="false">Sens!$J$1286</f>
        <v>72.8757274028885</v>
      </c>
      <c r="K1377" s="38" t="n">
        <f aca="false">Sens!$K$1286</f>
        <v>77.9770283210907</v>
      </c>
      <c r="L1377" s="38" t="n">
        <f aca="false">Sens!$L$1286</f>
        <v>83.4354203035671</v>
      </c>
      <c r="M1377" s="38" t="n">
        <f aca="false">Sens!$M$1286</f>
        <v>89.2758997248168</v>
      </c>
      <c r="N1377" s="38" t="n">
        <f aca="false">Sens!$N$1286</f>
        <v>23.923</v>
      </c>
      <c r="O1377" s="38" t="n">
        <f aca="false">Sens!$O$1286</f>
        <v>25.696</v>
      </c>
    </row>
    <row r="1378" customFormat="false" ht="15" hidden="false" customHeight="false" outlineLevel="0" collapsed="false">
      <c r="A1378" s="0" t="s">
        <v>524</v>
      </c>
      <c r="B1378" s="0" t="s">
        <v>86</v>
      </c>
      <c r="C1378" s="38" t="n">
        <f aca="false">Sens!$C$1288</f>
        <v>5.425</v>
      </c>
      <c r="D1378" s="38" t="n">
        <f aca="false">Sens!$D$1288</f>
        <v>5.935</v>
      </c>
      <c r="E1378" s="38" t="n">
        <f aca="false">Sens!$E$1288</f>
        <v>3.474</v>
      </c>
      <c r="F1378" s="38" t="n">
        <f aca="false">Sens!$F$1288</f>
        <v>3.22246550883619</v>
      </c>
      <c r="G1378" s="38" t="n">
        <f aca="false">Sens!$G$1288</f>
        <v>6.69646550883619</v>
      </c>
      <c r="H1378" s="38" t="n">
        <f aca="false">Sens!$H$1288</f>
        <v>7.16251344209196</v>
      </c>
      <c r="I1378" s="38" t="n">
        <f aca="false">Sens!$I$1288</f>
        <v>7.61421070299826</v>
      </c>
      <c r="J1378" s="38" t="n">
        <f aca="false">Sens!$J$1288</f>
        <v>8.04465753523932</v>
      </c>
      <c r="K1378" s="38" t="n">
        <f aca="false">Sens!$K$1288</f>
        <v>8.44689041200128</v>
      </c>
      <c r="L1378" s="38" t="n">
        <f aca="false">Sens!$L$1288</f>
        <v>8.86923493260135</v>
      </c>
      <c r="M1378" s="38" t="n">
        <f aca="false">Sens!$M$1288</f>
        <v>9.31269667923142</v>
      </c>
      <c r="N1378" s="38" t="n">
        <f aca="false">Sens!$N$1288</f>
        <v>2.811</v>
      </c>
      <c r="O1378" s="38" t="n">
        <f aca="false">Sens!$O$1288</f>
        <v>3.124</v>
      </c>
    </row>
    <row r="1379" customFormat="false" ht="17.15" hidden="false" customHeight="false" outlineLevel="0" collapsed="false">
      <c r="A1379" s="0" t="s">
        <v>717</v>
      </c>
      <c r="B1379" s="0" t="s">
        <v>86</v>
      </c>
      <c r="C1379" s="38" t="n">
        <f aca="false">Sens!$C$1360</f>
        <v>107.556</v>
      </c>
      <c r="D1379" s="38" t="n">
        <f aca="false">Sens!$D$1360</f>
        <v>128.725</v>
      </c>
      <c r="E1379" s="38" t="n">
        <f aca="false">Sens!$E$1360</f>
        <v>79.819</v>
      </c>
      <c r="F1379" s="38" t="n">
        <f aca="false">Sens!$F$1360</f>
        <v>85.5062974978415</v>
      </c>
      <c r="G1379" s="38" t="n">
        <f aca="false">Sens!$G$1360</f>
        <v>165.325297497842</v>
      </c>
      <c r="H1379" s="38" t="n">
        <f aca="false">Sens!$H$1360</f>
        <v>211.170340081644</v>
      </c>
      <c r="I1379" s="38" t="n">
        <f aca="false">Sens!$I$1360</f>
        <v>259.926378813891</v>
      </c>
      <c r="J1379" s="38" t="n">
        <f aca="false">Sens!$J$1360</f>
        <v>308.073438349475</v>
      </c>
      <c r="K1379" s="38" t="n">
        <f aca="false">Sens!$K$1360</f>
        <v>350.332661122491</v>
      </c>
      <c r="L1379" s="38" t="n">
        <f aca="false">Sens!$L$1360</f>
        <v>384.797368865624</v>
      </c>
      <c r="M1379" s="38" t="n">
        <f aca="false">Sens!$M$1360</f>
        <v>411.545485669986</v>
      </c>
      <c r="N1379" s="38" t="n">
        <f aca="false">Sens!$N$1360</f>
        <v>60.14</v>
      </c>
      <c r="O1379" s="38" t="n">
        <f aca="false">Sens!$O$1360</f>
        <v>68.585</v>
      </c>
    </row>
    <row r="1380" customFormat="false" ht="15" hidden="false" customHeight="false" outlineLevel="0" collapsed="false">
      <c r="A1380" s="1" t="s">
        <v>512</v>
      </c>
      <c r="B1380" s="8" t="s">
        <v>86</v>
      </c>
      <c r="C1380" s="38" t="n">
        <f aca="false">Sens!$C$1293</f>
        <v>387.497</v>
      </c>
      <c r="D1380" s="38" t="n">
        <f aca="false">Sens!$D$1293</f>
        <v>426.305</v>
      </c>
      <c r="E1380" s="38" t="n">
        <f aca="false">Sens!$E$1293</f>
        <v>220.32</v>
      </c>
      <c r="F1380" s="38" t="n">
        <f aca="false">Sens!$F$1293</f>
        <v>250.639773480586</v>
      </c>
      <c r="G1380" s="38" t="n">
        <f aca="false">Sens!$G$1293</f>
        <v>470.959773480586</v>
      </c>
      <c r="H1380" s="38" t="n">
        <f aca="false">Sens!$H$1293</f>
        <v>521.386990416437</v>
      </c>
      <c r="I1380" s="38" t="n">
        <f aca="false">Sens!$I$1293</f>
        <v>570.143862887555</v>
      </c>
      <c r="J1380" s="38" t="n">
        <f aca="false">Sens!$J$1293</f>
        <v>615.391435791933</v>
      </c>
      <c r="K1380" s="38" t="n">
        <f aca="false">Sens!$K$1293</f>
        <v>655.208227561543</v>
      </c>
      <c r="L1380" s="38" t="n">
        <f aca="false">Sens!$L$1293</f>
        <v>697.807739249767</v>
      </c>
      <c r="M1380" s="38" t="n">
        <f aca="false">Sens!$M$1293</f>
        <v>743.399328463592</v>
      </c>
      <c r="N1380" s="38" t="n">
        <f aca="false">Sens!$N$1293</f>
        <v>192.955</v>
      </c>
      <c r="O1380" s="38" t="n">
        <f aca="false">Sens!$O$1293</f>
        <v>233.35</v>
      </c>
    </row>
    <row r="1381" customFormat="false" ht="15" hidden="false" customHeight="false" outlineLevel="0" collapsed="false">
      <c r="A1381" s="1" t="s">
        <v>515</v>
      </c>
      <c r="B1381" s="8" t="s">
        <v>86</v>
      </c>
      <c r="C1381" s="38" t="n">
        <f aca="false">Sens!$C$1294</f>
        <v>142.906</v>
      </c>
      <c r="D1381" s="38" t="n">
        <f aca="false">Sens!$D$1294</f>
        <v>161.894</v>
      </c>
      <c r="E1381" s="38" t="n">
        <f aca="false">Sens!$E$1294</f>
        <v>81.986</v>
      </c>
      <c r="F1381" s="38" t="n">
        <f aca="false">Sens!$F$1294</f>
        <v>98.408468164951</v>
      </c>
      <c r="G1381" s="38" t="n">
        <f aca="false">Sens!$G$1294</f>
        <v>180.394468164951</v>
      </c>
      <c r="H1381" s="38" t="n">
        <f aca="false">Sens!$H$1294</f>
        <v>199.709899104949</v>
      </c>
      <c r="I1381" s="38" t="n">
        <f aca="false">Sens!$I$1294</f>
        <v>218.385528264976</v>
      </c>
      <c r="J1381" s="38" t="n">
        <f aca="false">Sens!$J$1294</f>
        <v>235.71696994951</v>
      </c>
      <c r="K1381" s="38" t="n">
        <f aca="false">Sens!$K$1294</f>
        <v>250.968227869545</v>
      </c>
      <c r="L1381" s="38" t="n">
        <f aca="false">Sens!$L$1294</f>
        <v>267.285367225822</v>
      </c>
      <c r="M1381" s="38" t="n">
        <f aca="false">Sens!$M$1294</f>
        <v>284.748579483295</v>
      </c>
      <c r="N1381" s="38" t="n">
        <f aca="false">Sens!$N$1294</f>
        <v>70.274</v>
      </c>
      <c r="O1381" s="38" t="n">
        <f aca="false">Sens!$O$1294</f>
        <v>91.62</v>
      </c>
    </row>
    <row r="1382" customFormat="false" ht="15" hidden="false" customHeight="false" outlineLevel="0" collapsed="false">
      <c r="A1382" s="1" t="s">
        <v>516</v>
      </c>
      <c r="B1382" s="8" t="s">
        <v>86</v>
      </c>
      <c r="C1382" s="38" t="n">
        <f aca="false">Sens!$C$1360</f>
        <v>107.556</v>
      </c>
      <c r="D1382" s="38" t="n">
        <f aca="false">Sens!$D$1360</f>
        <v>128.725</v>
      </c>
      <c r="E1382" s="38" t="n">
        <f aca="false">Sens!$E$1360</f>
        <v>79.819</v>
      </c>
      <c r="F1382" s="38" t="n">
        <f aca="false">Sens!$F$1360</f>
        <v>85.5062974978415</v>
      </c>
      <c r="G1382" s="38" t="n">
        <f aca="false">Sens!$G$1360</f>
        <v>165.325297497842</v>
      </c>
      <c r="H1382" s="38" t="n">
        <f aca="false">Sens!$H$1360</f>
        <v>211.170340081644</v>
      </c>
      <c r="I1382" s="38" t="n">
        <f aca="false">Sens!$I$1360</f>
        <v>259.926378813891</v>
      </c>
      <c r="J1382" s="38" t="n">
        <f aca="false">Sens!$J$1360</f>
        <v>308.073438349475</v>
      </c>
      <c r="K1382" s="38" t="n">
        <f aca="false">Sens!$K$1360</f>
        <v>350.332661122491</v>
      </c>
      <c r="L1382" s="38" t="n">
        <f aca="false">Sens!$L$1360</f>
        <v>384.797368865624</v>
      </c>
      <c r="M1382" s="38" t="n">
        <f aca="false">Sens!$M$1360</f>
        <v>411.545485669986</v>
      </c>
      <c r="N1382" s="38" t="n">
        <f aca="false">Sens!$N$1360</f>
        <v>60.14</v>
      </c>
      <c r="O1382" s="38" t="n">
        <f aca="false">Sens!$O$1360</f>
        <v>68.585</v>
      </c>
    </row>
    <row r="1383" customFormat="false" ht="17.15" hidden="false" customHeight="false" outlineLevel="0" collapsed="false">
      <c r="A1383" s="0" t="s">
        <v>691</v>
      </c>
      <c r="B1383" s="0" t="s">
        <v>86</v>
      </c>
      <c r="C1383" s="38" t="n">
        <f aca="false">Sens!$C$1358</f>
        <v>2.32100535697364</v>
      </c>
      <c r="D1383" s="38" t="n">
        <f aca="false">Sens!$D$1358</f>
        <v>8.70377008865116</v>
      </c>
      <c r="E1383" s="38" t="n">
        <f aca="false">Sens!$E$1358</f>
        <v>8.51035297557002</v>
      </c>
      <c r="F1383" s="38" t="n">
        <f aca="false">Sens!$F$1358</f>
        <v>13.7369977035951</v>
      </c>
      <c r="G1383" s="38" t="n">
        <f aca="false">Sens!$G$1358</f>
        <v>22.2473506791651</v>
      </c>
      <c r="H1383" s="38" t="n">
        <f aca="false">Sens!$H$1358</f>
        <v>50.1532630024405</v>
      </c>
      <c r="I1383" s="38" t="n">
        <f aca="false">Sens!$I$1358</f>
        <v>81.1566192924336</v>
      </c>
      <c r="J1383" s="38" t="n">
        <f aca="false">Sens!$J$1358</f>
        <v>112.297900303568</v>
      </c>
      <c r="K1383" s="38" t="n">
        <f aca="false">Sens!$K$1358</f>
        <v>138.895080032911</v>
      </c>
      <c r="L1383" s="38" t="n">
        <f aca="false">Sens!$L$1358</f>
        <v>156.444781288878</v>
      </c>
      <c r="M1383" s="38" t="n">
        <f aca="false">Sens!$M$1358</f>
        <v>164.9246910871</v>
      </c>
      <c r="N1383" s="38" t="n">
        <f aca="false">Sens!$N$1358</f>
        <v>3.04631953102791</v>
      </c>
      <c r="O1383" s="38" t="n">
        <f aca="false">Sens!$O$1358</f>
        <v>5.65745055762326</v>
      </c>
    </row>
    <row r="1384" customFormat="false" ht="17.15" hidden="false" customHeight="false" outlineLevel="0" collapsed="false">
      <c r="A1384" s="0" t="s">
        <v>693</v>
      </c>
      <c r="B1384" s="0" t="s">
        <v>86</v>
      </c>
      <c r="C1384" s="38" t="n">
        <f aca="false">Sens!$C$1359</f>
        <v>105.234994643026</v>
      </c>
      <c r="D1384" s="38" t="n">
        <f aca="false">Sens!$D$1359</f>
        <v>120.021229911349</v>
      </c>
      <c r="E1384" s="38" t="n">
        <f aca="false">Sens!$E$1359</f>
        <v>71.30864702443</v>
      </c>
      <c r="F1384" s="38" t="n">
        <f aca="false">Sens!$F$1359</f>
        <v>71.7692997942464</v>
      </c>
      <c r="G1384" s="38" t="n">
        <f aca="false">Sens!$G$1359</f>
        <v>143.077946818676</v>
      </c>
      <c r="H1384" s="38" t="n">
        <f aca="false">Sens!$H$1359</f>
        <v>161.017077079203</v>
      </c>
      <c r="I1384" s="38" t="n">
        <f aca="false">Sens!$I$1359</f>
        <v>178.769759521457</v>
      </c>
      <c r="J1384" s="38" t="n">
        <f aca="false">Sens!$J$1359</f>
        <v>195.775538045907</v>
      </c>
      <c r="K1384" s="38" t="n">
        <f aca="false">Sens!$K$1359</f>
        <v>211.43758108958</v>
      </c>
      <c r="L1384" s="38" t="n">
        <f aca="false">Sens!$L$1359</f>
        <v>228.352587576746</v>
      </c>
      <c r="M1384" s="38" t="n">
        <f aca="false">Sens!$M$1359</f>
        <v>246.620794582886</v>
      </c>
      <c r="N1384" s="38" t="n">
        <f aca="false">Sens!$N$1359</f>
        <v>57.0936804689721</v>
      </c>
      <c r="O1384" s="38" t="n">
        <f aca="false">Sens!$O$1359</f>
        <v>62.9275494423768</v>
      </c>
    </row>
    <row r="1385" customFormat="false" ht="15" hidden="false" customHeight="false" outlineLevel="0" collapsed="false">
      <c r="A1385" s="3" t="s">
        <v>517</v>
      </c>
      <c r="B1385" s="8" t="s">
        <v>86</v>
      </c>
      <c r="C1385" s="38" t="n">
        <f aca="false">Sens!$C$1361</f>
        <v>637.959</v>
      </c>
      <c r="D1385" s="38" t="n">
        <f aca="false">Sens!$D$1361</f>
        <v>716.924</v>
      </c>
      <c r="E1385" s="38" t="n">
        <f aca="false">Sens!$E$1361</f>
        <v>382.125</v>
      </c>
      <c r="F1385" s="38" t="n">
        <f aca="false">Sens!$F$1361</f>
        <v>434.554539143379</v>
      </c>
      <c r="G1385" s="38" t="n">
        <f aca="false">Sens!$G$1361</f>
        <v>816.679539143379</v>
      </c>
      <c r="H1385" s="38" t="n">
        <f aca="false">Sens!$H$1361</f>
        <v>932.26722960303</v>
      </c>
      <c r="I1385" s="38" t="n">
        <f aca="false">Sens!$I$1361</f>
        <v>1048.45576996642</v>
      </c>
      <c r="J1385" s="38" t="n">
        <f aca="false">Sens!$J$1361</f>
        <v>1159.18184409092</v>
      </c>
      <c r="K1385" s="38" t="n">
        <f aca="false">Sens!$K$1361</f>
        <v>1256.50911655358</v>
      </c>
      <c r="L1385" s="38" t="n">
        <f aca="false">Sens!$L$1361</f>
        <v>1349.89047534121</v>
      </c>
      <c r="M1385" s="38" t="n">
        <f aca="false">Sens!$M$1361</f>
        <v>1439.69339361687</v>
      </c>
      <c r="N1385" s="38" t="n">
        <f aca="false">Sens!$N$1361</f>
        <v>323.369</v>
      </c>
      <c r="O1385" s="38" t="n">
        <f aca="false">Sens!$O$1361</f>
        <v>393.555</v>
      </c>
    </row>
    <row r="1386" customFormat="false" ht="17.15" hidden="false" customHeight="false" outlineLevel="0" collapsed="false">
      <c r="A1386" s="24" t="s">
        <v>703</v>
      </c>
      <c r="B1386" s="25" t="s">
        <v>86</v>
      </c>
      <c r="C1386" s="41" t="n">
        <f aca="false">Sens!$C$1373+Sens!$C$1374+Sens!$C$1375+Sens!$C$1376+Sens!$C$1377+Sens!$C$1378-(Sens!$C$1380+Sens!$C$1381)</f>
        <v>0</v>
      </c>
      <c r="D1386" s="41" t="n">
        <f aca="false">Sens!$D$1373+Sens!$D$1374+Sens!$D$1375+Sens!$D$1376+Sens!$D$1377+Sens!$D$1378-(Sens!$D$1380+Sens!$D$1381)</f>
        <v>0</v>
      </c>
      <c r="E1386" s="41" t="n">
        <f aca="false">Sens!$E$1373+Sens!$E$1374+Sens!$E$1375+Sens!$E$1376+Sens!$E$1377+Sens!$E$1378-(Sens!$E$1380+Sens!$E$1381)</f>
        <v>0</v>
      </c>
      <c r="F1386" s="41" t="n">
        <f aca="false">Sens!$F$1373+Sens!$F$1374+Sens!$F$1375+Sens!$F$1376+Sens!$F$1377+Sens!$F$1378-(Sens!$F$1380+Sens!$F$1381)</f>
        <v>0</v>
      </c>
      <c r="G1386" s="41" t="n">
        <f aca="false">Sens!$G$1373+Sens!$G$1374+Sens!$G$1375+Sens!$G$1376+Sens!$G$1377+Sens!$G$1378-(Sens!$G$1380+Sens!$G$1381)</f>
        <v>0</v>
      </c>
      <c r="H1386" s="41" t="n">
        <f aca="false">Sens!$H$1373+Sens!$H$1374+Sens!$H$1375+Sens!$H$1376+Sens!$H$1377+Sens!$H$1378-(Sens!$H$1380+Sens!$H$1381)</f>
        <v>0</v>
      </c>
      <c r="I1386" s="41" t="n">
        <f aca="false">Sens!$I$1373+Sens!$I$1374+Sens!$I$1375+Sens!$I$1376+Sens!$I$1377+Sens!$I$1378-(Sens!$I$1380+Sens!$I$1381)</f>
        <v>0</v>
      </c>
      <c r="J1386" s="41" t="n">
        <f aca="false">Sens!$J$1373+Sens!$J$1374+Sens!$J$1375+Sens!$J$1376+Sens!$J$1377+Sens!$J$1378-(Sens!$J$1380+Sens!$J$1381)</f>
        <v>0</v>
      </c>
      <c r="K1386" s="41" t="n">
        <f aca="false">Sens!$K$1373+Sens!$K$1374+Sens!$K$1375+Sens!$K$1376+Sens!$K$1377+Sens!$K$1378-(Sens!$K$1380+Sens!$K$1381)</f>
        <v>0</v>
      </c>
      <c r="L1386" s="41" t="n">
        <f aca="false">Sens!$L$1373+Sens!$L$1374+Sens!$L$1375+Sens!$L$1376+Sens!$L$1377+Sens!$L$1378-(Sens!$L$1380+Sens!$L$1381)</f>
        <v>0</v>
      </c>
      <c r="M1386" s="41" t="n">
        <f aca="false">Sens!$M$1373+Sens!$M$1374+Sens!$M$1375+Sens!$M$1376+Sens!$M$1377+Sens!$M$1378-(Sens!$M$1380+Sens!$M$1381)</f>
        <v>0</v>
      </c>
      <c r="N1386" s="41" t="n">
        <f aca="false">Sens!$N$1373+Sens!$N$1374+Sens!$N$1375+Sens!$N$1376+Sens!$N$1377+Sens!$N$1378-(Sens!$N$1380+Sens!$N$1381)</f>
        <v>0</v>
      </c>
      <c r="O1386" s="41" t="n">
        <f aca="false">Sens!$O$1373+Sens!$O$1374+Sens!$O$1375+Sens!$O$1376+Sens!$O$1377+Sens!$O$1378-(Sens!$O$1380+Sens!$O$1381)</f>
        <v>0</v>
      </c>
    </row>
    <row r="1387" customFormat="false" ht="17.15" hidden="false" customHeight="false" outlineLevel="0" collapsed="false">
      <c r="A1387" s="24" t="s">
        <v>704</v>
      </c>
      <c r="B1387" s="25" t="s">
        <v>86</v>
      </c>
      <c r="C1387" s="41" t="n">
        <f aca="false">Sens!$C$1383+Sens!$C$1384-Sens!$C$1382</f>
        <v>0</v>
      </c>
      <c r="D1387" s="41" t="n">
        <f aca="false">Sens!$D$1383+Sens!$D$1384-Sens!$D$1382</f>
        <v>0</v>
      </c>
      <c r="E1387" s="41" t="n">
        <f aca="false">Sens!$E$1383+Sens!$E$1384-Sens!$E$1382</f>
        <v>0</v>
      </c>
      <c r="F1387" s="41" t="n">
        <f aca="false">Sens!$F$1383+Sens!$F$1384-Sens!$F$1382</f>
        <v>0</v>
      </c>
      <c r="G1387" s="41" t="n">
        <f aca="false">Sens!$G$1383+Sens!$G$1384-Sens!$G$1382</f>
        <v>0</v>
      </c>
      <c r="H1387" s="41" t="n">
        <f aca="false">Sens!$H$1383+Sens!$H$1384-Sens!$H$1382</f>
        <v>0</v>
      </c>
      <c r="I1387" s="41" t="n">
        <f aca="false">Sens!$I$1383+Sens!$I$1384-Sens!$I$1382</f>
        <v>0</v>
      </c>
      <c r="J1387" s="41" t="n">
        <f aca="false">Sens!$J$1383+Sens!$J$1384-Sens!$J$1382</f>
        <v>0</v>
      </c>
      <c r="K1387" s="41" t="n">
        <f aca="false">Sens!$K$1383+Sens!$K$1384-Sens!$K$1382</f>
        <v>0</v>
      </c>
      <c r="L1387" s="41" t="n">
        <f aca="false">Sens!$L$1383+Sens!$L$1384-Sens!$L$1382</f>
        <v>0</v>
      </c>
      <c r="M1387" s="41" t="n">
        <f aca="false">Sens!$M$1383+Sens!$M$1384-Sens!$M$1382</f>
        <v>0</v>
      </c>
      <c r="N1387" s="41" t="n">
        <f aca="false">Sens!$N$1383+Sens!$N$1384-Sens!$N$1382</f>
        <v>0</v>
      </c>
      <c r="O1387" s="41" t="n">
        <f aca="false">Sens!$O$1383+Sens!$O$1384-Sens!$O$1382</f>
        <v>0</v>
      </c>
    </row>
    <row r="1388" customFormat="false" ht="17.15" hidden="false" customHeight="false" outlineLevel="0" collapsed="false">
      <c r="A1388" s="24" t="s">
        <v>763</v>
      </c>
      <c r="B1388" s="25" t="s">
        <v>86</v>
      </c>
      <c r="C1388" s="41" t="n">
        <f aca="false">Sens!$C$1373+Sens!$C$1374+Sens!$C$1375+Sens!$C$1376+Sens!$C$1377+Sens!$C$1378+Sens!$C$1379-Sens!$C$1385</f>
        <v>0</v>
      </c>
      <c r="D1388" s="41" t="n">
        <f aca="false">Sens!$D$1373+Sens!$D$1374+Sens!$D$1375+Sens!$D$1376+Sens!$D$1377+Sens!$D$1378+Sens!$D$1379-Sens!$D$1385</f>
        <v>0</v>
      </c>
      <c r="E1388" s="41" t="n">
        <f aca="false">Sens!$E$1373+Sens!$E$1374+Sens!$E$1375+Sens!$E$1376+Sens!$E$1377+Sens!$E$1378+Sens!$E$1379-Sens!$E$1385</f>
        <v>0</v>
      </c>
      <c r="F1388" s="41" t="n">
        <f aca="false">Sens!$F$1373+Sens!$F$1374+Sens!$F$1375+Sens!$F$1376+Sens!$F$1377+Sens!$F$1378+Sens!$F$1379-Sens!$F$1385</f>
        <v>0</v>
      </c>
      <c r="G1388" s="41" t="n">
        <f aca="false">Sens!$G$1373+Sens!$G$1374+Sens!$G$1375+Sens!$G$1376+Sens!$G$1377+Sens!$G$1378+Sens!$G$1379-Sens!$G$1385</f>
        <v>0</v>
      </c>
      <c r="H1388" s="41" t="n">
        <f aca="false">Sens!$H$1373+Sens!$H$1374+Sens!$H$1375+Sens!$H$1376+Sens!$H$1377+Sens!$H$1378+Sens!$H$1379-Sens!$H$1385</f>
        <v>0</v>
      </c>
      <c r="I1388" s="41" t="n">
        <f aca="false">Sens!$I$1373+Sens!$I$1374+Sens!$I$1375+Sens!$I$1376+Sens!$I$1377+Sens!$I$1378+Sens!$I$1379-Sens!$I$1385</f>
        <v>0</v>
      </c>
      <c r="J1388" s="41" t="n">
        <f aca="false">Sens!$J$1373+Sens!$J$1374+Sens!$J$1375+Sens!$J$1376+Sens!$J$1377+Sens!$J$1378+Sens!$J$1379-Sens!$J$1385</f>
        <v>0</v>
      </c>
      <c r="K1388" s="41" t="n">
        <f aca="false">Sens!$K$1373+Sens!$K$1374+Sens!$K$1375+Sens!$K$1376+Sens!$K$1377+Sens!$K$1378+Sens!$K$1379-Sens!$K$1385</f>
        <v>0</v>
      </c>
      <c r="L1388" s="41" t="n">
        <f aca="false">Sens!$L$1373+Sens!$L$1374+Sens!$L$1375+Sens!$L$1376+Sens!$L$1377+Sens!$L$1378+Sens!$L$1379-Sens!$L$1385</f>
        <v>0</v>
      </c>
      <c r="M1388" s="41" t="n">
        <f aca="false">Sens!$M$1373+Sens!$M$1374+Sens!$M$1375+Sens!$M$1376+Sens!$M$1377+Sens!$M$1378+Sens!$M$1379-Sens!$M$1385</f>
        <v>0</v>
      </c>
      <c r="N1388" s="41" t="n">
        <f aca="false">Sens!$N$1373+Sens!$N$1374+Sens!$N$1375+Sens!$N$1376+Sens!$N$1377+Sens!$N$1378+Sens!$N$1379-Sens!$N$1385</f>
        <v>0</v>
      </c>
      <c r="O1388" s="41" t="n">
        <f aca="false">Sens!$O$1373+Sens!$O$1374+Sens!$O$1375+Sens!$O$1376+Sens!$O$1377+Sens!$O$1378+Sens!$O$1379-Sens!$O$1385</f>
        <v>0</v>
      </c>
    </row>
    <row r="1389" customFormat="false" ht="17.15" hidden="false" customHeight="false" outlineLevel="0" collapsed="false">
      <c r="A1389" s="24" t="s">
        <v>705</v>
      </c>
      <c r="B1389" s="25" t="s">
        <v>86</v>
      </c>
      <c r="C1389" s="41" t="n">
        <f aca="false">Sens!$C$1380+Sens!$C$1381+Sens!$C$1382-Sens!$C$1385</f>
        <v>0</v>
      </c>
      <c r="D1389" s="41" t="n">
        <f aca="false">Sens!$D$1380+Sens!$D$1381+Sens!$D$1382-Sens!$D$1385</f>
        <v>0</v>
      </c>
      <c r="E1389" s="41" t="n">
        <f aca="false">Sens!$E$1380+Sens!$E$1381+Sens!$E$1382-Sens!$E$1385</f>
        <v>0</v>
      </c>
      <c r="F1389" s="41" t="n">
        <f aca="false">Sens!$F$1380+Sens!$F$1381+Sens!$F$1382-Sens!$F$1385</f>
        <v>0</v>
      </c>
      <c r="G1389" s="41" t="n">
        <f aca="false">Sens!$G$1380+Sens!$G$1381+Sens!$G$1382-Sens!$G$1385</f>
        <v>0</v>
      </c>
      <c r="H1389" s="41" t="n">
        <f aca="false">Sens!$H$1380+Sens!$H$1381+Sens!$H$1382-Sens!$H$1385</f>
        <v>0</v>
      </c>
      <c r="I1389" s="41" t="n">
        <f aca="false">Sens!$I$1380+Sens!$I$1381+Sens!$I$1382-Sens!$I$1385</f>
        <v>0</v>
      </c>
      <c r="J1389" s="41" t="n">
        <f aca="false">Sens!$J$1380+Sens!$J$1381+Sens!$J$1382-Sens!$J$1385</f>
        <v>0</v>
      </c>
      <c r="K1389" s="41" t="n">
        <f aca="false">Sens!$K$1380+Sens!$K$1381+Sens!$K$1382-Sens!$K$1385</f>
        <v>0</v>
      </c>
      <c r="L1389" s="41" t="n">
        <f aca="false">Sens!$L$1380+Sens!$L$1381+Sens!$L$1382-Sens!$L$1385</f>
        <v>0</v>
      </c>
      <c r="M1389" s="41" t="n">
        <f aca="false">Sens!$M$1380+Sens!$M$1381+Sens!$M$1382-Sens!$M$1385</f>
        <v>0</v>
      </c>
      <c r="N1389" s="41" t="n">
        <f aca="false">Sens!$N$1380+Sens!$N$1381+Sens!$N$1382-Sens!$N$1385</f>
        <v>0</v>
      </c>
      <c r="O1389" s="41" t="n">
        <f aca="false">Sens!$O$1380+Sens!$O$1381+Sens!$O$1382-Sens!$O$1385</f>
        <v>0</v>
      </c>
    </row>
    <row r="1390" customFormat="false" ht="17.15" hidden="false" customHeight="false" outlineLevel="0" collapsed="false">
      <c r="A1390" s="1" t="s">
        <v>719</v>
      </c>
    </row>
    <row r="1391" customFormat="false" ht="17.15" hidden="false" customHeight="false" outlineLevel="0" collapsed="false">
      <c r="A1391" s="0" t="s">
        <v>720</v>
      </c>
      <c r="B1391" s="0" t="s">
        <v>86</v>
      </c>
      <c r="C1391" s="38" t="n">
        <f aca="false">Sens!$C$1295*m_ad</f>
        <v>20.5341564414228</v>
      </c>
      <c r="D1391" s="38" t="n">
        <f aca="false">Sens!$D$1295*m_ad</f>
        <v>24.8720617299587</v>
      </c>
      <c r="E1391" s="38" t="n">
        <f aca="false">Sens!$E$1295*m_ad</f>
        <v>13.5017112462207</v>
      </c>
      <c r="F1391" s="38" t="n">
        <f aca="false">Sens!$F$1295*m_ad</f>
        <v>16.5719724165257</v>
      </c>
      <c r="G1391" s="38" t="n">
        <f aca="false">Sens!$G$1295*m_ad</f>
        <v>30.0820919220415</v>
      </c>
      <c r="H1391" s="38" t="n">
        <f aca="false">Sens!$H$1295*m_ad</f>
        <v>36.1150883276314</v>
      </c>
      <c r="I1391" s="38" t="n">
        <f aca="false">Sens!$I$1295*m_ad</f>
        <v>42.1475382231996</v>
      </c>
      <c r="J1391" s="38" t="n">
        <f aca="false">Sens!$J$1295*m_ad</f>
        <v>47.7749523864693</v>
      </c>
      <c r="K1391" s="38" t="n">
        <f aca="false">Sens!$K$1295*m_ad</f>
        <v>52.5524476251162</v>
      </c>
      <c r="L1391" s="38" t="n">
        <f aca="false">Sens!$L$1295*m_ad</f>
        <v>57.8076923876279</v>
      </c>
      <c r="M1391" s="38" t="n">
        <f aca="false">Sens!$M$1295*m_ad</f>
        <v>63.5884616263907</v>
      </c>
      <c r="N1391" s="38" t="n">
        <f aca="false">Sens!$N$1295*m_ad</f>
        <v>10.8543555706248</v>
      </c>
      <c r="O1391" s="38" t="n">
        <f aca="false">Sens!$O$1295*m_ad</f>
        <v>14.0094731821399</v>
      </c>
    </row>
    <row r="1392" customFormat="false" ht="17.15" hidden="false" customHeight="false" outlineLevel="0" collapsed="false">
      <c r="A1392" s="0" t="s">
        <v>721</v>
      </c>
      <c r="B1392" s="0" t="s">
        <v>86</v>
      </c>
      <c r="C1392" s="38" t="n">
        <f aca="false">Sens!$C$1293-Sens!$C$1295</f>
        <v>346.428687117154</v>
      </c>
      <c r="D1392" s="38" t="n">
        <f aca="false">Sens!$D$1293-Sens!$D$1295</f>
        <v>376.560876540083</v>
      </c>
      <c r="E1392" s="38" t="n">
        <f aca="false">Sens!$E$1293-Sens!$E$1295</f>
        <v>193.316577507559</v>
      </c>
      <c r="F1392" s="38" t="n">
        <f aca="false">Sens!$F$1293-Sens!$F$1295</f>
        <v>217.495828647535</v>
      </c>
      <c r="G1392" s="38" t="n">
        <f aca="false">Sens!$G$1293-Sens!$G$1295</f>
        <v>410.795589636503</v>
      </c>
      <c r="H1392" s="38" t="n">
        <f aca="false">Sens!$H$1293-Sens!$H$1295</f>
        <v>449.156813761174</v>
      </c>
      <c r="I1392" s="38" t="n">
        <f aca="false">Sens!$I$1293-Sens!$I$1295</f>
        <v>485.848786441156</v>
      </c>
      <c r="J1392" s="38" t="n">
        <f aca="false">Sens!$J$1293-Sens!$J$1295</f>
        <v>519.841531018994</v>
      </c>
      <c r="K1392" s="38" t="n">
        <f aca="false">Sens!$K$1293-Sens!$K$1295</f>
        <v>550.103332311311</v>
      </c>
      <c r="L1392" s="38" t="n">
        <f aca="false">Sens!$L$1293-Sens!$L$1295</f>
        <v>582.192354474511</v>
      </c>
      <c r="M1392" s="38" t="n">
        <f aca="false">Sens!$M$1293-Sens!$M$1295</f>
        <v>616.22240521081</v>
      </c>
      <c r="N1392" s="38" t="n">
        <f aca="false">Sens!$N$1293-Sens!$N$1295</f>
        <v>171.24628885875</v>
      </c>
      <c r="O1392" s="38" t="n">
        <f aca="false">Sens!$O$1293-Sens!$O$1295</f>
        <v>205.33105363572</v>
      </c>
    </row>
    <row r="1393" customFormat="false" ht="17.15" hidden="false" customHeight="false" outlineLevel="0" collapsed="false">
      <c r="A1393" s="0" t="s">
        <v>722</v>
      </c>
      <c r="B1393" s="0" t="s">
        <v>86</v>
      </c>
      <c r="C1393" s="38" t="n">
        <f aca="false">Sens!$C$1344*Sens!$C$1292</f>
        <v>0.123617442257179</v>
      </c>
      <c r="D1393" s="38" t="n">
        <f aca="false">Sens!$D$1344*Sens!$D$1292</f>
        <v>0.600198046024689</v>
      </c>
      <c r="E1393" s="38" t="n">
        <f aca="false">Sens!$E$1344*Sens!$E$1292</f>
        <v>0.970552432202993</v>
      </c>
      <c r="F1393" s="38" t="n">
        <f aca="false">Sens!$F$1344*Sens!$F$1292</f>
        <v>1.15454689112892</v>
      </c>
      <c r="G1393" s="38" t="n">
        <f aca="false">Sens!$G$1344*Sens!$G$1292</f>
        <v>2.12544912489342</v>
      </c>
      <c r="H1393" s="38" t="n">
        <f aca="false">Sens!$H$1344*Sens!$H$1292</f>
        <v>5.62087606395148</v>
      </c>
      <c r="I1393" s="38" t="n">
        <f aca="false">Sens!$I$1344*Sens!$I$1292</f>
        <v>9.75302401425504</v>
      </c>
      <c r="J1393" s="38" t="n">
        <f aca="false">Sens!$J$1344*Sens!$J$1292</f>
        <v>13.9970674673234</v>
      </c>
      <c r="K1393" s="38" t="n">
        <f aca="false">Sens!$K$1344*Sens!$K$1292</f>
        <v>18.1766865971413</v>
      </c>
      <c r="L1393" s="38" t="n">
        <f aca="false">Sens!$L$1344*Sens!$L$1292</f>
        <v>21.0764301454481</v>
      </c>
      <c r="M1393" s="38" t="n">
        <f aca="false">Sens!$M$1344*Sens!$M$1292</f>
        <v>22.9294736757326</v>
      </c>
      <c r="N1393" s="38" t="n">
        <f aca="false">Sens!$N$1344*Sens!$N$1292</f>
        <v>0.25053229484398</v>
      </c>
      <c r="O1393" s="38" t="n">
        <f aca="false">Sens!$O$1344*Sens!$O$1292</f>
        <v>0.349234376756897</v>
      </c>
    </row>
    <row r="1394" customFormat="false" ht="17.15" hidden="false" customHeight="false" outlineLevel="0" collapsed="false">
      <c r="A1394" s="0" t="s">
        <v>723</v>
      </c>
      <c r="B1394" s="0" t="s">
        <v>52</v>
      </c>
      <c r="C1394" s="28" t="n">
        <f aca="false">(Sens!$C$1395-Sens!$C$1391+Sens!$C$1393)/Sens!$C$1392</f>
        <v>0.0131526665379575</v>
      </c>
      <c r="D1394" s="28" t="n">
        <f aca="false">(Sens!$D$1395-Sens!$D$1391+Sens!$D$1393)/Sens!$D$1392</f>
        <v>0.0141999252954702</v>
      </c>
      <c r="E1394" s="28" t="n">
        <f aca="false">(Sens!$E$1395-Sens!$E$1391+Sens!$E$1393)/Sens!$E$1392</f>
        <v>0.0251341154940129</v>
      </c>
      <c r="F1394" s="28" t="n">
        <f aca="false">Sens!$O$1394+(Sens!$E$1394-Sens!$N$1394)</f>
        <v>0.0217171685713677</v>
      </c>
      <c r="G1394" s="28" t="n">
        <f aca="false">(Sens!$G$1395-Sens!$G$1391+Sens!$G$1393)/Sens!$G$1392</f>
        <v>0.0233064242754609</v>
      </c>
      <c r="H1394" s="28" t="n">
        <f aca="false">Sens!$G$1394+step_na</f>
        <v>0.0263064242754609</v>
      </c>
      <c r="I1394" s="28" t="n">
        <f aca="false">Sens!$H$1394+step_na</f>
        <v>0.0293064242754609</v>
      </c>
      <c r="J1394" s="28" t="n">
        <f aca="false">Sens!$I$1394+step_na</f>
        <v>0.0323064242754609</v>
      </c>
      <c r="K1394" s="28" t="n">
        <f aca="false">Sens!$J$1394+step_na</f>
        <v>0.0353064242754609</v>
      </c>
      <c r="L1394" s="28" t="n">
        <f aca="false">Sens!$K$1394</f>
        <v>0.0353064242754609</v>
      </c>
      <c r="M1394" s="28" t="n">
        <f aca="false">Sens!$L$1394</f>
        <v>0.0353064242754609</v>
      </c>
      <c r="N1394" s="28" t="n">
        <f aca="false">(Sens!$N$1395-Sens!$N$1391+Sens!$N$1393)/Sens!$N$1392</f>
        <v>0.0160831323269779</v>
      </c>
      <c r="O1394" s="28" t="n">
        <f aca="false">(Sens!$O$1395-Sens!$O$1391+Sens!$O$1393)/Sens!$O$1392</f>
        <v>0.0126661854043327</v>
      </c>
      <c r="P1394" s="8" t="s">
        <v>724</v>
      </c>
    </row>
    <row r="1395" customFormat="false" ht="17.15" hidden="false" customHeight="false" outlineLevel="0" collapsed="false">
      <c r="A1395" s="1" t="s">
        <v>725</v>
      </c>
      <c r="B1395" s="8" t="s">
        <v>86</v>
      </c>
      <c r="C1395" s="38" t="n">
        <f aca="false">Q!$D$22</f>
        <v>24.967</v>
      </c>
      <c r="D1395" s="38" t="n">
        <f aca="false">Q!$E$22</f>
        <v>29.619</v>
      </c>
      <c r="E1395" s="38" t="n">
        <f aca="false">Q!$P$22</f>
        <v>17.39</v>
      </c>
      <c r="F1395" s="38" t="n">
        <f aca="false">Sens!$F$1391+Sens!$F$1392*Sens!$F$1394-Sens!$F$1393</f>
        <v>20.1408190997046</v>
      </c>
      <c r="G1395" s="38" t="n">
        <f aca="false">Sens!$E$1395+Sens!$F$1395</f>
        <v>37.5308190997046</v>
      </c>
      <c r="H1395" s="38" t="n">
        <f aca="false">Sens!$H$1391+Sens!$H$1392*Sens!$H$1394-Sens!$H$1393</f>
        <v>42.3099219726956</v>
      </c>
      <c r="I1395" s="38" t="n">
        <f aca="false">Sens!$I$1391+Sens!$I$1392*Sens!$I$1394-Sens!$I$1393</f>
        <v>46.6330048781068</v>
      </c>
      <c r="J1395" s="38" t="n">
        <f aca="false">Sens!$J$1391+Sens!$J$1392*Sens!$J$1394-Sens!$J$1393</f>
        <v>50.5721059762507</v>
      </c>
      <c r="K1395" s="38" t="n">
        <f aca="false">Sens!$K$1391+Sens!$K$1392*Sens!$K$1394-Sens!$K$1393</f>
        <v>53.7979426739029</v>
      </c>
      <c r="L1395" s="38" t="n">
        <f aca="false">Sens!$L$1391+Sens!$L$1392*Sens!$L$1394-Sens!$L$1393</f>
        <v>57.2863925191863</v>
      </c>
      <c r="M1395" s="38" t="n">
        <f aca="false">Sens!$M$1391+Sens!$M$1392*Sens!$M$1394-Sens!$M$1393</f>
        <v>62.4155976370759</v>
      </c>
      <c r="N1395" s="38" t="n">
        <f aca="false">Q!$N$22</f>
        <v>13.358</v>
      </c>
      <c r="O1395" s="38" t="n">
        <f aca="false">Q!$O$22</f>
        <v>16.261</v>
      </c>
    </row>
    <row r="1396" customFormat="false" ht="17.15" hidden="false" customHeight="false" outlineLevel="0" collapsed="false">
      <c r="A1396" s="0" t="s">
        <v>726</v>
      </c>
      <c r="B1396" s="0" t="s">
        <v>86</v>
      </c>
      <c r="C1396" s="38" t="n">
        <f aca="false">Sens!$C$1296*m_ad</f>
        <v>7.57284355857716</v>
      </c>
      <c r="D1396" s="38" t="n">
        <f aca="false">Sens!$D$1296*m_ad</f>
        <v>9.44543827004127</v>
      </c>
      <c r="E1396" s="38" t="n">
        <f aca="false">Sens!$E$1296*m_ad</f>
        <v>5.02428875377928</v>
      </c>
      <c r="F1396" s="38" t="n">
        <f aca="false">Sens!$F$1296*m_ad</f>
        <v>6.50663858068173</v>
      </c>
      <c r="G1396" s="38" t="n">
        <f aca="false">Sens!$G$1296*m_ad</f>
        <v>11.5225190751659</v>
      </c>
      <c r="H1396" s="38" t="n">
        <f aca="false">Sens!$H$1296*m_ad</f>
        <v>13.8333728663174</v>
      </c>
      <c r="I1396" s="38" t="n">
        <f aca="false">Sens!$I$1296*m_ad</f>
        <v>16.1440173245485</v>
      </c>
      <c r="J1396" s="38" t="n">
        <f aca="false">Sens!$J$1296*m_ad</f>
        <v>18.2995185845066</v>
      </c>
      <c r="K1396" s="38" t="n">
        <f aca="false">Sens!$K$1296*m_ad</f>
        <v>20.1294704429572</v>
      </c>
      <c r="L1396" s="38" t="n">
        <f aca="false">Sens!$L$1296*m_ad</f>
        <v>22.142417487253</v>
      </c>
      <c r="M1396" s="38" t="n">
        <f aca="false">Sens!$M$1296*m_ad</f>
        <v>24.3566592359783</v>
      </c>
      <c r="N1396" s="38" t="n">
        <f aca="false">Sens!$N$1296*m_ad</f>
        <v>3.95314442937518</v>
      </c>
      <c r="O1396" s="38" t="n">
        <f aca="false">Sens!$O$1296*m_ad</f>
        <v>5.50052681786011</v>
      </c>
    </row>
    <row r="1397" customFormat="false" ht="17.15" hidden="false" customHeight="false" outlineLevel="0" collapsed="false">
      <c r="A1397" s="0" t="s">
        <v>727</v>
      </c>
      <c r="B1397" s="0" t="s">
        <v>86</v>
      </c>
      <c r="C1397" s="38" t="n">
        <f aca="false">Sens!$C$1294-Sens!$C$1296</f>
        <v>127.760312882846</v>
      </c>
      <c r="D1397" s="38" t="n">
        <f aca="false">Sens!$D$1294-Sens!$D$1296</f>
        <v>143.003123459917</v>
      </c>
      <c r="E1397" s="38" t="n">
        <f aca="false">Sens!$E$1294-Sens!$E$1296</f>
        <v>71.9374224924414</v>
      </c>
      <c r="F1397" s="38" t="n">
        <f aca="false">Sens!$F$1294-Sens!$F$1296</f>
        <v>85.3951910035875</v>
      </c>
      <c r="G1397" s="38" t="n">
        <f aca="false">Sens!$G$1294-Sens!$G$1296</f>
        <v>157.349430014619</v>
      </c>
      <c r="H1397" s="38" t="n">
        <f aca="false">Sens!$H$1294-Sens!$H$1296</f>
        <v>172.043153372315</v>
      </c>
      <c r="I1397" s="38" t="n">
        <f aca="false">Sens!$I$1294-Sens!$I$1296</f>
        <v>186.097493615879</v>
      </c>
      <c r="J1397" s="38" t="n">
        <f aca="false">Sens!$J$1294-Sens!$J$1296</f>
        <v>199.117932780497</v>
      </c>
      <c r="K1397" s="38" t="n">
        <f aca="false">Sens!$K$1294-Sens!$K$1296</f>
        <v>210.70928698363</v>
      </c>
      <c r="L1397" s="38" t="n">
        <f aca="false">Sens!$L$1294-Sens!$L$1296</f>
        <v>223.000532251316</v>
      </c>
      <c r="M1397" s="38" t="n">
        <f aca="false">Sens!$M$1294-Sens!$M$1296</f>
        <v>236.035261011339</v>
      </c>
      <c r="N1397" s="38" t="n">
        <f aca="false">Sens!$N$1294-Sens!$N$1296</f>
        <v>62.3677111412496</v>
      </c>
      <c r="O1397" s="38" t="n">
        <f aca="false">Sens!$O$1294-Sens!$O$1296</f>
        <v>80.6189463642798</v>
      </c>
    </row>
    <row r="1398" customFormat="false" ht="17.15" hidden="false" customHeight="false" outlineLevel="0" collapsed="false">
      <c r="A1398" s="0" t="s">
        <v>728</v>
      </c>
      <c r="B1398" s="0" t="s">
        <v>86</v>
      </c>
      <c r="C1398" s="38" t="n">
        <f aca="false">Sens!$C$1344*(1-Sens!$C$1292)</f>
        <v>0.0455891896019953</v>
      </c>
      <c r="D1398" s="38" t="n">
        <f aca="false">Sens!$D$1344*(1-Sens!$D$1292)</f>
        <v>0.227931791705753</v>
      </c>
      <c r="E1398" s="38" t="n">
        <f aca="false">Sens!$E$1344*(1-Sens!$E$1292)</f>
        <v>0.361164268820781</v>
      </c>
      <c r="F1398" s="38" t="n">
        <f aca="false">Sens!$F$1344*(1-Sens!$F$1292)</f>
        <v>0.453308704372107</v>
      </c>
      <c r="G1398" s="38" t="n">
        <f aca="false">Sens!$G$1344*(1-Sens!$G$1292)</f>
        <v>0.814123171631376</v>
      </c>
      <c r="H1398" s="38" t="n">
        <f aca="false">Sens!$H$1344*(1-Sens!$H$1292)</f>
        <v>2.15299693365304</v>
      </c>
      <c r="I1398" s="38" t="n">
        <f aca="false">Sens!$I$1344*(1-Sens!$I$1292)</f>
        <v>3.73575765728124</v>
      </c>
      <c r="J1398" s="38" t="n">
        <f aca="false">Sens!$J$1344*(1-Sens!$J$1292)</f>
        <v>5.36137836778714</v>
      </c>
      <c r="K1398" s="38" t="n">
        <f aca="false">Sens!$K$1344*(1-Sens!$K$1292)</f>
        <v>6.96232225410535</v>
      </c>
      <c r="L1398" s="38" t="n">
        <f aca="false">Sens!$L$1344*(1-Sens!$L$1292)</f>
        <v>8.07302793358548</v>
      </c>
      <c r="M1398" s="38" t="n">
        <f aca="false">Sens!$M$1344*(1-Sens!$M$1292)</f>
        <v>8.7828100019386</v>
      </c>
      <c r="N1398" s="38" t="n">
        <f aca="false">Sens!$N$1344*(1-Sens!$N$1292)</f>
        <v>0.0912435878202994</v>
      </c>
      <c r="O1398" s="38" t="n">
        <f aca="false">Sens!$O$1344*(1-Sens!$O$1292)</f>
        <v>0.137119578309265</v>
      </c>
    </row>
    <row r="1399" customFormat="false" ht="17.15" hidden="false" customHeight="false" outlineLevel="0" collapsed="false">
      <c r="A1399" s="0" t="s">
        <v>729</v>
      </c>
      <c r="B1399" s="0" t="s">
        <v>52</v>
      </c>
      <c r="C1399" s="28" t="n">
        <f aca="false">(Sens!$C$1400-Sens!$C$1396+Sens!$C$1398)/Sens!$C$1397</f>
        <v>-0.0292364215826579</v>
      </c>
      <c r="D1399" s="28" t="n">
        <f aca="false">(Sens!$D$1400-Sens!$D$1396+Sens!$D$1398)/Sens!$D$1397</f>
        <v>-0.0312406216748665</v>
      </c>
      <c r="E1399" s="28" t="n">
        <f aca="false">(Sens!$E$1400-Sens!$E$1396+Sens!$E$1398)/Sens!$E$1397</f>
        <v>-0.0211590078184749</v>
      </c>
      <c r="F1399" s="28" t="n">
        <f aca="false">Sens!$O$1399+(Sens!$E$1399-Sens!$N$1399)</f>
        <v>-0.0382539955245511</v>
      </c>
      <c r="G1399" s="28" t="n">
        <f aca="false">(Sens!$G$1400-Sens!$G$1396+Sens!$G$1398)/Sens!$G$1397</f>
        <v>-0.0303831623746595</v>
      </c>
      <c r="H1399" s="28" t="n">
        <f aca="false">Sens!$G$1399+step_in</f>
        <v>-0.0303831623746595</v>
      </c>
      <c r="I1399" s="28" t="n">
        <f aca="false">Sens!$H$1399+step_in</f>
        <v>-0.0303831623746595</v>
      </c>
      <c r="J1399" s="28" t="n">
        <f aca="false">Sens!$I$1399+step_in</f>
        <v>-0.0303831623746595</v>
      </c>
      <c r="K1399" s="28" t="n">
        <f aca="false">Sens!$J$1399+step_in</f>
        <v>-0.0303831623746595</v>
      </c>
      <c r="L1399" s="28" t="n">
        <f aca="false">Sens!$K$1399</f>
        <v>-0.0303831623746595</v>
      </c>
      <c r="M1399" s="28" t="n">
        <f aca="false">Sens!$L$1399</f>
        <v>-0.0303831623746595</v>
      </c>
      <c r="N1399" s="28" t="n">
        <f aca="false">(Sens!$N$1400-Sens!$N$1396+Sens!$N$1398)/Sens!$N$1397</f>
        <v>-0.0216602600421776</v>
      </c>
      <c r="O1399" s="28" t="n">
        <f aca="false">(Sens!$O$1400-Sens!$O$1396+Sens!$O$1398)/Sens!$O$1397</f>
        <v>-0.0387552477482538</v>
      </c>
      <c r="P1399" s="8" t="s">
        <v>724</v>
      </c>
    </row>
    <row r="1400" customFormat="false" ht="17.15" hidden="false" customHeight="false" outlineLevel="0" collapsed="false">
      <c r="A1400" s="1" t="s">
        <v>730</v>
      </c>
      <c r="B1400" s="8" t="s">
        <v>86</v>
      </c>
      <c r="C1400" s="38" t="n">
        <f aca="false">Q!$D$23</f>
        <v>3.792</v>
      </c>
      <c r="D1400" s="38" t="n">
        <f aca="false">Q!$E$23</f>
        <v>4.75</v>
      </c>
      <c r="E1400" s="38" t="n">
        <f aca="false">Q!$P$23</f>
        <v>3.141</v>
      </c>
      <c r="F1400" s="38" t="n">
        <f aca="false">Sens!$F$1396+Sens!$F$1397*Sens!$F$1399-Sens!$F$1398</f>
        <v>2.7866226218402</v>
      </c>
      <c r="G1400" s="38" t="n">
        <f aca="false">Sens!$E$1400+Sens!$F$1400</f>
        <v>5.9276226218402</v>
      </c>
      <c r="H1400" s="38" t="n">
        <f aca="false">Sens!$H$1396+Sens!$H$1397*Sens!$H$1399-Sens!$H$1398</f>
        <v>6.45316086830483</v>
      </c>
      <c r="I1400" s="38" t="n">
        <f aca="false">Sens!$I$1396+Sens!$I$1397*Sens!$I$1399-Sens!$I$1398</f>
        <v>6.75402930121888</v>
      </c>
      <c r="J1400" s="38" t="n">
        <f aca="false">Sens!$J$1396+Sens!$J$1397*Sens!$J$1399-Sens!$J$1398</f>
        <v>6.88830773334307</v>
      </c>
      <c r="K1400" s="38" t="n">
        <f aca="false">Sens!$K$1396+Sens!$K$1397*Sens!$K$1399-Sens!$K$1398</f>
        <v>6.76513370857953</v>
      </c>
      <c r="L1400" s="38" t="n">
        <f aca="false">Sens!$L$1396+Sens!$L$1397*Sens!$L$1399-Sens!$L$1398</f>
        <v>7.29392817264024</v>
      </c>
      <c r="M1400" s="38" t="n">
        <f aca="false">Sens!$M$1396+Sens!$M$1397*Sens!$M$1399-Sens!$M$1398</f>
        <v>8.40235157258701</v>
      </c>
      <c r="N1400" s="38" t="n">
        <f aca="false">Q!$N$23</f>
        <v>2.511</v>
      </c>
      <c r="O1400" s="38" t="n">
        <f aca="false">Q!$O$23</f>
        <v>2.239</v>
      </c>
    </row>
    <row r="1401" customFormat="false" ht="17.15" hidden="false" customHeight="false" outlineLevel="0" collapsed="false">
      <c r="A1401" s="0" t="s">
        <v>731</v>
      </c>
      <c r="B1401" s="0" t="s">
        <v>86</v>
      </c>
      <c r="C1401" s="38" t="n">
        <f aca="false">Sens!$C$1341</f>
        <v>1.64417882953695</v>
      </c>
      <c r="D1401" s="38" t="n">
        <f aca="false">Sens!$D$1341</f>
        <v>5.39125073772939</v>
      </c>
      <c r="E1401" s="38" t="n">
        <f aca="false">Sens!$E$1341</f>
        <v>3.18348617147493</v>
      </c>
      <c r="F1401" s="38" t="n">
        <f aca="false">Sens!$F$1341</f>
        <v>7.30557532159103</v>
      </c>
      <c r="G1401" s="38" t="n">
        <f aca="false">Sens!$G$1341</f>
        <v>10.489061493066</v>
      </c>
      <c r="H1401" s="38" t="n">
        <f aca="false">Sens!$H$1341</f>
        <v>19.0577710120224</v>
      </c>
      <c r="I1401" s="38" t="n">
        <f aca="false">Sens!$I$1341</f>
        <v>27.2014926062884</v>
      </c>
      <c r="J1401" s="38" t="n">
        <f aca="false">Sens!$J$1341</f>
        <v>34.864116963126</v>
      </c>
      <c r="K1401" s="38" t="n">
        <f aca="false">Sens!$K$1341</f>
        <v>38.3390446279248</v>
      </c>
      <c r="L1401" s="38" t="n">
        <f aca="false">Sens!$L$1341</f>
        <v>39.8469489727435</v>
      </c>
      <c r="M1401" s="38" t="n">
        <f aca="false">Sens!$M$1341</f>
        <v>38.0755563764153</v>
      </c>
      <c r="N1401" s="38" t="n">
        <f aca="false">Sens!$N$1341</f>
        <v>1.67921600037079</v>
      </c>
      <c r="O1401" s="38" t="n">
        <f aca="false">Sens!$O$1341</f>
        <v>3.71203473735861</v>
      </c>
    </row>
    <row r="1402" customFormat="false" ht="17.15" hidden="false" customHeight="false" outlineLevel="0" collapsed="false">
      <c r="A1402" s="0" t="s">
        <v>649</v>
      </c>
      <c r="B1402" s="0" t="s">
        <v>86</v>
      </c>
      <c r="C1402" s="38" t="n">
        <f aca="false">Sens!$C$1346</f>
        <v>38.1898211704631</v>
      </c>
      <c r="D1402" s="38" t="n">
        <f aca="false">Sens!$D$1346</f>
        <v>40.2147492622706</v>
      </c>
      <c r="E1402" s="38" t="n">
        <f aca="false">Sens!$E$1346</f>
        <v>27.5985138285251</v>
      </c>
      <c r="F1402" s="38" t="n">
        <f aca="false">Sens!$F$1346</f>
        <v>25.5484769754606</v>
      </c>
      <c r="G1402" s="38" t="n">
        <f aca="false">Sens!$G$1346</f>
        <v>53.1469908039857</v>
      </c>
      <c r="H1402" s="38" t="n">
        <f aca="false">Sens!$H$1346</f>
        <v>57.3189525076539</v>
      </c>
      <c r="I1402" s="38" t="n">
        <f aca="false">Sens!$I$1346</f>
        <v>63.6385627021087</v>
      </c>
      <c r="J1402" s="38" t="n">
        <f aca="false">Sens!$J$1346</f>
        <v>69.6922896066105</v>
      </c>
      <c r="K1402" s="38" t="n">
        <f aca="false">Sens!$K$1346</f>
        <v>75.2676727751394</v>
      </c>
      <c r="L1402" s="38" t="n">
        <f aca="false">Sens!$L$1346</f>
        <v>81.2890865971505</v>
      </c>
      <c r="M1402" s="38" t="n">
        <f aca="false">Sens!$M$1346</f>
        <v>87.7922135249226</v>
      </c>
      <c r="N1402" s="38" t="n">
        <f aca="false">Sens!$N$1346</f>
        <v>20.0277839996292</v>
      </c>
      <c r="O1402" s="38" t="n">
        <f aca="false">Sens!$O$1346</f>
        <v>20.1869652626414</v>
      </c>
    </row>
    <row r="1403" customFormat="false" ht="17.15" hidden="false" customHeight="false" outlineLevel="0" collapsed="false">
      <c r="A1403" s="1" t="s">
        <v>732</v>
      </c>
      <c r="B1403" s="8" t="s">
        <v>86</v>
      </c>
      <c r="C1403" s="38" t="n">
        <f aca="false">Q!$D$24</f>
        <v>39.834</v>
      </c>
      <c r="D1403" s="38" t="n">
        <f aca="false">Q!$E$24</f>
        <v>45.606</v>
      </c>
      <c r="E1403" s="38" t="n">
        <f aca="false">Q!$P$24</f>
        <v>30.782</v>
      </c>
      <c r="F1403" s="38" t="n">
        <f aca="false">Sens!$F$1401+Sens!$F$1402</f>
        <v>32.8540522970516</v>
      </c>
      <c r="G1403" s="38" t="n">
        <f aca="false">Sens!$G$1401+Sens!$G$1402</f>
        <v>63.6360522970517</v>
      </c>
      <c r="H1403" s="38" t="n">
        <f aca="false">Sens!$H$1401+Sens!$H$1402</f>
        <v>76.3767235196764</v>
      </c>
      <c r="I1403" s="38" t="n">
        <f aca="false">Sens!$I$1401+Sens!$I$1402</f>
        <v>90.8400553083972</v>
      </c>
      <c r="J1403" s="38" t="n">
        <f aca="false">Sens!$J$1401+Sens!$J$1402</f>
        <v>104.556406569737</v>
      </c>
      <c r="K1403" s="38" t="n">
        <f aca="false">Sens!$K$1401+Sens!$K$1402</f>
        <v>113.606717403064</v>
      </c>
      <c r="L1403" s="38" t="n">
        <f aca="false">Sens!$L$1401+Sens!$L$1402</f>
        <v>121.136035569894</v>
      </c>
      <c r="M1403" s="38" t="n">
        <f aca="false">Sens!$M$1401+Sens!$M$1402</f>
        <v>125.867769901338</v>
      </c>
      <c r="N1403" s="38" t="n">
        <f aca="false">Q!$N$24</f>
        <v>21.707</v>
      </c>
      <c r="O1403" s="38" t="n">
        <f aca="false">Q!$O$24</f>
        <v>23.899</v>
      </c>
    </row>
    <row r="1404" customFormat="false" ht="17.15" hidden="false" customHeight="false" outlineLevel="0" collapsed="false">
      <c r="A1404" s="5" t="s">
        <v>733</v>
      </c>
      <c r="B1404" s="0" t="s">
        <v>86</v>
      </c>
      <c r="C1404" s="38" t="n">
        <f aca="false">Q!$D$26</f>
        <v>0</v>
      </c>
      <c r="D1404" s="38" t="n">
        <f aca="false">Q!$E$26</f>
        <v>0</v>
      </c>
      <c r="E1404" s="38" t="n">
        <f aca="false">Q!$P$26</f>
        <v>0</v>
      </c>
      <c r="F1404" s="39" t="n">
        <v>0</v>
      </c>
      <c r="G1404" s="38" t="n">
        <f aca="false">Sens!$E$1404+Sens!$F$1404</f>
        <v>0</v>
      </c>
      <c r="H1404" s="39" t="n">
        <v>0</v>
      </c>
      <c r="I1404" s="39" t="n">
        <v>0</v>
      </c>
      <c r="J1404" s="39" t="n">
        <v>0</v>
      </c>
      <c r="K1404" s="39" t="n">
        <v>0</v>
      </c>
      <c r="L1404" s="39" t="n">
        <v>0</v>
      </c>
      <c r="M1404" s="39" t="n">
        <v>0</v>
      </c>
      <c r="N1404" s="38" t="n">
        <f aca="false">Q!$N$26</f>
        <v>0</v>
      </c>
      <c r="O1404" s="38" t="n">
        <f aca="false">Q!$O$26</f>
        <v>0</v>
      </c>
    </row>
    <row r="1405" customFormat="false" ht="15" hidden="false" customHeight="false" outlineLevel="0" collapsed="false">
      <c r="A1405" s="3" t="s">
        <v>534</v>
      </c>
      <c r="B1405" s="8" t="s">
        <v>86</v>
      </c>
      <c r="C1405" s="38" t="n">
        <f aca="false">Q!$D$25</f>
        <v>68.593</v>
      </c>
      <c r="D1405" s="38" t="n">
        <f aca="false">Q!$E$25</f>
        <v>79.975</v>
      </c>
      <c r="E1405" s="38" t="n">
        <f aca="false">Q!$P$25</f>
        <v>51.313</v>
      </c>
      <c r="F1405" s="38" t="n">
        <f aca="false">Sens!$F$1395+Sens!$F$1400+Sens!$F$1403+Sens!$F$1404</f>
        <v>55.7814940185964</v>
      </c>
      <c r="G1405" s="38" t="n">
        <f aca="false">Sens!$G$1395+Sens!$G$1400+Sens!$G$1403+Sens!$G$1404</f>
        <v>107.094494018596</v>
      </c>
      <c r="H1405" s="38" t="n">
        <f aca="false">Sens!$H$1395+Sens!$H$1400+Sens!$H$1403+Sens!$H$1404</f>
        <v>125.139806360677</v>
      </c>
      <c r="I1405" s="38" t="n">
        <f aca="false">Sens!$I$1395+Sens!$I$1400+Sens!$I$1403+Sens!$I$1404</f>
        <v>144.227089487723</v>
      </c>
      <c r="J1405" s="38" t="n">
        <f aca="false">Sens!$J$1395+Sens!$J$1400+Sens!$J$1403+Sens!$J$1404</f>
        <v>162.01682027933</v>
      </c>
      <c r="K1405" s="38" t="n">
        <f aca="false">Sens!$K$1395+Sens!$K$1400+Sens!$K$1403+Sens!$K$1404</f>
        <v>174.169793785547</v>
      </c>
      <c r="L1405" s="38" t="n">
        <f aca="false">Sens!$L$1395+Sens!$L$1400+Sens!$L$1403+Sens!$L$1404</f>
        <v>185.716356261721</v>
      </c>
      <c r="M1405" s="38" t="n">
        <f aca="false">Sens!$M$1395+Sens!$M$1400+Sens!$M$1403+Sens!$M$1404</f>
        <v>196.685719111001</v>
      </c>
      <c r="N1405" s="38" t="n">
        <f aca="false">Q!$N$25</f>
        <v>37.576</v>
      </c>
      <c r="O1405" s="38" t="n">
        <f aca="false">Q!$O$25</f>
        <v>42.399</v>
      </c>
    </row>
    <row r="1406" customFormat="false" ht="17.15" hidden="false" customHeight="false" outlineLevel="0" collapsed="false">
      <c r="A1406" s="24" t="s">
        <v>764</v>
      </c>
      <c r="B1406" s="25" t="s">
        <v>86</v>
      </c>
      <c r="C1406" s="41" t="n">
        <f aca="false">Sens!$C$1395+Sens!$C$1400+Sens!$C$1403+Sens!$C$1404-Sens!$C$1405</f>
        <v>0</v>
      </c>
      <c r="D1406" s="41" t="n">
        <f aca="false">Sens!$D$1395+Sens!$D$1400+Sens!$D$1403+Sens!$D$1404-Sens!$D$1405</f>
        <v>0</v>
      </c>
      <c r="E1406" s="41" t="n">
        <f aca="false">Sens!$E$1395+Sens!$E$1400+Sens!$E$1403+Sens!$E$1404-Sens!$E$1405</f>
        <v>0</v>
      </c>
      <c r="F1406" s="41" t="n">
        <f aca="false">Sens!$F$1395+Sens!$F$1400+Sens!$F$1403+Sens!$F$1404-Sens!$F$1405</f>
        <v>0</v>
      </c>
      <c r="G1406" s="41" t="n">
        <f aca="false">Sens!$G$1395+Sens!$G$1400+Sens!$G$1403+Sens!$G$1404-Sens!$G$1405</f>
        <v>0</v>
      </c>
      <c r="H1406" s="41" t="n">
        <f aca="false">Sens!$H$1395+Sens!$H$1400+Sens!$H$1403+Sens!$H$1404-Sens!$H$1405</f>
        <v>0</v>
      </c>
      <c r="I1406" s="41" t="n">
        <f aca="false">Sens!$I$1395+Sens!$I$1400+Sens!$I$1403+Sens!$I$1404-Sens!$I$1405</f>
        <v>0</v>
      </c>
      <c r="J1406" s="41" t="n">
        <f aca="false">Sens!$J$1395+Sens!$J$1400+Sens!$J$1403+Sens!$J$1404-Sens!$J$1405</f>
        <v>0</v>
      </c>
      <c r="K1406" s="41" t="n">
        <f aca="false">Sens!$K$1395+Sens!$K$1400+Sens!$K$1403+Sens!$K$1404-Sens!$K$1405</f>
        <v>0</v>
      </c>
      <c r="L1406" s="41" t="n">
        <f aca="false">Sens!$L$1395+Sens!$L$1400+Sens!$L$1403+Sens!$L$1404-Sens!$L$1405</f>
        <v>0</v>
      </c>
      <c r="M1406" s="41" t="n">
        <f aca="false">Sens!$M$1395+Sens!$M$1400+Sens!$M$1403+Sens!$M$1404-Sens!$M$1405</f>
        <v>0</v>
      </c>
      <c r="N1406" s="41" t="n">
        <f aca="false">Sens!$N$1395+Sens!$N$1400+Sens!$N$1403+Sens!$N$1404-Sens!$N$1405</f>
        <v>0</v>
      </c>
      <c r="O1406" s="41" t="n">
        <f aca="false">Sens!$O$1395+Sens!$O$1400+Sens!$O$1403+Sens!$O$1404-Sens!$O$1405</f>
        <v>0</v>
      </c>
    </row>
    <row r="1407" customFormat="false" ht="17.15" hidden="false" customHeight="false" outlineLevel="0" collapsed="false">
      <c r="A1407" s="5" t="s">
        <v>735</v>
      </c>
      <c r="B1407" s="0" t="s">
        <v>86</v>
      </c>
      <c r="C1407" s="38" t="n">
        <f aca="false">Sens!$C$1343</f>
        <v>0</v>
      </c>
      <c r="D1407" s="38" t="n">
        <f aca="false">Sens!$D$1343</f>
        <v>0</v>
      </c>
      <c r="E1407" s="38" t="n">
        <f aca="false">Sens!$E$1343</f>
        <v>0</v>
      </c>
      <c r="F1407" s="38" t="n">
        <f aca="false">Sens!$F$1343</f>
        <v>3.46212295437561</v>
      </c>
      <c r="G1407" s="38" t="n">
        <f aca="false">Sens!$G$1343</f>
        <v>3.46212295437561</v>
      </c>
      <c r="H1407" s="38" t="n">
        <f aca="false">Sens!$H$1343</f>
        <v>12.6400809568559</v>
      </c>
      <c r="I1407" s="38" t="n">
        <f aca="false">Sens!$I$1343</f>
        <v>20.4538284576056</v>
      </c>
      <c r="J1407" s="38" t="n">
        <f aca="false">Sens!$J$1343</f>
        <v>28.3023369995481</v>
      </c>
      <c r="K1407" s="38" t="n">
        <f aca="false">Sens!$K$1343</f>
        <v>35.0055998557771</v>
      </c>
      <c r="L1407" s="38" t="n">
        <f aca="false">Sens!$L$1343</f>
        <v>39.4286349957492</v>
      </c>
      <c r="M1407" s="38" t="n">
        <f aca="false">Sens!$M$1343</f>
        <v>41.5658188984426</v>
      </c>
      <c r="N1407" s="38" t="n">
        <f aca="false">Sens!$N$1343</f>
        <v>0</v>
      </c>
      <c r="O1407" s="38" t="n">
        <f aca="false">Sens!$O$1343</f>
        <v>0</v>
      </c>
      <c r="P1407" s="5" t="s">
        <v>736</v>
      </c>
    </row>
    <row r="1408" customFormat="false" ht="17.15" hidden="false" customHeight="false" outlineLevel="0" collapsed="false">
      <c r="A1408" s="5" t="s">
        <v>737</v>
      </c>
      <c r="B1408" s="0" t="s">
        <v>86</v>
      </c>
      <c r="C1408" s="38" t="n">
        <f aca="false">Sens!$C$1405+Sens!$C$1407</f>
        <v>68.593</v>
      </c>
      <c r="D1408" s="38" t="n">
        <f aca="false">Sens!$D$1405+Sens!$D$1407</f>
        <v>79.975</v>
      </c>
      <c r="E1408" s="38" t="n">
        <f aca="false">Sens!$E$1405+Sens!$E$1407</f>
        <v>51.313</v>
      </c>
      <c r="F1408" s="38" t="n">
        <f aca="false">Sens!$F$1405+Sens!$F$1407</f>
        <v>59.243616972972</v>
      </c>
      <c r="G1408" s="38" t="n">
        <f aca="false">Sens!$G$1405+Sens!$G$1407</f>
        <v>110.556616972972</v>
      </c>
      <c r="H1408" s="38" t="n">
        <f aca="false">Sens!$H$1405+Sens!$H$1407</f>
        <v>137.779887317533</v>
      </c>
      <c r="I1408" s="38" t="n">
        <f aca="false">Sens!$I$1405+Sens!$I$1407</f>
        <v>164.680917945328</v>
      </c>
      <c r="J1408" s="38" t="n">
        <f aca="false">Sens!$J$1405+Sens!$J$1407</f>
        <v>190.319157278878</v>
      </c>
      <c r="K1408" s="38" t="n">
        <f aca="false">Sens!$K$1405+Sens!$K$1407</f>
        <v>209.175393641324</v>
      </c>
      <c r="L1408" s="38" t="n">
        <f aca="false">Sens!$L$1405+Sens!$L$1407</f>
        <v>225.14499125747</v>
      </c>
      <c r="M1408" s="38" t="n">
        <f aca="false">Sens!$M$1405+Sens!$M$1407</f>
        <v>238.251538009443</v>
      </c>
      <c r="N1408" s="38" t="n">
        <f aca="false">Sens!$N$1405+Sens!$N$1407</f>
        <v>37.576</v>
      </c>
      <c r="O1408" s="38" t="n">
        <f aca="false">Sens!$O$1405+Sens!$O$1407</f>
        <v>42.399</v>
      </c>
    </row>
    <row r="1409" customFormat="false" ht="17.15" hidden="false" customHeight="false" outlineLevel="0" collapsed="false">
      <c r="A1409" s="0" t="s">
        <v>738</v>
      </c>
      <c r="B1409" s="0" t="s">
        <v>52</v>
      </c>
      <c r="C1409" s="13" t="n">
        <f aca="false">Sens!$C$1395/Sens!$C$1380</f>
        <v>0.0644314665661928</v>
      </c>
      <c r="D1409" s="13" t="n">
        <f aca="false">Sens!$D$1395/Sens!$D$1380</f>
        <v>0.0694784250712518</v>
      </c>
      <c r="E1409" s="13" t="n">
        <f aca="false">Sens!$E$1395/Sens!$E$1380</f>
        <v>0.0789306463326071</v>
      </c>
      <c r="F1409" s="13" t="n">
        <f aca="false">Sens!$F$1395/Sens!$F$1380</f>
        <v>0.0803576336668873</v>
      </c>
      <c r="G1409" s="13" t="n">
        <f aca="false">Sens!$G$1395/Sens!$G$1380</f>
        <v>0.0796900737876961</v>
      </c>
      <c r="H1409" s="13" t="n">
        <f aca="false">Sens!$H$1395/Sens!$H$1380</f>
        <v>0.0811487872739253</v>
      </c>
      <c r="I1409" s="13" t="n">
        <f aca="false">Sens!$I$1395/Sens!$I$1380</f>
        <v>0.0817916457820469</v>
      </c>
      <c r="J1409" s="13" t="n">
        <f aca="false">Sens!$J$1395/Sens!$J$1380</f>
        <v>0.0821787614108907</v>
      </c>
      <c r="K1409" s="13" t="n">
        <f aca="false">Sens!$K$1395/Sens!$K$1380</f>
        <v>0.0821081610560969</v>
      </c>
      <c r="L1409" s="13" t="n">
        <f aca="false">Sens!$L$1395/Sens!$L$1380</f>
        <v>0.0820948082071669</v>
      </c>
      <c r="M1409" s="13" t="n">
        <f aca="false">Sens!$M$1395/Sens!$M$1380</f>
        <v>0.0839597175397943</v>
      </c>
      <c r="N1409" s="13" t="n">
        <f aca="false">Sens!$N$1395/Sens!$N$1380</f>
        <v>0.069228576611127</v>
      </c>
      <c r="O1409" s="13" t="n">
        <f aca="false">Sens!$O$1395/Sens!$O$1380</f>
        <v>0.069685022498393</v>
      </c>
    </row>
    <row r="1410" customFormat="false" ht="17.15" hidden="false" customHeight="false" outlineLevel="0" collapsed="false">
      <c r="A1410" s="0" t="s">
        <v>739</v>
      </c>
      <c r="B1410" s="0" t="s">
        <v>52</v>
      </c>
      <c r="C1410" s="13" t="n">
        <f aca="false">Sens!$C$1400/Sens!$C$1381</f>
        <v>0.026534925055631</v>
      </c>
      <c r="D1410" s="13" t="n">
        <f aca="false">Sens!$D$1400/Sens!$D$1381</f>
        <v>0.0293401855535103</v>
      </c>
      <c r="E1410" s="13" t="n">
        <f aca="false">Sens!$E$1400/Sens!$E$1381</f>
        <v>0.03831141902276</v>
      </c>
      <c r="F1410" s="13" t="n">
        <f aca="false">Sens!$F$1400/Sens!$F$1381</f>
        <v>0.0283168986755215</v>
      </c>
      <c r="G1410" s="13" t="n">
        <f aca="false">Sens!$G$1400/Sens!$G$1381</f>
        <v>0.03285922612893</v>
      </c>
      <c r="H1410" s="13" t="n">
        <f aca="false">Sens!$H$1400/Sens!$H$1381</f>
        <v>0.0323126740197973</v>
      </c>
      <c r="I1410" s="13" t="n">
        <f aca="false">Sens!$I$1400/Sens!$I$1381</f>
        <v>0.0309270918951367</v>
      </c>
      <c r="J1410" s="13" t="n">
        <f aca="false">Sens!$J$1400/Sens!$J$1381</f>
        <v>0.0292227909378715</v>
      </c>
      <c r="K1410" s="13" t="n">
        <f aca="false">Sens!$K$1400/Sens!$K$1381</f>
        <v>0.0269561361053882</v>
      </c>
      <c r="L1410" s="13" t="n">
        <f aca="false">Sens!$L$1400/Sens!$L$1381</f>
        <v>0.0272889168918768</v>
      </c>
      <c r="M1410" s="13" t="n">
        <f aca="false">Sens!$M$1400/Sens!$M$1381</f>
        <v>0.0295079665992853</v>
      </c>
      <c r="N1410" s="13" t="n">
        <f aca="false">Sens!$N$1400/Sens!$N$1381</f>
        <v>0.0357315650169337</v>
      </c>
      <c r="O1410" s="13" t="n">
        <f aca="false">Sens!$O$1400/Sens!$O$1381</f>
        <v>0.0244378956559703</v>
      </c>
    </row>
    <row r="1411" customFormat="false" ht="17.15" hidden="false" customHeight="false" outlineLevel="0" collapsed="false">
      <c r="A1411" s="14" t="s">
        <v>740</v>
      </c>
      <c r="B1411" s="14" t="s">
        <v>52</v>
      </c>
      <c r="C1411" s="17" t="n">
        <f aca="false">Sens!$C$1403/Sens!$C$1382</f>
        <v>0.370355907620217</v>
      </c>
      <c r="D1411" s="17" t="n">
        <f aca="false">Sens!$D$1403/Sens!$D$1382</f>
        <v>0.35429015342785</v>
      </c>
      <c r="E1411" s="17" t="n">
        <f aca="false">Sens!$E$1403/Sens!$E$1382</f>
        <v>0.385647527531039</v>
      </c>
      <c r="F1411" s="17" t="n">
        <f aca="false">Sens!$F$1403/Sens!$F$1382</f>
        <v>0.384229621191129</v>
      </c>
      <c r="G1411" s="17" t="n">
        <f aca="false">Sens!$G$1403/Sens!$G$1382</f>
        <v>0.384914185912065</v>
      </c>
      <c r="H1411" s="17" t="n">
        <f aca="false">Sens!$H$1403/Sens!$H$1382</f>
        <v>0.361683006667259</v>
      </c>
      <c r="I1411" s="17" t="n">
        <f aca="false">Sens!$I$1403/Sens!$I$1382</f>
        <v>0.349483787382116</v>
      </c>
      <c r="J1411" s="17" t="n">
        <f aca="false">Sens!$J$1403/Sens!$J$1382</f>
        <v>0.339387930130896</v>
      </c>
      <c r="K1411" s="17" t="n">
        <f aca="false">Sens!$K$1403/Sens!$K$1382</f>
        <v>0.32428240358481</v>
      </c>
      <c r="L1411" s="17" t="n">
        <f aca="false">Sens!$L$1403/Sens!$L$1382</f>
        <v>0.314804739769923</v>
      </c>
      <c r="M1411" s="17" t="n">
        <f aca="false">Sens!$M$1403/Sens!$M$1382</f>
        <v>0.305841697416333</v>
      </c>
      <c r="N1411" s="17" t="n">
        <f aca="false">Sens!$N$1403/Sens!$N$1382</f>
        <v>0.360941137346192</v>
      </c>
      <c r="O1411" s="17" t="n">
        <f aca="false">Sens!$O$1403/Sens!$O$1382</f>
        <v>0.348458117664212</v>
      </c>
    </row>
    <row r="1412" customFormat="false" ht="17.15" hidden="false" customHeight="false" outlineLevel="0" collapsed="false">
      <c r="A1412" s="0" t="s">
        <v>741</v>
      </c>
      <c r="B1412" s="0" t="s">
        <v>52</v>
      </c>
      <c r="C1412" s="13" t="n">
        <f aca="false">Sens!$C$1401/Sens!$C$1383</f>
        <v>0.708390794789371</v>
      </c>
      <c r="D1412" s="13" t="n">
        <f aca="false">Sens!$D$1401/Sens!$D$1383</f>
        <v>0.619415573115729</v>
      </c>
      <c r="E1412" s="13" t="n">
        <f aca="false">Sens!$E$1401/Sens!$E$1383</f>
        <v>0.374072166056273</v>
      </c>
      <c r="F1412" s="13" t="n">
        <f aca="false">Sens!$F$1401/Sens!$F$1383</f>
        <v>0.531817466903928</v>
      </c>
      <c r="G1412" s="13" t="n">
        <f aca="false">Sens!$G$1401/Sens!$G$1383</f>
        <v>0.471474632837476</v>
      </c>
      <c r="H1412" s="13" t="n">
        <f aca="false">Sens!$H$1401/Sens!$H$1383</f>
        <v>0.379990650081832</v>
      </c>
      <c r="I1412" s="13" t="n">
        <f aca="false">Sens!$I$1401/Sens!$I$1383</f>
        <v>0.335172815765929</v>
      </c>
      <c r="J1412" s="13" t="n">
        <f aca="false">Sens!$J$1401/Sens!$J$1383</f>
        <v>0.310460986971973</v>
      </c>
      <c r="K1412" s="13" t="n">
        <f aca="false">Sens!$K$1401/Sens!$K$1383</f>
        <v>0.276028816995104</v>
      </c>
      <c r="L1412" s="13" t="n">
        <f aca="false">Sens!$L$1401/Sens!$L$1383</f>
        <v>0.254702960651435</v>
      </c>
      <c r="M1412" s="13" t="n">
        <f aca="false">Sens!$M$1401/Sens!$M$1383</f>
        <v>0.230866319199633</v>
      </c>
      <c r="N1412" s="13" t="n">
        <f aca="false">Sens!$N$1401/Sens!$N$1383</f>
        <v>0.551227795793364</v>
      </c>
      <c r="O1412" s="13" t="n">
        <f aca="false">Sens!$O$1401/Sens!$O$1383</f>
        <v>0.656132068597002</v>
      </c>
    </row>
    <row r="1413" customFormat="false" ht="15" hidden="false" customHeight="false" outlineLevel="0" collapsed="false">
      <c r="A1413" s="5" t="s">
        <v>742</v>
      </c>
      <c r="B1413" s="0" t="s">
        <v>52</v>
      </c>
      <c r="C1413" s="13" t="n">
        <f aca="false">Sens!$C$1405/Sens!$C$1385</f>
        <v>0.107519448742004</v>
      </c>
      <c r="D1413" s="13" t="n">
        <f aca="false">Sens!$D$1405/Sens!$D$1385</f>
        <v>0.111552967957552</v>
      </c>
      <c r="E1413" s="13" t="n">
        <f aca="false">Sens!$E$1405/Sens!$E$1385</f>
        <v>0.13428328426562</v>
      </c>
      <c r="F1413" s="13" t="n">
        <f aca="false">Sens!$F$1405/Sens!$F$1385</f>
        <v>0.128364771263364</v>
      </c>
      <c r="G1413" s="13" t="n">
        <f aca="false">Sens!$G$1405/Sens!$G$1385</f>
        <v>0.13113404816157</v>
      </c>
      <c r="H1413" s="13" t="n">
        <f aca="false">Sens!$H$1405/Sens!$H$1385</f>
        <v>0.134231690642996</v>
      </c>
      <c r="I1413" s="13" t="n">
        <f aca="false">Sens!$I$1405/Sens!$I$1385</f>
        <v>0.137561443810207</v>
      </c>
      <c r="J1413" s="13" t="n">
        <f aca="false">Sens!$J$1405/Sens!$J$1385</f>
        <v>0.139768252155805</v>
      </c>
      <c r="K1413" s="13" t="n">
        <f aca="false">Sens!$K$1405/Sens!$K$1385</f>
        <v>0.138614031120816</v>
      </c>
      <c r="L1413" s="13" t="n">
        <f aca="false">Sens!$L$1405/Sens!$L$1385</f>
        <v>0.13757883298997</v>
      </c>
      <c r="M1413" s="13" t="n">
        <f aca="false">Sens!$M$1405/Sens!$M$1385</f>
        <v>0.136616393450884</v>
      </c>
      <c r="N1413" s="13" t="n">
        <f aca="false">Sens!$N$1405/Sens!$N$1385</f>
        <v>0.116201614873411</v>
      </c>
      <c r="O1413" s="13" t="n">
        <f aca="false">Sens!$O$1405/Sens!$O$1385</f>
        <v>0.107733353660861</v>
      </c>
    </row>
    <row r="1414" customFormat="false" ht="17.15" hidden="false" customHeight="false" outlineLevel="0" collapsed="false">
      <c r="A1414" s="1" t="s">
        <v>743</v>
      </c>
    </row>
    <row r="1415" customFormat="false" ht="17.15" hidden="false" customHeight="false" outlineLevel="0" collapsed="false">
      <c r="A1415" s="5" t="s">
        <v>744</v>
      </c>
      <c r="B1415" s="0" t="s">
        <v>52</v>
      </c>
      <c r="D1415" s="28" t="n">
        <f aca="false">(Q!$E$29+Q!$E$30-(1-ext_sh)*Sens!$D$1337)/Sens!$D$1291</f>
        <v>0.0341105596409988</v>
      </c>
    </row>
    <row r="1416" customFormat="false" ht="17.15" hidden="false" customHeight="false" outlineLevel="0" collapsed="false">
      <c r="A1416" s="0" t="s">
        <v>538</v>
      </c>
      <c r="B1416" s="0" t="s">
        <v>86</v>
      </c>
      <c r="C1416" s="38" t="n">
        <f aca="false">Q!$D$29</f>
        <v>14.285</v>
      </c>
      <c r="D1416" s="38" t="n">
        <f aca="false">Q!$E$29</f>
        <v>15.503</v>
      </c>
      <c r="E1416" s="38" t="n">
        <f aca="false">Q!$P$29</f>
        <v>8.78</v>
      </c>
      <c r="F1416" s="38" t="n">
        <f aca="false">(Sens!$D$1415*Sens!$F$1291+(1-ext_sh)*Sens!$F$1337)*Sens!$F$1292</f>
        <v>9.16735846116642</v>
      </c>
      <c r="G1416" s="38" t="n">
        <f aca="false">Sens!$E$1416+Sens!$F$1416</f>
        <v>17.9473584611664</v>
      </c>
      <c r="H1416" s="38" t="n">
        <f aca="false">(Sens!$D$1415*Sens!$H$1291+(1-ext_sh)*Sens!$H$1337)*Sens!$H$1292</f>
        <v>21.4895445938211</v>
      </c>
      <c r="I1416" s="38" t="n">
        <f aca="false">(Sens!$D$1415*Sens!$I$1291+(1-ext_sh)*Sens!$I$1337)*Sens!$I$1292</f>
        <v>26.159437578773</v>
      </c>
      <c r="J1416" s="38" t="n">
        <f aca="false">(Sens!$D$1415*Sens!$J$1291+(1-ext_sh)*Sens!$J$1337)*Sens!$J$1292</f>
        <v>30.8194410621145</v>
      </c>
      <c r="K1416" s="38" t="n">
        <f aca="false">(Sens!$D$1415*Sens!$K$1291+(1-ext_sh)*Sens!$K$1337)*Sens!$K$1292</f>
        <v>35.393917595838</v>
      </c>
      <c r="L1416" s="38" t="n">
        <f aca="false">(Sens!$D$1415*Sens!$L$1291+(1-ext_sh)*Sens!$L$1337)*Sens!$L$1292</f>
        <v>39.1111130035422</v>
      </c>
      <c r="M1416" s="38" t="n">
        <f aca="false">(Sens!$D$1415*Sens!$M$1291+(1-ext_sh)*Sens!$M$1337)*Sens!$M$1292</f>
        <v>42.2116807836928</v>
      </c>
      <c r="N1416" s="38" t="n">
        <f aca="false">Q!$N$29</f>
        <v>7.272</v>
      </c>
      <c r="O1416" s="38" t="n">
        <f aca="false">Q!$O$29</f>
        <v>8.231</v>
      </c>
    </row>
    <row r="1417" customFormat="false" ht="17.15" hidden="false" customHeight="false" outlineLevel="0" collapsed="false">
      <c r="A1417" s="0" t="s">
        <v>540</v>
      </c>
      <c r="B1417" s="0" t="s">
        <v>86</v>
      </c>
      <c r="C1417" s="38" t="n">
        <f aca="false">Q!$D$30</f>
        <v>4.462</v>
      </c>
      <c r="D1417" s="38" t="n">
        <f aca="false">Q!$E$30</f>
        <v>4.907</v>
      </c>
      <c r="E1417" s="38" t="n">
        <f aca="false">Q!$P$30</f>
        <v>2.57</v>
      </c>
      <c r="F1417" s="38" t="n">
        <f aca="false">(Sens!$D$1415*Sens!$F$1291+(1-ext_sh)*Sens!$F$1337)*(1-Sens!$F$1292)</f>
        <v>3.59937168293151</v>
      </c>
      <c r="G1417" s="38" t="n">
        <f aca="false">Sens!$E$1417+Sens!$F$1417</f>
        <v>6.16937168293151</v>
      </c>
      <c r="H1417" s="38" t="n">
        <f aca="false">(Sens!$D$1415*Sens!$H$1291+(1-ext_sh)*Sens!$H$1337)*(1-Sens!$H$1292)</f>
        <v>8.23126556958299</v>
      </c>
      <c r="I1417" s="38" t="n">
        <f aca="false">(Sens!$D$1415*Sens!$I$1291+(1-ext_sh)*Sens!$I$1337)*(1-Sens!$I$1292)</f>
        <v>10.0200019093807</v>
      </c>
      <c r="J1417" s="38" t="n">
        <f aca="false">(Sens!$D$1415*Sens!$J$1291+(1-ext_sh)*Sens!$J$1337)*(1-Sens!$J$1292)</f>
        <v>11.8049502157117</v>
      </c>
      <c r="K1417" s="38" t="n">
        <f aca="false">(Sens!$D$1415*Sens!$K$1291+(1-ext_sh)*Sens!$K$1337)*(1-Sens!$K$1292)</f>
        <v>13.5571386358298</v>
      </c>
      <c r="L1417" s="38" t="n">
        <f aca="false">(Sens!$D$1415*Sens!$L$1291+(1-ext_sh)*Sens!$L$1337)*(1-Sens!$L$1292)</f>
        <v>14.9809576675111</v>
      </c>
      <c r="M1417" s="38" t="n">
        <f aca="false">(Sens!$D$1415*Sens!$M$1291+(1-ext_sh)*Sens!$M$1337)*(1-Sens!$M$1292)</f>
        <v>16.1685862235044</v>
      </c>
      <c r="N1417" s="38" t="n">
        <f aca="false">Q!$N$30</f>
        <v>2.316</v>
      </c>
      <c r="O1417" s="38" t="n">
        <f aca="false">Q!$O$30</f>
        <v>2.591</v>
      </c>
    </row>
    <row r="1418" customFormat="false" ht="17.15" hidden="false" customHeight="false" outlineLevel="0" collapsed="false">
      <c r="A1418" s="0" t="s">
        <v>541</v>
      </c>
      <c r="B1418" s="0" t="s">
        <v>86</v>
      </c>
      <c r="C1418" s="38" t="n">
        <f aca="false">Sens!$C$1349</f>
        <v>13.32</v>
      </c>
      <c r="D1418" s="38" t="n">
        <f aca="false">Sens!$D$1349</f>
        <v>21.45</v>
      </c>
      <c r="E1418" s="38" t="n">
        <f aca="false">Sens!$E$1349</f>
        <v>15.353</v>
      </c>
      <c r="F1418" s="38" t="n">
        <f aca="false">Sens!$F$1349</f>
        <v>15.4404120185306</v>
      </c>
      <c r="G1418" s="38" t="n">
        <f aca="false">Sens!$G$1349</f>
        <v>30.7934120185306</v>
      </c>
      <c r="H1418" s="38" t="n">
        <f aca="false">Sens!$H$1349</f>
        <v>47.4140541797428</v>
      </c>
      <c r="I1418" s="38" t="n">
        <f aca="false">Sens!$I$1349</f>
        <v>67.015829233059</v>
      </c>
      <c r="J1418" s="38" t="n">
        <f aca="false">Sens!$J$1349</f>
        <v>87.1002471428693</v>
      </c>
      <c r="K1418" s="38" t="n">
        <f aca="false">Sens!$K$1349</f>
        <v>107.511684438952</v>
      </c>
      <c r="L1418" s="38" t="n">
        <f aca="false">Sens!$L$1349</f>
        <v>122.864878729311</v>
      </c>
      <c r="M1418" s="38" t="n">
        <f aca="false">Sens!$M$1349</f>
        <v>134.468410602159</v>
      </c>
      <c r="N1418" s="38" t="n">
        <f aca="false">Sens!$N$1349</f>
        <v>9.234</v>
      </c>
      <c r="O1418" s="38" t="n">
        <f aca="false">Sens!$O$1349</f>
        <v>12.216</v>
      </c>
    </row>
    <row r="1419" customFormat="false" ht="17.15" hidden="false" customHeight="false" outlineLevel="0" collapsed="false">
      <c r="A1419" s="5" t="s">
        <v>745</v>
      </c>
      <c r="B1419" s="0" t="s">
        <v>86</v>
      </c>
      <c r="C1419" s="38" t="n">
        <f aca="false">Sens!$C$1416+Sens!$C$1417+Sens!$C$1418</f>
        <v>32.067</v>
      </c>
      <c r="D1419" s="38" t="n">
        <f aca="false">Sens!$D$1416+Sens!$D$1417+Sens!$D$1418</f>
        <v>41.86</v>
      </c>
      <c r="E1419" s="38" t="n">
        <f aca="false">Sens!$E$1416+Sens!$E$1417+Sens!$E$1418</f>
        <v>26.703</v>
      </c>
      <c r="F1419" s="38" t="n">
        <f aca="false">Sens!$F$1416+Sens!$F$1417+Sens!$F$1418</f>
        <v>28.2071421626285</v>
      </c>
      <c r="G1419" s="38" t="n">
        <f aca="false">Sens!$G$1416+Sens!$G$1417+Sens!$G$1418</f>
        <v>54.9101421626285</v>
      </c>
      <c r="H1419" s="38" t="n">
        <f aca="false">Sens!$H$1416+Sens!$H$1417+Sens!$H$1418</f>
        <v>77.1348643431468</v>
      </c>
      <c r="I1419" s="38" t="n">
        <f aca="false">Sens!$I$1416+Sens!$I$1417+Sens!$I$1418</f>
        <v>103.195268721213</v>
      </c>
      <c r="J1419" s="38" t="n">
        <f aca="false">Sens!$J$1416+Sens!$J$1417+Sens!$J$1418</f>
        <v>129.724638420696</v>
      </c>
      <c r="K1419" s="38" t="n">
        <f aca="false">Sens!$K$1416+Sens!$K$1417+Sens!$K$1418</f>
        <v>156.462740670619</v>
      </c>
      <c r="L1419" s="38" t="n">
        <f aca="false">Sens!$L$1416+Sens!$L$1417+Sens!$L$1418</f>
        <v>176.956949400365</v>
      </c>
      <c r="M1419" s="38" t="n">
        <f aca="false">Sens!$M$1416+Sens!$M$1417+Sens!$M$1418</f>
        <v>192.848677609357</v>
      </c>
      <c r="N1419" s="38" t="n">
        <f aca="false">Sens!$N$1416+Sens!$N$1417+Sens!$N$1418</f>
        <v>18.822</v>
      </c>
      <c r="O1419" s="38" t="n">
        <f aca="false">Sens!$O$1416+Sens!$O$1417+Sens!$O$1418</f>
        <v>23.038</v>
      </c>
    </row>
    <row r="1420" customFormat="false" ht="17.15" hidden="false" customHeight="false" outlineLevel="0" collapsed="false">
      <c r="A1420" s="0" t="s">
        <v>746</v>
      </c>
      <c r="B1420" s="0" t="s">
        <v>86</v>
      </c>
      <c r="C1420" s="38" t="n">
        <f aca="false">Sens!$C$1391+Sens!$C$1396</f>
        <v>28.107</v>
      </c>
      <c r="D1420" s="38" t="n">
        <f aca="false">Sens!$D$1391+Sens!$D$1396</f>
        <v>34.3175</v>
      </c>
      <c r="E1420" s="38" t="n">
        <f aca="false">Sens!$E$1391+Sens!$E$1396</f>
        <v>18.526</v>
      </c>
      <c r="F1420" s="38" t="n">
        <f aca="false">Sens!$F$1391+Sens!$F$1396</f>
        <v>23.0786109972074</v>
      </c>
      <c r="G1420" s="38" t="n">
        <f aca="false">Sens!$G$1391+Sens!$G$1396</f>
        <v>41.6046109972074</v>
      </c>
      <c r="H1420" s="38" t="n">
        <f aca="false">Sens!$H$1391+Sens!$H$1396</f>
        <v>49.9484611939488</v>
      </c>
      <c r="I1420" s="38" t="n">
        <f aca="false">Sens!$I$1391+Sens!$I$1396</f>
        <v>58.2915555477481</v>
      </c>
      <c r="J1420" s="38" t="n">
        <f aca="false">Sens!$J$1391+Sens!$J$1396</f>
        <v>66.0744709709759</v>
      </c>
      <c r="K1420" s="38" t="n">
        <f aca="false">Sens!$K$1391+Sens!$K$1396</f>
        <v>72.6819180680735</v>
      </c>
      <c r="L1420" s="38" t="n">
        <f aca="false">Sens!$L$1391+Sens!$L$1396</f>
        <v>79.9501098748808</v>
      </c>
      <c r="M1420" s="38" t="n">
        <f aca="false">Sens!$M$1391+Sens!$M$1396</f>
        <v>87.9451208623689</v>
      </c>
      <c r="N1420" s="38" t="n">
        <f aca="false">Sens!$N$1391+Sens!$N$1396</f>
        <v>14.8075</v>
      </c>
      <c r="O1420" s="38" t="n">
        <f aca="false">Sens!$O$1391+Sens!$O$1396</f>
        <v>19.51</v>
      </c>
    </row>
    <row r="1421" customFormat="false" ht="17.15" hidden="false" customHeight="false" outlineLevel="0" collapsed="false">
      <c r="A1421" s="0" t="s">
        <v>747</v>
      </c>
      <c r="B1421" s="0" t="s">
        <v>86</v>
      </c>
      <c r="C1421" s="38" t="n">
        <f aca="false">Sens!$C$1395+Sens!$C$1400+Sens!$C$1416+Sens!$C$1417-Sens!$C$1420</f>
        <v>19.399</v>
      </c>
      <c r="D1421" s="38" t="n">
        <f aca="false">Sens!$D$1395+Sens!$D$1400+Sens!$D$1416+Sens!$D$1417-Sens!$D$1420</f>
        <v>20.4615</v>
      </c>
      <c r="E1421" s="38" t="n">
        <f aca="false">Sens!$E$1395+Sens!$E$1400+Sens!$E$1416+Sens!$E$1417-Sens!$E$1420</f>
        <v>13.355</v>
      </c>
      <c r="F1421" s="38" t="n">
        <f aca="false">Sens!$F$1395+Sens!$F$1400+Sens!$F$1416+Sens!$F$1417-Sens!$F$1420</f>
        <v>12.6155608684353</v>
      </c>
      <c r="G1421" s="38" t="n">
        <f aca="false">Sens!$G$1395+Sens!$G$1400+Sens!$G$1416+Sens!$G$1417-Sens!$G$1420</f>
        <v>25.9705608684353</v>
      </c>
      <c r="H1421" s="38" t="n">
        <f aca="false">Sens!$H$1395+Sens!$H$1400+Sens!$H$1416+Sens!$H$1417-Sens!$H$1420</f>
        <v>28.5354318104557</v>
      </c>
      <c r="I1421" s="38" t="n">
        <f aca="false">Sens!$I$1395+Sens!$I$1400+Sens!$I$1416+Sens!$I$1417-Sens!$I$1420</f>
        <v>31.2749181197313</v>
      </c>
      <c r="J1421" s="38" t="n">
        <f aca="false">Sens!$J$1395+Sens!$J$1400+Sens!$J$1416+Sens!$J$1417-Sens!$J$1420</f>
        <v>34.0103340164441</v>
      </c>
      <c r="K1421" s="38" t="n">
        <f aca="false">Sens!$K$1395+Sens!$K$1400+Sens!$K$1416+Sens!$K$1417-Sens!$K$1420</f>
        <v>36.8322145460767</v>
      </c>
      <c r="L1421" s="38" t="n">
        <f aca="false">Sens!$L$1395+Sens!$L$1400+Sens!$L$1416+Sens!$L$1417-Sens!$L$1420</f>
        <v>38.722281487999</v>
      </c>
      <c r="M1421" s="38" t="n">
        <f aca="false">Sens!$M$1395+Sens!$M$1400+Sens!$M$1416+Sens!$M$1417-Sens!$M$1420</f>
        <v>41.2530953544912</v>
      </c>
      <c r="N1421" s="38" t="n">
        <f aca="false">Sens!$N$1395+Sens!$N$1400+Sens!$N$1416+Sens!$N$1417-Sens!$N$1420</f>
        <v>10.6495</v>
      </c>
      <c r="O1421" s="38" t="n">
        <f aca="false">Sens!$O$1395+Sens!$O$1400+Sens!$O$1416+Sens!$O$1417-Sens!$O$1420</f>
        <v>9.81200000000001</v>
      </c>
    </row>
    <row r="1422" customFormat="false" ht="17.15" hidden="false" customHeight="false" outlineLevel="0" collapsed="false">
      <c r="A1422" s="0" t="s">
        <v>748</v>
      </c>
      <c r="B1422" s="0" t="s">
        <v>86</v>
      </c>
      <c r="C1422" s="38" t="n">
        <f aca="false">Sens!$C$1402+Sens!$C$1418-ext_sh*Sens!$C$1337</f>
        <v>51.3470500115664</v>
      </c>
      <c r="D1422" s="38" t="n">
        <f aca="false">Sens!$D$1402+Sens!$D$1418-ext_sh*Sens!$D$1337</f>
        <v>60.2799375433739</v>
      </c>
      <c r="E1422" s="38" t="n">
        <f aca="false">Sens!$E$1402+Sens!$E$1418-ext_sh*Sens!$E$1337</f>
        <v>39.5095167090767</v>
      </c>
      <c r="F1422" s="38" t="n">
        <f aca="false">Sens!$F$1402+Sens!$F$1418-ext_sh*Sens!$F$1337</f>
        <v>37.5468918745429</v>
      </c>
      <c r="G1422" s="38" t="n">
        <f aca="false">Sens!$G$1402+Sens!$G$1418-ext_sh*Sens!$G$1337</f>
        <v>77.0564085836196</v>
      </c>
      <c r="H1422" s="38" t="n">
        <f aca="false">Sens!$H$1402+Sens!$H$1418-ext_sh*Sens!$H$1337</f>
        <v>84.2378398616123</v>
      </c>
      <c r="I1422" s="38" t="n">
        <f aca="false">Sens!$I$1402+Sens!$I$1418-ext_sh*Sens!$I$1337</f>
        <v>93.5253492849083</v>
      </c>
      <c r="J1422" s="38" t="n">
        <f aca="false">Sens!$J$1402+Sens!$J$1418-ext_sh*Sens!$J$1337</f>
        <v>102.422107778171</v>
      </c>
      <c r="K1422" s="38" t="n">
        <f aca="false">Sens!$K$1402+Sens!$K$1418-ext_sh*Sens!$K$1337</f>
        <v>110.615876400424</v>
      </c>
      <c r="L1422" s="38" t="n">
        <f aca="false">Sens!$L$1402+Sens!$L$1418-ext_sh*Sens!$L$1337</f>
        <v>119.465146512458</v>
      </c>
      <c r="M1422" s="38" t="n">
        <f aca="false">Sens!$M$1402+Sens!$M$1418-ext_sh*Sens!$M$1337</f>
        <v>129.022358233455</v>
      </c>
      <c r="N1422" s="38" t="n">
        <f aca="false">Sens!$N$1402+Sens!$N$1418-ext_sh*Sens!$N$1337</f>
        <v>28.5693781401809</v>
      </c>
      <c r="O1422" s="38" t="n">
        <f aca="false">Sens!$O$1402+Sens!$O$1418-ext_sh*Sens!$O$1337</f>
        <v>31.7105594031931</v>
      </c>
    </row>
    <row r="1423" customFormat="false" ht="17.15" hidden="false" customHeight="false" outlineLevel="0" collapsed="false">
      <c r="A1423" s="0" t="s">
        <v>749</v>
      </c>
      <c r="B1423" s="0" t="s">
        <v>86</v>
      </c>
      <c r="C1423" s="38" t="n">
        <f aca="false">Sens!$C$1340</f>
        <v>1.80694998843362</v>
      </c>
      <c r="D1423" s="38" t="n">
        <f aca="false">Sens!$D$1340</f>
        <v>6.77606245662607</v>
      </c>
      <c r="E1423" s="38" t="n">
        <f aca="false">Sens!$E$1340</f>
        <v>6.62548329092326</v>
      </c>
      <c r="F1423" s="38" t="n">
        <f aca="false">Sens!$F$1340</f>
        <v>10.7475724410394</v>
      </c>
      <c r="G1423" s="38" t="n">
        <f aca="false">Sens!$G$1340</f>
        <v>17.3730557319626</v>
      </c>
      <c r="H1423" s="38" t="n">
        <f aca="false">Sens!$H$1340</f>
        <v>39.5529378378068</v>
      </c>
      <c r="I1423" s="38" t="n">
        <f aca="false">Sens!$I$1340</f>
        <v>64.3305352565479</v>
      </c>
      <c r="J1423" s="38" t="n">
        <f aca="false">Sens!$J$1340</f>
        <v>89.2345459344354</v>
      </c>
      <c r="K1423" s="38" t="n">
        <f aca="false">Sens!$K$1340</f>
        <v>110.502525441592</v>
      </c>
      <c r="L1423" s="38" t="n">
        <f aca="false">Sens!$L$1340</f>
        <v>124.535767786747</v>
      </c>
      <c r="M1423" s="38" t="n">
        <f aca="false">Sens!$M$1340</f>
        <v>131.313822270043</v>
      </c>
      <c r="N1423" s="38" t="n">
        <f aca="false">Sens!$N$1340</f>
        <v>2.37162185981912</v>
      </c>
      <c r="O1423" s="38" t="n">
        <f aca="false">Sens!$O$1340</f>
        <v>4.40444059680694</v>
      </c>
    </row>
    <row r="1424" customFormat="false" ht="17.15" hidden="false" customHeight="false" outlineLevel="0" collapsed="false">
      <c r="A1424" s="0" t="s">
        <v>750</v>
      </c>
      <c r="B1424" s="0" t="s">
        <v>86</v>
      </c>
      <c r="C1424" s="38" t="n">
        <f aca="false">Sens!$C$1405+Sens!$C$1419</f>
        <v>100.66</v>
      </c>
      <c r="D1424" s="38" t="n">
        <f aca="false">Sens!$D$1405+Sens!$D$1419</f>
        <v>121.835</v>
      </c>
      <c r="E1424" s="38" t="n">
        <f aca="false">Sens!$E$1405+Sens!$E$1419</f>
        <v>78.016</v>
      </c>
      <c r="F1424" s="38" t="n">
        <f aca="false">Sens!$F$1405+Sens!$F$1419</f>
        <v>83.9886361812249</v>
      </c>
      <c r="G1424" s="38" t="n">
        <f aca="false">Sens!$G$1405+Sens!$G$1419</f>
        <v>162.004636181225</v>
      </c>
      <c r="H1424" s="38" t="n">
        <f aca="false">Sens!$H$1405+Sens!$H$1419</f>
        <v>202.274670703824</v>
      </c>
      <c r="I1424" s="38" t="n">
        <f aca="false">Sens!$I$1405+Sens!$I$1419</f>
        <v>247.422358208936</v>
      </c>
      <c r="J1424" s="38" t="n">
        <f aca="false">Sens!$J$1405+Sens!$J$1419</f>
        <v>291.741458700026</v>
      </c>
      <c r="K1424" s="38" t="n">
        <f aca="false">Sens!$K$1405+Sens!$K$1419</f>
        <v>330.632534456166</v>
      </c>
      <c r="L1424" s="38" t="n">
        <f aca="false">Sens!$L$1405+Sens!$L$1419</f>
        <v>362.673305662085</v>
      </c>
      <c r="M1424" s="38" t="n">
        <f aca="false">Sens!$M$1405+Sens!$M$1419</f>
        <v>389.534396720357</v>
      </c>
      <c r="N1424" s="38" t="n">
        <f aca="false">Sens!$N$1405+Sens!$N$1419</f>
        <v>56.398</v>
      </c>
      <c r="O1424" s="38" t="n">
        <f aca="false">Sens!$O$1405+Sens!$O$1419</f>
        <v>65.437</v>
      </c>
    </row>
    <row r="1425" customFormat="false" ht="17.15" hidden="false" customHeight="false" outlineLevel="0" collapsed="false">
      <c r="A1425" s="1" t="s">
        <v>751</v>
      </c>
    </row>
    <row r="1426" customFormat="false" ht="15" hidden="false" customHeight="false" outlineLevel="0" collapsed="false">
      <c r="A1426" s="5" t="s">
        <v>544</v>
      </c>
      <c r="B1426" s="0" t="s">
        <v>86</v>
      </c>
      <c r="C1426" s="38" t="n">
        <f aca="false">Q!$D$34</f>
        <v>2.406</v>
      </c>
      <c r="D1426" s="38" t="n">
        <f aca="false">Q!$E$34</f>
        <v>2.274</v>
      </c>
      <c r="E1426" s="38" t="n">
        <f aca="false">Q!$P$34</f>
        <v>2.114</v>
      </c>
      <c r="F1426" s="38" t="n">
        <f aca="false">Sens!$F$1464</f>
        <v>3.24888962733561</v>
      </c>
      <c r="G1426" s="38" t="n">
        <f aca="false">Sens!$E$1426+Sens!$F$1426</f>
        <v>5.36288962733561</v>
      </c>
      <c r="H1426" s="38" t="n">
        <f aca="false">Sens!$H$1464</f>
        <v>7.42354172302123</v>
      </c>
      <c r="I1426" s="38" t="n">
        <f aca="false">Sens!$I$1464</f>
        <v>7.42354172302123</v>
      </c>
      <c r="J1426" s="38" t="n">
        <f aca="false">Sens!$J$1464</f>
        <v>7.42354172302123</v>
      </c>
      <c r="K1426" s="38" t="n">
        <f aca="false">Sens!$K$1464</f>
        <v>7.42354172302123</v>
      </c>
      <c r="L1426" s="38" t="n">
        <f aca="false">Sens!$L$1464</f>
        <v>7.42354172302123</v>
      </c>
      <c r="M1426" s="38" t="n">
        <f aca="false">Sens!$M$1464</f>
        <v>7.42354172302123</v>
      </c>
      <c r="N1426" s="38" t="n">
        <f aca="false">Q!$N$34</f>
        <v>1.057</v>
      </c>
      <c r="O1426" s="38" t="n">
        <f aca="false">Q!$O$34</f>
        <v>1.217</v>
      </c>
    </row>
    <row r="1427" customFormat="false" ht="15" hidden="false" customHeight="false" outlineLevel="0" collapsed="false">
      <c r="A1427" s="5" t="s">
        <v>752</v>
      </c>
      <c r="B1427" s="0" t="s">
        <v>86</v>
      </c>
      <c r="F1427" s="38" t="n">
        <f aca="false">Sens!$F$1465</f>
        <v>2.59</v>
      </c>
      <c r="H1427" s="38" t="n">
        <f aca="false">Sens!$H$1465</f>
        <v>4.05332155193167</v>
      </c>
      <c r="I1427" s="38" t="n">
        <f aca="false">Sens!$I$1465</f>
        <v>3.4983362450682</v>
      </c>
      <c r="J1427" s="38" t="n">
        <f aca="false">Sens!$J$1465</f>
        <v>4.35728889226705</v>
      </c>
      <c r="K1427" s="38" t="n">
        <f aca="false">Sens!$K$1465</f>
        <v>6.63520523500772</v>
      </c>
      <c r="L1427" s="38" t="n">
        <f aca="false">Sens!$L$1465</f>
        <v>12.0824952522929</v>
      </c>
      <c r="M1427" s="38" t="n">
        <f aca="false">Sens!$M$1465</f>
        <v>19.1757569497614</v>
      </c>
    </row>
    <row r="1428" customFormat="false" ht="17.15" hidden="false" customHeight="false" outlineLevel="0" collapsed="false">
      <c r="A1428" s="5" t="s">
        <v>753</v>
      </c>
      <c r="B1428" s="0" t="s">
        <v>86</v>
      </c>
      <c r="C1428" s="38" t="n">
        <f aca="false">Q!$D$39</f>
        <v>2.427</v>
      </c>
      <c r="D1428" s="38" t="n">
        <f aca="false">Q!$E$39</f>
        <v>19.61</v>
      </c>
      <c r="E1428" s="38" t="n">
        <f aca="false">Q!$P$39</f>
        <v>71.492</v>
      </c>
      <c r="F1428" s="39" t="n">
        <v>0</v>
      </c>
      <c r="G1428" s="38" t="n">
        <f aca="false">Sens!$E$1428+Sens!$F$1428</f>
        <v>71.492</v>
      </c>
      <c r="H1428" s="39" t="n">
        <v>0</v>
      </c>
      <c r="I1428" s="39" t="n">
        <v>0</v>
      </c>
      <c r="J1428" s="39" t="n">
        <v>0</v>
      </c>
      <c r="K1428" s="39" t="n">
        <v>0</v>
      </c>
      <c r="L1428" s="39" t="n">
        <v>0</v>
      </c>
      <c r="M1428" s="39" t="n">
        <v>0</v>
      </c>
      <c r="N1428" s="38" t="n">
        <f aca="false">Q!$N$39</f>
        <v>6.017</v>
      </c>
      <c r="O1428" s="38" t="n">
        <f aca="false">Q!$O$39</f>
        <v>13.593</v>
      </c>
      <c r="P1428" s="5" t="s">
        <v>754</v>
      </c>
    </row>
    <row r="1429" customFormat="false" ht="15" hidden="false" customHeight="false" outlineLevel="0" collapsed="false">
      <c r="A1429" s="5" t="s">
        <v>547</v>
      </c>
      <c r="B1429" s="0" t="s">
        <v>86</v>
      </c>
      <c r="C1429" s="38" t="n">
        <f aca="false">Q!$D$36</f>
        <v>68.614</v>
      </c>
      <c r="D1429" s="38" t="n">
        <f aca="false">Q!$E$36</f>
        <v>97.311</v>
      </c>
      <c r="E1429" s="38" t="n">
        <f aca="false">Q!$P$36</f>
        <v>120.691</v>
      </c>
      <c r="F1429" s="38" t="n">
        <f aca="false">Sens!$F$1405-Sens!$F$1426+Sens!$F$1427+Sens!$F$1428</f>
        <v>55.1226043912608</v>
      </c>
      <c r="G1429" s="38" t="n">
        <f aca="false">Sens!$E$1429+Sens!$F$1429</f>
        <v>175.813604391261</v>
      </c>
      <c r="H1429" s="38" t="n">
        <f aca="false">Sens!$H$1405-Sens!$H$1426+Sens!$H$1427+Sens!$H$1428</f>
        <v>121.769586189587</v>
      </c>
      <c r="I1429" s="38" t="n">
        <f aca="false">Sens!$I$1405-Sens!$I$1426+Sens!$I$1427+Sens!$I$1428</f>
        <v>140.30188400977</v>
      </c>
      <c r="J1429" s="38" t="n">
        <f aca="false">Sens!$J$1405-Sens!$J$1426+Sens!$J$1427+Sens!$J$1428</f>
        <v>158.950567448576</v>
      </c>
      <c r="K1429" s="38" t="n">
        <f aca="false">Sens!$K$1405-Sens!$K$1426+Sens!$K$1427+Sens!$K$1428</f>
        <v>173.381457297533</v>
      </c>
      <c r="L1429" s="38" t="n">
        <f aca="false">Sens!$L$1405-Sens!$L$1426+Sens!$L$1427+Sens!$L$1428</f>
        <v>190.375309790992</v>
      </c>
      <c r="M1429" s="38" t="n">
        <f aca="false">Sens!$M$1405-Sens!$M$1426+Sens!$M$1427+Sens!$M$1428</f>
        <v>208.437934337741</v>
      </c>
      <c r="N1429" s="38" t="n">
        <f aca="false">Q!$N$36</f>
        <v>42.536</v>
      </c>
      <c r="O1429" s="38" t="n">
        <f aca="false">Q!$O$36</f>
        <v>54.775</v>
      </c>
    </row>
    <row r="1430" customFormat="false" ht="15" hidden="false" customHeight="false" outlineLevel="0" collapsed="false">
      <c r="A1430" s="5" t="s">
        <v>548</v>
      </c>
      <c r="B1430" s="0" t="s">
        <v>86</v>
      </c>
      <c r="C1430" s="38" t="n">
        <f aca="false">Q!$D$37</f>
        <v>9.265</v>
      </c>
      <c r="D1430" s="38" t="n">
        <f aca="false">Q!$E$37</f>
        <v>19.087</v>
      </c>
      <c r="E1430" s="38" t="n">
        <f aca="false">Q!$P$37</f>
        <v>27.759</v>
      </c>
      <c r="F1430" s="38" t="n">
        <f aca="false">Sens!$F$1429*tax</f>
        <v>9.56843118937509</v>
      </c>
      <c r="G1430" s="38" t="n">
        <f aca="false">Sens!$E$1430+Sens!$F$1430</f>
        <v>37.3274311893751</v>
      </c>
      <c r="H1430" s="38" t="n">
        <f aca="false">Sens!$H$1429*tax</f>
        <v>21.1373159755577</v>
      </c>
      <c r="I1430" s="38" t="n">
        <f aca="false">Sens!$I$1429*tax</f>
        <v>24.354236119874</v>
      </c>
      <c r="J1430" s="38" t="n">
        <f aca="false">Sens!$J$1429*tax</f>
        <v>27.5913590067045</v>
      </c>
      <c r="K1430" s="38" t="n">
        <f aca="false">Sens!$K$1429*tax</f>
        <v>30.0963381898559</v>
      </c>
      <c r="L1430" s="38" t="n">
        <f aca="false">Sens!$L$1429*tax</f>
        <v>33.0462080304005</v>
      </c>
      <c r="M1430" s="38" t="n">
        <f aca="false">Sens!$M$1429*tax</f>
        <v>36.1816001618812</v>
      </c>
      <c r="N1430" s="38" t="n">
        <f aca="false">Q!$N$37</f>
        <v>7.231</v>
      </c>
      <c r="O1430" s="38" t="n">
        <f aca="false">Q!$O$37</f>
        <v>11.856</v>
      </c>
    </row>
    <row r="1431" customFormat="false" ht="15" hidden="false" customHeight="false" outlineLevel="0" collapsed="false">
      <c r="A1431" s="3" t="s">
        <v>549</v>
      </c>
      <c r="B1431" s="8" t="s">
        <v>86</v>
      </c>
      <c r="C1431" s="38" t="n">
        <f aca="false">Q!$D$38</f>
        <v>59.248</v>
      </c>
      <c r="D1431" s="38" t="n">
        <f aca="false">Q!$E$38</f>
        <v>77.67</v>
      </c>
      <c r="E1431" s="38" t="n">
        <f aca="false">Q!$P$38</f>
        <v>92.902</v>
      </c>
      <c r="F1431" s="38" t="n">
        <f aca="false">Sens!$F$1429-Sens!$F$1430</f>
        <v>45.5541732018857</v>
      </c>
      <c r="G1431" s="38" t="n">
        <f aca="false">Sens!$E$1431+Sens!$F$1431</f>
        <v>138.456173201886</v>
      </c>
      <c r="H1431" s="38" t="n">
        <f aca="false">Sens!$H$1429-Sens!$H$1430</f>
        <v>100.63227021403</v>
      </c>
      <c r="I1431" s="38" t="n">
        <f aca="false">Sens!$I$1429-Sens!$I$1430</f>
        <v>115.947647889896</v>
      </c>
      <c r="J1431" s="38" t="n">
        <f aca="false">Sens!$J$1429-Sens!$J$1430</f>
        <v>131.359208441872</v>
      </c>
      <c r="K1431" s="38" t="n">
        <f aca="false">Sens!$K$1429-Sens!$K$1430</f>
        <v>143.285119107677</v>
      </c>
      <c r="L1431" s="38" t="n">
        <f aca="false">Sens!$L$1429-Sens!$L$1430</f>
        <v>157.329101760592</v>
      </c>
      <c r="M1431" s="38" t="n">
        <f aca="false">Sens!$M$1429-Sens!$M$1430</f>
        <v>172.25633417586</v>
      </c>
      <c r="N1431" s="38" t="n">
        <f aca="false">Q!$N$38</f>
        <v>35.291</v>
      </c>
      <c r="O1431" s="38" t="n">
        <f aca="false">Q!$O$38</f>
        <v>42.379</v>
      </c>
    </row>
    <row r="1432" customFormat="false" ht="17.15" hidden="false" customHeight="false" outlineLevel="0" collapsed="false">
      <c r="A1432" s="5" t="s">
        <v>552</v>
      </c>
      <c r="B1432" s="5" t="s">
        <v>33</v>
      </c>
      <c r="C1432" s="22" t="n">
        <f aca="false">Q!$D$41</f>
        <v>10.721</v>
      </c>
      <c r="D1432" s="22" t="n">
        <f aca="false">Q!$E$41</f>
        <v>10.827</v>
      </c>
      <c r="E1432" s="22" t="n">
        <f aca="false">(Q!$L$41+Q!$M$41)/2</f>
        <v>10.8885</v>
      </c>
      <c r="F1432" s="22" t="n">
        <f aca="false">Sens!$G$1432</f>
        <v>10.924806</v>
      </c>
      <c r="G1432" s="22" t="n">
        <f aca="false">Q!$M$41*(1+sh_g*0.25)</f>
        <v>10.924806</v>
      </c>
      <c r="H1432" s="22" t="n">
        <f aca="false">Sens!$G$1432*(1+sh_g)</f>
        <v>11.012204448</v>
      </c>
      <c r="I1432" s="22" t="n">
        <f aca="false">Sens!$H$1432*(1+sh_g)</f>
        <v>11.100302083584</v>
      </c>
      <c r="J1432" s="22" t="n">
        <f aca="false">Sens!$I$1432*(1+sh_g)</f>
        <v>11.1891045002527</v>
      </c>
      <c r="K1432" s="22" t="n">
        <f aca="false">Sens!$J$1432*(1+sh_g)</f>
        <v>11.2786173362547</v>
      </c>
      <c r="L1432" s="22" t="n">
        <f aca="false">Sens!$K$1432*(1+sh_g)</f>
        <v>11.3688462749447</v>
      </c>
      <c r="M1432" s="22" t="n">
        <f aca="false">Sens!$L$1432*(1+sh_g)</f>
        <v>11.4597970451443</v>
      </c>
      <c r="P1432" s="5" t="s">
        <v>755</v>
      </c>
    </row>
    <row r="1433" customFormat="false" ht="17.15" hidden="false" customHeight="false" outlineLevel="0" collapsed="false">
      <c r="A1433" s="5" t="s">
        <v>756</v>
      </c>
      <c r="B1433" s="0" t="s">
        <v>86</v>
      </c>
      <c r="C1433" s="38" t="n">
        <f aca="false">Sens!$C$1431+Sens!$C$1407*(1-tax)</f>
        <v>59.248</v>
      </c>
      <c r="D1433" s="38" t="n">
        <f aca="false">Sens!$D$1431+Sens!$D$1407*(1-tax)</f>
        <v>77.67</v>
      </c>
      <c r="E1433" s="38" t="n">
        <f aca="false">Sens!$E$1431+Sens!$E$1407*(1-tax)</f>
        <v>92.902</v>
      </c>
      <c r="F1433" s="38" t="n">
        <f aca="false">Sens!$F$1431+Sens!$F$1407*(1-tax)</f>
        <v>48.4153251821222</v>
      </c>
      <c r="G1433" s="38" t="n">
        <f aca="false">Sens!$G$1431+Sens!$G$1407*(1-tax)</f>
        <v>141.317325182122</v>
      </c>
      <c r="H1433" s="38" t="n">
        <f aca="false">Sens!$H$1431+Sens!$H$1407*(1-tax)</f>
        <v>111.078228701538</v>
      </c>
      <c r="I1433" s="38" t="n">
        <f aca="false">Sens!$I$1431+Sens!$I$1407*(1-tax)</f>
        <v>132.8510082171</v>
      </c>
      <c r="J1433" s="38" t="n">
        <f aca="false">Sens!$J$1431+Sens!$J$1407*(1-tax)</f>
        <v>154.748697671084</v>
      </c>
      <c r="K1433" s="38" t="n">
        <f aca="false">Sens!$K$1431+Sens!$K$1407*(1-tax)</f>
        <v>172.214288483404</v>
      </c>
      <c r="L1433" s="38" t="n">
        <f aca="false">Sens!$L$1431+Sens!$L$1407*(1-tax)</f>
        <v>189.913535815291</v>
      </c>
      <c r="M1433" s="38" t="n">
        <f aca="false">Sens!$M$1431+Sens!$M$1407*(1-tax)</f>
        <v>206.606970077201</v>
      </c>
      <c r="N1433" s="38" t="n">
        <f aca="false">Sens!$N$1431+Sens!$N$1407*(1-tax)</f>
        <v>35.291</v>
      </c>
      <c r="O1433" s="38" t="n">
        <f aca="false">Sens!$O$1431+Sens!$O$1407*(1-tax)</f>
        <v>42.379</v>
      </c>
    </row>
    <row r="1434" customFormat="false" ht="17.15" hidden="false" customHeight="false" outlineLevel="0" collapsed="false">
      <c r="A1434" s="43" t="s">
        <v>757</v>
      </c>
      <c r="B1434" s="14" t="s">
        <v>27</v>
      </c>
      <c r="C1434" s="44" t="n">
        <f aca="false">Sens!$C$1433/Sens!$C$1432</f>
        <v>5.52635015390355</v>
      </c>
      <c r="D1434" s="44" t="n">
        <f aca="false">Sens!$D$1433/Sens!$D$1432</f>
        <v>7.1737323358271</v>
      </c>
      <c r="E1434" s="44" t="n">
        <f aca="false">Sens!$E$1433/Sens!$E$1432</f>
        <v>8.53212104513937</v>
      </c>
      <c r="F1434" s="14"/>
      <c r="G1434" s="44" t="n">
        <f aca="false">Sens!$G$1433/Sens!$G$1432</f>
        <v>12.9354539734731</v>
      </c>
      <c r="H1434" s="44" t="n">
        <f aca="false">Sens!$H$1433/Sens!$H$1432</f>
        <v>10.0868295014003</v>
      </c>
      <c r="I1434" s="44" t="n">
        <f aca="false">Sens!$I$1433/Sens!$I$1432</f>
        <v>11.9682335865049</v>
      </c>
      <c r="J1434" s="44" t="n">
        <f aca="false">Sens!$J$1433/Sens!$J$1432</f>
        <v>13.8303022969881</v>
      </c>
      <c r="K1434" s="44" t="n">
        <f aca="false">Sens!$K$1433/Sens!$K$1432</f>
        <v>15.2690957897674</v>
      </c>
      <c r="L1434" s="44" t="n">
        <f aca="false">Sens!$L$1433/Sens!$L$1432</f>
        <v>16.7047324963688</v>
      </c>
      <c r="M1434" s="44" t="n">
        <f aca="false">Sens!$M$1433/Sens!$M$1432</f>
        <v>18.028850708551</v>
      </c>
      <c r="N1434" s="14"/>
      <c r="O1434" s="14"/>
    </row>
    <row r="1435" customFormat="false" ht="17.15" hidden="false" customHeight="false" outlineLevel="0" collapsed="false">
      <c r="A1435" s="0" t="s">
        <v>758</v>
      </c>
      <c r="B1435" s="0" t="s">
        <v>27</v>
      </c>
      <c r="C1435" s="30" t="n">
        <f aca="false">Sens!$C$1431/Sens!$C$1432</f>
        <v>5.52635015390355</v>
      </c>
      <c r="D1435" s="30" t="n">
        <f aca="false">Sens!$D$1431/Sens!$D$1432</f>
        <v>7.1737323358271</v>
      </c>
      <c r="E1435" s="30" t="n">
        <f aca="false">Sens!$E$1431/Sens!$E$1432</f>
        <v>8.53212104513937</v>
      </c>
      <c r="G1435" s="30" t="n">
        <f aca="false">Sens!$G$1431/Sens!$G$1432</f>
        <v>12.6735589814488</v>
      </c>
      <c r="H1435" s="30" t="n">
        <f aca="false">Sens!$H$1431/Sens!$H$1432</f>
        <v>9.13824935681302</v>
      </c>
      <c r="I1435" s="30" t="n">
        <f aca="false">Sens!$I$1431/Sens!$I$1432</f>
        <v>10.4454497739632</v>
      </c>
      <c r="J1435" s="30" t="n">
        <f aca="false">Sens!$J$1431/Sens!$J$1432</f>
        <v>11.7399214958539</v>
      </c>
      <c r="K1435" s="30" t="n">
        <f aca="false">Sens!$K$1431/Sens!$K$1432</f>
        <v>12.7041387109653</v>
      </c>
      <c r="L1435" s="30" t="n">
        <f aca="false">Sens!$L$1431/Sens!$L$1432</f>
        <v>13.8386163341237</v>
      </c>
      <c r="M1435" s="30" t="n">
        <f aca="false">Sens!$M$1431/Sens!$M$1432</f>
        <v>15.0313599357196</v>
      </c>
    </row>
    <row r="1436" customFormat="false" ht="17.15" hidden="false" customHeight="false" outlineLevel="0" collapsed="false">
      <c r="A1436" s="0" t="s">
        <v>759</v>
      </c>
      <c r="B1436" s="0" t="s">
        <v>27</v>
      </c>
      <c r="C1436" s="30" t="n">
        <f aca="false">(Sens!$C$1431-Sens!$C$1428*(1-tax))/Sens!$C$1432</f>
        <v>5.33926775917445</v>
      </c>
      <c r="D1436" s="30" t="n">
        <f aca="false">(Sens!$D$1431-Sens!$D$1428*(1-tax))/Sens!$D$1432</f>
        <v>5.67691812755503</v>
      </c>
      <c r="E1436" s="30" t="n">
        <f aca="false">(Sens!$E$1431-Sens!$E$1428*(1-tax))/Sens!$E$1432</f>
        <v>3.10602057006846</v>
      </c>
      <c r="G1436" s="30" t="n">
        <f aca="false">(Sens!$G$1431-Sens!$G$1428*(1-tax))/Sens!$G$1432</f>
        <v>7.26549086355182</v>
      </c>
      <c r="H1436" s="30" t="n">
        <f aca="false">(Sens!$H$1431-Sens!$H$1428*(1-tax))/Sens!$H$1432</f>
        <v>9.13824935681302</v>
      </c>
      <c r="I1436" s="30" t="n">
        <f aca="false">(Sens!$I$1431-Sens!$I$1428*(1-tax))/Sens!$I$1432</f>
        <v>10.4454497739632</v>
      </c>
      <c r="J1436" s="30" t="n">
        <f aca="false">(Sens!$J$1431-Sens!$J$1428*(1-tax))/Sens!$J$1432</f>
        <v>11.7399214958539</v>
      </c>
      <c r="K1436" s="30" t="n">
        <f aca="false">(Sens!$K$1431-Sens!$K$1428*(1-tax))/Sens!$K$1432</f>
        <v>12.7041387109653</v>
      </c>
      <c r="L1436" s="30" t="n">
        <f aca="false">(Sens!$L$1431-Sens!$L$1428*(1-tax))/Sens!$L$1432</f>
        <v>13.8386163341237</v>
      </c>
      <c r="M1436" s="30" t="n">
        <f aca="false">(Sens!$M$1431-Sens!$M$1428*(1-tax))/Sens!$M$1432</f>
        <v>15.0313599357196</v>
      </c>
      <c r="P1436" s="5" t="s">
        <v>760</v>
      </c>
    </row>
    <row r="1437" customFormat="false" ht="17.15" hidden="false" customHeight="false" outlineLevel="0" collapsed="false">
      <c r="A1437" s="0" t="s">
        <v>761</v>
      </c>
      <c r="B1437" s="0" t="s">
        <v>52</v>
      </c>
      <c r="H1437" s="13" t="n">
        <f aca="false">Sens!$H$1434/Sens!$G$1434-1</f>
        <v>-0.220218360941522</v>
      </c>
      <c r="I1437" s="13" t="n">
        <f aca="false">Sens!$I$1434/Sens!$H$1434-1</f>
        <v>0.186520857207252</v>
      </c>
      <c r="J1437" s="13" t="n">
        <f aca="false">Sens!$J$1434/Sens!$I$1434-1</f>
        <v>0.155584255356013</v>
      </c>
      <c r="K1437" s="13" t="n">
        <f aca="false">Sens!$K$1434/Sens!$J$1434-1</f>
        <v>0.104031962706459</v>
      </c>
      <c r="L1437" s="13" t="n">
        <f aca="false">Sens!$L$1434/Sens!$K$1434-1</f>
        <v>0.0940223786901302</v>
      </c>
      <c r="M1437" s="13" t="n">
        <f aca="false">Sens!$M$1434/Sens!$L$1434-1</f>
        <v>0.0792660530463496</v>
      </c>
    </row>
    <row r="1440" customFormat="false" ht="19.4" hidden="false" customHeight="false" outlineLevel="0" collapsed="false">
      <c r="A1440" s="31" t="s">
        <v>1163</v>
      </c>
    </row>
    <row r="1441" customFormat="false" ht="17.15" hidden="false" customHeight="false" outlineLevel="0" collapsed="false">
      <c r="A1441" s="6" t="s">
        <v>16</v>
      </c>
      <c r="B1441" s="6" t="s">
        <v>17</v>
      </c>
      <c r="C1441" s="20" t="s">
        <v>497</v>
      </c>
      <c r="D1441" s="20" t="s">
        <v>498</v>
      </c>
      <c r="E1441" s="20" t="s">
        <v>580</v>
      </c>
      <c r="F1441" s="20" t="s">
        <v>581</v>
      </c>
      <c r="G1441" s="20" t="s">
        <v>582</v>
      </c>
      <c r="H1441" s="20" t="s">
        <v>583</v>
      </c>
      <c r="I1441" s="20" t="s">
        <v>584</v>
      </c>
      <c r="J1441" s="20" t="s">
        <v>585</v>
      </c>
      <c r="K1441" s="20" t="s">
        <v>586</v>
      </c>
      <c r="L1441" s="20" t="s">
        <v>587</v>
      </c>
      <c r="M1441" s="20" t="s">
        <v>588</v>
      </c>
      <c r="N1441" s="20" t="s">
        <v>589</v>
      </c>
      <c r="O1441" s="20" t="s">
        <v>590</v>
      </c>
      <c r="P1441" s="6" t="s">
        <v>23</v>
      </c>
      <c r="R1441" s="20" t="n">
        <v>2023</v>
      </c>
      <c r="S1441" s="20" t="n">
        <v>2024</v>
      </c>
      <c r="T1441" s="20" t="n">
        <v>2025</v>
      </c>
      <c r="U1441" s="20" t="n">
        <v>2026</v>
      </c>
      <c r="V1441" s="20" t="n">
        <v>2027</v>
      </c>
      <c r="W1441" s="20" t="n">
        <v>2028</v>
      </c>
      <c r="X1441" s="20" t="n">
        <v>2029</v>
      </c>
      <c r="Y1441" s="20" t="n">
        <v>2030</v>
      </c>
      <c r="Z1441" s="20" t="n">
        <v>2031</v>
      </c>
      <c r="AA1441" s="20" t="n">
        <v>2032</v>
      </c>
    </row>
    <row r="1442" customFormat="false" ht="15" hidden="false" customHeight="false" outlineLevel="0" collapsed="false">
      <c r="A1442" s="5" t="s">
        <v>549</v>
      </c>
      <c r="B1442" s="0" t="s">
        <v>86</v>
      </c>
      <c r="C1442" s="38" t="n">
        <f aca="false">Sens!$C$1431</f>
        <v>59.248</v>
      </c>
      <c r="D1442" s="38" t="n">
        <f aca="false">Sens!$D$1431</f>
        <v>77.67</v>
      </c>
      <c r="E1442" s="38" t="n">
        <f aca="false">Sens!$E$1431</f>
        <v>92.902</v>
      </c>
      <c r="F1442" s="38" t="n">
        <f aca="false">Sens!$F$1431</f>
        <v>45.5541732018857</v>
      </c>
      <c r="G1442" s="38" t="n">
        <f aca="false">Sens!$G$1431</f>
        <v>138.456173201886</v>
      </c>
      <c r="H1442" s="38" t="n">
        <f aca="false">Sens!$H$1431</f>
        <v>100.63227021403</v>
      </c>
      <c r="I1442" s="38" t="n">
        <f aca="false">Sens!$I$1431</f>
        <v>115.947647889896</v>
      </c>
      <c r="J1442" s="38" t="n">
        <f aca="false">Sens!$J$1431</f>
        <v>131.359208441872</v>
      </c>
      <c r="K1442" s="38" t="n">
        <f aca="false">Sens!$K$1431</f>
        <v>143.285119107677</v>
      </c>
      <c r="L1442" s="38" t="n">
        <f aca="false">Sens!$L$1431</f>
        <v>157.329101760592</v>
      </c>
      <c r="M1442" s="38" t="n">
        <f aca="false">Sens!$M$1431</f>
        <v>172.25633417586</v>
      </c>
    </row>
    <row r="1443" customFormat="false" ht="17.15" hidden="false" customHeight="false" outlineLevel="0" collapsed="false">
      <c r="A1443" s="5" t="s">
        <v>784</v>
      </c>
      <c r="B1443" s="0" t="s">
        <v>86</v>
      </c>
      <c r="C1443" s="38" t="n">
        <f aca="false">Sens!$C$1419</f>
        <v>32.067</v>
      </c>
      <c r="D1443" s="38" t="n">
        <f aca="false">Sens!$D$1419</f>
        <v>41.86</v>
      </c>
      <c r="E1443" s="38" t="n">
        <f aca="false">Sens!$E$1419</f>
        <v>26.703</v>
      </c>
      <c r="F1443" s="38" t="n">
        <f aca="false">Sens!$F$1419</f>
        <v>28.2071421626285</v>
      </c>
      <c r="G1443" s="38" t="n">
        <f aca="false">Sens!$G$1419</f>
        <v>54.9101421626285</v>
      </c>
      <c r="H1443" s="38" t="n">
        <f aca="false">Sens!$H$1419</f>
        <v>77.1348643431468</v>
      </c>
      <c r="I1443" s="38" t="n">
        <f aca="false">Sens!$I$1419</f>
        <v>103.195268721213</v>
      </c>
      <c r="J1443" s="38" t="n">
        <f aca="false">Sens!$J$1419</f>
        <v>129.724638420696</v>
      </c>
      <c r="K1443" s="38" t="n">
        <f aca="false">Sens!$K$1419</f>
        <v>156.462740670619</v>
      </c>
      <c r="L1443" s="38" t="n">
        <f aca="false">Sens!$L$1419</f>
        <v>176.956949400365</v>
      </c>
      <c r="M1443" s="38" t="n">
        <f aca="false">Sens!$M$1419</f>
        <v>192.848677609357</v>
      </c>
    </row>
    <row r="1444" customFormat="false" ht="15" hidden="false" customHeight="false" outlineLevel="0" collapsed="false">
      <c r="A1444" s="5" t="s">
        <v>785</v>
      </c>
      <c r="B1444" s="0" t="s">
        <v>86</v>
      </c>
      <c r="C1444" s="38" t="n">
        <f aca="false">Q!$D$48</f>
        <v>22.011</v>
      </c>
      <c r="D1444" s="38" t="n">
        <f aca="false">Q!$E$48</f>
        <v>19.467</v>
      </c>
      <c r="E1444" s="38" t="n">
        <f aca="false">Q!$P$48</f>
        <v>10.07</v>
      </c>
      <c r="F1444" s="38" t="n">
        <f aca="false">sbc_r*Sens!$F$1361</f>
        <v>10.8201660079095</v>
      </c>
      <c r="G1444" s="38" t="n">
        <f aca="false">Sens!$E$1444+Sens!$F$1444</f>
        <v>20.8901660079095</v>
      </c>
      <c r="H1444" s="38" t="n">
        <f aca="false">sbc_r*Sens!$H$1361</f>
        <v>23.2129348088811</v>
      </c>
      <c r="I1444" s="38" t="n">
        <f aca="false">sbc_r*Sens!$I$1361</f>
        <v>26.1059647549653</v>
      </c>
      <c r="J1444" s="38" t="n">
        <f aca="false">sbc_r*Sens!$J$1361</f>
        <v>28.862982333916</v>
      </c>
      <c r="K1444" s="38" t="n">
        <f aca="false">sbc_r*Sens!$K$1361</f>
        <v>31.286377213691</v>
      </c>
      <c r="L1444" s="38" t="n">
        <f aca="false">sbc_r*Sens!$L$1361</f>
        <v>33.6115210405582</v>
      </c>
      <c r="M1444" s="38" t="n">
        <f aca="false">sbc_r*Sens!$M$1361</f>
        <v>35.8475636916206</v>
      </c>
    </row>
    <row r="1445" customFormat="false" ht="17.15" hidden="false" customHeight="false" outlineLevel="0" collapsed="false">
      <c r="A1445" s="5" t="s">
        <v>786</v>
      </c>
      <c r="B1445" s="0" t="s">
        <v>86</v>
      </c>
      <c r="C1445" s="38" t="n">
        <f aca="false">Q!$D$44-Sens!$C$1442-Sens!$C$1443-Sens!$C$1444</f>
        <v>2.551</v>
      </c>
      <c r="D1445" s="38" t="n">
        <f aca="false">Q!$E$44-Sens!$D$1442-Sens!$D$1443-Sens!$D$1444</f>
        <v>0.51700000000001</v>
      </c>
      <c r="E1445" s="38" t="n">
        <f aca="false">Q!$P$44-Sens!$E$1442-Sens!$E$1443-Sens!$E$1444</f>
        <v>-58.256</v>
      </c>
      <c r="F1445" s="38" t="n">
        <f aca="false">oth_r*Sens!$F$1361</f>
        <v>5.20795418915403</v>
      </c>
      <c r="G1445" s="38" t="n">
        <f aca="false">Sens!$E$1445+Sens!$F$1445</f>
        <v>-53.048045810846</v>
      </c>
      <c r="H1445" s="38" t="n">
        <f aca="false">oth_r*Sens!$H$1361</f>
        <v>11.1728323754091</v>
      </c>
      <c r="I1445" s="38" t="n">
        <f aca="false">oth_r*Sens!$I$1361</f>
        <v>12.5653033796472</v>
      </c>
      <c r="J1445" s="38" t="n">
        <f aca="false">oth_r*Sens!$J$1361</f>
        <v>13.892309013329</v>
      </c>
      <c r="K1445" s="38" t="n">
        <f aca="false">oth_r*Sens!$K$1361</f>
        <v>15.0587356196188</v>
      </c>
      <c r="L1445" s="38" t="n">
        <f aca="false">oth_r*Sens!$L$1361</f>
        <v>16.1778721027991</v>
      </c>
      <c r="M1445" s="38" t="n">
        <f aca="false">oth_r*Sens!$M$1361</f>
        <v>17.2541224748558</v>
      </c>
      <c r="P1445" s="8" t="s">
        <v>787</v>
      </c>
    </row>
    <row r="1446" customFormat="false" ht="15" hidden="false" customHeight="false" outlineLevel="0" collapsed="false">
      <c r="A1446" s="3" t="s">
        <v>555</v>
      </c>
      <c r="B1446" s="8" t="s">
        <v>86</v>
      </c>
      <c r="C1446" s="38" t="n">
        <f aca="false">Q!$D$44</f>
        <v>115.877</v>
      </c>
      <c r="D1446" s="38" t="n">
        <f aca="false">Q!$E$44</f>
        <v>139.514</v>
      </c>
      <c r="E1446" s="38" t="n">
        <f aca="false">Q!$P$44</f>
        <v>71.419</v>
      </c>
      <c r="F1446" s="38" t="n">
        <f aca="false">Sens!$F$1442+Sens!$F$1443+Sens!$F$1444+Sens!$F$1445</f>
        <v>89.7894355615777</v>
      </c>
      <c r="G1446" s="38" t="n">
        <f aca="false">Sens!$E$1446+Sens!$F$1446</f>
        <v>161.208435561578</v>
      </c>
      <c r="H1446" s="38" t="n">
        <f aca="false">Sens!$H$1442+Sens!$H$1443+Sens!$H$1444+Sens!$H$1445</f>
        <v>212.152901741467</v>
      </c>
      <c r="I1446" s="38" t="n">
        <f aca="false">Sens!$I$1442+Sens!$I$1443+Sens!$I$1444+Sens!$I$1445</f>
        <v>257.814184745721</v>
      </c>
      <c r="J1446" s="38" t="n">
        <f aca="false">Sens!$J$1442+Sens!$J$1443+Sens!$J$1444+Sens!$J$1445</f>
        <v>303.839138209812</v>
      </c>
      <c r="K1446" s="38" t="n">
        <f aca="false">Sens!$K$1442+Sens!$K$1443+Sens!$K$1444+Sens!$K$1445</f>
        <v>346.092972611607</v>
      </c>
      <c r="L1446" s="38" t="n">
        <f aca="false">Sens!$L$1442+Sens!$L$1443+Sens!$L$1444+Sens!$L$1445</f>
        <v>384.075444304314</v>
      </c>
      <c r="M1446" s="38" t="n">
        <f aca="false">Sens!$M$1442+Sens!$M$1443+Sens!$M$1444+Sens!$M$1445</f>
        <v>418.206697951693</v>
      </c>
    </row>
    <row r="1447" customFormat="false" ht="17.15" hidden="false" customHeight="false" outlineLevel="0" collapsed="false">
      <c r="A1447" s="5" t="s">
        <v>788</v>
      </c>
      <c r="B1447" s="0" t="s">
        <v>86</v>
      </c>
      <c r="C1447" s="38" t="n">
        <f aca="false">Sens!$C$1328</f>
        <v>25.2781053077374</v>
      </c>
      <c r="D1447" s="38" t="n">
        <f aca="false">Sens!$D$1328</f>
        <v>69.5686316310026</v>
      </c>
      <c r="E1447" s="38" t="n">
        <f aca="false">Sens!$E$1328</f>
        <v>64.1899206485108</v>
      </c>
      <c r="F1447" s="38" t="n">
        <f aca="false">Sens!$F$1328</f>
        <v>88.7165504612134</v>
      </c>
      <c r="G1447" s="38" t="n">
        <f aca="false">Sens!$G$1328</f>
        <v>152.906471109724</v>
      </c>
      <c r="H1447" s="38" t="n">
        <f aca="false">Sens!$H$1328</f>
        <v>148.928523708563</v>
      </c>
      <c r="I1447" s="38" t="n">
        <f aca="false">Sens!$I$1328</f>
        <v>153.484852432875</v>
      </c>
      <c r="J1447" s="38" t="n">
        <f aca="false">Sens!$J$1328</f>
        <v>158.721620632875</v>
      </c>
      <c r="K1447" s="38" t="n">
        <f aca="false">Sens!$K$1328</f>
        <v>119.339983678401</v>
      </c>
      <c r="L1447" s="38" t="n">
        <f aca="false">Sens!$L$1328</f>
        <v>111.378955923926</v>
      </c>
      <c r="M1447" s="38" t="n">
        <f aca="false">Sens!$M$1328</f>
        <v>107.034025710889</v>
      </c>
    </row>
    <row r="1448" customFormat="false" ht="17.15" hidden="false" customHeight="false" outlineLevel="0" collapsed="false">
      <c r="A1448" s="5" t="s">
        <v>789</v>
      </c>
      <c r="B1448" s="0" t="s">
        <v>86</v>
      </c>
      <c r="C1448" s="38" t="n">
        <f aca="false">cx_awso*Sens!$C$1359</f>
        <v>21.0469989286053</v>
      </c>
      <c r="D1448" s="38" t="n">
        <f aca="false">cx_awso*Sens!$D$1359</f>
        <v>24.0042459822698</v>
      </c>
      <c r="E1448" s="38" t="n">
        <f aca="false">cx_awso*Sens!$E$1359</f>
        <v>14.261729404886</v>
      </c>
      <c r="F1448" s="38" t="n">
        <f aca="false">cx_awso*Sens!$F$1359</f>
        <v>14.3538599588493</v>
      </c>
      <c r="G1448" s="38" t="n">
        <f aca="false">Sens!$E$1448+Sens!$F$1448</f>
        <v>28.6155893637353</v>
      </c>
      <c r="H1448" s="38" t="n">
        <f aca="false">cx_awso*Sens!$H$1359</f>
        <v>32.2034154158406</v>
      </c>
      <c r="I1448" s="38" t="n">
        <f aca="false">cx_awso*Sens!$I$1359</f>
        <v>35.7539519042915</v>
      </c>
      <c r="J1448" s="38" t="n">
        <f aca="false">cx_awso*Sens!$J$1359</f>
        <v>39.1551076091815</v>
      </c>
      <c r="K1448" s="38" t="n">
        <f aca="false">cx_awso*Sens!$K$1359</f>
        <v>42.287516217916</v>
      </c>
      <c r="L1448" s="38" t="n">
        <f aca="false">cx_awso*Sens!$L$1359</f>
        <v>45.6705175153492</v>
      </c>
      <c r="M1448" s="38" t="n">
        <f aca="false">cx_awso*Sens!$M$1359</f>
        <v>49.3241589165772</v>
      </c>
    </row>
    <row r="1449" customFormat="false" ht="17.15" hidden="false" customHeight="false" outlineLevel="0" collapsed="false">
      <c r="A1449" s="5" t="s">
        <v>790</v>
      </c>
      <c r="B1449" s="0" t="s">
        <v>86</v>
      </c>
      <c r="C1449" s="38" t="n">
        <f aca="false">Q!$D$46-Sens!$C$1447-Sens!$C$1448</f>
        <v>31.3328957636573</v>
      </c>
      <c r="D1449" s="38" t="n">
        <f aca="false">Q!$E$46-Sens!$D$1447-Sens!$D$1448</f>
        <v>34.7471223867276</v>
      </c>
      <c r="E1449" s="38" t="n">
        <f aca="false">Q!$P$46-Sens!$E$1447-Sens!$E$1448</f>
        <v>17.8583499466032</v>
      </c>
      <c r="F1449" s="38" t="n">
        <f aca="false">cx_rt*Sens!$F$1291</f>
        <v>20.6195895799373</v>
      </c>
      <c r="G1449" s="38" t="n">
        <f aca="false">Sens!$E$1449+Sens!$F$1449</f>
        <v>38.4779395265405</v>
      </c>
      <c r="H1449" s="38" t="n">
        <f aca="false">cx_rt*Sens!$H$1291</f>
        <v>42.5978994743075</v>
      </c>
      <c r="I1449" s="38" t="n">
        <f aca="false">cx_rt*Sens!$I$1291</f>
        <v>46.5813904136335</v>
      </c>
      <c r="J1449" s="38" t="n">
        <f aca="false">cx_rt*Sens!$J$1291</f>
        <v>50.2781676586844</v>
      </c>
      <c r="K1449" s="38" t="n">
        <f aca="false">cx_rt*Sens!$K$1291</f>
        <v>53.5312440191755</v>
      </c>
      <c r="L1449" s="38" t="n">
        <f aca="false">cx_rt*Sens!$L$1291</f>
        <v>57.0116717051447</v>
      </c>
      <c r="M1449" s="38" t="n">
        <f aca="false">cx_rt*Sens!$M$1291</f>
        <v>60.7365554669226</v>
      </c>
    </row>
    <row r="1450" customFormat="false" ht="15" hidden="false" customHeight="false" outlineLevel="0" collapsed="false">
      <c r="A1450" s="3" t="s">
        <v>791</v>
      </c>
      <c r="B1450" s="8" t="s">
        <v>86</v>
      </c>
      <c r="C1450" s="38" t="n">
        <f aca="false">Q!$D$46</f>
        <v>77.658</v>
      </c>
      <c r="D1450" s="38" t="n">
        <f aca="false">Q!$E$46</f>
        <v>128.32</v>
      </c>
      <c r="E1450" s="38" t="n">
        <f aca="false">Q!$P$46</f>
        <v>96.31</v>
      </c>
      <c r="F1450" s="38" t="n">
        <f aca="false">Sens!$F$1447+Sens!$F$1448+Sens!$F$1449</f>
        <v>123.69</v>
      </c>
      <c r="G1450" s="38" t="n">
        <f aca="false">Sens!$E$1450+Sens!$F$1450</f>
        <v>220</v>
      </c>
      <c r="H1450" s="38" t="n">
        <f aca="false">Sens!$H$1447+Sens!$H$1448+Sens!$H$1449</f>
        <v>223.729838598711</v>
      </c>
      <c r="I1450" s="38" t="n">
        <f aca="false">Sens!$I$1447+Sens!$I$1448+Sens!$I$1449</f>
        <v>235.8201947508</v>
      </c>
      <c r="J1450" s="38" t="n">
        <f aca="false">Sens!$J$1447+Sens!$J$1448+Sens!$J$1449</f>
        <v>248.154895900741</v>
      </c>
      <c r="K1450" s="38" t="n">
        <f aca="false">Sens!$K$1447+Sens!$K$1448+Sens!$K$1449</f>
        <v>215.158743915492</v>
      </c>
      <c r="L1450" s="38" t="n">
        <f aca="false">Sens!$L$1447+Sens!$L$1448+Sens!$L$1449</f>
        <v>214.06114514442</v>
      </c>
      <c r="M1450" s="38" t="n">
        <f aca="false">Sens!$M$1447+Sens!$M$1448+Sens!$M$1449</f>
        <v>217.094740094389</v>
      </c>
    </row>
    <row r="1451" customFormat="false" ht="17.15" hidden="false" customHeight="false" outlineLevel="0" collapsed="false">
      <c r="A1451" s="5" t="s">
        <v>563</v>
      </c>
      <c r="B1451" s="0" t="s">
        <v>86</v>
      </c>
      <c r="C1451" s="38" t="n">
        <f aca="false">Q!$D$50</f>
        <v>2.043</v>
      </c>
      <c r="D1451" s="38" t="n">
        <f aca="false">Q!$E$50</f>
        <v>1.557</v>
      </c>
      <c r="E1451" s="38" t="n">
        <f aca="false">lease_pr/2</f>
        <v>0.8</v>
      </c>
      <c r="F1451" s="38" t="n">
        <f aca="false">lease_pr/2</f>
        <v>0.8</v>
      </c>
      <c r="G1451" s="38" t="n">
        <f aca="false">Sens!$E$1451+Sens!$F$1451</f>
        <v>1.6</v>
      </c>
      <c r="H1451" s="38" t="n">
        <f aca="false">lease_pr</f>
        <v>1.6</v>
      </c>
      <c r="I1451" s="38" t="n">
        <f aca="false">lease_pr</f>
        <v>1.6</v>
      </c>
      <c r="J1451" s="38" t="n">
        <f aca="false">lease_pr</f>
        <v>1.6</v>
      </c>
      <c r="K1451" s="38" t="n">
        <f aca="false">lease_pr</f>
        <v>1.6</v>
      </c>
      <c r="L1451" s="38" t="n">
        <f aca="false">lease_pr</f>
        <v>1.6</v>
      </c>
      <c r="M1451" s="38" t="n">
        <f aca="false">lease_pr</f>
        <v>1.6</v>
      </c>
      <c r="P1451" s="8" t="s">
        <v>792</v>
      </c>
    </row>
    <row r="1452" customFormat="false" ht="15" hidden="false" customHeight="false" outlineLevel="0" collapsed="false">
      <c r="A1452" s="47" t="s">
        <v>793</v>
      </c>
      <c r="B1452" s="14" t="s">
        <v>86</v>
      </c>
      <c r="C1452" s="48" t="n">
        <f aca="false">Sens!$C$1446-Sens!$C$1450-Sens!$C$1451</f>
        <v>36.176</v>
      </c>
      <c r="D1452" s="48" t="n">
        <f aca="false">Sens!$D$1446-Sens!$D$1450-Sens!$D$1451</f>
        <v>9.63700000000002</v>
      </c>
      <c r="E1452" s="48" t="n">
        <f aca="false">Sens!$E$1446-Sens!$E$1450-Sens!$E$1451</f>
        <v>-25.691</v>
      </c>
      <c r="F1452" s="48" t="n">
        <f aca="false">Sens!$F$1446-Sens!$F$1450-Sens!$F$1451</f>
        <v>-34.7005644384223</v>
      </c>
      <c r="G1452" s="48" t="n">
        <f aca="false">Sens!$G$1446-Sens!$G$1450-Sens!$G$1451</f>
        <v>-60.3915644384223</v>
      </c>
      <c r="H1452" s="48" t="n">
        <f aca="false">Sens!$H$1446-Sens!$H$1450-Sens!$H$1451</f>
        <v>-13.1769368572441</v>
      </c>
      <c r="I1452" s="48" t="n">
        <f aca="false">Sens!$I$1446-Sens!$I$1450-Sens!$I$1451</f>
        <v>20.3939899949212</v>
      </c>
      <c r="J1452" s="48" t="n">
        <f aca="false">Sens!$J$1446-Sens!$J$1450-Sens!$J$1451</f>
        <v>54.0842423090713</v>
      </c>
      <c r="K1452" s="48" t="n">
        <f aca="false">Sens!$K$1446-Sens!$K$1450-Sens!$K$1451</f>
        <v>129.334228696114</v>
      </c>
      <c r="L1452" s="48" t="n">
        <f aca="false">Sens!$L$1446-Sens!$L$1450-Sens!$L$1451</f>
        <v>168.414299159893</v>
      </c>
      <c r="M1452" s="48" t="n">
        <f aca="false">Sens!$M$1446-Sens!$M$1450-Sens!$M$1451</f>
        <v>199.511957857304</v>
      </c>
      <c r="N1452" s="14"/>
      <c r="O1452" s="14"/>
    </row>
    <row r="1453" customFormat="false" ht="17.15" hidden="false" customHeight="false" outlineLevel="0" collapsed="false">
      <c r="A1453" s="5" t="s">
        <v>794</v>
      </c>
      <c r="B1453" s="0" t="s">
        <v>86</v>
      </c>
      <c r="C1453" s="38" t="n">
        <f aca="false">dps*Sens!$C$1432</f>
        <v>0</v>
      </c>
      <c r="D1453" s="38" t="n">
        <f aca="false">dps*Sens!$D$1432</f>
        <v>0</v>
      </c>
      <c r="E1453" s="38" t="n">
        <f aca="false">dps*Sens!$E$1432</f>
        <v>0</v>
      </c>
      <c r="F1453" s="38" t="n">
        <f aca="false">0</f>
        <v>0</v>
      </c>
      <c r="G1453" s="38" t="n">
        <f aca="false">dps*Sens!$G$1432</f>
        <v>0</v>
      </c>
      <c r="H1453" s="38" t="n">
        <f aca="false">dps*Sens!$H$1432</f>
        <v>0</v>
      </c>
      <c r="I1453" s="38" t="n">
        <f aca="false">dps*Sens!$I$1432</f>
        <v>0</v>
      </c>
      <c r="J1453" s="38" t="n">
        <f aca="false">dps*Sens!$J$1432</f>
        <v>0</v>
      </c>
      <c r="K1453" s="38" t="n">
        <f aca="false">dps*Sens!$K$1432</f>
        <v>0</v>
      </c>
      <c r="L1453" s="38" t="n">
        <f aca="false">dps*Sens!$L$1432</f>
        <v>0</v>
      </c>
      <c r="M1453" s="38" t="n">
        <f aca="false">dps*Sens!$M$1432</f>
        <v>0</v>
      </c>
      <c r="P1453" s="8" t="s">
        <v>795</v>
      </c>
    </row>
    <row r="1454" customFormat="false" ht="17.15" hidden="false" customHeight="false" outlineLevel="0" collapsed="false">
      <c r="A1454" s="5" t="s">
        <v>796</v>
      </c>
      <c r="B1454" s="0" t="s">
        <v>86</v>
      </c>
      <c r="C1454" s="38" t="n">
        <f aca="false">0</f>
        <v>0</v>
      </c>
      <c r="D1454" s="38" t="n">
        <f aca="false">0</f>
        <v>0</v>
      </c>
      <c r="E1454" s="38" t="n">
        <f aca="false">0</f>
        <v>0</v>
      </c>
      <c r="F1454" s="38" t="n">
        <f aca="false">0</f>
        <v>0</v>
      </c>
      <c r="G1454" s="38" t="n">
        <f aca="false">0</f>
        <v>0</v>
      </c>
      <c r="H1454" s="38" t="n">
        <f aca="false">0</f>
        <v>0</v>
      </c>
      <c r="I1454" s="38" t="n">
        <f aca="false">0</f>
        <v>0</v>
      </c>
      <c r="J1454" s="38" t="n">
        <f aca="false">0</f>
        <v>0</v>
      </c>
      <c r="K1454" s="38" t="n">
        <f aca="false">0</f>
        <v>0</v>
      </c>
      <c r="L1454" s="38" t="n">
        <f aca="false">0</f>
        <v>0</v>
      </c>
      <c r="M1454" s="38" t="n">
        <f aca="false">0</f>
        <v>0</v>
      </c>
      <c r="P1454" s="8" t="s">
        <v>797</v>
      </c>
    </row>
    <row r="1455" customFormat="false" ht="15" hidden="false" customHeight="false" outlineLevel="0" collapsed="false">
      <c r="A1455" s="3" t="s">
        <v>798</v>
      </c>
      <c r="B1455" s="8" t="s">
        <v>86</v>
      </c>
      <c r="C1455" s="38" t="n">
        <f aca="false">Sens!$C$1452-Sens!$C$1453</f>
        <v>36.176</v>
      </c>
      <c r="D1455" s="38" t="n">
        <f aca="false">Sens!$D$1452-Sens!$D$1453</f>
        <v>9.63700000000002</v>
      </c>
      <c r="E1455" s="38" t="n">
        <f aca="false">Sens!$E$1452-Sens!$E$1453</f>
        <v>-25.691</v>
      </c>
      <c r="F1455" s="38" t="n">
        <f aca="false">Sens!$F$1452-Sens!$F$1453</f>
        <v>-34.7005644384223</v>
      </c>
      <c r="G1455" s="38" t="n">
        <f aca="false">Sens!$G$1452-Sens!$G$1453</f>
        <v>-60.3915644384223</v>
      </c>
      <c r="H1455" s="38" t="n">
        <f aca="false">Sens!$H$1452-Sens!$H$1453</f>
        <v>-13.1769368572441</v>
      </c>
      <c r="I1455" s="38" t="n">
        <f aca="false">Sens!$I$1452-Sens!$I$1453</f>
        <v>20.3939899949212</v>
      </c>
      <c r="J1455" s="38" t="n">
        <f aca="false">Sens!$J$1452-Sens!$J$1453</f>
        <v>54.0842423090713</v>
      </c>
      <c r="K1455" s="38" t="n">
        <f aca="false">Sens!$K$1452-Sens!$K$1453</f>
        <v>129.334228696114</v>
      </c>
      <c r="L1455" s="38" t="n">
        <f aca="false">Sens!$L$1452-Sens!$L$1453</f>
        <v>168.414299159893</v>
      </c>
      <c r="M1455" s="38" t="n">
        <f aca="false">Sens!$M$1452-Sens!$M$1453</f>
        <v>199.511957857304</v>
      </c>
    </row>
    <row r="1456" customFormat="false" ht="17.15" hidden="false" customHeight="false" outlineLevel="0" collapsed="false">
      <c r="A1456" s="5" t="s">
        <v>799</v>
      </c>
      <c r="B1456" s="0" t="s">
        <v>86</v>
      </c>
      <c r="E1456" s="38" t="n">
        <f aca="false">Q!$P$53</f>
        <v>39.767</v>
      </c>
      <c r="F1456" s="38" t="n">
        <f aca="false">inv_2h26</f>
        <v>21.3</v>
      </c>
      <c r="G1456" s="38" t="n">
        <f aca="false">Sens!$E$1456+Sens!$F$1456</f>
        <v>61.067</v>
      </c>
      <c r="H1456" s="39" t="n">
        <v>0</v>
      </c>
      <c r="I1456" s="39" t="n">
        <v>0</v>
      </c>
      <c r="J1456" s="39" t="n">
        <v>0</v>
      </c>
      <c r="K1456" s="39" t="n">
        <v>0</v>
      </c>
      <c r="L1456" s="39" t="n">
        <v>0</v>
      </c>
      <c r="M1456" s="39" t="n">
        <v>0</v>
      </c>
    </row>
    <row r="1457" customFormat="false" ht="17.15" hidden="false" customHeight="false" outlineLevel="0" collapsed="false">
      <c r="A1457" s="5" t="s">
        <v>800</v>
      </c>
      <c r="B1457" s="0" t="s">
        <v>86</v>
      </c>
      <c r="F1457" s="38" t="n">
        <f aca="false">iss_2h26</f>
        <v>29.249999</v>
      </c>
      <c r="G1457" s="38" t="n">
        <f aca="false">Sens!$F$1457</f>
        <v>29.249999</v>
      </c>
      <c r="H1457" s="39" t="n">
        <v>0</v>
      </c>
      <c r="I1457" s="39" t="n">
        <v>0</v>
      </c>
      <c r="J1457" s="39" t="n">
        <v>0</v>
      </c>
      <c r="K1457" s="39" t="n">
        <v>0</v>
      </c>
      <c r="L1457" s="39" t="n">
        <v>0</v>
      </c>
      <c r="M1457" s="39" t="n">
        <v>0</v>
      </c>
    </row>
    <row r="1458" customFormat="false" ht="17.15" hidden="false" customHeight="false" outlineLevel="0" collapsed="false">
      <c r="A1458" s="5" t="s">
        <v>801</v>
      </c>
      <c r="B1458" s="0" t="s">
        <v>86</v>
      </c>
      <c r="F1458" s="38" t="n">
        <f aca="false">cash_q2</f>
        <v>122.988</v>
      </c>
      <c r="G1458" s="38" t="n">
        <f aca="false">cash_q2</f>
        <v>122.988</v>
      </c>
      <c r="H1458" s="38" t="n">
        <f aca="false">Sens!$G$1461</f>
        <v>96.2374345615777</v>
      </c>
      <c r="I1458" s="38" t="n">
        <f aca="false">Sens!$H$1461</f>
        <v>83.0604977043336</v>
      </c>
      <c r="J1458" s="38" t="n">
        <f aca="false">Sens!$I$1461</f>
        <v>103.454487699255</v>
      </c>
      <c r="K1458" s="38" t="n">
        <f aca="false">Sens!$J$1461</f>
        <v>157.538730008326</v>
      </c>
      <c r="L1458" s="38" t="n">
        <f aca="false">Sens!$K$1461</f>
        <v>286.872958704441</v>
      </c>
      <c r="M1458" s="38" t="n">
        <f aca="false">Sens!$L$1461</f>
        <v>455.287257864334</v>
      </c>
    </row>
    <row r="1459" customFormat="false" ht="15" hidden="false" customHeight="false" outlineLevel="0" collapsed="false">
      <c r="A1459" s="5" t="s">
        <v>802</v>
      </c>
      <c r="B1459" s="0" t="s">
        <v>86</v>
      </c>
      <c r="F1459" s="38" t="n">
        <f aca="false">Sens!$F$1458+Sens!$F$1455-Sens!$F$1454-Sens!$F$1456+Sens!$F$1457</f>
        <v>96.2374345615777</v>
      </c>
      <c r="H1459" s="38" t="n">
        <f aca="false">Sens!$H$1458+Sens!$H$1455-Sens!$H$1454-Sens!$H$1456+Sens!$H$1457</f>
        <v>83.0604977043336</v>
      </c>
      <c r="I1459" s="38" t="n">
        <f aca="false">Sens!$I$1458+Sens!$I$1455-Sens!$I$1454-Sens!$I$1456+Sens!$I$1457</f>
        <v>103.454487699255</v>
      </c>
      <c r="J1459" s="38" t="n">
        <f aca="false">Sens!$J$1458+Sens!$J$1455-Sens!$J$1454-Sens!$J$1456+Sens!$J$1457</f>
        <v>157.538730008326</v>
      </c>
      <c r="K1459" s="38" t="n">
        <f aca="false">Sens!$K$1458+Sens!$K$1455-Sens!$K$1454-Sens!$K$1456+Sens!$K$1457</f>
        <v>286.872958704441</v>
      </c>
      <c r="L1459" s="38" t="n">
        <f aca="false">Sens!$L$1458+Sens!$L$1455-Sens!$L$1454-Sens!$L$1456+Sens!$L$1457</f>
        <v>455.287257864334</v>
      </c>
      <c r="M1459" s="38" t="n">
        <f aca="false">Sens!$M$1458+Sens!$M$1455-Sens!$M$1454-Sens!$M$1456+Sens!$M$1457</f>
        <v>654.799215721638</v>
      </c>
    </row>
    <row r="1460" customFormat="false" ht="17.15" hidden="false" customHeight="false" outlineLevel="0" collapsed="false">
      <c r="A1460" s="5" t="s">
        <v>803</v>
      </c>
      <c r="B1460" s="0" t="s">
        <v>86</v>
      </c>
      <c r="F1460" s="38" t="n">
        <f aca="false">MAX(0,min_cash-Sens!$F$1459)</f>
        <v>0</v>
      </c>
      <c r="G1460" s="38" t="n">
        <f aca="false">Sens!$F$1460</f>
        <v>0</v>
      </c>
      <c r="H1460" s="38" t="n">
        <f aca="false">MAX(0,min_cash-Sens!$H$1459)</f>
        <v>0</v>
      </c>
      <c r="I1460" s="38" t="n">
        <f aca="false">MAX(0,min_cash-Sens!$I$1459)</f>
        <v>0</v>
      </c>
      <c r="J1460" s="38" t="n">
        <f aca="false">MAX(0,min_cash-Sens!$J$1459)</f>
        <v>0</v>
      </c>
      <c r="K1460" s="38" t="n">
        <f aca="false">MAX(0,min_cash-Sens!$K$1459)</f>
        <v>0</v>
      </c>
      <c r="L1460" s="38" t="n">
        <f aca="false">MAX(0,min_cash-Sens!$L$1459)</f>
        <v>0</v>
      </c>
      <c r="M1460" s="38" t="n">
        <f aca="false">MAX(0,min_cash-Sens!$M$1459)</f>
        <v>0</v>
      </c>
      <c r="P1460" s="5" t="s">
        <v>804</v>
      </c>
    </row>
    <row r="1461" customFormat="false" ht="15" hidden="false" customHeight="false" outlineLevel="0" collapsed="false">
      <c r="A1461" s="5" t="s">
        <v>805</v>
      </c>
      <c r="B1461" s="0" t="s">
        <v>86</v>
      </c>
      <c r="D1461" s="38" t="n">
        <f aca="false">Q!$E$61</f>
        <v>123.029</v>
      </c>
      <c r="E1461" s="38" t="n">
        <f aca="false">Q!$M$61</f>
        <v>122.988</v>
      </c>
      <c r="F1461" s="38" t="n">
        <f aca="false">Sens!$F$1459+Sens!$F$1460</f>
        <v>96.2374345615777</v>
      </c>
      <c r="G1461" s="38" t="n">
        <f aca="false">Sens!$F$1461</f>
        <v>96.2374345615777</v>
      </c>
      <c r="H1461" s="38" t="n">
        <f aca="false">Sens!$H$1459+Sens!$H$1460</f>
        <v>83.0604977043336</v>
      </c>
      <c r="I1461" s="38" t="n">
        <f aca="false">Sens!$I$1459+Sens!$I$1460</f>
        <v>103.454487699255</v>
      </c>
      <c r="J1461" s="38" t="n">
        <f aca="false">Sens!$J$1459+Sens!$J$1460</f>
        <v>157.538730008326</v>
      </c>
      <c r="K1461" s="38" t="n">
        <f aca="false">Sens!$K$1459+Sens!$K$1460</f>
        <v>286.872958704441</v>
      </c>
      <c r="L1461" s="38" t="n">
        <f aca="false">Sens!$L$1459+Sens!$L$1460</f>
        <v>455.287257864334</v>
      </c>
      <c r="M1461" s="38" t="n">
        <f aca="false">Sens!$M$1459+Sens!$M$1460</f>
        <v>654.799215721638</v>
      </c>
    </row>
    <row r="1462" customFormat="false" ht="15" hidden="false" customHeight="false" outlineLevel="0" collapsed="false">
      <c r="A1462" s="5" t="s">
        <v>806</v>
      </c>
      <c r="B1462" s="0" t="s">
        <v>86</v>
      </c>
      <c r="D1462" s="38" t="n">
        <f aca="false">Q!$E$62</f>
        <v>68.836</v>
      </c>
      <c r="E1462" s="38" t="n">
        <f aca="false">Q!$M$62</f>
        <v>132.995</v>
      </c>
      <c r="F1462" s="38" t="n">
        <f aca="false">debt_q2+Sens!$F$1457+Sens!$F$1460</f>
        <v>162.244999</v>
      </c>
      <c r="G1462" s="38" t="n">
        <f aca="false">Sens!$F$1462</f>
        <v>162.244999</v>
      </c>
      <c r="H1462" s="38" t="n">
        <f aca="false">Sens!$G$1462+Sens!$H$1460</f>
        <v>162.244999</v>
      </c>
      <c r="I1462" s="38" t="n">
        <f aca="false">Sens!$H$1462+Sens!$I$1460</f>
        <v>162.244999</v>
      </c>
      <c r="J1462" s="38" t="n">
        <f aca="false">Sens!$I$1462+Sens!$J$1460</f>
        <v>162.244999</v>
      </c>
      <c r="K1462" s="38" t="n">
        <f aca="false">Sens!$J$1462+Sens!$K$1460</f>
        <v>162.244999</v>
      </c>
      <c r="L1462" s="38" t="n">
        <f aca="false">Sens!$K$1462+Sens!$L$1460</f>
        <v>162.244999</v>
      </c>
      <c r="M1462" s="38" t="n">
        <f aca="false">Sens!$L$1462+Sens!$M$1460</f>
        <v>162.244999</v>
      </c>
    </row>
    <row r="1463" customFormat="false" ht="15" hidden="false" customHeight="false" outlineLevel="0" collapsed="false">
      <c r="A1463" s="5" t="s">
        <v>807</v>
      </c>
      <c r="B1463" s="0" t="s">
        <v>86</v>
      </c>
      <c r="D1463" s="38" t="n">
        <f aca="false">Sens!$D$1462-Sens!$D$1461</f>
        <v>-54.193</v>
      </c>
      <c r="E1463" s="38" t="n">
        <f aca="false">Sens!$E$1462-Sens!$E$1461</f>
        <v>10.007</v>
      </c>
      <c r="F1463" s="38" t="n">
        <f aca="false">Sens!$F$1462-Sens!$F$1461</f>
        <v>66.0075644384223</v>
      </c>
      <c r="G1463" s="38" t="n">
        <f aca="false">Sens!$G$1462-Sens!$G$1461</f>
        <v>66.0075644384223</v>
      </c>
      <c r="H1463" s="38" t="n">
        <f aca="false">Sens!$H$1462-Sens!$H$1461</f>
        <v>79.1845012956664</v>
      </c>
      <c r="I1463" s="38" t="n">
        <f aca="false">Sens!$I$1462-Sens!$I$1461</f>
        <v>58.7905113007452</v>
      </c>
      <c r="J1463" s="38" t="n">
        <f aca="false">Sens!$J$1462-Sens!$J$1461</f>
        <v>4.70626899167385</v>
      </c>
      <c r="K1463" s="38" t="n">
        <f aca="false">Sens!$K$1462-Sens!$K$1461</f>
        <v>-124.627959704441</v>
      </c>
      <c r="L1463" s="38" t="n">
        <f aca="false">Sens!$L$1462-Sens!$L$1461</f>
        <v>-293.042258864334</v>
      </c>
      <c r="M1463" s="38" t="n">
        <f aca="false">Sens!$M$1462-Sens!$M$1461</f>
        <v>-492.554216721638</v>
      </c>
    </row>
    <row r="1464" customFormat="false" ht="17.15" hidden="false" customHeight="false" outlineLevel="0" collapsed="false">
      <c r="A1464" s="5" t="s">
        <v>808</v>
      </c>
      <c r="B1464" s="0" t="s">
        <v>86</v>
      </c>
      <c r="F1464" s="38" t="n">
        <f aca="false">debt_q2*kd_book*0.5+iss_2h26*kd_new*iss_t</f>
        <v>3.24888962733561</v>
      </c>
      <c r="H1464" s="38" t="n">
        <f aca="false">debt_q2*kd_book+(Sens!$G$1462-debt_q2)*kd_new</f>
        <v>7.42354172302123</v>
      </c>
      <c r="I1464" s="38" t="n">
        <f aca="false">debt_q2*kd_book+(Sens!$H$1462-debt_q2)*kd_new</f>
        <v>7.42354172302123</v>
      </c>
      <c r="J1464" s="38" t="n">
        <f aca="false">debt_q2*kd_book+(Sens!$I$1462-debt_q2)*kd_new</f>
        <v>7.42354172302123</v>
      </c>
      <c r="K1464" s="38" t="n">
        <f aca="false">debt_q2*kd_book+(Sens!$J$1462-debt_q2)*kd_new</f>
        <v>7.42354172302123</v>
      </c>
      <c r="L1464" s="38" t="n">
        <f aca="false">debt_q2*kd_book+(Sens!$K$1462-debt_q2)*kd_new</f>
        <v>7.42354172302123</v>
      </c>
      <c r="M1464" s="38" t="n">
        <f aca="false">debt_q2*kd_book+(Sens!$L$1462-debt_q2)*kd_new</f>
        <v>7.42354172302123</v>
      </c>
    </row>
    <row r="1465" customFormat="false" ht="17.15" hidden="false" customHeight="false" outlineLevel="0" collapsed="false">
      <c r="A1465" s="5" t="s">
        <v>809</v>
      </c>
      <c r="B1465" s="0" t="s">
        <v>86</v>
      </c>
      <c r="F1465" s="38" t="n">
        <f aca="false">cash_q2*y_cash*0.5</f>
        <v>2.59</v>
      </c>
      <c r="H1465" s="38" t="n">
        <f aca="false">Sens!$G$1461*y_cash</f>
        <v>4.05332155193167</v>
      </c>
      <c r="I1465" s="38" t="n">
        <f aca="false">Sens!$H$1461*y_cash</f>
        <v>3.4983362450682</v>
      </c>
      <c r="J1465" s="38" t="n">
        <f aca="false">Sens!$I$1461*y_cash</f>
        <v>4.35728889226705</v>
      </c>
      <c r="K1465" s="38" t="n">
        <f aca="false">Sens!$J$1461*y_cash</f>
        <v>6.63520523500772</v>
      </c>
      <c r="L1465" s="38" t="n">
        <f aca="false">Sens!$K$1461*y_cash</f>
        <v>12.0824952522929</v>
      </c>
      <c r="M1465" s="38" t="n">
        <f aca="false">Sens!$L$1461*y_cash</f>
        <v>19.1757569497614</v>
      </c>
    </row>
    <row r="1466" customFormat="false" ht="17.15" hidden="false" customHeight="false" outlineLevel="0" collapsed="false">
      <c r="A1466" s="47" t="s">
        <v>810</v>
      </c>
      <c r="B1466" s="14" t="s">
        <v>86</v>
      </c>
      <c r="C1466" s="14"/>
      <c r="D1466" s="14"/>
      <c r="E1466" s="14"/>
      <c r="F1466" s="14"/>
      <c r="G1466" s="48" t="n">
        <f aca="false">SUM(Sens!$G$1455:$K$1455)</f>
        <v>130.243959704441</v>
      </c>
      <c r="H1466" s="14"/>
      <c r="I1466" s="14"/>
      <c r="J1466" s="14"/>
      <c r="K1466" s="14"/>
      <c r="L1466" s="14"/>
      <c r="M1466" s="14"/>
      <c r="N1466" s="14"/>
      <c r="O1466" s="14"/>
    </row>
    <row r="1467" customFormat="false" ht="17.15" hidden="false" customHeight="false" outlineLevel="0" collapsed="false">
      <c r="A1467" s="0" t="s">
        <v>776</v>
      </c>
      <c r="B1467" s="0" t="s">
        <v>86</v>
      </c>
      <c r="G1467" s="38" t="n">
        <f aca="false">SUM(Sens!$G$1460:$K$1460)</f>
        <v>0</v>
      </c>
    </row>
    <row r="1468" customFormat="false" ht="17.15" hidden="false" customHeight="false" outlineLevel="0" collapsed="false">
      <c r="A1468" s="24" t="s">
        <v>813</v>
      </c>
      <c r="B1468" s="25" t="s">
        <v>86</v>
      </c>
      <c r="C1468" s="25"/>
      <c r="D1468" s="25"/>
      <c r="E1468" s="25"/>
      <c r="F1468" s="25"/>
      <c r="G1468" s="41" t="n">
        <f aca="false">Sens!$G$1466-(Sens!$G$1455+Sens!$H$1455+Sens!$I$1455+Sens!$J$1455+Sens!$K$1455)</f>
        <v>0</v>
      </c>
      <c r="H1468" s="25"/>
      <c r="I1468" s="25"/>
      <c r="J1468" s="25"/>
      <c r="K1468" s="25"/>
      <c r="L1468" s="25"/>
      <c r="M1468" s="25"/>
      <c r="N1468" s="25"/>
      <c r="O1468" s="25"/>
    </row>
    <row r="1471" customFormat="false" ht="19.4" hidden="false" customHeight="false" outlineLevel="0" collapsed="false">
      <c r="A1471" s="31" t="s">
        <v>1164</v>
      </c>
    </row>
    <row r="1472" customFormat="false" ht="17.15" hidden="false" customHeight="false" outlineLevel="0" collapsed="false">
      <c r="A1472" s="6" t="s">
        <v>16</v>
      </c>
      <c r="B1472" s="6" t="s">
        <v>17</v>
      </c>
      <c r="C1472" s="20" t="s">
        <v>497</v>
      </c>
      <c r="D1472" s="20" t="s">
        <v>498</v>
      </c>
      <c r="E1472" s="20" t="s">
        <v>580</v>
      </c>
      <c r="F1472" s="20" t="s">
        <v>581</v>
      </c>
      <c r="G1472" s="20" t="s">
        <v>582</v>
      </c>
      <c r="H1472" s="20" t="s">
        <v>583</v>
      </c>
      <c r="I1472" s="20" t="s">
        <v>584</v>
      </c>
      <c r="J1472" s="20" t="s">
        <v>585</v>
      </c>
      <c r="K1472" s="20" t="s">
        <v>586</v>
      </c>
      <c r="L1472" s="20" t="s">
        <v>587</v>
      </c>
      <c r="M1472" s="20" t="s">
        <v>588</v>
      </c>
      <c r="N1472" s="20" t="s">
        <v>589</v>
      </c>
      <c r="O1472" s="20" t="s">
        <v>590</v>
      </c>
      <c r="P1472" s="6" t="s">
        <v>23</v>
      </c>
      <c r="R1472" s="20" t="n">
        <v>2023</v>
      </c>
      <c r="S1472" s="20" t="n">
        <v>2024</v>
      </c>
      <c r="T1472" s="20" t="n">
        <v>2025</v>
      </c>
      <c r="U1472" s="20" t="n">
        <v>2026</v>
      </c>
      <c r="V1472" s="20" t="n">
        <v>2027</v>
      </c>
      <c r="W1472" s="20" t="n">
        <v>2028</v>
      </c>
      <c r="X1472" s="20" t="n">
        <v>2029</v>
      </c>
      <c r="Y1472" s="20" t="n">
        <v>2030</v>
      </c>
      <c r="Z1472" s="20" t="n">
        <v>2031</v>
      </c>
      <c r="AA1472" s="20" t="n">
        <v>2032</v>
      </c>
    </row>
    <row r="1473" customFormat="false" ht="17.15" hidden="false" customHeight="false" outlineLevel="0" collapsed="false">
      <c r="A1473" s="1" t="s">
        <v>915</v>
      </c>
    </row>
    <row r="1474" customFormat="false" ht="17.15" hidden="false" customHeight="false" outlineLevel="0" collapsed="false">
      <c r="A1474" s="0" t="s">
        <v>916</v>
      </c>
      <c r="B1474" s="0" t="s">
        <v>86</v>
      </c>
      <c r="H1474" s="38" t="n">
        <f aca="false">Sens!$H$1408*(1-tax)</f>
        <v>113.86343079962</v>
      </c>
      <c r="I1474" s="38" t="n">
        <f aca="false">Sens!$I$1408*(1-tax)</f>
        <v>136.094858760273</v>
      </c>
      <c r="J1474" s="38" t="n">
        <f aca="false">Sens!$J$1408*(1-tax)</f>
        <v>157.282696455712</v>
      </c>
      <c r="K1474" s="38" t="n">
        <f aca="false">Sens!$K$1408*(1-tax)</f>
        <v>172.865781955328</v>
      </c>
      <c r="L1474" s="38" t="n">
        <f aca="false">Sens!$L$1408*(1-tax)</f>
        <v>186.063304528947</v>
      </c>
      <c r="M1474" s="38" t="n">
        <f aca="false">Sens!$M$1408*(1-tax)</f>
        <v>196.894757567343</v>
      </c>
    </row>
    <row r="1475" customFormat="false" ht="15" hidden="false" customHeight="false" outlineLevel="0" collapsed="false">
      <c r="A1475" s="5" t="s">
        <v>917</v>
      </c>
      <c r="B1475" s="0" t="s">
        <v>86</v>
      </c>
      <c r="H1475" s="38" t="n">
        <f aca="false">Sens!$H$1419</f>
        <v>77.1348643431468</v>
      </c>
      <c r="I1475" s="38" t="n">
        <f aca="false">Sens!$I$1419</f>
        <v>103.195268721213</v>
      </c>
      <c r="J1475" s="38" t="n">
        <f aca="false">Sens!$J$1419</f>
        <v>129.724638420696</v>
      </c>
      <c r="K1475" s="38" t="n">
        <f aca="false">Sens!$K$1419</f>
        <v>156.462740670619</v>
      </c>
      <c r="L1475" s="38" t="n">
        <f aca="false">Sens!$L$1419</f>
        <v>176.956949400365</v>
      </c>
      <c r="M1475" s="38" t="n">
        <f aca="false">Sens!$M$1419</f>
        <v>192.848677609357</v>
      </c>
    </row>
    <row r="1476" customFormat="false" ht="15" hidden="false" customHeight="false" outlineLevel="0" collapsed="false">
      <c r="A1476" s="5" t="s">
        <v>918</v>
      </c>
      <c r="B1476" s="0" t="s">
        <v>86</v>
      </c>
      <c r="H1476" s="38" t="n">
        <f aca="false">Sens!$H$1450</f>
        <v>223.729838598711</v>
      </c>
      <c r="I1476" s="38" t="n">
        <f aca="false">Sens!$I$1450</f>
        <v>235.8201947508</v>
      </c>
      <c r="J1476" s="38" t="n">
        <f aca="false">Sens!$J$1450</f>
        <v>248.154895900741</v>
      </c>
      <c r="K1476" s="38" t="n">
        <f aca="false">Sens!$K$1450</f>
        <v>215.158743915492</v>
      </c>
      <c r="L1476" s="38" t="n">
        <f aca="false">Sens!$L$1450</f>
        <v>214.06114514442</v>
      </c>
      <c r="M1476" s="38" t="n">
        <f aca="false">Sens!$M$1450</f>
        <v>217.094740094389</v>
      </c>
    </row>
    <row r="1477" customFormat="false" ht="15" hidden="false" customHeight="false" outlineLevel="0" collapsed="false">
      <c r="A1477" s="5" t="s">
        <v>919</v>
      </c>
      <c r="B1477" s="0" t="s">
        <v>86</v>
      </c>
      <c r="H1477" s="38" t="n">
        <f aca="false">Sens!$H$1451</f>
        <v>1.6</v>
      </c>
      <c r="I1477" s="38" t="n">
        <f aca="false">Sens!$I$1451</f>
        <v>1.6</v>
      </c>
      <c r="J1477" s="38" t="n">
        <f aca="false">Sens!$J$1451</f>
        <v>1.6</v>
      </c>
      <c r="K1477" s="38" t="n">
        <f aca="false">Sens!$K$1451</f>
        <v>1.6</v>
      </c>
      <c r="L1477" s="38" t="n">
        <f aca="false">Sens!$L$1451</f>
        <v>1.6</v>
      </c>
      <c r="M1477" s="38" t="n">
        <f aca="false">Sens!$M$1451</f>
        <v>1.6</v>
      </c>
    </row>
    <row r="1478" customFormat="false" ht="15" hidden="false" customHeight="false" outlineLevel="0" collapsed="false">
      <c r="A1478" s="5" t="s">
        <v>920</v>
      </c>
      <c r="B1478" s="0" t="s">
        <v>86</v>
      </c>
      <c r="H1478" s="38" t="n">
        <f aca="false">Sens!$H$1445</f>
        <v>11.1728323754091</v>
      </c>
      <c r="I1478" s="38" t="n">
        <f aca="false">Sens!$I$1445</f>
        <v>12.5653033796472</v>
      </c>
      <c r="J1478" s="38" t="n">
        <f aca="false">Sens!$J$1445</f>
        <v>13.892309013329</v>
      </c>
      <c r="K1478" s="38" t="n">
        <f aca="false">Sens!$K$1445</f>
        <v>15.0587356196188</v>
      </c>
      <c r="L1478" s="38" t="n">
        <f aca="false">Sens!$L$1445</f>
        <v>16.1778721027991</v>
      </c>
      <c r="M1478" s="38" t="n">
        <f aca="false">Sens!$M$1445</f>
        <v>17.2541224748558</v>
      </c>
    </row>
    <row r="1479" customFormat="false" ht="17.15" hidden="false" customHeight="false" outlineLevel="0" collapsed="false">
      <c r="A1479" s="1" t="s">
        <v>921</v>
      </c>
      <c r="B1479" s="8" t="s">
        <v>86</v>
      </c>
      <c r="H1479" s="38" t="n">
        <f aca="false">Sens!$H$1474+Sens!$H$1475-Sens!$H$1476+Sens!$H$1478</f>
        <v>-21.5587110805343</v>
      </c>
      <c r="I1479" s="38" t="n">
        <f aca="false">Sens!$I$1474+Sens!$I$1475-Sens!$I$1476+Sens!$I$1478</f>
        <v>16.0352361103327</v>
      </c>
      <c r="J1479" s="38" t="n">
        <f aca="false">Sens!$J$1474+Sens!$J$1475-Sens!$J$1476+Sens!$J$1478</f>
        <v>52.7447479889954</v>
      </c>
      <c r="K1479" s="38" t="n">
        <f aca="false">Sens!$K$1474+Sens!$K$1475-Sens!$K$1476+Sens!$K$1478</f>
        <v>129.228514330074</v>
      </c>
      <c r="L1479" s="38" t="n">
        <f aca="false">Sens!$L$1474+Sens!$L$1475-Sens!$L$1476+Sens!$L$1478</f>
        <v>165.13698088769</v>
      </c>
      <c r="M1479" s="38" t="n">
        <f aca="false">Sens!$M$1474+Sens!$M$1475-Sens!$M$1476+Sens!$M$1478</f>
        <v>189.902817557166</v>
      </c>
    </row>
    <row r="1480" customFormat="false" ht="15" hidden="false" customHeight="false" outlineLevel="0" collapsed="false">
      <c r="A1480" s="5" t="s">
        <v>922</v>
      </c>
      <c r="B1480" s="0" t="s">
        <v>57</v>
      </c>
      <c r="H1480" s="40" t="n">
        <f aca="false">1/(1+wacc)^(2027-2026-0.5)</f>
        <v>0.947751320380232</v>
      </c>
      <c r="I1480" s="40" t="n">
        <f aca="false">1/(1+wacc)^(2028-2026-0.5)</f>
        <v>0.851301099754987</v>
      </c>
      <c r="J1480" s="40" t="n">
        <f aca="false">1/(1+wacc)^(2029-2026-0.5)</f>
        <v>0.764666370660713</v>
      </c>
      <c r="K1480" s="40" t="n">
        <f aca="false">1/(1+wacc)^(2030-2026-0.5)</f>
        <v>0.686848235703811</v>
      </c>
      <c r="L1480" s="40" t="n">
        <f aca="false">1/(1+wacc)^(2031-2026-0.5)</f>
        <v>0.616949452715975</v>
      </c>
      <c r="M1480" s="40" t="n">
        <f aca="false">1/(1+wacc)^(2032-2026-0.5)</f>
        <v>0.554164089562688</v>
      </c>
    </row>
    <row r="1481" customFormat="false" ht="15" hidden="false" customHeight="false" outlineLevel="0" collapsed="false">
      <c r="A1481" s="5" t="s">
        <v>923</v>
      </c>
      <c r="B1481" s="0" t="s">
        <v>86</v>
      </c>
      <c r="H1481" s="38" t="n">
        <f aca="false">Sens!$H$1479*Sens!$H$1480</f>
        <v>-20.4322968922723</v>
      </c>
      <c r="I1481" s="38" t="n">
        <f aca="false">Sens!$I$1479*Sens!$I$1480</f>
        <v>13.6508141355571</v>
      </c>
      <c r="J1481" s="38" t="n">
        <f aca="false">Sens!$J$1479*Sens!$J$1480</f>
        <v>40.332135016159</v>
      </c>
      <c r="K1481" s="38" t="n">
        <f aca="false">Sens!$K$1479*Sens!$K$1480</f>
        <v>88.760377070236</v>
      </c>
      <c r="L1481" s="38" t="n">
        <f aca="false">Sens!$L$1479*Sens!$L$1480</f>
        <v>101.881169981829</v>
      </c>
      <c r="M1481" s="38" t="n">
        <f aca="false">Sens!$M$1479*Sens!$M$1480</f>
        <v>105.237321996956</v>
      </c>
    </row>
    <row r="1482" customFormat="false" ht="15" hidden="false" customHeight="false" outlineLevel="0" collapsed="false">
      <c r="A1482" s="5" t="s">
        <v>924</v>
      </c>
      <c r="B1482" s="0" t="s">
        <v>86</v>
      </c>
      <c r="C1482" s="38" t="n">
        <f aca="false">SUM(Sens!$H$1481:$M$1481)</f>
        <v>329.429521308465</v>
      </c>
    </row>
    <row r="1483" customFormat="false" ht="17.15" hidden="false" customHeight="false" outlineLevel="0" collapsed="false">
      <c r="A1483" s="5" t="s">
        <v>925</v>
      </c>
      <c r="B1483" s="0" t="s">
        <v>86</v>
      </c>
      <c r="C1483" s="38" t="n">
        <f aca="false">Sens!$M$1474*(1+tg)*(1-tg/ronic)/(wacc-tg)</f>
        <v>1789.99305800939</v>
      </c>
    </row>
    <row r="1484" customFormat="false" ht="15" hidden="false" customHeight="false" outlineLevel="0" collapsed="false">
      <c r="A1484" s="5" t="s">
        <v>926</v>
      </c>
      <c r="B1484" s="0" t="s">
        <v>86</v>
      </c>
      <c r="C1484" s="38" t="n">
        <f aca="false">Sens!$C$1483/(1+wacc)^6</f>
        <v>940.121802185586</v>
      </c>
    </row>
    <row r="1485" customFormat="false" ht="17.15" hidden="false" customHeight="false" outlineLevel="0" collapsed="false">
      <c r="A1485" s="5" t="s">
        <v>927</v>
      </c>
      <c r="B1485" s="0" t="s">
        <v>86</v>
      </c>
      <c r="C1485" s="38" t="n">
        <f aca="false">Sens!$C$1482+Sens!$C$1484</f>
        <v>1269.55132349405</v>
      </c>
    </row>
    <row r="1486" customFormat="false" ht="17.15" hidden="false" customHeight="false" outlineLevel="0" collapsed="false">
      <c r="A1486" s="5" t="s">
        <v>928</v>
      </c>
      <c r="B1486" s="0" t="s">
        <v>52</v>
      </c>
      <c r="C1486" s="13" t="n">
        <f aca="false">Sens!$C$1484/Sens!$C$1485</f>
        <v>0.740515003047052</v>
      </c>
    </row>
    <row r="1487" customFormat="false" ht="17.15" hidden="false" customHeight="false" outlineLevel="0" collapsed="false">
      <c r="A1487" s="5" t="s">
        <v>929</v>
      </c>
      <c r="B1487" s="0" t="s">
        <v>86</v>
      </c>
      <c r="C1487" s="38" t="n">
        <f aca="false">Sens!$G$1463+fin_debt</f>
        <v>90.5285644384223</v>
      </c>
    </row>
    <row r="1488" customFormat="false" ht="17.15" hidden="false" customHeight="false" outlineLevel="0" collapsed="false">
      <c r="A1488" s="5" t="s">
        <v>930</v>
      </c>
      <c r="B1488" s="0" t="s">
        <v>86</v>
      </c>
      <c r="C1488" s="38" t="n">
        <f aca="false">(ant_val*ant_sh+oai_val*oai_sh)*(1-liq_disc)</f>
        <v>178.944</v>
      </c>
    </row>
    <row r="1489" customFormat="false" ht="15" hidden="false" customHeight="false" outlineLevel="0" collapsed="false">
      <c r="A1489" s="5" t="s">
        <v>931</v>
      </c>
      <c r="B1489" s="0" t="s">
        <v>86</v>
      </c>
      <c r="C1489" s="38" t="n">
        <f aca="false">Sens!$C$1485-Sens!$C$1487+Sens!$C$1488</f>
        <v>1357.96675905563</v>
      </c>
    </row>
    <row r="1490" customFormat="false" ht="17.15" hidden="false" customHeight="false" outlineLevel="0" collapsed="false">
      <c r="A1490" s="5" t="s">
        <v>932</v>
      </c>
      <c r="B1490" s="0" t="s">
        <v>27</v>
      </c>
      <c r="C1490" s="30" t="n">
        <f aca="false">Sens!$C$1489/sh_out</f>
        <v>125.897202608382</v>
      </c>
    </row>
    <row r="1491" customFormat="false" ht="17.15" hidden="false" customHeight="false" outlineLevel="0" collapsed="false">
      <c r="A1491" s="1" t="s">
        <v>933</v>
      </c>
      <c r="B1491" s="8" t="s">
        <v>27</v>
      </c>
      <c r="C1491" s="30" t="n">
        <f aca="false">Sens!$C$1490*(1+ke)^tp_yf-dps*tp_yf</f>
        <v>137.903873595527</v>
      </c>
    </row>
    <row r="1492" customFormat="false" ht="17.15" hidden="false" customHeight="false" outlineLevel="0" collapsed="false">
      <c r="A1492" s="3" t="s">
        <v>934</v>
      </c>
    </row>
    <row r="1493" customFormat="false" ht="17.15" hidden="false" customHeight="false" outlineLevel="0" collapsed="false">
      <c r="A1493" s="5" t="s">
        <v>935</v>
      </c>
      <c r="B1493" s="0" t="s">
        <v>86</v>
      </c>
      <c r="C1493" s="38" t="n">
        <f aca="false">(1-tp_yf)*(Sens!$H$1420+sbc_ab*Sens!$H$1444*Sens!$H$1284/Sens!$H$1361)+tp_yf*(Sens!$I$1420+sbc_ab*Sens!$I$1444*Sens!$I$1284/Sens!$I$1361)</f>
        <v>59.634664536349</v>
      </c>
    </row>
    <row r="1494" customFormat="false" ht="15" hidden="false" customHeight="false" outlineLevel="0" collapsed="false">
      <c r="A1494" s="5" t="s">
        <v>936</v>
      </c>
      <c r="B1494" s="0" t="s">
        <v>57</v>
      </c>
      <c r="C1494" s="30" t="n">
        <f aca="false">m_ads*m_x</f>
        <v>9.11</v>
      </c>
    </row>
    <row r="1495" customFormat="false" ht="17.15" hidden="false" customHeight="false" outlineLevel="0" collapsed="false">
      <c r="A1495" s="5" t="s">
        <v>937</v>
      </c>
      <c r="B1495" s="0" t="s">
        <v>86</v>
      </c>
      <c r="C1495" s="38" t="n">
        <f aca="false">Sens!$C$1493*Sens!$C$1494</f>
        <v>543.271793926139</v>
      </c>
    </row>
    <row r="1496" customFormat="false" ht="17.15" hidden="false" customHeight="false" outlineLevel="0" collapsed="false">
      <c r="A1496" s="5" t="s">
        <v>938</v>
      </c>
      <c r="B1496" s="0" t="s">
        <v>86</v>
      </c>
      <c r="C1496" s="38" t="n">
        <f aca="false">(1-tp_yf)*(Sens!$H$1421+sbc_ab*Sens!$H$1444*(Sens!$H$1291-Sens!$H$1284)/Sens!$H$1361+IF(internal_ai_reading=2,1,0)*(1-ext_sh)*Sens!$H$1321)+tp_yf*(Sens!$I$1421+sbc_ab*Sens!$I$1444*(Sens!$I$1291-Sens!$I$1284)/Sens!$I$1361+IF(internal_ai_reading=2,1,0)*(1-ext_sh)*Sens!$I$1321)</f>
        <v>51.2224827206816</v>
      </c>
    </row>
    <row r="1497" customFormat="false" ht="17.15" hidden="false" customHeight="false" outlineLevel="0" collapsed="false">
      <c r="A1497" s="5" t="s">
        <v>939</v>
      </c>
      <c r="B1497" s="0" t="s">
        <v>57</v>
      </c>
      <c r="C1497" s="30" t="n">
        <f aca="false">m_retail*m_x</f>
        <v>17.72</v>
      </c>
    </row>
    <row r="1498" customFormat="false" ht="17.15" hidden="false" customHeight="false" outlineLevel="0" collapsed="false">
      <c r="A1498" s="5" t="s">
        <v>940</v>
      </c>
      <c r="B1498" s="0" t="s">
        <v>86</v>
      </c>
      <c r="C1498" s="38" t="n">
        <f aca="false">Sens!$C$1496*Sens!$C$1497</f>
        <v>907.662393810478</v>
      </c>
    </row>
    <row r="1499" customFormat="false" ht="17.15" hidden="false" customHeight="false" outlineLevel="0" collapsed="false">
      <c r="A1499" s="0" t="s">
        <v>941</v>
      </c>
      <c r="B1499" s="0" t="s">
        <v>86</v>
      </c>
      <c r="C1499" s="38" t="n">
        <f aca="false">(1-tp_yf)*(Sens!$H$1422+sbc_ab*Sens!$H$1444*Sens!$H$1359/Sens!$H$1361)+tp_yf*(Sens!$I$1422+sbc_ab*Sens!$I$1444*Sens!$I$1359/Sens!$I$1361)</f>
        <v>96.2439586897193</v>
      </c>
    </row>
    <row r="1500" customFormat="false" ht="17.15" hidden="false" customHeight="false" outlineLevel="0" collapsed="false">
      <c r="A1500" s="0" t="s">
        <v>942</v>
      </c>
      <c r="B1500" s="0" t="s">
        <v>57</v>
      </c>
      <c r="C1500" s="30" t="n">
        <f aca="false">m_cloud*m_x</f>
        <v>13.82</v>
      </c>
    </row>
    <row r="1501" customFormat="false" ht="17.15" hidden="false" customHeight="false" outlineLevel="0" collapsed="false">
      <c r="A1501" s="0" t="s">
        <v>943</v>
      </c>
      <c r="B1501" s="0" t="s">
        <v>86</v>
      </c>
      <c r="C1501" s="38" t="n">
        <f aca="false">Sens!$C$1499*Sens!$C$1500</f>
        <v>1330.09150909192</v>
      </c>
    </row>
    <row r="1502" customFormat="false" ht="17.15" hidden="false" customHeight="false" outlineLevel="0" collapsed="false">
      <c r="A1502" s="0" t="s">
        <v>944</v>
      </c>
      <c r="B1502" s="0" t="s">
        <v>86</v>
      </c>
      <c r="H1502" s="38" t="n">
        <f aca="false">Sens!$H$1340-tax*Sens!$H$1341-ext_sh*Sens!$H$1328</f>
        <v>-82.898015288617</v>
      </c>
      <c r="I1502" s="38" t="n">
        <f aca="false">Sens!$I$1340-tax*Sens!$I$1341-ext_sh*Sens!$I$1328</f>
        <v>-63.1791049072</v>
      </c>
      <c r="J1502" s="38" t="n">
        <f aca="false">Sens!$J$1340-tax*Sens!$J$1341-ext_sh*Sens!$J$1328</f>
        <v>-43.7946218109689</v>
      </c>
      <c r="K1502" s="38" t="n">
        <f aca="false">Sens!$K$1340-tax*Sens!$K$1341-ext_sh*Sens!$K$1328</f>
        <v>8.37547358603058</v>
      </c>
      <c r="L1502" s="38" t="n">
        <f aca="false">Sens!$L$1340-tax*Sens!$L$1341-ext_sh*Sens!$L$1328</f>
        <v>28.5157892728804</v>
      </c>
      <c r="M1502" s="38" t="n">
        <f aca="false">Sens!$M$1340-tax*Sens!$M$1341-ext_sh*Sens!$M$1328</f>
        <v>39.0772742718988</v>
      </c>
    </row>
    <row r="1503" customFormat="false" ht="17.15" hidden="false" customHeight="false" outlineLevel="0" collapsed="false">
      <c r="A1503" s="5" t="s">
        <v>945</v>
      </c>
      <c r="B1503" s="0" t="s">
        <v>86</v>
      </c>
      <c r="H1503" s="38" t="n">
        <f aca="false">Sens!$H$1502*Sens!$H$1480</f>
        <v>-78.5667034466875</v>
      </c>
      <c r="I1503" s="38" t="n">
        <f aca="false">Sens!$I$1502*Sens!$I$1480</f>
        <v>-53.7844414890351</v>
      </c>
      <c r="J1503" s="38" t="n">
        <f aca="false">Sens!$J$1502*Sens!$J$1480</f>
        <v>-33.4882745146521</v>
      </c>
      <c r="K1503" s="38" t="n">
        <f aca="false">Sens!$K$1502*Sens!$K$1480</f>
        <v>5.75267925574897</v>
      </c>
      <c r="L1503" s="38" t="n">
        <f aca="false">Sens!$L$1502*Sens!$L$1480</f>
        <v>17.5928005856676</v>
      </c>
      <c r="M1503" s="38" t="n">
        <f aca="false">Sens!$M$1502*Sens!$M$1480</f>
        <v>21.6552221194783</v>
      </c>
    </row>
    <row r="1504" customFormat="false" ht="17.15" hidden="false" customHeight="false" outlineLevel="0" collapsed="false">
      <c r="A1504" s="5" t="s">
        <v>946</v>
      </c>
      <c r="B1504" s="0" t="s">
        <v>86</v>
      </c>
      <c r="C1504" s="38" t="n">
        <f aca="false">Sens!$M$1341*(1-tax)*(1+tg)*(1-tg/ronic)/(wacc-tg)</f>
        <v>286.063133791511</v>
      </c>
    </row>
    <row r="1505" customFormat="false" ht="17.15" hidden="false" customHeight="false" outlineLevel="0" collapsed="false">
      <c r="A1505" s="0" t="s">
        <v>947</v>
      </c>
      <c r="B1505" s="0" t="s">
        <v>86</v>
      </c>
      <c r="C1505" s="38" t="n">
        <f aca="false">(SUM(Sens!$I$1503:$M$1503)+Sens!$C$1504/(1+wacc)^6)*(1+wacc)^tp_yf</f>
        <v>117.928353239914</v>
      </c>
    </row>
    <row r="1506" customFormat="false" ht="17.15" hidden="false" customHeight="false" outlineLevel="0" collapsed="false">
      <c r="A1506" s="5" t="s">
        <v>948</v>
      </c>
      <c r="B1506" s="0" t="s">
        <v>86</v>
      </c>
      <c r="C1506" s="38" t="n">
        <f aca="false">(1-tp_yf)*(Sens!$H$1423)+tp_yf*(Sens!$I$1423)</f>
        <v>59.9180864011556</v>
      </c>
    </row>
    <row r="1507" customFormat="false" ht="17.15" hidden="false" customHeight="false" outlineLevel="0" collapsed="false">
      <c r="A1507" s="5" t="s">
        <v>949</v>
      </c>
      <c r="B1507" s="0" t="s">
        <v>86</v>
      </c>
      <c r="C1507" s="38" t="n">
        <f aca="false">Sens!$C$1506*m_ai</f>
        <v>359.508518406934</v>
      </c>
    </row>
    <row r="1508" customFormat="false" ht="17.15" hidden="false" customHeight="false" outlineLevel="0" collapsed="false">
      <c r="A1508" s="0" t="s">
        <v>950</v>
      </c>
      <c r="B1508" s="0" t="s">
        <v>86</v>
      </c>
      <c r="C1508" s="38" t="n">
        <f aca="false">IF(ai_leg=1,Sens!$C$1505,Sens!$C$1507)</f>
        <v>117.928353239914</v>
      </c>
    </row>
    <row r="1509" customFormat="false" ht="17.15" hidden="false" customHeight="false" outlineLevel="0" collapsed="false">
      <c r="A1509" s="5" t="s">
        <v>951</v>
      </c>
      <c r="B1509" s="0" t="s">
        <v>86</v>
      </c>
      <c r="C1509" s="38" t="n">
        <f aca="false">Sens!$C$1495+Sens!$C$1498+Sens!$C$1501+Sens!$C$1508</f>
        <v>2898.95405006845</v>
      </c>
    </row>
    <row r="1510" customFormat="false" ht="17.15" hidden="false" customHeight="false" outlineLevel="0" collapsed="false">
      <c r="A1510" s="5" t="s">
        <v>952</v>
      </c>
      <c r="B1510" s="0" t="s">
        <v>86</v>
      </c>
      <c r="C1510" s="38" t="n">
        <f aca="false">Sens!$H$1463+fin_debt</f>
        <v>103.705501295666</v>
      </c>
    </row>
    <row r="1511" customFormat="false" ht="15" hidden="false" customHeight="false" outlineLevel="0" collapsed="false">
      <c r="A1511" s="5" t="s">
        <v>953</v>
      </c>
      <c r="B1511" s="0" t="s">
        <v>86</v>
      </c>
      <c r="C1511" s="38" t="n">
        <f aca="false">Sens!$C$1509-Sens!$C$1510+Sens!$C$1488</f>
        <v>2974.19254877278</v>
      </c>
    </row>
    <row r="1512" customFormat="false" ht="15" hidden="false" customHeight="false" outlineLevel="0" collapsed="false">
      <c r="A1512" s="3" t="s">
        <v>954</v>
      </c>
      <c r="B1512" s="8" t="s">
        <v>27</v>
      </c>
      <c r="C1512" s="30" t="n">
        <f aca="false">Sens!$C$1511/sh_val</f>
        <v>269.638067309125</v>
      </c>
    </row>
    <row r="1513" customFormat="false" ht="17.15" hidden="false" customHeight="false" outlineLevel="0" collapsed="false">
      <c r="A1513" s="47" t="s">
        <v>955</v>
      </c>
      <c r="B1513" s="14" t="s">
        <v>27</v>
      </c>
      <c r="C1513" s="44" t="n">
        <f aca="false">w_dcf*Sens!$C$1491+(1-w_dcf)*Sens!$C$1512</f>
        <v>203.770970452326</v>
      </c>
      <c r="D1513" s="14"/>
      <c r="E1513" s="14"/>
      <c r="F1513" s="14"/>
      <c r="G1513" s="14"/>
      <c r="H1513" s="14"/>
      <c r="I1513" s="14"/>
      <c r="J1513" s="14"/>
      <c r="K1513" s="14"/>
      <c r="L1513" s="14"/>
      <c r="M1513" s="14"/>
      <c r="N1513" s="14"/>
      <c r="O1513" s="14"/>
    </row>
    <row r="1514" customFormat="false" ht="17.15" hidden="false" customHeight="false" outlineLevel="0" collapsed="false">
      <c r="A1514" s="5" t="s">
        <v>956</v>
      </c>
      <c r="B1514" s="0" t="s">
        <v>27</v>
      </c>
      <c r="C1514" s="30" t="n">
        <f aca="false">v022_wdcf*Sens!$C$1491+(1-v022_wdcf)*Sens!$C$1512</f>
        <v>210.357680138006</v>
      </c>
    </row>
    <row r="1515" customFormat="false" ht="17.15" hidden="false" customHeight="false" outlineLevel="0" collapsed="false">
      <c r="A1515" s="5" t="s">
        <v>957</v>
      </c>
      <c r="B1515" s="0" t="s">
        <v>27</v>
      </c>
      <c r="C1515" s="30" t="n">
        <f aca="false">(Sens!$C$1511-Sens!$C$1508+Sens!$C$1507)/sh_val</f>
        <v>291.539544018403</v>
      </c>
    </row>
    <row r="1518" customFormat="false" ht="19.4" hidden="false" customHeight="false" outlineLevel="0" collapsed="false">
      <c r="A1518" s="31" t="s">
        <v>1165</v>
      </c>
    </row>
    <row r="1519" customFormat="false" ht="17.15" hidden="false" customHeight="false" outlineLevel="0" collapsed="false">
      <c r="A1519" s="6" t="s">
        <v>16</v>
      </c>
      <c r="B1519" s="6" t="s">
        <v>17</v>
      </c>
      <c r="C1519" s="20" t="s">
        <v>497</v>
      </c>
      <c r="D1519" s="20" t="s">
        <v>498</v>
      </c>
      <c r="E1519" s="20" t="s">
        <v>580</v>
      </c>
      <c r="F1519" s="20" t="s">
        <v>581</v>
      </c>
      <c r="G1519" s="20" t="s">
        <v>582</v>
      </c>
      <c r="H1519" s="20" t="s">
        <v>583</v>
      </c>
      <c r="I1519" s="20" t="s">
        <v>584</v>
      </c>
      <c r="J1519" s="20" t="s">
        <v>585</v>
      </c>
      <c r="K1519" s="20" t="s">
        <v>586</v>
      </c>
      <c r="L1519" s="20" t="s">
        <v>587</v>
      </c>
      <c r="M1519" s="20" t="s">
        <v>588</v>
      </c>
      <c r="N1519" s="20" t="s">
        <v>589</v>
      </c>
      <c r="O1519" s="20" t="s">
        <v>590</v>
      </c>
      <c r="P1519" s="6" t="s">
        <v>23</v>
      </c>
      <c r="R1519" s="20" t="n">
        <v>2023</v>
      </c>
      <c r="S1519" s="20" t="n">
        <v>2024</v>
      </c>
      <c r="T1519" s="20" t="n">
        <v>2025</v>
      </c>
      <c r="U1519" s="20" t="n">
        <v>2026</v>
      </c>
      <c r="V1519" s="20" t="n">
        <v>2027</v>
      </c>
      <c r="W1519" s="20" t="n">
        <v>2028</v>
      </c>
      <c r="X1519" s="20" t="n">
        <v>2029</v>
      </c>
      <c r="Y1519" s="20" t="n">
        <v>2030</v>
      </c>
      <c r="Z1519" s="20" t="n">
        <v>2031</v>
      </c>
      <c r="AA1519" s="20" t="n">
        <v>2032</v>
      </c>
    </row>
    <row r="1520" customFormat="false" ht="17.15" hidden="false" customHeight="false" outlineLevel="0" collapsed="false">
      <c r="A1520" s="1" t="s">
        <v>666</v>
      </c>
    </row>
    <row r="1521" customFormat="false" ht="17.15" hidden="false" customHeight="false" outlineLevel="0" collapsed="false">
      <c r="A1521" s="0" t="s">
        <v>519</v>
      </c>
      <c r="B1521" s="0" t="s">
        <v>86</v>
      </c>
      <c r="C1521" s="38" t="n">
        <f aca="false">Q!$D$10</f>
        <v>247.029</v>
      </c>
      <c r="D1521" s="38" t="n">
        <f aca="false">Q!$E$10</f>
        <v>269.287</v>
      </c>
      <c r="E1521" s="38" t="n">
        <f aca="false">Q!$P$10</f>
        <v>134.686</v>
      </c>
      <c r="F1521" s="38" t="n">
        <f aca="false">Sens!$O$1521*(1+Sens!$F$1522)*Sens!$F$1533</f>
        <v>158.293876822267</v>
      </c>
      <c r="G1521" s="38" t="n">
        <f aca="false">Sens!$E$1521+Sens!$F$1521</f>
        <v>292.979876822267</v>
      </c>
      <c r="H1521" s="38" t="n">
        <f aca="false">Sens!$G$1521*(1+Sens!$H$1522)</f>
        <v>318.184543087396</v>
      </c>
      <c r="I1521" s="38" t="n">
        <f aca="false">Sens!$H$1521*(1+Sens!$I$1522)</f>
        <v>341.736278761793</v>
      </c>
      <c r="J1521" s="38" t="n">
        <f aca="false">Sens!$I$1521*(1+Sens!$J$1522)</f>
        <v>362.927192787048</v>
      </c>
      <c r="K1521" s="38" t="n">
        <f aca="false">Sens!$J$1521*(1+Sens!$K$1522)</f>
        <v>381.0735524264</v>
      </c>
      <c r="L1521" s="38" t="n">
        <f aca="false">Sens!$K$1521*(1+Sens!$L$1522)</f>
        <v>400.12723004772</v>
      </c>
      <c r="M1521" s="38" t="n">
        <f aca="false">Sens!$L$1521*(1+Sens!$M$1522)</f>
        <v>420.133591550106</v>
      </c>
      <c r="N1521" s="38" t="n">
        <f aca="false">Q!$N$10</f>
        <v>118.892</v>
      </c>
      <c r="O1521" s="38" t="n">
        <f aca="false">Q!$O$10</f>
        <v>150.395</v>
      </c>
      <c r="P1521" s="8" t="s">
        <v>667</v>
      </c>
    </row>
    <row r="1522" customFormat="false" ht="17.15" hidden="false" customHeight="false" outlineLevel="0" collapsed="false">
      <c r="A1522" s="0" t="s">
        <v>668</v>
      </c>
      <c r="B1522" s="0" t="s">
        <v>52</v>
      </c>
      <c r="E1522" s="13" t="n">
        <f aca="false">Sens!$E$1521/Sens!$N$1521-1</f>
        <v>0.132843252699929</v>
      </c>
      <c r="F1522" s="13" t="n">
        <f aca="false">Sens!$O$1521/(Q!$F$10+Q!$G$10)-1</f>
        <v>0.0980382135842941</v>
      </c>
      <c r="G1522" s="13" t="n">
        <f aca="false">Sens!$G$1521/Sens!$D$1521-1</f>
        <v>0.0879837378791657</v>
      </c>
      <c r="H1522" s="13" t="n">
        <f aca="false">Sens!$F$1522+(g_os-Sens!$F$1522)*1/4</f>
        <v>0.0860286601882206</v>
      </c>
      <c r="I1522" s="13" t="n">
        <f aca="false">Sens!$F$1522+(g_os-Sens!$F$1522)*2/4</f>
        <v>0.074019106792147</v>
      </c>
      <c r="J1522" s="13" t="n">
        <f aca="false">Sens!$F$1522+(g_os-Sens!$F$1522)*3/4</f>
        <v>0.0620095533960735</v>
      </c>
      <c r="K1522" s="13" t="n">
        <f aca="false">Sens!$F$1522+(g_os-Sens!$F$1522)*4/4</f>
        <v>0.05</v>
      </c>
      <c r="L1522" s="13" t="n">
        <f aca="false">g_os</f>
        <v>0.05</v>
      </c>
      <c r="M1522" s="13" t="n">
        <f aca="false">g_os</f>
        <v>0.05</v>
      </c>
      <c r="P1522" s="8" t="s">
        <v>669</v>
      </c>
    </row>
    <row r="1523" customFormat="false" ht="17.15" hidden="false" customHeight="false" outlineLevel="0" collapsed="false">
      <c r="A1523" s="0" t="s">
        <v>520</v>
      </c>
      <c r="B1523" s="0" t="s">
        <v>86</v>
      </c>
      <c r="C1523" s="38" t="n">
        <f aca="false">Q!$D$11</f>
        <v>21.215</v>
      </c>
      <c r="D1523" s="38" t="n">
        <f aca="false">Q!$E$11</f>
        <v>22.561</v>
      </c>
      <c r="E1523" s="38" t="n">
        <f aca="false">Q!$P$11</f>
        <v>11.579</v>
      </c>
      <c r="F1523" s="38" t="n">
        <f aca="false">Sens!$O$1523*(1+Sens!$F$1524)*Sens!$F$1533</f>
        <v>11.5938724610325</v>
      </c>
      <c r="G1523" s="38" t="n">
        <f aca="false">Sens!$E$1523+Sens!$F$1523</f>
        <v>23.1728724610325</v>
      </c>
      <c r="H1523" s="38" t="n">
        <f aca="false">Sens!$G$1523*(1+Sens!$H$1524)</f>
        <v>24.353392759506</v>
      </c>
      <c r="I1523" s="38" t="n">
        <f aca="false">Sens!$H$1523*(1+Sens!$I$1524)</f>
        <v>25.4240338872015</v>
      </c>
      <c r="J1523" s="38" t="n">
        <f aca="false">Sens!$I$1523*(1+Sens!$J$1524)</f>
        <v>26.3642491017174</v>
      </c>
      <c r="K1523" s="38" t="n">
        <f aca="false">Sens!$J$1523*(1+Sens!$K$1524)</f>
        <v>27.155176574769</v>
      </c>
      <c r="L1523" s="38" t="n">
        <f aca="false">Sens!$K$1523*(1+Sens!$L$1524)</f>
        <v>27.969831872012</v>
      </c>
      <c r="M1523" s="38" t="n">
        <f aca="false">Sens!$L$1523*(1+Sens!$M$1524)</f>
        <v>28.8089268281724</v>
      </c>
      <c r="N1523" s="38" t="n">
        <f aca="false">Q!$N$11</f>
        <v>11.128</v>
      </c>
      <c r="O1523" s="38" t="n">
        <f aca="false">Q!$O$11</f>
        <v>11.433</v>
      </c>
      <c r="P1523" s="8" t="s">
        <v>667</v>
      </c>
    </row>
    <row r="1524" customFormat="false" ht="17.15" hidden="false" customHeight="false" outlineLevel="0" collapsed="false">
      <c r="A1524" s="0" t="s">
        <v>670</v>
      </c>
      <c r="B1524" s="0" t="s">
        <v>52</v>
      </c>
      <c r="E1524" s="13" t="n">
        <f aca="false">Sens!$E$1523/Sens!$N$1523-1</f>
        <v>0.0405283968368082</v>
      </c>
      <c r="F1524" s="13" t="n">
        <f aca="false">Sens!$O$1523/(Q!$F$11+Q!$G$11)-1</f>
        <v>0.0579254187100955</v>
      </c>
      <c r="G1524" s="13" t="n">
        <f aca="false">Sens!$G$1523/Sens!$D$1523-1</f>
        <v>0.0271208040881397</v>
      </c>
      <c r="H1524" s="13" t="n">
        <f aca="false">Sens!$F$1524+(g_ps-Sens!$F$1524)*1/4</f>
        <v>0.0509440640325716</v>
      </c>
      <c r="I1524" s="13" t="n">
        <f aca="false">Sens!$F$1524+(g_ps-Sens!$F$1524)*2/4</f>
        <v>0.0439627093550477</v>
      </c>
      <c r="J1524" s="13" t="n">
        <f aca="false">Sens!$F$1524+(g_ps-Sens!$F$1524)*3/4</f>
        <v>0.0369813546775239</v>
      </c>
      <c r="K1524" s="13" t="n">
        <f aca="false">Sens!$F$1524+(g_ps-Sens!$F$1524)*4/4</f>
        <v>0.03</v>
      </c>
      <c r="L1524" s="13" t="n">
        <f aca="false">g_ps</f>
        <v>0.03</v>
      </c>
      <c r="M1524" s="13" t="n">
        <f aca="false">g_ps</f>
        <v>0.03</v>
      </c>
      <c r="P1524" s="8" t="s">
        <v>671</v>
      </c>
    </row>
    <row r="1525" customFormat="false" ht="17.15" hidden="false" customHeight="false" outlineLevel="0" collapsed="false">
      <c r="A1525" s="0" t="s">
        <v>521</v>
      </c>
      <c r="B1525" s="0" t="s">
        <v>86</v>
      </c>
      <c r="C1525" s="38" t="n">
        <f aca="false">Q!$D$12</f>
        <v>156.146</v>
      </c>
      <c r="D1525" s="38" t="n">
        <f aca="false">Q!$E$12</f>
        <v>172.162</v>
      </c>
      <c r="E1525" s="38" t="n">
        <f aca="false">Q!$P$12</f>
        <v>88.358</v>
      </c>
      <c r="F1525" s="38" t="n">
        <f aca="false">Sens!$O$1525*(1+Sens!$F$1526)*Sens!$F$1533</f>
        <v>102.004388260171</v>
      </c>
      <c r="G1525" s="38" t="n">
        <f aca="false">Sens!$E$1525+Sens!$F$1525</f>
        <v>190.362388260171</v>
      </c>
      <c r="H1525" s="38" t="n">
        <f aca="false">Sens!$G$1525*(1+Sens!$H$1526)</f>
        <v>210.343106588311</v>
      </c>
      <c r="I1525" s="38" t="n">
        <f aca="false">Sens!$H$1525*(1+Sens!$I$1526)</f>
        <v>229.969728494648</v>
      </c>
      <c r="J1525" s="38" t="n">
        <f aca="false">Sens!$I$1525*(1+Sens!$J$1526)</f>
        <v>248.747636972598</v>
      </c>
      <c r="K1525" s="38" t="n">
        <f aca="false">Sens!$J$1525*(1+Sens!$K$1526)</f>
        <v>266.15997156068</v>
      </c>
      <c r="L1525" s="38" t="n">
        <f aca="false">Sens!$K$1525*(1+Sens!$L$1526)</f>
        <v>284.791169569927</v>
      </c>
      <c r="M1525" s="38" t="n">
        <f aca="false">Sens!$L$1525*(1+Sens!$M$1526)</f>
        <v>304.726551439822</v>
      </c>
      <c r="N1525" s="38" t="n">
        <f aca="false">Q!$N$12</f>
        <v>76.86</v>
      </c>
      <c r="O1525" s="38" t="n">
        <f aca="false">Q!$O$12</f>
        <v>95.302</v>
      </c>
      <c r="P1525" s="8" t="s">
        <v>667</v>
      </c>
    </row>
    <row r="1526" customFormat="false" ht="17.15" hidden="false" customHeight="false" outlineLevel="0" collapsed="false">
      <c r="A1526" s="0" t="s">
        <v>672</v>
      </c>
      <c r="B1526" s="0" t="s">
        <v>52</v>
      </c>
      <c r="E1526" s="13" t="n">
        <f aca="false">Sens!$E$1525/Sens!$N$1525-1</f>
        <v>0.1495966692688</v>
      </c>
      <c r="F1526" s="13" t="n">
        <f aca="false">Sens!$O$1525/(Q!$F$12+Q!$G$12)-1</f>
        <v>0.11661530890813</v>
      </c>
      <c r="G1526" s="13" t="n">
        <f aca="false">Sens!$G$1525/Sens!$D$1525-1</f>
        <v>0.105716640490767</v>
      </c>
      <c r="H1526" s="13" t="n">
        <f aca="false">Sens!$F$1526+(g_sp-Sens!$F$1526)*1/4</f>
        <v>0.104961481681098</v>
      </c>
      <c r="I1526" s="13" t="n">
        <f aca="false">Sens!$F$1526+(g_sp-Sens!$F$1526)*2/4</f>
        <v>0.0933076544540651</v>
      </c>
      <c r="J1526" s="13" t="n">
        <f aca="false">Sens!$F$1526+(g_sp-Sens!$F$1526)*3/4</f>
        <v>0.0816538272270325</v>
      </c>
      <c r="K1526" s="13" t="n">
        <f aca="false">Sens!$F$1526+(g_sp-Sens!$F$1526)*4/4</f>
        <v>0.07</v>
      </c>
      <c r="L1526" s="13" t="n">
        <f aca="false">g_sp</f>
        <v>0.07</v>
      </c>
      <c r="M1526" s="13" t="n">
        <f aca="false">g_sp</f>
        <v>0.07</v>
      </c>
      <c r="P1526" s="8" t="s">
        <v>673</v>
      </c>
    </row>
    <row r="1527" customFormat="false" ht="17.15" hidden="false" customHeight="false" outlineLevel="0" collapsed="false">
      <c r="A1527" s="0" t="s">
        <v>522</v>
      </c>
      <c r="B1527" s="0" t="s">
        <v>86</v>
      </c>
      <c r="C1527" s="38" t="n">
        <f aca="false">Q!$D$13</f>
        <v>56.214</v>
      </c>
      <c r="D1527" s="38" t="n">
        <f aca="false">Q!$E$13</f>
        <v>68.635</v>
      </c>
      <c r="E1527" s="38" t="n">
        <f aca="false">Q!$P$13</f>
        <v>37.052</v>
      </c>
      <c r="F1527" s="38" t="n">
        <f aca="false">Sens!$O$1527*(1+Sens!$F$1528)*Sens!$F$1533</f>
        <v>46.1572219944148</v>
      </c>
      <c r="G1527" s="38" t="n">
        <f aca="false">Sens!$E$1527+Sens!$F$1527</f>
        <v>83.2092219944148</v>
      </c>
      <c r="H1527" s="38" t="n">
        <f aca="false">Sens!$G$1527*(1+Sens!$H$1528)</f>
        <v>99.8969223878976</v>
      </c>
      <c r="I1527" s="38" t="n">
        <f aca="false">Sens!$H$1527*(1+Sens!$I$1528)</f>
        <v>116.583111095496</v>
      </c>
      <c r="J1527" s="38" t="n">
        <f aca="false">Sens!$I$1527*(1+Sens!$J$1528)</f>
        <v>132.148941941952</v>
      </c>
      <c r="K1527" s="38" t="n">
        <f aca="false">Sens!$J$1527*(1+Sens!$K$1528)</f>
        <v>145.363836136147</v>
      </c>
      <c r="L1527" s="38" t="n">
        <f aca="false">Sens!$K$1527*(1+Sens!$L$1528)</f>
        <v>159.900219749762</v>
      </c>
      <c r="M1527" s="38" t="n">
        <f aca="false">Sens!$L$1527*(1+Sens!$M$1528)</f>
        <v>175.890241724738</v>
      </c>
      <c r="N1527" s="38" t="n">
        <f aca="false">Q!$N$13</f>
        <v>29.615</v>
      </c>
      <c r="O1527" s="38" t="n">
        <f aca="false">Q!$O$13</f>
        <v>39.02</v>
      </c>
      <c r="P1527" s="8" t="s">
        <v>667</v>
      </c>
    </row>
    <row r="1528" customFormat="false" ht="17.15" hidden="false" customHeight="false" outlineLevel="0" collapsed="false">
      <c r="A1528" s="0" t="s">
        <v>674</v>
      </c>
      <c r="B1528" s="0" t="s">
        <v>52</v>
      </c>
      <c r="E1528" s="13" t="n">
        <f aca="false">Sens!$E$1527/Sens!$N$1527-1</f>
        <v>0.25112274185379</v>
      </c>
      <c r="F1528" s="13" t="n">
        <f aca="false">Sens!$O$1527/(Q!$F$13+Q!$G$13)-1</f>
        <v>0.234068123596572</v>
      </c>
      <c r="G1528" s="13" t="n">
        <f aca="false">Sens!$G$1527/Sens!$D$1527-1</f>
        <v>0.212343876949294</v>
      </c>
      <c r="H1528" s="13" t="n">
        <f aca="false">Sens!$F$1528+(g_ad-Sens!$F$1528)*1/4</f>
        <v>0.200551092697429</v>
      </c>
      <c r="I1528" s="13" t="n">
        <f aca="false">Sens!$F$1528+(g_ad-Sens!$F$1528)*2/4</f>
        <v>0.167034061798286</v>
      </c>
      <c r="J1528" s="13" t="n">
        <f aca="false">Sens!$F$1528+(g_ad-Sens!$F$1528)*3/4</f>
        <v>0.133517030899143</v>
      </c>
      <c r="K1528" s="13" t="n">
        <f aca="false">Sens!$F$1528+(g_ad-Sens!$F$1528)*4/4</f>
        <v>0.1</v>
      </c>
      <c r="L1528" s="13" t="n">
        <f aca="false">g_ad</f>
        <v>0.1</v>
      </c>
      <c r="M1528" s="13" t="n">
        <f aca="false">g_ad</f>
        <v>0.1</v>
      </c>
      <c r="P1528" s="8" t="s">
        <v>675</v>
      </c>
    </row>
    <row r="1529" customFormat="false" ht="17.15" hidden="false" customHeight="false" outlineLevel="0" collapsed="false">
      <c r="A1529" s="0" t="s">
        <v>523</v>
      </c>
      <c r="B1529" s="0" t="s">
        <v>86</v>
      </c>
      <c r="C1529" s="38" t="n">
        <f aca="false">Q!$D$14</f>
        <v>44.374</v>
      </c>
      <c r="D1529" s="38" t="n">
        <f aca="false">Q!$E$14</f>
        <v>49.619</v>
      </c>
      <c r="E1529" s="38" t="n">
        <f aca="false">Q!$P$14</f>
        <v>27.157</v>
      </c>
      <c r="F1529" s="38" t="n">
        <f aca="false">Sens!$O$1529*(1+Sens!$F$1530)*Sens!$F$1533</f>
        <v>27.7764165988154</v>
      </c>
      <c r="G1529" s="38" t="n">
        <f aca="false">Sens!$E$1529+Sens!$F$1529</f>
        <v>54.9334165988154</v>
      </c>
      <c r="H1529" s="38" t="n">
        <f aca="false">Sens!$G$1529*(1+Sens!$H$1530)</f>
        <v>61.1564112561829</v>
      </c>
      <c r="I1529" s="38" t="n">
        <f aca="false">Sens!$H$1529*(1+Sens!$I$1530)</f>
        <v>67.2020282103945</v>
      </c>
      <c r="J1529" s="38" t="n">
        <f aca="false">Sens!$I$1529*(1+Sens!$J$1530)</f>
        <v>72.8757274028885</v>
      </c>
      <c r="K1529" s="38" t="n">
        <f aca="false">Sens!$J$1529*(1+Sens!$K$1530)</f>
        <v>77.9770283210907</v>
      </c>
      <c r="L1529" s="38" t="n">
        <f aca="false">Sens!$K$1529*(1+Sens!$L$1530)</f>
        <v>83.4354203035671</v>
      </c>
      <c r="M1529" s="38" t="n">
        <f aca="false">Sens!$L$1529*(1+Sens!$M$1530)</f>
        <v>89.2758997248168</v>
      </c>
      <c r="N1529" s="38" t="n">
        <f aca="false">Q!$N$14</f>
        <v>23.923</v>
      </c>
      <c r="O1529" s="38" t="n">
        <f aca="false">Q!$O$14</f>
        <v>25.696</v>
      </c>
      <c r="P1529" s="8" t="s">
        <v>667</v>
      </c>
    </row>
    <row r="1530" customFormat="false" ht="17.15" hidden="false" customHeight="false" outlineLevel="0" collapsed="false">
      <c r="A1530" s="0" t="s">
        <v>676</v>
      </c>
      <c r="B1530" s="0" t="s">
        <v>52</v>
      </c>
      <c r="E1530" s="13" t="n">
        <f aca="false">Sens!$E$1529/Sens!$N$1529-1</f>
        <v>0.135183714417088</v>
      </c>
      <c r="F1530" s="13" t="n">
        <f aca="false">Sens!$O$1529/(Q!$F$14+Q!$G$14)-1</f>
        <v>0.127709997366804</v>
      </c>
      <c r="G1530" s="13" t="n">
        <f aca="false">Sens!$G$1529/Sens!$D$1529-1</f>
        <v>0.107104468022641</v>
      </c>
      <c r="H1530" s="13" t="n">
        <f aca="false">Sens!$F$1530+(g_sub-Sens!$F$1530)*1/4</f>
        <v>0.113282498025103</v>
      </c>
      <c r="I1530" s="13" t="n">
        <f aca="false">Sens!$F$1530+(g_sub-Sens!$F$1530)*2/4</f>
        <v>0.0988549986834021</v>
      </c>
      <c r="J1530" s="13" t="n">
        <f aca="false">Sens!$F$1530+(g_sub-Sens!$F$1530)*3/4</f>
        <v>0.084427499341701</v>
      </c>
      <c r="K1530" s="13" t="n">
        <f aca="false">Sens!$F$1530+(g_sub-Sens!$F$1530)*4/4</f>
        <v>0.07</v>
      </c>
      <c r="L1530" s="13" t="n">
        <f aca="false">g_sub</f>
        <v>0.07</v>
      </c>
      <c r="M1530" s="13" t="n">
        <f aca="false">g_sub</f>
        <v>0.07</v>
      </c>
      <c r="P1530" s="8" t="s">
        <v>677</v>
      </c>
    </row>
    <row r="1531" customFormat="false" ht="17.15" hidden="false" customHeight="false" outlineLevel="0" collapsed="false">
      <c r="A1531" s="0" t="s">
        <v>524</v>
      </c>
      <c r="B1531" s="0" t="s">
        <v>86</v>
      </c>
      <c r="C1531" s="38" t="n">
        <f aca="false">Q!$D$15</f>
        <v>5.425</v>
      </c>
      <c r="D1531" s="38" t="n">
        <f aca="false">Q!$E$15</f>
        <v>5.935</v>
      </c>
      <c r="E1531" s="38" t="n">
        <f aca="false">Q!$P$15</f>
        <v>3.474</v>
      </c>
      <c r="F1531" s="38" t="n">
        <f aca="false">Sens!$O$1531*(1+Sens!$F$1532)*Sens!$F$1533</f>
        <v>3.22246550883619</v>
      </c>
      <c r="G1531" s="38" t="n">
        <f aca="false">Sens!$E$1531+Sens!$F$1531</f>
        <v>6.69646550883619</v>
      </c>
      <c r="H1531" s="38" t="n">
        <f aca="false">Sens!$G$1531*(1+Sens!$H$1532)</f>
        <v>7.16251344209196</v>
      </c>
      <c r="I1531" s="38" t="n">
        <f aca="false">Sens!$H$1531*(1+Sens!$I$1532)</f>
        <v>7.61421070299826</v>
      </c>
      <c r="J1531" s="38" t="n">
        <f aca="false">Sens!$I$1531*(1+Sens!$J$1532)</f>
        <v>8.04465753523932</v>
      </c>
      <c r="K1531" s="38" t="n">
        <f aca="false">Sens!$J$1531*(1+Sens!$K$1532)</f>
        <v>8.44689041200128</v>
      </c>
      <c r="L1531" s="38" t="n">
        <f aca="false">Sens!$K$1531*(1+Sens!$L$1532)</f>
        <v>8.86923493260135</v>
      </c>
      <c r="M1531" s="38" t="n">
        <f aca="false">Sens!$L$1531*(1+Sens!$M$1532)</f>
        <v>9.31269667923142</v>
      </c>
      <c r="N1531" s="38" t="n">
        <f aca="false">Q!$N$15</f>
        <v>2.811</v>
      </c>
      <c r="O1531" s="38" t="n">
        <f aca="false">Q!$O$15</f>
        <v>3.124</v>
      </c>
      <c r="P1531" s="8" t="s">
        <v>667</v>
      </c>
    </row>
    <row r="1532" customFormat="false" ht="17.15" hidden="false" customHeight="false" outlineLevel="0" collapsed="false">
      <c r="A1532" s="0" t="s">
        <v>678</v>
      </c>
      <c r="B1532" s="0" t="s">
        <v>52</v>
      </c>
      <c r="E1532" s="13" t="n">
        <f aca="false">Sens!$E$1531/Sens!$N$1531-1</f>
        <v>0.235859124866596</v>
      </c>
      <c r="F1532" s="13" t="n">
        <f aca="false">Sens!$O$1531/(Q!$F$15+Q!$G$15)-1</f>
        <v>0.0761281433000345</v>
      </c>
      <c r="G1532" s="13" t="n">
        <f aca="false">Sens!$G$1531/Sens!$D$1531-1</f>
        <v>0.128300843948811</v>
      </c>
      <c r="H1532" s="13" t="n">
        <f aca="false">Sens!$F$1532+(g_ot-Sens!$F$1532)*1/4</f>
        <v>0.0695961074750259</v>
      </c>
      <c r="I1532" s="13" t="n">
        <f aca="false">Sens!$F$1532+(g_ot-Sens!$F$1532)*2/4</f>
        <v>0.0630640716500172</v>
      </c>
      <c r="J1532" s="13" t="n">
        <f aca="false">Sens!$F$1532+(g_ot-Sens!$F$1532)*3/4</f>
        <v>0.0565320358250086</v>
      </c>
      <c r="K1532" s="13" t="n">
        <f aca="false">Sens!$F$1532+(g_ot-Sens!$F$1532)*4/4</f>
        <v>0.05</v>
      </c>
      <c r="L1532" s="13" t="n">
        <f aca="false">g_ot</f>
        <v>0.05</v>
      </c>
      <c r="M1532" s="13" t="n">
        <f aca="false">g_ot</f>
        <v>0.05</v>
      </c>
      <c r="P1532" s="8" t="s">
        <v>679</v>
      </c>
    </row>
    <row r="1533" customFormat="false" ht="17.15" hidden="false" customHeight="false" outlineLevel="0" collapsed="false">
      <c r="A1533" s="0" t="s">
        <v>680</v>
      </c>
      <c r="B1533" s="0" t="s">
        <v>57</v>
      </c>
      <c r="F1533" s="40" t="n">
        <f aca="false">(g26q3_mid*Q!$O$8/Q!$J$8-Thesis!$F$86-Thesis!$F$90)/(Sens!$O$1521*(1+Sens!$F$1522)+Sens!$O$1523*(1+Sens!$F$1524)+Sens!$O$1525*(1+Sens!$F$1526)+Sens!$O$1527*(1+Sens!$F$1528)+Sens!$O$1529*(1+Sens!$F$1530)+Sens!$O$1531*(1+Sens!$F$1532))</f>
        <v>0.958546670622329</v>
      </c>
      <c r="P1533" s="8" t="s">
        <v>681</v>
      </c>
    </row>
    <row r="1534" customFormat="false" ht="17.15" hidden="false" customHeight="false" outlineLevel="0" collapsed="false">
      <c r="A1534" s="3" t="s">
        <v>682</v>
      </c>
      <c r="B1534" s="8" t="s">
        <v>86</v>
      </c>
      <c r="C1534" s="38" t="n">
        <f aca="false">Sens!$C$1521+Sens!$C$1523+Sens!$C$1525+Sens!$C$1527+Sens!$C$1529+Sens!$C$1531</f>
        <v>530.403</v>
      </c>
      <c r="D1534" s="38" t="n">
        <f aca="false">Sens!$D$1521+Sens!$D$1523+Sens!$D$1525+Sens!$D$1527+Sens!$D$1529+Sens!$D$1531</f>
        <v>588.199</v>
      </c>
      <c r="E1534" s="38" t="n">
        <f aca="false">Sens!$E$1521+Sens!$E$1523+Sens!$E$1525+Sens!$E$1527+Sens!$E$1529+Sens!$E$1531</f>
        <v>302.306</v>
      </c>
      <c r="F1534" s="38" t="n">
        <f aca="false">Sens!$F$1521+Sens!$F$1523+Sens!$F$1525+Sens!$F$1527+Sens!$F$1529+Sens!$F$1531</f>
        <v>349.048241645537</v>
      </c>
      <c r="G1534" s="38" t="n">
        <f aca="false">Sens!$G$1521+Sens!$G$1523+Sens!$G$1525+Sens!$G$1527+Sens!$G$1529+Sens!$G$1531</f>
        <v>651.354241645537</v>
      </c>
      <c r="H1534" s="38" t="n">
        <f aca="false">Sens!$H$1521+Sens!$H$1523+Sens!$H$1525+Sens!$H$1527+Sens!$H$1529+Sens!$H$1531</f>
        <v>721.096889521386</v>
      </c>
      <c r="I1534" s="38" t="n">
        <f aca="false">Sens!$I$1521+Sens!$I$1523+Sens!$I$1525+Sens!$I$1527+Sens!$I$1529+Sens!$I$1531</f>
        <v>788.529391152531</v>
      </c>
      <c r="J1534" s="38" t="n">
        <f aca="false">Sens!$J$1521+Sens!$J$1523+Sens!$J$1525+Sens!$J$1527+Sens!$J$1529+Sens!$J$1531</f>
        <v>851.108405741443</v>
      </c>
      <c r="K1534" s="38" t="n">
        <f aca="false">Sens!$K$1521+Sens!$K$1523+Sens!$K$1525+Sens!$K$1527+Sens!$K$1529+Sens!$K$1531</f>
        <v>906.176455431088</v>
      </c>
      <c r="L1534" s="38" t="n">
        <f aca="false">Sens!$L$1521+Sens!$L$1523+Sens!$L$1525+Sens!$L$1527+Sens!$L$1529+Sens!$L$1531</f>
        <v>965.093106475589</v>
      </c>
      <c r="M1534" s="38" t="n">
        <f aca="false">Sens!$M$1521+Sens!$M$1523+Sens!$M$1525+Sens!$M$1527+Sens!$M$1529+Sens!$M$1531</f>
        <v>1028.14790794689</v>
      </c>
      <c r="N1534" s="38" t="n">
        <f aca="false">Sens!$N$1521+Sens!$N$1523+Sens!$N$1525+Sens!$N$1527+Sens!$N$1529+Sens!$N$1531</f>
        <v>263.229</v>
      </c>
      <c r="O1534" s="38" t="n">
        <f aca="false">Sens!$O$1521+Sens!$O$1523+Sens!$O$1525+Sens!$O$1527+Sens!$O$1529+Sens!$O$1531</f>
        <v>324.97</v>
      </c>
    </row>
    <row r="1535" customFormat="false" ht="17.15" hidden="false" customHeight="false" outlineLevel="0" collapsed="false">
      <c r="A1535" s="5" t="s">
        <v>683</v>
      </c>
      <c r="B1535" s="0" t="s">
        <v>52</v>
      </c>
      <c r="C1535" s="13" t="n">
        <f aca="false">Q!$D$5/(Q!$D$5+Q!$D$6)</f>
        <v>0.730570905519011</v>
      </c>
      <c r="D1535" s="13" t="n">
        <f aca="false">Q!$E$5/(Q!$E$5+Q!$E$6)</f>
        <v>0.724763217890544</v>
      </c>
      <c r="E1535" s="13" t="n">
        <f aca="false">Q!$P$5/(Q!$P$5+Q!$P$6)</f>
        <v>0.728797972914861</v>
      </c>
      <c r="F1535" s="13" t="n">
        <f aca="false">Sens!$O$1535</f>
        <v>0.718066283041511</v>
      </c>
      <c r="G1535" s="13" t="n">
        <f aca="false">Sens!$G$1536/Sens!$G$1534</f>
        <v>0.723047066202847</v>
      </c>
      <c r="H1535" s="13" t="n">
        <f aca="false">Sens!$G$1535</f>
        <v>0.723047066202847</v>
      </c>
      <c r="I1535" s="13" t="n">
        <f aca="false">Sens!$G$1535</f>
        <v>0.723047066202847</v>
      </c>
      <c r="J1535" s="13" t="n">
        <f aca="false">Sens!$G$1535</f>
        <v>0.723047066202847</v>
      </c>
      <c r="K1535" s="13" t="n">
        <f aca="false">Sens!$G$1535</f>
        <v>0.723047066202847</v>
      </c>
      <c r="L1535" s="13" t="n">
        <f aca="false">Sens!$G$1535</f>
        <v>0.723047066202847</v>
      </c>
      <c r="M1535" s="13" t="n">
        <f aca="false">Sens!$G$1535</f>
        <v>0.723047066202847</v>
      </c>
      <c r="N1535" s="13" t="n">
        <f aca="false">Q!$N$5/(Q!$N$5+Q!$N$6)</f>
        <v>0.733030935041352</v>
      </c>
      <c r="O1535" s="13" t="n">
        <f aca="false">Q!$O$5/(Q!$O$5+Q!$O$6)</f>
        <v>0.718066283041511</v>
      </c>
      <c r="P1535" s="8" t="s">
        <v>684</v>
      </c>
    </row>
    <row r="1536" customFormat="false" ht="17.15" hidden="false" customHeight="false" outlineLevel="0" collapsed="false">
      <c r="A1536" s="1" t="s">
        <v>512</v>
      </c>
      <c r="B1536" s="8" t="s">
        <v>86</v>
      </c>
      <c r="C1536" s="38" t="n">
        <f aca="false">Q!$D$5</f>
        <v>387.497</v>
      </c>
      <c r="D1536" s="38" t="n">
        <f aca="false">Q!$E$5</f>
        <v>426.305</v>
      </c>
      <c r="E1536" s="38" t="n">
        <f aca="false">Q!$P$5</f>
        <v>220.32</v>
      </c>
      <c r="F1536" s="38" t="n">
        <f aca="false">Sens!$F$1534*Sens!$F$1535</f>
        <v>250.639773480586</v>
      </c>
      <c r="G1536" s="38" t="n">
        <f aca="false">Sens!$E$1536+Sens!$F$1536</f>
        <v>470.959773480586</v>
      </c>
      <c r="H1536" s="38" t="n">
        <f aca="false">Sens!$H$1534*Sens!$H$1535</f>
        <v>521.386990416437</v>
      </c>
      <c r="I1536" s="38" t="n">
        <f aca="false">Sens!$I$1534*Sens!$I$1535</f>
        <v>570.143862887555</v>
      </c>
      <c r="J1536" s="38" t="n">
        <f aca="false">Sens!$J$1534*Sens!$J$1535</f>
        <v>615.391435791933</v>
      </c>
      <c r="K1536" s="38" t="n">
        <f aca="false">Sens!$K$1534*Sens!$K$1535</f>
        <v>655.208227561543</v>
      </c>
      <c r="L1536" s="38" t="n">
        <f aca="false">Sens!$L$1534*Sens!$L$1535</f>
        <v>697.807739249767</v>
      </c>
      <c r="M1536" s="38" t="n">
        <f aca="false">Sens!$M$1534*Sens!$M$1535</f>
        <v>743.399328463592</v>
      </c>
      <c r="N1536" s="38" t="n">
        <f aca="false">Q!$N$5</f>
        <v>192.955</v>
      </c>
      <c r="O1536" s="38" t="n">
        <f aca="false">Q!$O$5</f>
        <v>233.35</v>
      </c>
      <c r="P1536" s="5" t="s">
        <v>685</v>
      </c>
    </row>
    <row r="1537" customFormat="false" ht="17.15" hidden="false" customHeight="false" outlineLevel="0" collapsed="false">
      <c r="A1537" s="1" t="s">
        <v>515</v>
      </c>
      <c r="B1537" s="8" t="s">
        <v>86</v>
      </c>
      <c r="C1537" s="38" t="n">
        <f aca="false">Q!$D$6</f>
        <v>142.906</v>
      </c>
      <c r="D1537" s="38" t="n">
        <f aca="false">Q!$E$6</f>
        <v>161.894</v>
      </c>
      <c r="E1537" s="38" t="n">
        <f aca="false">Q!$P$6</f>
        <v>81.986</v>
      </c>
      <c r="F1537" s="38" t="n">
        <f aca="false">Sens!$F$1534*(1-Sens!$F$1535)</f>
        <v>98.408468164951</v>
      </c>
      <c r="G1537" s="38" t="n">
        <f aca="false">Sens!$E$1537+Sens!$F$1537</f>
        <v>180.394468164951</v>
      </c>
      <c r="H1537" s="38" t="n">
        <f aca="false">Sens!$H$1534*(1-Sens!$H$1535)</f>
        <v>199.709899104949</v>
      </c>
      <c r="I1537" s="38" t="n">
        <f aca="false">Sens!$I$1534*(1-Sens!$I$1535)</f>
        <v>218.385528264976</v>
      </c>
      <c r="J1537" s="38" t="n">
        <f aca="false">Sens!$J$1534*(1-Sens!$J$1535)</f>
        <v>235.71696994951</v>
      </c>
      <c r="K1537" s="38" t="n">
        <f aca="false">Sens!$K$1534*(1-Sens!$K$1535)</f>
        <v>250.968227869545</v>
      </c>
      <c r="L1537" s="38" t="n">
        <f aca="false">Sens!$L$1534*(1-Sens!$L$1535)</f>
        <v>267.285367225822</v>
      </c>
      <c r="M1537" s="38" t="n">
        <f aca="false">Sens!$M$1534*(1-Sens!$M$1535)</f>
        <v>284.748579483295</v>
      </c>
      <c r="N1537" s="38" t="n">
        <f aca="false">Q!$N$6</f>
        <v>70.274</v>
      </c>
      <c r="O1537" s="38" t="n">
        <f aca="false">Q!$O$6</f>
        <v>91.62</v>
      </c>
      <c r="P1537" s="5" t="s">
        <v>686</v>
      </c>
    </row>
    <row r="1538" customFormat="false" ht="17.15" hidden="false" customHeight="false" outlineLevel="0" collapsed="false">
      <c r="A1538" s="5" t="s">
        <v>687</v>
      </c>
      <c r="B1538" s="0" t="s">
        <v>86</v>
      </c>
      <c r="C1538" s="38" t="n">
        <f aca="false">Sens!$C$1527*Sens!$C$1535</f>
        <v>41.0683128828457</v>
      </c>
      <c r="D1538" s="38" t="n">
        <f aca="false">Sens!$D$1527*Sens!$D$1535</f>
        <v>49.7441234599175</v>
      </c>
      <c r="E1538" s="38" t="n">
        <f aca="false">Sens!$E$1527*Sens!$E$1535</f>
        <v>27.0034224924414</v>
      </c>
      <c r="F1538" s="38" t="n">
        <f aca="false">Sens!$F$1527*Sens!$F$1535</f>
        <v>33.1439448330513</v>
      </c>
      <c r="G1538" s="38" t="n">
        <f aca="false">Sens!$G$1527*Sens!$G$1535</f>
        <v>60.164183844083</v>
      </c>
      <c r="H1538" s="38" t="n">
        <f aca="false">Sens!$H$1527*Sens!$H$1535</f>
        <v>72.2301766552629</v>
      </c>
      <c r="I1538" s="38" t="n">
        <f aca="false">Sens!$I$1527*Sens!$I$1535</f>
        <v>84.2950764463991</v>
      </c>
      <c r="J1538" s="38" t="n">
        <f aca="false">Sens!$J$1527*Sens!$J$1535</f>
        <v>95.5499047729386</v>
      </c>
      <c r="K1538" s="38" t="n">
        <f aca="false">Sens!$K$1527*Sens!$K$1535</f>
        <v>105.104895250232</v>
      </c>
      <c r="L1538" s="38" t="n">
        <f aca="false">Sens!$L$1527*Sens!$L$1535</f>
        <v>115.615384775256</v>
      </c>
      <c r="M1538" s="38" t="n">
        <f aca="false">Sens!$M$1527*Sens!$M$1535</f>
        <v>127.176923252781</v>
      </c>
      <c r="N1538" s="38" t="n">
        <f aca="false">Sens!$N$1527*Sens!$N$1535</f>
        <v>21.7087111412496</v>
      </c>
      <c r="O1538" s="38" t="n">
        <f aca="false">Sens!$O$1527*Sens!$O$1535</f>
        <v>28.0189463642798</v>
      </c>
      <c r="P1538" s="5" t="s">
        <v>688</v>
      </c>
    </row>
    <row r="1539" customFormat="false" ht="15" hidden="false" customHeight="false" outlineLevel="0" collapsed="false">
      <c r="A1539" s="5" t="s">
        <v>689</v>
      </c>
      <c r="B1539" s="0" t="s">
        <v>86</v>
      </c>
      <c r="C1539" s="38" t="n">
        <f aca="false">Sens!$C$1527-Sens!$C$1538</f>
        <v>15.1456871171543</v>
      </c>
      <c r="D1539" s="38" t="n">
        <f aca="false">Sens!$D$1527-Sens!$D$1538</f>
        <v>18.8908765400825</v>
      </c>
      <c r="E1539" s="38" t="n">
        <f aca="false">Sens!$E$1527-Sens!$E$1538</f>
        <v>10.0485775075586</v>
      </c>
      <c r="F1539" s="38" t="n">
        <f aca="false">Sens!$F$1527-Sens!$F$1538</f>
        <v>13.0132771613635</v>
      </c>
      <c r="G1539" s="38" t="n">
        <f aca="false">Sens!$G$1527-Sens!$G$1538</f>
        <v>23.0450381503318</v>
      </c>
      <c r="H1539" s="38" t="n">
        <f aca="false">Sens!$H$1527-Sens!$H$1538</f>
        <v>27.6667457326347</v>
      </c>
      <c r="I1539" s="38" t="n">
        <f aca="false">Sens!$I$1527-Sens!$I$1538</f>
        <v>32.2880346490971</v>
      </c>
      <c r="J1539" s="38" t="n">
        <f aca="false">Sens!$J$1527-Sens!$J$1538</f>
        <v>36.5990371690132</v>
      </c>
      <c r="K1539" s="38" t="n">
        <f aca="false">Sens!$K$1527-Sens!$K$1538</f>
        <v>40.2589408859145</v>
      </c>
      <c r="L1539" s="38" t="n">
        <f aca="false">Sens!$L$1527-Sens!$L$1538</f>
        <v>44.2848349745059</v>
      </c>
      <c r="M1539" s="38" t="n">
        <f aca="false">Sens!$M$1527-Sens!$M$1538</f>
        <v>48.7133184719565</v>
      </c>
      <c r="N1539" s="38" t="n">
        <f aca="false">Sens!$N$1527-Sens!$N$1538</f>
        <v>7.90628885875037</v>
      </c>
      <c r="O1539" s="38" t="n">
        <f aca="false">Sens!$O$1527-Sens!$O$1538</f>
        <v>11.0010536357202</v>
      </c>
    </row>
    <row r="1540" customFormat="false" ht="19.4" hidden="false" customHeight="false" outlineLevel="0" collapsed="false">
      <c r="A1540" s="31" t="s">
        <v>1166</v>
      </c>
    </row>
    <row r="1541" customFormat="false" ht="17.15" hidden="false" customHeight="false" outlineLevel="0" collapsed="false">
      <c r="A1541" s="6" t="s">
        <v>16</v>
      </c>
      <c r="B1541" s="6" t="s">
        <v>17</v>
      </c>
      <c r="C1541" s="20" t="s">
        <v>497</v>
      </c>
      <c r="D1541" s="20" t="s">
        <v>498</v>
      </c>
      <c r="E1541" s="20" t="s">
        <v>580</v>
      </c>
      <c r="F1541" s="20" t="s">
        <v>581</v>
      </c>
      <c r="G1541" s="20" t="s">
        <v>582</v>
      </c>
      <c r="H1541" s="20" t="s">
        <v>583</v>
      </c>
      <c r="I1541" s="20" t="s">
        <v>584</v>
      </c>
      <c r="J1541" s="20" t="s">
        <v>585</v>
      </c>
      <c r="K1541" s="20" t="s">
        <v>586</v>
      </c>
      <c r="L1541" s="20" t="s">
        <v>587</v>
      </c>
      <c r="M1541" s="20" t="s">
        <v>588</v>
      </c>
      <c r="N1541" s="20" t="s">
        <v>589</v>
      </c>
      <c r="O1541" s="20" t="s">
        <v>590</v>
      </c>
      <c r="P1541" s="6" t="s">
        <v>23</v>
      </c>
      <c r="R1541" s="20" t="n">
        <v>2023</v>
      </c>
      <c r="S1541" s="20" t="n">
        <v>2024</v>
      </c>
      <c r="T1541" s="20" t="n">
        <v>2025</v>
      </c>
      <c r="U1541" s="20" t="n">
        <v>2026</v>
      </c>
      <c r="V1541" s="20" t="n">
        <v>2027</v>
      </c>
      <c r="W1541" s="20" t="n">
        <v>2028</v>
      </c>
      <c r="X1541" s="20" t="n">
        <v>2029</v>
      </c>
      <c r="Y1541" s="20" t="n">
        <v>2030</v>
      </c>
      <c r="Z1541" s="20" t="n">
        <v>2031</v>
      </c>
      <c r="AA1541" s="20" t="n">
        <v>2032</v>
      </c>
    </row>
    <row r="1542" customFormat="false" ht="17.15" hidden="false" customHeight="false" outlineLevel="0" collapsed="false">
      <c r="A1542" s="1" t="s">
        <v>591</v>
      </c>
    </row>
    <row r="1543" customFormat="false" ht="17.15" hidden="false" customHeight="false" outlineLevel="0" collapsed="false">
      <c r="A1543" s="5" t="s">
        <v>592</v>
      </c>
      <c r="B1543" s="0" t="s">
        <v>144</v>
      </c>
      <c r="H1543" s="32" t="n">
        <f aca="false">(pace_B*1.25)</f>
        <v>4542.875</v>
      </c>
      <c r="I1543" s="32" t="n">
        <f aca="false">(pace_B*1.25)</f>
        <v>4542.875</v>
      </c>
      <c r="J1543" s="32" t="n">
        <f aca="false">(pace_B*1.25)</f>
        <v>4542.875</v>
      </c>
      <c r="K1543" s="32" t="n">
        <f aca="false">(pace_B*1.25)+(Sens!$J$1544*tg-(pace_B*1.25))*1/3</f>
        <v>3208.38395833333</v>
      </c>
      <c r="L1543" s="32" t="n">
        <f aca="false">(pace_B*1.25)+(Sens!$J$1544*tg-(pace_B*1.25))*2/3</f>
        <v>1873.89291666667</v>
      </c>
      <c r="M1543" s="32" t="n">
        <f aca="false">(pace_B*1.25)+(Sens!$J$1544*tg-(pace_B*1.25))*3/3</f>
        <v>539.401875</v>
      </c>
      <c r="P1543" s="5" t="s">
        <v>593</v>
      </c>
    </row>
    <row r="1544" customFormat="false" ht="17.15" hidden="false" customHeight="false" outlineLevel="0" collapsed="false">
      <c r="A1544" s="15" t="s">
        <v>594</v>
      </c>
      <c r="B1544" s="14" t="s">
        <v>129</v>
      </c>
      <c r="C1544" s="33" t="n">
        <f aca="false">mw_ye24</f>
        <v>360</v>
      </c>
      <c r="D1544" s="33" t="n">
        <f aca="false">mw_ye25</f>
        <v>1440</v>
      </c>
      <c r="E1544" s="33" t="n">
        <f aca="false">mw_open</f>
        <v>2080</v>
      </c>
      <c r="F1544" s="33" t="n">
        <f aca="false">Sens!$E$1544+(pace_B*1.25)*0.5</f>
        <v>4351.4375</v>
      </c>
      <c r="G1544" s="33" t="n">
        <f aca="false">Sens!$F$1544</f>
        <v>4351.4375</v>
      </c>
      <c r="H1544" s="33" t="n">
        <f aca="false">Sens!$G$1544+Sens!$H$1543</f>
        <v>8894.3125</v>
      </c>
      <c r="I1544" s="33" t="n">
        <f aca="false">Sens!$H$1544+Sens!$I$1543</f>
        <v>13437.1875</v>
      </c>
      <c r="J1544" s="33" t="n">
        <f aca="false">Sens!$I$1544+Sens!$J$1543</f>
        <v>17980.0625</v>
      </c>
      <c r="K1544" s="33" t="n">
        <f aca="false">Sens!$J$1544+Sens!$K$1543</f>
        <v>21188.4464583333</v>
      </c>
      <c r="L1544" s="33" t="n">
        <f aca="false">Sens!$K$1544+Sens!$L$1543</f>
        <v>23062.339375</v>
      </c>
      <c r="M1544" s="33" t="n">
        <f aca="false">Sens!$L$1544+Sens!$M$1543</f>
        <v>23601.74125</v>
      </c>
      <c r="N1544" s="33" t="n">
        <f aca="false">(mw_ye24+mw_ye25)/2</f>
        <v>900</v>
      </c>
      <c r="O1544" s="33" t="n">
        <f aca="false">mw_ye25</f>
        <v>1440</v>
      </c>
      <c r="P1544" s="5" t="s">
        <v>595</v>
      </c>
    </row>
    <row r="1545" customFormat="false" ht="17.15" hidden="false" customHeight="false" outlineLevel="0" collapsed="false">
      <c r="A1545" s="5" t="s">
        <v>596</v>
      </c>
      <c r="B1545" s="0" t="s">
        <v>129</v>
      </c>
      <c r="C1545" s="32" t="n">
        <f aca="false">(mw_ye23+mw_ye24)/2</f>
        <v>240</v>
      </c>
      <c r="D1545" s="32" t="n">
        <f aca="false">(Sens!$C$1544+Sens!$D$1544)/2</f>
        <v>900</v>
      </c>
      <c r="E1545" s="32" t="n">
        <f aca="false">(Sens!$D$1544+Sens!$E$1544)/2</f>
        <v>1760</v>
      </c>
      <c r="F1545" s="32" t="n">
        <f aca="false">(Sens!$E$1544+Sens!$F$1544)/2</f>
        <v>3215.71875</v>
      </c>
      <c r="G1545" s="32" t="n">
        <f aca="false">(Sens!$E$1545+Sens!$F$1545)/2</f>
        <v>2487.859375</v>
      </c>
      <c r="H1545" s="32" t="n">
        <f aca="false">(Sens!$G$1544+Sens!$H$1544)/2</f>
        <v>6622.875</v>
      </c>
      <c r="I1545" s="32" t="n">
        <f aca="false">(Sens!$H$1544+Sens!$I$1544)/2</f>
        <v>11165.75</v>
      </c>
      <c r="J1545" s="32" t="n">
        <f aca="false">(Sens!$I$1544+Sens!$J$1544)/2</f>
        <v>15708.625</v>
      </c>
      <c r="K1545" s="32" t="n">
        <f aca="false">(Sens!$J$1544+Sens!$K$1544)/2</f>
        <v>19584.2544791667</v>
      </c>
      <c r="L1545" s="32" t="n">
        <f aca="false">(Sens!$K$1544+Sens!$L$1544)/2</f>
        <v>22125.3929166667</v>
      </c>
      <c r="M1545" s="32" t="n">
        <f aca="false">(Sens!$L$1544+Sens!$M$1544)/2</f>
        <v>23332.0403125</v>
      </c>
      <c r="N1545" s="32" t="n">
        <f aca="false">(Sens!$C$1544+Sens!$N$1544)/2</f>
        <v>630</v>
      </c>
      <c r="O1545" s="32" t="n">
        <f aca="false">(Sens!$N$1544+Sens!$O$1544)/2</f>
        <v>1170</v>
      </c>
    </row>
    <row r="1546" customFormat="false" ht="15" hidden="false" customHeight="false" outlineLevel="0" collapsed="false">
      <c r="A1546" s="5" t="s">
        <v>597</v>
      </c>
      <c r="B1546" s="5" t="s">
        <v>123</v>
      </c>
      <c r="C1546" s="34" t="n">
        <v>1</v>
      </c>
      <c r="D1546" s="34" t="n">
        <v>1</v>
      </c>
      <c r="E1546" s="34" t="n">
        <v>0.5</v>
      </c>
      <c r="F1546" s="34" t="n">
        <v>0.5</v>
      </c>
      <c r="G1546" s="34" t="n">
        <v>1</v>
      </c>
      <c r="H1546" s="34" t="n">
        <v>1</v>
      </c>
      <c r="I1546" s="34" t="n">
        <v>1</v>
      </c>
      <c r="J1546" s="34" t="n">
        <v>1</v>
      </c>
      <c r="K1546" s="34" t="n">
        <v>1</v>
      </c>
      <c r="L1546" s="34" t="n">
        <v>1</v>
      </c>
      <c r="M1546" s="34" t="n">
        <v>1</v>
      </c>
      <c r="N1546" s="34" t="n">
        <v>0.5</v>
      </c>
      <c r="O1546" s="34" t="n">
        <v>0.5</v>
      </c>
    </row>
    <row r="1547" customFormat="false" ht="17.15" hidden="false" customHeight="false" outlineLevel="0" collapsed="false">
      <c r="A1547" s="5" t="s">
        <v>598</v>
      </c>
      <c r="B1547" s="0" t="s">
        <v>129</v>
      </c>
      <c r="C1547" s="32" t="n">
        <f aca="false">Sens!$C$1544-mw_ye23</f>
        <v>240</v>
      </c>
      <c r="D1547" s="32" t="n">
        <f aca="false">Sens!$D$1544-Sens!$C$1544</f>
        <v>1080</v>
      </c>
      <c r="E1547" s="32" t="n">
        <f aca="false">Sens!$E$1544-Sens!$D$1544</f>
        <v>640</v>
      </c>
      <c r="F1547" s="32" t="n">
        <f aca="false">Sens!$F$1544-Sens!$E$1544</f>
        <v>2271.4375</v>
      </c>
      <c r="G1547" s="32" t="n">
        <f aca="false">Sens!$E$1547+Sens!$F$1547</f>
        <v>2911.4375</v>
      </c>
      <c r="H1547" s="32" t="n">
        <f aca="false">Sens!$H$1544-Sens!$G$1544</f>
        <v>4542.875</v>
      </c>
      <c r="I1547" s="32" t="n">
        <f aca="false">Sens!$I$1544-Sens!$H$1544</f>
        <v>4542.875</v>
      </c>
      <c r="J1547" s="32" t="n">
        <f aca="false">Sens!$J$1544-Sens!$I$1544</f>
        <v>4542.875</v>
      </c>
      <c r="K1547" s="32" t="n">
        <f aca="false">Sens!$K$1544-Sens!$J$1544</f>
        <v>3208.38395833333</v>
      </c>
      <c r="L1547" s="32" t="n">
        <f aca="false">Sens!$L$1544-Sens!$K$1544</f>
        <v>1873.89291666667</v>
      </c>
      <c r="M1547" s="32" t="n">
        <f aca="false">Sens!$M$1544-Sens!$L$1544</f>
        <v>539.401875</v>
      </c>
      <c r="N1547" s="32" t="n">
        <f aca="false">Sens!$N$1544-Sens!$C$1544</f>
        <v>540</v>
      </c>
      <c r="O1547" s="32" t="n">
        <f aca="false">Sens!$O$1544-Sens!$N$1544</f>
        <v>540</v>
      </c>
    </row>
    <row r="1548" customFormat="false" ht="17.15" hidden="false" customHeight="false" outlineLevel="0" collapsed="false">
      <c r="A1548" s="5" t="s">
        <v>599</v>
      </c>
      <c r="B1548" s="0" t="s">
        <v>129</v>
      </c>
      <c r="C1548" s="32" t="n">
        <f aca="false">Sens!$C$1547/ext_sh</f>
        <v>300</v>
      </c>
      <c r="D1548" s="32" t="n">
        <f aca="false">Sens!$D$1547/ext_sh</f>
        <v>1350</v>
      </c>
      <c r="E1548" s="32" t="n">
        <f aca="false">Sens!$E$1547/ext_sh</f>
        <v>800</v>
      </c>
      <c r="F1548" s="32" t="n">
        <f aca="false">Sens!$F$1547/ext_sh</f>
        <v>2839.296875</v>
      </c>
      <c r="G1548" s="32" t="n">
        <f aca="false">Sens!$G$1547/ext_sh</f>
        <v>3639.296875</v>
      </c>
      <c r="H1548" s="32" t="n">
        <f aca="false">Sens!$H$1547/ext_sh</f>
        <v>5678.59375</v>
      </c>
      <c r="I1548" s="32" t="n">
        <f aca="false">Sens!$I$1547/ext_sh</f>
        <v>5678.59375</v>
      </c>
      <c r="J1548" s="32" t="n">
        <f aca="false">Sens!$J$1547/ext_sh</f>
        <v>5678.59375</v>
      </c>
      <c r="K1548" s="32" t="n">
        <f aca="false">Sens!$K$1547/ext_sh</f>
        <v>4010.47994791667</v>
      </c>
      <c r="L1548" s="32" t="n">
        <f aca="false">Sens!$L$1547/ext_sh</f>
        <v>2342.36614583333</v>
      </c>
      <c r="M1548" s="32" t="n">
        <f aca="false">Sens!$M$1547/ext_sh</f>
        <v>674.25234375</v>
      </c>
      <c r="N1548" s="32" t="n">
        <f aca="false">Sens!$N$1547/ext_sh</f>
        <v>675</v>
      </c>
      <c r="O1548" s="32" t="n">
        <f aca="false">Sens!$O$1547/ext_sh</f>
        <v>675</v>
      </c>
      <c r="P1548" s="8" t="s">
        <v>600</v>
      </c>
      <c r="R1548" s="32" t="n">
        <f aca="false">mw_ye23/ext_sh</f>
        <v>150</v>
      </c>
      <c r="S1548" s="32" t="n">
        <f aca="false">Sens!$C$1548</f>
        <v>300</v>
      </c>
      <c r="T1548" s="32" t="n">
        <f aca="false">Sens!$D$1548</f>
        <v>1350</v>
      </c>
      <c r="U1548" s="32" t="n">
        <f aca="false">Sens!$G$1548</f>
        <v>3639.296875</v>
      </c>
      <c r="V1548" s="32" t="n">
        <f aca="false">Sens!$H$1548</f>
        <v>5678.59375</v>
      </c>
      <c r="W1548" s="32" t="n">
        <f aca="false">Sens!$I$1548</f>
        <v>5678.59375</v>
      </c>
      <c r="X1548" s="32" t="n">
        <f aca="false">Sens!$J$1548</f>
        <v>5678.59375</v>
      </c>
      <c r="Y1548" s="32" t="n">
        <f aca="false">Sens!$K$1548</f>
        <v>4010.47994791667</v>
      </c>
      <c r="Z1548" s="32" t="n">
        <f aca="false">Sens!$L$1548</f>
        <v>2342.36614583333</v>
      </c>
      <c r="AA1548" s="32" t="n">
        <f aca="false">Sens!$M$1548</f>
        <v>674.25234375</v>
      </c>
    </row>
    <row r="1549" customFormat="false" ht="17.15" hidden="false" customHeight="false" outlineLevel="0" collapsed="false">
      <c r="A1549" s="1" t="s">
        <v>601</v>
      </c>
    </row>
    <row r="1550" customFormat="false" ht="17.15" hidden="false" customHeight="false" outlineLevel="0" collapsed="false">
      <c r="A1550" s="0" t="s">
        <v>602</v>
      </c>
      <c r="B1550" s="0" t="s">
        <v>52</v>
      </c>
      <c r="F1550" s="35" t="n">
        <f aca="false">na_vr26</f>
        <v>0</v>
      </c>
      <c r="G1550" s="35" t="n">
        <f aca="false">na_vr26</f>
        <v>0</v>
      </c>
      <c r="H1550" s="35" t="n">
        <f aca="false">na_vr27</f>
        <v>0.5</v>
      </c>
      <c r="I1550" s="35" t="n">
        <f aca="false">na_vr28</f>
        <v>1</v>
      </c>
      <c r="J1550" s="35" t="n">
        <f aca="false">na_vr28</f>
        <v>1</v>
      </c>
      <c r="K1550" s="35" t="n">
        <f aca="false">na_vr28</f>
        <v>1</v>
      </c>
      <c r="L1550" s="35" t="n">
        <f aca="false">na_vr28</f>
        <v>1</v>
      </c>
      <c r="M1550" s="35" t="n">
        <f aca="false">na_vr28</f>
        <v>1</v>
      </c>
    </row>
    <row r="1551" customFormat="false" ht="17.15" hidden="false" customHeight="false" outlineLevel="0" collapsed="false">
      <c r="A1551" s="5" t="s">
        <v>603</v>
      </c>
      <c r="B1551" s="0" t="s">
        <v>173</v>
      </c>
      <c r="F1551" s="36" t="n">
        <f aca="false">cust_sh*tk_he_gb300*cf_chip+(1-cust_sh)*((1-Sens!$F$1550)*tk_he_gb300+Sens!$F$1550*tk_he_vr200)</f>
        <v>10.8864110021101</v>
      </c>
      <c r="G1551" s="36" t="n">
        <f aca="false">cust_sh*tk_he_gb300*cf_chip+(1-cust_sh)*((1-Sens!$G$1550)*tk_he_gb300+Sens!$G$1550*tk_he_vr200)</f>
        <v>10.8864110021101</v>
      </c>
      <c r="H1551" s="36" t="n">
        <f aca="false">cust_sh*tk_he_gb300*cf_chip+(1-cust_sh)*((1-Sens!$H$1550)*tk_he_gb300+Sens!$H$1550*tk_he_vr200)</f>
        <v>11.2211760027286</v>
      </c>
      <c r="I1551" s="36" t="n">
        <f aca="false">cust_sh*tk_he_gb300*cf_chip+(1-cust_sh)*((1-Sens!$I$1550)*tk_he_gb300+Sens!$I$1550*tk_he_vr200)</f>
        <v>11.5559410033471</v>
      </c>
      <c r="J1551" s="36" t="n">
        <f aca="false">cust_sh*tk_he_gb300*cf_chip+(1-cust_sh)*((1-Sens!$J$1550)*tk_he_gb300+Sens!$J$1550*tk_he_vr200)</f>
        <v>11.5559410033471</v>
      </c>
      <c r="K1551" s="36" t="n">
        <f aca="false">cust_sh*tk_he_gb300*cf_chip+(1-cust_sh)*((1-Sens!$K$1550)*tk_he_gb300+Sens!$K$1550*tk_he_vr200)</f>
        <v>11.5559410033471</v>
      </c>
      <c r="L1551" s="36" t="n">
        <f aca="false">cust_sh*tk_he_gb300*cf_chip+(1-cust_sh)*((1-Sens!$L$1550)*tk_he_gb300+Sens!$L$1550*tk_he_vr200)</f>
        <v>11.5559410033471</v>
      </c>
      <c r="M1551" s="36" t="n">
        <f aca="false">cust_sh*tk_he_gb300*cf_chip+(1-cust_sh)*((1-Sens!$M$1550)*tk_he_gb300+Sens!$M$1550*tk_he_vr200)</f>
        <v>11.5559410033471</v>
      </c>
    </row>
    <row r="1552" customFormat="false" ht="17.15" hidden="false" customHeight="false" outlineLevel="0" collapsed="false">
      <c r="A1552" s="5" t="s">
        <v>604</v>
      </c>
      <c r="B1552" s="0" t="s">
        <v>173</v>
      </c>
      <c r="F1552" s="36" t="n">
        <f aca="false">cust_sh*tk_ox_gb300+(1-cust_sh)*((1-Sens!$F$1550)*tk_ox_gb300+Sens!$F$1550*tk_ox_vr200)</f>
        <v>1.98263481314457</v>
      </c>
      <c r="G1552" s="36" t="n">
        <f aca="false">cust_sh*tk_ox_gb300+(1-cust_sh)*((1-Sens!$G$1550)*tk_ox_gb300+Sens!$G$1550*tk_ox_vr200)</f>
        <v>1.98263481314457</v>
      </c>
      <c r="H1552" s="36" t="n">
        <f aca="false">cust_sh*tk_ox_gb300+(1-cust_sh)*((1-Sens!$H$1550)*tk_ox_gb300+Sens!$H$1550*tk_ox_vr200)</f>
        <v>2.01034999693694</v>
      </c>
      <c r="I1552" s="36" t="n">
        <f aca="false">cust_sh*tk_ox_gb300+(1-cust_sh)*((1-Sens!$I$1550)*tk_ox_gb300+Sens!$I$1550*tk_ox_vr200)</f>
        <v>2.0380651807293</v>
      </c>
      <c r="J1552" s="36" t="n">
        <f aca="false">cust_sh*tk_ox_gb300+(1-cust_sh)*((1-Sens!$J$1550)*tk_ox_gb300+Sens!$J$1550*tk_ox_vr200)</f>
        <v>2.0380651807293</v>
      </c>
      <c r="K1552" s="36" t="n">
        <f aca="false">cust_sh*tk_ox_gb300+(1-cust_sh)*((1-Sens!$K$1550)*tk_ox_gb300+Sens!$K$1550*tk_ox_vr200)</f>
        <v>2.0380651807293</v>
      </c>
      <c r="L1552" s="36" t="n">
        <f aca="false">cust_sh*tk_ox_gb300+(1-cust_sh)*((1-Sens!$L$1550)*tk_ox_gb300+Sens!$L$1550*tk_ox_vr200)</f>
        <v>2.0380651807293</v>
      </c>
      <c r="M1552" s="36" t="n">
        <f aca="false">cust_sh*tk_ox_gb300+(1-cust_sh)*((1-Sens!$M$1550)*tk_ox_gb300+Sens!$M$1550*tk_ox_vr200)</f>
        <v>2.0380651807293</v>
      </c>
    </row>
    <row r="1553" customFormat="false" ht="17.15" hidden="false" customHeight="false" outlineLevel="0" collapsed="false">
      <c r="A1553" s="5" t="s">
        <v>605</v>
      </c>
      <c r="B1553" s="0" t="s">
        <v>192</v>
      </c>
      <c r="F1553" s="36" t="n">
        <f aca="false">cust_sh*tk_cx_gb300*cf_cx+(1-cust_sh)*((1-Sens!$F$1550)*tk_cx_gb300+Sens!$F$1550*tk_cx_vr200)</f>
        <v>32.237224</v>
      </c>
      <c r="G1553" s="36" t="n">
        <f aca="false">cust_sh*tk_cx_gb300*cf_cx+(1-cust_sh)*((1-Sens!$G$1550)*tk_cx_gb300+Sens!$G$1550*tk_cx_vr200)</f>
        <v>32.237224</v>
      </c>
      <c r="H1553" s="36" t="n">
        <f aca="false">cust_sh*tk_cx_gb300*cf_cx+(1-cust_sh)*((1-Sens!$H$1550)*tk_cx_gb300+Sens!$H$1550*tk_cx_vr200)</f>
        <v>33.574506</v>
      </c>
      <c r="I1553" s="36" t="n">
        <f aca="false">cust_sh*tk_cx_gb300*cf_cx+(1-cust_sh)*((1-Sens!$I$1550)*tk_cx_gb300+Sens!$I$1550*tk_cx_vr200)</f>
        <v>34.911788</v>
      </c>
      <c r="J1553" s="36" t="n">
        <f aca="false">cust_sh*tk_cx_gb300*cf_cx+(1-cust_sh)*((1-Sens!$J$1550)*tk_cx_gb300+Sens!$J$1550*tk_cx_vr200)</f>
        <v>34.911788</v>
      </c>
      <c r="K1553" s="36" t="n">
        <f aca="false">cust_sh*tk_cx_gb300*cf_cx+(1-cust_sh)*((1-Sens!$K$1550)*tk_cx_gb300+Sens!$K$1550*tk_cx_vr200)</f>
        <v>34.911788</v>
      </c>
      <c r="L1553" s="36" t="n">
        <f aca="false">cust_sh*tk_cx_gb300*cf_cx+(1-cust_sh)*((1-Sens!$L$1550)*tk_cx_gb300+Sens!$L$1550*tk_cx_vr200)</f>
        <v>34.911788</v>
      </c>
      <c r="M1553" s="36" t="n">
        <f aca="false">cust_sh*tk_cx_gb300*cf_cx+(1-cust_sh)*((1-Sens!$M$1550)*tk_cx_gb300+Sens!$M$1550*tk_cx_vr200)</f>
        <v>34.911788</v>
      </c>
    </row>
    <row r="1554" customFormat="false" ht="17.15" hidden="false" customHeight="false" outlineLevel="0" collapsed="false">
      <c r="A1554" s="5" t="s">
        <v>606</v>
      </c>
      <c r="B1554" s="0" t="s">
        <v>129</v>
      </c>
      <c r="F1554" s="32" t="n">
        <f aca="false">Sens!$F$1544-mw_open</f>
        <v>2271.4375</v>
      </c>
      <c r="G1554" s="32" t="n">
        <f aca="false">Sens!$F$1554</f>
        <v>2271.4375</v>
      </c>
      <c r="H1554" s="32" t="n">
        <f aca="false">Sens!$H$1544-mw_open</f>
        <v>6814.3125</v>
      </c>
      <c r="I1554" s="32" t="n">
        <f aca="false">Sens!$I$1544-mw_open</f>
        <v>11357.1875</v>
      </c>
      <c r="J1554" s="32" t="n">
        <f aca="false">Sens!$J$1544-mw_open</f>
        <v>15900.0625</v>
      </c>
      <c r="K1554" s="32" t="n">
        <f aca="false">Sens!$K$1544-mw_open</f>
        <v>19108.4464583333</v>
      </c>
      <c r="L1554" s="32" t="n">
        <f aca="false">Sens!$L$1544-mw_open</f>
        <v>20982.339375</v>
      </c>
      <c r="M1554" s="32" t="n">
        <f aca="false">Sens!$M$1544-mw_open</f>
        <v>21521.74125</v>
      </c>
    </row>
    <row r="1555" customFormat="false" ht="17.15" hidden="false" customHeight="false" outlineLevel="0" collapsed="false">
      <c r="A1555" s="0" t="s">
        <v>607</v>
      </c>
      <c r="B1555" s="0" t="s">
        <v>608</v>
      </c>
      <c r="F1555" s="32" t="n">
        <f aca="false">Sens!$F$1547*Sens!$F$1551</f>
        <v>24727.8021906055</v>
      </c>
      <c r="G1555" s="32" t="n">
        <f aca="false">Sens!$F$1555</f>
        <v>24727.8021906055</v>
      </c>
      <c r="H1555" s="32" t="n">
        <f aca="false">Sens!$G$1555+Sens!$H$1547*Sens!$H$1551</f>
        <v>75704.2021240012</v>
      </c>
      <c r="I1555" s="32" t="n">
        <f aca="false">Sens!$H$1555+Sens!$I$1547*Sens!$I$1551</f>
        <v>128201.397609582</v>
      </c>
      <c r="J1555" s="32" t="n">
        <f aca="false">Sens!$I$1555+Sens!$J$1547*Sens!$J$1551</f>
        <v>180698.593095162</v>
      </c>
      <c r="K1555" s="32" t="n">
        <f aca="false">Sens!$J$1555+Sens!$K$1547*Sens!$K$1551</f>
        <v>217774.488833747</v>
      </c>
      <c r="L1555" s="32" t="n">
        <f aca="false">Sens!$K$1555+Sens!$L$1547*Sens!$L$1551</f>
        <v>239429.084825337</v>
      </c>
      <c r="M1555" s="32" t="n">
        <f aca="false">Sens!$L$1555+Sens!$M$1547*Sens!$M$1551</f>
        <v>245662.381069932</v>
      </c>
    </row>
    <row r="1556" customFormat="false" ht="17.15" hidden="false" customHeight="false" outlineLevel="0" collapsed="false">
      <c r="A1556" s="0" t="s">
        <v>609</v>
      </c>
      <c r="B1556" s="0" t="s">
        <v>608</v>
      </c>
      <c r="F1556" s="32" t="n">
        <f aca="false">Sens!$F$1547*Sens!$F$1552</f>
        <v>4503.43106338207</v>
      </c>
      <c r="G1556" s="32" t="n">
        <f aca="false">Sens!$F$1556</f>
        <v>4503.43106338207</v>
      </c>
      <c r="H1556" s="32" t="n">
        <f aca="false">Sens!$G$1556+Sens!$H$1547*Sens!$H$1552</f>
        <v>13636.1998057169</v>
      </c>
      <c r="I1556" s="32" t="n">
        <f aca="false">Sens!$H$1556+Sens!$I$1547*Sens!$I$1552</f>
        <v>22894.8751636226</v>
      </c>
      <c r="J1556" s="32" t="n">
        <f aca="false">Sens!$I$1556+Sens!$J$1547*Sens!$J$1552</f>
        <v>32153.5505215282</v>
      </c>
      <c r="K1556" s="32" t="n">
        <f aca="false">Sens!$J$1556+Sens!$K$1547*Sens!$K$1552</f>
        <v>38692.4461534178</v>
      </c>
      <c r="L1556" s="32" t="n">
        <f aca="false">Sens!$K$1556+Sens!$L$1547*Sens!$L$1552</f>
        <v>42511.5620592914</v>
      </c>
      <c r="M1556" s="32" t="n">
        <f aca="false">Sens!$L$1556+Sens!$M$1547*Sens!$M$1552</f>
        <v>43610.898239149</v>
      </c>
    </row>
    <row r="1557" customFormat="false" ht="17.15" hidden="false" customHeight="false" outlineLevel="0" collapsed="false">
      <c r="A1557" s="5" t="s">
        <v>610</v>
      </c>
      <c r="B1557" s="0" t="s">
        <v>173</v>
      </c>
      <c r="F1557" s="36" t="n">
        <f aca="false">IF(Sens!$F$1554&gt;0,Sens!$F$1555/Sens!$F$1554,Sens!$F$1551)</f>
        <v>10.8864110021101</v>
      </c>
      <c r="G1557" s="36" t="n">
        <f aca="false">IF(Sens!$G$1554&gt;0,Sens!$G$1555/Sens!$G$1554,Sens!$G$1551)</f>
        <v>10.8864110021101</v>
      </c>
      <c r="H1557" s="36" t="n">
        <f aca="false">IF(Sens!$H$1554&gt;0,Sens!$H$1555/Sens!$H$1554,Sens!$H$1551)</f>
        <v>11.1095876691891</v>
      </c>
      <c r="I1557" s="36" t="n">
        <f aca="false">IF(Sens!$I$1554&gt;0,Sens!$I$1555/Sens!$I$1554,Sens!$I$1551)</f>
        <v>11.2881290028523</v>
      </c>
      <c r="J1557" s="36" t="n">
        <f aca="false">IF(Sens!$J$1554&gt;0,Sens!$J$1555/Sens!$J$1554,Sens!$J$1551)</f>
        <v>11.3646467172794</v>
      </c>
      <c r="K1557" s="36" t="n">
        <f aca="false">IF(Sens!$K$1554&gt;0,Sens!$K$1555/Sens!$K$1554,Sens!$K$1551)</f>
        <v>11.3967657867223</v>
      </c>
      <c r="L1557" s="36" t="n">
        <f aca="false">IF(Sens!$L$1554&gt;0,Sens!$L$1555/Sens!$L$1554,Sens!$L$1551)</f>
        <v>11.4109814232922</v>
      </c>
      <c r="M1557" s="36" t="n">
        <f aca="false">IF(Sens!$M$1554&gt;0,Sens!$M$1555/Sens!$M$1554,Sens!$M$1551)</f>
        <v>11.4146145619111</v>
      </c>
    </row>
    <row r="1558" customFormat="false" ht="17.15" hidden="false" customHeight="false" outlineLevel="0" collapsed="false">
      <c r="A1558" s="5" t="s">
        <v>611</v>
      </c>
      <c r="B1558" s="0" t="s">
        <v>173</v>
      </c>
      <c r="F1558" s="36" t="n">
        <f aca="false">IF(Sens!$F$1554&gt;0,Sens!$F$1556/Sens!$F$1554,Sens!$F$1552)</f>
        <v>1.98263481314457</v>
      </c>
      <c r="G1558" s="36" t="n">
        <f aca="false">IF(Sens!$G$1554&gt;0,Sens!$G$1556/Sens!$G$1554,Sens!$G$1552)</f>
        <v>1.98263481314457</v>
      </c>
      <c r="H1558" s="36" t="n">
        <f aca="false">IF(Sens!$H$1554&gt;0,Sens!$H$1556/Sens!$H$1554,Sens!$H$1552)</f>
        <v>2.00111160233948</v>
      </c>
      <c r="I1558" s="36" t="n">
        <f aca="false">IF(Sens!$I$1554&gt;0,Sens!$I$1556/Sens!$I$1554,Sens!$I$1552)</f>
        <v>2.01589303369541</v>
      </c>
      <c r="J1558" s="36" t="n">
        <f aca="false">IF(Sens!$J$1554&gt;0,Sens!$J$1556/Sens!$J$1554,Sens!$J$1552)</f>
        <v>2.02222793284795</v>
      </c>
      <c r="K1558" s="36" t="n">
        <f aca="false">IF(Sens!$K$1554&gt;0,Sens!$K$1556/Sens!$K$1554,Sens!$K$1552)</f>
        <v>2.02488706958926</v>
      </c>
      <c r="L1558" s="36" t="n">
        <f aca="false">IF(Sens!$L$1554&gt;0,Sens!$L$1556/Sens!$L$1554,Sens!$L$1552)</f>
        <v>2.02606398169038</v>
      </c>
      <c r="M1558" s="36" t="n">
        <f aca="false">IF(Sens!$M$1554&gt;0,Sens!$M$1556/Sens!$M$1554,Sens!$M$1552)</f>
        <v>2.0263647691215</v>
      </c>
    </row>
    <row r="1559" customFormat="false" ht="17.15" hidden="false" customHeight="false" outlineLevel="0" collapsed="false">
      <c r="A1559" s="15" t="s">
        <v>612</v>
      </c>
      <c r="B1559" s="14" t="s">
        <v>173</v>
      </c>
      <c r="C1559" s="14"/>
      <c r="D1559" s="14"/>
      <c r="E1559" s="14"/>
      <c r="F1559" s="37" t="n">
        <f aca="false">Sens!$F$1557*k_B</f>
        <v>10.7987645808025</v>
      </c>
      <c r="G1559" s="37" t="n">
        <f aca="false">Sens!$G$1557*k_B</f>
        <v>10.7987645808025</v>
      </c>
      <c r="H1559" s="37" t="n">
        <f aca="false">Sens!$H$1557*k_B</f>
        <v>11.0201444540452</v>
      </c>
      <c r="I1559" s="37" t="n">
        <f aca="false">Sens!$I$1557*k_B</f>
        <v>11.1972483526393</v>
      </c>
      <c r="J1559" s="37" t="n">
        <f aca="false">Sens!$J$1557*k_B</f>
        <v>11.2731500234653</v>
      </c>
      <c r="K1559" s="37" t="n">
        <f aca="false">Sens!$K$1557*k_B</f>
        <v>11.3050105024974</v>
      </c>
      <c r="L1559" s="37" t="n">
        <f aca="false">Sens!$L$1557*k_B</f>
        <v>11.3191116890736</v>
      </c>
      <c r="M1559" s="37" t="n">
        <f aca="false">Sens!$M$1557*k_B</f>
        <v>11.322715577318</v>
      </c>
      <c r="N1559" s="14"/>
      <c r="O1559" s="14"/>
      <c r="P1559" s="5" t="s">
        <v>613</v>
      </c>
    </row>
    <row r="1560" customFormat="false" ht="17.15" hidden="false" customHeight="false" outlineLevel="0" collapsed="false">
      <c r="A1560" s="5" t="s">
        <v>614</v>
      </c>
      <c r="B1560" s="0" t="s">
        <v>129</v>
      </c>
      <c r="F1560" s="32" t="n">
        <f aca="false">Sens!$F$1554/2</f>
        <v>1135.71875</v>
      </c>
      <c r="H1560" s="32" t="n">
        <f aca="false">(Sens!$G$1554+Sens!$H$1554)/2</f>
        <v>4542.875</v>
      </c>
      <c r="I1560" s="32" t="n">
        <f aca="false">(Sens!$H$1554+Sens!$I$1554)/2</f>
        <v>9085.75</v>
      </c>
      <c r="J1560" s="32" t="n">
        <f aca="false">(Sens!$I$1554+Sens!$J$1554)/2</f>
        <v>13628.625</v>
      </c>
      <c r="K1560" s="32" t="n">
        <f aca="false">(Sens!$J$1554+Sens!$K$1554)/2</f>
        <v>17504.2544791667</v>
      </c>
      <c r="L1560" s="32" t="n">
        <f aca="false">(Sens!$K$1554+Sens!$L$1554)/2</f>
        <v>20045.3929166667</v>
      </c>
      <c r="M1560" s="32" t="n">
        <f aca="false">(Sens!$L$1554+Sens!$M$1554)/2</f>
        <v>21252.0403125</v>
      </c>
    </row>
    <row r="1561" customFormat="false" ht="17.15" hidden="false" customHeight="false" outlineLevel="0" collapsed="false">
      <c r="A1561" s="1" t="s">
        <v>615</v>
      </c>
    </row>
    <row r="1562" customFormat="false" ht="17.15" hidden="false" customHeight="false" outlineLevel="0" collapsed="false">
      <c r="A1562" s="1" t="s">
        <v>616</v>
      </c>
      <c r="B1562" s="8" t="s">
        <v>86</v>
      </c>
      <c r="C1562" s="38" t="n">
        <f aca="false">Sens!$C$1545*rpm_open*Sens!$C$1546/1000</f>
        <v>2.32100535697364</v>
      </c>
      <c r="D1562" s="38" t="n">
        <f aca="false">Sens!$D$1545*rpm_open*Sens!$D$1546/1000</f>
        <v>8.70377008865116</v>
      </c>
      <c r="E1562" s="38" t="n">
        <f aca="false">Sens!$E$1545*rpm_open*Sens!$E$1546/1000</f>
        <v>8.51035297557002</v>
      </c>
      <c r="F1562" s="38" t="n">
        <f aca="false">(mw_open*rpm_open+Sens!$F$1560*Sens!$F$1559)*Sens!$F$1546/1000</f>
        <v>16.1898695858458</v>
      </c>
      <c r="G1562" s="38" t="n">
        <f aca="false">Sens!$E$1562+Sens!$F$1562</f>
        <v>24.7002225614158</v>
      </c>
      <c r="H1562" s="38" t="n">
        <f aca="false">(mw_open*rpm_open+Sens!$H$1560*Sens!$H$1559)/1000</f>
        <v>70.1785184971087</v>
      </c>
      <c r="I1562" s="38" t="n">
        <f aca="false">(mw_open*rpm_open+Sens!$I$1560*Sens!$I$1559)/1000</f>
        <v>121.85077898043</v>
      </c>
      <c r="J1562" s="38" t="n">
        <f aca="false">(mw_open*rpm_open+Sens!$J$1560*Sens!$J$1559)/1000</f>
        <v>173.752913998988</v>
      </c>
      <c r="K1562" s="38" t="n">
        <f aca="false">(mw_open*rpm_open+Sens!$K$1560*Sens!$K$1559)/1000</f>
        <v>218.001160485805</v>
      </c>
      <c r="L1562" s="38" t="n">
        <f aca="false">(mw_open*rpm_open+Sens!$L$1560*Sens!$L$1559)/1000</f>
        <v>247.011421035552</v>
      </c>
      <c r="M1562" s="38" t="n">
        <f aca="false">(mw_open*rpm_open+Sens!$M$1560*Sens!$M$1559)/1000</f>
        <v>260.746187656572</v>
      </c>
      <c r="N1562" s="38" t="n">
        <f aca="false">Sens!$N$1545*rpm_open*Sens!$N$1546/1000</f>
        <v>3.04631953102791</v>
      </c>
      <c r="O1562" s="38" t="n">
        <f aca="false">Sens!$O$1545*rpm_open*Sens!$O$1546/1000</f>
        <v>5.65745055762326</v>
      </c>
      <c r="P1562" s="5" t="s">
        <v>617</v>
      </c>
    </row>
    <row r="1563" customFormat="false" ht="17.15" hidden="false" customHeight="false" outlineLevel="0" collapsed="false">
      <c r="A1563" s="5" t="s">
        <v>618</v>
      </c>
      <c r="B1563" s="0" t="s">
        <v>173</v>
      </c>
      <c r="C1563" s="36" t="n">
        <f aca="false">Sens!$C$1562*1000/(Sens!$C$1545*Sens!$C$1546)</f>
        <v>9.67085565405685</v>
      </c>
      <c r="D1563" s="36" t="n">
        <f aca="false">Sens!$D$1562*1000/(Sens!$D$1545*Sens!$D$1546)</f>
        <v>9.67085565405685</v>
      </c>
      <c r="E1563" s="36" t="n">
        <f aca="false">Sens!$E$1562*1000/(Sens!$E$1545*Sens!$E$1546)</f>
        <v>9.67085565405685</v>
      </c>
      <c r="F1563" s="36" t="n">
        <f aca="false">Sens!$F$1562*1000/(Sens!$F$1545*Sens!$F$1546)</f>
        <v>10.0692074428747</v>
      </c>
      <c r="G1563" s="36" t="n">
        <f aca="false">Sens!$G$1562*1000/(Sens!$G$1545*Sens!$G$1546)</f>
        <v>9.92830334769859</v>
      </c>
      <c r="H1563" s="36" t="n">
        <f aca="false">Sens!$H$1562*1000/(Sens!$H$1545*Sens!$H$1546)</f>
        <v>10.5963827638463</v>
      </c>
      <c r="I1563" s="36" t="n">
        <f aca="false">Sens!$I$1562*1000/(Sens!$I$1545*Sens!$I$1546)</f>
        <v>10.9129058935074</v>
      </c>
      <c r="J1563" s="36" t="n">
        <f aca="false">Sens!$J$1562*1000/(Sens!$J$1545*Sens!$J$1546)</f>
        <v>11.0609880876899</v>
      </c>
      <c r="K1563" s="36" t="n">
        <f aca="false">Sens!$K$1562*1000/(Sens!$K$1545*Sens!$K$1546)</f>
        <v>11.1314505598214</v>
      </c>
      <c r="L1563" s="36" t="n">
        <f aca="false">Sens!$L$1562*1000/(Sens!$L$1545*Sens!$L$1546)</f>
        <v>11.1641597492031</v>
      </c>
      <c r="M1563" s="36" t="n">
        <f aca="false">Sens!$M$1562*1000/(Sens!$M$1545*Sens!$M$1546)</f>
        <v>11.1754559037376</v>
      </c>
      <c r="N1563" s="36" t="n">
        <f aca="false">Sens!$N$1562*1000/(Sens!$N$1545*Sens!$N$1546)</f>
        <v>9.67085565405685</v>
      </c>
      <c r="O1563" s="36" t="n">
        <f aca="false">Sens!$O$1562*1000/(Sens!$O$1545*Sens!$O$1546)</f>
        <v>9.67085565405685</v>
      </c>
    </row>
    <row r="1564" customFormat="false" ht="17.15" hidden="false" customHeight="false" outlineLevel="0" collapsed="false">
      <c r="A1564" s="0" t="s">
        <v>619</v>
      </c>
      <c r="B1564" s="0" t="s">
        <v>86</v>
      </c>
      <c r="C1564" s="38" t="n">
        <f aca="false">Sens!$C$1545/ext_sh*(ox_open+rent_mw)*Sens!$C$1546/1000</f>
        <v>0.642569210675032</v>
      </c>
      <c r="D1564" s="38" t="n">
        <f aca="false">Sens!$D$1545/ext_sh*(ox_open+rent_mw)*Sens!$D$1546/1000</f>
        <v>2.40963454003137</v>
      </c>
      <c r="E1564" s="38" t="n">
        <f aca="false">Sens!$E$1545/ext_sh*(ox_open+rent_mw)*Sens!$E$1546/1000</f>
        <v>2.35608710580845</v>
      </c>
      <c r="F1564" s="38" t="n">
        <f aca="false">((mw_open*ox_open+Sens!$F$1560*Sens!$F$1558)/ext_sh+Sens!$F$1545/ext_sh*rent_mw)*Sens!$F$1546/1000</f>
        <v>4.37165824392995</v>
      </c>
      <c r="G1564" s="38" t="n">
        <f aca="false">Sens!$E$1564+Sens!$F$1564</f>
        <v>6.7277453497384</v>
      </c>
      <c r="H1564" s="38" t="n">
        <f aca="false">((mw_open*ox_open+Sens!$H$1560*Sens!$H$1558)/ext_sh+Sens!$H$1545/ext_sh*rent_mw)*Sens!$H$1546/1000</f>
        <v>18.3713886535311</v>
      </c>
      <c r="I1564" s="38" t="n">
        <f aca="false">((mw_open*ox_open+Sens!$I$1560*Sens!$I$1558)/ext_sh+Sens!$I$1545/ext_sh*rent_mw)*Sens!$I$1546/1000</f>
        <v>31.3417196353062</v>
      </c>
      <c r="J1564" s="38" t="n">
        <f aca="false">((mw_open*ox_open+Sens!$J$1560*Sens!$J$1558)/ext_sh+Sens!$J$1545/ext_sh*rent_mw)*Sens!$J$1546/1000</f>
        <v>44.336032829571</v>
      </c>
      <c r="K1564" s="38" t="n">
        <f aca="false">((mw_open*ox_open+Sens!$K$1560*Sens!$K$1558)/ext_sh+Sens!$K$1545/ext_sh*rent_mw)*Sens!$K$1546/1000</f>
        <v>55.4185789625402</v>
      </c>
      <c r="L1564" s="38" t="n">
        <f aca="false">((mw_open*ox_open+Sens!$L$1560*Sens!$L$1558)/ext_sh+Sens!$L$1545/ext_sh*rent_mw)*Sens!$L$1546/1000</f>
        <v>62.6848720996501</v>
      </c>
      <c r="M1564" s="38" t="n">
        <f aca="false">((mw_open*ox_open+Sens!$M$1560*Sens!$M$1558)/ext_sh+Sens!$M$1545/ext_sh*rent_mw)*Sens!$M$1546/1000</f>
        <v>66.1309991296679</v>
      </c>
      <c r="N1564" s="38" t="n">
        <f aca="false">Sens!$N$1545/ext_sh*(ox_open+rent_mw)*Sens!$N$1546/1000</f>
        <v>0.84337208901098</v>
      </c>
      <c r="O1564" s="38" t="n">
        <f aca="false">Sens!$O$1545/ext_sh*(ox_open+rent_mw)*Sens!$O$1546/1000</f>
        <v>1.56626245102039</v>
      </c>
    </row>
    <row r="1565" customFormat="false" ht="17.15" hidden="false" customHeight="false" outlineLevel="0" collapsed="false">
      <c r="A1565" s="0" t="s">
        <v>620</v>
      </c>
      <c r="B1565" s="0" t="s">
        <v>86</v>
      </c>
      <c r="C1565" s="38" t="n">
        <f aca="false">Q!$D$7</f>
        <v>107.556</v>
      </c>
      <c r="D1565" s="38" t="n">
        <f aca="false">Q!$E$7</f>
        <v>128.725</v>
      </c>
      <c r="E1565" s="38" t="n">
        <f aca="false">Q!$P$7</f>
        <v>79.819</v>
      </c>
      <c r="N1565" s="38" t="n">
        <f aca="false">Q!$N$7</f>
        <v>60.14</v>
      </c>
      <c r="O1565" s="38" t="n">
        <f aca="false">Q!$O$7</f>
        <v>68.585</v>
      </c>
    </row>
    <row r="1566" customFormat="false" ht="17.15" hidden="false" customHeight="false" outlineLevel="0" collapsed="false">
      <c r="A1566" s="1" t="s">
        <v>621</v>
      </c>
      <c r="B1566" s="8" t="s">
        <v>86</v>
      </c>
      <c r="C1566" s="38" t="n">
        <f aca="false">Sens!$C$1565-Sens!$C$1562</f>
        <v>105.234994643026</v>
      </c>
      <c r="D1566" s="38" t="n">
        <f aca="false">Sens!$D$1565-Sens!$D$1562</f>
        <v>120.021229911349</v>
      </c>
      <c r="E1566" s="38" t="n">
        <f aca="false">Sens!$E$1565-Sens!$E$1562</f>
        <v>71.30864702443</v>
      </c>
      <c r="F1566" s="38" t="n">
        <f aca="false">Sens!$O$1566*(1+Sens!$F$1567)</f>
        <v>71.7692997942464</v>
      </c>
      <c r="G1566" s="38" t="n">
        <f aca="false">Sens!$E$1566+Sens!$F$1566</f>
        <v>143.077946818676</v>
      </c>
      <c r="H1566" s="38" t="n">
        <f aca="false">Sens!$G$1566*(1+Sens!$H$1567)</f>
        <v>161.017077079203</v>
      </c>
      <c r="I1566" s="38" t="n">
        <f aca="false">Sens!$H$1566*(1+Sens!$I$1567)</f>
        <v>178.769759521457</v>
      </c>
      <c r="J1566" s="38" t="n">
        <f aca="false">Sens!$I$1566*(1+Sens!$J$1567)</f>
        <v>195.775538045907</v>
      </c>
      <c r="K1566" s="38" t="n">
        <f aca="false">Sens!$J$1566*(1+Sens!$K$1567)</f>
        <v>211.43758108958</v>
      </c>
      <c r="L1566" s="38" t="n">
        <f aca="false">Sens!$K$1566*(1+Sens!$L$1567)</f>
        <v>228.352587576746</v>
      </c>
      <c r="M1566" s="38" t="n">
        <f aca="false">Sens!$L$1566*(1+Sens!$M$1567)</f>
        <v>246.620794582886</v>
      </c>
      <c r="N1566" s="38" t="n">
        <f aca="false">Sens!$N$1565-Sens!$N$1562</f>
        <v>57.0936804689721</v>
      </c>
      <c r="O1566" s="38" t="n">
        <f aca="false">Sens!$O$1565-Sens!$O$1562</f>
        <v>62.9275494423768</v>
      </c>
      <c r="P1566" s="5" t="s">
        <v>622</v>
      </c>
    </row>
    <row r="1567" customFormat="false" ht="17.15" hidden="false" customHeight="false" outlineLevel="0" collapsed="false">
      <c r="A1567" s="0" t="s">
        <v>623</v>
      </c>
      <c r="B1567" s="0" t="s">
        <v>52</v>
      </c>
      <c r="D1567" s="13" t="n">
        <f aca="false">Sens!$D$1566/Sens!$C$1566-1</f>
        <v>0.140506827776062</v>
      </c>
      <c r="E1567" s="13" t="n">
        <f aca="false">Sens!$E$1566/Sens!$N$1566-1</f>
        <v>0.248976181579029</v>
      </c>
      <c r="F1567" s="13" t="n">
        <f aca="false">Sens!$D$1567</f>
        <v>0.140506827776062</v>
      </c>
      <c r="G1567" s="13" t="n">
        <f aca="false">Sens!$G$1566/Sens!$D$1566-1</f>
        <v>0.19210532106993</v>
      </c>
      <c r="H1567" s="13" t="n">
        <f aca="false">Sens!$F$1567+(g_awso_lt-Sens!$F$1567)*1/4</f>
        <v>0.125380120832046</v>
      </c>
      <c r="I1567" s="13" t="n">
        <f aca="false">Sens!$F$1567+(g_awso_lt-Sens!$F$1567)*2/4</f>
        <v>0.110253413888031</v>
      </c>
      <c r="J1567" s="13" t="n">
        <f aca="false">Sens!$F$1567+(g_awso_lt-Sens!$F$1567)*3/4</f>
        <v>0.0951267069440154</v>
      </c>
      <c r="K1567" s="13" t="n">
        <f aca="false">Sens!$F$1567+(g_awso_lt-Sens!$F$1567)*4/4</f>
        <v>0.08</v>
      </c>
      <c r="L1567" s="13" t="n">
        <f aca="false">g_awso_lt</f>
        <v>0.08</v>
      </c>
      <c r="M1567" s="13" t="n">
        <f aca="false">g_awso_lt</f>
        <v>0.08</v>
      </c>
      <c r="P1567" s="5" t="s">
        <v>624</v>
      </c>
    </row>
    <row r="1568" customFormat="false" ht="17.15" hidden="false" customHeight="false" outlineLevel="0" collapsed="false">
      <c r="A1568" s="1" t="s">
        <v>625</v>
      </c>
    </row>
    <row r="1569" customFormat="false" ht="17.15" hidden="false" customHeight="false" outlineLevel="0" collapsed="false">
      <c r="A1569" s="0" t="s">
        <v>626</v>
      </c>
      <c r="B1569" s="0" t="s">
        <v>86</v>
      </c>
      <c r="F1569" s="38" t="n">
        <f aca="false">cx_rt*Sens!$F$1534+cx_awso*Sens!$F$1566</f>
        <v>34.9734495387866</v>
      </c>
    </row>
    <row r="1570" customFormat="false" ht="17.15" hidden="false" customHeight="false" outlineLevel="0" collapsed="false">
      <c r="A1570" s="0" t="s">
        <v>627</v>
      </c>
      <c r="B1570" s="0" t="s">
        <v>52</v>
      </c>
      <c r="C1570" s="13" t="n">
        <f aca="false">tk_cx_h100/(tk_cx_h100+tk_fac*(1-colo_sh))</f>
        <v>0.730756458006641</v>
      </c>
      <c r="D1570" s="13" t="n">
        <f aca="false">tk_cx_h100/(tk_cx_h100+tk_fac*(1-colo_sh))</f>
        <v>0.730756458006641</v>
      </c>
      <c r="E1570" s="13" t="n">
        <f aca="false">Sens!$F$1570</f>
        <v>0.760792334328868</v>
      </c>
      <c r="F1570" s="13" t="n">
        <f aca="false">Sens!$F$1553/(Sens!$F$1553+tk_fac*(1-colo_sh))</f>
        <v>0.760792334328868</v>
      </c>
      <c r="G1570" s="13" t="n">
        <f aca="false">Sens!$G$1553/(Sens!$G$1553+tk_fac*(1-colo_sh))</f>
        <v>0.760792334328868</v>
      </c>
      <c r="H1570" s="13" t="n">
        <f aca="false">Sens!$H$1553/(Sens!$H$1553+tk_fac*(1-colo_sh))</f>
        <v>0.768110668862996</v>
      </c>
      <c r="I1570" s="13" t="n">
        <f aca="false">Sens!$I$1553/(Sens!$I$1553+tk_fac*(1-colo_sh))</f>
        <v>0.77499450139483</v>
      </c>
      <c r="J1570" s="13" t="n">
        <f aca="false">Sens!$J$1553/(Sens!$J$1553+tk_fac*(1-colo_sh))</f>
        <v>0.77499450139483</v>
      </c>
      <c r="K1570" s="13" t="n">
        <f aca="false">Sens!$K$1553/(Sens!$K$1553+tk_fac*(1-colo_sh))</f>
        <v>0.77499450139483</v>
      </c>
      <c r="L1570" s="13" t="n">
        <f aca="false">Sens!$L$1553/(Sens!$L$1553+tk_fac*(1-colo_sh))</f>
        <v>0.77499450139483</v>
      </c>
      <c r="M1570" s="13" t="n">
        <f aca="false">Sens!$M$1553/(Sens!$M$1553+tk_fac*(1-colo_sh))</f>
        <v>0.77499450139483</v>
      </c>
    </row>
    <row r="1571" customFormat="false" ht="17.15" hidden="false" customHeight="false" outlineLevel="0" collapsed="false">
      <c r="A1571" s="1" t="s">
        <v>628</v>
      </c>
      <c r="B1571" s="8" t="s">
        <v>86</v>
      </c>
      <c r="C1571" s="38" t="n">
        <f aca="false">Q!$D$46-cx_rt*Q!$D$16-cx_awso*Sens!$C$1566</f>
        <v>25.2781053077374</v>
      </c>
      <c r="D1571" s="38" t="n">
        <f aca="false">Q!$E$46-cx_rt*Q!$E$16-cx_awso*Sens!$D$1566</f>
        <v>69.5686316310026</v>
      </c>
      <c r="E1571" s="38" t="n">
        <f aca="false">Q!$P$46-cx_rt*Q!$P$16-cx_awso*Sens!$E$1566</f>
        <v>64.1899206485108</v>
      </c>
      <c r="F1571" s="38" t="n">
        <f aca="false">MAX(Sens!$F$1548*(Sens!$F$1553+tk_fac*(1-colo_sh))/1000,capex_g26-Q!$P$46-Sens!$F$1569)</f>
        <v>120.310162486875</v>
      </c>
      <c r="G1571" s="38" t="n">
        <f aca="false">Sens!$E$1571+Sens!$F$1571</f>
        <v>184.500083135386</v>
      </c>
      <c r="H1571" s="38" t="n">
        <f aca="false">Sens!$H$1548*(Sens!$H$1553+tk_fac*(1-colo_sh))/1000+Sens!$H$1572</f>
        <v>248.214206180938</v>
      </c>
      <c r="I1571" s="38" t="n">
        <f aca="false">Sens!$I$1548*(Sens!$I$1553+tk_fac*(1-colo_sh))/1000+Sens!$I$1572</f>
        <v>255.808087388125</v>
      </c>
      <c r="J1571" s="38" t="n">
        <f aca="false">Sens!$J$1548*(Sens!$J$1553+tk_fac*(1-colo_sh))/1000+Sens!$J$1572</f>
        <v>261.044855588125</v>
      </c>
      <c r="K1571" s="38" t="n">
        <f aca="false">Sens!$K$1548*(Sens!$K$1553+tk_fac*(1-colo_sh))/1000+Sens!$K$1572</f>
        <v>191.136786872001</v>
      </c>
      <c r="L1571" s="38" t="n">
        <f aca="false">Sens!$L$1548*(Sens!$L$1553+tk_fac*(1-colo_sh))/1000+Sens!$L$1572</f>
        <v>152.649327355877</v>
      </c>
      <c r="M1571" s="38" t="n">
        <f aca="false">Sens!$M$1548*(Sens!$M$1553+tk_fac*(1-colo_sh))/1000+Sens!$M$1572</f>
        <v>157.427937608816</v>
      </c>
      <c r="P1571" s="5" t="s">
        <v>629</v>
      </c>
      <c r="R1571" s="38" t="n">
        <f aca="false">Q!$C$46-cx_rt*Q!$C$16-cx_awso*(Q!$C$7-mw_ye23/2*rpm_open/1000)</f>
        <v>1.50429979529945</v>
      </c>
      <c r="S1571" s="38" t="n">
        <f aca="false">Sens!$C$1571</f>
        <v>25.2781053077374</v>
      </c>
      <c r="T1571" s="38" t="n">
        <f aca="false">Sens!$D$1571</f>
        <v>69.5686316310026</v>
      </c>
      <c r="U1571" s="38" t="n">
        <f aca="false">Sens!$G$1571</f>
        <v>184.500083135386</v>
      </c>
      <c r="V1571" s="38" t="n">
        <f aca="false">Sens!$H$1571</f>
        <v>248.214206180938</v>
      </c>
      <c r="W1571" s="38" t="n">
        <f aca="false">Sens!$I$1571</f>
        <v>255.808087388125</v>
      </c>
      <c r="X1571" s="38" t="n">
        <f aca="false">Sens!$J$1571</f>
        <v>261.044855588125</v>
      </c>
      <c r="Y1571" s="38" t="n">
        <f aca="false">Sens!$K$1571</f>
        <v>191.136786872001</v>
      </c>
      <c r="Z1571" s="38" t="n">
        <f aca="false">Sens!$L$1571</f>
        <v>152.649327355877</v>
      </c>
      <c r="AA1571" s="38" t="n">
        <f aca="false">Sens!$M$1571</f>
        <v>157.427937608816</v>
      </c>
    </row>
    <row r="1572" customFormat="false" ht="17.15" hidden="false" customHeight="false" outlineLevel="0" collapsed="false">
      <c r="A1572" s="0" t="s">
        <v>630</v>
      </c>
      <c r="B1572" s="0" t="s">
        <v>86</v>
      </c>
      <c r="H1572" s="38" t="n">
        <f aca="false">SUMPRODUCT(--(Sens!$R$1541:$AA$1541=2027-tk_life),Sens!$R$1548:$AA$1548)*Sens!$H$1553/1000</f>
        <v>0</v>
      </c>
      <c r="I1572" s="38" t="n">
        <f aca="false">SUMPRODUCT(--(Sens!$R$1541:$AA$1541=2028-tk_life),Sens!$R$1548:$AA$1548)*Sens!$I$1553/1000</f>
        <v>0</v>
      </c>
      <c r="J1572" s="38" t="n">
        <f aca="false">SUMPRODUCT(--(Sens!$R$1541:$AA$1541=2029-tk_life),Sens!$R$1548:$AA$1548)*Sens!$J$1553/1000</f>
        <v>5.2367682</v>
      </c>
      <c r="K1572" s="38" t="n">
        <f aca="false">SUMPRODUCT(--(Sens!$R$1541:$AA$1541=2030-tk_life),Sens!$R$1548:$AA$1548)*Sens!$K$1553/1000</f>
        <v>10.4735364</v>
      </c>
      <c r="L1572" s="38" t="n">
        <f aca="false">SUMPRODUCT(--(Sens!$R$1541:$AA$1541=2031-tk_life),Sens!$R$1548:$AA$1548)*Sens!$L$1553/1000</f>
        <v>47.1309138</v>
      </c>
      <c r="M1572" s="38" t="n">
        <f aca="false">SUMPRODUCT(--(Sens!$R$1541:$AA$1541=2032-tk_life),Sens!$R$1548:$AA$1548)*Sens!$M$1553/1000</f>
        <v>127.054360969063</v>
      </c>
    </row>
    <row r="1573" customFormat="false" ht="17.15" hidden="false" customHeight="false" outlineLevel="0" collapsed="false">
      <c r="A1573" s="0" t="s">
        <v>631</v>
      </c>
      <c r="B1573" s="0" t="s">
        <v>86</v>
      </c>
      <c r="C1573" s="38" t="n">
        <f aca="false">MIN(Sens!$C$1571,Sens!$C$1548*(tk_cx_h100+tk_fac*(1-colo_sh))/1000)</f>
        <v>11.2938642</v>
      </c>
      <c r="D1573" s="38" t="n">
        <f aca="false">MIN(Sens!$D$1571,Sens!$D$1548*(tk_cx_h100+tk_fac*(1-colo_sh))/1000)</f>
        <v>50.8223889</v>
      </c>
      <c r="E1573" s="38" t="n">
        <f aca="false">MIN(Sens!$E$1571,Sens!$E$1548*(Sens!$F$1553+tk_fac*(1-colo_sh))/1000)</f>
        <v>33.8985792</v>
      </c>
      <c r="F1573" s="38" t="n">
        <f aca="false">Sens!$F$1571</f>
        <v>120.310162486875</v>
      </c>
      <c r="G1573" s="38" t="n">
        <f aca="false">Sens!$E$1573+Sens!$F$1573</f>
        <v>154.208741686875</v>
      </c>
      <c r="H1573" s="38" t="n">
        <f aca="false">Sens!$H$1571</f>
        <v>248.214206180938</v>
      </c>
      <c r="I1573" s="38" t="n">
        <f aca="false">Sens!$I$1571</f>
        <v>255.808087388125</v>
      </c>
      <c r="J1573" s="38" t="n">
        <f aca="false">Sens!$J$1571</f>
        <v>261.044855588125</v>
      </c>
      <c r="K1573" s="38" t="n">
        <f aca="false">Sens!$K$1571</f>
        <v>191.136786872001</v>
      </c>
      <c r="L1573" s="38" t="n">
        <f aca="false">Sens!$L$1571</f>
        <v>152.649327355877</v>
      </c>
      <c r="M1573" s="38" t="n">
        <f aca="false">Sens!$M$1571</f>
        <v>157.427937608816</v>
      </c>
      <c r="P1573" s="5" t="s">
        <v>632</v>
      </c>
      <c r="R1573" s="38" t="n">
        <f aca="false">MIN(Sens!$R$1571,Sens!$R$1548*(tk_cx_h100+tk_fac*(1-colo_sh))/1000)</f>
        <v>1.50429979529945</v>
      </c>
      <c r="S1573" s="38" t="n">
        <f aca="false">Sens!$C$1573</f>
        <v>11.2938642</v>
      </c>
      <c r="T1573" s="38" t="n">
        <f aca="false">Sens!$D$1573</f>
        <v>50.8223889</v>
      </c>
      <c r="U1573" s="38" t="n">
        <f aca="false">Sens!$G$1573</f>
        <v>154.208741686875</v>
      </c>
      <c r="V1573" s="38" t="n">
        <f aca="false">Sens!$H$1573</f>
        <v>248.214206180938</v>
      </c>
      <c r="W1573" s="38" t="n">
        <f aca="false">Sens!$I$1573</f>
        <v>255.808087388125</v>
      </c>
      <c r="X1573" s="38" t="n">
        <f aca="false">Sens!$J$1573</f>
        <v>261.044855588125</v>
      </c>
      <c r="Y1573" s="38" t="n">
        <f aca="false">Sens!$K$1573</f>
        <v>191.136786872001</v>
      </c>
      <c r="Z1573" s="38" t="n">
        <f aca="false">Sens!$L$1573</f>
        <v>152.649327355877</v>
      </c>
      <c r="AA1573" s="38" t="n">
        <f aca="false">Sens!$M$1573</f>
        <v>157.427937608816</v>
      </c>
    </row>
    <row r="1574" customFormat="false" ht="17.15" hidden="false" customHeight="false" outlineLevel="0" collapsed="false">
      <c r="A1574" s="5" t="s">
        <v>633</v>
      </c>
      <c r="B1574" s="0" t="s">
        <v>86</v>
      </c>
      <c r="C1574" s="38" t="n">
        <f aca="false">Sens!$C$1571-Sens!$C$1573</f>
        <v>13.9842411077374</v>
      </c>
      <c r="D1574" s="38" t="n">
        <f aca="false">Sens!$D$1571-Sens!$D$1573</f>
        <v>18.7462427310026</v>
      </c>
      <c r="E1574" s="38" t="n">
        <f aca="false">Sens!$E$1571-Sens!$E$1573</f>
        <v>30.2913414485108</v>
      </c>
      <c r="F1574" s="38" t="n">
        <f aca="false">Sens!$F$1571-Sens!$F$1573</f>
        <v>0</v>
      </c>
      <c r="G1574" s="38" t="n">
        <f aca="false">Sens!$G$1571-Sens!$G$1573</f>
        <v>30.2913414485108</v>
      </c>
      <c r="H1574" s="38" t="n">
        <f aca="false">Sens!$H$1571-Sens!$H$1573</f>
        <v>0</v>
      </c>
      <c r="I1574" s="38" t="n">
        <f aca="false">Sens!$I$1571-Sens!$I$1573</f>
        <v>0</v>
      </c>
      <c r="J1574" s="38" t="n">
        <f aca="false">Sens!$J$1571-Sens!$J$1573</f>
        <v>0</v>
      </c>
      <c r="K1574" s="38" t="n">
        <f aca="false">Sens!$K$1571-Sens!$K$1573</f>
        <v>0</v>
      </c>
      <c r="L1574" s="38" t="n">
        <f aca="false">Sens!$L$1571-Sens!$L$1573</f>
        <v>0</v>
      </c>
      <c r="M1574" s="38" t="n">
        <f aca="false">Sens!$M$1571-Sens!$M$1573</f>
        <v>0</v>
      </c>
    </row>
    <row r="1575" customFormat="false" ht="17.15" hidden="false" customHeight="false" outlineLevel="0" collapsed="false">
      <c r="A1575" s="5" t="s">
        <v>634</v>
      </c>
      <c r="B1575" s="0" t="s">
        <v>86</v>
      </c>
      <c r="C1575" s="38" t="n">
        <f aca="false">Sens!$C$1573*Sens!$C$1570</f>
        <v>8.2530642</v>
      </c>
      <c r="D1575" s="38" t="n">
        <f aca="false">Sens!$D$1573*Sens!$D$1570</f>
        <v>37.1387889</v>
      </c>
      <c r="E1575" s="38" t="n">
        <f aca="false">Sens!$E$1573*Sens!$E$1570</f>
        <v>25.7897792</v>
      </c>
      <c r="F1575" s="38" t="n">
        <f aca="false">Sens!$F$1573*Sens!$F$1570</f>
        <v>91.531049361875</v>
      </c>
      <c r="G1575" s="38" t="n">
        <f aca="false">Sens!$E$1575+Sens!$F$1575</f>
        <v>117.320828561875</v>
      </c>
      <c r="H1575" s="38" t="n">
        <f aca="false">(Sens!$H$1573-Sens!$H$1572)*Sens!$H$1570+Sens!$H$1572</f>
        <v>190.655979930938</v>
      </c>
      <c r="I1575" s="38" t="n">
        <f aca="false">(Sens!$I$1573-Sens!$I$1572)*Sens!$I$1570+Sens!$I$1572</f>
        <v>198.249861138125</v>
      </c>
      <c r="J1575" s="38" t="n">
        <f aca="false">(Sens!$J$1573-Sens!$J$1572)*Sens!$J$1570+Sens!$J$1572</f>
        <v>203.486629338125</v>
      </c>
      <c r="K1575" s="38" t="n">
        <f aca="false">(Sens!$K$1573-Sens!$K$1572)*Sens!$K$1570+Sens!$K$1572</f>
        <v>150.486562119918</v>
      </c>
      <c r="L1575" s="38" t="n">
        <f aca="false">(Sens!$L$1573-Sens!$L$1572)*Sens!$L$1570+Sens!$L$1572</f>
        <v>128.90710410171</v>
      </c>
      <c r="M1575" s="38" t="n">
        <f aca="false">(Sens!$M$1573-Sens!$M$1572)*Sens!$M$1570+Sens!$M$1572</f>
        <v>150.593715852566</v>
      </c>
      <c r="R1575" s="38" t="n">
        <f aca="false">Sens!$R$1573*Sens!$C$1570</f>
        <v>1.09927679019314</v>
      </c>
      <c r="S1575" s="38" t="n">
        <f aca="false">Sens!$C$1575</f>
        <v>8.2530642</v>
      </c>
      <c r="T1575" s="38" t="n">
        <f aca="false">Sens!$D$1575</f>
        <v>37.1387889</v>
      </c>
      <c r="U1575" s="38" t="n">
        <f aca="false">Sens!$G$1575</f>
        <v>117.320828561875</v>
      </c>
      <c r="V1575" s="38" t="n">
        <f aca="false">Sens!$H$1575</f>
        <v>190.655979930938</v>
      </c>
      <c r="W1575" s="38" t="n">
        <f aca="false">Sens!$I$1575</f>
        <v>198.249861138125</v>
      </c>
      <c r="X1575" s="38" t="n">
        <f aca="false">Sens!$J$1575</f>
        <v>203.486629338125</v>
      </c>
      <c r="Y1575" s="38" t="n">
        <f aca="false">Sens!$K$1575</f>
        <v>150.486562119918</v>
      </c>
      <c r="Z1575" s="38" t="n">
        <f aca="false">Sens!$L$1575</f>
        <v>128.90710410171</v>
      </c>
      <c r="AA1575" s="38" t="n">
        <f aca="false">Sens!$M$1575</f>
        <v>150.593715852566</v>
      </c>
    </row>
    <row r="1576" customFormat="false" ht="15" hidden="false" customHeight="false" outlineLevel="0" collapsed="false">
      <c r="A1576" s="5" t="s">
        <v>635</v>
      </c>
      <c r="B1576" s="0" t="s">
        <v>86</v>
      </c>
      <c r="C1576" s="38" t="n">
        <f aca="false">Sens!$C$1573-Sens!$C$1575</f>
        <v>3.0408</v>
      </c>
      <c r="D1576" s="38" t="n">
        <f aca="false">Sens!$D$1573-Sens!$D$1575</f>
        <v>13.6836</v>
      </c>
      <c r="E1576" s="38" t="n">
        <f aca="false">Sens!$E$1573-Sens!$E$1575</f>
        <v>8.1088</v>
      </c>
      <c r="F1576" s="38" t="n">
        <f aca="false">Sens!$F$1573-Sens!$F$1575</f>
        <v>28.779113125</v>
      </c>
      <c r="G1576" s="38" t="n">
        <f aca="false">Sens!$G$1573-Sens!$G$1575</f>
        <v>36.887913125</v>
      </c>
      <c r="H1576" s="38" t="n">
        <f aca="false">Sens!$H$1573-Sens!$H$1575</f>
        <v>57.55822625</v>
      </c>
      <c r="I1576" s="38" t="n">
        <f aca="false">Sens!$I$1573-Sens!$I$1575</f>
        <v>57.55822625</v>
      </c>
      <c r="J1576" s="38" t="n">
        <f aca="false">Sens!$J$1573-Sens!$J$1575</f>
        <v>57.55822625</v>
      </c>
      <c r="K1576" s="38" t="n">
        <f aca="false">Sens!$K$1573-Sens!$K$1575</f>
        <v>40.6502247520833</v>
      </c>
      <c r="L1576" s="38" t="n">
        <f aca="false">Sens!$L$1573-Sens!$L$1575</f>
        <v>23.7422232541667</v>
      </c>
      <c r="M1576" s="38" t="n">
        <f aca="false">Sens!$M$1573-Sens!$M$1575</f>
        <v>6.83422175625</v>
      </c>
      <c r="R1576" s="38" t="n">
        <f aca="false">Sens!$R$1573-Sens!$R$1575</f>
        <v>0.405023005106309</v>
      </c>
      <c r="S1576" s="38" t="n">
        <f aca="false">Sens!$S$1573-Sens!$S$1575</f>
        <v>3.0408</v>
      </c>
      <c r="T1576" s="38" t="n">
        <f aca="false">Sens!$T$1573-Sens!$T$1575</f>
        <v>13.6836</v>
      </c>
      <c r="U1576" s="38" t="n">
        <f aca="false">Sens!$U$1573-Sens!$U$1575</f>
        <v>36.887913125</v>
      </c>
      <c r="V1576" s="38" t="n">
        <f aca="false">Sens!$V$1573-Sens!$V$1575</f>
        <v>57.55822625</v>
      </c>
      <c r="W1576" s="38" t="n">
        <f aca="false">Sens!$W$1573-Sens!$W$1575</f>
        <v>57.55822625</v>
      </c>
      <c r="X1576" s="38" t="n">
        <f aca="false">Sens!$X$1573-Sens!$X$1575</f>
        <v>57.55822625</v>
      </c>
      <c r="Y1576" s="38" t="n">
        <f aca="false">Sens!$Y$1573-Sens!$Y$1575</f>
        <v>40.6502247520833</v>
      </c>
      <c r="Z1576" s="38" t="n">
        <f aca="false">Sens!$Z$1573-Sens!$Z$1575</f>
        <v>23.7422232541667</v>
      </c>
      <c r="AA1576" s="38" t="n">
        <f aca="false">Sens!$AA$1573-Sens!$AA$1575</f>
        <v>6.83422175625</v>
      </c>
    </row>
    <row r="1577" customFormat="false" ht="17.15" hidden="false" customHeight="false" outlineLevel="0" collapsed="false">
      <c r="A1577" s="0" t="s">
        <v>636</v>
      </c>
      <c r="B1577" s="0" t="s">
        <v>52</v>
      </c>
      <c r="C1577" s="13" t="n">
        <f aca="false">Sens!$C$1571/Sens!$C$1693</f>
        <v>0.325505489553393</v>
      </c>
      <c r="D1577" s="13" t="n">
        <f aca="false">Sens!$D$1571/Sens!$D$1693</f>
        <v>0.54214956071542</v>
      </c>
      <c r="E1577" s="13" t="n">
        <f aca="false">Sens!$E$1571/Sens!$E$1693</f>
        <v>0.666492790452817</v>
      </c>
      <c r="F1577" s="13" t="n">
        <f aca="false">Sens!$F$1571/Sens!$F$1693</f>
        <v>0.774776944697764</v>
      </c>
      <c r="G1577" s="13" t="n">
        <f aca="false">Sens!$G$1571/Sens!$G$1693</f>
        <v>0.733325785380304</v>
      </c>
      <c r="H1577" s="13" t="n">
        <f aca="false">Sens!$H$1571/Sens!$H$1693</f>
        <v>0.768428109453952</v>
      </c>
      <c r="I1577" s="13" t="n">
        <f aca="false">Sens!$I$1571/Sens!$I$1693</f>
        <v>0.756507638224704</v>
      </c>
      <c r="J1577" s="13" t="n">
        <f aca="false">Sens!$J$1571/Sens!$J$1693</f>
        <v>0.744824947994791</v>
      </c>
      <c r="K1577" s="13" t="n">
        <f aca="false">Sens!$K$1571/Sens!$K$1693</f>
        <v>0.666085004446128</v>
      </c>
      <c r="L1577" s="13" t="n">
        <f aca="false">Sens!$L$1571/Sens!$L$1693</f>
        <v>0.597847572452807</v>
      </c>
      <c r="M1577" s="13" t="n">
        <f aca="false">Sens!$M$1571/Sens!$M$1693</f>
        <v>0.588540621952584</v>
      </c>
    </row>
    <row r="1578" customFormat="false" ht="17.15" hidden="false" customHeight="false" outlineLevel="0" collapsed="false">
      <c r="A1578" s="0" t="s">
        <v>637</v>
      </c>
      <c r="B1578" s="0" t="s">
        <v>86</v>
      </c>
      <c r="C1578" s="38" t="n">
        <f aca="false">Sens!$S$1578</f>
        <v>0.183212798365523</v>
      </c>
      <c r="D1578" s="38" t="n">
        <f aca="false">Sens!$T$1578</f>
        <v>1.55872349836552</v>
      </c>
      <c r="E1578" s="38" t="n">
        <f aca="false">Sens!$G$1578/2</f>
        <v>3.87426082418276</v>
      </c>
      <c r="F1578" s="38" t="n">
        <f aca="false">Sens!$G$1578/2</f>
        <v>3.87426082418276</v>
      </c>
      <c r="G1578" s="38" t="n">
        <f aca="false">Sens!$U$1578</f>
        <v>7.74852164836552</v>
      </c>
      <c r="H1578" s="38" t="n">
        <f aca="false">Sens!$V$1578</f>
        <v>27.3019930753447</v>
      </c>
      <c r="I1578" s="38" t="n">
        <f aca="false">Sens!$W$1578</f>
        <v>59.0779897305009</v>
      </c>
      <c r="J1578" s="38" t="n">
        <f aca="false">Sens!$X$1578</f>
        <v>92.1196332535218</v>
      </c>
      <c r="K1578" s="38" t="n">
        <f aca="false">Sens!$Y$1578</f>
        <v>125.850858678177</v>
      </c>
      <c r="L1578" s="38" t="n">
        <f aca="false">Sens!$Z$1578</f>
        <v>149.55644166483</v>
      </c>
      <c r="M1578" s="38" t="n">
        <f aca="false">Sens!$AA$1578</f>
        <v>164.851160865115</v>
      </c>
      <c r="N1578" s="38" t="n">
        <f aca="false">Sens!$D$1578/2</f>
        <v>0.779361749182762</v>
      </c>
      <c r="O1578" s="38" t="n">
        <f aca="false">Sens!$D$1578/2</f>
        <v>0.779361749182762</v>
      </c>
      <c r="R1578" s="38" t="n">
        <f aca="false">SUMPRODUCT(--(Sens!$R$1541:$AA$1541&lt;Sens!R$1541),--(Sens!$R$1541:$AA$1541&gt;=Sens!R$1541-tk_life),Sens!$R$1575:$AA$1575)/tk_life</f>
        <v>0</v>
      </c>
      <c r="S1578" s="38" t="n">
        <f aca="false">SUMPRODUCT(--(Sens!$R$1541:$AA$1541&lt;Sens!S$1541),--(Sens!$R$1541:$AA$1541&gt;=Sens!S$1541-tk_life),Sens!$R$1575:$AA$1575)/tk_life</f>
        <v>0.183212798365523</v>
      </c>
      <c r="T1578" s="38" t="n">
        <f aca="false">SUMPRODUCT(--(Sens!$R$1541:$AA$1541&lt;Sens!T$1541),--(Sens!$R$1541:$AA$1541&gt;=Sens!T$1541-tk_life),Sens!$R$1575:$AA$1575)/tk_life</f>
        <v>1.55872349836552</v>
      </c>
      <c r="U1578" s="38" t="n">
        <f aca="false">SUMPRODUCT(--(Sens!$R$1541:$AA$1541&lt;Sens!U$1541),--(Sens!$R$1541:$AA$1541&gt;=Sens!U$1541-tk_life),Sens!$R$1575:$AA$1575)/tk_life</f>
        <v>7.74852164836552</v>
      </c>
      <c r="V1578" s="38" t="n">
        <f aca="false">SUMPRODUCT(--(Sens!$R$1541:$AA$1541&lt;Sens!V$1541),--(Sens!$R$1541:$AA$1541&gt;=Sens!V$1541-tk_life),Sens!$R$1575:$AA$1575)/tk_life</f>
        <v>27.3019930753447</v>
      </c>
      <c r="W1578" s="38" t="n">
        <f aca="false">SUMPRODUCT(--(Sens!$R$1541:$AA$1541&lt;Sens!W$1541),--(Sens!$R$1541:$AA$1541&gt;=Sens!W$1541-tk_life),Sens!$R$1575:$AA$1575)/tk_life</f>
        <v>59.0779897305009</v>
      </c>
      <c r="X1578" s="38" t="n">
        <f aca="false">SUMPRODUCT(--(Sens!$R$1541:$AA$1541&lt;Sens!X$1541),--(Sens!$R$1541:$AA$1541&gt;=Sens!X$1541-tk_life),Sens!$R$1575:$AA$1575)/tk_life</f>
        <v>92.1196332535218</v>
      </c>
      <c r="Y1578" s="38" t="n">
        <f aca="false">SUMPRODUCT(--(Sens!$R$1541:$AA$1541&lt;Sens!Y$1541),--(Sens!$R$1541:$AA$1541&gt;=Sens!Y$1541-tk_life),Sens!$R$1575:$AA$1575)/tk_life</f>
        <v>125.850858678177</v>
      </c>
      <c r="Z1578" s="38" t="n">
        <f aca="false">SUMPRODUCT(--(Sens!$R$1541:$AA$1541&lt;Sens!Z$1541),--(Sens!$R$1541:$AA$1541&gt;=Sens!Z$1541-tk_life),Sens!$R$1575:$AA$1575)/tk_life</f>
        <v>149.55644166483</v>
      </c>
      <c r="AA1578" s="38" t="n">
        <f aca="false">SUMPRODUCT(--(Sens!$R$1541:$AA$1541&lt;Sens!AA$1541),--(Sens!$R$1541:$AA$1541&gt;=Sens!AA$1541-tk_life),Sens!$R$1575:$AA$1575)/tk_life</f>
        <v>164.851160865115</v>
      </c>
    </row>
    <row r="1579" customFormat="false" ht="17.15" hidden="false" customHeight="false" outlineLevel="0" collapsed="false">
      <c r="A1579" s="0" t="s">
        <v>638</v>
      </c>
      <c r="B1579" s="0" t="s">
        <v>86</v>
      </c>
      <c r="C1579" s="38" t="n">
        <f aca="false">Sens!$S$1579</f>
        <v>0.0202511502553155</v>
      </c>
      <c r="D1579" s="38" t="n">
        <f aca="false">Sens!$T$1579</f>
        <v>0.172291150255315</v>
      </c>
      <c r="E1579" s="38" t="n">
        <f aca="false">Sens!$G$1579/2</f>
        <v>0.428235575127658</v>
      </c>
      <c r="F1579" s="38" t="n">
        <f aca="false">Sens!$G$1579/2</f>
        <v>0.428235575127658</v>
      </c>
      <c r="G1579" s="38" t="n">
        <f aca="false">Sens!$U$1579</f>
        <v>0.856471150255315</v>
      </c>
      <c r="H1579" s="38" t="n">
        <f aca="false">Sens!$V$1579</f>
        <v>2.70086680650532</v>
      </c>
      <c r="I1579" s="38" t="n">
        <f aca="false">Sens!$W$1579</f>
        <v>5.57877811900532</v>
      </c>
      <c r="J1579" s="38" t="n">
        <f aca="false">Sens!$X$1579</f>
        <v>8.45668943150532</v>
      </c>
      <c r="K1579" s="38" t="n">
        <f aca="false">Sens!$Y$1579</f>
        <v>11.3346007440053</v>
      </c>
      <c r="L1579" s="38" t="n">
        <f aca="false">Sens!$Z$1579</f>
        <v>13.3671119816095</v>
      </c>
      <c r="M1579" s="38" t="n">
        <f aca="false">Sens!$AA$1579</f>
        <v>14.5542231443178</v>
      </c>
      <c r="N1579" s="38" t="n">
        <f aca="false">Sens!$D$1579/2</f>
        <v>0.0861455751276577</v>
      </c>
      <c r="O1579" s="38" t="n">
        <f aca="false">Sens!$D$1579/2</f>
        <v>0.0861455751276577</v>
      </c>
      <c r="R1579" s="38" t="n">
        <f aca="false">SUMPRODUCT(--(Sens!$R$1541:$AA$1541&lt;Sens!R$1541),Sens!$R$1576:$AA$1576)/fac_life</f>
        <v>0</v>
      </c>
      <c r="S1579" s="38" t="n">
        <f aca="false">SUMPRODUCT(--(Sens!$R$1541:$AA$1541&lt;Sens!S$1541),Sens!$R$1576:$AA$1576)/fac_life</f>
        <v>0.0202511502553155</v>
      </c>
      <c r="T1579" s="38" t="n">
        <f aca="false">SUMPRODUCT(--(Sens!$R$1541:$AA$1541&lt;Sens!T$1541),Sens!$R$1576:$AA$1576)/fac_life</f>
        <v>0.172291150255315</v>
      </c>
      <c r="U1579" s="38" t="n">
        <f aca="false">SUMPRODUCT(--(Sens!$R$1541:$AA$1541&lt;Sens!U$1541),Sens!$R$1576:$AA$1576)/fac_life</f>
        <v>0.856471150255315</v>
      </c>
      <c r="V1579" s="38" t="n">
        <f aca="false">SUMPRODUCT(--(Sens!$R$1541:$AA$1541&lt;Sens!V$1541),Sens!$R$1576:$AA$1576)/fac_life</f>
        <v>2.70086680650532</v>
      </c>
      <c r="W1579" s="38" t="n">
        <f aca="false">SUMPRODUCT(--(Sens!$R$1541:$AA$1541&lt;Sens!W$1541),Sens!$R$1576:$AA$1576)/fac_life</f>
        <v>5.57877811900532</v>
      </c>
      <c r="X1579" s="38" t="n">
        <f aca="false">SUMPRODUCT(--(Sens!$R$1541:$AA$1541&lt;Sens!X$1541),Sens!$R$1576:$AA$1576)/fac_life</f>
        <v>8.45668943150532</v>
      </c>
      <c r="Y1579" s="38" t="n">
        <f aca="false">SUMPRODUCT(--(Sens!$R$1541:$AA$1541&lt;Sens!Y$1541),Sens!$R$1576:$AA$1576)/fac_life</f>
        <v>11.3346007440053</v>
      </c>
      <c r="Z1579" s="38" t="n">
        <f aca="false">SUMPRODUCT(--(Sens!$R$1541:$AA$1541&lt;Sens!Z$1541),Sens!$R$1576:$AA$1576)/fac_life</f>
        <v>13.3671119816095</v>
      </c>
      <c r="AA1579" s="38" t="n">
        <f aca="false">SUMPRODUCT(--(Sens!$R$1541:$AA$1541&lt;Sens!AA$1541),Sens!$R$1576:$AA$1576)/fac_life</f>
        <v>14.5542231443178</v>
      </c>
    </row>
    <row r="1580" customFormat="false" ht="17.15" hidden="false" customHeight="false" outlineLevel="0" collapsed="false">
      <c r="A1580" s="1" t="s">
        <v>639</v>
      </c>
      <c r="B1580" s="8" t="s">
        <v>86</v>
      </c>
      <c r="C1580" s="38" t="n">
        <f aca="false">Sens!$C$1578+Sens!$C$1579</f>
        <v>0.203463948620839</v>
      </c>
      <c r="D1580" s="38" t="n">
        <f aca="false">Sens!$D$1578+Sens!$D$1579</f>
        <v>1.73101464862084</v>
      </c>
      <c r="E1580" s="38" t="n">
        <f aca="false">Sens!$E$1578+Sens!$E$1579</f>
        <v>4.30249639931042</v>
      </c>
      <c r="F1580" s="38" t="n">
        <f aca="false">Sens!$F$1578+Sens!$F$1579</f>
        <v>4.30249639931042</v>
      </c>
      <c r="G1580" s="38" t="n">
        <f aca="false">Sens!$G$1578+Sens!$G$1579</f>
        <v>8.60499279862084</v>
      </c>
      <c r="H1580" s="38" t="n">
        <f aca="false">Sens!$H$1578+Sens!$H$1579</f>
        <v>30.00285988185</v>
      </c>
      <c r="I1580" s="38" t="n">
        <f aca="false">Sens!$I$1578+Sens!$I$1579</f>
        <v>64.6567678495063</v>
      </c>
      <c r="J1580" s="38" t="n">
        <f aca="false">Sens!$J$1578+Sens!$J$1579</f>
        <v>100.576322685027</v>
      </c>
      <c r="K1580" s="38" t="n">
        <f aca="false">Sens!$K$1578+Sens!$K$1579</f>
        <v>137.185459422182</v>
      </c>
      <c r="L1580" s="38" t="n">
        <f aca="false">Sens!$L$1578+Sens!$L$1579</f>
        <v>162.92355364644</v>
      </c>
      <c r="M1580" s="38" t="n">
        <f aca="false">Sens!$M$1578+Sens!$M$1579</f>
        <v>179.405384009433</v>
      </c>
      <c r="N1580" s="38" t="n">
        <f aca="false">Sens!$N$1578+Sens!$N$1579</f>
        <v>0.865507324310419</v>
      </c>
      <c r="O1580" s="38" t="n">
        <f aca="false">Sens!$O$1578+Sens!$O$1579</f>
        <v>0.865507324310419</v>
      </c>
      <c r="R1580" s="38" t="n">
        <f aca="false">Sens!$R$1578+Sens!$R$1579</f>
        <v>0</v>
      </c>
      <c r="S1580" s="38" t="n">
        <f aca="false">Sens!$S$1578+Sens!$S$1579</f>
        <v>0.203463948620839</v>
      </c>
      <c r="T1580" s="38" t="n">
        <f aca="false">Sens!$T$1578+Sens!$T$1579</f>
        <v>1.73101464862084</v>
      </c>
      <c r="U1580" s="38" t="n">
        <f aca="false">Sens!$U$1578+Sens!$U$1579</f>
        <v>8.60499279862084</v>
      </c>
      <c r="V1580" s="38" t="n">
        <f aca="false">Sens!$V$1578+Sens!$V$1579</f>
        <v>30.00285988185</v>
      </c>
      <c r="W1580" s="38" t="n">
        <f aca="false">Sens!$W$1578+Sens!$W$1579</f>
        <v>64.6567678495063</v>
      </c>
      <c r="X1580" s="38" t="n">
        <f aca="false">Sens!$X$1578+Sens!$X$1579</f>
        <v>100.576322685027</v>
      </c>
      <c r="Y1580" s="38" t="n">
        <f aca="false">Sens!$Y$1578+Sens!$Y$1579</f>
        <v>137.185459422182</v>
      </c>
      <c r="Z1580" s="38" t="n">
        <f aca="false">Sens!$Z$1578+Sens!$Z$1579</f>
        <v>162.92355364644</v>
      </c>
      <c r="AA1580" s="38" t="n">
        <f aca="false">Sens!$AA$1578+Sens!$AA$1579</f>
        <v>179.405384009433</v>
      </c>
    </row>
    <row r="1581" customFormat="false" ht="17.15" hidden="false" customHeight="false" outlineLevel="0" collapsed="false">
      <c r="A1581" s="0" t="s">
        <v>640</v>
      </c>
      <c r="B1581" s="0" t="s">
        <v>86</v>
      </c>
      <c r="C1581" s="38" t="n">
        <f aca="false">Sens!$S$1581</f>
        <v>12.5947000466786</v>
      </c>
      <c r="D1581" s="38" t="n">
        <f aca="false">Sens!$T$1581</f>
        <v>61.6860742980578</v>
      </c>
      <c r="G1581" s="38" t="n">
        <f aca="false">Sens!$U$1581</f>
        <v>207.289823186312</v>
      </c>
      <c r="H1581" s="38" t="n">
        <f aca="false">Sens!$V$1581</f>
        <v>425.5011694854</v>
      </c>
      <c r="I1581" s="38" t="n">
        <f aca="false">Sens!$W$1581</f>
        <v>616.652489024018</v>
      </c>
      <c r="J1581" s="38" t="n">
        <f aca="false">Sens!$X$1581</f>
        <v>777.121021927116</v>
      </c>
      <c r="K1581" s="38" t="n">
        <f aca="false">Sens!$Y$1581</f>
        <v>831.072349376935</v>
      </c>
      <c r="L1581" s="38" t="n">
        <f aca="false">Sens!$Z$1581</f>
        <v>820.798123086373</v>
      </c>
      <c r="M1581" s="38" t="n">
        <f aca="false">Sens!$AA$1581</f>
        <v>798.820676685755</v>
      </c>
      <c r="R1581" s="38" t="n">
        <f aca="false">SUM(Sens!$R$1573:$R$1573)-SUM(Sens!$R$1580:$R$1580)</f>
        <v>1.50429979529945</v>
      </c>
      <c r="S1581" s="38" t="n">
        <f aca="false">SUM(Sens!$R$1573:$S$1573)-SUM(Sens!$R$1580:$S$1580)</f>
        <v>12.5947000466786</v>
      </c>
      <c r="T1581" s="38" t="n">
        <f aca="false">SUM(Sens!$R$1573:$T$1573)-SUM(Sens!$R$1580:$T$1580)</f>
        <v>61.6860742980578</v>
      </c>
      <c r="U1581" s="38" t="n">
        <f aca="false">SUM(Sens!$R$1573:$U$1573)-SUM(Sens!$R$1580:$U$1580)</f>
        <v>207.289823186312</v>
      </c>
      <c r="V1581" s="38" t="n">
        <f aca="false">SUM(Sens!$R$1573:$V$1573)-SUM(Sens!$R$1580:$V$1580)</f>
        <v>425.5011694854</v>
      </c>
      <c r="W1581" s="38" t="n">
        <f aca="false">SUM(Sens!$R$1573:$W$1573)-SUM(Sens!$R$1580:$W$1580)</f>
        <v>616.652489024018</v>
      </c>
      <c r="X1581" s="38" t="n">
        <f aca="false">SUM(Sens!$R$1573:$X$1573)-SUM(Sens!$R$1580:$X$1580)</f>
        <v>777.121021927116</v>
      </c>
      <c r="Y1581" s="38" t="n">
        <f aca="false">SUM(Sens!$R$1573:$Y$1573)-SUM(Sens!$R$1580:$Y$1580)</f>
        <v>831.072349376935</v>
      </c>
      <c r="Z1581" s="38" t="n">
        <f aca="false">SUM(Sens!$R$1573:$Z$1573)-SUM(Sens!$R$1580:$Z$1580)</f>
        <v>820.798123086373</v>
      </c>
      <c r="AA1581" s="38" t="n">
        <f aca="false">SUM(Sens!$R$1573:$AA$1573)-SUM(Sens!$R$1580:$AA$1580)</f>
        <v>798.820676685755</v>
      </c>
    </row>
    <row r="1582" customFormat="false" ht="17.15" hidden="false" customHeight="false" outlineLevel="0" collapsed="false">
      <c r="A1582" s="1" t="s">
        <v>641</v>
      </c>
    </row>
    <row r="1583" customFormat="false" ht="17.15" hidden="false" customHeight="false" outlineLevel="0" collapsed="false">
      <c r="A1583" s="0" t="s">
        <v>642</v>
      </c>
      <c r="B1583" s="0" t="s">
        <v>86</v>
      </c>
      <c r="C1583" s="38" t="n">
        <f aca="false">Sens!$C$1562-ext_sh*Sens!$C$1564</f>
        <v>1.80694998843362</v>
      </c>
      <c r="D1583" s="38" t="n">
        <f aca="false">Sens!$D$1562-ext_sh*Sens!$D$1564</f>
        <v>6.77606245662607</v>
      </c>
      <c r="E1583" s="38" t="n">
        <f aca="false">Sens!$E$1562-ext_sh*Sens!$E$1564</f>
        <v>6.62548329092326</v>
      </c>
      <c r="F1583" s="38" t="n">
        <f aca="false">Sens!$F$1562-ext_sh*Sens!$F$1564</f>
        <v>12.6925429907018</v>
      </c>
      <c r="G1583" s="38" t="n">
        <f aca="false">Sens!$G$1562-ext_sh*Sens!$G$1564</f>
        <v>19.3180262816251</v>
      </c>
      <c r="H1583" s="38" t="n">
        <f aca="false">Sens!$H$1562-ext_sh*Sens!$H$1564</f>
        <v>55.4814075742838</v>
      </c>
      <c r="I1583" s="38" t="n">
        <f aca="false">Sens!$I$1562-ext_sh*Sens!$I$1564</f>
        <v>96.7774032721855</v>
      </c>
      <c r="J1583" s="38" t="n">
        <f aca="false">Sens!$J$1562-ext_sh*Sens!$J$1564</f>
        <v>138.284087735331</v>
      </c>
      <c r="K1583" s="38" t="n">
        <f aca="false">Sens!$K$1562-ext_sh*Sens!$K$1564</f>
        <v>173.666297315773</v>
      </c>
      <c r="L1583" s="38" t="n">
        <f aca="false">Sens!$L$1562-ext_sh*Sens!$L$1564</f>
        <v>196.863523355832</v>
      </c>
      <c r="M1583" s="38" t="n">
        <f aca="false">Sens!$M$1562-ext_sh*Sens!$M$1564</f>
        <v>207.841388352838</v>
      </c>
      <c r="N1583" s="38" t="n">
        <f aca="false">Sens!$N$1562-ext_sh*Sens!$N$1564</f>
        <v>2.37162185981912</v>
      </c>
      <c r="O1583" s="38" t="n">
        <f aca="false">Sens!$O$1562-ext_sh*Sens!$O$1564</f>
        <v>4.40444059680694</v>
      </c>
    </row>
    <row r="1584" customFormat="false" ht="17.15" hidden="false" customHeight="false" outlineLevel="0" collapsed="false">
      <c r="A1584" s="1" t="s">
        <v>643</v>
      </c>
      <c r="B1584" s="8" t="s">
        <v>86</v>
      </c>
      <c r="C1584" s="38" t="n">
        <f aca="false">Sens!$C$1583-ext_sh*Sens!$C$1580</f>
        <v>1.64417882953695</v>
      </c>
      <c r="D1584" s="38" t="n">
        <f aca="false">Sens!$D$1583-ext_sh*Sens!$D$1580</f>
        <v>5.39125073772939</v>
      </c>
      <c r="E1584" s="38" t="n">
        <f aca="false">Sens!$E$1583-ext_sh*Sens!$E$1580</f>
        <v>3.18348617147493</v>
      </c>
      <c r="F1584" s="38" t="n">
        <f aca="false">Sens!$F$1583-ext_sh*Sens!$F$1580</f>
        <v>9.25054587125349</v>
      </c>
      <c r="G1584" s="38" t="n">
        <f aca="false">Sens!$G$1583-ext_sh*Sens!$G$1580</f>
        <v>12.4340320427284</v>
      </c>
      <c r="H1584" s="38" t="n">
        <f aca="false">Sens!$H$1583-ext_sh*Sens!$H$1580</f>
        <v>31.4791196688038</v>
      </c>
      <c r="I1584" s="38" t="n">
        <f aca="false">Sens!$I$1583-ext_sh*Sens!$I$1580</f>
        <v>45.0519889925805</v>
      </c>
      <c r="J1584" s="38" t="n">
        <f aca="false">Sens!$J$1583-ext_sh*Sens!$J$1580</f>
        <v>57.8230295873097</v>
      </c>
      <c r="K1584" s="38" t="n">
        <f aca="false">Sens!$K$1583-ext_sh*Sens!$K$1580</f>
        <v>63.9179297780273</v>
      </c>
      <c r="L1584" s="38" t="n">
        <f aca="false">Sens!$L$1583-ext_sh*Sens!$L$1580</f>
        <v>66.5246804386806</v>
      </c>
      <c r="M1584" s="38" t="n">
        <f aca="false">Sens!$M$1583-ext_sh*Sens!$M$1580</f>
        <v>64.3170811452915</v>
      </c>
      <c r="N1584" s="38" t="n">
        <f aca="false">Sens!$N$1583-ext_sh*Sens!$N$1580</f>
        <v>1.67921600037079</v>
      </c>
      <c r="O1584" s="38" t="n">
        <f aca="false">Sens!$O$1583-ext_sh*Sens!$O$1580</f>
        <v>3.71203473735861</v>
      </c>
    </row>
    <row r="1585" customFormat="false" ht="17.15" hidden="false" customHeight="false" outlineLevel="0" collapsed="false">
      <c r="A1585" s="0" t="s">
        <v>644</v>
      </c>
      <c r="B1585" s="0" t="s">
        <v>52</v>
      </c>
      <c r="C1585" s="13" t="n">
        <f aca="false">Sens!$C$1584/Sens!$C$1562</f>
        <v>0.708390794789371</v>
      </c>
      <c r="D1585" s="13" t="n">
        <f aca="false">Sens!$D$1584/Sens!$D$1562</f>
        <v>0.619415573115729</v>
      </c>
      <c r="E1585" s="13" t="n">
        <f aca="false">Sens!$E$1584/Sens!$E$1562</f>
        <v>0.374072166056273</v>
      </c>
      <c r="F1585" s="13" t="n">
        <f aca="false">Sens!$F$1584/Sens!$F$1562</f>
        <v>0.571378652694084</v>
      </c>
      <c r="G1585" s="13" t="n">
        <f aca="false">Sens!$G$1584/Sens!$G$1562</f>
        <v>0.503397571087137</v>
      </c>
      <c r="H1585" s="13" t="n">
        <f aca="false">Sens!$H$1584/Sens!$H$1562</f>
        <v>0.448557768715234</v>
      </c>
      <c r="I1585" s="13" t="n">
        <f aca="false">Sens!$I$1584/Sens!$I$1562</f>
        <v>0.369730824616361</v>
      </c>
      <c r="J1585" s="13" t="n">
        <f aca="false">Sens!$J$1584/Sens!$J$1562</f>
        <v>0.332788833617182</v>
      </c>
      <c r="K1585" s="13" t="n">
        <f aca="false">Sens!$K$1584/Sens!$K$1562</f>
        <v>0.293199951943325</v>
      </c>
      <c r="L1585" s="13" t="n">
        <f aca="false">Sens!$L$1584/Sens!$L$1562</f>
        <v>0.269318237026399</v>
      </c>
      <c r="M1585" s="13" t="n">
        <f aca="false">Sens!$M$1584/Sens!$M$1562</f>
        <v>0.246665470829446</v>
      </c>
      <c r="N1585" s="13" t="n">
        <f aca="false">Sens!$N$1584/Sens!$N$1562</f>
        <v>0.551227795793364</v>
      </c>
      <c r="O1585" s="13" t="n">
        <f aca="false">Sens!$O$1584/Sens!$O$1562</f>
        <v>0.656132068597002</v>
      </c>
    </row>
    <row r="1586" customFormat="false" ht="17.15" hidden="false" customHeight="false" outlineLevel="0" collapsed="false">
      <c r="A1586" s="5" t="s">
        <v>645</v>
      </c>
      <c r="B1586" s="0" t="s">
        <v>86</v>
      </c>
      <c r="C1586" s="39" t="n">
        <v>0</v>
      </c>
      <c r="D1586" s="39" t="n">
        <v>0</v>
      </c>
      <c r="E1586" s="39" t="n">
        <v>0</v>
      </c>
      <c r="F1586" s="38" t="n">
        <f aca="false">IF(internal_ai_reading=2,1,0)*(1-ext_sh)/ext_sh*(mw_open*he_open+Sens!$F$1560*Sens!$F$1557)*Sens!$F$1546/1000</f>
        <v>4.08031800914075</v>
      </c>
      <c r="G1586" s="38" t="n">
        <f aca="false">Sens!$E$1586+Sens!$F$1586</f>
        <v>4.08031800914075</v>
      </c>
      <c r="H1586" s="38" t="n">
        <f aca="false">IF(internal_ai_reading=2,1,0)*(1-ext_sh)/ext_sh*(mw_open*he_open+Sens!$H$1560*Sens!$H$1557)*Sens!$H$1546/1000</f>
        <v>17.6870277651227</v>
      </c>
      <c r="I1586" s="38" t="n">
        <f aca="false">IF(internal_ai_reading=2,1,0)*(1-ext_sh)/ext_sh*(mw_open*he_open+Sens!$I$1560*Sens!$I$1557)*Sens!$I$1546/1000</f>
        <v>30.7099402663721</v>
      </c>
      <c r="J1586" s="38" t="n">
        <f aca="false">IF(internal_ai_reading=2,1,0)*(1-ext_sh)/ext_sh*(mw_open*he_open+Sens!$J$1560*Sens!$J$1557)*Sens!$J$1546/1000</f>
        <v>43.7907878362763</v>
      </c>
      <c r="K1586" s="38" t="n">
        <f aca="false">IF(internal_ai_reading=2,1,0)*(1-ext_sh)/ext_sh*(mw_open*he_open+Sens!$K$1560*Sens!$K$1557)*Sens!$K$1546/1000</f>
        <v>54.9426328870174</v>
      </c>
      <c r="L1586" s="38" t="n">
        <f aca="false">IF(internal_ai_reading=2,1,0)*(1-ext_sh)/ext_sh*(mw_open*he_open+Sens!$L$1560*Sens!$L$1557)*Sens!$L$1546/1000</f>
        <v>62.2540622931248</v>
      </c>
      <c r="M1586" s="38" t="n">
        <f aca="false">IF(internal_ai_reading=2,1,0)*(1-ext_sh)/ext_sh*(mw_open*he_open+Sens!$M$1560*Sens!$M$1557)*Sens!$M$1546/1000</f>
        <v>65.7156229498017</v>
      </c>
      <c r="N1586" s="39" t="n">
        <v>0</v>
      </c>
      <c r="O1586" s="39" t="n">
        <v>0</v>
      </c>
      <c r="P1586" s="8" t="s">
        <v>646</v>
      </c>
    </row>
    <row r="1587" customFormat="false" ht="17.15" hidden="false" customHeight="false" outlineLevel="0" collapsed="false">
      <c r="A1587" s="5" t="s">
        <v>647</v>
      </c>
      <c r="B1587" s="0" t="s">
        <v>86</v>
      </c>
      <c r="C1587" s="38" t="n">
        <f aca="false">(1-ext_sh)*(Sens!$C$1564+Sens!$C$1580)</f>
        <v>0.169206631859174</v>
      </c>
      <c r="D1587" s="38" t="n">
        <f aca="false">(1-ext_sh)*(Sens!$D$1564+Sens!$D$1580)</f>
        <v>0.828129837730442</v>
      </c>
      <c r="E1587" s="38" t="n">
        <f aca="false">(1-ext_sh)*(Sens!$E$1564+Sens!$E$1580)</f>
        <v>1.33171670102377</v>
      </c>
      <c r="F1587" s="38" t="n">
        <f aca="false">(1-ext_sh)*(Sens!$F$1564+Sens!$F$1580)</f>
        <v>1.73483092864807</v>
      </c>
      <c r="G1587" s="38" t="n">
        <f aca="false">(1-ext_sh)*(Sens!$G$1564+Sens!$G$1580)</f>
        <v>3.06654762967185</v>
      </c>
      <c r="H1587" s="38" t="n">
        <f aca="false">(1-ext_sh)*(Sens!$H$1564+Sens!$H$1580)</f>
        <v>9.67484970707621</v>
      </c>
      <c r="I1587" s="38" t="n">
        <f aca="false">(1-ext_sh)*(Sens!$I$1564+Sens!$I$1580)</f>
        <v>19.1996974969625</v>
      </c>
      <c r="J1587" s="38" t="n">
        <f aca="false">(1-ext_sh)*(Sens!$J$1564+Sens!$J$1580)</f>
        <v>28.9824711029196</v>
      </c>
      <c r="K1587" s="38" t="n">
        <f aca="false">(1-ext_sh)*(Sens!$K$1564+Sens!$K$1580)</f>
        <v>38.5208076769445</v>
      </c>
      <c r="L1587" s="38" t="n">
        <f aca="false">(1-ext_sh)*(Sens!$L$1564+Sens!$L$1580)</f>
        <v>45.1216851492179</v>
      </c>
      <c r="M1587" s="38" t="n">
        <f aca="false">(1-ext_sh)*(Sens!$M$1564+Sens!$M$1580)</f>
        <v>49.1072766278202</v>
      </c>
      <c r="N1587" s="38" t="n">
        <f aca="false">(1-ext_sh)*(Sens!$N$1564+Sens!$N$1580)</f>
        <v>0.34177588266428</v>
      </c>
      <c r="O1587" s="38" t="n">
        <f aca="false">(1-ext_sh)*(Sens!$O$1564+Sens!$O$1580)</f>
        <v>0.486353955066162</v>
      </c>
    </row>
    <row r="1588" customFormat="false" ht="17.15" hidden="false" customHeight="false" outlineLevel="0" collapsed="false">
      <c r="A1588" s="0" t="s">
        <v>648</v>
      </c>
      <c r="B1588" s="0" t="s">
        <v>86</v>
      </c>
      <c r="C1588" s="38" t="n">
        <f aca="false">Q!$D$24</f>
        <v>39.834</v>
      </c>
      <c r="D1588" s="38" t="n">
        <f aca="false">Q!$E$24</f>
        <v>45.606</v>
      </c>
      <c r="E1588" s="38" t="n">
        <f aca="false">Q!$P$24</f>
        <v>30.782</v>
      </c>
      <c r="N1588" s="38" t="n">
        <f aca="false">Q!$N$24</f>
        <v>21.707</v>
      </c>
      <c r="O1588" s="38" t="n">
        <f aca="false">Q!$O$24</f>
        <v>23.899</v>
      </c>
    </row>
    <row r="1589" customFormat="false" ht="17.15" hidden="false" customHeight="false" outlineLevel="0" collapsed="false">
      <c r="A1589" s="0" t="s">
        <v>649</v>
      </c>
      <c r="B1589" s="0" t="s">
        <v>86</v>
      </c>
      <c r="C1589" s="38" t="n">
        <f aca="false">Sens!$C$1588-Sens!$C$1584</f>
        <v>38.1898211704631</v>
      </c>
      <c r="D1589" s="38" t="n">
        <f aca="false">Sens!$D$1588-Sens!$D$1584</f>
        <v>40.2147492622706</v>
      </c>
      <c r="E1589" s="38" t="n">
        <f aca="false">Sens!$E$1588-Sens!$E$1584</f>
        <v>27.5985138285251</v>
      </c>
      <c r="F1589" s="38" t="n">
        <f aca="false">Sens!$F$1566*Sens!$F$1590</f>
        <v>25.5484769754606</v>
      </c>
      <c r="G1589" s="38" t="n">
        <f aca="false">Sens!$E$1589+Sens!$F$1589</f>
        <v>53.1469908039857</v>
      </c>
      <c r="H1589" s="38" t="n">
        <f aca="false">Sens!$H$1566*Sens!$H$1590</f>
        <v>57.3189525076539</v>
      </c>
      <c r="I1589" s="38" t="n">
        <f aca="false">Sens!$I$1566*Sens!$I$1590</f>
        <v>63.6385627021087</v>
      </c>
      <c r="J1589" s="38" t="n">
        <f aca="false">Sens!$J$1566*Sens!$J$1590</f>
        <v>69.6922896066105</v>
      </c>
      <c r="K1589" s="38" t="n">
        <f aca="false">Sens!$K$1566*Sens!$K$1590</f>
        <v>75.2676727751394</v>
      </c>
      <c r="L1589" s="38" t="n">
        <f aca="false">Sens!$L$1566*Sens!$L$1590</f>
        <v>81.2890865971505</v>
      </c>
      <c r="M1589" s="38" t="n">
        <f aca="false">Sens!$M$1566*Sens!$M$1590</f>
        <v>87.7922135249226</v>
      </c>
      <c r="N1589" s="38" t="n">
        <f aca="false">Sens!$N$1588-Sens!$N$1584</f>
        <v>20.0277839996292</v>
      </c>
      <c r="O1589" s="38" t="n">
        <f aca="false">Sens!$O$1588-Sens!$O$1584</f>
        <v>20.1869652626414</v>
      </c>
      <c r="P1589" s="5" t="s">
        <v>650</v>
      </c>
    </row>
    <row r="1590" customFormat="false" ht="17.15" hidden="false" customHeight="false" outlineLevel="0" collapsed="false">
      <c r="A1590" s="0" t="s">
        <v>651</v>
      </c>
      <c r="B1590" s="0" t="s">
        <v>52</v>
      </c>
      <c r="C1590" s="13" t="n">
        <f aca="false">Sens!$C$1589/Sens!$C$1566</f>
        <v>0.362900395443635</v>
      </c>
      <c r="D1590" s="13" t="n">
        <f aca="false">Sens!$D$1589/Sens!$D$1566</f>
        <v>0.335063632425483</v>
      </c>
      <c r="E1590" s="13" t="n">
        <f aca="false">Sens!$E$1589/Sens!$E$1566</f>
        <v>0.387028992698038</v>
      </c>
      <c r="F1590" s="13" t="n">
        <f aca="false">(Sens!$O$1589+Sens!$E$1589)/(Sens!$O$1566+Sens!$E$1566)</f>
        <v>0.355980580118587</v>
      </c>
      <c r="G1590" s="13" t="n">
        <f aca="false">Sens!$G$1589/Sens!$G$1566</f>
        <v>0.371454804780916</v>
      </c>
      <c r="H1590" s="13" t="n">
        <f aca="false">Sens!$F$1590</f>
        <v>0.355980580118587</v>
      </c>
      <c r="I1590" s="13" t="n">
        <f aca="false">Sens!$F$1590</f>
        <v>0.355980580118587</v>
      </c>
      <c r="J1590" s="13" t="n">
        <f aca="false">Sens!$F$1590</f>
        <v>0.355980580118587</v>
      </c>
      <c r="K1590" s="13" t="n">
        <f aca="false">Sens!$F$1590</f>
        <v>0.355980580118587</v>
      </c>
      <c r="L1590" s="13" t="n">
        <f aca="false">Sens!$F$1590</f>
        <v>0.355980580118587</v>
      </c>
      <c r="M1590" s="13" t="n">
        <f aca="false">Sens!$F$1590</f>
        <v>0.355980580118587</v>
      </c>
      <c r="N1590" s="13" t="n">
        <f aca="false">Sens!$N$1589/Sens!$N$1566</f>
        <v>0.35078810535806</v>
      </c>
      <c r="O1590" s="13" t="n">
        <f aca="false">Sens!$O$1589/Sens!$O$1566</f>
        <v>0.320796939361619</v>
      </c>
      <c r="P1590" s="8" t="s">
        <v>652</v>
      </c>
    </row>
    <row r="1591" customFormat="false" ht="17.15" hidden="false" customHeight="false" outlineLevel="0" collapsed="false">
      <c r="A1591" s="0" t="s">
        <v>653</v>
      </c>
      <c r="B1591" s="0" t="s">
        <v>52</v>
      </c>
      <c r="D1591" s="13" t="n">
        <f aca="false">(Q!$E$31-ext_sh*Sens!$D$1580)/Sens!$D$1566</f>
        <v>0.167180325480118</v>
      </c>
    </row>
    <row r="1592" customFormat="false" ht="17.15" hidden="false" customHeight="false" outlineLevel="0" collapsed="false">
      <c r="A1592" s="0" t="s">
        <v>654</v>
      </c>
      <c r="B1592" s="0" t="s">
        <v>86</v>
      </c>
      <c r="C1592" s="38" t="n">
        <f aca="false">Q!$D$31</f>
        <v>13.32</v>
      </c>
      <c r="D1592" s="38" t="n">
        <f aca="false">Q!$E$31</f>
        <v>21.45</v>
      </c>
      <c r="E1592" s="38" t="n">
        <f aca="false">Q!$P$31</f>
        <v>15.353</v>
      </c>
      <c r="F1592" s="38" t="n">
        <f aca="false">ext_sh*Sens!$F$1580+Sens!$D$1591*Sens!$F$1566</f>
        <v>15.4404120185306</v>
      </c>
      <c r="G1592" s="38" t="n">
        <f aca="false">Sens!$E$1592+Sens!$F$1592</f>
        <v>30.7934120185306</v>
      </c>
      <c r="H1592" s="38" t="n">
        <f aca="false">ext_sh*Sens!$H$1580+Sens!$D$1591*Sens!$H$1566</f>
        <v>50.9211752594384</v>
      </c>
      <c r="I1592" s="38" t="n">
        <f aca="false">ext_sh*Sens!$I$1580+Sens!$D$1591*Sens!$I$1566</f>
        <v>81.6122008624046</v>
      </c>
      <c r="J1592" s="38" t="n">
        <f aca="false">ext_sh*Sens!$J$1580+Sens!$D$1591*Sens!$J$1566</f>
        <v>113.190876319582</v>
      </c>
      <c r="K1592" s="38" t="n">
        <f aca="false">ext_sh*Sens!$K$1580+Sens!$D$1591*Sens!$K$1566</f>
        <v>145.096571163031</v>
      </c>
      <c r="L1592" s="38" t="n">
        <f aca="false">ext_sh*Sens!$L$1580+Sens!$D$1591*Sens!$L$1566</f>
        <v>168.514902832459</v>
      </c>
      <c r="M1592" s="38" t="n">
        <f aca="false">ext_sh*Sens!$M$1580+Sens!$D$1591*Sens!$M$1566</f>
        <v>184.754451916078</v>
      </c>
      <c r="N1592" s="38" t="n">
        <f aca="false">Q!$N$31</f>
        <v>9.234</v>
      </c>
      <c r="O1592" s="38" t="n">
        <f aca="false">Q!$O$31</f>
        <v>12.216</v>
      </c>
    </row>
    <row r="1593" customFormat="false" ht="17.15" hidden="false" customHeight="false" outlineLevel="0" collapsed="false">
      <c r="A1593" s="1" t="s">
        <v>655</v>
      </c>
    </row>
    <row r="1594" customFormat="false" ht="17.15" hidden="false" customHeight="false" outlineLevel="0" collapsed="false">
      <c r="A1594" s="15" t="s">
        <v>656</v>
      </c>
      <c r="B1594" s="14" t="s">
        <v>52</v>
      </c>
      <c r="C1594" s="14"/>
      <c r="D1594" s="14"/>
      <c r="E1594" s="14"/>
      <c r="F1594" s="14"/>
      <c r="G1594" s="17" t="n">
        <f aca="false">Sens!$G$1584*(1-tax)/(ext_sh*(Sens!$D$1581+Sens!$G$1581)/2)</f>
        <v>0.0955074095179649</v>
      </c>
      <c r="H1594" s="17" t="n">
        <f aca="false">Sens!$H$1584*(1-tax)/(ext_sh*(Sens!$G$1581+Sens!$H$1581)/2)</f>
        <v>0.102778136398602</v>
      </c>
      <c r="I1594" s="17" t="n">
        <f aca="false">Sens!$I$1584*(1-tax)/(ext_sh*(Sens!$H$1581+Sens!$I$1581)/2)</f>
        <v>0.0893142304543167</v>
      </c>
      <c r="J1594" s="17" t="n">
        <f aca="false">Sens!$J$1584*(1-tax)/(ext_sh*(Sens!$I$1581+Sens!$J$1581)/2)</f>
        <v>0.0857130767537566</v>
      </c>
      <c r="K1594" s="17" t="n">
        <f aca="false">Sens!$K$1584*(1-tax)/(ext_sh*(Sens!$J$1581+Sens!$K$1581)/2)</f>
        <v>0.0821150726297291</v>
      </c>
      <c r="L1594" s="17" t="n">
        <f aca="false">Sens!$L$1584*(1-tax)/(ext_sh*(Sens!$K$1581+Sens!$L$1581)/2)</f>
        <v>0.0832042012261018</v>
      </c>
      <c r="M1594" s="17" t="n">
        <f aca="false">Sens!$M$1584*(1-tax)/(ext_sh*(Sens!$L$1581+Sens!$M$1581)/2)</f>
        <v>0.08204497111993</v>
      </c>
      <c r="N1594" s="14"/>
      <c r="O1594" s="14"/>
      <c r="P1594" s="8" t="s">
        <v>657</v>
      </c>
    </row>
    <row r="1595" customFormat="false" ht="17.15" hidden="false" customHeight="false" outlineLevel="0" collapsed="false">
      <c r="A1595" s="5" t="s">
        <v>658</v>
      </c>
      <c r="B1595" s="0" t="s">
        <v>57</v>
      </c>
      <c r="H1595" s="36" t="n">
        <f aca="false">Sens!$H$1562*1000/(mw_open*he_open+Sens!$H$1560*Sens!$H$1557)</f>
        <v>0.991949006767192</v>
      </c>
      <c r="I1595" s="36" t="n">
        <f aca="false">Sens!$I$1562*1000/(mw_open*he_open+Sens!$I$1560*Sens!$I$1557)</f>
        <v>0.991949006767191</v>
      </c>
      <c r="J1595" s="36" t="n">
        <f aca="false">Sens!$J$1562*1000/(mw_open*he_open+Sens!$J$1560*Sens!$J$1557)</f>
        <v>0.991949006767191</v>
      </c>
      <c r="K1595" s="36" t="n">
        <f aca="false">Sens!$K$1562*1000/(mw_open*he_open+Sens!$K$1560*Sens!$K$1557)</f>
        <v>0.991949006767191</v>
      </c>
      <c r="L1595" s="36" t="n">
        <f aca="false">Sens!$L$1562*1000/(mw_open*he_open+Sens!$L$1560*Sens!$L$1557)</f>
        <v>0.991949006767191</v>
      </c>
      <c r="M1595" s="36" t="n">
        <f aca="false">Sens!$M$1562*1000/(mw_open*he_open+Sens!$M$1560*Sens!$M$1557)</f>
        <v>0.991949006767192</v>
      </c>
    </row>
    <row r="1596" customFormat="false" ht="17.15" hidden="false" customHeight="false" outlineLevel="0" collapsed="false">
      <c r="A1596" s="5" t="s">
        <v>659</v>
      </c>
      <c r="B1596" s="0" t="s">
        <v>57</v>
      </c>
      <c r="H1596" s="36" t="n">
        <f aca="false">Sens!$H$1595*(Sens!$H$1562+wacc*ext_sh*(Sens!$G$1581+Sens!$H$1581)/2/(1-tax)-Sens!$H$1584)/Sens!$H$1562</f>
        <v>1.03748903235685</v>
      </c>
      <c r="I1596" s="36" t="n">
        <f aca="false">Sens!$I$1595*(Sens!$I$1562+wacc*ext_sh*(Sens!$H$1581+Sens!$I$1581)/2/(1-tax)-Sens!$I$1584)/Sens!$I$1562</f>
        <v>1.09043202183731</v>
      </c>
      <c r="J1596" s="36" t="n">
        <f aca="false">Sens!$J$1595*(Sens!$J$1562+wacc*ext_sh*(Sens!$I$1581+Sens!$J$1581)/2/(1-tax)-Sens!$J$1584)/Sens!$J$1562</f>
        <v>1.09818549349343</v>
      </c>
      <c r="K1596" s="36" t="n">
        <f aca="false">Sens!$K$1595*(Sens!$K$1562+wacc*ext_sh*(Sens!$J$1581+Sens!$K$1581)/2/(1-tax)-Sens!$K$1584)/Sens!$K$1562</f>
        <v>1.10239226349371</v>
      </c>
      <c r="L1596" s="36" t="n">
        <f aca="false">Sens!$L$1595*(Sens!$L$1562+wacc*ext_sh*(Sens!$K$1581+Sens!$L$1581)/2/(1-tax)-Sens!$L$1584)/Sens!$L$1562</f>
        <v>1.08857156610365</v>
      </c>
      <c r="M1596" s="36" t="n">
        <f aca="false">Sens!$M$1595*(Sens!$M$1562+wacc*ext_sh*(Sens!$L$1581+Sens!$M$1581)/2/(1-tax)-Sens!$M$1584)/Sens!$M$1562</f>
        <v>1.0851519940476</v>
      </c>
    </row>
    <row r="1597" customFormat="false" ht="17.15" hidden="false" customHeight="false" outlineLevel="0" collapsed="false">
      <c r="A1597" s="5" t="s">
        <v>660</v>
      </c>
      <c r="B1597" s="0" t="s">
        <v>52</v>
      </c>
      <c r="C1597" s="13" t="n">
        <f aca="false">Sens!$C$1563/tk_pq</f>
        <v>0.195316432429398</v>
      </c>
      <c r="D1597" s="13" t="n">
        <f aca="false">Sens!$D$1563/tk_pq</f>
        <v>0.195316432429398</v>
      </c>
      <c r="E1597" s="13" t="n">
        <f aca="false">Sens!$E$1563/tk_pq</f>
        <v>0.195316432429398</v>
      </c>
      <c r="F1597" s="13" t="n">
        <f aca="false">Sens!$F$1563/tk_pq</f>
        <v>0.203361702985279</v>
      </c>
      <c r="G1597" s="13" t="n">
        <f aca="false">Sens!$G$1563/tk_pq</f>
        <v>0.200515948052215</v>
      </c>
      <c r="H1597" s="13" t="n">
        <f aca="false">Sens!$H$1563/tk_pq</f>
        <v>0.21400874463705</v>
      </c>
      <c r="I1597" s="13" t="n">
        <f aca="false">Sens!$I$1563/tk_pq</f>
        <v>0.22040137117169</v>
      </c>
      <c r="J1597" s="13" t="n">
        <f aca="false">Sens!$J$1563/tk_pq</f>
        <v>0.223392097836285</v>
      </c>
      <c r="K1597" s="13" t="n">
        <f aca="false">Sens!$K$1563/tk_pq</f>
        <v>0.224815185841028</v>
      </c>
      <c r="L1597" s="13" t="n">
        <f aca="false">Sens!$L$1563/tk_pq</f>
        <v>0.225475793589319</v>
      </c>
      <c r="M1597" s="13" t="n">
        <f aca="false">Sens!$M$1563/tk_pq</f>
        <v>0.22570393520189</v>
      </c>
      <c r="N1597" s="13" t="n">
        <f aca="false">Sens!$N$1563/tk_pq</f>
        <v>0.195316432429398</v>
      </c>
      <c r="O1597" s="13" t="n">
        <f aca="false">Sens!$O$1563/tk_pq</f>
        <v>0.195316432429398</v>
      </c>
      <c r="P1597" s="5" t="s">
        <v>661</v>
      </c>
    </row>
    <row r="1600" customFormat="false" ht="17.15" hidden="false" customHeight="false" outlineLevel="0" collapsed="false">
      <c r="A1600" s="1" t="s">
        <v>690</v>
      </c>
    </row>
    <row r="1601" customFormat="false" ht="17.15" hidden="false" customHeight="false" outlineLevel="0" collapsed="false">
      <c r="A1601" s="0" t="s">
        <v>691</v>
      </c>
      <c r="B1601" s="0" t="s">
        <v>86</v>
      </c>
      <c r="C1601" s="38" t="n">
        <f aca="false">Sens!$C$1562</f>
        <v>2.32100535697364</v>
      </c>
      <c r="D1601" s="38" t="n">
        <f aca="false">Sens!$D$1562</f>
        <v>8.70377008865116</v>
      </c>
      <c r="E1601" s="38" t="n">
        <f aca="false">Sens!$E$1562</f>
        <v>8.51035297557002</v>
      </c>
      <c r="F1601" s="38" t="n">
        <f aca="false">Sens!$F$1562</f>
        <v>16.1898695858458</v>
      </c>
      <c r="G1601" s="38" t="n">
        <f aca="false">Sens!$G$1562</f>
        <v>24.7002225614158</v>
      </c>
      <c r="H1601" s="38" t="n">
        <f aca="false">Sens!$H$1562</f>
        <v>70.1785184971087</v>
      </c>
      <c r="I1601" s="38" t="n">
        <f aca="false">Sens!$I$1562</f>
        <v>121.85077898043</v>
      </c>
      <c r="J1601" s="38" t="n">
        <f aca="false">Sens!$J$1562</f>
        <v>173.752913998988</v>
      </c>
      <c r="K1601" s="38" t="n">
        <f aca="false">Sens!$K$1562</f>
        <v>218.001160485805</v>
      </c>
      <c r="L1601" s="38" t="n">
        <f aca="false">Sens!$L$1562</f>
        <v>247.011421035552</v>
      </c>
      <c r="M1601" s="38" t="n">
        <f aca="false">Sens!$M$1562</f>
        <v>260.746187656572</v>
      </c>
      <c r="N1601" s="38" t="n">
        <f aca="false">Sens!$N$1562</f>
        <v>3.04631953102791</v>
      </c>
      <c r="O1601" s="38" t="n">
        <f aca="false">Sens!$O$1562</f>
        <v>5.65745055762326</v>
      </c>
      <c r="P1601" s="8" t="s">
        <v>692</v>
      </c>
    </row>
    <row r="1602" customFormat="false" ht="17.15" hidden="false" customHeight="false" outlineLevel="0" collapsed="false">
      <c r="A1602" s="0" t="s">
        <v>693</v>
      </c>
      <c r="B1602" s="0" t="s">
        <v>86</v>
      </c>
      <c r="C1602" s="38" t="n">
        <f aca="false">Sens!$C$1566</f>
        <v>105.234994643026</v>
      </c>
      <c r="D1602" s="38" t="n">
        <f aca="false">Sens!$D$1566</f>
        <v>120.021229911349</v>
      </c>
      <c r="E1602" s="38" t="n">
        <f aca="false">Sens!$E$1566</f>
        <v>71.30864702443</v>
      </c>
      <c r="F1602" s="38" t="n">
        <f aca="false">Sens!$F$1566</f>
        <v>71.7692997942464</v>
      </c>
      <c r="G1602" s="38" t="n">
        <f aca="false">Sens!$G$1566</f>
        <v>143.077946818676</v>
      </c>
      <c r="H1602" s="38" t="n">
        <f aca="false">Sens!$H$1566</f>
        <v>161.017077079203</v>
      </c>
      <c r="I1602" s="38" t="n">
        <f aca="false">Sens!$I$1566</f>
        <v>178.769759521457</v>
      </c>
      <c r="J1602" s="38" t="n">
        <f aca="false">Sens!$J$1566</f>
        <v>195.775538045907</v>
      </c>
      <c r="K1602" s="38" t="n">
        <f aca="false">Sens!$K$1566</f>
        <v>211.43758108958</v>
      </c>
      <c r="L1602" s="38" t="n">
        <f aca="false">Sens!$L$1566</f>
        <v>228.352587576746</v>
      </c>
      <c r="M1602" s="38" t="n">
        <f aca="false">Sens!$M$1566</f>
        <v>246.620794582886</v>
      </c>
      <c r="N1602" s="38" t="n">
        <f aca="false">Sens!$N$1566</f>
        <v>57.0936804689721</v>
      </c>
      <c r="O1602" s="38" t="n">
        <f aca="false">Sens!$O$1566</f>
        <v>62.9275494423768</v>
      </c>
      <c r="P1602" s="8" t="s">
        <v>692</v>
      </c>
    </row>
    <row r="1603" customFormat="false" ht="17.15" hidden="false" customHeight="false" outlineLevel="0" collapsed="false">
      <c r="A1603" s="1" t="s">
        <v>516</v>
      </c>
      <c r="B1603" s="8" t="s">
        <v>86</v>
      </c>
      <c r="C1603" s="38" t="n">
        <f aca="false">Q!$D$7</f>
        <v>107.556</v>
      </c>
      <c r="D1603" s="38" t="n">
        <f aca="false">Q!$E$7</f>
        <v>128.725</v>
      </c>
      <c r="E1603" s="38" t="n">
        <f aca="false">Q!$P$7</f>
        <v>79.819</v>
      </c>
      <c r="F1603" s="38" t="n">
        <f aca="false">Sens!$F$1601+Sens!$F$1602</f>
        <v>87.9591693800922</v>
      </c>
      <c r="G1603" s="38" t="n">
        <f aca="false">Sens!$G$1601+Sens!$G$1602</f>
        <v>167.778169380092</v>
      </c>
      <c r="H1603" s="38" t="n">
        <f aca="false">Sens!$H$1601+Sens!$H$1602</f>
        <v>231.195595576312</v>
      </c>
      <c r="I1603" s="38" t="n">
        <f aca="false">Sens!$I$1601+Sens!$I$1602</f>
        <v>300.620538501888</v>
      </c>
      <c r="J1603" s="38" t="n">
        <f aca="false">Sens!$J$1601+Sens!$J$1602</f>
        <v>369.528452044895</v>
      </c>
      <c r="K1603" s="38" t="n">
        <f aca="false">Sens!$K$1601+Sens!$K$1602</f>
        <v>429.438741575385</v>
      </c>
      <c r="L1603" s="38" t="n">
        <f aca="false">Sens!$L$1601+Sens!$L$1602</f>
        <v>475.364008612298</v>
      </c>
      <c r="M1603" s="38" t="n">
        <f aca="false">Sens!$M$1601+Sens!$M$1602</f>
        <v>507.366982239458</v>
      </c>
      <c r="N1603" s="38" t="n">
        <f aca="false">Q!$N$7</f>
        <v>60.14</v>
      </c>
      <c r="O1603" s="38" t="n">
        <f aca="false">Q!$O$7</f>
        <v>68.585</v>
      </c>
      <c r="P1603" s="5" t="s">
        <v>694</v>
      </c>
    </row>
    <row r="1604" customFormat="false" ht="15" hidden="false" customHeight="false" outlineLevel="0" collapsed="false">
      <c r="A1604" s="3" t="s">
        <v>695</v>
      </c>
      <c r="B1604" s="8" t="s">
        <v>86</v>
      </c>
      <c r="C1604" s="38" t="n">
        <f aca="false">Q!$D$8</f>
        <v>637.959</v>
      </c>
      <c r="D1604" s="38" t="n">
        <f aca="false">Q!$E$8</f>
        <v>716.924</v>
      </c>
      <c r="E1604" s="38" t="n">
        <f aca="false">Q!$P$8</f>
        <v>382.125</v>
      </c>
      <c r="F1604" s="38" t="n">
        <f aca="false">Sens!$F$1534+Sens!$F$1603</f>
        <v>437.007411025629</v>
      </c>
      <c r="G1604" s="38" t="n">
        <f aca="false">Sens!$G$1534+Sens!$G$1603</f>
        <v>819.13241102563</v>
      </c>
      <c r="H1604" s="38" t="n">
        <f aca="false">Sens!$H$1534+Sens!$H$1603</f>
        <v>952.292485097698</v>
      </c>
      <c r="I1604" s="38" t="n">
        <f aca="false">Sens!$I$1534+Sens!$I$1603</f>
        <v>1089.14992965442</v>
      </c>
      <c r="J1604" s="38" t="n">
        <f aca="false">Sens!$J$1534+Sens!$J$1603</f>
        <v>1220.63685778634</v>
      </c>
      <c r="K1604" s="38" t="n">
        <f aca="false">Sens!$K$1534+Sens!$K$1603</f>
        <v>1335.61519700647</v>
      </c>
      <c r="L1604" s="38" t="n">
        <f aca="false">Sens!$L$1534+Sens!$L$1603</f>
        <v>1440.45711508789</v>
      </c>
      <c r="M1604" s="38" t="n">
        <f aca="false">Sens!$M$1534+Sens!$M$1603</f>
        <v>1535.51489018635</v>
      </c>
      <c r="N1604" s="38" t="n">
        <f aca="false">Q!$N$8</f>
        <v>323.369</v>
      </c>
      <c r="O1604" s="38" t="n">
        <f aca="false">Q!$O$8</f>
        <v>393.555</v>
      </c>
    </row>
    <row r="1605" customFormat="false" ht="17.15" hidden="false" customHeight="false" outlineLevel="0" collapsed="false">
      <c r="A1605" s="24" t="s">
        <v>703</v>
      </c>
      <c r="B1605" s="25" t="s">
        <v>86</v>
      </c>
      <c r="C1605" s="41" t="n">
        <f aca="false">Sens!$C$1534-(Sens!$C$1536+Sens!$C$1537)</f>
        <v>0</v>
      </c>
      <c r="D1605" s="41" t="n">
        <f aca="false">Sens!$D$1534-(Sens!$D$1536+Sens!$D$1537)</f>
        <v>0</v>
      </c>
      <c r="E1605" s="41" t="n">
        <f aca="false">Sens!$E$1534-(Sens!$E$1536+Sens!$E$1537)</f>
        <v>0</v>
      </c>
      <c r="F1605" s="41" t="n">
        <f aca="false">Sens!$F$1534-(Sens!$F$1536+Sens!$F$1537)</f>
        <v>0</v>
      </c>
      <c r="G1605" s="41" t="n">
        <f aca="false">Sens!$G$1534-(Sens!$G$1536+Sens!$G$1537)</f>
        <v>0</v>
      </c>
      <c r="H1605" s="41" t="n">
        <f aca="false">Sens!$H$1534-(Sens!$H$1536+Sens!$H$1537)</f>
        <v>0</v>
      </c>
      <c r="I1605" s="41" t="n">
        <f aca="false">Sens!$I$1534-(Sens!$I$1536+Sens!$I$1537)</f>
        <v>0</v>
      </c>
      <c r="J1605" s="41" t="n">
        <f aca="false">Sens!$J$1534-(Sens!$J$1536+Sens!$J$1537)</f>
        <v>0</v>
      </c>
      <c r="K1605" s="41" t="n">
        <f aca="false">Sens!$K$1534-(Sens!$K$1536+Sens!$K$1537)</f>
        <v>0</v>
      </c>
      <c r="L1605" s="41" t="n">
        <f aca="false">Sens!$L$1534-(Sens!$L$1536+Sens!$L$1537)</f>
        <v>0</v>
      </c>
      <c r="M1605" s="41" t="n">
        <f aca="false">Sens!$M$1534-(Sens!$M$1536+Sens!$M$1537)</f>
        <v>0</v>
      </c>
      <c r="N1605" s="41" t="n">
        <f aca="false">Sens!$N$1534-(Sens!$N$1536+Sens!$N$1537)</f>
        <v>0</v>
      </c>
      <c r="O1605" s="41" t="n">
        <f aca="false">Sens!$O$1534-(Sens!$O$1536+Sens!$O$1537)</f>
        <v>0</v>
      </c>
    </row>
    <row r="1606" customFormat="false" ht="17.15" hidden="false" customHeight="false" outlineLevel="0" collapsed="false">
      <c r="A1606" s="24" t="s">
        <v>704</v>
      </c>
      <c r="B1606" s="25" t="s">
        <v>86</v>
      </c>
      <c r="C1606" s="41" t="n">
        <f aca="false">Sens!$C$1601+Sens!$C$1602-Sens!$C$1603</f>
        <v>0</v>
      </c>
      <c r="D1606" s="41" t="n">
        <f aca="false">Sens!$D$1601+Sens!$D$1602-Sens!$D$1603</f>
        <v>0</v>
      </c>
      <c r="E1606" s="41" t="n">
        <f aca="false">Sens!$E$1601+Sens!$E$1602-Sens!$E$1603</f>
        <v>0</v>
      </c>
      <c r="F1606" s="41" t="n">
        <f aca="false">Sens!$F$1601+Sens!$F$1602-Sens!$F$1603</f>
        <v>0</v>
      </c>
      <c r="G1606" s="41" t="n">
        <f aca="false">Sens!$G$1601+Sens!$G$1602-Sens!$G$1603</f>
        <v>0</v>
      </c>
      <c r="H1606" s="41" t="n">
        <f aca="false">Sens!$H$1601+Sens!$H$1602-Sens!$H$1603</f>
        <v>0</v>
      </c>
      <c r="I1606" s="41" t="n">
        <f aca="false">Sens!$I$1601+Sens!$I$1602-Sens!$I$1603</f>
        <v>0</v>
      </c>
      <c r="J1606" s="41" t="n">
        <f aca="false">Sens!$J$1601+Sens!$J$1602-Sens!$J$1603</f>
        <v>0</v>
      </c>
      <c r="K1606" s="41" t="n">
        <f aca="false">Sens!$K$1601+Sens!$K$1602-Sens!$K$1603</f>
        <v>0</v>
      </c>
      <c r="L1606" s="41" t="n">
        <f aca="false">Sens!$L$1601+Sens!$L$1602-Sens!$L$1603</f>
        <v>0</v>
      </c>
      <c r="M1606" s="41" t="n">
        <f aca="false">Sens!$M$1601+Sens!$M$1602-Sens!$M$1603</f>
        <v>0</v>
      </c>
      <c r="N1606" s="41" t="n">
        <f aca="false">Sens!$N$1601+Sens!$N$1602-Sens!$N$1603</f>
        <v>0</v>
      </c>
      <c r="O1606" s="41" t="n">
        <f aca="false">Sens!$O$1601+Sens!$O$1602-Sens!$O$1603</f>
        <v>0</v>
      </c>
    </row>
    <row r="1607" customFormat="false" ht="17.15" hidden="false" customHeight="false" outlineLevel="0" collapsed="false">
      <c r="A1607" s="24" t="s">
        <v>705</v>
      </c>
      <c r="B1607" s="25" t="s">
        <v>86</v>
      </c>
      <c r="C1607" s="41" t="n">
        <f aca="false">Sens!$C$1536+Sens!$C$1537+Sens!$C$1603-Sens!$C$1604</f>
        <v>0</v>
      </c>
      <c r="D1607" s="41" t="n">
        <f aca="false">Sens!$D$1536+Sens!$D$1537+Sens!$D$1603-Sens!$D$1604</f>
        <v>0</v>
      </c>
      <c r="E1607" s="41" t="n">
        <f aca="false">Sens!$E$1536+Sens!$E$1537+Sens!$E$1603-Sens!$E$1604</f>
        <v>0</v>
      </c>
      <c r="F1607" s="41" t="n">
        <f aca="false">Sens!$F$1536+Sens!$F$1537+Sens!$F$1603-Sens!$F$1604</f>
        <v>0</v>
      </c>
      <c r="G1607" s="41" t="n">
        <f aca="false">Sens!$G$1536+Sens!$G$1537+Sens!$G$1603-Sens!$G$1604</f>
        <v>0</v>
      </c>
      <c r="H1607" s="41" t="n">
        <f aca="false">Sens!$H$1536+Sens!$H$1537+Sens!$H$1603-Sens!$H$1604</f>
        <v>0</v>
      </c>
      <c r="I1607" s="41" t="n">
        <f aca="false">Sens!$I$1536+Sens!$I$1537+Sens!$I$1603-Sens!$I$1604</f>
        <v>0</v>
      </c>
      <c r="J1607" s="41" t="n">
        <f aca="false">Sens!$J$1536+Sens!$J$1537+Sens!$J$1603-Sens!$J$1604</f>
        <v>0</v>
      </c>
      <c r="K1607" s="41" t="n">
        <f aca="false">Sens!$K$1536+Sens!$K$1537+Sens!$K$1603-Sens!$K$1604</f>
        <v>0</v>
      </c>
      <c r="L1607" s="41" t="n">
        <f aca="false">Sens!$L$1536+Sens!$L$1537+Sens!$L$1603-Sens!$L$1604</f>
        <v>0</v>
      </c>
      <c r="M1607" s="41" t="n">
        <f aca="false">Sens!$M$1536+Sens!$M$1537+Sens!$M$1603-Sens!$M$1604</f>
        <v>0</v>
      </c>
      <c r="N1607" s="41" t="n">
        <f aca="false">Sens!$N$1536+Sens!$N$1537+Sens!$N$1603-Sens!$N$1604</f>
        <v>0</v>
      </c>
      <c r="O1607" s="41" t="n">
        <f aca="false">Sens!$O$1536+Sens!$O$1537+Sens!$O$1603-Sens!$O$1604</f>
        <v>0</v>
      </c>
    </row>
    <row r="1608" customFormat="false" ht="15" hidden="false" customHeight="false" outlineLevel="0" collapsed="false">
      <c r="A1608" s="5" t="s">
        <v>699</v>
      </c>
      <c r="B1608" s="0" t="s">
        <v>52</v>
      </c>
      <c r="G1608" s="13" t="n">
        <f aca="false">Sens!$G$1604/Sens!$D$1604-1</f>
        <v>0.142565196625625</v>
      </c>
      <c r="H1608" s="13" t="n">
        <f aca="false">Sens!$H$1604/Sens!$G$1604-1</f>
        <v>0.162562330924422</v>
      </c>
      <c r="I1608" s="13" t="n">
        <f aca="false">Sens!$I$1604/Sens!$H$1604-1</f>
        <v>0.143713666440076</v>
      </c>
      <c r="J1608" s="13" t="n">
        <f aca="false">Sens!$J$1604/Sens!$I$1604-1</f>
        <v>0.120724359936046</v>
      </c>
      <c r="K1608" s="13" t="n">
        <f aca="false">Sens!$K$1604/Sens!$J$1604-1</f>
        <v>0.09419536898849</v>
      </c>
      <c r="L1608" s="13" t="n">
        <f aca="false">Sens!$L$1604/Sens!$K$1604-1</f>
        <v>0.0784970988024081</v>
      </c>
      <c r="M1608" s="13" t="n">
        <f aca="false">Sens!$M$1604/Sens!$L$1604-1</f>
        <v>0.065991395441618</v>
      </c>
    </row>
    <row r="1609" customFormat="false" ht="17.15" hidden="false" customHeight="false" outlineLevel="0" collapsed="false">
      <c r="A1609" s="0" t="s">
        <v>700</v>
      </c>
      <c r="B1609" s="0" t="s">
        <v>52</v>
      </c>
      <c r="C1609" s="13" t="n">
        <f aca="false">Sens!$C$1603/Sens!$C$1604</f>
        <v>0.168593906504964</v>
      </c>
      <c r="D1609" s="13" t="n">
        <f aca="false">Sens!$D$1603/Sens!$D$1604</f>
        <v>0.179551807444025</v>
      </c>
      <c r="E1609" s="13" t="n">
        <f aca="false">Sens!$E$1603/Sens!$E$1604</f>
        <v>0.208881910369643</v>
      </c>
      <c r="F1609" s="13" t="n">
        <f aca="false">Sens!$F$1603/Sens!$F$1604</f>
        <v>0.201276150383028</v>
      </c>
      <c r="G1609" s="13" t="n">
        <f aca="false">Sens!$G$1603/Sens!$G$1604</f>
        <v>0.204824234912178</v>
      </c>
      <c r="H1609" s="13" t="n">
        <f aca="false">Sens!$H$1603/Sens!$H$1604</f>
        <v>0.242777927153959</v>
      </c>
      <c r="I1609" s="13" t="n">
        <f aca="false">Sens!$I$1603/Sens!$I$1604</f>
        <v>0.276013917199878</v>
      </c>
      <c r="J1609" s="13" t="n">
        <f aca="false">Sens!$J$1603/Sens!$J$1604</f>
        <v>0.302734142171527</v>
      </c>
      <c r="K1609" s="13" t="n">
        <f aca="false">Sens!$K$1603/Sens!$K$1604</f>
        <v>0.321528792527886</v>
      </c>
      <c r="L1609" s="13" t="n">
        <f aca="false">Sens!$L$1603/Sens!$L$1604</f>
        <v>0.3300091364284</v>
      </c>
      <c r="M1609" s="13" t="n">
        <f aca="false">Sens!$M$1603/Sens!$M$1604</f>
        <v>0.330421401630228</v>
      </c>
      <c r="N1609" s="13" t="n">
        <f aca="false">Sens!$N$1603/Sens!$N$1604</f>
        <v>0.185979484737251</v>
      </c>
      <c r="O1609" s="13" t="n">
        <f aca="false">Sens!$O$1603/Sens!$O$1604</f>
        <v>0.174270432341096</v>
      </c>
    </row>
    <row r="1610" customFormat="false" ht="17.15" hidden="false" customHeight="false" outlineLevel="0" collapsed="false">
      <c r="A1610" s="0" t="s">
        <v>701</v>
      </c>
      <c r="B1610" s="0" t="s">
        <v>52</v>
      </c>
      <c r="C1610" s="13" t="n">
        <f aca="false">Sens!$C$1601/Sens!$C$1603</f>
        <v>0.0215795060896058</v>
      </c>
      <c r="D1610" s="13" t="n">
        <f aca="false">Sens!$D$1601/Sens!$D$1603</f>
        <v>0.0676152269462122</v>
      </c>
      <c r="E1610" s="13" t="n">
        <f aca="false">Sens!$E$1601/Sens!$E$1603</f>
        <v>0.106620641395783</v>
      </c>
      <c r="F1610" s="13" t="n">
        <f aca="false">Sens!$F$1601/Sens!$F$1603</f>
        <v>0.184061192254847</v>
      </c>
      <c r="G1610" s="13" t="n">
        <f aca="false">Sens!$G$1601/Sens!$G$1603</f>
        <v>0.147219525953098</v>
      </c>
      <c r="H1610" s="13" t="n">
        <f aca="false">Sens!$H$1601/Sens!$H$1603</f>
        <v>0.303546087554875</v>
      </c>
      <c r="I1610" s="13" t="n">
        <f aca="false">Sens!$I$1601/Sens!$I$1603</f>
        <v>0.405330851936004</v>
      </c>
      <c r="J1610" s="13" t="n">
        <f aca="false">Sens!$J$1601/Sens!$J$1603</f>
        <v>0.470201720699651</v>
      </c>
      <c r="K1610" s="13" t="n">
        <f aca="false">Sens!$K$1601/Sens!$K$1603</f>
        <v>0.507642043859559</v>
      </c>
      <c r="L1610" s="13" t="n">
        <f aca="false">Sens!$L$1601/Sens!$L$1603</f>
        <v>0.519625837380154</v>
      </c>
      <c r="M1610" s="13" t="n">
        <f aca="false">Sens!$M$1601/Sens!$M$1603</f>
        <v>0.513920291986028</v>
      </c>
      <c r="N1610" s="13" t="n">
        <f aca="false">Sens!$N$1601/Sens!$N$1603</f>
        <v>0.0506537999838362</v>
      </c>
      <c r="O1610" s="13" t="n">
        <f aca="false">Sens!$O$1601/Sens!$O$1603</f>
        <v>0.0824881615167056</v>
      </c>
    </row>
    <row r="1613" customFormat="false" ht="19.4" hidden="false" customHeight="false" outlineLevel="0" collapsed="false">
      <c r="A1613" s="31" t="s">
        <v>1167</v>
      </c>
    </row>
    <row r="1614" customFormat="false" ht="17.15" hidden="false" customHeight="false" outlineLevel="0" collapsed="false">
      <c r="A1614" s="6" t="s">
        <v>16</v>
      </c>
      <c r="B1614" s="6" t="s">
        <v>17</v>
      </c>
      <c r="C1614" s="20" t="s">
        <v>497</v>
      </c>
      <c r="D1614" s="20" t="s">
        <v>498</v>
      </c>
      <c r="E1614" s="20" t="s">
        <v>580</v>
      </c>
      <c r="F1614" s="20" t="s">
        <v>581</v>
      </c>
      <c r="G1614" s="20" t="s">
        <v>582</v>
      </c>
      <c r="H1614" s="20" t="s">
        <v>583</v>
      </c>
      <c r="I1614" s="20" t="s">
        <v>584</v>
      </c>
      <c r="J1614" s="20" t="s">
        <v>585</v>
      </c>
      <c r="K1614" s="20" t="s">
        <v>586</v>
      </c>
      <c r="L1614" s="20" t="s">
        <v>587</v>
      </c>
      <c r="M1614" s="20" t="s">
        <v>588</v>
      </c>
      <c r="N1614" s="20" t="s">
        <v>589</v>
      </c>
      <c r="O1614" s="20" t="s">
        <v>590</v>
      </c>
      <c r="P1614" s="6" t="s">
        <v>23</v>
      </c>
      <c r="R1614" s="20" t="n">
        <v>2023</v>
      </c>
      <c r="S1614" s="20" t="n">
        <v>2024</v>
      </c>
      <c r="T1614" s="20" t="n">
        <v>2025</v>
      </c>
      <c r="U1614" s="20" t="n">
        <v>2026</v>
      </c>
      <c r="V1614" s="20" t="n">
        <v>2027</v>
      </c>
      <c r="W1614" s="20" t="n">
        <v>2028</v>
      </c>
      <c r="X1614" s="20" t="n">
        <v>2029</v>
      </c>
      <c r="Y1614" s="20" t="n">
        <v>2030</v>
      </c>
      <c r="Z1614" s="20" t="n">
        <v>2031</v>
      </c>
      <c r="AA1614" s="20" t="n">
        <v>2032</v>
      </c>
    </row>
    <row r="1615" customFormat="false" ht="17.15" hidden="false" customHeight="false" outlineLevel="0" collapsed="false">
      <c r="A1615" s="1" t="s">
        <v>716</v>
      </c>
    </row>
    <row r="1616" customFormat="false" ht="15" hidden="false" customHeight="false" outlineLevel="0" collapsed="false">
      <c r="A1616" s="0" t="s">
        <v>519</v>
      </c>
      <c r="B1616" s="0" t="s">
        <v>86</v>
      </c>
      <c r="C1616" s="38" t="n">
        <f aca="false">Sens!$C$1521</f>
        <v>247.029</v>
      </c>
      <c r="D1616" s="38" t="n">
        <f aca="false">Sens!$D$1521</f>
        <v>269.287</v>
      </c>
      <c r="E1616" s="38" t="n">
        <f aca="false">Sens!$E$1521</f>
        <v>134.686</v>
      </c>
      <c r="F1616" s="38" t="n">
        <f aca="false">Sens!$F$1521</f>
        <v>158.293876822267</v>
      </c>
      <c r="G1616" s="38" t="n">
        <f aca="false">Sens!$G$1521</f>
        <v>292.979876822267</v>
      </c>
      <c r="H1616" s="38" t="n">
        <f aca="false">Sens!$H$1521</f>
        <v>318.184543087396</v>
      </c>
      <c r="I1616" s="38" t="n">
        <f aca="false">Sens!$I$1521</f>
        <v>341.736278761793</v>
      </c>
      <c r="J1616" s="38" t="n">
        <f aca="false">Sens!$J$1521</f>
        <v>362.927192787048</v>
      </c>
      <c r="K1616" s="38" t="n">
        <f aca="false">Sens!$K$1521</f>
        <v>381.0735524264</v>
      </c>
      <c r="L1616" s="38" t="n">
        <f aca="false">Sens!$L$1521</f>
        <v>400.12723004772</v>
      </c>
      <c r="M1616" s="38" t="n">
        <f aca="false">Sens!$M$1521</f>
        <v>420.133591550106</v>
      </c>
      <c r="N1616" s="38" t="n">
        <f aca="false">Sens!$N$1521</f>
        <v>118.892</v>
      </c>
      <c r="O1616" s="38" t="n">
        <f aca="false">Sens!$O$1521</f>
        <v>150.395</v>
      </c>
    </row>
    <row r="1617" customFormat="false" ht="15" hidden="false" customHeight="false" outlineLevel="0" collapsed="false">
      <c r="A1617" s="0" t="s">
        <v>520</v>
      </c>
      <c r="B1617" s="0" t="s">
        <v>86</v>
      </c>
      <c r="C1617" s="38" t="n">
        <f aca="false">Sens!$C$1523</f>
        <v>21.215</v>
      </c>
      <c r="D1617" s="38" t="n">
        <f aca="false">Sens!$D$1523</f>
        <v>22.561</v>
      </c>
      <c r="E1617" s="38" t="n">
        <f aca="false">Sens!$E$1523</f>
        <v>11.579</v>
      </c>
      <c r="F1617" s="38" t="n">
        <f aca="false">Sens!$F$1523</f>
        <v>11.5938724610325</v>
      </c>
      <c r="G1617" s="38" t="n">
        <f aca="false">Sens!$G$1523</f>
        <v>23.1728724610325</v>
      </c>
      <c r="H1617" s="38" t="n">
        <f aca="false">Sens!$H$1523</f>
        <v>24.353392759506</v>
      </c>
      <c r="I1617" s="38" t="n">
        <f aca="false">Sens!$I$1523</f>
        <v>25.4240338872015</v>
      </c>
      <c r="J1617" s="38" t="n">
        <f aca="false">Sens!$J$1523</f>
        <v>26.3642491017174</v>
      </c>
      <c r="K1617" s="38" t="n">
        <f aca="false">Sens!$K$1523</f>
        <v>27.155176574769</v>
      </c>
      <c r="L1617" s="38" t="n">
        <f aca="false">Sens!$L$1523</f>
        <v>27.969831872012</v>
      </c>
      <c r="M1617" s="38" t="n">
        <f aca="false">Sens!$M$1523</f>
        <v>28.8089268281724</v>
      </c>
      <c r="N1617" s="38" t="n">
        <f aca="false">Sens!$N$1523</f>
        <v>11.128</v>
      </c>
      <c r="O1617" s="38" t="n">
        <f aca="false">Sens!$O$1523</f>
        <v>11.433</v>
      </c>
    </row>
    <row r="1618" customFormat="false" ht="15" hidden="false" customHeight="false" outlineLevel="0" collapsed="false">
      <c r="A1618" s="0" t="s">
        <v>521</v>
      </c>
      <c r="B1618" s="0" t="s">
        <v>86</v>
      </c>
      <c r="C1618" s="38" t="n">
        <f aca="false">Sens!$C$1525</f>
        <v>156.146</v>
      </c>
      <c r="D1618" s="38" t="n">
        <f aca="false">Sens!$D$1525</f>
        <v>172.162</v>
      </c>
      <c r="E1618" s="38" t="n">
        <f aca="false">Sens!$E$1525</f>
        <v>88.358</v>
      </c>
      <c r="F1618" s="38" t="n">
        <f aca="false">Sens!$F$1525</f>
        <v>102.004388260171</v>
      </c>
      <c r="G1618" s="38" t="n">
        <f aca="false">Sens!$G$1525</f>
        <v>190.362388260171</v>
      </c>
      <c r="H1618" s="38" t="n">
        <f aca="false">Sens!$H$1525</f>
        <v>210.343106588311</v>
      </c>
      <c r="I1618" s="38" t="n">
        <f aca="false">Sens!$I$1525</f>
        <v>229.969728494648</v>
      </c>
      <c r="J1618" s="38" t="n">
        <f aca="false">Sens!$J$1525</f>
        <v>248.747636972598</v>
      </c>
      <c r="K1618" s="38" t="n">
        <f aca="false">Sens!$K$1525</f>
        <v>266.15997156068</v>
      </c>
      <c r="L1618" s="38" t="n">
        <f aca="false">Sens!$L$1525</f>
        <v>284.791169569927</v>
      </c>
      <c r="M1618" s="38" t="n">
        <f aca="false">Sens!$M$1525</f>
        <v>304.726551439822</v>
      </c>
      <c r="N1618" s="38" t="n">
        <f aca="false">Sens!$N$1525</f>
        <v>76.86</v>
      </c>
      <c r="O1618" s="38" t="n">
        <f aca="false">Sens!$O$1525</f>
        <v>95.302</v>
      </c>
    </row>
    <row r="1619" customFormat="false" ht="15" hidden="false" customHeight="false" outlineLevel="0" collapsed="false">
      <c r="A1619" s="0" t="s">
        <v>522</v>
      </c>
      <c r="B1619" s="0" t="s">
        <v>86</v>
      </c>
      <c r="C1619" s="38" t="n">
        <f aca="false">Sens!$C$1527</f>
        <v>56.214</v>
      </c>
      <c r="D1619" s="38" t="n">
        <f aca="false">Sens!$D$1527</f>
        <v>68.635</v>
      </c>
      <c r="E1619" s="38" t="n">
        <f aca="false">Sens!$E$1527</f>
        <v>37.052</v>
      </c>
      <c r="F1619" s="38" t="n">
        <f aca="false">Sens!$F$1527</f>
        <v>46.1572219944148</v>
      </c>
      <c r="G1619" s="38" t="n">
        <f aca="false">Sens!$G$1527</f>
        <v>83.2092219944148</v>
      </c>
      <c r="H1619" s="38" t="n">
        <f aca="false">Sens!$H$1527</f>
        <v>99.8969223878976</v>
      </c>
      <c r="I1619" s="38" t="n">
        <f aca="false">Sens!$I$1527</f>
        <v>116.583111095496</v>
      </c>
      <c r="J1619" s="38" t="n">
        <f aca="false">Sens!$J$1527</f>
        <v>132.148941941952</v>
      </c>
      <c r="K1619" s="38" t="n">
        <f aca="false">Sens!$K$1527</f>
        <v>145.363836136147</v>
      </c>
      <c r="L1619" s="38" t="n">
        <f aca="false">Sens!$L$1527</f>
        <v>159.900219749762</v>
      </c>
      <c r="M1619" s="38" t="n">
        <f aca="false">Sens!$M$1527</f>
        <v>175.890241724738</v>
      </c>
      <c r="N1619" s="38" t="n">
        <f aca="false">Sens!$N$1527</f>
        <v>29.615</v>
      </c>
      <c r="O1619" s="38" t="n">
        <f aca="false">Sens!$O$1527</f>
        <v>39.02</v>
      </c>
    </row>
    <row r="1620" customFormat="false" ht="15" hidden="false" customHeight="false" outlineLevel="0" collapsed="false">
      <c r="A1620" s="0" t="s">
        <v>523</v>
      </c>
      <c r="B1620" s="0" t="s">
        <v>86</v>
      </c>
      <c r="C1620" s="38" t="n">
        <f aca="false">Sens!$C$1529</f>
        <v>44.374</v>
      </c>
      <c r="D1620" s="38" t="n">
        <f aca="false">Sens!$D$1529</f>
        <v>49.619</v>
      </c>
      <c r="E1620" s="38" t="n">
        <f aca="false">Sens!$E$1529</f>
        <v>27.157</v>
      </c>
      <c r="F1620" s="38" t="n">
        <f aca="false">Sens!$F$1529</f>
        <v>27.7764165988154</v>
      </c>
      <c r="G1620" s="38" t="n">
        <f aca="false">Sens!$G$1529</f>
        <v>54.9334165988154</v>
      </c>
      <c r="H1620" s="38" t="n">
        <f aca="false">Sens!$H$1529</f>
        <v>61.1564112561829</v>
      </c>
      <c r="I1620" s="38" t="n">
        <f aca="false">Sens!$I$1529</f>
        <v>67.2020282103945</v>
      </c>
      <c r="J1620" s="38" t="n">
        <f aca="false">Sens!$J$1529</f>
        <v>72.8757274028885</v>
      </c>
      <c r="K1620" s="38" t="n">
        <f aca="false">Sens!$K$1529</f>
        <v>77.9770283210907</v>
      </c>
      <c r="L1620" s="38" t="n">
        <f aca="false">Sens!$L$1529</f>
        <v>83.4354203035671</v>
      </c>
      <c r="M1620" s="38" t="n">
        <f aca="false">Sens!$M$1529</f>
        <v>89.2758997248168</v>
      </c>
      <c r="N1620" s="38" t="n">
        <f aca="false">Sens!$N$1529</f>
        <v>23.923</v>
      </c>
      <c r="O1620" s="38" t="n">
        <f aca="false">Sens!$O$1529</f>
        <v>25.696</v>
      </c>
    </row>
    <row r="1621" customFormat="false" ht="15" hidden="false" customHeight="false" outlineLevel="0" collapsed="false">
      <c r="A1621" s="0" t="s">
        <v>524</v>
      </c>
      <c r="B1621" s="0" t="s">
        <v>86</v>
      </c>
      <c r="C1621" s="38" t="n">
        <f aca="false">Sens!$C$1531</f>
        <v>5.425</v>
      </c>
      <c r="D1621" s="38" t="n">
        <f aca="false">Sens!$D$1531</f>
        <v>5.935</v>
      </c>
      <c r="E1621" s="38" t="n">
        <f aca="false">Sens!$E$1531</f>
        <v>3.474</v>
      </c>
      <c r="F1621" s="38" t="n">
        <f aca="false">Sens!$F$1531</f>
        <v>3.22246550883619</v>
      </c>
      <c r="G1621" s="38" t="n">
        <f aca="false">Sens!$G$1531</f>
        <v>6.69646550883619</v>
      </c>
      <c r="H1621" s="38" t="n">
        <f aca="false">Sens!$H$1531</f>
        <v>7.16251344209196</v>
      </c>
      <c r="I1621" s="38" t="n">
        <f aca="false">Sens!$I$1531</f>
        <v>7.61421070299826</v>
      </c>
      <c r="J1621" s="38" t="n">
        <f aca="false">Sens!$J$1531</f>
        <v>8.04465753523932</v>
      </c>
      <c r="K1621" s="38" t="n">
        <f aca="false">Sens!$K$1531</f>
        <v>8.44689041200128</v>
      </c>
      <c r="L1621" s="38" t="n">
        <f aca="false">Sens!$L$1531</f>
        <v>8.86923493260135</v>
      </c>
      <c r="M1621" s="38" t="n">
        <f aca="false">Sens!$M$1531</f>
        <v>9.31269667923142</v>
      </c>
      <c r="N1621" s="38" t="n">
        <f aca="false">Sens!$N$1531</f>
        <v>2.811</v>
      </c>
      <c r="O1621" s="38" t="n">
        <f aca="false">Sens!$O$1531</f>
        <v>3.124</v>
      </c>
    </row>
    <row r="1622" customFormat="false" ht="17.15" hidden="false" customHeight="false" outlineLevel="0" collapsed="false">
      <c r="A1622" s="0" t="s">
        <v>717</v>
      </c>
      <c r="B1622" s="0" t="s">
        <v>86</v>
      </c>
      <c r="C1622" s="38" t="n">
        <f aca="false">Sens!$C$1603</f>
        <v>107.556</v>
      </c>
      <c r="D1622" s="38" t="n">
        <f aca="false">Sens!$D$1603</f>
        <v>128.725</v>
      </c>
      <c r="E1622" s="38" t="n">
        <f aca="false">Sens!$E$1603</f>
        <v>79.819</v>
      </c>
      <c r="F1622" s="38" t="n">
        <f aca="false">Sens!$F$1603</f>
        <v>87.9591693800922</v>
      </c>
      <c r="G1622" s="38" t="n">
        <f aca="false">Sens!$G$1603</f>
        <v>167.778169380092</v>
      </c>
      <c r="H1622" s="38" t="n">
        <f aca="false">Sens!$H$1603</f>
        <v>231.195595576312</v>
      </c>
      <c r="I1622" s="38" t="n">
        <f aca="false">Sens!$I$1603</f>
        <v>300.620538501888</v>
      </c>
      <c r="J1622" s="38" t="n">
        <f aca="false">Sens!$J$1603</f>
        <v>369.528452044895</v>
      </c>
      <c r="K1622" s="38" t="n">
        <f aca="false">Sens!$K$1603</f>
        <v>429.438741575385</v>
      </c>
      <c r="L1622" s="38" t="n">
        <f aca="false">Sens!$L$1603</f>
        <v>475.364008612298</v>
      </c>
      <c r="M1622" s="38" t="n">
        <f aca="false">Sens!$M$1603</f>
        <v>507.366982239458</v>
      </c>
      <c r="N1622" s="38" t="n">
        <f aca="false">Sens!$N$1603</f>
        <v>60.14</v>
      </c>
      <c r="O1622" s="38" t="n">
        <f aca="false">Sens!$O$1603</f>
        <v>68.585</v>
      </c>
    </row>
    <row r="1623" customFormat="false" ht="15" hidden="false" customHeight="false" outlineLevel="0" collapsed="false">
      <c r="A1623" s="1" t="s">
        <v>512</v>
      </c>
      <c r="B1623" s="8" t="s">
        <v>86</v>
      </c>
      <c r="C1623" s="38" t="n">
        <f aca="false">Sens!$C$1536</f>
        <v>387.497</v>
      </c>
      <c r="D1623" s="38" t="n">
        <f aca="false">Sens!$D$1536</f>
        <v>426.305</v>
      </c>
      <c r="E1623" s="38" t="n">
        <f aca="false">Sens!$E$1536</f>
        <v>220.32</v>
      </c>
      <c r="F1623" s="38" t="n">
        <f aca="false">Sens!$F$1536</f>
        <v>250.639773480586</v>
      </c>
      <c r="G1623" s="38" t="n">
        <f aca="false">Sens!$G$1536</f>
        <v>470.959773480586</v>
      </c>
      <c r="H1623" s="38" t="n">
        <f aca="false">Sens!$H$1536</f>
        <v>521.386990416437</v>
      </c>
      <c r="I1623" s="38" t="n">
        <f aca="false">Sens!$I$1536</f>
        <v>570.143862887555</v>
      </c>
      <c r="J1623" s="38" t="n">
        <f aca="false">Sens!$J$1536</f>
        <v>615.391435791933</v>
      </c>
      <c r="K1623" s="38" t="n">
        <f aca="false">Sens!$K$1536</f>
        <v>655.208227561543</v>
      </c>
      <c r="L1623" s="38" t="n">
        <f aca="false">Sens!$L$1536</f>
        <v>697.807739249767</v>
      </c>
      <c r="M1623" s="38" t="n">
        <f aca="false">Sens!$M$1536</f>
        <v>743.399328463592</v>
      </c>
      <c r="N1623" s="38" t="n">
        <f aca="false">Sens!$N$1536</f>
        <v>192.955</v>
      </c>
      <c r="O1623" s="38" t="n">
        <f aca="false">Sens!$O$1536</f>
        <v>233.35</v>
      </c>
    </row>
    <row r="1624" customFormat="false" ht="15" hidden="false" customHeight="false" outlineLevel="0" collapsed="false">
      <c r="A1624" s="1" t="s">
        <v>515</v>
      </c>
      <c r="B1624" s="8" t="s">
        <v>86</v>
      </c>
      <c r="C1624" s="38" t="n">
        <f aca="false">Sens!$C$1537</f>
        <v>142.906</v>
      </c>
      <c r="D1624" s="38" t="n">
        <f aca="false">Sens!$D$1537</f>
        <v>161.894</v>
      </c>
      <c r="E1624" s="38" t="n">
        <f aca="false">Sens!$E$1537</f>
        <v>81.986</v>
      </c>
      <c r="F1624" s="38" t="n">
        <f aca="false">Sens!$F$1537</f>
        <v>98.408468164951</v>
      </c>
      <c r="G1624" s="38" t="n">
        <f aca="false">Sens!$G$1537</f>
        <v>180.394468164951</v>
      </c>
      <c r="H1624" s="38" t="n">
        <f aca="false">Sens!$H$1537</f>
        <v>199.709899104949</v>
      </c>
      <c r="I1624" s="38" t="n">
        <f aca="false">Sens!$I$1537</f>
        <v>218.385528264976</v>
      </c>
      <c r="J1624" s="38" t="n">
        <f aca="false">Sens!$J$1537</f>
        <v>235.71696994951</v>
      </c>
      <c r="K1624" s="38" t="n">
        <f aca="false">Sens!$K$1537</f>
        <v>250.968227869545</v>
      </c>
      <c r="L1624" s="38" t="n">
        <f aca="false">Sens!$L$1537</f>
        <v>267.285367225822</v>
      </c>
      <c r="M1624" s="38" t="n">
        <f aca="false">Sens!$M$1537</f>
        <v>284.748579483295</v>
      </c>
      <c r="N1624" s="38" t="n">
        <f aca="false">Sens!$N$1537</f>
        <v>70.274</v>
      </c>
      <c r="O1624" s="38" t="n">
        <f aca="false">Sens!$O$1537</f>
        <v>91.62</v>
      </c>
    </row>
    <row r="1625" customFormat="false" ht="15" hidden="false" customHeight="false" outlineLevel="0" collapsed="false">
      <c r="A1625" s="1" t="s">
        <v>516</v>
      </c>
      <c r="B1625" s="8" t="s">
        <v>86</v>
      </c>
      <c r="C1625" s="38" t="n">
        <f aca="false">Sens!$C$1603</f>
        <v>107.556</v>
      </c>
      <c r="D1625" s="38" t="n">
        <f aca="false">Sens!$D$1603</f>
        <v>128.725</v>
      </c>
      <c r="E1625" s="38" t="n">
        <f aca="false">Sens!$E$1603</f>
        <v>79.819</v>
      </c>
      <c r="F1625" s="38" t="n">
        <f aca="false">Sens!$F$1603</f>
        <v>87.9591693800922</v>
      </c>
      <c r="G1625" s="38" t="n">
        <f aca="false">Sens!$G$1603</f>
        <v>167.778169380092</v>
      </c>
      <c r="H1625" s="38" t="n">
        <f aca="false">Sens!$H$1603</f>
        <v>231.195595576312</v>
      </c>
      <c r="I1625" s="38" t="n">
        <f aca="false">Sens!$I$1603</f>
        <v>300.620538501888</v>
      </c>
      <c r="J1625" s="38" t="n">
        <f aca="false">Sens!$J$1603</f>
        <v>369.528452044895</v>
      </c>
      <c r="K1625" s="38" t="n">
        <f aca="false">Sens!$K$1603</f>
        <v>429.438741575385</v>
      </c>
      <c r="L1625" s="38" t="n">
        <f aca="false">Sens!$L$1603</f>
        <v>475.364008612298</v>
      </c>
      <c r="M1625" s="38" t="n">
        <f aca="false">Sens!$M$1603</f>
        <v>507.366982239458</v>
      </c>
      <c r="N1625" s="38" t="n">
        <f aca="false">Sens!$N$1603</f>
        <v>60.14</v>
      </c>
      <c r="O1625" s="38" t="n">
        <f aca="false">Sens!$O$1603</f>
        <v>68.585</v>
      </c>
    </row>
    <row r="1626" customFormat="false" ht="17.15" hidden="false" customHeight="false" outlineLevel="0" collapsed="false">
      <c r="A1626" s="0" t="s">
        <v>691</v>
      </c>
      <c r="B1626" s="0" t="s">
        <v>86</v>
      </c>
      <c r="C1626" s="38" t="n">
        <f aca="false">Sens!$C$1601</f>
        <v>2.32100535697364</v>
      </c>
      <c r="D1626" s="38" t="n">
        <f aca="false">Sens!$D$1601</f>
        <v>8.70377008865116</v>
      </c>
      <c r="E1626" s="38" t="n">
        <f aca="false">Sens!$E$1601</f>
        <v>8.51035297557002</v>
      </c>
      <c r="F1626" s="38" t="n">
        <f aca="false">Sens!$F$1601</f>
        <v>16.1898695858458</v>
      </c>
      <c r="G1626" s="38" t="n">
        <f aca="false">Sens!$G$1601</f>
        <v>24.7002225614158</v>
      </c>
      <c r="H1626" s="38" t="n">
        <f aca="false">Sens!$H$1601</f>
        <v>70.1785184971087</v>
      </c>
      <c r="I1626" s="38" t="n">
        <f aca="false">Sens!$I$1601</f>
        <v>121.85077898043</v>
      </c>
      <c r="J1626" s="38" t="n">
        <f aca="false">Sens!$J$1601</f>
        <v>173.752913998988</v>
      </c>
      <c r="K1626" s="38" t="n">
        <f aca="false">Sens!$K$1601</f>
        <v>218.001160485805</v>
      </c>
      <c r="L1626" s="38" t="n">
        <f aca="false">Sens!$L$1601</f>
        <v>247.011421035552</v>
      </c>
      <c r="M1626" s="38" t="n">
        <f aca="false">Sens!$M$1601</f>
        <v>260.746187656572</v>
      </c>
      <c r="N1626" s="38" t="n">
        <f aca="false">Sens!$N$1601</f>
        <v>3.04631953102791</v>
      </c>
      <c r="O1626" s="38" t="n">
        <f aca="false">Sens!$O$1601</f>
        <v>5.65745055762326</v>
      </c>
    </row>
    <row r="1627" customFormat="false" ht="17.15" hidden="false" customHeight="false" outlineLevel="0" collapsed="false">
      <c r="A1627" s="0" t="s">
        <v>693</v>
      </c>
      <c r="B1627" s="0" t="s">
        <v>86</v>
      </c>
      <c r="C1627" s="38" t="n">
        <f aca="false">Sens!$C$1602</f>
        <v>105.234994643026</v>
      </c>
      <c r="D1627" s="38" t="n">
        <f aca="false">Sens!$D$1602</f>
        <v>120.021229911349</v>
      </c>
      <c r="E1627" s="38" t="n">
        <f aca="false">Sens!$E$1602</f>
        <v>71.30864702443</v>
      </c>
      <c r="F1627" s="38" t="n">
        <f aca="false">Sens!$F$1602</f>
        <v>71.7692997942464</v>
      </c>
      <c r="G1627" s="38" t="n">
        <f aca="false">Sens!$G$1602</f>
        <v>143.077946818676</v>
      </c>
      <c r="H1627" s="38" t="n">
        <f aca="false">Sens!$H$1602</f>
        <v>161.017077079203</v>
      </c>
      <c r="I1627" s="38" t="n">
        <f aca="false">Sens!$I$1602</f>
        <v>178.769759521457</v>
      </c>
      <c r="J1627" s="38" t="n">
        <f aca="false">Sens!$J$1602</f>
        <v>195.775538045907</v>
      </c>
      <c r="K1627" s="38" t="n">
        <f aca="false">Sens!$K$1602</f>
        <v>211.43758108958</v>
      </c>
      <c r="L1627" s="38" t="n">
        <f aca="false">Sens!$L$1602</f>
        <v>228.352587576746</v>
      </c>
      <c r="M1627" s="38" t="n">
        <f aca="false">Sens!$M$1602</f>
        <v>246.620794582886</v>
      </c>
      <c r="N1627" s="38" t="n">
        <f aca="false">Sens!$N$1602</f>
        <v>57.0936804689721</v>
      </c>
      <c r="O1627" s="38" t="n">
        <f aca="false">Sens!$O$1602</f>
        <v>62.9275494423768</v>
      </c>
    </row>
    <row r="1628" customFormat="false" ht="15" hidden="false" customHeight="false" outlineLevel="0" collapsed="false">
      <c r="A1628" s="3" t="s">
        <v>517</v>
      </c>
      <c r="B1628" s="8" t="s">
        <v>86</v>
      </c>
      <c r="C1628" s="38" t="n">
        <f aca="false">Sens!$C$1604</f>
        <v>637.959</v>
      </c>
      <c r="D1628" s="38" t="n">
        <f aca="false">Sens!$D$1604</f>
        <v>716.924</v>
      </c>
      <c r="E1628" s="38" t="n">
        <f aca="false">Sens!$E$1604</f>
        <v>382.125</v>
      </c>
      <c r="F1628" s="38" t="n">
        <f aca="false">Sens!$F$1604</f>
        <v>437.007411025629</v>
      </c>
      <c r="G1628" s="38" t="n">
        <f aca="false">Sens!$G$1604</f>
        <v>819.13241102563</v>
      </c>
      <c r="H1628" s="38" t="n">
        <f aca="false">Sens!$H$1604</f>
        <v>952.292485097698</v>
      </c>
      <c r="I1628" s="38" t="n">
        <f aca="false">Sens!$I$1604</f>
        <v>1089.14992965442</v>
      </c>
      <c r="J1628" s="38" t="n">
        <f aca="false">Sens!$J$1604</f>
        <v>1220.63685778634</v>
      </c>
      <c r="K1628" s="38" t="n">
        <f aca="false">Sens!$K$1604</f>
        <v>1335.61519700647</v>
      </c>
      <c r="L1628" s="38" t="n">
        <f aca="false">Sens!$L$1604</f>
        <v>1440.45711508789</v>
      </c>
      <c r="M1628" s="38" t="n">
        <f aca="false">Sens!$M$1604</f>
        <v>1535.51489018635</v>
      </c>
      <c r="N1628" s="38" t="n">
        <f aca="false">Sens!$N$1604</f>
        <v>323.369</v>
      </c>
      <c r="O1628" s="38" t="n">
        <f aca="false">Sens!$O$1604</f>
        <v>393.555</v>
      </c>
    </row>
    <row r="1629" customFormat="false" ht="17.15" hidden="false" customHeight="false" outlineLevel="0" collapsed="false">
      <c r="A1629" s="24" t="s">
        <v>703</v>
      </c>
      <c r="B1629" s="25" t="s">
        <v>86</v>
      </c>
      <c r="C1629" s="41" t="n">
        <f aca="false">Sens!$C$1616+Sens!$C$1617+Sens!$C$1618+Sens!$C$1619+Sens!$C$1620+Sens!$C$1621-(Sens!$C$1623+Sens!$C$1624)</f>
        <v>0</v>
      </c>
      <c r="D1629" s="41" t="n">
        <f aca="false">Sens!$D$1616+Sens!$D$1617+Sens!$D$1618+Sens!$D$1619+Sens!$D$1620+Sens!$D$1621-(Sens!$D$1623+Sens!$D$1624)</f>
        <v>0</v>
      </c>
      <c r="E1629" s="41" t="n">
        <f aca="false">Sens!$E$1616+Sens!$E$1617+Sens!$E$1618+Sens!$E$1619+Sens!$E$1620+Sens!$E$1621-(Sens!$E$1623+Sens!$E$1624)</f>
        <v>0</v>
      </c>
      <c r="F1629" s="41" t="n">
        <f aca="false">Sens!$F$1616+Sens!$F$1617+Sens!$F$1618+Sens!$F$1619+Sens!$F$1620+Sens!$F$1621-(Sens!$F$1623+Sens!$F$1624)</f>
        <v>0</v>
      </c>
      <c r="G1629" s="41" t="n">
        <f aca="false">Sens!$G$1616+Sens!$G$1617+Sens!$G$1618+Sens!$G$1619+Sens!$G$1620+Sens!$G$1621-(Sens!$G$1623+Sens!$G$1624)</f>
        <v>0</v>
      </c>
      <c r="H1629" s="41" t="n">
        <f aca="false">Sens!$H$1616+Sens!$H$1617+Sens!$H$1618+Sens!$H$1619+Sens!$H$1620+Sens!$H$1621-(Sens!$H$1623+Sens!$H$1624)</f>
        <v>0</v>
      </c>
      <c r="I1629" s="41" t="n">
        <f aca="false">Sens!$I$1616+Sens!$I$1617+Sens!$I$1618+Sens!$I$1619+Sens!$I$1620+Sens!$I$1621-(Sens!$I$1623+Sens!$I$1624)</f>
        <v>0</v>
      </c>
      <c r="J1629" s="41" t="n">
        <f aca="false">Sens!$J$1616+Sens!$J$1617+Sens!$J$1618+Sens!$J$1619+Sens!$J$1620+Sens!$J$1621-(Sens!$J$1623+Sens!$J$1624)</f>
        <v>0</v>
      </c>
      <c r="K1629" s="41" t="n">
        <f aca="false">Sens!$K$1616+Sens!$K$1617+Sens!$K$1618+Sens!$K$1619+Sens!$K$1620+Sens!$K$1621-(Sens!$K$1623+Sens!$K$1624)</f>
        <v>0</v>
      </c>
      <c r="L1629" s="41" t="n">
        <f aca="false">Sens!$L$1616+Sens!$L$1617+Sens!$L$1618+Sens!$L$1619+Sens!$L$1620+Sens!$L$1621-(Sens!$L$1623+Sens!$L$1624)</f>
        <v>0</v>
      </c>
      <c r="M1629" s="41" t="n">
        <f aca="false">Sens!$M$1616+Sens!$M$1617+Sens!$M$1618+Sens!$M$1619+Sens!$M$1620+Sens!$M$1621-(Sens!$M$1623+Sens!$M$1624)</f>
        <v>0</v>
      </c>
      <c r="N1629" s="41" t="n">
        <f aca="false">Sens!$N$1616+Sens!$N$1617+Sens!$N$1618+Sens!$N$1619+Sens!$N$1620+Sens!$N$1621-(Sens!$N$1623+Sens!$N$1624)</f>
        <v>0</v>
      </c>
      <c r="O1629" s="41" t="n">
        <f aca="false">Sens!$O$1616+Sens!$O$1617+Sens!$O$1618+Sens!$O$1619+Sens!$O$1620+Sens!$O$1621-(Sens!$O$1623+Sens!$O$1624)</f>
        <v>0</v>
      </c>
    </row>
    <row r="1630" customFormat="false" ht="17.15" hidden="false" customHeight="false" outlineLevel="0" collapsed="false">
      <c r="A1630" s="24" t="s">
        <v>704</v>
      </c>
      <c r="B1630" s="25" t="s">
        <v>86</v>
      </c>
      <c r="C1630" s="41" t="n">
        <f aca="false">Sens!$C$1626+Sens!$C$1627-Sens!$C$1625</f>
        <v>0</v>
      </c>
      <c r="D1630" s="41" t="n">
        <f aca="false">Sens!$D$1626+Sens!$D$1627-Sens!$D$1625</f>
        <v>0</v>
      </c>
      <c r="E1630" s="41" t="n">
        <f aca="false">Sens!$E$1626+Sens!$E$1627-Sens!$E$1625</f>
        <v>0</v>
      </c>
      <c r="F1630" s="41" t="n">
        <f aca="false">Sens!$F$1626+Sens!$F$1627-Sens!$F$1625</f>
        <v>0</v>
      </c>
      <c r="G1630" s="41" t="n">
        <f aca="false">Sens!$G$1626+Sens!$G$1627-Sens!$G$1625</f>
        <v>0</v>
      </c>
      <c r="H1630" s="41" t="n">
        <f aca="false">Sens!$H$1626+Sens!$H$1627-Sens!$H$1625</f>
        <v>0</v>
      </c>
      <c r="I1630" s="41" t="n">
        <f aca="false">Sens!$I$1626+Sens!$I$1627-Sens!$I$1625</f>
        <v>0</v>
      </c>
      <c r="J1630" s="41" t="n">
        <f aca="false">Sens!$J$1626+Sens!$J$1627-Sens!$J$1625</f>
        <v>0</v>
      </c>
      <c r="K1630" s="41" t="n">
        <f aca="false">Sens!$K$1626+Sens!$K$1627-Sens!$K$1625</f>
        <v>0</v>
      </c>
      <c r="L1630" s="41" t="n">
        <f aca="false">Sens!$L$1626+Sens!$L$1627-Sens!$L$1625</f>
        <v>0</v>
      </c>
      <c r="M1630" s="41" t="n">
        <f aca="false">Sens!$M$1626+Sens!$M$1627-Sens!$M$1625</f>
        <v>0</v>
      </c>
      <c r="N1630" s="41" t="n">
        <f aca="false">Sens!$N$1626+Sens!$N$1627-Sens!$N$1625</f>
        <v>0</v>
      </c>
      <c r="O1630" s="41" t="n">
        <f aca="false">Sens!$O$1626+Sens!$O$1627-Sens!$O$1625</f>
        <v>0</v>
      </c>
    </row>
    <row r="1631" customFormat="false" ht="17.15" hidden="false" customHeight="false" outlineLevel="0" collapsed="false">
      <c r="A1631" s="24" t="s">
        <v>763</v>
      </c>
      <c r="B1631" s="25" t="s">
        <v>86</v>
      </c>
      <c r="C1631" s="41" t="n">
        <f aca="false">Sens!$C$1616+Sens!$C$1617+Sens!$C$1618+Sens!$C$1619+Sens!$C$1620+Sens!$C$1621+Sens!$C$1622-Sens!$C$1628</f>
        <v>0</v>
      </c>
      <c r="D1631" s="41" t="n">
        <f aca="false">Sens!$D$1616+Sens!$D$1617+Sens!$D$1618+Sens!$D$1619+Sens!$D$1620+Sens!$D$1621+Sens!$D$1622-Sens!$D$1628</f>
        <v>0</v>
      </c>
      <c r="E1631" s="41" t="n">
        <f aca="false">Sens!$E$1616+Sens!$E$1617+Sens!$E$1618+Sens!$E$1619+Sens!$E$1620+Sens!$E$1621+Sens!$E$1622-Sens!$E$1628</f>
        <v>0</v>
      </c>
      <c r="F1631" s="41" t="n">
        <f aca="false">Sens!$F$1616+Sens!$F$1617+Sens!$F$1618+Sens!$F$1619+Sens!$F$1620+Sens!$F$1621+Sens!$F$1622-Sens!$F$1628</f>
        <v>0</v>
      </c>
      <c r="G1631" s="41" t="n">
        <f aca="false">Sens!$G$1616+Sens!$G$1617+Sens!$G$1618+Sens!$G$1619+Sens!$G$1620+Sens!$G$1621+Sens!$G$1622-Sens!$G$1628</f>
        <v>0</v>
      </c>
      <c r="H1631" s="41" t="n">
        <f aca="false">Sens!$H$1616+Sens!$H$1617+Sens!$H$1618+Sens!$H$1619+Sens!$H$1620+Sens!$H$1621+Sens!$H$1622-Sens!$H$1628</f>
        <v>0</v>
      </c>
      <c r="I1631" s="41" t="n">
        <f aca="false">Sens!$I$1616+Sens!$I$1617+Sens!$I$1618+Sens!$I$1619+Sens!$I$1620+Sens!$I$1621+Sens!$I$1622-Sens!$I$1628</f>
        <v>0</v>
      </c>
      <c r="J1631" s="41" t="n">
        <f aca="false">Sens!$J$1616+Sens!$J$1617+Sens!$J$1618+Sens!$J$1619+Sens!$J$1620+Sens!$J$1621+Sens!$J$1622-Sens!$J$1628</f>
        <v>0</v>
      </c>
      <c r="K1631" s="41" t="n">
        <f aca="false">Sens!$K$1616+Sens!$K$1617+Sens!$K$1618+Sens!$K$1619+Sens!$K$1620+Sens!$K$1621+Sens!$K$1622-Sens!$K$1628</f>
        <v>0</v>
      </c>
      <c r="L1631" s="41" t="n">
        <f aca="false">Sens!$L$1616+Sens!$L$1617+Sens!$L$1618+Sens!$L$1619+Sens!$L$1620+Sens!$L$1621+Sens!$L$1622-Sens!$L$1628</f>
        <v>0</v>
      </c>
      <c r="M1631" s="41" t="n">
        <f aca="false">Sens!$M$1616+Sens!$M$1617+Sens!$M$1618+Sens!$M$1619+Sens!$M$1620+Sens!$M$1621+Sens!$M$1622-Sens!$M$1628</f>
        <v>0</v>
      </c>
      <c r="N1631" s="41" t="n">
        <f aca="false">Sens!$N$1616+Sens!$N$1617+Sens!$N$1618+Sens!$N$1619+Sens!$N$1620+Sens!$N$1621+Sens!$N$1622-Sens!$N$1628</f>
        <v>0</v>
      </c>
      <c r="O1631" s="41" t="n">
        <f aca="false">Sens!$O$1616+Sens!$O$1617+Sens!$O$1618+Sens!$O$1619+Sens!$O$1620+Sens!$O$1621+Sens!$O$1622-Sens!$O$1628</f>
        <v>0</v>
      </c>
    </row>
    <row r="1632" customFormat="false" ht="17.15" hidden="false" customHeight="false" outlineLevel="0" collapsed="false">
      <c r="A1632" s="24" t="s">
        <v>705</v>
      </c>
      <c r="B1632" s="25" t="s">
        <v>86</v>
      </c>
      <c r="C1632" s="41" t="n">
        <f aca="false">Sens!$C$1623+Sens!$C$1624+Sens!$C$1625-Sens!$C$1628</f>
        <v>0</v>
      </c>
      <c r="D1632" s="41" t="n">
        <f aca="false">Sens!$D$1623+Sens!$D$1624+Sens!$D$1625-Sens!$D$1628</f>
        <v>0</v>
      </c>
      <c r="E1632" s="41" t="n">
        <f aca="false">Sens!$E$1623+Sens!$E$1624+Sens!$E$1625-Sens!$E$1628</f>
        <v>0</v>
      </c>
      <c r="F1632" s="41" t="n">
        <f aca="false">Sens!$F$1623+Sens!$F$1624+Sens!$F$1625-Sens!$F$1628</f>
        <v>0</v>
      </c>
      <c r="G1632" s="41" t="n">
        <f aca="false">Sens!$G$1623+Sens!$G$1624+Sens!$G$1625-Sens!$G$1628</f>
        <v>0</v>
      </c>
      <c r="H1632" s="41" t="n">
        <f aca="false">Sens!$H$1623+Sens!$H$1624+Sens!$H$1625-Sens!$H$1628</f>
        <v>0</v>
      </c>
      <c r="I1632" s="41" t="n">
        <f aca="false">Sens!$I$1623+Sens!$I$1624+Sens!$I$1625-Sens!$I$1628</f>
        <v>0</v>
      </c>
      <c r="J1632" s="41" t="n">
        <f aca="false">Sens!$J$1623+Sens!$J$1624+Sens!$J$1625-Sens!$J$1628</f>
        <v>0</v>
      </c>
      <c r="K1632" s="41" t="n">
        <f aca="false">Sens!$K$1623+Sens!$K$1624+Sens!$K$1625-Sens!$K$1628</f>
        <v>0</v>
      </c>
      <c r="L1632" s="41" t="n">
        <f aca="false">Sens!$L$1623+Sens!$L$1624+Sens!$L$1625-Sens!$L$1628</f>
        <v>0</v>
      </c>
      <c r="M1632" s="41" t="n">
        <f aca="false">Sens!$M$1623+Sens!$M$1624+Sens!$M$1625-Sens!$M$1628</f>
        <v>0</v>
      </c>
      <c r="N1632" s="41" t="n">
        <f aca="false">Sens!$N$1623+Sens!$N$1624+Sens!$N$1625-Sens!$N$1628</f>
        <v>0</v>
      </c>
      <c r="O1632" s="41" t="n">
        <f aca="false">Sens!$O$1623+Sens!$O$1624+Sens!$O$1625-Sens!$O$1628</f>
        <v>0</v>
      </c>
    </row>
    <row r="1633" customFormat="false" ht="17.15" hidden="false" customHeight="false" outlineLevel="0" collapsed="false">
      <c r="A1633" s="1" t="s">
        <v>719</v>
      </c>
    </row>
    <row r="1634" customFormat="false" ht="17.15" hidden="false" customHeight="false" outlineLevel="0" collapsed="false">
      <c r="A1634" s="0" t="s">
        <v>720</v>
      </c>
      <c r="B1634" s="0" t="s">
        <v>86</v>
      </c>
      <c r="C1634" s="38" t="n">
        <f aca="false">Sens!$C$1538*m_ad</f>
        <v>20.5341564414228</v>
      </c>
      <c r="D1634" s="38" t="n">
        <f aca="false">Sens!$D$1538*m_ad</f>
        <v>24.8720617299587</v>
      </c>
      <c r="E1634" s="38" t="n">
        <f aca="false">Sens!$E$1538*m_ad</f>
        <v>13.5017112462207</v>
      </c>
      <c r="F1634" s="38" t="n">
        <f aca="false">Sens!$F$1538*m_ad</f>
        <v>16.5719724165257</v>
      </c>
      <c r="G1634" s="38" t="n">
        <f aca="false">Sens!$G$1538*m_ad</f>
        <v>30.0820919220415</v>
      </c>
      <c r="H1634" s="38" t="n">
        <f aca="false">Sens!$H$1538*m_ad</f>
        <v>36.1150883276314</v>
      </c>
      <c r="I1634" s="38" t="n">
        <f aca="false">Sens!$I$1538*m_ad</f>
        <v>42.1475382231996</v>
      </c>
      <c r="J1634" s="38" t="n">
        <f aca="false">Sens!$J$1538*m_ad</f>
        <v>47.7749523864693</v>
      </c>
      <c r="K1634" s="38" t="n">
        <f aca="false">Sens!$K$1538*m_ad</f>
        <v>52.5524476251162</v>
      </c>
      <c r="L1634" s="38" t="n">
        <f aca="false">Sens!$L$1538*m_ad</f>
        <v>57.8076923876279</v>
      </c>
      <c r="M1634" s="38" t="n">
        <f aca="false">Sens!$M$1538*m_ad</f>
        <v>63.5884616263907</v>
      </c>
      <c r="N1634" s="38" t="n">
        <f aca="false">Sens!$N$1538*m_ad</f>
        <v>10.8543555706248</v>
      </c>
      <c r="O1634" s="38" t="n">
        <f aca="false">Sens!$O$1538*m_ad</f>
        <v>14.0094731821399</v>
      </c>
    </row>
    <row r="1635" customFormat="false" ht="17.15" hidden="false" customHeight="false" outlineLevel="0" collapsed="false">
      <c r="A1635" s="0" t="s">
        <v>721</v>
      </c>
      <c r="B1635" s="0" t="s">
        <v>86</v>
      </c>
      <c r="C1635" s="38" t="n">
        <f aca="false">Sens!$C$1536-Sens!$C$1538</f>
        <v>346.428687117154</v>
      </c>
      <c r="D1635" s="38" t="n">
        <f aca="false">Sens!$D$1536-Sens!$D$1538</f>
        <v>376.560876540083</v>
      </c>
      <c r="E1635" s="38" t="n">
        <f aca="false">Sens!$E$1536-Sens!$E$1538</f>
        <v>193.316577507559</v>
      </c>
      <c r="F1635" s="38" t="n">
        <f aca="false">Sens!$F$1536-Sens!$F$1538</f>
        <v>217.495828647535</v>
      </c>
      <c r="G1635" s="38" t="n">
        <f aca="false">Sens!$G$1536-Sens!$G$1538</f>
        <v>410.795589636503</v>
      </c>
      <c r="H1635" s="38" t="n">
        <f aca="false">Sens!$H$1536-Sens!$H$1538</f>
        <v>449.156813761174</v>
      </c>
      <c r="I1635" s="38" t="n">
        <f aca="false">Sens!$I$1536-Sens!$I$1538</f>
        <v>485.848786441156</v>
      </c>
      <c r="J1635" s="38" t="n">
        <f aca="false">Sens!$J$1536-Sens!$J$1538</f>
        <v>519.841531018994</v>
      </c>
      <c r="K1635" s="38" t="n">
        <f aca="false">Sens!$K$1536-Sens!$K$1538</f>
        <v>550.103332311311</v>
      </c>
      <c r="L1635" s="38" t="n">
        <f aca="false">Sens!$L$1536-Sens!$L$1538</f>
        <v>582.192354474511</v>
      </c>
      <c r="M1635" s="38" t="n">
        <f aca="false">Sens!$M$1536-Sens!$M$1538</f>
        <v>616.22240521081</v>
      </c>
      <c r="N1635" s="38" t="n">
        <f aca="false">Sens!$N$1536-Sens!$N$1538</f>
        <v>171.24628885875</v>
      </c>
      <c r="O1635" s="38" t="n">
        <f aca="false">Sens!$O$1536-Sens!$O$1538</f>
        <v>205.33105363572</v>
      </c>
    </row>
    <row r="1636" customFormat="false" ht="17.15" hidden="false" customHeight="false" outlineLevel="0" collapsed="false">
      <c r="A1636" s="0" t="s">
        <v>722</v>
      </c>
      <c r="B1636" s="0" t="s">
        <v>86</v>
      </c>
      <c r="C1636" s="38" t="n">
        <f aca="false">Sens!$C$1587*Sens!$C$1535</f>
        <v>0.123617442257179</v>
      </c>
      <c r="D1636" s="38" t="n">
        <f aca="false">Sens!$D$1587*Sens!$D$1535</f>
        <v>0.600198046024689</v>
      </c>
      <c r="E1636" s="38" t="n">
        <f aca="false">Sens!$E$1587*Sens!$E$1535</f>
        <v>0.970552432202993</v>
      </c>
      <c r="F1636" s="38" t="n">
        <f aca="false">Sens!$F$1587*Sens!$F$1535</f>
        <v>1.24572359663978</v>
      </c>
      <c r="G1636" s="38" t="n">
        <f aca="false">Sens!$G$1587*Sens!$G$1535</f>
        <v>2.21725826700553</v>
      </c>
      <c r="H1636" s="38" t="n">
        <f aca="false">Sens!$H$1587*Sens!$H$1535</f>
        <v>6.99537169665493</v>
      </c>
      <c r="I1636" s="38" t="n">
        <f aca="false">Sens!$I$1587*Sens!$I$1535</f>
        <v>13.8822849471609</v>
      </c>
      <c r="J1636" s="38" t="n">
        <f aca="false">Sens!$J$1587*Sens!$J$1535</f>
        <v>20.9556907022748</v>
      </c>
      <c r="K1636" s="38" t="n">
        <f aca="false">Sens!$K$1587*Sens!$K$1535</f>
        <v>27.8523569785788</v>
      </c>
      <c r="L1636" s="38" t="n">
        <f aca="false">Sens!$L$1587*Sens!$L$1535</f>
        <v>32.6251020692706</v>
      </c>
      <c r="M1636" s="38" t="n">
        <f aca="false">Sens!$M$1587*Sens!$M$1535</f>
        <v>35.506872294957</v>
      </c>
      <c r="N1636" s="38" t="n">
        <f aca="false">Sens!$N$1587*Sens!$N$1535</f>
        <v>0.25053229484398</v>
      </c>
      <c r="O1636" s="38" t="n">
        <f aca="false">Sens!$O$1587*Sens!$O$1535</f>
        <v>0.349234376756897</v>
      </c>
    </row>
    <row r="1637" customFormat="false" ht="17.15" hidden="false" customHeight="false" outlineLevel="0" collapsed="false">
      <c r="A1637" s="0" t="s">
        <v>723</v>
      </c>
      <c r="B1637" s="0" t="s">
        <v>52</v>
      </c>
      <c r="C1637" s="28" t="n">
        <f aca="false">(Sens!$C$1638-Sens!$C$1634+Sens!$C$1636)/Sens!$C$1635</f>
        <v>0.0131526665379575</v>
      </c>
      <c r="D1637" s="28" t="n">
        <f aca="false">(Sens!$D$1638-Sens!$D$1634+Sens!$D$1636)/Sens!$D$1635</f>
        <v>0.0141999252954702</v>
      </c>
      <c r="E1637" s="28" t="n">
        <f aca="false">(Sens!$E$1638-Sens!$E$1634+Sens!$E$1636)/Sens!$E$1635</f>
        <v>0.0251341154940129</v>
      </c>
      <c r="F1637" s="28" t="n">
        <f aca="false">Sens!$O$1637+(Sens!$E$1637-Sens!$N$1637)</f>
        <v>0.0217171685713677</v>
      </c>
      <c r="G1637" s="28" t="n">
        <f aca="false">(Sens!$G$1638-Sens!$G$1634+Sens!$G$1636)/Sens!$G$1635</f>
        <v>0.0233079638163352</v>
      </c>
      <c r="H1637" s="28" t="n">
        <f aca="false">Sens!$G$1637+step_na</f>
        <v>0.0263079638163352</v>
      </c>
      <c r="I1637" s="28" t="n">
        <f aca="false">Sens!$H$1637+step_na</f>
        <v>0.0293079638163352</v>
      </c>
      <c r="J1637" s="28" t="n">
        <f aca="false">Sens!$I$1637+step_na</f>
        <v>0.0323079638163352</v>
      </c>
      <c r="K1637" s="28" t="n">
        <f aca="false">Sens!$J$1637+step_na</f>
        <v>0.0353079638163352</v>
      </c>
      <c r="L1637" s="28" t="n">
        <f aca="false">Sens!$K$1637</f>
        <v>0.0353079638163352</v>
      </c>
      <c r="M1637" s="28" t="n">
        <f aca="false">Sens!$L$1637</f>
        <v>0.0353079638163352</v>
      </c>
      <c r="N1637" s="28" t="n">
        <f aca="false">(Sens!$N$1638-Sens!$N$1634+Sens!$N$1636)/Sens!$N$1635</f>
        <v>0.0160831323269779</v>
      </c>
      <c r="O1637" s="28" t="n">
        <f aca="false">(Sens!$O$1638-Sens!$O$1634+Sens!$O$1636)/Sens!$O$1635</f>
        <v>0.0126661854043327</v>
      </c>
      <c r="P1637" s="8" t="s">
        <v>724</v>
      </c>
    </row>
    <row r="1638" customFormat="false" ht="17.15" hidden="false" customHeight="false" outlineLevel="0" collapsed="false">
      <c r="A1638" s="1" t="s">
        <v>725</v>
      </c>
      <c r="B1638" s="8" t="s">
        <v>86</v>
      </c>
      <c r="C1638" s="38" t="n">
        <f aca="false">Q!$D$22</f>
        <v>24.967</v>
      </c>
      <c r="D1638" s="38" t="n">
        <f aca="false">Q!$E$22</f>
        <v>29.619</v>
      </c>
      <c r="E1638" s="38" t="n">
        <f aca="false">Q!$P$22</f>
        <v>17.39</v>
      </c>
      <c r="F1638" s="38" t="n">
        <f aca="false">Sens!$F$1634+Sens!$F$1635*Sens!$F$1637-Sens!$F$1636</f>
        <v>20.0496423941937</v>
      </c>
      <c r="G1638" s="38" t="n">
        <f aca="false">Sens!$E$1638+Sens!$F$1638</f>
        <v>37.4396423941937</v>
      </c>
      <c r="H1638" s="38" t="n">
        <f aca="false">Sens!$H$1634+Sens!$H$1635*Sens!$H$1637-Sens!$H$1636</f>
        <v>40.9361178352659</v>
      </c>
      <c r="I1638" s="38" t="n">
        <f aca="false">Sens!$I$1634+Sens!$I$1635*Sens!$I$1637-Sens!$I$1636</f>
        <v>42.5044919292665</v>
      </c>
      <c r="J1638" s="38" t="n">
        <f aca="false">Sens!$J$1634+Sens!$J$1635*Sens!$J$1637-Sens!$J$1636</f>
        <v>43.6142830585845</v>
      </c>
      <c r="K1638" s="38" t="n">
        <f aca="false">Sens!$K$1634+Sens!$K$1635*Sens!$K$1637-Sens!$K$1636</f>
        <v>44.1231191990306</v>
      </c>
      <c r="L1638" s="38" t="n">
        <f aca="false">Sens!$L$1634+Sens!$L$1635*Sens!$L$1637-Sens!$L$1636</f>
        <v>45.7386169042903</v>
      </c>
      <c r="M1638" s="38" t="n">
        <f aca="false">Sens!$M$1634+Sens!$M$1635*Sens!$M$1637-Sens!$M$1636</f>
        <v>49.839147717432</v>
      </c>
      <c r="N1638" s="38" t="n">
        <f aca="false">Q!$N$22</f>
        <v>13.358</v>
      </c>
      <c r="O1638" s="38" t="n">
        <f aca="false">Q!$O$22</f>
        <v>16.261</v>
      </c>
    </row>
    <row r="1639" customFormat="false" ht="17.15" hidden="false" customHeight="false" outlineLevel="0" collapsed="false">
      <c r="A1639" s="0" t="s">
        <v>726</v>
      </c>
      <c r="B1639" s="0" t="s">
        <v>86</v>
      </c>
      <c r="C1639" s="38" t="n">
        <f aca="false">Sens!$C$1539*m_ad</f>
        <v>7.57284355857716</v>
      </c>
      <c r="D1639" s="38" t="n">
        <f aca="false">Sens!$D$1539*m_ad</f>
        <v>9.44543827004127</v>
      </c>
      <c r="E1639" s="38" t="n">
        <f aca="false">Sens!$E$1539*m_ad</f>
        <v>5.02428875377928</v>
      </c>
      <c r="F1639" s="38" t="n">
        <f aca="false">Sens!$F$1539*m_ad</f>
        <v>6.50663858068173</v>
      </c>
      <c r="G1639" s="38" t="n">
        <f aca="false">Sens!$G$1539*m_ad</f>
        <v>11.5225190751659</v>
      </c>
      <c r="H1639" s="38" t="n">
        <f aca="false">Sens!$H$1539*m_ad</f>
        <v>13.8333728663174</v>
      </c>
      <c r="I1639" s="38" t="n">
        <f aca="false">Sens!$I$1539*m_ad</f>
        <v>16.1440173245485</v>
      </c>
      <c r="J1639" s="38" t="n">
        <f aca="false">Sens!$J$1539*m_ad</f>
        <v>18.2995185845066</v>
      </c>
      <c r="K1639" s="38" t="n">
        <f aca="false">Sens!$K$1539*m_ad</f>
        <v>20.1294704429572</v>
      </c>
      <c r="L1639" s="38" t="n">
        <f aca="false">Sens!$L$1539*m_ad</f>
        <v>22.142417487253</v>
      </c>
      <c r="M1639" s="38" t="n">
        <f aca="false">Sens!$M$1539*m_ad</f>
        <v>24.3566592359783</v>
      </c>
      <c r="N1639" s="38" t="n">
        <f aca="false">Sens!$N$1539*m_ad</f>
        <v>3.95314442937518</v>
      </c>
      <c r="O1639" s="38" t="n">
        <f aca="false">Sens!$O$1539*m_ad</f>
        <v>5.50052681786011</v>
      </c>
    </row>
    <row r="1640" customFormat="false" ht="17.15" hidden="false" customHeight="false" outlineLevel="0" collapsed="false">
      <c r="A1640" s="0" t="s">
        <v>727</v>
      </c>
      <c r="B1640" s="0" t="s">
        <v>86</v>
      </c>
      <c r="C1640" s="38" t="n">
        <f aca="false">Sens!$C$1537-Sens!$C$1539</f>
        <v>127.760312882846</v>
      </c>
      <c r="D1640" s="38" t="n">
        <f aca="false">Sens!$D$1537-Sens!$D$1539</f>
        <v>143.003123459917</v>
      </c>
      <c r="E1640" s="38" t="n">
        <f aca="false">Sens!$E$1537-Sens!$E$1539</f>
        <v>71.9374224924414</v>
      </c>
      <c r="F1640" s="38" t="n">
        <f aca="false">Sens!$F$1537-Sens!$F$1539</f>
        <v>85.3951910035875</v>
      </c>
      <c r="G1640" s="38" t="n">
        <f aca="false">Sens!$G$1537-Sens!$G$1539</f>
        <v>157.349430014619</v>
      </c>
      <c r="H1640" s="38" t="n">
        <f aca="false">Sens!$H$1537-Sens!$H$1539</f>
        <v>172.043153372315</v>
      </c>
      <c r="I1640" s="38" t="n">
        <f aca="false">Sens!$I$1537-Sens!$I$1539</f>
        <v>186.097493615879</v>
      </c>
      <c r="J1640" s="38" t="n">
        <f aca="false">Sens!$J$1537-Sens!$J$1539</f>
        <v>199.117932780497</v>
      </c>
      <c r="K1640" s="38" t="n">
        <f aca="false">Sens!$K$1537-Sens!$K$1539</f>
        <v>210.70928698363</v>
      </c>
      <c r="L1640" s="38" t="n">
        <f aca="false">Sens!$L$1537-Sens!$L$1539</f>
        <v>223.000532251316</v>
      </c>
      <c r="M1640" s="38" t="n">
        <f aca="false">Sens!$M$1537-Sens!$M$1539</f>
        <v>236.035261011339</v>
      </c>
      <c r="N1640" s="38" t="n">
        <f aca="false">Sens!$N$1537-Sens!$N$1539</f>
        <v>62.3677111412496</v>
      </c>
      <c r="O1640" s="38" t="n">
        <f aca="false">Sens!$O$1537-Sens!$O$1539</f>
        <v>80.6189463642798</v>
      </c>
    </row>
    <row r="1641" customFormat="false" ht="17.15" hidden="false" customHeight="false" outlineLevel="0" collapsed="false">
      <c r="A1641" s="0" t="s">
        <v>728</v>
      </c>
      <c r="B1641" s="0" t="s">
        <v>86</v>
      </c>
      <c r="C1641" s="38" t="n">
        <f aca="false">Sens!$C$1587*(1-Sens!$C$1535)</f>
        <v>0.0455891896019953</v>
      </c>
      <c r="D1641" s="38" t="n">
        <f aca="false">Sens!$D$1587*(1-Sens!$D$1535)</f>
        <v>0.227931791705753</v>
      </c>
      <c r="E1641" s="38" t="n">
        <f aca="false">Sens!$E$1587*(1-Sens!$E$1535)</f>
        <v>0.361164268820781</v>
      </c>
      <c r="F1641" s="38" t="n">
        <f aca="false">Sens!$F$1587*(1-Sens!$F$1535)</f>
        <v>0.489107332008298</v>
      </c>
      <c r="G1641" s="38" t="n">
        <f aca="false">Sens!$G$1587*(1-Sens!$G$1535)</f>
        <v>0.849289362666323</v>
      </c>
      <c r="H1641" s="38" t="n">
        <f aca="false">Sens!$H$1587*(1-Sens!$H$1535)</f>
        <v>2.67947801042128</v>
      </c>
      <c r="I1641" s="38" t="n">
        <f aca="false">Sens!$I$1587*(1-Sens!$I$1535)</f>
        <v>5.31741254980161</v>
      </c>
      <c r="J1641" s="38" t="n">
        <f aca="false">Sens!$J$1587*(1-Sens!$J$1535)</f>
        <v>8.02678040064479</v>
      </c>
      <c r="K1641" s="38" t="n">
        <f aca="false">Sens!$K$1587*(1-Sens!$K$1535)</f>
        <v>10.6684506983657</v>
      </c>
      <c r="L1641" s="38" t="n">
        <f aca="false">Sens!$L$1587*(1-Sens!$L$1535)</f>
        <v>12.4965830799473</v>
      </c>
      <c r="M1641" s="38" t="n">
        <f aca="false">Sens!$M$1587*(1-Sens!$M$1535)</f>
        <v>13.6004043328631</v>
      </c>
      <c r="N1641" s="38" t="n">
        <f aca="false">Sens!$N$1587*(1-Sens!$N$1535)</f>
        <v>0.0912435878202994</v>
      </c>
      <c r="O1641" s="38" t="n">
        <f aca="false">Sens!$O$1587*(1-Sens!$O$1535)</f>
        <v>0.137119578309265</v>
      </c>
    </row>
    <row r="1642" customFormat="false" ht="17.15" hidden="false" customHeight="false" outlineLevel="0" collapsed="false">
      <c r="A1642" s="0" t="s">
        <v>729</v>
      </c>
      <c r="B1642" s="0" t="s">
        <v>52</v>
      </c>
      <c r="C1642" s="28" t="n">
        <f aca="false">(Sens!$C$1643-Sens!$C$1639+Sens!$C$1641)/Sens!$C$1640</f>
        <v>-0.0292364215826579</v>
      </c>
      <c r="D1642" s="28" t="n">
        <f aca="false">(Sens!$D$1643-Sens!$D$1639+Sens!$D$1641)/Sens!$D$1640</f>
        <v>-0.0312406216748665</v>
      </c>
      <c r="E1642" s="28" t="n">
        <f aca="false">(Sens!$E$1643-Sens!$E$1639+Sens!$E$1641)/Sens!$E$1640</f>
        <v>-0.0211590078184749</v>
      </c>
      <c r="F1642" s="28" t="n">
        <f aca="false">Sens!$O$1642+(Sens!$E$1642-Sens!$N$1642)</f>
        <v>-0.0382539955245511</v>
      </c>
      <c r="G1642" s="28" t="n">
        <f aca="false">(Sens!$G$1643-Sens!$G$1639+Sens!$G$1641)/Sens!$G$1640</f>
        <v>-0.0303871816876064</v>
      </c>
      <c r="H1642" s="28" t="n">
        <f aca="false">Sens!$G$1642+step_in</f>
        <v>-0.0303871816876064</v>
      </c>
      <c r="I1642" s="28" t="n">
        <f aca="false">Sens!$H$1642+step_in</f>
        <v>-0.0303871816876064</v>
      </c>
      <c r="J1642" s="28" t="n">
        <f aca="false">Sens!$I$1642+step_in</f>
        <v>-0.0303871816876064</v>
      </c>
      <c r="K1642" s="28" t="n">
        <f aca="false">Sens!$J$1642+step_in</f>
        <v>-0.0303871816876064</v>
      </c>
      <c r="L1642" s="28" t="n">
        <f aca="false">Sens!$K$1642</f>
        <v>-0.0303871816876064</v>
      </c>
      <c r="M1642" s="28" t="n">
        <f aca="false">Sens!$L$1642</f>
        <v>-0.0303871816876064</v>
      </c>
      <c r="N1642" s="28" t="n">
        <f aca="false">(Sens!$N$1643-Sens!$N$1639+Sens!$N$1641)/Sens!$N$1640</f>
        <v>-0.0216602600421776</v>
      </c>
      <c r="O1642" s="28" t="n">
        <f aca="false">(Sens!$O$1643-Sens!$O$1639+Sens!$O$1641)/Sens!$O$1640</f>
        <v>-0.0387552477482538</v>
      </c>
      <c r="P1642" s="8" t="s">
        <v>724</v>
      </c>
    </row>
    <row r="1643" customFormat="false" ht="17.15" hidden="false" customHeight="false" outlineLevel="0" collapsed="false">
      <c r="A1643" s="1" t="s">
        <v>730</v>
      </c>
      <c r="B1643" s="8" t="s">
        <v>86</v>
      </c>
      <c r="C1643" s="38" t="n">
        <f aca="false">Q!$D$23</f>
        <v>3.792</v>
      </c>
      <c r="D1643" s="38" t="n">
        <f aca="false">Q!$E$23</f>
        <v>4.75</v>
      </c>
      <c r="E1643" s="38" t="n">
        <f aca="false">Q!$P$23</f>
        <v>3.141</v>
      </c>
      <c r="F1643" s="38" t="n">
        <f aca="false">Sens!$F$1639+Sens!$F$1640*Sens!$F$1642-Sens!$F$1641</f>
        <v>2.75082399420401</v>
      </c>
      <c r="G1643" s="38" t="n">
        <f aca="false">Sens!$E$1643+Sens!$F$1643</f>
        <v>5.89182399420401</v>
      </c>
      <c r="H1643" s="38" t="n">
        <f aca="false">Sens!$H$1639+Sens!$H$1640*Sens!$H$1642-Sens!$H$1641</f>
        <v>5.92598829626282</v>
      </c>
      <c r="I1643" s="38" t="n">
        <f aca="false">Sens!$I$1639+Sens!$I$1640*Sens!$I$1642-Sens!$I$1641</f>
        <v>5.17162642463303</v>
      </c>
      <c r="J1643" s="38" t="n">
        <f aca="false">Sens!$J$1639+Sens!$J$1640*Sens!$J$1642-Sens!$J$1641</f>
        <v>4.22210538320024</v>
      </c>
      <c r="K1643" s="38" t="n">
        <f aca="false">Sens!$K$1639+Sens!$K$1640*Sens!$K$1642-Sens!$K$1641</f>
        <v>3.05815835775401</v>
      </c>
      <c r="L1643" s="38" t="n">
        <f aca="false">Sens!$L$1639+Sens!$L$1640*Sens!$L$1642-Sens!$L$1641</f>
        <v>2.86947671735195</v>
      </c>
      <c r="M1643" s="38" t="n">
        <f aca="false">Sens!$M$1639+Sens!$M$1640*Sens!$M$1642-Sens!$M$1641</f>
        <v>3.58380854208196</v>
      </c>
      <c r="N1643" s="38" t="n">
        <f aca="false">Q!$N$23</f>
        <v>2.511</v>
      </c>
      <c r="O1643" s="38" t="n">
        <f aca="false">Q!$O$23</f>
        <v>2.239</v>
      </c>
    </row>
    <row r="1644" customFormat="false" ht="17.15" hidden="false" customHeight="false" outlineLevel="0" collapsed="false">
      <c r="A1644" s="0" t="s">
        <v>731</v>
      </c>
      <c r="B1644" s="0" t="s">
        <v>86</v>
      </c>
      <c r="C1644" s="38" t="n">
        <f aca="false">Sens!$C$1584</f>
        <v>1.64417882953695</v>
      </c>
      <c r="D1644" s="38" t="n">
        <f aca="false">Sens!$D$1584</f>
        <v>5.39125073772939</v>
      </c>
      <c r="E1644" s="38" t="n">
        <f aca="false">Sens!$E$1584</f>
        <v>3.18348617147493</v>
      </c>
      <c r="F1644" s="38" t="n">
        <f aca="false">Sens!$F$1584</f>
        <v>9.25054587125349</v>
      </c>
      <c r="G1644" s="38" t="n">
        <f aca="false">Sens!$G$1584</f>
        <v>12.4340320427284</v>
      </c>
      <c r="H1644" s="38" t="n">
        <f aca="false">Sens!$H$1584</f>
        <v>31.4791196688038</v>
      </c>
      <c r="I1644" s="38" t="n">
        <f aca="false">Sens!$I$1584</f>
        <v>45.0519889925805</v>
      </c>
      <c r="J1644" s="38" t="n">
        <f aca="false">Sens!$J$1584</f>
        <v>57.8230295873097</v>
      </c>
      <c r="K1644" s="38" t="n">
        <f aca="false">Sens!$K$1584</f>
        <v>63.9179297780273</v>
      </c>
      <c r="L1644" s="38" t="n">
        <f aca="false">Sens!$L$1584</f>
        <v>66.5246804386806</v>
      </c>
      <c r="M1644" s="38" t="n">
        <f aca="false">Sens!$M$1584</f>
        <v>64.3170811452915</v>
      </c>
      <c r="N1644" s="38" t="n">
        <f aca="false">Sens!$N$1584</f>
        <v>1.67921600037079</v>
      </c>
      <c r="O1644" s="38" t="n">
        <f aca="false">Sens!$O$1584</f>
        <v>3.71203473735861</v>
      </c>
    </row>
    <row r="1645" customFormat="false" ht="17.15" hidden="false" customHeight="false" outlineLevel="0" collapsed="false">
      <c r="A1645" s="0" t="s">
        <v>649</v>
      </c>
      <c r="B1645" s="0" t="s">
        <v>86</v>
      </c>
      <c r="C1645" s="38" t="n">
        <f aca="false">Sens!$C$1589</f>
        <v>38.1898211704631</v>
      </c>
      <c r="D1645" s="38" t="n">
        <f aca="false">Sens!$D$1589</f>
        <v>40.2147492622706</v>
      </c>
      <c r="E1645" s="38" t="n">
        <f aca="false">Sens!$E$1589</f>
        <v>27.5985138285251</v>
      </c>
      <c r="F1645" s="38" t="n">
        <f aca="false">Sens!$F$1589</f>
        <v>25.5484769754606</v>
      </c>
      <c r="G1645" s="38" t="n">
        <f aca="false">Sens!$G$1589</f>
        <v>53.1469908039857</v>
      </c>
      <c r="H1645" s="38" t="n">
        <f aca="false">Sens!$H$1589</f>
        <v>57.3189525076539</v>
      </c>
      <c r="I1645" s="38" t="n">
        <f aca="false">Sens!$I$1589</f>
        <v>63.6385627021087</v>
      </c>
      <c r="J1645" s="38" t="n">
        <f aca="false">Sens!$J$1589</f>
        <v>69.6922896066105</v>
      </c>
      <c r="K1645" s="38" t="n">
        <f aca="false">Sens!$K$1589</f>
        <v>75.2676727751394</v>
      </c>
      <c r="L1645" s="38" t="n">
        <f aca="false">Sens!$L$1589</f>
        <v>81.2890865971505</v>
      </c>
      <c r="M1645" s="38" t="n">
        <f aca="false">Sens!$M$1589</f>
        <v>87.7922135249226</v>
      </c>
      <c r="N1645" s="38" t="n">
        <f aca="false">Sens!$N$1589</f>
        <v>20.0277839996292</v>
      </c>
      <c r="O1645" s="38" t="n">
        <f aca="false">Sens!$O$1589</f>
        <v>20.1869652626414</v>
      </c>
    </row>
    <row r="1646" customFormat="false" ht="17.15" hidden="false" customHeight="false" outlineLevel="0" collapsed="false">
      <c r="A1646" s="1" t="s">
        <v>732</v>
      </c>
      <c r="B1646" s="8" t="s">
        <v>86</v>
      </c>
      <c r="C1646" s="38" t="n">
        <f aca="false">Q!$D$24</f>
        <v>39.834</v>
      </c>
      <c r="D1646" s="38" t="n">
        <f aca="false">Q!$E$24</f>
        <v>45.606</v>
      </c>
      <c r="E1646" s="38" t="n">
        <f aca="false">Q!$P$24</f>
        <v>30.782</v>
      </c>
      <c r="F1646" s="38" t="n">
        <f aca="false">Sens!$F$1644+Sens!$F$1645</f>
        <v>34.7990228467141</v>
      </c>
      <c r="G1646" s="38" t="n">
        <f aca="false">Sens!$G$1644+Sens!$G$1645</f>
        <v>65.5810228467141</v>
      </c>
      <c r="H1646" s="38" t="n">
        <f aca="false">Sens!$H$1644+Sens!$H$1645</f>
        <v>88.7980721764578</v>
      </c>
      <c r="I1646" s="38" t="n">
        <f aca="false">Sens!$I$1644+Sens!$I$1645</f>
        <v>108.690551694689</v>
      </c>
      <c r="J1646" s="38" t="n">
        <f aca="false">Sens!$J$1644+Sens!$J$1645</f>
        <v>127.51531919392</v>
      </c>
      <c r="K1646" s="38" t="n">
        <f aca="false">Sens!$K$1644+Sens!$K$1645</f>
        <v>139.185602553167</v>
      </c>
      <c r="L1646" s="38" t="n">
        <f aca="false">Sens!$L$1644+Sens!$L$1645</f>
        <v>147.813767035831</v>
      </c>
      <c r="M1646" s="38" t="n">
        <f aca="false">Sens!$M$1644+Sens!$M$1645</f>
        <v>152.109294670214</v>
      </c>
      <c r="N1646" s="38" t="n">
        <f aca="false">Q!$N$24</f>
        <v>21.707</v>
      </c>
      <c r="O1646" s="38" t="n">
        <f aca="false">Q!$O$24</f>
        <v>23.899</v>
      </c>
    </row>
    <row r="1647" customFormat="false" ht="17.15" hidden="false" customHeight="false" outlineLevel="0" collapsed="false">
      <c r="A1647" s="5" t="s">
        <v>733</v>
      </c>
      <c r="B1647" s="0" t="s">
        <v>86</v>
      </c>
      <c r="C1647" s="38" t="n">
        <f aca="false">Q!$D$26</f>
        <v>0</v>
      </c>
      <c r="D1647" s="38" t="n">
        <f aca="false">Q!$E$26</f>
        <v>0</v>
      </c>
      <c r="E1647" s="38" t="n">
        <f aca="false">Q!$P$26</f>
        <v>0</v>
      </c>
      <c r="F1647" s="39" t="n">
        <v>0</v>
      </c>
      <c r="G1647" s="38" t="n">
        <f aca="false">Sens!$E$1647+Sens!$F$1647</f>
        <v>0</v>
      </c>
      <c r="H1647" s="39" t="n">
        <v>0</v>
      </c>
      <c r="I1647" s="39" t="n">
        <v>0</v>
      </c>
      <c r="J1647" s="39" t="n">
        <v>0</v>
      </c>
      <c r="K1647" s="39" t="n">
        <v>0</v>
      </c>
      <c r="L1647" s="39" t="n">
        <v>0</v>
      </c>
      <c r="M1647" s="39" t="n">
        <v>0</v>
      </c>
      <c r="N1647" s="38" t="n">
        <f aca="false">Q!$N$26</f>
        <v>0</v>
      </c>
      <c r="O1647" s="38" t="n">
        <f aca="false">Q!$O$26</f>
        <v>0</v>
      </c>
    </row>
    <row r="1648" customFormat="false" ht="15" hidden="false" customHeight="false" outlineLevel="0" collapsed="false">
      <c r="A1648" s="3" t="s">
        <v>534</v>
      </c>
      <c r="B1648" s="8" t="s">
        <v>86</v>
      </c>
      <c r="C1648" s="38" t="n">
        <f aca="false">Q!$D$25</f>
        <v>68.593</v>
      </c>
      <c r="D1648" s="38" t="n">
        <f aca="false">Q!$E$25</f>
        <v>79.975</v>
      </c>
      <c r="E1648" s="38" t="n">
        <f aca="false">Q!$P$25</f>
        <v>51.313</v>
      </c>
      <c r="F1648" s="38" t="n">
        <f aca="false">Sens!$F$1638+Sens!$F$1643+Sens!$F$1646+Sens!$F$1647</f>
        <v>57.5994892351118</v>
      </c>
      <c r="G1648" s="38" t="n">
        <f aca="false">Sens!$G$1638+Sens!$G$1643+Sens!$G$1646+Sens!$G$1647</f>
        <v>108.912489235112</v>
      </c>
      <c r="H1648" s="38" t="n">
        <f aca="false">Sens!$H$1638+Sens!$H$1643+Sens!$H$1646+Sens!$H$1647</f>
        <v>135.660178307986</v>
      </c>
      <c r="I1648" s="38" t="n">
        <f aca="false">Sens!$I$1638+Sens!$I$1643+Sens!$I$1646+Sens!$I$1647</f>
        <v>156.366670048589</v>
      </c>
      <c r="J1648" s="38" t="n">
        <f aca="false">Sens!$J$1638+Sens!$J$1643+Sens!$J$1646+Sens!$J$1647</f>
        <v>175.351707635705</v>
      </c>
      <c r="K1648" s="38" t="n">
        <f aca="false">Sens!$K$1638+Sens!$K$1643+Sens!$K$1646+Sens!$K$1647</f>
        <v>186.366880109951</v>
      </c>
      <c r="L1648" s="38" t="n">
        <f aca="false">Sens!$L$1638+Sens!$L$1643+Sens!$L$1646+Sens!$L$1647</f>
        <v>196.421860657473</v>
      </c>
      <c r="M1648" s="38" t="n">
        <f aca="false">Sens!$M$1638+Sens!$M$1643+Sens!$M$1646+Sens!$M$1647</f>
        <v>205.532250929728</v>
      </c>
      <c r="N1648" s="38" t="n">
        <f aca="false">Q!$N$25</f>
        <v>37.576</v>
      </c>
      <c r="O1648" s="38" t="n">
        <f aca="false">Q!$O$25</f>
        <v>42.399</v>
      </c>
    </row>
    <row r="1649" customFormat="false" ht="17.15" hidden="false" customHeight="false" outlineLevel="0" collapsed="false">
      <c r="A1649" s="24" t="s">
        <v>764</v>
      </c>
      <c r="B1649" s="25" t="s">
        <v>86</v>
      </c>
      <c r="C1649" s="41" t="n">
        <f aca="false">Sens!$C$1638+Sens!$C$1643+Sens!$C$1646+Sens!$C$1647-Sens!$C$1648</f>
        <v>0</v>
      </c>
      <c r="D1649" s="41" t="n">
        <f aca="false">Sens!$D$1638+Sens!$D$1643+Sens!$D$1646+Sens!$D$1647-Sens!$D$1648</f>
        <v>0</v>
      </c>
      <c r="E1649" s="41" t="n">
        <f aca="false">Sens!$E$1638+Sens!$E$1643+Sens!$E$1646+Sens!$E$1647-Sens!$E$1648</f>
        <v>0</v>
      </c>
      <c r="F1649" s="41" t="n">
        <f aca="false">Sens!$F$1638+Sens!$F$1643+Sens!$F$1646+Sens!$F$1647-Sens!$F$1648</f>
        <v>0</v>
      </c>
      <c r="G1649" s="41" t="n">
        <f aca="false">Sens!$G$1638+Sens!$G$1643+Sens!$G$1646+Sens!$G$1647-Sens!$G$1648</f>
        <v>0</v>
      </c>
      <c r="H1649" s="41" t="n">
        <f aca="false">Sens!$H$1638+Sens!$H$1643+Sens!$H$1646+Sens!$H$1647-Sens!$H$1648</f>
        <v>0</v>
      </c>
      <c r="I1649" s="41" t="n">
        <f aca="false">Sens!$I$1638+Sens!$I$1643+Sens!$I$1646+Sens!$I$1647-Sens!$I$1648</f>
        <v>0</v>
      </c>
      <c r="J1649" s="41" t="n">
        <f aca="false">Sens!$J$1638+Sens!$J$1643+Sens!$J$1646+Sens!$J$1647-Sens!$J$1648</f>
        <v>0</v>
      </c>
      <c r="K1649" s="41" t="n">
        <f aca="false">Sens!$K$1638+Sens!$K$1643+Sens!$K$1646+Sens!$K$1647-Sens!$K$1648</f>
        <v>0</v>
      </c>
      <c r="L1649" s="41" t="n">
        <f aca="false">Sens!$L$1638+Sens!$L$1643+Sens!$L$1646+Sens!$L$1647-Sens!$L$1648</f>
        <v>0</v>
      </c>
      <c r="M1649" s="41" t="n">
        <f aca="false">Sens!$M$1638+Sens!$M$1643+Sens!$M$1646+Sens!$M$1647-Sens!$M$1648</f>
        <v>0</v>
      </c>
      <c r="N1649" s="41" t="n">
        <f aca="false">Sens!$N$1638+Sens!$N$1643+Sens!$N$1646+Sens!$N$1647-Sens!$N$1648</f>
        <v>0</v>
      </c>
      <c r="O1649" s="41" t="n">
        <f aca="false">Sens!$O$1638+Sens!$O$1643+Sens!$O$1646+Sens!$O$1647-Sens!$O$1648</f>
        <v>0</v>
      </c>
    </row>
    <row r="1650" customFormat="false" ht="17.15" hidden="false" customHeight="false" outlineLevel="0" collapsed="false">
      <c r="A1650" s="5" t="s">
        <v>735</v>
      </c>
      <c r="B1650" s="0" t="s">
        <v>86</v>
      </c>
      <c r="C1650" s="38" t="n">
        <f aca="false">Sens!$C$1586</f>
        <v>0</v>
      </c>
      <c r="D1650" s="38" t="n">
        <f aca="false">Sens!$D$1586</f>
        <v>0</v>
      </c>
      <c r="E1650" s="38" t="n">
        <f aca="false">Sens!$E$1586</f>
        <v>0</v>
      </c>
      <c r="F1650" s="38" t="n">
        <f aca="false">Sens!$F$1586</f>
        <v>4.08031800914075</v>
      </c>
      <c r="G1650" s="38" t="n">
        <f aca="false">Sens!$G$1586</f>
        <v>4.08031800914075</v>
      </c>
      <c r="H1650" s="38" t="n">
        <f aca="false">Sens!$H$1586</f>
        <v>17.6870277651227</v>
      </c>
      <c r="I1650" s="38" t="n">
        <f aca="false">Sens!$I$1586</f>
        <v>30.7099402663721</v>
      </c>
      <c r="J1650" s="38" t="n">
        <f aca="false">Sens!$J$1586</f>
        <v>43.7907878362763</v>
      </c>
      <c r="K1650" s="38" t="n">
        <f aca="false">Sens!$K$1586</f>
        <v>54.9426328870174</v>
      </c>
      <c r="L1650" s="38" t="n">
        <f aca="false">Sens!$L$1586</f>
        <v>62.2540622931248</v>
      </c>
      <c r="M1650" s="38" t="n">
        <f aca="false">Sens!$M$1586</f>
        <v>65.7156229498017</v>
      </c>
      <c r="N1650" s="38" t="n">
        <f aca="false">Sens!$N$1586</f>
        <v>0</v>
      </c>
      <c r="O1650" s="38" t="n">
        <f aca="false">Sens!$O$1586</f>
        <v>0</v>
      </c>
      <c r="P1650" s="5" t="s">
        <v>736</v>
      </c>
    </row>
    <row r="1651" customFormat="false" ht="17.15" hidden="false" customHeight="false" outlineLevel="0" collapsed="false">
      <c r="A1651" s="5" t="s">
        <v>737</v>
      </c>
      <c r="B1651" s="0" t="s">
        <v>86</v>
      </c>
      <c r="C1651" s="38" t="n">
        <f aca="false">Sens!$C$1648+Sens!$C$1650</f>
        <v>68.593</v>
      </c>
      <c r="D1651" s="38" t="n">
        <f aca="false">Sens!$D$1648+Sens!$D$1650</f>
        <v>79.975</v>
      </c>
      <c r="E1651" s="38" t="n">
        <f aca="false">Sens!$E$1648+Sens!$E$1650</f>
        <v>51.313</v>
      </c>
      <c r="F1651" s="38" t="n">
        <f aca="false">Sens!$F$1648+Sens!$F$1650</f>
        <v>61.6798072442526</v>
      </c>
      <c r="G1651" s="38" t="n">
        <f aca="false">Sens!$G$1648+Sens!$G$1650</f>
        <v>112.992807244253</v>
      </c>
      <c r="H1651" s="38" t="n">
        <f aca="false">Sens!$H$1648+Sens!$H$1650</f>
        <v>153.347206073109</v>
      </c>
      <c r="I1651" s="38" t="n">
        <f aca="false">Sens!$I$1648+Sens!$I$1650</f>
        <v>187.076610314961</v>
      </c>
      <c r="J1651" s="38" t="n">
        <f aca="false">Sens!$J$1648+Sens!$J$1650</f>
        <v>219.142495471981</v>
      </c>
      <c r="K1651" s="38" t="n">
        <f aca="false">Sens!$K$1648+Sens!$K$1650</f>
        <v>241.309512996969</v>
      </c>
      <c r="L1651" s="38" t="n">
        <f aca="false">Sens!$L$1648+Sens!$L$1650</f>
        <v>258.675922950598</v>
      </c>
      <c r="M1651" s="38" t="n">
        <f aca="false">Sens!$M$1648+Sens!$M$1650</f>
        <v>271.24787387953</v>
      </c>
      <c r="N1651" s="38" t="n">
        <f aca="false">Sens!$N$1648+Sens!$N$1650</f>
        <v>37.576</v>
      </c>
      <c r="O1651" s="38" t="n">
        <f aca="false">Sens!$O$1648+Sens!$O$1650</f>
        <v>42.399</v>
      </c>
    </row>
    <row r="1652" customFormat="false" ht="17.15" hidden="false" customHeight="false" outlineLevel="0" collapsed="false">
      <c r="A1652" s="0" t="s">
        <v>738</v>
      </c>
      <c r="B1652" s="0" t="s">
        <v>52</v>
      </c>
      <c r="C1652" s="13" t="n">
        <f aca="false">Sens!$C$1638/Sens!$C$1623</f>
        <v>0.0644314665661928</v>
      </c>
      <c r="D1652" s="13" t="n">
        <f aca="false">Sens!$D$1638/Sens!$D$1623</f>
        <v>0.0694784250712518</v>
      </c>
      <c r="E1652" s="13" t="n">
        <f aca="false">Sens!$E$1638/Sens!$E$1623</f>
        <v>0.0789306463326071</v>
      </c>
      <c r="F1652" s="13" t="n">
        <f aca="false">Sens!$F$1638/Sens!$F$1623</f>
        <v>0.0799938577815012</v>
      </c>
      <c r="G1652" s="13" t="n">
        <f aca="false">Sens!$G$1638/Sens!$G$1623</f>
        <v>0.0794964761374403</v>
      </c>
      <c r="H1652" s="13" t="n">
        <f aca="false">Sens!$H$1638/Sens!$H$1623</f>
        <v>0.0785138842888462</v>
      </c>
      <c r="I1652" s="13" t="n">
        <f aca="false">Sens!$I$1638/Sens!$I$1623</f>
        <v>0.0745504682169127</v>
      </c>
      <c r="J1652" s="13" t="n">
        <f aca="false">Sens!$J$1638/Sens!$J$1623</f>
        <v>0.0708724244796457</v>
      </c>
      <c r="K1652" s="13" t="n">
        <f aca="false">Sens!$K$1638/Sens!$K$1623</f>
        <v>0.0673421323832295</v>
      </c>
      <c r="L1652" s="13" t="n">
        <f aca="false">Sens!$L$1638/Sens!$L$1623</f>
        <v>0.0655461588222928</v>
      </c>
      <c r="M1652" s="13" t="n">
        <f aca="false">Sens!$M$1638/Sens!$M$1623</f>
        <v>0.0670422285966228</v>
      </c>
      <c r="N1652" s="13" t="n">
        <f aca="false">Sens!$N$1638/Sens!$N$1623</f>
        <v>0.069228576611127</v>
      </c>
      <c r="O1652" s="13" t="n">
        <f aca="false">Sens!$O$1638/Sens!$O$1623</f>
        <v>0.069685022498393</v>
      </c>
    </row>
    <row r="1653" customFormat="false" ht="17.15" hidden="false" customHeight="false" outlineLevel="0" collapsed="false">
      <c r="A1653" s="0" t="s">
        <v>739</v>
      </c>
      <c r="B1653" s="0" t="s">
        <v>52</v>
      </c>
      <c r="C1653" s="13" t="n">
        <f aca="false">Sens!$C$1643/Sens!$C$1624</f>
        <v>0.026534925055631</v>
      </c>
      <c r="D1653" s="13" t="n">
        <f aca="false">Sens!$D$1643/Sens!$D$1624</f>
        <v>0.0293401855535103</v>
      </c>
      <c r="E1653" s="13" t="n">
        <f aca="false">Sens!$E$1643/Sens!$E$1624</f>
        <v>0.03831141902276</v>
      </c>
      <c r="F1653" s="13" t="n">
        <f aca="false">Sens!$F$1643/Sens!$F$1624</f>
        <v>0.0279531227901354</v>
      </c>
      <c r="G1653" s="13" t="n">
        <f aca="false">Sens!$G$1643/Sens!$G$1624</f>
        <v>0.0326607797574845</v>
      </c>
      <c r="H1653" s="13" t="n">
        <f aca="false">Sens!$H$1643/Sens!$H$1624</f>
        <v>0.0296729822748979</v>
      </c>
      <c r="I1653" s="13" t="n">
        <f aca="false">Sens!$I$1643/Sens!$I$1624</f>
        <v>0.0236811773459553</v>
      </c>
      <c r="J1653" s="13" t="n">
        <f aca="false">Sens!$J$1643/Sens!$J$1624</f>
        <v>0.0179117582586634</v>
      </c>
      <c r="K1653" s="13" t="n">
        <f aca="false">Sens!$K$1643/Sens!$K$1624</f>
        <v>0.0121854402994138</v>
      </c>
      <c r="L1653" s="13" t="n">
        <f aca="false">Sens!$L$1643/Sens!$L$1624</f>
        <v>0.010735629664783</v>
      </c>
      <c r="M1653" s="13" t="n">
        <f aca="false">Sens!$M$1643/Sens!$M$1624</f>
        <v>0.0125858697823362</v>
      </c>
      <c r="N1653" s="13" t="n">
        <f aca="false">Sens!$N$1643/Sens!$N$1624</f>
        <v>0.0357315650169337</v>
      </c>
      <c r="O1653" s="13" t="n">
        <f aca="false">Sens!$O$1643/Sens!$O$1624</f>
        <v>0.0244378956559703</v>
      </c>
    </row>
    <row r="1654" customFormat="false" ht="17.15" hidden="false" customHeight="false" outlineLevel="0" collapsed="false">
      <c r="A1654" s="14" t="s">
        <v>740</v>
      </c>
      <c r="B1654" s="14" t="s">
        <v>52</v>
      </c>
      <c r="C1654" s="17" t="n">
        <f aca="false">Sens!$C$1646/Sens!$C$1625</f>
        <v>0.370355907620217</v>
      </c>
      <c r="D1654" s="17" t="n">
        <f aca="false">Sens!$D$1646/Sens!$D$1625</f>
        <v>0.35429015342785</v>
      </c>
      <c r="E1654" s="17" t="n">
        <f aca="false">Sens!$E$1646/Sens!$E$1625</f>
        <v>0.385647527531039</v>
      </c>
      <c r="F1654" s="17" t="n">
        <f aca="false">Sens!$F$1646/Sens!$F$1625</f>
        <v>0.395627006166229</v>
      </c>
      <c r="G1654" s="17" t="n">
        <f aca="false">Sens!$G$1646/Sens!$G$1625</f>
        <v>0.390879356289458</v>
      </c>
      <c r="H1654" s="17" t="n">
        <f aca="false">Sens!$H$1646/Sens!$H$1625</f>
        <v>0.384082023513929</v>
      </c>
      <c r="I1654" s="17" t="n">
        <f aca="false">Sens!$I$1646/Sens!$I$1625</f>
        <v>0.361553978435198</v>
      </c>
      <c r="J1654" s="17" t="n">
        <f aca="false">Sens!$J$1646/Sens!$J$1625</f>
        <v>0.345075781007596</v>
      </c>
      <c r="K1654" s="17" t="n">
        <f aca="false">Sens!$K$1646/Sens!$K$1625</f>
        <v>0.32411049371691</v>
      </c>
      <c r="L1654" s="17" t="n">
        <f aca="false">Sens!$L$1646/Sens!$L$1625</f>
        <v>0.310948587519983</v>
      </c>
      <c r="M1654" s="17" t="n">
        <f aca="false">Sens!$M$1646/Sens!$M$1625</f>
        <v>0.299801327234227</v>
      </c>
      <c r="N1654" s="17" t="n">
        <f aca="false">Sens!$N$1646/Sens!$N$1625</f>
        <v>0.360941137346192</v>
      </c>
      <c r="O1654" s="17" t="n">
        <f aca="false">Sens!$O$1646/Sens!$O$1625</f>
        <v>0.348458117664212</v>
      </c>
    </row>
    <row r="1655" customFormat="false" ht="17.15" hidden="false" customHeight="false" outlineLevel="0" collapsed="false">
      <c r="A1655" s="0" t="s">
        <v>741</v>
      </c>
      <c r="B1655" s="0" t="s">
        <v>52</v>
      </c>
      <c r="C1655" s="13" t="n">
        <f aca="false">Sens!$C$1644/Sens!$C$1626</f>
        <v>0.708390794789371</v>
      </c>
      <c r="D1655" s="13" t="n">
        <f aca="false">Sens!$D$1644/Sens!$D$1626</f>
        <v>0.619415573115729</v>
      </c>
      <c r="E1655" s="13" t="n">
        <f aca="false">Sens!$E$1644/Sens!$E$1626</f>
        <v>0.374072166056273</v>
      </c>
      <c r="F1655" s="13" t="n">
        <f aca="false">Sens!$F$1644/Sens!$F$1626</f>
        <v>0.571378652694084</v>
      </c>
      <c r="G1655" s="13" t="n">
        <f aca="false">Sens!$G$1644/Sens!$G$1626</f>
        <v>0.503397571087137</v>
      </c>
      <c r="H1655" s="13" t="n">
        <f aca="false">Sens!$H$1644/Sens!$H$1626</f>
        <v>0.448557768715234</v>
      </c>
      <c r="I1655" s="13" t="n">
        <f aca="false">Sens!$I$1644/Sens!$I$1626</f>
        <v>0.369730824616361</v>
      </c>
      <c r="J1655" s="13" t="n">
        <f aca="false">Sens!$J$1644/Sens!$J$1626</f>
        <v>0.332788833617182</v>
      </c>
      <c r="K1655" s="13" t="n">
        <f aca="false">Sens!$K$1644/Sens!$K$1626</f>
        <v>0.293199951943325</v>
      </c>
      <c r="L1655" s="13" t="n">
        <f aca="false">Sens!$L$1644/Sens!$L$1626</f>
        <v>0.269318237026399</v>
      </c>
      <c r="M1655" s="13" t="n">
        <f aca="false">Sens!$M$1644/Sens!$M$1626</f>
        <v>0.246665470829446</v>
      </c>
      <c r="N1655" s="13" t="n">
        <f aca="false">Sens!$N$1644/Sens!$N$1626</f>
        <v>0.551227795793364</v>
      </c>
      <c r="O1655" s="13" t="n">
        <f aca="false">Sens!$O$1644/Sens!$O$1626</f>
        <v>0.656132068597002</v>
      </c>
    </row>
    <row r="1656" customFormat="false" ht="15" hidden="false" customHeight="false" outlineLevel="0" collapsed="false">
      <c r="A1656" s="5" t="s">
        <v>742</v>
      </c>
      <c r="B1656" s="0" t="s">
        <v>52</v>
      </c>
      <c r="C1656" s="13" t="n">
        <f aca="false">Sens!$C$1648/Sens!$C$1628</f>
        <v>0.107519448742004</v>
      </c>
      <c r="D1656" s="13" t="n">
        <f aca="false">Sens!$D$1648/Sens!$D$1628</f>
        <v>0.111552967957552</v>
      </c>
      <c r="E1656" s="13" t="n">
        <f aca="false">Sens!$E$1648/Sens!$E$1628</f>
        <v>0.13428328426562</v>
      </c>
      <c r="F1656" s="13" t="n">
        <f aca="false">Sens!$F$1648/Sens!$F$1628</f>
        <v>0.131804376268882</v>
      </c>
      <c r="G1656" s="13" t="n">
        <f aca="false">Sens!$G$1648/Sens!$G$1628</f>
        <v>0.132960786033046</v>
      </c>
      <c r="H1656" s="13" t="n">
        <f aca="false">Sens!$H$1648/Sens!$H$1628</f>
        <v>0.142456420092477</v>
      </c>
      <c r="I1656" s="13" t="n">
        <f aca="false">Sens!$I$1648/Sens!$I$1628</f>
        <v>0.143567626266296</v>
      </c>
      <c r="J1656" s="13" t="n">
        <f aca="false">Sens!$J$1648/Sens!$J$1628</f>
        <v>0.143655917414874</v>
      </c>
      <c r="K1656" s="13" t="n">
        <f aca="false">Sens!$K$1648/Sens!$K$1628</f>
        <v>0.139536357872879</v>
      </c>
      <c r="L1656" s="13" t="n">
        <f aca="false">Sens!$L$1648/Sens!$L$1628</f>
        <v>0.136360783393047</v>
      </c>
      <c r="M1656" s="13" t="n">
        <f aca="false">Sens!$M$1648/Sens!$M$1628</f>
        <v>0.133852333339982</v>
      </c>
      <c r="N1656" s="13" t="n">
        <f aca="false">Sens!$N$1648/Sens!$N$1628</f>
        <v>0.116201614873411</v>
      </c>
      <c r="O1656" s="13" t="n">
        <f aca="false">Sens!$O$1648/Sens!$O$1628</f>
        <v>0.107733353660861</v>
      </c>
    </row>
    <row r="1657" customFormat="false" ht="17.15" hidden="false" customHeight="false" outlineLevel="0" collapsed="false">
      <c r="A1657" s="1" t="s">
        <v>743</v>
      </c>
    </row>
    <row r="1658" customFormat="false" ht="17.15" hidden="false" customHeight="false" outlineLevel="0" collapsed="false">
      <c r="A1658" s="5" t="s">
        <v>744</v>
      </c>
      <c r="B1658" s="0" t="s">
        <v>52</v>
      </c>
      <c r="D1658" s="28" t="n">
        <f aca="false">(Q!$E$29+Q!$E$30-(1-ext_sh)*Sens!$D$1580)/Sens!$D$1534</f>
        <v>0.0341105596409988</v>
      </c>
    </row>
    <row r="1659" customFormat="false" ht="17.15" hidden="false" customHeight="false" outlineLevel="0" collapsed="false">
      <c r="A1659" s="0" t="s">
        <v>538</v>
      </c>
      <c r="B1659" s="0" t="s">
        <v>86</v>
      </c>
      <c r="C1659" s="38" t="n">
        <f aca="false">Q!$D$29</f>
        <v>14.285</v>
      </c>
      <c r="D1659" s="38" t="n">
        <f aca="false">Q!$E$29</f>
        <v>15.503</v>
      </c>
      <c r="E1659" s="38" t="n">
        <f aca="false">Q!$P$29</f>
        <v>8.78</v>
      </c>
      <c r="F1659" s="38" t="n">
        <f aca="false">(Sens!$D$1658*Sens!$F$1534+(1-ext_sh)*Sens!$F$1580)*Sens!$F$1535</f>
        <v>9.16735846116642</v>
      </c>
      <c r="G1659" s="38" t="n">
        <f aca="false">Sens!$E$1659+Sens!$F$1659</f>
        <v>17.9473584611664</v>
      </c>
      <c r="H1659" s="38" t="n">
        <f aca="false">(Sens!$D$1658*Sens!$H$1534+(1-ext_sh)*Sens!$H$1580)*Sens!$H$1535</f>
        <v>22.1234979956941</v>
      </c>
      <c r="I1659" s="38" t="n">
        <f aca="false">(Sens!$D$1658*Sens!$I$1534+(1-ext_sh)*Sens!$I$1580)*Sens!$I$1535</f>
        <v>28.7979034997242</v>
      </c>
      <c r="J1659" s="38" t="n">
        <f aca="false">(Sens!$D$1658*Sens!$J$1534+(1-ext_sh)*Sens!$J$1580)*Sens!$J$1535</f>
        <v>35.5356292825165</v>
      </c>
      <c r="K1659" s="38" t="n">
        <f aca="false">(Sens!$D$1658*Sens!$K$1534+(1-ext_sh)*Sens!$K$1580)*Sens!$K$1535</f>
        <v>42.1878281156909</v>
      </c>
      <c r="L1659" s="38" t="n">
        <f aca="false">(Sens!$D$1658*Sens!$L$1534+(1-ext_sh)*Sens!$L$1580)*Sens!$L$1535</f>
        <v>47.3628920035097</v>
      </c>
      <c r="M1659" s="38" t="n">
        <f aca="false">(Sens!$D$1658*Sens!$M$1534+(1-ext_sh)*Sens!$M$1580)*Sens!$M$1535</f>
        <v>51.3014744444389</v>
      </c>
      <c r="N1659" s="38" t="n">
        <f aca="false">Q!$N$29</f>
        <v>7.272</v>
      </c>
      <c r="O1659" s="38" t="n">
        <f aca="false">Q!$O$29</f>
        <v>8.231</v>
      </c>
    </row>
    <row r="1660" customFormat="false" ht="17.15" hidden="false" customHeight="false" outlineLevel="0" collapsed="false">
      <c r="A1660" s="0" t="s">
        <v>540</v>
      </c>
      <c r="B1660" s="0" t="s">
        <v>86</v>
      </c>
      <c r="C1660" s="38" t="n">
        <f aca="false">Q!$D$30</f>
        <v>4.462</v>
      </c>
      <c r="D1660" s="38" t="n">
        <f aca="false">Q!$E$30</f>
        <v>4.907</v>
      </c>
      <c r="E1660" s="38" t="n">
        <f aca="false">Q!$P$30</f>
        <v>2.57</v>
      </c>
      <c r="F1660" s="38" t="n">
        <f aca="false">(Sens!$D$1658*Sens!$F$1534+(1-ext_sh)*Sens!$F$1580)*(1-Sens!$F$1535)</f>
        <v>3.59937168293151</v>
      </c>
      <c r="G1660" s="38" t="n">
        <f aca="false">Sens!$E$1660+Sens!$F$1660</f>
        <v>6.16937168293151</v>
      </c>
      <c r="H1660" s="38" t="n">
        <f aca="false">(Sens!$D$1658*Sens!$H$1534+(1-ext_sh)*Sens!$H$1580)*(1-Sens!$H$1535)</f>
        <v>8.47409243763387</v>
      </c>
      <c r="I1660" s="38" t="n">
        <f aca="false">(Sens!$D$1658*Sens!$I$1534+(1-ext_sh)*Sens!$I$1580)*(1-Sens!$I$1535)</f>
        <v>11.0306288957659</v>
      </c>
      <c r="J1660" s="38" t="n">
        <f aca="false">(Sens!$D$1658*Sens!$J$1534+(1-ext_sh)*Sens!$J$1580)*(1-Sens!$J$1535)</f>
        <v>13.6114192894878</v>
      </c>
      <c r="K1660" s="38" t="n">
        <f aca="false">(Sens!$D$1658*Sens!$K$1534+(1-ext_sh)*Sens!$K$1580)*(1-Sens!$K$1535)</f>
        <v>16.1594497969966</v>
      </c>
      <c r="L1660" s="38" t="n">
        <f aca="false">(Sens!$D$1658*Sens!$L$1534+(1-ext_sh)*Sens!$L$1580)*(1-Sens!$L$1535)</f>
        <v>18.1416846933305</v>
      </c>
      <c r="M1660" s="38" t="n">
        <f aca="false">(Sens!$D$1658*Sens!$M$1534+(1-ext_sh)*Sens!$M$1580)*(1-Sens!$M$1535)</f>
        <v>19.6503028912381</v>
      </c>
      <c r="N1660" s="38" t="n">
        <f aca="false">Q!$N$30</f>
        <v>2.316</v>
      </c>
      <c r="O1660" s="38" t="n">
        <f aca="false">Q!$O$30</f>
        <v>2.591</v>
      </c>
    </row>
    <row r="1661" customFormat="false" ht="17.15" hidden="false" customHeight="false" outlineLevel="0" collapsed="false">
      <c r="A1661" s="0" t="s">
        <v>541</v>
      </c>
      <c r="B1661" s="0" t="s">
        <v>86</v>
      </c>
      <c r="C1661" s="38" t="n">
        <f aca="false">Sens!$C$1592</f>
        <v>13.32</v>
      </c>
      <c r="D1661" s="38" t="n">
        <f aca="false">Sens!$D$1592</f>
        <v>21.45</v>
      </c>
      <c r="E1661" s="38" t="n">
        <f aca="false">Sens!$E$1592</f>
        <v>15.353</v>
      </c>
      <c r="F1661" s="38" t="n">
        <f aca="false">Sens!$F$1592</f>
        <v>15.4404120185306</v>
      </c>
      <c r="G1661" s="38" t="n">
        <f aca="false">Sens!$G$1592</f>
        <v>30.7934120185306</v>
      </c>
      <c r="H1661" s="38" t="n">
        <f aca="false">Sens!$H$1592</f>
        <v>50.9211752594384</v>
      </c>
      <c r="I1661" s="38" t="n">
        <f aca="false">Sens!$I$1592</f>
        <v>81.6122008624046</v>
      </c>
      <c r="J1661" s="38" t="n">
        <f aca="false">Sens!$J$1592</f>
        <v>113.190876319582</v>
      </c>
      <c r="K1661" s="38" t="n">
        <f aca="false">Sens!$K$1592</f>
        <v>145.096571163031</v>
      </c>
      <c r="L1661" s="38" t="n">
        <f aca="false">Sens!$L$1592</f>
        <v>168.514902832459</v>
      </c>
      <c r="M1661" s="38" t="n">
        <f aca="false">Sens!$M$1592</f>
        <v>184.754451916078</v>
      </c>
      <c r="N1661" s="38" t="n">
        <f aca="false">Sens!$N$1592</f>
        <v>9.234</v>
      </c>
      <c r="O1661" s="38" t="n">
        <f aca="false">Sens!$O$1592</f>
        <v>12.216</v>
      </c>
    </row>
    <row r="1662" customFormat="false" ht="17.15" hidden="false" customHeight="false" outlineLevel="0" collapsed="false">
      <c r="A1662" s="5" t="s">
        <v>745</v>
      </c>
      <c r="B1662" s="0" t="s">
        <v>86</v>
      </c>
      <c r="C1662" s="38" t="n">
        <f aca="false">Sens!$C$1659+Sens!$C$1660+Sens!$C$1661</f>
        <v>32.067</v>
      </c>
      <c r="D1662" s="38" t="n">
        <f aca="false">Sens!$D$1659+Sens!$D$1660+Sens!$D$1661</f>
        <v>41.86</v>
      </c>
      <c r="E1662" s="38" t="n">
        <f aca="false">Sens!$E$1659+Sens!$E$1660+Sens!$E$1661</f>
        <v>26.703</v>
      </c>
      <c r="F1662" s="38" t="n">
        <f aca="false">Sens!$F$1659+Sens!$F$1660+Sens!$F$1661</f>
        <v>28.2071421626285</v>
      </c>
      <c r="G1662" s="38" t="n">
        <f aca="false">Sens!$G$1659+Sens!$G$1660+Sens!$G$1661</f>
        <v>54.9101421626285</v>
      </c>
      <c r="H1662" s="38" t="n">
        <f aca="false">Sens!$H$1659+Sens!$H$1660+Sens!$H$1661</f>
        <v>81.5187656927663</v>
      </c>
      <c r="I1662" s="38" t="n">
        <f aca="false">Sens!$I$1659+Sens!$I$1660+Sens!$I$1661</f>
        <v>121.440733257895</v>
      </c>
      <c r="J1662" s="38" t="n">
        <f aca="false">Sens!$J$1659+Sens!$J$1660+Sens!$J$1661</f>
        <v>162.337924891586</v>
      </c>
      <c r="K1662" s="38" t="n">
        <f aca="false">Sens!$K$1659+Sens!$K$1660+Sens!$K$1661</f>
        <v>203.443849075718</v>
      </c>
      <c r="L1662" s="38" t="n">
        <f aca="false">Sens!$L$1659+Sens!$L$1660+Sens!$L$1661</f>
        <v>234.019479529299</v>
      </c>
      <c r="M1662" s="38" t="n">
        <f aca="false">Sens!$M$1659+Sens!$M$1660+Sens!$M$1661</f>
        <v>255.706229251755</v>
      </c>
      <c r="N1662" s="38" t="n">
        <f aca="false">Sens!$N$1659+Sens!$N$1660+Sens!$N$1661</f>
        <v>18.822</v>
      </c>
      <c r="O1662" s="38" t="n">
        <f aca="false">Sens!$O$1659+Sens!$O$1660+Sens!$O$1661</f>
        <v>23.038</v>
      </c>
    </row>
    <row r="1663" customFormat="false" ht="17.15" hidden="false" customHeight="false" outlineLevel="0" collapsed="false">
      <c r="A1663" s="0" t="s">
        <v>746</v>
      </c>
      <c r="B1663" s="0" t="s">
        <v>86</v>
      </c>
      <c r="C1663" s="38" t="n">
        <f aca="false">Sens!$C$1634+Sens!$C$1639</f>
        <v>28.107</v>
      </c>
      <c r="D1663" s="38" t="n">
        <f aca="false">Sens!$D$1634+Sens!$D$1639</f>
        <v>34.3175</v>
      </c>
      <c r="E1663" s="38" t="n">
        <f aca="false">Sens!$E$1634+Sens!$E$1639</f>
        <v>18.526</v>
      </c>
      <c r="F1663" s="38" t="n">
        <f aca="false">Sens!$F$1634+Sens!$F$1639</f>
        <v>23.0786109972074</v>
      </c>
      <c r="G1663" s="38" t="n">
        <f aca="false">Sens!$G$1634+Sens!$G$1639</f>
        <v>41.6046109972074</v>
      </c>
      <c r="H1663" s="38" t="n">
        <f aca="false">Sens!$H$1634+Sens!$H$1639</f>
        <v>49.9484611939488</v>
      </c>
      <c r="I1663" s="38" t="n">
        <f aca="false">Sens!$I$1634+Sens!$I$1639</f>
        <v>58.2915555477481</v>
      </c>
      <c r="J1663" s="38" t="n">
        <f aca="false">Sens!$J$1634+Sens!$J$1639</f>
        <v>66.0744709709759</v>
      </c>
      <c r="K1663" s="38" t="n">
        <f aca="false">Sens!$K$1634+Sens!$K$1639</f>
        <v>72.6819180680735</v>
      </c>
      <c r="L1663" s="38" t="n">
        <f aca="false">Sens!$L$1634+Sens!$L$1639</f>
        <v>79.9501098748808</v>
      </c>
      <c r="M1663" s="38" t="n">
        <f aca="false">Sens!$M$1634+Sens!$M$1639</f>
        <v>87.9451208623689</v>
      </c>
      <c r="N1663" s="38" t="n">
        <f aca="false">Sens!$N$1634+Sens!$N$1639</f>
        <v>14.8075</v>
      </c>
      <c r="O1663" s="38" t="n">
        <f aca="false">Sens!$O$1634+Sens!$O$1639</f>
        <v>19.51</v>
      </c>
    </row>
    <row r="1664" customFormat="false" ht="17.15" hidden="false" customHeight="false" outlineLevel="0" collapsed="false">
      <c r="A1664" s="0" t="s">
        <v>747</v>
      </c>
      <c r="B1664" s="0" t="s">
        <v>86</v>
      </c>
      <c r="C1664" s="38" t="n">
        <f aca="false">Sens!$C$1638+Sens!$C$1643+Sens!$C$1659+Sens!$C$1660-Sens!$C$1663</f>
        <v>19.399</v>
      </c>
      <c r="D1664" s="38" t="n">
        <f aca="false">Sens!$D$1638+Sens!$D$1643+Sens!$D$1659+Sens!$D$1660-Sens!$D$1663</f>
        <v>20.4615</v>
      </c>
      <c r="E1664" s="38" t="n">
        <f aca="false">Sens!$E$1638+Sens!$E$1643+Sens!$E$1659+Sens!$E$1660-Sens!$E$1663</f>
        <v>13.355</v>
      </c>
      <c r="F1664" s="38" t="n">
        <f aca="false">Sens!$F$1638+Sens!$F$1643+Sens!$F$1659+Sens!$F$1660-Sens!$F$1663</f>
        <v>12.4885855352882</v>
      </c>
      <c r="G1664" s="38" t="n">
        <f aca="false">Sens!$G$1638+Sens!$G$1643+Sens!$G$1659+Sens!$G$1660-Sens!$G$1663</f>
        <v>25.8435855352882</v>
      </c>
      <c r="H1664" s="38" t="n">
        <f aca="false">Sens!$H$1638+Sens!$H$1643+Sens!$H$1659+Sens!$H$1660-Sens!$H$1663</f>
        <v>27.5112353709079</v>
      </c>
      <c r="I1664" s="38" t="n">
        <f aca="false">Sens!$I$1638+Sens!$I$1643+Sens!$I$1659+Sens!$I$1660-Sens!$I$1663</f>
        <v>29.2130952016415</v>
      </c>
      <c r="J1664" s="38" t="n">
        <f aca="false">Sens!$J$1638+Sens!$J$1643+Sens!$J$1659+Sens!$J$1660-Sens!$J$1663</f>
        <v>30.9089660428131</v>
      </c>
      <c r="K1664" s="38" t="n">
        <f aca="false">Sens!$K$1638+Sens!$K$1643+Sens!$K$1659+Sens!$K$1660-Sens!$K$1663</f>
        <v>32.8466374013986</v>
      </c>
      <c r="L1664" s="38" t="n">
        <f aca="false">Sens!$L$1638+Sens!$L$1643+Sens!$L$1659+Sens!$L$1660-Sens!$L$1663</f>
        <v>34.1625604436017</v>
      </c>
      <c r="M1664" s="38" t="n">
        <f aca="false">Sens!$M$1638+Sens!$M$1643+Sens!$M$1659+Sens!$M$1660-Sens!$M$1663</f>
        <v>36.429612732822</v>
      </c>
      <c r="N1664" s="38" t="n">
        <f aca="false">Sens!$N$1638+Sens!$N$1643+Sens!$N$1659+Sens!$N$1660-Sens!$N$1663</f>
        <v>10.6495</v>
      </c>
      <c r="O1664" s="38" t="n">
        <f aca="false">Sens!$O$1638+Sens!$O$1643+Sens!$O$1659+Sens!$O$1660-Sens!$O$1663</f>
        <v>9.81200000000001</v>
      </c>
    </row>
    <row r="1665" customFormat="false" ht="17.15" hidden="false" customHeight="false" outlineLevel="0" collapsed="false">
      <c r="A1665" s="0" t="s">
        <v>748</v>
      </c>
      <c r="B1665" s="0" t="s">
        <v>86</v>
      </c>
      <c r="C1665" s="38" t="n">
        <f aca="false">Sens!$C$1645+Sens!$C$1661-ext_sh*Sens!$C$1580</f>
        <v>51.3470500115664</v>
      </c>
      <c r="D1665" s="38" t="n">
        <f aca="false">Sens!$D$1645+Sens!$D$1661-ext_sh*Sens!$D$1580</f>
        <v>60.2799375433739</v>
      </c>
      <c r="E1665" s="38" t="n">
        <f aca="false">Sens!$E$1645+Sens!$E$1661-ext_sh*Sens!$E$1580</f>
        <v>39.5095167090767</v>
      </c>
      <c r="F1665" s="38" t="n">
        <f aca="false">Sens!$F$1645+Sens!$F$1661-ext_sh*Sens!$F$1580</f>
        <v>37.5468918745429</v>
      </c>
      <c r="G1665" s="38" t="n">
        <f aca="false">Sens!$G$1645+Sens!$G$1661-ext_sh*Sens!$G$1580</f>
        <v>77.0564085836196</v>
      </c>
      <c r="H1665" s="38" t="n">
        <f aca="false">Sens!$H$1645+Sens!$H$1661-ext_sh*Sens!$H$1580</f>
        <v>84.2378398616123</v>
      </c>
      <c r="I1665" s="38" t="n">
        <f aca="false">Sens!$I$1645+Sens!$I$1661-ext_sh*Sens!$I$1580</f>
        <v>93.5253492849083</v>
      </c>
      <c r="J1665" s="38" t="n">
        <f aca="false">Sens!$J$1645+Sens!$J$1661-ext_sh*Sens!$J$1580</f>
        <v>102.42210777817</v>
      </c>
      <c r="K1665" s="38" t="n">
        <f aca="false">Sens!$K$1645+Sens!$K$1661-ext_sh*Sens!$K$1580</f>
        <v>110.615876400424</v>
      </c>
      <c r="L1665" s="38" t="n">
        <f aca="false">Sens!$L$1645+Sens!$L$1661-ext_sh*Sens!$L$1580</f>
        <v>119.465146512458</v>
      </c>
      <c r="M1665" s="38" t="n">
        <f aca="false">Sens!$M$1645+Sens!$M$1661-ext_sh*Sens!$M$1580</f>
        <v>129.022358233455</v>
      </c>
      <c r="N1665" s="38" t="n">
        <f aca="false">Sens!$N$1645+Sens!$N$1661-ext_sh*Sens!$N$1580</f>
        <v>28.5693781401809</v>
      </c>
      <c r="O1665" s="38" t="n">
        <f aca="false">Sens!$O$1645+Sens!$O$1661-ext_sh*Sens!$O$1580</f>
        <v>31.7105594031931</v>
      </c>
    </row>
    <row r="1666" customFormat="false" ht="17.15" hidden="false" customHeight="false" outlineLevel="0" collapsed="false">
      <c r="A1666" s="0" t="s">
        <v>749</v>
      </c>
      <c r="B1666" s="0" t="s">
        <v>86</v>
      </c>
      <c r="C1666" s="38" t="n">
        <f aca="false">Sens!$C$1583</f>
        <v>1.80694998843362</v>
      </c>
      <c r="D1666" s="38" t="n">
        <f aca="false">Sens!$D$1583</f>
        <v>6.77606245662607</v>
      </c>
      <c r="E1666" s="38" t="n">
        <f aca="false">Sens!$E$1583</f>
        <v>6.62548329092326</v>
      </c>
      <c r="F1666" s="38" t="n">
        <f aca="false">Sens!$F$1583</f>
        <v>12.6925429907018</v>
      </c>
      <c r="G1666" s="38" t="n">
        <f aca="false">Sens!$G$1583</f>
        <v>19.3180262816251</v>
      </c>
      <c r="H1666" s="38" t="n">
        <f aca="false">Sens!$H$1583</f>
        <v>55.4814075742838</v>
      </c>
      <c r="I1666" s="38" t="n">
        <f aca="false">Sens!$I$1583</f>
        <v>96.7774032721855</v>
      </c>
      <c r="J1666" s="38" t="n">
        <f aca="false">Sens!$J$1583</f>
        <v>138.284087735331</v>
      </c>
      <c r="K1666" s="38" t="n">
        <f aca="false">Sens!$K$1583</f>
        <v>173.666297315773</v>
      </c>
      <c r="L1666" s="38" t="n">
        <f aca="false">Sens!$L$1583</f>
        <v>196.863523355832</v>
      </c>
      <c r="M1666" s="38" t="n">
        <f aca="false">Sens!$M$1583</f>
        <v>207.841388352838</v>
      </c>
      <c r="N1666" s="38" t="n">
        <f aca="false">Sens!$N$1583</f>
        <v>2.37162185981912</v>
      </c>
      <c r="O1666" s="38" t="n">
        <f aca="false">Sens!$O$1583</f>
        <v>4.40444059680694</v>
      </c>
    </row>
    <row r="1667" customFormat="false" ht="17.15" hidden="false" customHeight="false" outlineLevel="0" collapsed="false">
      <c r="A1667" s="0" t="s">
        <v>750</v>
      </c>
      <c r="B1667" s="0" t="s">
        <v>86</v>
      </c>
      <c r="C1667" s="38" t="n">
        <f aca="false">Sens!$C$1648+Sens!$C$1662</f>
        <v>100.66</v>
      </c>
      <c r="D1667" s="38" t="n">
        <f aca="false">Sens!$D$1648+Sens!$D$1662</f>
        <v>121.835</v>
      </c>
      <c r="E1667" s="38" t="n">
        <f aca="false">Sens!$E$1648+Sens!$E$1662</f>
        <v>78.016</v>
      </c>
      <c r="F1667" s="38" t="n">
        <f aca="false">Sens!$F$1648+Sens!$F$1662</f>
        <v>85.8066313977403</v>
      </c>
      <c r="G1667" s="38" t="n">
        <f aca="false">Sens!$G$1648+Sens!$G$1662</f>
        <v>163.82263139774</v>
      </c>
      <c r="H1667" s="38" t="n">
        <f aca="false">Sens!$H$1648+Sens!$H$1662</f>
        <v>217.178944000753</v>
      </c>
      <c r="I1667" s="38" t="n">
        <f aca="false">Sens!$I$1648+Sens!$I$1662</f>
        <v>277.807403306484</v>
      </c>
      <c r="J1667" s="38" t="n">
        <f aca="false">Sens!$J$1648+Sens!$J$1662</f>
        <v>337.689632527291</v>
      </c>
      <c r="K1667" s="38" t="n">
        <f aca="false">Sens!$K$1648+Sens!$K$1662</f>
        <v>389.810729185669</v>
      </c>
      <c r="L1667" s="38" t="n">
        <f aca="false">Sens!$L$1648+Sens!$L$1662</f>
        <v>430.441340186773</v>
      </c>
      <c r="M1667" s="38" t="n">
        <f aca="false">Sens!$M$1648+Sens!$M$1662</f>
        <v>461.238480181483</v>
      </c>
      <c r="N1667" s="38" t="n">
        <f aca="false">Sens!$N$1648+Sens!$N$1662</f>
        <v>56.398</v>
      </c>
      <c r="O1667" s="38" t="n">
        <f aca="false">Sens!$O$1648+Sens!$O$1662</f>
        <v>65.437</v>
      </c>
    </row>
    <row r="1668" customFormat="false" ht="17.15" hidden="false" customHeight="false" outlineLevel="0" collapsed="false">
      <c r="A1668" s="1" t="s">
        <v>751</v>
      </c>
    </row>
    <row r="1669" customFormat="false" ht="15" hidden="false" customHeight="false" outlineLevel="0" collapsed="false">
      <c r="A1669" s="5" t="s">
        <v>544</v>
      </c>
      <c r="B1669" s="0" t="s">
        <v>86</v>
      </c>
      <c r="C1669" s="38" t="n">
        <f aca="false">Q!$D$34</f>
        <v>2.406</v>
      </c>
      <c r="D1669" s="38" t="n">
        <f aca="false">Q!$E$34</f>
        <v>2.274</v>
      </c>
      <c r="E1669" s="38" t="n">
        <f aca="false">Q!$P$34</f>
        <v>2.114</v>
      </c>
      <c r="F1669" s="38" t="n">
        <f aca="false">Sens!$F$1707</f>
        <v>3.24888962733561</v>
      </c>
      <c r="G1669" s="38" t="n">
        <f aca="false">Sens!$E$1669+Sens!$F$1669</f>
        <v>5.36288962733561</v>
      </c>
      <c r="H1669" s="38" t="n">
        <f aca="false">Sens!$H$1707</f>
        <v>7.42354172302123</v>
      </c>
      <c r="I1669" s="38" t="n">
        <f aca="false">Sens!$I$1707</f>
        <v>12.7061436188432</v>
      </c>
      <c r="J1669" s="38" t="n">
        <f aca="false">Sens!$J$1707</f>
        <v>16.356454370596</v>
      </c>
      <c r="K1669" s="38" t="n">
        <f aca="false">Sens!$K$1707</f>
        <v>17.089577464536</v>
      </c>
      <c r="L1669" s="38" t="n">
        <f aca="false">Sens!$L$1707</f>
        <v>17.089577464536</v>
      </c>
      <c r="M1669" s="38" t="n">
        <f aca="false">Sens!$M$1707</f>
        <v>17.089577464536</v>
      </c>
      <c r="N1669" s="38" t="n">
        <f aca="false">Q!$N$34</f>
        <v>1.057</v>
      </c>
      <c r="O1669" s="38" t="n">
        <f aca="false">Q!$O$34</f>
        <v>1.217</v>
      </c>
    </row>
    <row r="1670" customFormat="false" ht="15" hidden="false" customHeight="false" outlineLevel="0" collapsed="false">
      <c r="A1670" s="5" t="s">
        <v>752</v>
      </c>
      <c r="B1670" s="0" t="s">
        <v>86</v>
      </c>
      <c r="F1670" s="38" t="n">
        <f aca="false">Sens!$F$1708</f>
        <v>2.59</v>
      </c>
      <c r="H1670" s="38" t="n">
        <f aca="false">Sens!$H$1708</f>
        <v>2.78975328457882</v>
      </c>
      <c r="I1670" s="38" t="n">
        <f aca="false">Sens!$I$1708</f>
        <v>2.10589651022864</v>
      </c>
      <c r="J1670" s="38" t="n">
        <f aca="false">Sens!$J$1708</f>
        <v>2.10589651022864</v>
      </c>
      <c r="K1670" s="38" t="n">
        <f aca="false">Sens!$K$1708</f>
        <v>2.10589651022864</v>
      </c>
      <c r="L1670" s="38" t="n">
        <f aca="false">Sens!$L$1708</f>
        <v>6.56133725265508</v>
      </c>
      <c r="M1670" s="38" t="n">
        <f aca="false">Sens!$M$1708</f>
        <v>14.3044315851209</v>
      </c>
    </row>
    <row r="1671" customFormat="false" ht="17.15" hidden="false" customHeight="false" outlineLevel="0" collapsed="false">
      <c r="A1671" s="5" t="s">
        <v>753</v>
      </c>
      <c r="B1671" s="0" t="s">
        <v>86</v>
      </c>
      <c r="C1671" s="38" t="n">
        <f aca="false">Q!$D$39</f>
        <v>2.427</v>
      </c>
      <c r="D1671" s="38" t="n">
        <f aca="false">Q!$E$39</f>
        <v>19.61</v>
      </c>
      <c r="E1671" s="38" t="n">
        <f aca="false">Q!$P$39</f>
        <v>71.492</v>
      </c>
      <c r="F1671" s="39" t="n">
        <v>0</v>
      </c>
      <c r="G1671" s="38" t="n">
        <f aca="false">Sens!$E$1671+Sens!$F$1671</f>
        <v>71.492</v>
      </c>
      <c r="H1671" s="39" t="n">
        <v>0</v>
      </c>
      <c r="I1671" s="39" t="n">
        <v>0</v>
      </c>
      <c r="J1671" s="39" t="n">
        <v>0</v>
      </c>
      <c r="K1671" s="39" t="n">
        <v>0</v>
      </c>
      <c r="L1671" s="39" t="n">
        <v>0</v>
      </c>
      <c r="M1671" s="39" t="n">
        <v>0</v>
      </c>
      <c r="N1671" s="38" t="n">
        <f aca="false">Q!$N$39</f>
        <v>6.017</v>
      </c>
      <c r="O1671" s="38" t="n">
        <f aca="false">Q!$O$39</f>
        <v>13.593</v>
      </c>
      <c r="P1671" s="5" t="s">
        <v>754</v>
      </c>
    </row>
    <row r="1672" customFormat="false" ht="15" hidden="false" customHeight="false" outlineLevel="0" collapsed="false">
      <c r="A1672" s="5" t="s">
        <v>547</v>
      </c>
      <c r="B1672" s="0" t="s">
        <v>86</v>
      </c>
      <c r="C1672" s="38" t="n">
        <f aca="false">Q!$D$36</f>
        <v>68.614</v>
      </c>
      <c r="D1672" s="38" t="n">
        <f aca="false">Q!$E$36</f>
        <v>97.311</v>
      </c>
      <c r="E1672" s="38" t="n">
        <f aca="false">Q!$P$36</f>
        <v>120.691</v>
      </c>
      <c r="F1672" s="38" t="n">
        <f aca="false">Sens!$F$1648-Sens!$F$1669+Sens!$F$1670+Sens!$F$1671</f>
        <v>56.9405996077762</v>
      </c>
      <c r="G1672" s="38" t="n">
        <f aca="false">Sens!$E$1672+Sens!$F$1672</f>
        <v>177.631599607776</v>
      </c>
      <c r="H1672" s="38" t="n">
        <f aca="false">Sens!$H$1648-Sens!$H$1669+Sens!$H$1670+Sens!$H$1671</f>
        <v>131.026389869544</v>
      </c>
      <c r="I1672" s="38" t="n">
        <f aca="false">Sens!$I$1648-Sens!$I$1669+Sens!$I$1670+Sens!$I$1671</f>
        <v>145.766422939974</v>
      </c>
      <c r="J1672" s="38" t="n">
        <f aca="false">Sens!$J$1648-Sens!$J$1669+Sens!$J$1670+Sens!$J$1671</f>
        <v>161.101149775338</v>
      </c>
      <c r="K1672" s="38" t="n">
        <f aca="false">Sens!$K$1648-Sens!$K$1669+Sens!$K$1670+Sens!$K$1671</f>
        <v>171.383199155644</v>
      </c>
      <c r="L1672" s="38" t="n">
        <f aca="false">Sens!$L$1648-Sens!$L$1669+Sens!$L$1670+Sens!$L$1671</f>
        <v>185.893620445592</v>
      </c>
      <c r="M1672" s="38" t="n">
        <f aca="false">Sens!$M$1648-Sens!$M$1669+Sens!$M$1670+Sens!$M$1671</f>
        <v>202.747105050313</v>
      </c>
      <c r="N1672" s="38" t="n">
        <f aca="false">Q!$N$36</f>
        <v>42.536</v>
      </c>
      <c r="O1672" s="38" t="n">
        <f aca="false">Q!$O$36</f>
        <v>54.775</v>
      </c>
    </row>
    <row r="1673" customFormat="false" ht="15" hidden="false" customHeight="false" outlineLevel="0" collapsed="false">
      <c r="A1673" s="5" t="s">
        <v>548</v>
      </c>
      <c r="B1673" s="0" t="s">
        <v>86</v>
      </c>
      <c r="C1673" s="38" t="n">
        <f aca="false">Q!$D$37</f>
        <v>9.265</v>
      </c>
      <c r="D1673" s="38" t="n">
        <f aca="false">Q!$E$37</f>
        <v>19.087</v>
      </c>
      <c r="E1673" s="38" t="n">
        <f aca="false">Q!$P$37</f>
        <v>27.759</v>
      </c>
      <c r="F1673" s="38" t="n">
        <f aca="false">Sens!$F$1672*tax</f>
        <v>9.8840070284332</v>
      </c>
      <c r="G1673" s="38" t="n">
        <f aca="false">Sens!$E$1673+Sens!$F$1673</f>
        <v>37.6430070284332</v>
      </c>
      <c r="H1673" s="38" t="n">
        <f aca="false">Sens!$H$1672*tax</f>
        <v>22.7441538603668</v>
      </c>
      <c r="I1673" s="38" t="n">
        <f aca="false">Sens!$I$1672*tax</f>
        <v>25.3027955232757</v>
      </c>
      <c r="J1673" s="38" t="n">
        <f aca="false">Sens!$J$1672*tax</f>
        <v>27.964666821855</v>
      </c>
      <c r="K1673" s="38" t="n">
        <f aca="false">Sens!$K$1672*tax</f>
        <v>29.7494714962294</v>
      </c>
      <c r="L1673" s="38" t="n">
        <f aca="false">Sens!$L$1672*tax</f>
        <v>32.2682561069168</v>
      </c>
      <c r="M1673" s="38" t="n">
        <f aca="false">Sens!$M$1672*tax</f>
        <v>35.193760253942</v>
      </c>
      <c r="N1673" s="38" t="n">
        <f aca="false">Q!$N$37</f>
        <v>7.231</v>
      </c>
      <c r="O1673" s="38" t="n">
        <f aca="false">Q!$O$37</f>
        <v>11.856</v>
      </c>
    </row>
    <row r="1674" customFormat="false" ht="15" hidden="false" customHeight="false" outlineLevel="0" collapsed="false">
      <c r="A1674" s="3" t="s">
        <v>549</v>
      </c>
      <c r="B1674" s="8" t="s">
        <v>86</v>
      </c>
      <c r="C1674" s="38" t="n">
        <f aca="false">Q!$D$38</f>
        <v>59.248</v>
      </c>
      <c r="D1674" s="38" t="n">
        <f aca="false">Q!$E$38</f>
        <v>77.67</v>
      </c>
      <c r="E1674" s="38" t="n">
        <f aca="false">Q!$P$38</f>
        <v>92.902</v>
      </c>
      <c r="F1674" s="38" t="n">
        <f aca="false">Sens!$F$1672-Sens!$F$1673</f>
        <v>47.056592579343</v>
      </c>
      <c r="G1674" s="38" t="n">
        <f aca="false">Sens!$E$1674+Sens!$F$1674</f>
        <v>139.958592579343</v>
      </c>
      <c r="H1674" s="38" t="n">
        <f aca="false">Sens!$H$1672-Sens!$H$1673</f>
        <v>108.282236009177</v>
      </c>
      <c r="I1674" s="38" t="n">
        <f aca="false">Sens!$I$1672-Sens!$I$1673</f>
        <v>120.463627416698</v>
      </c>
      <c r="J1674" s="38" t="n">
        <f aca="false">Sens!$J$1672-Sens!$J$1673</f>
        <v>133.136482953483</v>
      </c>
      <c r="K1674" s="38" t="n">
        <f aca="false">Sens!$K$1672-Sens!$K$1673</f>
        <v>141.633727659415</v>
      </c>
      <c r="L1674" s="38" t="n">
        <f aca="false">Sens!$L$1672-Sens!$L$1673</f>
        <v>153.625364338676</v>
      </c>
      <c r="M1674" s="38" t="n">
        <f aca="false">Sens!$M$1672-Sens!$M$1673</f>
        <v>167.553344796371</v>
      </c>
      <c r="N1674" s="38" t="n">
        <f aca="false">Q!$N$38</f>
        <v>35.291</v>
      </c>
      <c r="O1674" s="38" t="n">
        <f aca="false">Q!$O$38</f>
        <v>42.379</v>
      </c>
    </row>
    <row r="1675" customFormat="false" ht="17.15" hidden="false" customHeight="false" outlineLevel="0" collapsed="false">
      <c r="A1675" s="5" t="s">
        <v>552</v>
      </c>
      <c r="B1675" s="5" t="s">
        <v>33</v>
      </c>
      <c r="C1675" s="22" t="n">
        <f aca="false">Q!$D$41</f>
        <v>10.721</v>
      </c>
      <c r="D1675" s="22" t="n">
        <f aca="false">Q!$E$41</f>
        <v>10.827</v>
      </c>
      <c r="E1675" s="22" t="n">
        <f aca="false">(Q!$L$41+Q!$M$41)/2</f>
        <v>10.8885</v>
      </c>
      <c r="F1675" s="22" t="n">
        <f aca="false">Sens!$G$1675</f>
        <v>10.924806</v>
      </c>
      <c r="G1675" s="22" t="n">
        <f aca="false">Q!$M$41*(1+sh_g*0.25)</f>
        <v>10.924806</v>
      </c>
      <c r="H1675" s="22" t="n">
        <f aca="false">Sens!$G$1675*(1+sh_g)</f>
        <v>11.012204448</v>
      </c>
      <c r="I1675" s="22" t="n">
        <f aca="false">Sens!$H$1675*(1+sh_g)</f>
        <v>11.100302083584</v>
      </c>
      <c r="J1675" s="22" t="n">
        <f aca="false">Sens!$I$1675*(1+sh_g)</f>
        <v>11.1891045002527</v>
      </c>
      <c r="K1675" s="22" t="n">
        <f aca="false">Sens!$J$1675*(1+sh_g)</f>
        <v>11.2786173362547</v>
      </c>
      <c r="L1675" s="22" t="n">
        <f aca="false">Sens!$K$1675*(1+sh_g)</f>
        <v>11.3688462749447</v>
      </c>
      <c r="M1675" s="22" t="n">
        <f aca="false">Sens!$L$1675*(1+sh_g)</f>
        <v>11.4597970451443</v>
      </c>
      <c r="P1675" s="5" t="s">
        <v>755</v>
      </c>
    </row>
    <row r="1676" customFormat="false" ht="17.15" hidden="false" customHeight="false" outlineLevel="0" collapsed="false">
      <c r="A1676" s="5" t="s">
        <v>756</v>
      </c>
      <c r="B1676" s="0" t="s">
        <v>86</v>
      </c>
      <c r="C1676" s="38" t="n">
        <f aca="false">Sens!$C$1674+Sens!$C$1650*(1-tax)</f>
        <v>59.248</v>
      </c>
      <c r="D1676" s="38" t="n">
        <f aca="false">Sens!$D$1674+Sens!$D$1650*(1-tax)</f>
        <v>77.67</v>
      </c>
      <c r="E1676" s="38" t="n">
        <f aca="false">Sens!$E$1674+Sens!$E$1650*(1-tax)</f>
        <v>92.902</v>
      </c>
      <c r="F1676" s="38" t="n">
        <f aca="false">Sens!$F$1674+Sens!$F$1650*(1-tax)</f>
        <v>50.4286305184038</v>
      </c>
      <c r="G1676" s="38" t="n">
        <f aca="false">Sens!$G$1674+Sens!$G$1650*(1-tax)</f>
        <v>143.330630518404</v>
      </c>
      <c r="H1676" s="38" t="n">
        <f aca="false">Sens!$H$1674+Sens!$H$1650*(1-tax)</f>
        <v>122.899069432358</v>
      </c>
      <c r="I1676" s="38" t="n">
        <f aca="false">Sens!$I$1674+Sens!$I$1650*(1-tax)</f>
        <v>145.842797239372</v>
      </c>
      <c r="J1676" s="38" t="n">
        <f aca="false">Sens!$J$1674+Sens!$J$1650*(1-tax)</f>
        <v>169.325867612837</v>
      </c>
      <c r="K1676" s="38" t="n">
        <f aca="false">Sens!$K$1674+Sens!$K$1650*(1-tax)</f>
        <v>187.039169625426</v>
      </c>
      <c r="L1676" s="38" t="n">
        <f aca="false">Sens!$L$1674+Sens!$L$1650*(1-tax)</f>
        <v>205.073084698413</v>
      </c>
      <c r="M1676" s="38" t="n">
        <f aca="false">Sens!$M$1674+Sens!$M$1650*(1-tax)</f>
        <v>221.861752444826</v>
      </c>
      <c r="N1676" s="38" t="n">
        <f aca="false">Sens!$N$1674+Sens!$N$1650*(1-tax)</f>
        <v>35.291</v>
      </c>
      <c r="O1676" s="38" t="n">
        <f aca="false">Sens!$O$1674+Sens!$O$1650*(1-tax)</f>
        <v>42.379</v>
      </c>
    </row>
    <row r="1677" customFormat="false" ht="17.15" hidden="false" customHeight="false" outlineLevel="0" collapsed="false">
      <c r="A1677" s="43" t="s">
        <v>757</v>
      </c>
      <c r="B1677" s="14" t="s">
        <v>27</v>
      </c>
      <c r="C1677" s="44" t="n">
        <f aca="false">Sens!$C$1676/Sens!$C$1675</f>
        <v>5.52635015390355</v>
      </c>
      <c r="D1677" s="44" t="n">
        <f aca="false">Sens!$D$1676/Sens!$D$1675</f>
        <v>7.1737323358271</v>
      </c>
      <c r="E1677" s="44" t="n">
        <f aca="false">Sens!$E$1676/Sens!$E$1675</f>
        <v>8.53212104513937</v>
      </c>
      <c r="F1677" s="14"/>
      <c r="G1677" s="44" t="n">
        <f aca="false">Sens!$G$1676/Sens!$G$1675</f>
        <v>13.1197414872542</v>
      </c>
      <c r="H1677" s="44" t="n">
        <f aca="false">Sens!$H$1676/Sens!$H$1675</f>
        <v>11.1602604194911</v>
      </c>
      <c r="I1677" s="44" t="n">
        <f aca="false">Sens!$I$1676/Sens!$I$1675</f>
        <v>13.1386331778354</v>
      </c>
      <c r="J1677" s="44" t="n">
        <f aca="false">Sens!$J$1676/Sens!$J$1675</f>
        <v>15.1331027079972</v>
      </c>
      <c r="K1677" s="44" t="n">
        <f aca="false">Sens!$K$1676/Sens!$K$1675</f>
        <v>16.5835194199023</v>
      </c>
      <c r="L1677" s="44" t="n">
        <f aca="false">Sens!$L$1676/Sens!$L$1675</f>
        <v>18.0381614579804</v>
      </c>
      <c r="M1677" s="44" t="n">
        <f aca="false">Sens!$M$1676/Sens!$M$1675</f>
        <v>19.3600071249806</v>
      </c>
      <c r="N1677" s="14"/>
      <c r="O1677" s="14"/>
    </row>
    <row r="1678" customFormat="false" ht="17.15" hidden="false" customHeight="false" outlineLevel="0" collapsed="false">
      <c r="A1678" s="0" t="s">
        <v>758</v>
      </c>
      <c r="B1678" s="0" t="s">
        <v>27</v>
      </c>
      <c r="C1678" s="30" t="n">
        <f aca="false">Sens!$C$1674/Sens!$C$1675</f>
        <v>5.52635015390355</v>
      </c>
      <c r="D1678" s="30" t="n">
        <f aca="false">Sens!$D$1674/Sens!$D$1675</f>
        <v>7.1737323358271</v>
      </c>
      <c r="E1678" s="30" t="n">
        <f aca="false">Sens!$E$1674/Sens!$E$1675</f>
        <v>8.53212104513937</v>
      </c>
      <c r="G1678" s="30" t="n">
        <f aca="false">Sens!$G$1674/Sens!$G$1675</f>
        <v>12.8110826479979</v>
      </c>
      <c r="H1678" s="30" t="n">
        <f aca="false">Sens!$H$1674/Sens!$H$1675</f>
        <v>9.83293004779285</v>
      </c>
      <c r="I1678" s="30" t="n">
        <f aca="false">Sens!$I$1674/Sens!$I$1675</f>
        <v>10.8522837044993</v>
      </c>
      <c r="J1678" s="30" t="n">
        <f aca="false">Sens!$J$1674/Sens!$J$1675</f>
        <v>11.8987612413912</v>
      </c>
      <c r="K1678" s="30" t="n">
        <f aca="false">Sens!$K$1674/Sens!$K$1675</f>
        <v>12.5577208124739</v>
      </c>
      <c r="L1678" s="30" t="n">
        <f aca="false">Sens!$L$1674/Sens!$L$1675</f>
        <v>13.5128368018524</v>
      </c>
      <c r="M1678" s="30" t="n">
        <f aca="false">Sens!$M$1674/Sens!$M$1675</f>
        <v>14.6209696503627</v>
      </c>
    </row>
    <row r="1679" customFormat="false" ht="17.15" hidden="false" customHeight="false" outlineLevel="0" collapsed="false">
      <c r="A1679" s="0" t="s">
        <v>759</v>
      </c>
      <c r="B1679" s="0" t="s">
        <v>27</v>
      </c>
      <c r="C1679" s="30" t="n">
        <f aca="false">(Sens!$C$1674-Sens!$C$1671*(1-tax))/Sens!$C$1675</f>
        <v>5.33926775917445</v>
      </c>
      <c r="D1679" s="30" t="n">
        <f aca="false">(Sens!$D$1674-Sens!$D$1671*(1-tax))/Sens!$D$1675</f>
        <v>5.67691812755503</v>
      </c>
      <c r="E1679" s="30" t="n">
        <f aca="false">(Sens!$E$1674-Sens!$E$1671*(1-tax))/Sens!$E$1675</f>
        <v>3.10602057006846</v>
      </c>
      <c r="G1679" s="30" t="n">
        <f aca="false">(Sens!$G$1674-Sens!$G$1671*(1-tax))/Sens!$G$1675</f>
        <v>7.40301453010089</v>
      </c>
      <c r="H1679" s="30" t="n">
        <f aca="false">(Sens!$H$1674-Sens!$H$1671*(1-tax))/Sens!$H$1675</f>
        <v>9.83293004779285</v>
      </c>
      <c r="I1679" s="30" t="n">
        <f aca="false">(Sens!$I$1674-Sens!$I$1671*(1-tax))/Sens!$I$1675</f>
        <v>10.8522837044993</v>
      </c>
      <c r="J1679" s="30" t="n">
        <f aca="false">(Sens!$J$1674-Sens!$J$1671*(1-tax))/Sens!$J$1675</f>
        <v>11.8987612413912</v>
      </c>
      <c r="K1679" s="30" t="n">
        <f aca="false">(Sens!$K$1674-Sens!$K$1671*(1-tax))/Sens!$K$1675</f>
        <v>12.5577208124739</v>
      </c>
      <c r="L1679" s="30" t="n">
        <f aca="false">(Sens!$L$1674-Sens!$L$1671*(1-tax))/Sens!$L$1675</f>
        <v>13.5128368018524</v>
      </c>
      <c r="M1679" s="30" t="n">
        <f aca="false">(Sens!$M$1674-Sens!$M$1671*(1-tax))/Sens!$M$1675</f>
        <v>14.6209696503627</v>
      </c>
      <c r="P1679" s="5" t="s">
        <v>760</v>
      </c>
    </row>
    <row r="1680" customFormat="false" ht="17.15" hidden="false" customHeight="false" outlineLevel="0" collapsed="false">
      <c r="A1680" s="0" t="s">
        <v>761</v>
      </c>
      <c r="B1680" s="0" t="s">
        <v>52</v>
      </c>
      <c r="H1680" s="13" t="n">
        <f aca="false">Sens!$H$1677/Sens!$G$1677-1</f>
        <v>-0.149353633961976</v>
      </c>
      <c r="I1680" s="13" t="n">
        <f aca="false">Sens!$I$1677/Sens!$H$1677-1</f>
        <v>0.177269408058718</v>
      </c>
      <c r="J1680" s="13" t="n">
        <f aca="false">Sens!$J$1677/Sens!$I$1677-1</f>
        <v>0.151801903833222</v>
      </c>
      <c r="K1680" s="13" t="n">
        <f aca="false">Sens!$K$1677/Sens!$J$1677-1</f>
        <v>0.0958439746225088</v>
      </c>
      <c r="L1680" s="13" t="n">
        <f aca="false">Sens!$L$1677/Sens!$K$1677-1</f>
        <v>0.0877161235348158</v>
      </c>
      <c r="M1680" s="13" t="n">
        <f aca="false">Sens!$M$1677/Sens!$L$1677-1</f>
        <v>0.0732805097725406</v>
      </c>
    </row>
    <row r="1683" customFormat="false" ht="19.4" hidden="false" customHeight="false" outlineLevel="0" collapsed="false">
      <c r="A1683" s="31" t="s">
        <v>1168</v>
      </c>
    </row>
    <row r="1684" customFormat="false" ht="17.15" hidden="false" customHeight="false" outlineLevel="0" collapsed="false">
      <c r="A1684" s="6" t="s">
        <v>16</v>
      </c>
      <c r="B1684" s="6" t="s">
        <v>17</v>
      </c>
      <c r="C1684" s="20" t="s">
        <v>497</v>
      </c>
      <c r="D1684" s="20" t="s">
        <v>498</v>
      </c>
      <c r="E1684" s="20" t="s">
        <v>580</v>
      </c>
      <c r="F1684" s="20" t="s">
        <v>581</v>
      </c>
      <c r="G1684" s="20" t="s">
        <v>582</v>
      </c>
      <c r="H1684" s="20" t="s">
        <v>583</v>
      </c>
      <c r="I1684" s="20" t="s">
        <v>584</v>
      </c>
      <c r="J1684" s="20" t="s">
        <v>585</v>
      </c>
      <c r="K1684" s="20" t="s">
        <v>586</v>
      </c>
      <c r="L1684" s="20" t="s">
        <v>587</v>
      </c>
      <c r="M1684" s="20" t="s">
        <v>588</v>
      </c>
      <c r="N1684" s="20" t="s">
        <v>589</v>
      </c>
      <c r="O1684" s="20" t="s">
        <v>590</v>
      </c>
      <c r="P1684" s="6" t="s">
        <v>23</v>
      </c>
      <c r="R1684" s="20" t="n">
        <v>2023</v>
      </c>
      <c r="S1684" s="20" t="n">
        <v>2024</v>
      </c>
      <c r="T1684" s="20" t="n">
        <v>2025</v>
      </c>
      <c r="U1684" s="20" t="n">
        <v>2026</v>
      </c>
      <c r="V1684" s="20" t="n">
        <v>2027</v>
      </c>
      <c r="W1684" s="20" t="n">
        <v>2028</v>
      </c>
      <c r="X1684" s="20" t="n">
        <v>2029</v>
      </c>
      <c r="Y1684" s="20" t="n">
        <v>2030</v>
      </c>
      <c r="Z1684" s="20" t="n">
        <v>2031</v>
      </c>
      <c r="AA1684" s="20" t="n">
        <v>2032</v>
      </c>
    </row>
    <row r="1685" customFormat="false" ht="15" hidden="false" customHeight="false" outlineLevel="0" collapsed="false">
      <c r="A1685" s="5" t="s">
        <v>549</v>
      </c>
      <c r="B1685" s="0" t="s">
        <v>86</v>
      </c>
      <c r="C1685" s="38" t="n">
        <f aca="false">Sens!$C$1674</f>
        <v>59.248</v>
      </c>
      <c r="D1685" s="38" t="n">
        <f aca="false">Sens!$D$1674</f>
        <v>77.67</v>
      </c>
      <c r="E1685" s="38" t="n">
        <f aca="false">Sens!$E$1674</f>
        <v>92.902</v>
      </c>
      <c r="F1685" s="38" t="n">
        <f aca="false">Sens!$F$1674</f>
        <v>47.056592579343</v>
      </c>
      <c r="G1685" s="38" t="n">
        <f aca="false">Sens!$G$1674</f>
        <v>139.958592579343</v>
      </c>
      <c r="H1685" s="38" t="n">
        <f aca="false">Sens!$H$1674</f>
        <v>108.282236009177</v>
      </c>
      <c r="I1685" s="38" t="n">
        <f aca="false">Sens!$I$1674</f>
        <v>120.463627416698</v>
      </c>
      <c r="J1685" s="38" t="n">
        <f aca="false">Sens!$J$1674</f>
        <v>133.136482953483</v>
      </c>
      <c r="K1685" s="38" t="n">
        <f aca="false">Sens!$K$1674</f>
        <v>141.633727659415</v>
      </c>
      <c r="L1685" s="38" t="n">
        <f aca="false">Sens!$L$1674</f>
        <v>153.625364338676</v>
      </c>
      <c r="M1685" s="38" t="n">
        <f aca="false">Sens!$M$1674</f>
        <v>167.553344796371</v>
      </c>
    </row>
    <row r="1686" customFormat="false" ht="17.15" hidden="false" customHeight="false" outlineLevel="0" collapsed="false">
      <c r="A1686" s="5" t="s">
        <v>784</v>
      </c>
      <c r="B1686" s="0" t="s">
        <v>86</v>
      </c>
      <c r="C1686" s="38" t="n">
        <f aca="false">Sens!$C$1662</f>
        <v>32.067</v>
      </c>
      <c r="D1686" s="38" t="n">
        <f aca="false">Sens!$D$1662</f>
        <v>41.86</v>
      </c>
      <c r="E1686" s="38" t="n">
        <f aca="false">Sens!$E$1662</f>
        <v>26.703</v>
      </c>
      <c r="F1686" s="38" t="n">
        <f aca="false">Sens!$F$1662</f>
        <v>28.2071421626285</v>
      </c>
      <c r="G1686" s="38" t="n">
        <f aca="false">Sens!$G$1662</f>
        <v>54.9101421626285</v>
      </c>
      <c r="H1686" s="38" t="n">
        <f aca="false">Sens!$H$1662</f>
        <v>81.5187656927663</v>
      </c>
      <c r="I1686" s="38" t="n">
        <f aca="false">Sens!$I$1662</f>
        <v>121.440733257895</v>
      </c>
      <c r="J1686" s="38" t="n">
        <f aca="false">Sens!$J$1662</f>
        <v>162.337924891586</v>
      </c>
      <c r="K1686" s="38" t="n">
        <f aca="false">Sens!$K$1662</f>
        <v>203.443849075718</v>
      </c>
      <c r="L1686" s="38" t="n">
        <f aca="false">Sens!$L$1662</f>
        <v>234.019479529299</v>
      </c>
      <c r="M1686" s="38" t="n">
        <f aca="false">Sens!$M$1662</f>
        <v>255.706229251755</v>
      </c>
    </row>
    <row r="1687" customFormat="false" ht="15" hidden="false" customHeight="false" outlineLevel="0" collapsed="false">
      <c r="A1687" s="5" t="s">
        <v>785</v>
      </c>
      <c r="B1687" s="0" t="s">
        <v>86</v>
      </c>
      <c r="C1687" s="38" t="n">
        <f aca="false">Q!$D$48</f>
        <v>22.011</v>
      </c>
      <c r="D1687" s="38" t="n">
        <f aca="false">Q!$E$48</f>
        <v>19.467</v>
      </c>
      <c r="E1687" s="38" t="n">
        <f aca="false">Q!$P$48</f>
        <v>10.07</v>
      </c>
      <c r="F1687" s="38" t="n">
        <f aca="false">sbc_r*Sens!$F$1604</f>
        <v>10.8812411516979</v>
      </c>
      <c r="G1687" s="38" t="n">
        <f aca="false">Sens!$E$1687+Sens!$F$1687</f>
        <v>20.9512411516979</v>
      </c>
      <c r="H1687" s="38" t="n">
        <f aca="false">sbc_r*Sens!$H$1604</f>
        <v>23.7115525180189</v>
      </c>
      <c r="I1687" s="38" t="n">
        <f aca="false">sbc_r*Sens!$I$1604</f>
        <v>27.1192266673699</v>
      </c>
      <c r="J1687" s="38" t="n">
        <f aca="false">sbc_r*Sens!$J$1604</f>
        <v>30.3931779487486</v>
      </c>
      <c r="K1687" s="38" t="n">
        <f aca="false">sbc_r*Sens!$K$1604</f>
        <v>33.2560745603638</v>
      </c>
      <c r="L1687" s="38" t="n">
        <f aca="false">sbc_r*Sens!$L$1604</f>
        <v>35.866579930909</v>
      </c>
      <c r="M1687" s="38" t="n">
        <f aca="false">sbc_r*Sens!$M$1604</f>
        <v>38.233465590268</v>
      </c>
    </row>
    <row r="1688" customFormat="false" ht="17.15" hidden="false" customHeight="false" outlineLevel="0" collapsed="false">
      <c r="A1688" s="5" t="s">
        <v>786</v>
      </c>
      <c r="B1688" s="0" t="s">
        <v>86</v>
      </c>
      <c r="C1688" s="38" t="n">
        <f aca="false">Q!$D$44-Sens!$C$1685-Sens!$C$1686-Sens!$C$1687</f>
        <v>2.551</v>
      </c>
      <c r="D1688" s="38" t="n">
        <f aca="false">Q!$E$44-Sens!$D$1685-Sens!$D$1686-Sens!$D$1687</f>
        <v>0.51700000000001</v>
      </c>
      <c r="E1688" s="38" t="n">
        <f aca="false">Q!$P$44-Sens!$E$1685-Sens!$E$1686-Sens!$E$1687</f>
        <v>-58.256</v>
      </c>
      <c r="F1688" s="38" t="n">
        <f aca="false">oth_r*Sens!$F$1604</f>
        <v>5.23735083156354</v>
      </c>
      <c r="G1688" s="38" t="n">
        <f aca="false">Sens!$E$1688+Sens!$F$1688</f>
        <v>-53.0186491684365</v>
      </c>
      <c r="H1688" s="38" t="n">
        <f aca="false">oth_r*Sens!$H$1604</f>
        <v>11.4128266772703</v>
      </c>
      <c r="I1688" s="38" t="n">
        <f aca="false">oth_r*Sens!$I$1604</f>
        <v>13.0530058435059</v>
      </c>
      <c r="J1688" s="38" t="n">
        <f aca="false">oth_r*Sens!$J$1604</f>
        <v>14.6288216192046</v>
      </c>
      <c r="K1688" s="38" t="n">
        <f aca="false">oth_r*Sens!$K$1604</f>
        <v>16.0067888694924</v>
      </c>
      <c r="L1688" s="38" t="n">
        <f aca="false">oth_r*Sens!$L$1604</f>
        <v>17.2632753568903</v>
      </c>
      <c r="M1688" s="38" t="n">
        <f aca="false">oth_r*Sens!$M$1604</f>
        <v>18.4025029875843</v>
      </c>
      <c r="P1688" s="8" t="s">
        <v>787</v>
      </c>
    </row>
    <row r="1689" customFormat="false" ht="15" hidden="false" customHeight="false" outlineLevel="0" collapsed="false">
      <c r="A1689" s="3" t="s">
        <v>555</v>
      </c>
      <c r="B1689" s="8" t="s">
        <v>86</v>
      </c>
      <c r="C1689" s="38" t="n">
        <f aca="false">Q!$D$44</f>
        <v>115.877</v>
      </c>
      <c r="D1689" s="38" t="n">
        <f aca="false">Q!$E$44</f>
        <v>139.514</v>
      </c>
      <c r="E1689" s="38" t="n">
        <f aca="false">Q!$P$44</f>
        <v>71.419</v>
      </c>
      <c r="F1689" s="38" t="n">
        <f aca="false">Sens!$F$1685+Sens!$F$1686+Sens!$F$1687+Sens!$F$1688</f>
        <v>91.3823267252329</v>
      </c>
      <c r="G1689" s="38" t="n">
        <f aca="false">Sens!$E$1689+Sens!$F$1689</f>
        <v>162.801326725233</v>
      </c>
      <c r="H1689" s="38" t="n">
        <f aca="false">Sens!$H$1685+Sens!$H$1686+Sens!$H$1687+Sens!$H$1688</f>
        <v>224.925380897233</v>
      </c>
      <c r="I1689" s="38" t="n">
        <f aca="false">Sens!$I$1685+Sens!$I$1686+Sens!$I$1687+Sens!$I$1688</f>
        <v>282.076593185469</v>
      </c>
      <c r="J1689" s="38" t="n">
        <f aca="false">Sens!$J$1685+Sens!$J$1686+Sens!$J$1687+Sens!$J$1688</f>
        <v>340.496407413022</v>
      </c>
      <c r="K1689" s="38" t="n">
        <f aca="false">Sens!$K$1685+Sens!$K$1686+Sens!$K$1687+Sens!$K$1688</f>
        <v>394.340440164989</v>
      </c>
      <c r="L1689" s="38" t="n">
        <f aca="false">Sens!$L$1685+Sens!$L$1686+Sens!$L$1687+Sens!$L$1688</f>
        <v>440.774699155774</v>
      </c>
      <c r="M1689" s="38" t="n">
        <f aca="false">Sens!$M$1685+Sens!$M$1686+Sens!$M$1687+Sens!$M$1688</f>
        <v>479.895542625979</v>
      </c>
    </row>
    <row r="1690" customFormat="false" ht="17.15" hidden="false" customHeight="false" outlineLevel="0" collapsed="false">
      <c r="A1690" s="5" t="s">
        <v>788</v>
      </c>
      <c r="B1690" s="0" t="s">
        <v>86</v>
      </c>
      <c r="C1690" s="38" t="n">
        <f aca="false">Sens!$C$1571</f>
        <v>25.2781053077374</v>
      </c>
      <c r="D1690" s="38" t="n">
        <f aca="false">Sens!$D$1571</f>
        <v>69.5686316310026</v>
      </c>
      <c r="E1690" s="38" t="n">
        <f aca="false">Sens!$E$1571</f>
        <v>64.1899206485108</v>
      </c>
      <c r="F1690" s="38" t="n">
        <f aca="false">Sens!$F$1571</f>
        <v>120.310162486875</v>
      </c>
      <c r="G1690" s="38" t="n">
        <f aca="false">Sens!$G$1571</f>
        <v>184.500083135386</v>
      </c>
      <c r="H1690" s="38" t="n">
        <f aca="false">Sens!$H$1571</f>
        <v>248.214206180938</v>
      </c>
      <c r="I1690" s="38" t="n">
        <f aca="false">Sens!$I$1571</f>
        <v>255.808087388125</v>
      </c>
      <c r="J1690" s="38" t="n">
        <f aca="false">Sens!$J$1571</f>
        <v>261.044855588125</v>
      </c>
      <c r="K1690" s="38" t="n">
        <f aca="false">Sens!$K$1571</f>
        <v>191.136786872001</v>
      </c>
      <c r="L1690" s="38" t="n">
        <f aca="false">Sens!$L$1571</f>
        <v>152.649327355877</v>
      </c>
      <c r="M1690" s="38" t="n">
        <f aca="false">Sens!$M$1571</f>
        <v>157.427937608816</v>
      </c>
    </row>
    <row r="1691" customFormat="false" ht="17.15" hidden="false" customHeight="false" outlineLevel="0" collapsed="false">
      <c r="A1691" s="5" t="s">
        <v>789</v>
      </c>
      <c r="B1691" s="0" t="s">
        <v>86</v>
      </c>
      <c r="C1691" s="38" t="n">
        <f aca="false">cx_awso*Sens!$C$1602</f>
        <v>21.0469989286053</v>
      </c>
      <c r="D1691" s="38" t="n">
        <f aca="false">cx_awso*Sens!$D$1602</f>
        <v>24.0042459822698</v>
      </c>
      <c r="E1691" s="38" t="n">
        <f aca="false">cx_awso*Sens!$E$1602</f>
        <v>14.261729404886</v>
      </c>
      <c r="F1691" s="38" t="n">
        <f aca="false">cx_awso*Sens!$F$1602</f>
        <v>14.3538599588493</v>
      </c>
      <c r="G1691" s="38" t="n">
        <f aca="false">Sens!$E$1691+Sens!$F$1691</f>
        <v>28.6155893637353</v>
      </c>
      <c r="H1691" s="38" t="n">
        <f aca="false">cx_awso*Sens!$H$1602</f>
        <v>32.2034154158406</v>
      </c>
      <c r="I1691" s="38" t="n">
        <f aca="false">cx_awso*Sens!$I$1602</f>
        <v>35.7539519042915</v>
      </c>
      <c r="J1691" s="38" t="n">
        <f aca="false">cx_awso*Sens!$J$1602</f>
        <v>39.1551076091815</v>
      </c>
      <c r="K1691" s="38" t="n">
        <f aca="false">cx_awso*Sens!$K$1602</f>
        <v>42.287516217916</v>
      </c>
      <c r="L1691" s="38" t="n">
        <f aca="false">cx_awso*Sens!$L$1602</f>
        <v>45.6705175153492</v>
      </c>
      <c r="M1691" s="38" t="n">
        <f aca="false">cx_awso*Sens!$M$1602</f>
        <v>49.3241589165772</v>
      </c>
    </row>
    <row r="1692" customFormat="false" ht="17.15" hidden="false" customHeight="false" outlineLevel="0" collapsed="false">
      <c r="A1692" s="5" t="s">
        <v>790</v>
      </c>
      <c r="B1692" s="0" t="s">
        <v>86</v>
      </c>
      <c r="C1692" s="38" t="n">
        <f aca="false">Q!$D$46-Sens!$C$1690-Sens!$C$1691</f>
        <v>31.3328957636573</v>
      </c>
      <c r="D1692" s="38" t="n">
        <f aca="false">Q!$E$46-Sens!$D$1690-Sens!$D$1691</f>
        <v>34.7471223867276</v>
      </c>
      <c r="E1692" s="38" t="n">
        <f aca="false">Q!$P$46-Sens!$E$1690-Sens!$E$1691</f>
        <v>17.8583499466032</v>
      </c>
      <c r="F1692" s="38" t="n">
        <f aca="false">cx_rt*Sens!$F$1534</f>
        <v>20.6195895799373</v>
      </c>
      <c r="G1692" s="38" t="n">
        <f aca="false">Sens!$E$1692+Sens!$F$1692</f>
        <v>38.4779395265405</v>
      </c>
      <c r="H1692" s="38" t="n">
        <f aca="false">cx_rt*Sens!$H$1534</f>
        <v>42.5978994743075</v>
      </c>
      <c r="I1692" s="38" t="n">
        <f aca="false">cx_rt*Sens!$I$1534</f>
        <v>46.5813904136335</v>
      </c>
      <c r="J1692" s="38" t="n">
        <f aca="false">cx_rt*Sens!$J$1534</f>
        <v>50.2781676586844</v>
      </c>
      <c r="K1692" s="38" t="n">
        <f aca="false">cx_rt*Sens!$K$1534</f>
        <v>53.5312440191755</v>
      </c>
      <c r="L1692" s="38" t="n">
        <f aca="false">cx_rt*Sens!$L$1534</f>
        <v>57.0116717051447</v>
      </c>
      <c r="M1692" s="38" t="n">
        <f aca="false">cx_rt*Sens!$M$1534</f>
        <v>60.7365554669226</v>
      </c>
    </row>
    <row r="1693" customFormat="false" ht="15" hidden="false" customHeight="false" outlineLevel="0" collapsed="false">
      <c r="A1693" s="3" t="s">
        <v>791</v>
      </c>
      <c r="B1693" s="8" t="s">
        <v>86</v>
      </c>
      <c r="C1693" s="38" t="n">
        <f aca="false">Q!$D$46</f>
        <v>77.658</v>
      </c>
      <c r="D1693" s="38" t="n">
        <f aca="false">Q!$E$46</f>
        <v>128.32</v>
      </c>
      <c r="E1693" s="38" t="n">
        <f aca="false">Q!$P$46</f>
        <v>96.31</v>
      </c>
      <c r="F1693" s="38" t="n">
        <f aca="false">Sens!$F$1690+Sens!$F$1691+Sens!$F$1692</f>
        <v>155.283612025662</v>
      </c>
      <c r="G1693" s="38" t="n">
        <f aca="false">Sens!$E$1693+Sens!$F$1693</f>
        <v>251.593612025662</v>
      </c>
      <c r="H1693" s="38" t="n">
        <f aca="false">Sens!$H$1690+Sens!$H$1691+Sens!$H$1692</f>
        <v>323.015521071086</v>
      </c>
      <c r="I1693" s="38" t="n">
        <f aca="false">Sens!$I$1690+Sens!$I$1691+Sens!$I$1692</f>
        <v>338.14342970605</v>
      </c>
      <c r="J1693" s="38" t="n">
        <f aca="false">Sens!$J$1690+Sens!$J$1691+Sens!$J$1692</f>
        <v>350.478130855991</v>
      </c>
      <c r="K1693" s="38" t="n">
        <f aca="false">Sens!$K$1690+Sens!$K$1691+Sens!$K$1692</f>
        <v>286.955547109092</v>
      </c>
      <c r="L1693" s="38" t="n">
        <f aca="false">Sens!$L$1690+Sens!$L$1691+Sens!$L$1692</f>
        <v>255.331516576371</v>
      </c>
      <c r="M1693" s="38" t="n">
        <f aca="false">Sens!$M$1690+Sens!$M$1691+Sens!$M$1692</f>
        <v>267.488651992315</v>
      </c>
    </row>
    <row r="1694" customFormat="false" ht="17.15" hidden="false" customHeight="false" outlineLevel="0" collapsed="false">
      <c r="A1694" s="5" t="s">
        <v>563</v>
      </c>
      <c r="B1694" s="0" t="s">
        <v>86</v>
      </c>
      <c r="C1694" s="38" t="n">
        <f aca="false">Q!$D$50</f>
        <v>2.043</v>
      </c>
      <c r="D1694" s="38" t="n">
        <f aca="false">Q!$E$50</f>
        <v>1.557</v>
      </c>
      <c r="E1694" s="38" t="n">
        <f aca="false">lease_pr/2</f>
        <v>0.8</v>
      </c>
      <c r="F1694" s="38" t="n">
        <f aca="false">lease_pr/2</f>
        <v>0.8</v>
      </c>
      <c r="G1694" s="38" t="n">
        <f aca="false">Sens!$E$1694+Sens!$F$1694</f>
        <v>1.6</v>
      </c>
      <c r="H1694" s="38" t="n">
        <f aca="false">lease_pr</f>
        <v>1.6</v>
      </c>
      <c r="I1694" s="38" t="n">
        <f aca="false">lease_pr</f>
        <v>1.6</v>
      </c>
      <c r="J1694" s="38" t="n">
        <f aca="false">lease_pr</f>
        <v>1.6</v>
      </c>
      <c r="K1694" s="38" t="n">
        <f aca="false">lease_pr</f>
        <v>1.6</v>
      </c>
      <c r="L1694" s="38" t="n">
        <f aca="false">lease_pr</f>
        <v>1.6</v>
      </c>
      <c r="M1694" s="38" t="n">
        <f aca="false">lease_pr</f>
        <v>1.6</v>
      </c>
      <c r="P1694" s="8" t="s">
        <v>792</v>
      </c>
    </row>
    <row r="1695" customFormat="false" ht="15" hidden="false" customHeight="false" outlineLevel="0" collapsed="false">
      <c r="A1695" s="47" t="s">
        <v>793</v>
      </c>
      <c r="B1695" s="14" t="s">
        <v>86</v>
      </c>
      <c r="C1695" s="48" t="n">
        <f aca="false">Sens!$C$1689-Sens!$C$1693-Sens!$C$1694</f>
        <v>36.176</v>
      </c>
      <c r="D1695" s="48" t="n">
        <f aca="false">Sens!$D$1689-Sens!$D$1693-Sens!$D$1694</f>
        <v>9.63700000000002</v>
      </c>
      <c r="E1695" s="48" t="n">
        <f aca="false">Sens!$E$1689-Sens!$E$1693-Sens!$E$1694</f>
        <v>-25.691</v>
      </c>
      <c r="F1695" s="48" t="n">
        <f aca="false">Sens!$F$1689-Sens!$F$1693-Sens!$F$1694</f>
        <v>-64.7012853004286</v>
      </c>
      <c r="G1695" s="48" t="n">
        <f aca="false">Sens!$G$1689-Sens!$G$1693-Sens!$G$1694</f>
        <v>-90.3922853004287</v>
      </c>
      <c r="H1695" s="48" t="n">
        <f aca="false">Sens!$H$1689-Sens!$H$1693-Sens!$H$1694</f>
        <v>-99.6901401738528</v>
      </c>
      <c r="I1695" s="48" t="n">
        <f aca="false">Sens!$I$1689-Sens!$I$1693-Sens!$I$1694</f>
        <v>-57.666836520581</v>
      </c>
      <c r="J1695" s="48" t="n">
        <f aca="false">Sens!$J$1689-Sens!$J$1693-Sens!$J$1694</f>
        <v>-11.5817234429692</v>
      </c>
      <c r="K1695" s="48" t="n">
        <f aca="false">Sens!$K$1689-Sens!$K$1693-Sens!$K$1694</f>
        <v>105.784893055896</v>
      </c>
      <c r="L1695" s="48" t="n">
        <f aca="false">Sens!$L$1689-Sens!$L$1693-Sens!$L$1694</f>
        <v>183.843182579403</v>
      </c>
      <c r="M1695" s="48" t="n">
        <f aca="false">Sens!$M$1689-Sens!$M$1693-Sens!$M$1694</f>
        <v>210.806890633663</v>
      </c>
      <c r="N1695" s="14"/>
      <c r="O1695" s="14"/>
    </row>
    <row r="1696" customFormat="false" ht="17.15" hidden="false" customHeight="false" outlineLevel="0" collapsed="false">
      <c r="A1696" s="5" t="s">
        <v>794</v>
      </c>
      <c r="B1696" s="0" t="s">
        <v>86</v>
      </c>
      <c r="C1696" s="38" t="n">
        <f aca="false">dps*Sens!$C$1675</f>
        <v>0</v>
      </c>
      <c r="D1696" s="38" t="n">
        <f aca="false">dps*Sens!$D$1675</f>
        <v>0</v>
      </c>
      <c r="E1696" s="38" t="n">
        <f aca="false">dps*Sens!$E$1675</f>
        <v>0</v>
      </c>
      <c r="F1696" s="38" t="n">
        <f aca="false">0</f>
        <v>0</v>
      </c>
      <c r="G1696" s="38" t="n">
        <f aca="false">dps*Sens!$G$1675</f>
        <v>0</v>
      </c>
      <c r="H1696" s="38" t="n">
        <f aca="false">dps*Sens!$H$1675</f>
        <v>0</v>
      </c>
      <c r="I1696" s="38" t="n">
        <f aca="false">dps*Sens!$I$1675</f>
        <v>0</v>
      </c>
      <c r="J1696" s="38" t="n">
        <f aca="false">dps*Sens!$J$1675</f>
        <v>0</v>
      </c>
      <c r="K1696" s="38" t="n">
        <f aca="false">dps*Sens!$K$1675</f>
        <v>0</v>
      </c>
      <c r="L1696" s="38" t="n">
        <f aca="false">dps*Sens!$L$1675</f>
        <v>0</v>
      </c>
      <c r="M1696" s="38" t="n">
        <f aca="false">dps*Sens!$M$1675</f>
        <v>0</v>
      </c>
      <c r="P1696" s="8" t="s">
        <v>795</v>
      </c>
    </row>
    <row r="1697" customFormat="false" ht="17.15" hidden="false" customHeight="false" outlineLevel="0" collapsed="false">
      <c r="A1697" s="5" t="s">
        <v>796</v>
      </c>
      <c r="B1697" s="0" t="s">
        <v>86</v>
      </c>
      <c r="C1697" s="38" t="n">
        <f aca="false">0</f>
        <v>0</v>
      </c>
      <c r="D1697" s="38" t="n">
        <f aca="false">0</f>
        <v>0</v>
      </c>
      <c r="E1697" s="38" t="n">
        <f aca="false">0</f>
        <v>0</v>
      </c>
      <c r="F1697" s="38" t="n">
        <f aca="false">0</f>
        <v>0</v>
      </c>
      <c r="G1697" s="38" t="n">
        <f aca="false">0</f>
        <v>0</v>
      </c>
      <c r="H1697" s="38" t="n">
        <f aca="false">0</f>
        <v>0</v>
      </c>
      <c r="I1697" s="38" t="n">
        <f aca="false">0</f>
        <v>0</v>
      </c>
      <c r="J1697" s="38" t="n">
        <f aca="false">0</f>
        <v>0</v>
      </c>
      <c r="K1697" s="38" t="n">
        <f aca="false">0</f>
        <v>0</v>
      </c>
      <c r="L1697" s="38" t="n">
        <f aca="false">0</f>
        <v>0</v>
      </c>
      <c r="M1697" s="38" t="n">
        <f aca="false">0</f>
        <v>0</v>
      </c>
      <c r="P1697" s="8" t="s">
        <v>797</v>
      </c>
    </row>
    <row r="1698" customFormat="false" ht="15" hidden="false" customHeight="false" outlineLevel="0" collapsed="false">
      <c r="A1698" s="3" t="s">
        <v>798</v>
      </c>
      <c r="B1698" s="8" t="s">
        <v>86</v>
      </c>
      <c r="C1698" s="38" t="n">
        <f aca="false">Sens!$C$1695-Sens!$C$1696</f>
        <v>36.176</v>
      </c>
      <c r="D1698" s="38" t="n">
        <f aca="false">Sens!$D$1695-Sens!$D$1696</f>
        <v>9.63700000000002</v>
      </c>
      <c r="E1698" s="38" t="n">
        <f aca="false">Sens!$E$1695-Sens!$E$1696</f>
        <v>-25.691</v>
      </c>
      <c r="F1698" s="38" t="n">
        <f aca="false">Sens!$F$1695-Sens!$F$1696</f>
        <v>-64.7012853004286</v>
      </c>
      <c r="G1698" s="38" t="n">
        <f aca="false">Sens!$G$1695-Sens!$G$1696</f>
        <v>-90.3922853004287</v>
      </c>
      <c r="H1698" s="38" t="n">
        <f aca="false">Sens!$H$1695-Sens!$H$1696</f>
        <v>-99.6901401738528</v>
      </c>
      <c r="I1698" s="38" t="n">
        <f aca="false">Sens!$I$1695-Sens!$I$1696</f>
        <v>-57.666836520581</v>
      </c>
      <c r="J1698" s="38" t="n">
        <f aca="false">Sens!$J$1695-Sens!$J$1696</f>
        <v>-11.5817234429692</v>
      </c>
      <c r="K1698" s="38" t="n">
        <f aca="false">Sens!$K$1695-Sens!$K$1696</f>
        <v>105.784893055896</v>
      </c>
      <c r="L1698" s="38" t="n">
        <f aca="false">Sens!$L$1695-Sens!$L$1696</f>
        <v>183.843182579403</v>
      </c>
      <c r="M1698" s="38" t="n">
        <f aca="false">Sens!$M$1695-Sens!$M$1696</f>
        <v>210.806890633663</v>
      </c>
    </row>
    <row r="1699" customFormat="false" ht="17.15" hidden="false" customHeight="false" outlineLevel="0" collapsed="false">
      <c r="A1699" s="5" t="s">
        <v>799</v>
      </c>
      <c r="B1699" s="0" t="s">
        <v>86</v>
      </c>
      <c r="E1699" s="38" t="n">
        <f aca="false">Q!$P$53</f>
        <v>39.767</v>
      </c>
      <c r="F1699" s="38" t="n">
        <f aca="false">inv_2h26</f>
        <v>21.3</v>
      </c>
      <c r="G1699" s="38" t="n">
        <f aca="false">Sens!$E$1699+Sens!$F$1699</f>
        <v>61.067</v>
      </c>
      <c r="H1699" s="39" t="n">
        <v>0</v>
      </c>
      <c r="I1699" s="39" t="n">
        <v>0</v>
      </c>
      <c r="J1699" s="39" t="n">
        <v>0</v>
      </c>
      <c r="K1699" s="39" t="n">
        <v>0</v>
      </c>
      <c r="L1699" s="39" t="n">
        <v>0</v>
      </c>
      <c r="M1699" s="39" t="n">
        <v>0</v>
      </c>
    </row>
    <row r="1700" customFormat="false" ht="17.15" hidden="false" customHeight="false" outlineLevel="0" collapsed="false">
      <c r="A1700" s="5" t="s">
        <v>800</v>
      </c>
      <c r="B1700" s="0" t="s">
        <v>86</v>
      </c>
      <c r="F1700" s="38" t="n">
        <f aca="false">iss_2h26</f>
        <v>29.249999</v>
      </c>
      <c r="G1700" s="38" t="n">
        <f aca="false">Sens!$F$1700</f>
        <v>29.249999</v>
      </c>
      <c r="H1700" s="39" t="n">
        <v>0</v>
      </c>
      <c r="I1700" s="39" t="n">
        <v>0</v>
      </c>
      <c r="J1700" s="39" t="n">
        <v>0</v>
      </c>
      <c r="K1700" s="39" t="n">
        <v>0</v>
      </c>
      <c r="L1700" s="39" t="n">
        <v>0</v>
      </c>
      <c r="M1700" s="39" t="n">
        <v>0</v>
      </c>
    </row>
    <row r="1701" customFormat="false" ht="17.15" hidden="false" customHeight="false" outlineLevel="0" collapsed="false">
      <c r="A1701" s="5" t="s">
        <v>801</v>
      </c>
      <c r="B1701" s="0" t="s">
        <v>86</v>
      </c>
      <c r="F1701" s="38" t="n">
        <f aca="false">cash_q2</f>
        <v>122.988</v>
      </c>
      <c r="G1701" s="38" t="n">
        <f aca="false">cash_q2</f>
        <v>122.988</v>
      </c>
      <c r="H1701" s="38" t="n">
        <f aca="false">Sens!$G$1704</f>
        <v>66.2367136995714</v>
      </c>
      <c r="I1701" s="38" t="n">
        <f aca="false">Sens!$H$1704</f>
        <v>50</v>
      </c>
      <c r="J1701" s="38" t="n">
        <f aca="false">Sens!$I$1704</f>
        <v>50</v>
      </c>
      <c r="K1701" s="38" t="n">
        <f aca="false">Sens!$J$1704</f>
        <v>50</v>
      </c>
      <c r="L1701" s="38" t="n">
        <f aca="false">Sens!$K$1704</f>
        <v>155.784893055896</v>
      </c>
      <c r="M1701" s="38" t="n">
        <f aca="false">Sens!$L$1704</f>
        <v>339.6280756353</v>
      </c>
    </row>
    <row r="1702" customFormat="false" ht="15" hidden="false" customHeight="false" outlineLevel="0" collapsed="false">
      <c r="A1702" s="5" t="s">
        <v>802</v>
      </c>
      <c r="B1702" s="0" t="s">
        <v>86</v>
      </c>
      <c r="F1702" s="38" t="n">
        <f aca="false">Sens!$F$1701+Sens!$F$1698-Sens!$F$1697-Sens!$F$1699+Sens!$F$1700</f>
        <v>66.2367136995714</v>
      </c>
      <c r="H1702" s="38" t="n">
        <f aca="false">Sens!$H$1701+Sens!$H$1698-Sens!$H$1697-Sens!$H$1699+Sens!$H$1700</f>
        <v>-33.4534264742814</v>
      </c>
      <c r="I1702" s="38" t="n">
        <f aca="false">Sens!$I$1701+Sens!$I$1698-Sens!$I$1697-Sens!$I$1699+Sens!$I$1700</f>
        <v>-7.66683652058098</v>
      </c>
      <c r="J1702" s="38" t="n">
        <f aca="false">Sens!$J$1701+Sens!$J$1698-Sens!$J$1697-Sens!$J$1699+Sens!$J$1700</f>
        <v>38.4182765570308</v>
      </c>
      <c r="K1702" s="38" t="n">
        <f aca="false">Sens!$K$1701+Sens!$K$1698-Sens!$K$1697-Sens!$K$1699+Sens!$K$1700</f>
        <v>155.784893055896</v>
      </c>
      <c r="L1702" s="38" t="n">
        <f aca="false">Sens!$L$1701+Sens!$L$1698-Sens!$L$1697-Sens!$L$1699+Sens!$L$1700</f>
        <v>339.6280756353</v>
      </c>
      <c r="M1702" s="38" t="n">
        <f aca="false">Sens!$M$1701+Sens!$M$1698-Sens!$M$1697-Sens!$M$1699+Sens!$M$1700</f>
        <v>550.434966268963</v>
      </c>
    </row>
    <row r="1703" customFormat="false" ht="17.15" hidden="false" customHeight="false" outlineLevel="0" collapsed="false">
      <c r="A1703" s="5" t="s">
        <v>803</v>
      </c>
      <c r="B1703" s="0" t="s">
        <v>86</v>
      </c>
      <c r="F1703" s="38" t="n">
        <f aca="false">MAX(0,min_cash-Sens!$F$1702)</f>
        <v>0</v>
      </c>
      <c r="G1703" s="38" t="n">
        <f aca="false">Sens!$F$1703</f>
        <v>0</v>
      </c>
      <c r="H1703" s="38" t="n">
        <f aca="false">MAX(0,min_cash-Sens!$H$1702)</f>
        <v>83.4534264742814</v>
      </c>
      <c r="I1703" s="38" t="n">
        <f aca="false">MAX(0,min_cash-Sens!$I$1702)</f>
        <v>57.666836520581</v>
      </c>
      <c r="J1703" s="38" t="n">
        <f aca="false">MAX(0,min_cash-Sens!$J$1702)</f>
        <v>11.5817234429692</v>
      </c>
      <c r="K1703" s="38" t="n">
        <f aca="false">MAX(0,min_cash-Sens!$K$1702)</f>
        <v>0</v>
      </c>
      <c r="L1703" s="38" t="n">
        <f aca="false">MAX(0,min_cash-Sens!$L$1702)</f>
        <v>0</v>
      </c>
      <c r="M1703" s="38" t="n">
        <f aca="false">MAX(0,min_cash-Sens!$M$1702)</f>
        <v>0</v>
      </c>
      <c r="P1703" s="5" t="s">
        <v>804</v>
      </c>
    </row>
    <row r="1704" customFormat="false" ht="15" hidden="false" customHeight="false" outlineLevel="0" collapsed="false">
      <c r="A1704" s="5" t="s">
        <v>805</v>
      </c>
      <c r="B1704" s="0" t="s">
        <v>86</v>
      </c>
      <c r="D1704" s="38" t="n">
        <f aca="false">Q!$E$61</f>
        <v>123.029</v>
      </c>
      <c r="E1704" s="38" t="n">
        <f aca="false">Q!$M$61</f>
        <v>122.988</v>
      </c>
      <c r="F1704" s="38" t="n">
        <f aca="false">Sens!$F$1702+Sens!$F$1703</f>
        <v>66.2367136995714</v>
      </c>
      <c r="G1704" s="38" t="n">
        <f aca="false">Sens!$F$1704</f>
        <v>66.2367136995714</v>
      </c>
      <c r="H1704" s="38" t="n">
        <f aca="false">Sens!$H$1702+Sens!$H$1703</f>
        <v>50</v>
      </c>
      <c r="I1704" s="38" t="n">
        <f aca="false">Sens!$I$1702+Sens!$I$1703</f>
        <v>50</v>
      </c>
      <c r="J1704" s="38" t="n">
        <f aca="false">Sens!$J$1702+Sens!$J$1703</f>
        <v>50</v>
      </c>
      <c r="K1704" s="38" t="n">
        <f aca="false">Sens!$K$1702+Sens!$K$1703</f>
        <v>155.784893055896</v>
      </c>
      <c r="L1704" s="38" t="n">
        <f aca="false">Sens!$L$1702+Sens!$L$1703</f>
        <v>339.6280756353</v>
      </c>
      <c r="M1704" s="38" t="n">
        <f aca="false">Sens!$M$1702+Sens!$M$1703</f>
        <v>550.434966268963</v>
      </c>
    </row>
    <row r="1705" customFormat="false" ht="15" hidden="false" customHeight="false" outlineLevel="0" collapsed="false">
      <c r="A1705" s="5" t="s">
        <v>806</v>
      </c>
      <c r="B1705" s="0" t="s">
        <v>86</v>
      </c>
      <c r="D1705" s="38" t="n">
        <f aca="false">Q!$E$62</f>
        <v>68.836</v>
      </c>
      <c r="E1705" s="38" t="n">
        <f aca="false">Q!$M$62</f>
        <v>132.995</v>
      </c>
      <c r="F1705" s="38" t="n">
        <f aca="false">debt_q2+Sens!$F$1700+Sens!$F$1703</f>
        <v>162.244999</v>
      </c>
      <c r="G1705" s="38" t="n">
        <f aca="false">Sens!$F$1705</f>
        <v>162.244999</v>
      </c>
      <c r="H1705" s="38" t="n">
        <f aca="false">Sens!$G$1705+Sens!$H$1703</f>
        <v>245.698425474281</v>
      </c>
      <c r="I1705" s="38" t="n">
        <f aca="false">Sens!$H$1705+Sens!$I$1703</f>
        <v>303.365261994862</v>
      </c>
      <c r="J1705" s="38" t="n">
        <f aca="false">Sens!$I$1705+Sens!$J$1703</f>
        <v>314.946985437832</v>
      </c>
      <c r="K1705" s="38" t="n">
        <f aca="false">Sens!$J$1705+Sens!$K$1703</f>
        <v>314.946985437832</v>
      </c>
      <c r="L1705" s="38" t="n">
        <f aca="false">Sens!$K$1705+Sens!$L$1703</f>
        <v>314.946985437832</v>
      </c>
      <c r="M1705" s="38" t="n">
        <f aca="false">Sens!$L$1705+Sens!$M$1703</f>
        <v>314.946985437832</v>
      </c>
    </row>
    <row r="1706" customFormat="false" ht="15" hidden="false" customHeight="false" outlineLevel="0" collapsed="false">
      <c r="A1706" s="5" t="s">
        <v>807</v>
      </c>
      <c r="B1706" s="0" t="s">
        <v>86</v>
      </c>
      <c r="D1706" s="38" t="n">
        <f aca="false">Sens!$D$1705-Sens!$D$1704</f>
        <v>-54.193</v>
      </c>
      <c r="E1706" s="38" t="n">
        <f aca="false">Sens!$E$1705-Sens!$E$1704</f>
        <v>10.007</v>
      </c>
      <c r="F1706" s="38" t="n">
        <f aca="false">Sens!$F$1705-Sens!$F$1704</f>
        <v>96.0082853004286</v>
      </c>
      <c r="G1706" s="38" t="n">
        <f aca="false">Sens!$G$1705-Sens!$G$1704</f>
        <v>96.0082853004286</v>
      </c>
      <c r="H1706" s="38" t="n">
        <f aca="false">Sens!$H$1705-Sens!$H$1704</f>
        <v>195.698425474281</v>
      </c>
      <c r="I1706" s="38" t="n">
        <f aca="false">Sens!$I$1705-Sens!$I$1704</f>
        <v>253.365261994862</v>
      </c>
      <c r="J1706" s="38" t="n">
        <f aca="false">Sens!$J$1705-Sens!$J$1704</f>
        <v>264.946985437832</v>
      </c>
      <c r="K1706" s="38" t="n">
        <f aca="false">Sens!$K$1705-Sens!$K$1704</f>
        <v>159.162092381935</v>
      </c>
      <c r="L1706" s="38" t="n">
        <f aca="false">Sens!$L$1705-Sens!$L$1704</f>
        <v>-24.6810901974681</v>
      </c>
      <c r="M1706" s="38" t="n">
        <f aca="false">Sens!$M$1705-Sens!$M$1704</f>
        <v>-235.487980831131</v>
      </c>
    </row>
    <row r="1707" customFormat="false" ht="17.15" hidden="false" customHeight="false" outlineLevel="0" collapsed="false">
      <c r="A1707" s="5" t="s">
        <v>808</v>
      </c>
      <c r="B1707" s="0" t="s">
        <v>86</v>
      </c>
      <c r="F1707" s="38" t="n">
        <f aca="false">debt_q2*kd_book*0.5+iss_2h26*kd_new*iss_t</f>
        <v>3.24888962733561</v>
      </c>
      <c r="H1707" s="38" t="n">
        <f aca="false">debt_q2*kd_book+(Sens!$G$1705-debt_q2)*kd_new</f>
        <v>7.42354172302123</v>
      </c>
      <c r="I1707" s="38" t="n">
        <f aca="false">debt_q2*kd_book+(Sens!$H$1705-debt_q2)*kd_new</f>
        <v>12.7061436188432</v>
      </c>
      <c r="J1707" s="38" t="n">
        <f aca="false">debt_q2*kd_book+(Sens!$I$1705-debt_q2)*kd_new</f>
        <v>16.356454370596</v>
      </c>
      <c r="K1707" s="38" t="n">
        <f aca="false">debt_q2*kd_book+(Sens!$J$1705-debt_q2)*kd_new</f>
        <v>17.089577464536</v>
      </c>
      <c r="L1707" s="38" t="n">
        <f aca="false">debt_q2*kd_book+(Sens!$K$1705-debt_q2)*kd_new</f>
        <v>17.089577464536</v>
      </c>
      <c r="M1707" s="38" t="n">
        <f aca="false">debt_q2*kd_book+(Sens!$L$1705-debt_q2)*kd_new</f>
        <v>17.089577464536</v>
      </c>
    </row>
    <row r="1708" customFormat="false" ht="17.15" hidden="false" customHeight="false" outlineLevel="0" collapsed="false">
      <c r="A1708" s="5" t="s">
        <v>809</v>
      </c>
      <c r="B1708" s="0" t="s">
        <v>86</v>
      </c>
      <c r="F1708" s="38" t="n">
        <f aca="false">cash_q2*y_cash*0.5</f>
        <v>2.59</v>
      </c>
      <c r="H1708" s="38" t="n">
        <f aca="false">Sens!$G$1704*y_cash</f>
        <v>2.78975328457882</v>
      </c>
      <c r="I1708" s="38" t="n">
        <f aca="false">Sens!$H$1704*y_cash</f>
        <v>2.10589651022864</v>
      </c>
      <c r="J1708" s="38" t="n">
        <f aca="false">Sens!$I$1704*y_cash</f>
        <v>2.10589651022864</v>
      </c>
      <c r="K1708" s="38" t="n">
        <f aca="false">Sens!$J$1704*y_cash</f>
        <v>2.10589651022864</v>
      </c>
      <c r="L1708" s="38" t="n">
        <f aca="false">Sens!$K$1704*y_cash</f>
        <v>6.56133725265508</v>
      </c>
      <c r="M1708" s="38" t="n">
        <f aca="false">Sens!$L$1704*y_cash</f>
        <v>14.3044315851209</v>
      </c>
    </row>
    <row r="1709" customFormat="false" ht="17.15" hidden="false" customHeight="false" outlineLevel="0" collapsed="false">
      <c r="A1709" s="47" t="s">
        <v>810</v>
      </c>
      <c r="B1709" s="14" t="s">
        <v>86</v>
      </c>
      <c r="C1709" s="14"/>
      <c r="D1709" s="14"/>
      <c r="E1709" s="14"/>
      <c r="F1709" s="14"/>
      <c r="G1709" s="48" t="n">
        <f aca="false">SUM(Sens!$G$1698:$K$1698)</f>
        <v>-153.546092381935</v>
      </c>
      <c r="H1709" s="14"/>
      <c r="I1709" s="14"/>
      <c r="J1709" s="14"/>
      <c r="K1709" s="14"/>
      <c r="L1709" s="14"/>
      <c r="M1709" s="14"/>
      <c r="N1709" s="14"/>
      <c r="O1709" s="14"/>
    </row>
    <row r="1710" customFormat="false" ht="17.15" hidden="false" customHeight="false" outlineLevel="0" collapsed="false">
      <c r="A1710" s="0" t="s">
        <v>776</v>
      </c>
      <c r="B1710" s="0" t="s">
        <v>86</v>
      </c>
      <c r="G1710" s="38" t="n">
        <f aca="false">SUM(Sens!$G$1703:$K$1703)</f>
        <v>152.701986437832</v>
      </c>
    </row>
    <row r="1711" customFormat="false" ht="17.15" hidden="false" customHeight="false" outlineLevel="0" collapsed="false">
      <c r="A1711" s="24" t="s">
        <v>813</v>
      </c>
      <c r="B1711" s="25" t="s">
        <v>86</v>
      </c>
      <c r="C1711" s="25"/>
      <c r="D1711" s="25"/>
      <c r="E1711" s="25"/>
      <c r="F1711" s="25"/>
      <c r="G1711" s="41" t="n">
        <f aca="false">Sens!$G$1709-(Sens!$G$1698+Sens!$H$1698+Sens!$I$1698+Sens!$J$1698+Sens!$K$1698)</f>
        <v>0</v>
      </c>
      <c r="H1711" s="25"/>
      <c r="I1711" s="25"/>
      <c r="J1711" s="25"/>
      <c r="K1711" s="25"/>
      <c r="L1711" s="25"/>
      <c r="M1711" s="25"/>
      <c r="N1711" s="25"/>
      <c r="O1711" s="25"/>
    </row>
    <row r="1714" customFormat="false" ht="19.4" hidden="false" customHeight="false" outlineLevel="0" collapsed="false">
      <c r="A1714" s="31" t="s">
        <v>1169</v>
      </c>
    </row>
    <row r="1715" customFormat="false" ht="17.15" hidden="false" customHeight="false" outlineLevel="0" collapsed="false">
      <c r="A1715" s="6" t="s">
        <v>16</v>
      </c>
      <c r="B1715" s="6" t="s">
        <v>17</v>
      </c>
      <c r="C1715" s="20" t="s">
        <v>497</v>
      </c>
      <c r="D1715" s="20" t="s">
        <v>498</v>
      </c>
      <c r="E1715" s="20" t="s">
        <v>580</v>
      </c>
      <c r="F1715" s="20" t="s">
        <v>581</v>
      </c>
      <c r="G1715" s="20" t="s">
        <v>582</v>
      </c>
      <c r="H1715" s="20" t="s">
        <v>583</v>
      </c>
      <c r="I1715" s="20" t="s">
        <v>584</v>
      </c>
      <c r="J1715" s="20" t="s">
        <v>585</v>
      </c>
      <c r="K1715" s="20" t="s">
        <v>586</v>
      </c>
      <c r="L1715" s="20" t="s">
        <v>587</v>
      </c>
      <c r="M1715" s="20" t="s">
        <v>588</v>
      </c>
      <c r="N1715" s="20" t="s">
        <v>589</v>
      </c>
      <c r="O1715" s="20" t="s">
        <v>590</v>
      </c>
      <c r="P1715" s="6" t="s">
        <v>23</v>
      </c>
      <c r="R1715" s="20" t="n">
        <v>2023</v>
      </c>
      <c r="S1715" s="20" t="n">
        <v>2024</v>
      </c>
      <c r="T1715" s="20" t="n">
        <v>2025</v>
      </c>
      <c r="U1715" s="20" t="n">
        <v>2026</v>
      </c>
      <c r="V1715" s="20" t="n">
        <v>2027</v>
      </c>
      <c r="W1715" s="20" t="n">
        <v>2028</v>
      </c>
      <c r="X1715" s="20" t="n">
        <v>2029</v>
      </c>
      <c r="Y1715" s="20" t="n">
        <v>2030</v>
      </c>
      <c r="Z1715" s="20" t="n">
        <v>2031</v>
      </c>
      <c r="AA1715" s="20" t="n">
        <v>2032</v>
      </c>
    </row>
    <row r="1716" customFormat="false" ht="17.15" hidden="false" customHeight="false" outlineLevel="0" collapsed="false">
      <c r="A1716" s="1" t="s">
        <v>915</v>
      </c>
    </row>
    <row r="1717" customFormat="false" ht="17.15" hidden="false" customHeight="false" outlineLevel="0" collapsed="false">
      <c r="A1717" s="0" t="s">
        <v>916</v>
      </c>
      <c r="B1717" s="0" t="s">
        <v>86</v>
      </c>
      <c r="H1717" s="38" t="n">
        <f aca="false">Sens!$H$1651*(1-tax)</f>
        <v>126.728503898252</v>
      </c>
      <c r="I1717" s="38" t="n">
        <f aca="false">Sens!$I$1651*(1-tax)</f>
        <v>154.603005471572</v>
      </c>
      <c r="J1717" s="38" t="n">
        <f aca="false">Sens!$J$1651*(1-tax)</f>
        <v>181.102749132927</v>
      </c>
      <c r="K1717" s="38" t="n">
        <f aca="false">Sens!$K$1651*(1-tax)</f>
        <v>199.42191541424</v>
      </c>
      <c r="L1717" s="38" t="n">
        <f aca="false">Sens!$L$1651*(1-tax)</f>
        <v>213.773785316962</v>
      </c>
      <c r="M1717" s="38" t="n">
        <f aca="false">Sens!$M$1651*(1-tax)</f>
        <v>224.163440095192</v>
      </c>
    </row>
    <row r="1718" customFormat="false" ht="15" hidden="false" customHeight="false" outlineLevel="0" collapsed="false">
      <c r="A1718" s="5" t="s">
        <v>917</v>
      </c>
      <c r="B1718" s="0" t="s">
        <v>86</v>
      </c>
      <c r="H1718" s="38" t="n">
        <f aca="false">Sens!$H$1662</f>
        <v>81.5187656927663</v>
      </c>
      <c r="I1718" s="38" t="n">
        <f aca="false">Sens!$I$1662</f>
        <v>121.440733257895</v>
      </c>
      <c r="J1718" s="38" t="n">
        <f aca="false">Sens!$J$1662</f>
        <v>162.337924891586</v>
      </c>
      <c r="K1718" s="38" t="n">
        <f aca="false">Sens!$K$1662</f>
        <v>203.443849075718</v>
      </c>
      <c r="L1718" s="38" t="n">
        <f aca="false">Sens!$L$1662</f>
        <v>234.019479529299</v>
      </c>
      <c r="M1718" s="38" t="n">
        <f aca="false">Sens!$M$1662</f>
        <v>255.706229251755</v>
      </c>
    </row>
    <row r="1719" customFormat="false" ht="15" hidden="false" customHeight="false" outlineLevel="0" collapsed="false">
      <c r="A1719" s="5" t="s">
        <v>918</v>
      </c>
      <c r="B1719" s="0" t="s">
        <v>86</v>
      </c>
      <c r="H1719" s="38" t="n">
        <f aca="false">Sens!$H$1693</f>
        <v>323.015521071086</v>
      </c>
      <c r="I1719" s="38" t="n">
        <f aca="false">Sens!$I$1693</f>
        <v>338.14342970605</v>
      </c>
      <c r="J1719" s="38" t="n">
        <f aca="false">Sens!$J$1693</f>
        <v>350.478130855991</v>
      </c>
      <c r="K1719" s="38" t="n">
        <f aca="false">Sens!$K$1693</f>
        <v>286.955547109092</v>
      </c>
      <c r="L1719" s="38" t="n">
        <f aca="false">Sens!$L$1693</f>
        <v>255.331516576371</v>
      </c>
      <c r="M1719" s="38" t="n">
        <f aca="false">Sens!$M$1693</f>
        <v>267.488651992315</v>
      </c>
    </row>
    <row r="1720" customFormat="false" ht="15" hidden="false" customHeight="false" outlineLevel="0" collapsed="false">
      <c r="A1720" s="5" t="s">
        <v>919</v>
      </c>
      <c r="B1720" s="0" t="s">
        <v>86</v>
      </c>
      <c r="H1720" s="38" t="n">
        <f aca="false">Sens!$H$1694</f>
        <v>1.6</v>
      </c>
      <c r="I1720" s="38" t="n">
        <f aca="false">Sens!$I$1694</f>
        <v>1.6</v>
      </c>
      <c r="J1720" s="38" t="n">
        <f aca="false">Sens!$J$1694</f>
        <v>1.6</v>
      </c>
      <c r="K1720" s="38" t="n">
        <f aca="false">Sens!$K$1694</f>
        <v>1.6</v>
      </c>
      <c r="L1720" s="38" t="n">
        <f aca="false">Sens!$L$1694</f>
        <v>1.6</v>
      </c>
      <c r="M1720" s="38" t="n">
        <f aca="false">Sens!$M$1694</f>
        <v>1.6</v>
      </c>
    </row>
    <row r="1721" customFormat="false" ht="15" hidden="false" customHeight="false" outlineLevel="0" collapsed="false">
      <c r="A1721" s="5" t="s">
        <v>920</v>
      </c>
      <c r="B1721" s="0" t="s">
        <v>86</v>
      </c>
      <c r="H1721" s="38" t="n">
        <f aca="false">Sens!$H$1688</f>
        <v>11.4128266772703</v>
      </c>
      <c r="I1721" s="38" t="n">
        <f aca="false">Sens!$I$1688</f>
        <v>13.0530058435059</v>
      </c>
      <c r="J1721" s="38" t="n">
        <f aca="false">Sens!$J$1688</f>
        <v>14.6288216192046</v>
      </c>
      <c r="K1721" s="38" t="n">
        <f aca="false">Sens!$K$1688</f>
        <v>16.0067888694924</v>
      </c>
      <c r="L1721" s="38" t="n">
        <f aca="false">Sens!$L$1688</f>
        <v>17.2632753568903</v>
      </c>
      <c r="M1721" s="38" t="n">
        <f aca="false">Sens!$M$1688</f>
        <v>18.4025029875843</v>
      </c>
    </row>
    <row r="1722" customFormat="false" ht="17.15" hidden="false" customHeight="false" outlineLevel="0" collapsed="false">
      <c r="A1722" s="1" t="s">
        <v>921</v>
      </c>
      <c r="B1722" s="8" t="s">
        <v>86</v>
      </c>
      <c r="H1722" s="38" t="n">
        <f aca="false">Sens!$H$1717+Sens!$H$1718-Sens!$H$1719+Sens!$H$1721</f>
        <v>-103.355424802797</v>
      </c>
      <c r="I1722" s="38" t="n">
        <f aca="false">Sens!$I$1717+Sens!$I$1718-Sens!$I$1719+Sens!$I$1721</f>
        <v>-49.0466851330771</v>
      </c>
      <c r="J1722" s="38" t="n">
        <f aca="false">Sens!$J$1717+Sens!$J$1718-Sens!$J$1719+Sens!$J$1721</f>
        <v>7.59136478772667</v>
      </c>
      <c r="K1722" s="38" t="n">
        <f aca="false">Sens!$K$1717+Sens!$K$1718-Sens!$K$1719+Sens!$K$1721</f>
        <v>131.917006250358</v>
      </c>
      <c r="L1722" s="38" t="n">
        <f aca="false">Sens!$L$1717+Sens!$L$1718-Sens!$L$1719+Sens!$L$1721</f>
        <v>209.72502362678</v>
      </c>
      <c r="M1722" s="38" t="n">
        <f aca="false">Sens!$M$1717+Sens!$M$1718-Sens!$M$1719+Sens!$M$1721</f>
        <v>230.783520342216</v>
      </c>
    </row>
    <row r="1723" customFormat="false" ht="15" hidden="false" customHeight="false" outlineLevel="0" collapsed="false">
      <c r="A1723" s="5" t="s">
        <v>922</v>
      </c>
      <c r="B1723" s="0" t="s">
        <v>57</v>
      </c>
      <c r="H1723" s="40" t="n">
        <f aca="false">1/(1+wacc)^(2027-2026-0.5)</f>
        <v>0.947751320380232</v>
      </c>
      <c r="I1723" s="40" t="n">
        <f aca="false">1/(1+wacc)^(2028-2026-0.5)</f>
        <v>0.851301099754987</v>
      </c>
      <c r="J1723" s="40" t="n">
        <f aca="false">1/(1+wacc)^(2029-2026-0.5)</f>
        <v>0.764666370660713</v>
      </c>
      <c r="K1723" s="40" t="n">
        <f aca="false">1/(1+wacc)^(2030-2026-0.5)</f>
        <v>0.686848235703811</v>
      </c>
      <c r="L1723" s="40" t="n">
        <f aca="false">1/(1+wacc)^(2031-2026-0.5)</f>
        <v>0.616949452715975</v>
      </c>
      <c r="M1723" s="40" t="n">
        <f aca="false">1/(1+wacc)^(2032-2026-0.5)</f>
        <v>0.554164089562688</v>
      </c>
    </row>
    <row r="1724" customFormat="false" ht="15" hidden="false" customHeight="false" outlineLevel="0" collapsed="false">
      <c r="A1724" s="5" t="s">
        <v>923</v>
      </c>
      <c r="B1724" s="0" t="s">
        <v>86</v>
      </c>
      <c r="H1724" s="38" t="n">
        <f aca="false">Sens!$H$1722*Sens!$H$1723</f>
        <v>-97.9552403253111</v>
      </c>
      <c r="I1724" s="38" t="n">
        <f aca="false">Sens!$I$1722*Sens!$I$1723</f>
        <v>-41.7534969931251</v>
      </c>
      <c r="J1724" s="38" t="n">
        <f aca="false">Sens!$J$1722*Sens!$J$1723</f>
        <v>5.80486136059248</v>
      </c>
      <c r="K1724" s="38" t="n">
        <f aca="false">Sens!$K$1722*Sens!$K$1723</f>
        <v>90.6069630023867</v>
      </c>
      <c r="L1724" s="38" t="n">
        <f aca="false">Sens!$L$1722*Sens!$L$1723</f>
        <v>129.389738547387</v>
      </c>
      <c r="M1724" s="38" t="n">
        <f aca="false">Sens!$M$1722*Sens!$M$1723</f>
        <v>127.891939436516</v>
      </c>
    </row>
    <row r="1725" customFormat="false" ht="15" hidden="false" customHeight="false" outlineLevel="0" collapsed="false">
      <c r="A1725" s="5" t="s">
        <v>924</v>
      </c>
      <c r="B1725" s="0" t="s">
        <v>86</v>
      </c>
      <c r="C1725" s="38" t="n">
        <f aca="false">SUM(Sens!$H$1724:$M$1724)</f>
        <v>213.984765028446</v>
      </c>
    </row>
    <row r="1726" customFormat="false" ht="17.15" hidden="false" customHeight="false" outlineLevel="0" collapsed="false">
      <c r="A1726" s="5" t="s">
        <v>925</v>
      </c>
      <c r="B1726" s="0" t="s">
        <v>86</v>
      </c>
      <c r="C1726" s="38" t="n">
        <f aca="false">Sens!$M$1717*(1+tg)*(1-tg/ronic)/(wacc-tg)</f>
        <v>2037.89581087582</v>
      </c>
    </row>
    <row r="1727" customFormat="false" ht="15" hidden="false" customHeight="false" outlineLevel="0" collapsed="false">
      <c r="A1727" s="5" t="s">
        <v>926</v>
      </c>
      <c r="B1727" s="0" t="s">
        <v>86</v>
      </c>
      <c r="C1727" s="38" t="n">
        <f aca="false">Sens!$C$1726/(1+wacc)^6</f>
        <v>1070.32274444551</v>
      </c>
    </row>
    <row r="1728" customFormat="false" ht="17.15" hidden="false" customHeight="false" outlineLevel="0" collapsed="false">
      <c r="A1728" s="5" t="s">
        <v>927</v>
      </c>
      <c r="B1728" s="0" t="s">
        <v>86</v>
      </c>
      <c r="C1728" s="38" t="n">
        <f aca="false">Sens!$C$1725+Sens!$C$1727</f>
        <v>1284.30750947396</v>
      </c>
    </row>
    <row r="1729" customFormat="false" ht="17.15" hidden="false" customHeight="false" outlineLevel="0" collapsed="false">
      <c r="A1729" s="5" t="s">
        <v>928</v>
      </c>
      <c r="B1729" s="0" t="s">
        <v>52</v>
      </c>
      <c r="C1729" s="13" t="n">
        <f aca="false">Sens!$C$1727/Sens!$C$1728</f>
        <v>0.833385101737751</v>
      </c>
    </row>
    <row r="1730" customFormat="false" ht="17.15" hidden="false" customHeight="false" outlineLevel="0" collapsed="false">
      <c r="A1730" s="5" t="s">
        <v>929</v>
      </c>
      <c r="B1730" s="0" t="s">
        <v>86</v>
      </c>
      <c r="C1730" s="38" t="n">
        <f aca="false">Sens!$G$1706+fin_debt</f>
        <v>120.529285300429</v>
      </c>
    </row>
    <row r="1731" customFormat="false" ht="17.15" hidden="false" customHeight="false" outlineLevel="0" collapsed="false">
      <c r="A1731" s="5" t="s">
        <v>930</v>
      </c>
      <c r="B1731" s="0" t="s">
        <v>86</v>
      </c>
      <c r="C1731" s="38" t="n">
        <f aca="false">(ant_val*ant_sh+oai_val*oai_sh)*(1-liq_disc)</f>
        <v>178.944</v>
      </c>
    </row>
    <row r="1732" customFormat="false" ht="15" hidden="false" customHeight="false" outlineLevel="0" collapsed="false">
      <c r="A1732" s="5" t="s">
        <v>931</v>
      </c>
      <c r="B1732" s="0" t="s">
        <v>86</v>
      </c>
      <c r="C1732" s="38" t="n">
        <f aca="false">Sens!$C$1728-Sens!$C$1730+Sens!$C$1731</f>
        <v>1342.72222417353</v>
      </c>
    </row>
    <row r="1733" customFormat="false" ht="17.15" hidden="false" customHeight="false" outlineLevel="0" collapsed="false">
      <c r="A1733" s="5" t="s">
        <v>932</v>
      </c>
      <c r="B1733" s="0" t="s">
        <v>27</v>
      </c>
      <c r="C1733" s="30" t="n">
        <f aca="false">Sens!$C$1732/sh_out</f>
        <v>124.483880607734</v>
      </c>
    </row>
    <row r="1734" customFormat="false" ht="17.15" hidden="false" customHeight="false" outlineLevel="0" collapsed="false">
      <c r="A1734" s="1" t="s">
        <v>933</v>
      </c>
      <c r="B1734" s="8" t="s">
        <v>27</v>
      </c>
      <c r="C1734" s="30" t="n">
        <f aca="false">Sens!$C$1733*(1+ke)^tp_yf-dps*tp_yf</f>
        <v>136.35576470598</v>
      </c>
    </row>
    <row r="1735" customFormat="false" ht="17.15" hidden="false" customHeight="false" outlineLevel="0" collapsed="false">
      <c r="A1735" s="3" t="s">
        <v>934</v>
      </c>
    </row>
    <row r="1736" customFormat="false" ht="17.15" hidden="false" customHeight="false" outlineLevel="0" collapsed="false">
      <c r="A1736" s="5" t="s">
        <v>935</v>
      </c>
      <c r="B1736" s="0" t="s">
        <v>86</v>
      </c>
      <c r="C1736" s="38" t="n">
        <f aca="false">(1-tp_yf)*(Sens!$H$1663+sbc_ab*Sens!$H$1687*Sens!$H$1527/Sens!$H$1604)+tp_yf*(Sens!$I$1663+sbc_ab*Sens!$I$1687*Sens!$I$1527/Sens!$I$1604)</f>
        <v>59.634664536349</v>
      </c>
    </row>
    <row r="1737" customFormat="false" ht="15" hidden="false" customHeight="false" outlineLevel="0" collapsed="false">
      <c r="A1737" s="5" t="s">
        <v>936</v>
      </c>
      <c r="B1737" s="0" t="s">
        <v>57</v>
      </c>
      <c r="C1737" s="30" t="n">
        <f aca="false">m_ads*m_x</f>
        <v>9.11</v>
      </c>
    </row>
    <row r="1738" customFormat="false" ht="17.15" hidden="false" customHeight="false" outlineLevel="0" collapsed="false">
      <c r="A1738" s="5" t="s">
        <v>937</v>
      </c>
      <c r="B1738" s="0" t="s">
        <v>86</v>
      </c>
      <c r="C1738" s="38" t="n">
        <f aca="false">Sens!$C$1736*Sens!$C$1737</f>
        <v>543.271793926139</v>
      </c>
    </row>
    <row r="1739" customFormat="false" ht="17.15" hidden="false" customHeight="false" outlineLevel="0" collapsed="false">
      <c r="A1739" s="5" t="s">
        <v>938</v>
      </c>
      <c r="B1739" s="0" t="s">
        <v>86</v>
      </c>
      <c r="C1739" s="38" t="n">
        <f aca="false">(1-tp_yf)*(Sens!$H$1664+sbc_ab*Sens!$H$1687*(Sens!$H$1534-Sens!$H$1527)/Sens!$H$1604+IF(internal_ai_reading=2,1,0)*(1-ext_sh)*Sens!$H$1564)+tp_yf*(Sens!$I$1664+sbc_ab*Sens!$I$1687*(Sens!$I$1534-Sens!$I$1527)/Sens!$I$1604+IF(internal_ai_reading=2,1,0)*(1-ext_sh)*Sens!$I$1564)</f>
        <v>51.2224827206816</v>
      </c>
    </row>
    <row r="1740" customFormat="false" ht="17.15" hidden="false" customHeight="false" outlineLevel="0" collapsed="false">
      <c r="A1740" s="5" t="s">
        <v>939</v>
      </c>
      <c r="B1740" s="0" t="s">
        <v>57</v>
      </c>
      <c r="C1740" s="30" t="n">
        <f aca="false">m_retail*m_x</f>
        <v>17.72</v>
      </c>
    </row>
    <row r="1741" customFormat="false" ht="17.15" hidden="false" customHeight="false" outlineLevel="0" collapsed="false">
      <c r="A1741" s="5" t="s">
        <v>940</v>
      </c>
      <c r="B1741" s="0" t="s">
        <v>86</v>
      </c>
      <c r="C1741" s="38" t="n">
        <f aca="false">Sens!$C$1739*Sens!$C$1740</f>
        <v>907.662393810477</v>
      </c>
    </row>
    <row r="1742" customFormat="false" ht="17.15" hidden="false" customHeight="false" outlineLevel="0" collapsed="false">
      <c r="A1742" s="0" t="s">
        <v>941</v>
      </c>
      <c r="B1742" s="0" t="s">
        <v>86</v>
      </c>
      <c r="C1742" s="38" t="n">
        <f aca="false">(1-tp_yf)*(Sens!$H$1665+sbc_ab*Sens!$H$1687*Sens!$H$1602/Sens!$H$1604)+tp_yf*(Sens!$I$1665+sbc_ab*Sens!$I$1687*Sens!$I$1602/Sens!$I$1604)</f>
        <v>96.2439586897193</v>
      </c>
    </row>
    <row r="1743" customFormat="false" ht="17.15" hidden="false" customHeight="false" outlineLevel="0" collapsed="false">
      <c r="A1743" s="0" t="s">
        <v>942</v>
      </c>
      <c r="B1743" s="0" t="s">
        <v>57</v>
      </c>
      <c r="C1743" s="30" t="n">
        <f aca="false">m_cloud*m_x</f>
        <v>13.82</v>
      </c>
    </row>
    <row r="1744" customFormat="false" ht="17.15" hidden="false" customHeight="false" outlineLevel="0" collapsed="false">
      <c r="A1744" s="0" t="s">
        <v>943</v>
      </c>
      <c r="B1744" s="0" t="s">
        <v>86</v>
      </c>
      <c r="C1744" s="38" t="n">
        <f aca="false">Sens!$C$1742*Sens!$C$1743</f>
        <v>1330.09150909192</v>
      </c>
    </row>
    <row r="1745" customFormat="false" ht="17.15" hidden="false" customHeight="false" outlineLevel="0" collapsed="false">
      <c r="A1745" s="0" t="s">
        <v>944</v>
      </c>
      <c r="B1745" s="0" t="s">
        <v>86</v>
      </c>
      <c r="H1745" s="38" t="n">
        <f aca="false">Sens!$H$1583-tax*Sens!$H$1584-ext_sh*Sens!$H$1571</f>
        <v>-148.554245456622</v>
      </c>
      <c r="I1745" s="38" t="n">
        <f aca="false">Sens!$I$1583-tax*Sens!$I$1584-ext_sh*Sens!$I$1571</f>
        <v>-115.689394820927</v>
      </c>
      <c r="J1745" s="38" t="n">
        <f aca="false">Sens!$J$1583-tax*Sens!$J$1584-ext_sh*Sens!$J$1571</f>
        <v>-80.5889799538754</v>
      </c>
      <c r="K1745" s="38" t="n">
        <f aca="false">Sens!$K$1583-tax*Sens!$K$1584-ext_sh*Sens!$K$1571</f>
        <v>9.66170423505756</v>
      </c>
      <c r="L1745" s="38" t="n">
        <f aca="false">Sens!$L$1583-tax*Sens!$L$1584-ext_sh*Sens!$L$1571</f>
        <v>63.1964063085671</v>
      </c>
      <c r="M1745" s="38" t="n">
        <f aca="false">Sens!$M$1583-tax*Sens!$M$1584-ext_sh*Sens!$M$1571</f>
        <v>70.7345881815338</v>
      </c>
    </row>
    <row r="1746" customFormat="false" ht="17.15" hidden="false" customHeight="false" outlineLevel="0" collapsed="false">
      <c r="A1746" s="5" t="s">
        <v>945</v>
      </c>
      <c r="B1746" s="0" t="s">
        <v>86</v>
      </c>
      <c r="H1746" s="38" t="n">
        <f aca="false">Sens!$H$1745*Sens!$H$1723</f>
        <v>-140.792482279603</v>
      </c>
      <c r="I1746" s="38" t="n">
        <f aca="false">Sens!$I$1745*Sens!$I$1723</f>
        <v>-98.4865090410443</v>
      </c>
      <c r="J1746" s="38" t="n">
        <f aca="false">Sens!$J$1745*Sens!$J$1723</f>
        <v>-61.6236828165788</v>
      </c>
      <c r="K1746" s="38" t="n">
        <f aca="false">Sens!$K$1745*Sens!$K$1723</f>
        <v>6.63612450774132</v>
      </c>
      <c r="L1746" s="38" t="n">
        <f aca="false">Sens!$L$1745*Sens!$L$1723</f>
        <v>38.9889882856868</v>
      </c>
      <c r="M1746" s="38" t="n">
        <f aca="false">Sens!$M$1745*Sens!$M$1723</f>
        <v>39.1985686602114</v>
      </c>
    </row>
    <row r="1747" customFormat="false" ht="17.15" hidden="false" customHeight="false" outlineLevel="0" collapsed="false">
      <c r="A1747" s="5" t="s">
        <v>946</v>
      </c>
      <c r="B1747" s="0" t="s">
        <v>86</v>
      </c>
      <c r="C1747" s="38" t="n">
        <f aca="false">Sens!$M$1584*(1-tax)*(1+tg)*(1-tg/ronic)/(wacc-tg)</f>
        <v>483.216728518811</v>
      </c>
    </row>
    <row r="1748" customFormat="false" ht="17.15" hidden="false" customHeight="false" outlineLevel="0" collapsed="false">
      <c r="A1748" s="0" t="s">
        <v>947</v>
      </c>
      <c r="B1748" s="0" t="s">
        <v>86</v>
      </c>
      <c r="C1748" s="38" t="n">
        <f aca="false">(SUM(Sens!$I$1746:$M$1746)+Sens!$C$1747/(1+wacc)^6)*(1+wacc)^tp_yf</f>
        <v>194.965433602989</v>
      </c>
    </row>
    <row r="1749" customFormat="false" ht="17.15" hidden="false" customHeight="false" outlineLevel="0" collapsed="false">
      <c r="A1749" s="5" t="s">
        <v>948</v>
      </c>
      <c r="B1749" s="0" t="s">
        <v>86</v>
      </c>
      <c r="C1749" s="38" t="n">
        <f aca="false">(1-tp_yf)*(Sens!$H$1666)+tp_yf*(Sens!$I$1666)</f>
        <v>89.4233218465318</v>
      </c>
    </row>
    <row r="1750" customFormat="false" ht="17.15" hidden="false" customHeight="false" outlineLevel="0" collapsed="false">
      <c r="A1750" s="5" t="s">
        <v>949</v>
      </c>
      <c r="B1750" s="0" t="s">
        <v>86</v>
      </c>
      <c r="C1750" s="38" t="n">
        <f aca="false">Sens!$C$1749*m_ai</f>
        <v>536.539931079191</v>
      </c>
    </row>
    <row r="1751" customFormat="false" ht="17.15" hidden="false" customHeight="false" outlineLevel="0" collapsed="false">
      <c r="A1751" s="0" t="s">
        <v>950</v>
      </c>
      <c r="B1751" s="0" t="s">
        <v>86</v>
      </c>
      <c r="C1751" s="38" t="n">
        <f aca="false">IF(ai_leg=1,Sens!$C$1748,Sens!$C$1750)</f>
        <v>194.965433602989</v>
      </c>
    </row>
    <row r="1752" customFormat="false" ht="17.15" hidden="false" customHeight="false" outlineLevel="0" collapsed="false">
      <c r="A1752" s="5" t="s">
        <v>951</v>
      </c>
      <c r="B1752" s="0" t="s">
        <v>86</v>
      </c>
      <c r="C1752" s="38" t="n">
        <f aca="false">Sens!$C$1738+Sens!$C$1741+Sens!$C$1744+Sens!$C$1751</f>
        <v>2975.99113043153</v>
      </c>
    </row>
    <row r="1753" customFormat="false" ht="17.15" hidden="false" customHeight="false" outlineLevel="0" collapsed="false">
      <c r="A1753" s="5" t="s">
        <v>952</v>
      </c>
      <c r="B1753" s="0" t="s">
        <v>86</v>
      </c>
      <c r="C1753" s="38" t="n">
        <f aca="false">Sens!$H$1706+fin_debt</f>
        <v>220.219425474281</v>
      </c>
    </row>
    <row r="1754" customFormat="false" ht="15" hidden="false" customHeight="false" outlineLevel="0" collapsed="false">
      <c r="A1754" s="5" t="s">
        <v>953</v>
      </c>
      <c r="B1754" s="0" t="s">
        <v>86</v>
      </c>
      <c r="C1754" s="38" t="n">
        <f aca="false">Sens!$C$1752-Sens!$C$1753+Sens!$C$1731</f>
        <v>2934.71570495725</v>
      </c>
    </row>
    <row r="1755" customFormat="false" ht="15" hidden="false" customHeight="false" outlineLevel="0" collapsed="false">
      <c r="A1755" s="3" t="s">
        <v>954</v>
      </c>
      <c r="B1755" s="8" t="s">
        <v>27</v>
      </c>
      <c r="C1755" s="30" t="n">
        <f aca="false">Sens!$C$1754/sh_val</f>
        <v>266.059126236773</v>
      </c>
    </row>
    <row r="1756" customFormat="false" ht="17.15" hidden="false" customHeight="false" outlineLevel="0" collapsed="false">
      <c r="A1756" s="47" t="s">
        <v>955</v>
      </c>
      <c r="B1756" s="14" t="s">
        <v>27</v>
      </c>
      <c r="C1756" s="44" t="n">
        <f aca="false">w_dcf*Sens!$C$1734+(1-w_dcf)*Sens!$C$1755</f>
        <v>201.207445471377</v>
      </c>
      <c r="D1756" s="14"/>
      <c r="E1756" s="14"/>
      <c r="F1756" s="14"/>
      <c r="G1756" s="14"/>
      <c r="H1756" s="14"/>
      <c r="I1756" s="14"/>
      <c r="J1756" s="14"/>
      <c r="K1756" s="14"/>
      <c r="L1756" s="14"/>
      <c r="M1756" s="14"/>
      <c r="N1756" s="14"/>
      <c r="O1756" s="14"/>
    </row>
    <row r="1757" customFormat="false" ht="17.15" hidden="false" customHeight="false" outlineLevel="0" collapsed="false">
      <c r="A1757" s="5" t="s">
        <v>956</v>
      </c>
      <c r="B1757" s="0" t="s">
        <v>27</v>
      </c>
      <c r="C1757" s="30" t="n">
        <f aca="false">v022_wdcf*Sens!$C$1734+(1-v022_wdcf)*Sens!$C$1755</f>
        <v>207.692613547916</v>
      </c>
    </row>
    <row r="1758" customFormat="false" ht="17.15" hidden="false" customHeight="false" outlineLevel="0" collapsed="false">
      <c r="A1758" s="5" t="s">
        <v>957</v>
      </c>
      <c r="B1758" s="0" t="s">
        <v>27</v>
      </c>
      <c r="C1758" s="30" t="n">
        <f aca="false">(Sens!$C$1754-Sens!$C$1751+Sens!$C$1750)/sh_val</f>
        <v>297.026014167271</v>
      </c>
    </row>
    <row r="1761" customFormat="false" ht="19.4" hidden="false" customHeight="false" outlineLevel="0" collapsed="false">
      <c r="A1761" s="31" t="s">
        <v>1170</v>
      </c>
    </row>
    <row r="1762" customFormat="false" ht="17.15" hidden="false" customHeight="false" outlineLevel="0" collapsed="false">
      <c r="A1762" s="6" t="s">
        <v>16</v>
      </c>
      <c r="B1762" s="6" t="s">
        <v>17</v>
      </c>
      <c r="C1762" s="20" t="s">
        <v>497</v>
      </c>
      <c r="D1762" s="20" t="s">
        <v>498</v>
      </c>
      <c r="E1762" s="20" t="s">
        <v>580</v>
      </c>
      <c r="F1762" s="20" t="s">
        <v>581</v>
      </c>
      <c r="G1762" s="20" t="s">
        <v>582</v>
      </c>
      <c r="H1762" s="20" t="s">
        <v>583</v>
      </c>
      <c r="I1762" s="20" t="s">
        <v>584</v>
      </c>
      <c r="J1762" s="20" t="s">
        <v>585</v>
      </c>
      <c r="K1762" s="20" t="s">
        <v>586</v>
      </c>
      <c r="L1762" s="20" t="s">
        <v>587</v>
      </c>
      <c r="M1762" s="20" t="s">
        <v>588</v>
      </c>
      <c r="N1762" s="20" t="s">
        <v>589</v>
      </c>
      <c r="O1762" s="20" t="s">
        <v>590</v>
      </c>
      <c r="P1762" s="6" t="s">
        <v>23</v>
      </c>
      <c r="R1762" s="20" t="n">
        <v>2023</v>
      </c>
      <c r="S1762" s="20" t="n">
        <v>2024</v>
      </c>
      <c r="T1762" s="20" t="n">
        <v>2025</v>
      </c>
      <c r="U1762" s="20" t="n">
        <v>2026</v>
      </c>
      <c r="V1762" s="20" t="n">
        <v>2027</v>
      </c>
      <c r="W1762" s="20" t="n">
        <v>2028</v>
      </c>
      <c r="X1762" s="20" t="n">
        <v>2029</v>
      </c>
      <c r="Y1762" s="20" t="n">
        <v>2030</v>
      </c>
      <c r="Z1762" s="20" t="n">
        <v>2031</v>
      </c>
      <c r="AA1762" s="20" t="n">
        <v>2032</v>
      </c>
    </row>
    <row r="1763" customFormat="false" ht="17.15" hidden="false" customHeight="false" outlineLevel="0" collapsed="false">
      <c r="A1763" s="1" t="s">
        <v>666</v>
      </c>
    </row>
    <row r="1764" customFormat="false" ht="17.15" hidden="false" customHeight="false" outlineLevel="0" collapsed="false">
      <c r="A1764" s="0" t="s">
        <v>519</v>
      </c>
      <c r="B1764" s="0" t="s">
        <v>86</v>
      </c>
      <c r="C1764" s="38" t="n">
        <f aca="false">Q!$D$10</f>
        <v>247.029</v>
      </c>
      <c r="D1764" s="38" t="n">
        <f aca="false">Q!$E$10</f>
        <v>269.287</v>
      </c>
      <c r="E1764" s="38" t="n">
        <f aca="false">Q!$P$10</f>
        <v>134.686</v>
      </c>
      <c r="F1764" s="38" t="n">
        <f aca="false">Sens!$O$1764*(1+Sens!$F$1765)*Sens!$F$1776</f>
        <v>158.293876822267</v>
      </c>
      <c r="G1764" s="38" t="n">
        <f aca="false">Sens!$E$1764+Sens!$F$1764</f>
        <v>292.979876822267</v>
      </c>
      <c r="H1764" s="38" t="n">
        <f aca="false">Sens!$G$1764*(1+Sens!$H$1765)</f>
        <v>318.184543087396</v>
      </c>
      <c r="I1764" s="38" t="n">
        <f aca="false">Sens!$H$1764*(1+Sens!$I$1765)</f>
        <v>341.736278761793</v>
      </c>
      <c r="J1764" s="38" t="n">
        <f aca="false">Sens!$I$1764*(1+Sens!$J$1765)</f>
        <v>362.927192787048</v>
      </c>
      <c r="K1764" s="38" t="n">
        <f aca="false">Sens!$J$1764*(1+Sens!$K$1765)</f>
        <v>381.0735524264</v>
      </c>
      <c r="L1764" s="38" t="n">
        <f aca="false">Sens!$K$1764*(1+Sens!$L$1765)</f>
        <v>400.12723004772</v>
      </c>
      <c r="M1764" s="38" t="n">
        <f aca="false">Sens!$L$1764*(1+Sens!$M$1765)</f>
        <v>420.133591550106</v>
      </c>
      <c r="N1764" s="38" t="n">
        <f aca="false">Q!$N$10</f>
        <v>118.892</v>
      </c>
      <c r="O1764" s="38" t="n">
        <f aca="false">Q!$O$10</f>
        <v>150.395</v>
      </c>
      <c r="P1764" s="8" t="s">
        <v>667</v>
      </c>
    </row>
    <row r="1765" customFormat="false" ht="17.15" hidden="false" customHeight="false" outlineLevel="0" collapsed="false">
      <c r="A1765" s="0" t="s">
        <v>668</v>
      </c>
      <c r="B1765" s="0" t="s">
        <v>52</v>
      </c>
      <c r="E1765" s="13" t="n">
        <f aca="false">Sens!$E$1764/Sens!$N$1764-1</f>
        <v>0.132843252699929</v>
      </c>
      <c r="F1765" s="13" t="n">
        <f aca="false">Sens!$O$1764/(Q!$F$10+Q!$G$10)-1</f>
        <v>0.0980382135842941</v>
      </c>
      <c r="G1765" s="13" t="n">
        <f aca="false">Sens!$G$1764/Sens!$D$1764-1</f>
        <v>0.0879837378791657</v>
      </c>
      <c r="H1765" s="13" t="n">
        <f aca="false">Sens!$F$1765+(g_os-Sens!$F$1765)*1/4</f>
        <v>0.0860286601882206</v>
      </c>
      <c r="I1765" s="13" t="n">
        <f aca="false">Sens!$F$1765+(g_os-Sens!$F$1765)*2/4</f>
        <v>0.074019106792147</v>
      </c>
      <c r="J1765" s="13" t="n">
        <f aca="false">Sens!$F$1765+(g_os-Sens!$F$1765)*3/4</f>
        <v>0.0620095533960735</v>
      </c>
      <c r="K1765" s="13" t="n">
        <f aca="false">Sens!$F$1765+(g_os-Sens!$F$1765)*4/4</f>
        <v>0.05</v>
      </c>
      <c r="L1765" s="13" t="n">
        <f aca="false">g_os</f>
        <v>0.05</v>
      </c>
      <c r="M1765" s="13" t="n">
        <f aca="false">g_os</f>
        <v>0.05</v>
      </c>
      <c r="P1765" s="8" t="s">
        <v>669</v>
      </c>
    </row>
    <row r="1766" customFormat="false" ht="17.15" hidden="false" customHeight="false" outlineLevel="0" collapsed="false">
      <c r="A1766" s="0" t="s">
        <v>520</v>
      </c>
      <c r="B1766" s="0" t="s">
        <v>86</v>
      </c>
      <c r="C1766" s="38" t="n">
        <f aca="false">Q!$D$11</f>
        <v>21.215</v>
      </c>
      <c r="D1766" s="38" t="n">
        <f aca="false">Q!$E$11</f>
        <v>22.561</v>
      </c>
      <c r="E1766" s="38" t="n">
        <f aca="false">Q!$P$11</f>
        <v>11.579</v>
      </c>
      <c r="F1766" s="38" t="n">
        <f aca="false">Sens!$O$1766*(1+Sens!$F$1767)*Sens!$F$1776</f>
        <v>11.5938724610325</v>
      </c>
      <c r="G1766" s="38" t="n">
        <f aca="false">Sens!$E$1766+Sens!$F$1766</f>
        <v>23.1728724610325</v>
      </c>
      <c r="H1766" s="38" t="n">
        <f aca="false">Sens!$G$1766*(1+Sens!$H$1767)</f>
        <v>24.353392759506</v>
      </c>
      <c r="I1766" s="38" t="n">
        <f aca="false">Sens!$H$1766*(1+Sens!$I$1767)</f>
        <v>25.4240338872015</v>
      </c>
      <c r="J1766" s="38" t="n">
        <f aca="false">Sens!$I$1766*(1+Sens!$J$1767)</f>
        <v>26.3642491017174</v>
      </c>
      <c r="K1766" s="38" t="n">
        <f aca="false">Sens!$J$1766*(1+Sens!$K$1767)</f>
        <v>27.155176574769</v>
      </c>
      <c r="L1766" s="38" t="n">
        <f aca="false">Sens!$K$1766*(1+Sens!$L$1767)</f>
        <v>27.969831872012</v>
      </c>
      <c r="M1766" s="38" t="n">
        <f aca="false">Sens!$L$1766*(1+Sens!$M$1767)</f>
        <v>28.8089268281724</v>
      </c>
      <c r="N1766" s="38" t="n">
        <f aca="false">Q!$N$11</f>
        <v>11.128</v>
      </c>
      <c r="O1766" s="38" t="n">
        <f aca="false">Q!$O$11</f>
        <v>11.433</v>
      </c>
      <c r="P1766" s="8" t="s">
        <v>667</v>
      </c>
    </row>
    <row r="1767" customFormat="false" ht="17.15" hidden="false" customHeight="false" outlineLevel="0" collapsed="false">
      <c r="A1767" s="0" t="s">
        <v>670</v>
      </c>
      <c r="B1767" s="0" t="s">
        <v>52</v>
      </c>
      <c r="E1767" s="13" t="n">
        <f aca="false">Sens!$E$1766/Sens!$N$1766-1</f>
        <v>0.0405283968368082</v>
      </c>
      <c r="F1767" s="13" t="n">
        <f aca="false">Sens!$O$1766/(Q!$F$11+Q!$G$11)-1</f>
        <v>0.0579254187100955</v>
      </c>
      <c r="G1767" s="13" t="n">
        <f aca="false">Sens!$G$1766/Sens!$D$1766-1</f>
        <v>0.0271208040881397</v>
      </c>
      <c r="H1767" s="13" t="n">
        <f aca="false">Sens!$F$1767+(g_ps-Sens!$F$1767)*1/4</f>
        <v>0.0509440640325716</v>
      </c>
      <c r="I1767" s="13" t="n">
        <f aca="false">Sens!$F$1767+(g_ps-Sens!$F$1767)*2/4</f>
        <v>0.0439627093550477</v>
      </c>
      <c r="J1767" s="13" t="n">
        <f aca="false">Sens!$F$1767+(g_ps-Sens!$F$1767)*3/4</f>
        <v>0.0369813546775239</v>
      </c>
      <c r="K1767" s="13" t="n">
        <f aca="false">Sens!$F$1767+(g_ps-Sens!$F$1767)*4/4</f>
        <v>0.03</v>
      </c>
      <c r="L1767" s="13" t="n">
        <f aca="false">g_ps</f>
        <v>0.03</v>
      </c>
      <c r="M1767" s="13" t="n">
        <f aca="false">g_ps</f>
        <v>0.03</v>
      </c>
      <c r="P1767" s="8" t="s">
        <v>671</v>
      </c>
    </row>
    <row r="1768" customFormat="false" ht="17.15" hidden="false" customHeight="false" outlineLevel="0" collapsed="false">
      <c r="A1768" s="0" t="s">
        <v>521</v>
      </c>
      <c r="B1768" s="0" t="s">
        <v>86</v>
      </c>
      <c r="C1768" s="38" t="n">
        <f aca="false">Q!$D$12</f>
        <v>156.146</v>
      </c>
      <c r="D1768" s="38" t="n">
        <f aca="false">Q!$E$12</f>
        <v>172.162</v>
      </c>
      <c r="E1768" s="38" t="n">
        <f aca="false">Q!$P$12</f>
        <v>88.358</v>
      </c>
      <c r="F1768" s="38" t="n">
        <f aca="false">Sens!$O$1768*(1+Sens!$F$1769)*Sens!$F$1776</f>
        <v>102.004388260171</v>
      </c>
      <c r="G1768" s="38" t="n">
        <f aca="false">Sens!$E$1768+Sens!$F$1768</f>
        <v>190.362388260171</v>
      </c>
      <c r="H1768" s="38" t="n">
        <f aca="false">Sens!$G$1768*(1+Sens!$H$1769)</f>
        <v>210.343106588311</v>
      </c>
      <c r="I1768" s="38" t="n">
        <f aca="false">Sens!$H$1768*(1+Sens!$I$1769)</f>
        <v>229.969728494648</v>
      </c>
      <c r="J1768" s="38" t="n">
        <f aca="false">Sens!$I$1768*(1+Sens!$J$1769)</f>
        <v>248.747636972598</v>
      </c>
      <c r="K1768" s="38" t="n">
        <f aca="false">Sens!$J$1768*(1+Sens!$K$1769)</f>
        <v>266.15997156068</v>
      </c>
      <c r="L1768" s="38" t="n">
        <f aca="false">Sens!$K$1768*(1+Sens!$L$1769)</f>
        <v>284.791169569927</v>
      </c>
      <c r="M1768" s="38" t="n">
        <f aca="false">Sens!$L$1768*(1+Sens!$M$1769)</f>
        <v>304.726551439822</v>
      </c>
      <c r="N1768" s="38" t="n">
        <f aca="false">Q!$N$12</f>
        <v>76.86</v>
      </c>
      <c r="O1768" s="38" t="n">
        <f aca="false">Q!$O$12</f>
        <v>95.302</v>
      </c>
      <c r="P1768" s="8" t="s">
        <v>667</v>
      </c>
    </row>
    <row r="1769" customFormat="false" ht="17.15" hidden="false" customHeight="false" outlineLevel="0" collapsed="false">
      <c r="A1769" s="0" t="s">
        <v>672</v>
      </c>
      <c r="B1769" s="0" t="s">
        <v>52</v>
      </c>
      <c r="E1769" s="13" t="n">
        <f aca="false">Sens!$E$1768/Sens!$N$1768-1</f>
        <v>0.1495966692688</v>
      </c>
      <c r="F1769" s="13" t="n">
        <f aca="false">Sens!$O$1768/(Q!$F$12+Q!$G$12)-1</f>
        <v>0.11661530890813</v>
      </c>
      <c r="G1769" s="13" t="n">
        <f aca="false">Sens!$G$1768/Sens!$D$1768-1</f>
        <v>0.105716640490767</v>
      </c>
      <c r="H1769" s="13" t="n">
        <f aca="false">Sens!$F$1769+(g_sp-Sens!$F$1769)*1/4</f>
        <v>0.104961481681098</v>
      </c>
      <c r="I1769" s="13" t="n">
        <f aca="false">Sens!$F$1769+(g_sp-Sens!$F$1769)*2/4</f>
        <v>0.0933076544540651</v>
      </c>
      <c r="J1769" s="13" t="n">
        <f aca="false">Sens!$F$1769+(g_sp-Sens!$F$1769)*3/4</f>
        <v>0.0816538272270325</v>
      </c>
      <c r="K1769" s="13" t="n">
        <f aca="false">Sens!$F$1769+(g_sp-Sens!$F$1769)*4/4</f>
        <v>0.07</v>
      </c>
      <c r="L1769" s="13" t="n">
        <f aca="false">g_sp</f>
        <v>0.07</v>
      </c>
      <c r="M1769" s="13" t="n">
        <f aca="false">g_sp</f>
        <v>0.07</v>
      </c>
      <c r="P1769" s="8" t="s">
        <v>673</v>
      </c>
    </row>
    <row r="1770" customFormat="false" ht="17.15" hidden="false" customHeight="false" outlineLevel="0" collapsed="false">
      <c r="A1770" s="0" t="s">
        <v>522</v>
      </c>
      <c r="B1770" s="0" t="s">
        <v>86</v>
      </c>
      <c r="C1770" s="38" t="n">
        <f aca="false">Q!$D$13</f>
        <v>56.214</v>
      </c>
      <c r="D1770" s="38" t="n">
        <f aca="false">Q!$E$13</f>
        <v>68.635</v>
      </c>
      <c r="E1770" s="38" t="n">
        <f aca="false">Q!$P$13</f>
        <v>37.052</v>
      </c>
      <c r="F1770" s="38" t="n">
        <f aca="false">Sens!$O$1770*(1+Sens!$F$1771)*Sens!$F$1776</f>
        <v>46.1572219944148</v>
      </c>
      <c r="G1770" s="38" t="n">
        <f aca="false">Sens!$E$1770+Sens!$F$1770</f>
        <v>83.2092219944148</v>
      </c>
      <c r="H1770" s="38" t="n">
        <f aca="false">Sens!$G$1770*(1+Sens!$H$1771)</f>
        <v>99.8969223878976</v>
      </c>
      <c r="I1770" s="38" t="n">
        <f aca="false">Sens!$H$1770*(1+Sens!$I$1771)</f>
        <v>116.583111095496</v>
      </c>
      <c r="J1770" s="38" t="n">
        <f aca="false">Sens!$I$1770*(1+Sens!$J$1771)</f>
        <v>132.148941941952</v>
      </c>
      <c r="K1770" s="38" t="n">
        <f aca="false">Sens!$J$1770*(1+Sens!$K$1771)</f>
        <v>145.363836136147</v>
      </c>
      <c r="L1770" s="38" t="n">
        <f aca="false">Sens!$K$1770*(1+Sens!$L$1771)</f>
        <v>159.900219749762</v>
      </c>
      <c r="M1770" s="38" t="n">
        <f aca="false">Sens!$L$1770*(1+Sens!$M$1771)</f>
        <v>175.890241724738</v>
      </c>
      <c r="N1770" s="38" t="n">
        <f aca="false">Q!$N$13</f>
        <v>29.615</v>
      </c>
      <c r="O1770" s="38" t="n">
        <f aca="false">Q!$O$13</f>
        <v>39.02</v>
      </c>
      <c r="P1770" s="8" t="s">
        <v>667</v>
      </c>
    </row>
    <row r="1771" customFormat="false" ht="17.15" hidden="false" customHeight="false" outlineLevel="0" collapsed="false">
      <c r="A1771" s="0" t="s">
        <v>674</v>
      </c>
      <c r="B1771" s="0" t="s">
        <v>52</v>
      </c>
      <c r="E1771" s="13" t="n">
        <f aca="false">Sens!$E$1770/Sens!$N$1770-1</f>
        <v>0.25112274185379</v>
      </c>
      <c r="F1771" s="13" t="n">
        <f aca="false">Sens!$O$1770/(Q!$F$13+Q!$G$13)-1</f>
        <v>0.234068123596572</v>
      </c>
      <c r="G1771" s="13" t="n">
        <f aca="false">Sens!$G$1770/Sens!$D$1770-1</f>
        <v>0.212343876949294</v>
      </c>
      <c r="H1771" s="13" t="n">
        <f aca="false">Sens!$F$1771+(g_ad-Sens!$F$1771)*1/4</f>
        <v>0.200551092697429</v>
      </c>
      <c r="I1771" s="13" t="n">
        <f aca="false">Sens!$F$1771+(g_ad-Sens!$F$1771)*2/4</f>
        <v>0.167034061798286</v>
      </c>
      <c r="J1771" s="13" t="n">
        <f aca="false">Sens!$F$1771+(g_ad-Sens!$F$1771)*3/4</f>
        <v>0.133517030899143</v>
      </c>
      <c r="K1771" s="13" t="n">
        <f aca="false">Sens!$F$1771+(g_ad-Sens!$F$1771)*4/4</f>
        <v>0.1</v>
      </c>
      <c r="L1771" s="13" t="n">
        <f aca="false">g_ad</f>
        <v>0.1</v>
      </c>
      <c r="M1771" s="13" t="n">
        <f aca="false">g_ad</f>
        <v>0.1</v>
      </c>
      <c r="P1771" s="8" t="s">
        <v>675</v>
      </c>
    </row>
    <row r="1772" customFormat="false" ht="17.15" hidden="false" customHeight="false" outlineLevel="0" collapsed="false">
      <c r="A1772" s="0" t="s">
        <v>523</v>
      </c>
      <c r="B1772" s="0" t="s">
        <v>86</v>
      </c>
      <c r="C1772" s="38" t="n">
        <f aca="false">Q!$D$14</f>
        <v>44.374</v>
      </c>
      <c r="D1772" s="38" t="n">
        <f aca="false">Q!$E$14</f>
        <v>49.619</v>
      </c>
      <c r="E1772" s="38" t="n">
        <f aca="false">Q!$P$14</f>
        <v>27.157</v>
      </c>
      <c r="F1772" s="38" t="n">
        <f aca="false">Sens!$O$1772*(1+Sens!$F$1773)*Sens!$F$1776</f>
        <v>27.7764165988154</v>
      </c>
      <c r="G1772" s="38" t="n">
        <f aca="false">Sens!$E$1772+Sens!$F$1772</f>
        <v>54.9334165988154</v>
      </c>
      <c r="H1772" s="38" t="n">
        <f aca="false">Sens!$G$1772*(1+Sens!$H$1773)</f>
        <v>61.1564112561829</v>
      </c>
      <c r="I1772" s="38" t="n">
        <f aca="false">Sens!$H$1772*(1+Sens!$I$1773)</f>
        <v>67.2020282103945</v>
      </c>
      <c r="J1772" s="38" t="n">
        <f aca="false">Sens!$I$1772*(1+Sens!$J$1773)</f>
        <v>72.8757274028885</v>
      </c>
      <c r="K1772" s="38" t="n">
        <f aca="false">Sens!$J$1772*(1+Sens!$K$1773)</f>
        <v>77.9770283210907</v>
      </c>
      <c r="L1772" s="38" t="n">
        <f aca="false">Sens!$K$1772*(1+Sens!$L$1773)</f>
        <v>83.4354203035671</v>
      </c>
      <c r="M1772" s="38" t="n">
        <f aca="false">Sens!$L$1772*(1+Sens!$M$1773)</f>
        <v>89.2758997248168</v>
      </c>
      <c r="N1772" s="38" t="n">
        <f aca="false">Q!$N$14</f>
        <v>23.923</v>
      </c>
      <c r="O1772" s="38" t="n">
        <f aca="false">Q!$O$14</f>
        <v>25.696</v>
      </c>
      <c r="P1772" s="8" t="s">
        <v>667</v>
      </c>
    </row>
    <row r="1773" customFormat="false" ht="17.15" hidden="false" customHeight="false" outlineLevel="0" collapsed="false">
      <c r="A1773" s="0" t="s">
        <v>676</v>
      </c>
      <c r="B1773" s="0" t="s">
        <v>52</v>
      </c>
      <c r="E1773" s="13" t="n">
        <f aca="false">Sens!$E$1772/Sens!$N$1772-1</f>
        <v>0.135183714417088</v>
      </c>
      <c r="F1773" s="13" t="n">
        <f aca="false">Sens!$O$1772/(Q!$F$14+Q!$G$14)-1</f>
        <v>0.127709997366804</v>
      </c>
      <c r="G1773" s="13" t="n">
        <f aca="false">Sens!$G$1772/Sens!$D$1772-1</f>
        <v>0.107104468022641</v>
      </c>
      <c r="H1773" s="13" t="n">
        <f aca="false">Sens!$F$1773+(g_sub-Sens!$F$1773)*1/4</f>
        <v>0.113282498025103</v>
      </c>
      <c r="I1773" s="13" t="n">
        <f aca="false">Sens!$F$1773+(g_sub-Sens!$F$1773)*2/4</f>
        <v>0.0988549986834021</v>
      </c>
      <c r="J1773" s="13" t="n">
        <f aca="false">Sens!$F$1773+(g_sub-Sens!$F$1773)*3/4</f>
        <v>0.084427499341701</v>
      </c>
      <c r="K1773" s="13" t="n">
        <f aca="false">Sens!$F$1773+(g_sub-Sens!$F$1773)*4/4</f>
        <v>0.07</v>
      </c>
      <c r="L1773" s="13" t="n">
        <f aca="false">g_sub</f>
        <v>0.07</v>
      </c>
      <c r="M1773" s="13" t="n">
        <f aca="false">g_sub</f>
        <v>0.07</v>
      </c>
      <c r="P1773" s="8" t="s">
        <v>677</v>
      </c>
    </row>
    <row r="1774" customFormat="false" ht="17.15" hidden="false" customHeight="false" outlineLevel="0" collapsed="false">
      <c r="A1774" s="0" t="s">
        <v>524</v>
      </c>
      <c r="B1774" s="0" t="s">
        <v>86</v>
      </c>
      <c r="C1774" s="38" t="n">
        <f aca="false">Q!$D$15</f>
        <v>5.425</v>
      </c>
      <c r="D1774" s="38" t="n">
        <f aca="false">Q!$E$15</f>
        <v>5.935</v>
      </c>
      <c r="E1774" s="38" t="n">
        <f aca="false">Q!$P$15</f>
        <v>3.474</v>
      </c>
      <c r="F1774" s="38" t="n">
        <f aca="false">Sens!$O$1774*(1+Sens!$F$1775)*Sens!$F$1776</f>
        <v>3.22246550883619</v>
      </c>
      <c r="G1774" s="38" t="n">
        <f aca="false">Sens!$E$1774+Sens!$F$1774</f>
        <v>6.69646550883619</v>
      </c>
      <c r="H1774" s="38" t="n">
        <f aca="false">Sens!$G$1774*(1+Sens!$H$1775)</f>
        <v>7.16251344209196</v>
      </c>
      <c r="I1774" s="38" t="n">
        <f aca="false">Sens!$H$1774*(1+Sens!$I$1775)</f>
        <v>7.61421070299826</v>
      </c>
      <c r="J1774" s="38" t="n">
        <f aca="false">Sens!$I$1774*(1+Sens!$J$1775)</f>
        <v>8.04465753523932</v>
      </c>
      <c r="K1774" s="38" t="n">
        <f aca="false">Sens!$J$1774*(1+Sens!$K$1775)</f>
        <v>8.44689041200128</v>
      </c>
      <c r="L1774" s="38" t="n">
        <f aca="false">Sens!$K$1774*(1+Sens!$L$1775)</f>
        <v>8.86923493260135</v>
      </c>
      <c r="M1774" s="38" t="n">
        <f aca="false">Sens!$L$1774*(1+Sens!$M$1775)</f>
        <v>9.31269667923142</v>
      </c>
      <c r="N1774" s="38" t="n">
        <f aca="false">Q!$N$15</f>
        <v>2.811</v>
      </c>
      <c r="O1774" s="38" t="n">
        <f aca="false">Q!$O$15</f>
        <v>3.124</v>
      </c>
      <c r="P1774" s="8" t="s">
        <v>667</v>
      </c>
    </row>
    <row r="1775" customFormat="false" ht="17.15" hidden="false" customHeight="false" outlineLevel="0" collapsed="false">
      <c r="A1775" s="0" t="s">
        <v>678</v>
      </c>
      <c r="B1775" s="0" t="s">
        <v>52</v>
      </c>
      <c r="E1775" s="13" t="n">
        <f aca="false">Sens!$E$1774/Sens!$N$1774-1</f>
        <v>0.235859124866596</v>
      </c>
      <c r="F1775" s="13" t="n">
        <f aca="false">Sens!$O$1774/(Q!$F$15+Q!$G$15)-1</f>
        <v>0.0761281433000345</v>
      </c>
      <c r="G1775" s="13" t="n">
        <f aca="false">Sens!$G$1774/Sens!$D$1774-1</f>
        <v>0.128300843948811</v>
      </c>
      <c r="H1775" s="13" t="n">
        <f aca="false">Sens!$F$1775+(g_ot-Sens!$F$1775)*1/4</f>
        <v>0.0695961074750259</v>
      </c>
      <c r="I1775" s="13" t="n">
        <f aca="false">Sens!$F$1775+(g_ot-Sens!$F$1775)*2/4</f>
        <v>0.0630640716500172</v>
      </c>
      <c r="J1775" s="13" t="n">
        <f aca="false">Sens!$F$1775+(g_ot-Sens!$F$1775)*3/4</f>
        <v>0.0565320358250086</v>
      </c>
      <c r="K1775" s="13" t="n">
        <f aca="false">Sens!$F$1775+(g_ot-Sens!$F$1775)*4/4</f>
        <v>0.05</v>
      </c>
      <c r="L1775" s="13" t="n">
        <f aca="false">g_ot</f>
        <v>0.05</v>
      </c>
      <c r="M1775" s="13" t="n">
        <f aca="false">g_ot</f>
        <v>0.05</v>
      </c>
      <c r="P1775" s="8" t="s">
        <v>679</v>
      </c>
    </row>
    <row r="1776" customFormat="false" ht="17.15" hidden="false" customHeight="false" outlineLevel="0" collapsed="false">
      <c r="A1776" s="0" t="s">
        <v>680</v>
      </c>
      <c r="B1776" s="0" t="s">
        <v>57</v>
      </c>
      <c r="F1776" s="40" t="n">
        <f aca="false">(g26q3_mid*Q!$O$8/Q!$J$8-Thesis!$F$86-Thesis!$F$90)/(Sens!$O$1764*(1+Sens!$F$1765)+Sens!$O$1766*(1+Sens!$F$1767)+Sens!$O$1768*(1+Sens!$F$1769)+Sens!$O$1770*(1+Sens!$F$1771)+Sens!$O$1772*(1+Sens!$F$1773)+Sens!$O$1774*(1+Sens!$F$1775))</f>
        <v>0.958546670622329</v>
      </c>
      <c r="P1776" s="8" t="s">
        <v>681</v>
      </c>
    </row>
    <row r="1777" customFormat="false" ht="17.15" hidden="false" customHeight="false" outlineLevel="0" collapsed="false">
      <c r="A1777" s="3" t="s">
        <v>682</v>
      </c>
      <c r="B1777" s="8" t="s">
        <v>86</v>
      </c>
      <c r="C1777" s="38" t="n">
        <f aca="false">Sens!$C$1764+Sens!$C$1766+Sens!$C$1768+Sens!$C$1770+Sens!$C$1772+Sens!$C$1774</f>
        <v>530.403</v>
      </c>
      <c r="D1777" s="38" t="n">
        <f aca="false">Sens!$D$1764+Sens!$D$1766+Sens!$D$1768+Sens!$D$1770+Sens!$D$1772+Sens!$D$1774</f>
        <v>588.199</v>
      </c>
      <c r="E1777" s="38" t="n">
        <f aca="false">Sens!$E$1764+Sens!$E$1766+Sens!$E$1768+Sens!$E$1770+Sens!$E$1772+Sens!$E$1774</f>
        <v>302.306</v>
      </c>
      <c r="F1777" s="38" t="n">
        <f aca="false">Sens!$F$1764+Sens!$F$1766+Sens!$F$1768+Sens!$F$1770+Sens!$F$1772+Sens!$F$1774</f>
        <v>349.048241645537</v>
      </c>
      <c r="G1777" s="38" t="n">
        <f aca="false">Sens!$G$1764+Sens!$G$1766+Sens!$G$1768+Sens!$G$1770+Sens!$G$1772+Sens!$G$1774</f>
        <v>651.354241645537</v>
      </c>
      <c r="H1777" s="38" t="n">
        <f aca="false">Sens!$H$1764+Sens!$H$1766+Sens!$H$1768+Sens!$H$1770+Sens!$H$1772+Sens!$H$1774</f>
        <v>721.096889521386</v>
      </c>
      <c r="I1777" s="38" t="n">
        <f aca="false">Sens!$I$1764+Sens!$I$1766+Sens!$I$1768+Sens!$I$1770+Sens!$I$1772+Sens!$I$1774</f>
        <v>788.529391152531</v>
      </c>
      <c r="J1777" s="38" t="n">
        <f aca="false">Sens!$J$1764+Sens!$J$1766+Sens!$J$1768+Sens!$J$1770+Sens!$J$1772+Sens!$J$1774</f>
        <v>851.108405741443</v>
      </c>
      <c r="K1777" s="38" t="n">
        <f aca="false">Sens!$K$1764+Sens!$K$1766+Sens!$K$1768+Sens!$K$1770+Sens!$K$1772+Sens!$K$1774</f>
        <v>906.176455431088</v>
      </c>
      <c r="L1777" s="38" t="n">
        <f aca="false">Sens!$L$1764+Sens!$L$1766+Sens!$L$1768+Sens!$L$1770+Sens!$L$1772+Sens!$L$1774</f>
        <v>965.093106475589</v>
      </c>
      <c r="M1777" s="38" t="n">
        <f aca="false">Sens!$M$1764+Sens!$M$1766+Sens!$M$1768+Sens!$M$1770+Sens!$M$1772+Sens!$M$1774</f>
        <v>1028.14790794689</v>
      </c>
      <c r="N1777" s="38" t="n">
        <f aca="false">Sens!$N$1764+Sens!$N$1766+Sens!$N$1768+Sens!$N$1770+Sens!$N$1772+Sens!$N$1774</f>
        <v>263.229</v>
      </c>
      <c r="O1777" s="38" t="n">
        <f aca="false">Sens!$O$1764+Sens!$O$1766+Sens!$O$1768+Sens!$O$1770+Sens!$O$1772+Sens!$O$1774</f>
        <v>324.97</v>
      </c>
    </row>
    <row r="1778" customFormat="false" ht="17.15" hidden="false" customHeight="false" outlineLevel="0" collapsed="false">
      <c r="A1778" s="5" t="s">
        <v>683</v>
      </c>
      <c r="B1778" s="0" t="s">
        <v>52</v>
      </c>
      <c r="C1778" s="13" t="n">
        <f aca="false">Q!$D$5/(Q!$D$5+Q!$D$6)</f>
        <v>0.730570905519011</v>
      </c>
      <c r="D1778" s="13" t="n">
        <f aca="false">Q!$E$5/(Q!$E$5+Q!$E$6)</f>
        <v>0.724763217890544</v>
      </c>
      <c r="E1778" s="13" t="n">
        <f aca="false">Q!$P$5/(Q!$P$5+Q!$P$6)</f>
        <v>0.728797972914861</v>
      </c>
      <c r="F1778" s="13" t="n">
        <f aca="false">Sens!$O$1778</f>
        <v>0.718066283041511</v>
      </c>
      <c r="G1778" s="13" t="n">
        <f aca="false">Sens!$G$1779/Sens!$G$1777</f>
        <v>0.723047066202847</v>
      </c>
      <c r="H1778" s="13" t="n">
        <f aca="false">Sens!$G$1778</f>
        <v>0.723047066202847</v>
      </c>
      <c r="I1778" s="13" t="n">
        <f aca="false">Sens!$G$1778</f>
        <v>0.723047066202847</v>
      </c>
      <c r="J1778" s="13" t="n">
        <f aca="false">Sens!$G$1778</f>
        <v>0.723047066202847</v>
      </c>
      <c r="K1778" s="13" t="n">
        <f aca="false">Sens!$G$1778</f>
        <v>0.723047066202847</v>
      </c>
      <c r="L1778" s="13" t="n">
        <f aca="false">Sens!$G$1778</f>
        <v>0.723047066202847</v>
      </c>
      <c r="M1778" s="13" t="n">
        <f aca="false">Sens!$G$1778</f>
        <v>0.723047066202847</v>
      </c>
      <c r="N1778" s="13" t="n">
        <f aca="false">Q!$N$5/(Q!$N$5+Q!$N$6)</f>
        <v>0.733030935041352</v>
      </c>
      <c r="O1778" s="13" t="n">
        <f aca="false">Q!$O$5/(Q!$O$5+Q!$O$6)</f>
        <v>0.718066283041511</v>
      </c>
      <c r="P1778" s="8" t="s">
        <v>684</v>
      </c>
    </row>
    <row r="1779" customFormat="false" ht="17.15" hidden="false" customHeight="false" outlineLevel="0" collapsed="false">
      <c r="A1779" s="1" t="s">
        <v>512</v>
      </c>
      <c r="B1779" s="8" t="s">
        <v>86</v>
      </c>
      <c r="C1779" s="38" t="n">
        <f aca="false">Q!$D$5</f>
        <v>387.497</v>
      </c>
      <c r="D1779" s="38" t="n">
        <f aca="false">Q!$E$5</f>
        <v>426.305</v>
      </c>
      <c r="E1779" s="38" t="n">
        <f aca="false">Q!$P$5</f>
        <v>220.32</v>
      </c>
      <c r="F1779" s="38" t="n">
        <f aca="false">Sens!$F$1777*Sens!$F$1778</f>
        <v>250.639773480586</v>
      </c>
      <c r="G1779" s="38" t="n">
        <f aca="false">Sens!$E$1779+Sens!$F$1779</f>
        <v>470.959773480586</v>
      </c>
      <c r="H1779" s="38" t="n">
        <f aca="false">Sens!$H$1777*Sens!$H$1778</f>
        <v>521.386990416437</v>
      </c>
      <c r="I1779" s="38" t="n">
        <f aca="false">Sens!$I$1777*Sens!$I$1778</f>
        <v>570.143862887555</v>
      </c>
      <c r="J1779" s="38" t="n">
        <f aca="false">Sens!$J$1777*Sens!$J$1778</f>
        <v>615.391435791933</v>
      </c>
      <c r="K1779" s="38" t="n">
        <f aca="false">Sens!$K$1777*Sens!$K$1778</f>
        <v>655.208227561543</v>
      </c>
      <c r="L1779" s="38" t="n">
        <f aca="false">Sens!$L$1777*Sens!$L$1778</f>
        <v>697.807739249767</v>
      </c>
      <c r="M1779" s="38" t="n">
        <f aca="false">Sens!$M$1777*Sens!$M$1778</f>
        <v>743.399328463592</v>
      </c>
      <c r="N1779" s="38" t="n">
        <f aca="false">Q!$N$5</f>
        <v>192.955</v>
      </c>
      <c r="O1779" s="38" t="n">
        <f aca="false">Q!$O$5</f>
        <v>233.35</v>
      </c>
      <c r="P1779" s="5" t="s">
        <v>685</v>
      </c>
    </row>
    <row r="1780" customFormat="false" ht="17.15" hidden="false" customHeight="false" outlineLevel="0" collapsed="false">
      <c r="A1780" s="1" t="s">
        <v>515</v>
      </c>
      <c r="B1780" s="8" t="s">
        <v>86</v>
      </c>
      <c r="C1780" s="38" t="n">
        <f aca="false">Q!$D$6</f>
        <v>142.906</v>
      </c>
      <c r="D1780" s="38" t="n">
        <f aca="false">Q!$E$6</f>
        <v>161.894</v>
      </c>
      <c r="E1780" s="38" t="n">
        <f aca="false">Q!$P$6</f>
        <v>81.986</v>
      </c>
      <c r="F1780" s="38" t="n">
        <f aca="false">Sens!$F$1777*(1-Sens!$F$1778)</f>
        <v>98.408468164951</v>
      </c>
      <c r="G1780" s="38" t="n">
        <f aca="false">Sens!$E$1780+Sens!$F$1780</f>
        <v>180.394468164951</v>
      </c>
      <c r="H1780" s="38" t="n">
        <f aca="false">Sens!$H$1777*(1-Sens!$H$1778)</f>
        <v>199.709899104949</v>
      </c>
      <c r="I1780" s="38" t="n">
        <f aca="false">Sens!$I$1777*(1-Sens!$I$1778)</f>
        <v>218.385528264976</v>
      </c>
      <c r="J1780" s="38" t="n">
        <f aca="false">Sens!$J$1777*(1-Sens!$J$1778)</f>
        <v>235.71696994951</v>
      </c>
      <c r="K1780" s="38" t="n">
        <f aca="false">Sens!$K$1777*(1-Sens!$K$1778)</f>
        <v>250.968227869545</v>
      </c>
      <c r="L1780" s="38" t="n">
        <f aca="false">Sens!$L$1777*(1-Sens!$L$1778)</f>
        <v>267.285367225822</v>
      </c>
      <c r="M1780" s="38" t="n">
        <f aca="false">Sens!$M$1777*(1-Sens!$M$1778)</f>
        <v>284.748579483295</v>
      </c>
      <c r="N1780" s="38" t="n">
        <f aca="false">Q!$N$6</f>
        <v>70.274</v>
      </c>
      <c r="O1780" s="38" t="n">
        <f aca="false">Q!$O$6</f>
        <v>91.62</v>
      </c>
      <c r="P1780" s="5" t="s">
        <v>686</v>
      </c>
    </row>
    <row r="1781" customFormat="false" ht="17.15" hidden="false" customHeight="false" outlineLevel="0" collapsed="false">
      <c r="A1781" s="5" t="s">
        <v>687</v>
      </c>
      <c r="B1781" s="0" t="s">
        <v>86</v>
      </c>
      <c r="C1781" s="38" t="n">
        <f aca="false">Sens!$C$1770*Sens!$C$1778</f>
        <v>41.0683128828457</v>
      </c>
      <c r="D1781" s="38" t="n">
        <f aca="false">Sens!$D$1770*Sens!$D$1778</f>
        <v>49.7441234599175</v>
      </c>
      <c r="E1781" s="38" t="n">
        <f aca="false">Sens!$E$1770*Sens!$E$1778</f>
        <v>27.0034224924414</v>
      </c>
      <c r="F1781" s="38" t="n">
        <f aca="false">Sens!$F$1770*Sens!$F$1778</f>
        <v>33.1439448330513</v>
      </c>
      <c r="G1781" s="38" t="n">
        <f aca="false">Sens!$G$1770*Sens!$G$1778</f>
        <v>60.164183844083</v>
      </c>
      <c r="H1781" s="38" t="n">
        <f aca="false">Sens!$H$1770*Sens!$H$1778</f>
        <v>72.2301766552629</v>
      </c>
      <c r="I1781" s="38" t="n">
        <f aca="false">Sens!$I$1770*Sens!$I$1778</f>
        <v>84.2950764463991</v>
      </c>
      <c r="J1781" s="38" t="n">
        <f aca="false">Sens!$J$1770*Sens!$J$1778</f>
        <v>95.5499047729386</v>
      </c>
      <c r="K1781" s="38" t="n">
        <f aca="false">Sens!$K$1770*Sens!$K$1778</f>
        <v>105.104895250232</v>
      </c>
      <c r="L1781" s="38" t="n">
        <f aca="false">Sens!$L$1770*Sens!$L$1778</f>
        <v>115.615384775256</v>
      </c>
      <c r="M1781" s="38" t="n">
        <f aca="false">Sens!$M$1770*Sens!$M$1778</f>
        <v>127.176923252781</v>
      </c>
      <c r="N1781" s="38" t="n">
        <f aca="false">Sens!$N$1770*Sens!$N$1778</f>
        <v>21.7087111412496</v>
      </c>
      <c r="O1781" s="38" t="n">
        <f aca="false">Sens!$O$1770*Sens!$O$1778</f>
        <v>28.0189463642798</v>
      </c>
      <c r="P1781" s="5" t="s">
        <v>688</v>
      </c>
    </row>
    <row r="1782" customFormat="false" ht="15" hidden="false" customHeight="false" outlineLevel="0" collapsed="false">
      <c r="A1782" s="5" t="s">
        <v>689</v>
      </c>
      <c r="B1782" s="0" t="s">
        <v>86</v>
      </c>
      <c r="C1782" s="38" t="n">
        <f aca="false">Sens!$C$1770-Sens!$C$1781</f>
        <v>15.1456871171543</v>
      </c>
      <c r="D1782" s="38" t="n">
        <f aca="false">Sens!$D$1770-Sens!$D$1781</f>
        <v>18.8908765400825</v>
      </c>
      <c r="E1782" s="38" t="n">
        <f aca="false">Sens!$E$1770-Sens!$E$1781</f>
        <v>10.0485775075586</v>
      </c>
      <c r="F1782" s="38" t="n">
        <f aca="false">Sens!$F$1770-Sens!$F$1781</f>
        <v>13.0132771613635</v>
      </c>
      <c r="G1782" s="38" t="n">
        <f aca="false">Sens!$G$1770-Sens!$G$1781</f>
        <v>23.0450381503318</v>
      </c>
      <c r="H1782" s="38" t="n">
        <f aca="false">Sens!$H$1770-Sens!$H$1781</f>
        <v>27.6667457326347</v>
      </c>
      <c r="I1782" s="38" t="n">
        <f aca="false">Sens!$I$1770-Sens!$I$1781</f>
        <v>32.2880346490971</v>
      </c>
      <c r="J1782" s="38" t="n">
        <f aca="false">Sens!$J$1770-Sens!$J$1781</f>
        <v>36.5990371690132</v>
      </c>
      <c r="K1782" s="38" t="n">
        <f aca="false">Sens!$K$1770-Sens!$K$1781</f>
        <v>40.2589408859145</v>
      </c>
      <c r="L1782" s="38" t="n">
        <f aca="false">Sens!$L$1770-Sens!$L$1781</f>
        <v>44.2848349745059</v>
      </c>
      <c r="M1782" s="38" t="n">
        <f aca="false">Sens!$M$1770-Sens!$M$1781</f>
        <v>48.7133184719565</v>
      </c>
      <c r="N1782" s="38" t="n">
        <f aca="false">Sens!$N$1770-Sens!$N$1781</f>
        <v>7.90628885875037</v>
      </c>
      <c r="O1782" s="38" t="n">
        <f aca="false">Sens!$O$1770-Sens!$O$1781</f>
        <v>11.0010536357202</v>
      </c>
    </row>
    <row r="1783" customFormat="false" ht="19.4" hidden="false" customHeight="false" outlineLevel="0" collapsed="false">
      <c r="A1783" s="31" t="s">
        <v>1171</v>
      </c>
    </row>
    <row r="1784" customFormat="false" ht="17.15" hidden="false" customHeight="false" outlineLevel="0" collapsed="false">
      <c r="A1784" s="6" t="s">
        <v>16</v>
      </c>
      <c r="B1784" s="6" t="s">
        <v>17</v>
      </c>
      <c r="C1784" s="20" t="s">
        <v>497</v>
      </c>
      <c r="D1784" s="20" t="s">
        <v>498</v>
      </c>
      <c r="E1784" s="20" t="s">
        <v>580</v>
      </c>
      <c r="F1784" s="20" t="s">
        <v>581</v>
      </c>
      <c r="G1784" s="20" t="s">
        <v>582</v>
      </c>
      <c r="H1784" s="20" t="s">
        <v>583</v>
      </c>
      <c r="I1784" s="20" t="s">
        <v>584</v>
      </c>
      <c r="J1784" s="20" t="s">
        <v>585</v>
      </c>
      <c r="K1784" s="20" t="s">
        <v>586</v>
      </c>
      <c r="L1784" s="20" t="s">
        <v>587</v>
      </c>
      <c r="M1784" s="20" t="s">
        <v>588</v>
      </c>
      <c r="N1784" s="20" t="s">
        <v>589</v>
      </c>
      <c r="O1784" s="20" t="s">
        <v>590</v>
      </c>
      <c r="P1784" s="6" t="s">
        <v>23</v>
      </c>
      <c r="R1784" s="20" t="n">
        <v>2023</v>
      </c>
      <c r="S1784" s="20" t="n">
        <v>2024</v>
      </c>
      <c r="T1784" s="20" t="n">
        <v>2025</v>
      </c>
      <c r="U1784" s="20" t="n">
        <v>2026</v>
      </c>
      <c r="V1784" s="20" t="n">
        <v>2027</v>
      </c>
      <c r="W1784" s="20" t="n">
        <v>2028</v>
      </c>
      <c r="X1784" s="20" t="n">
        <v>2029</v>
      </c>
      <c r="Y1784" s="20" t="n">
        <v>2030</v>
      </c>
      <c r="Z1784" s="20" t="n">
        <v>2031</v>
      </c>
      <c r="AA1784" s="20" t="n">
        <v>2032</v>
      </c>
    </row>
    <row r="1785" customFormat="false" ht="17.15" hidden="false" customHeight="false" outlineLevel="0" collapsed="false">
      <c r="A1785" s="1" t="s">
        <v>591</v>
      </c>
    </row>
    <row r="1786" customFormat="false" ht="17.15" hidden="false" customHeight="false" outlineLevel="0" collapsed="false">
      <c r="A1786" s="5" t="s">
        <v>592</v>
      </c>
      <c r="B1786" s="0" t="s">
        <v>144</v>
      </c>
      <c r="H1786" s="32" t="n">
        <f aca="false">pace_B</f>
        <v>3634.3</v>
      </c>
      <c r="I1786" s="32" t="n">
        <f aca="false">pace_B</f>
        <v>3634.3</v>
      </c>
      <c r="J1786" s="32" t="n">
        <f aca="false">pace_B</f>
        <v>3634.3</v>
      </c>
      <c r="K1786" s="32" t="n">
        <f aca="false">pace_B+(Sens!$J$1787*tg-pace_B)*1/3</f>
        <v>2570.86716666667</v>
      </c>
      <c r="L1786" s="32" t="n">
        <f aca="false">pace_B+(Sens!$J$1787*tg-pace_B)*2/3</f>
        <v>1507.43433333333</v>
      </c>
      <c r="M1786" s="32" t="n">
        <f aca="false">pace_B+(Sens!$J$1787*tg-pace_B)*3/3</f>
        <v>444.0015</v>
      </c>
      <c r="P1786" s="5" t="s">
        <v>593</v>
      </c>
    </row>
    <row r="1787" customFormat="false" ht="17.15" hidden="false" customHeight="false" outlineLevel="0" collapsed="false">
      <c r="A1787" s="15" t="s">
        <v>594</v>
      </c>
      <c r="B1787" s="14" t="s">
        <v>129</v>
      </c>
      <c r="C1787" s="33" t="n">
        <f aca="false">mw_ye24</f>
        <v>360</v>
      </c>
      <c r="D1787" s="33" t="n">
        <f aca="false">mw_ye25</f>
        <v>1440</v>
      </c>
      <c r="E1787" s="33" t="n">
        <f aca="false">mw_open</f>
        <v>2080</v>
      </c>
      <c r="F1787" s="33" t="n">
        <f aca="false">Sens!$E$1787+pace_B*0.5</f>
        <v>3897.15</v>
      </c>
      <c r="G1787" s="33" t="n">
        <f aca="false">Sens!$F$1787</f>
        <v>3897.15</v>
      </c>
      <c r="H1787" s="33" t="n">
        <f aca="false">Sens!$G$1787+Sens!$H$1786</f>
        <v>7531.45</v>
      </c>
      <c r="I1787" s="33" t="n">
        <f aca="false">Sens!$H$1787+Sens!$I$1786</f>
        <v>11165.75</v>
      </c>
      <c r="J1787" s="33" t="n">
        <f aca="false">Sens!$I$1787+Sens!$J$1786</f>
        <v>14800.05</v>
      </c>
      <c r="K1787" s="33" t="n">
        <f aca="false">Sens!$J$1787+Sens!$K$1786</f>
        <v>17370.9171666667</v>
      </c>
      <c r="L1787" s="33" t="n">
        <f aca="false">Sens!$K$1787+Sens!$L$1786</f>
        <v>18878.3515</v>
      </c>
      <c r="M1787" s="33" t="n">
        <f aca="false">Sens!$L$1787+Sens!$M$1786</f>
        <v>19322.353</v>
      </c>
      <c r="N1787" s="33" t="n">
        <f aca="false">(mw_ye24+mw_ye25)/2</f>
        <v>900</v>
      </c>
      <c r="O1787" s="33" t="n">
        <f aca="false">mw_ye25</f>
        <v>1440</v>
      </c>
      <c r="P1787" s="5" t="s">
        <v>595</v>
      </c>
    </row>
    <row r="1788" customFormat="false" ht="17.15" hidden="false" customHeight="false" outlineLevel="0" collapsed="false">
      <c r="A1788" s="5" t="s">
        <v>596</v>
      </c>
      <c r="B1788" s="0" t="s">
        <v>129</v>
      </c>
      <c r="C1788" s="32" t="n">
        <f aca="false">(mw_ye23+mw_ye24)/2</f>
        <v>240</v>
      </c>
      <c r="D1788" s="32" t="n">
        <f aca="false">(Sens!$C$1787+Sens!$D$1787)/2</f>
        <v>900</v>
      </c>
      <c r="E1788" s="32" t="n">
        <f aca="false">(Sens!$D$1787+Sens!$E$1787)/2</f>
        <v>1760</v>
      </c>
      <c r="F1788" s="32" t="n">
        <f aca="false">(Sens!$E$1787+Sens!$F$1787)/2</f>
        <v>2988.575</v>
      </c>
      <c r="G1788" s="32" t="n">
        <f aca="false">(Sens!$E$1788+Sens!$F$1788)/2</f>
        <v>2374.2875</v>
      </c>
      <c r="H1788" s="32" t="n">
        <f aca="false">(Sens!$G$1787+Sens!$H$1787)/2</f>
        <v>5714.3</v>
      </c>
      <c r="I1788" s="32" t="n">
        <f aca="false">(Sens!$H$1787+Sens!$I$1787)/2</f>
        <v>9348.6</v>
      </c>
      <c r="J1788" s="32" t="n">
        <f aca="false">(Sens!$I$1787+Sens!$J$1787)/2</f>
        <v>12982.9</v>
      </c>
      <c r="K1788" s="32" t="n">
        <f aca="false">(Sens!$J$1787+Sens!$K$1787)/2</f>
        <v>16085.4835833333</v>
      </c>
      <c r="L1788" s="32" t="n">
        <f aca="false">(Sens!$K$1787+Sens!$L$1787)/2</f>
        <v>18124.6343333333</v>
      </c>
      <c r="M1788" s="32" t="n">
        <f aca="false">(Sens!$L$1787+Sens!$M$1787)/2</f>
        <v>19100.35225</v>
      </c>
      <c r="N1788" s="32" t="n">
        <f aca="false">(Sens!$C$1787+Sens!$N$1787)/2</f>
        <v>630</v>
      </c>
      <c r="O1788" s="32" t="n">
        <f aca="false">(Sens!$N$1787+Sens!$O$1787)/2</f>
        <v>1170</v>
      </c>
    </row>
    <row r="1789" customFormat="false" ht="15" hidden="false" customHeight="false" outlineLevel="0" collapsed="false">
      <c r="A1789" s="5" t="s">
        <v>597</v>
      </c>
      <c r="B1789" s="5" t="s">
        <v>123</v>
      </c>
      <c r="C1789" s="34" t="n">
        <v>1</v>
      </c>
      <c r="D1789" s="34" t="n">
        <v>1</v>
      </c>
      <c r="E1789" s="34" t="n">
        <v>0.5</v>
      </c>
      <c r="F1789" s="34" t="n">
        <v>0.5</v>
      </c>
      <c r="G1789" s="34" t="n">
        <v>1</v>
      </c>
      <c r="H1789" s="34" t="n">
        <v>1</v>
      </c>
      <c r="I1789" s="34" t="n">
        <v>1</v>
      </c>
      <c r="J1789" s="34" t="n">
        <v>1</v>
      </c>
      <c r="K1789" s="34" t="n">
        <v>1</v>
      </c>
      <c r="L1789" s="34" t="n">
        <v>1</v>
      </c>
      <c r="M1789" s="34" t="n">
        <v>1</v>
      </c>
      <c r="N1789" s="34" t="n">
        <v>0.5</v>
      </c>
      <c r="O1789" s="34" t="n">
        <v>0.5</v>
      </c>
    </row>
    <row r="1790" customFormat="false" ht="17.15" hidden="false" customHeight="false" outlineLevel="0" collapsed="false">
      <c r="A1790" s="5" t="s">
        <v>598</v>
      </c>
      <c r="B1790" s="0" t="s">
        <v>129</v>
      </c>
      <c r="C1790" s="32" t="n">
        <f aca="false">Sens!$C$1787-mw_ye23</f>
        <v>240</v>
      </c>
      <c r="D1790" s="32" t="n">
        <f aca="false">Sens!$D$1787-Sens!$C$1787</f>
        <v>1080</v>
      </c>
      <c r="E1790" s="32" t="n">
        <f aca="false">Sens!$E$1787-Sens!$D$1787</f>
        <v>640</v>
      </c>
      <c r="F1790" s="32" t="n">
        <f aca="false">Sens!$F$1787-Sens!$E$1787</f>
        <v>1817.15</v>
      </c>
      <c r="G1790" s="32" t="n">
        <f aca="false">Sens!$E$1790+Sens!$F$1790</f>
        <v>2457.15</v>
      </c>
      <c r="H1790" s="32" t="n">
        <f aca="false">Sens!$H$1787-Sens!$G$1787</f>
        <v>3634.3</v>
      </c>
      <c r="I1790" s="32" t="n">
        <f aca="false">Sens!$I$1787-Sens!$H$1787</f>
        <v>3634.3</v>
      </c>
      <c r="J1790" s="32" t="n">
        <f aca="false">Sens!$J$1787-Sens!$I$1787</f>
        <v>3634.3</v>
      </c>
      <c r="K1790" s="32" t="n">
        <f aca="false">Sens!$K$1787-Sens!$J$1787</f>
        <v>2570.86716666667</v>
      </c>
      <c r="L1790" s="32" t="n">
        <f aca="false">Sens!$L$1787-Sens!$K$1787</f>
        <v>1507.43433333333</v>
      </c>
      <c r="M1790" s="32" t="n">
        <f aca="false">Sens!$M$1787-Sens!$L$1787</f>
        <v>444.001499999999</v>
      </c>
      <c r="N1790" s="32" t="n">
        <f aca="false">Sens!$N$1787-Sens!$C$1787</f>
        <v>540</v>
      </c>
      <c r="O1790" s="32" t="n">
        <f aca="false">Sens!$O$1787-Sens!$N$1787</f>
        <v>540</v>
      </c>
    </row>
    <row r="1791" customFormat="false" ht="17.15" hidden="false" customHeight="false" outlineLevel="0" collapsed="false">
      <c r="A1791" s="5" t="s">
        <v>599</v>
      </c>
      <c r="B1791" s="0" t="s">
        <v>129</v>
      </c>
      <c r="C1791" s="32" t="n">
        <f aca="false">Sens!$C$1790/ext_sh</f>
        <v>300</v>
      </c>
      <c r="D1791" s="32" t="n">
        <f aca="false">Sens!$D$1790/ext_sh</f>
        <v>1350</v>
      </c>
      <c r="E1791" s="32" t="n">
        <f aca="false">Sens!$E$1790/ext_sh</f>
        <v>800</v>
      </c>
      <c r="F1791" s="32" t="n">
        <f aca="false">Sens!$F$1790/ext_sh</f>
        <v>2271.4375</v>
      </c>
      <c r="G1791" s="32" t="n">
        <f aca="false">Sens!$G$1790/ext_sh</f>
        <v>3071.4375</v>
      </c>
      <c r="H1791" s="32" t="n">
        <f aca="false">Sens!$H$1790/ext_sh</f>
        <v>4542.875</v>
      </c>
      <c r="I1791" s="32" t="n">
        <f aca="false">Sens!$I$1790/ext_sh</f>
        <v>4542.875</v>
      </c>
      <c r="J1791" s="32" t="n">
        <f aca="false">Sens!$J$1790/ext_sh</f>
        <v>4542.875</v>
      </c>
      <c r="K1791" s="32" t="n">
        <f aca="false">Sens!$K$1790/ext_sh</f>
        <v>3213.58395833333</v>
      </c>
      <c r="L1791" s="32" t="n">
        <f aca="false">Sens!$L$1790/ext_sh</f>
        <v>1884.29291666667</v>
      </c>
      <c r="M1791" s="32" t="n">
        <f aca="false">Sens!$M$1790/ext_sh</f>
        <v>555.001874999998</v>
      </c>
      <c r="N1791" s="32" t="n">
        <f aca="false">Sens!$N$1790/ext_sh</f>
        <v>675</v>
      </c>
      <c r="O1791" s="32" t="n">
        <f aca="false">Sens!$O$1790/ext_sh</f>
        <v>675</v>
      </c>
      <c r="P1791" s="8" t="s">
        <v>600</v>
      </c>
      <c r="R1791" s="32" t="n">
        <f aca="false">mw_ye23/ext_sh</f>
        <v>150</v>
      </c>
      <c r="S1791" s="32" t="n">
        <f aca="false">Sens!$C$1791</f>
        <v>300</v>
      </c>
      <c r="T1791" s="32" t="n">
        <f aca="false">Sens!$D$1791</f>
        <v>1350</v>
      </c>
      <c r="U1791" s="32" t="n">
        <f aca="false">Sens!$G$1791</f>
        <v>3071.4375</v>
      </c>
      <c r="V1791" s="32" t="n">
        <f aca="false">Sens!$H$1791</f>
        <v>4542.875</v>
      </c>
      <c r="W1791" s="32" t="n">
        <f aca="false">Sens!$I$1791</f>
        <v>4542.875</v>
      </c>
      <c r="X1791" s="32" t="n">
        <f aca="false">Sens!$J$1791</f>
        <v>4542.875</v>
      </c>
      <c r="Y1791" s="32" t="n">
        <f aca="false">Sens!$K$1791</f>
        <v>3213.58395833333</v>
      </c>
      <c r="Z1791" s="32" t="n">
        <f aca="false">Sens!$L$1791</f>
        <v>1884.29291666667</v>
      </c>
      <c r="AA1791" s="32" t="n">
        <f aca="false">Sens!$M$1791</f>
        <v>555.001874999998</v>
      </c>
    </row>
    <row r="1792" customFormat="false" ht="17.15" hidden="false" customHeight="false" outlineLevel="0" collapsed="false">
      <c r="A1792" s="1" t="s">
        <v>601</v>
      </c>
    </row>
    <row r="1793" customFormat="false" ht="17.15" hidden="false" customHeight="false" outlineLevel="0" collapsed="false">
      <c r="A1793" s="0" t="s">
        <v>602</v>
      </c>
      <c r="B1793" s="0" t="s">
        <v>52</v>
      </c>
      <c r="F1793" s="35" t="n">
        <f aca="false">na_vr26</f>
        <v>0</v>
      </c>
      <c r="G1793" s="35" t="n">
        <f aca="false">na_vr26</f>
        <v>0</v>
      </c>
      <c r="H1793" s="35" t="n">
        <f aca="false">na_vr27</f>
        <v>0.5</v>
      </c>
      <c r="I1793" s="35" t="n">
        <f aca="false">na_vr28</f>
        <v>1</v>
      </c>
      <c r="J1793" s="35" t="n">
        <f aca="false">na_vr28</f>
        <v>1</v>
      </c>
      <c r="K1793" s="35" t="n">
        <f aca="false">na_vr28</f>
        <v>1</v>
      </c>
      <c r="L1793" s="35" t="n">
        <f aca="false">na_vr28</f>
        <v>1</v>
      </c>
      <c r="M1793" s="35" t="n">
        <f aca="false">na_vr28</f>
        <v>1</v>
      </c>
    </row>
    <row r="1794" customFormat="false" ht="17.15" hidden="false" customHeight="false" outlineLevel="0" collapsed="false">
      <c r="A1794" s="5" t="s">
        <v>603</v>
      </c>
      <c r="B1794" s="0" t="s">
        <v>173</v>
      </c>
      <c r="F1794" s="36" t="n">
        <f aca="false">cust_sh*tk_he_gb300*cf_chip+(1-cust_sh)*((1-Sens!$F$1793)*tk_he_gb300+Sens!$F$1793*tk_he_vr200)</f>
        <v>10.8864110021101</v>
      </c>
      <c r="G1794" s="36" t="n">
        <f aca="false">cust_sh*tk_he_gb300*cf_chip+(1-cust_sh)*((1-Sens!$G$1793)*tk_he_gb300+Sens!$G$1793*tk_he_vr200)</f>
        <v>10.8864110021101</v>
      </c>
      <c r="H1794" s="36" t="n">
        <f aca="false">cust_sh*tk_he_gb300*cf_chip+(1-cust_sh)*((1-Sens!$H$1793)*tk_he_gb300+Sens!$H$1793*tk_he_vr200)</f>
        <v>11.2211760027286</v>
      </c>
      <c r="I1794" s="36" t="n">
        <f aca="false">cust_sh*tk_he_gb300*cf_chip+(1-cust_sh)*((1-Sens!$I$1793)*tk_he_gb300+Sens!$I$1793*tk_he_vr200)</f>
        <v>11.5559410033471</v>
      </c>
      <c r="J1794" s="36" t="n">
        <f aca="false">cust_sh*tk_he_gb300*cf_chip+(1-cust_sh)*((1-Sens!$J$1793)*tk_he_gb300+Sens!$J$1793*tk_he_vr200)</f>
        <v>11.5559410033471</v>
      </c>
      <c r="K1794" s="36" t="n">
        <f aca="false">cust_sh*tk_he_gb300*cf_chip+(1-cust_sh)*((1-Sens!$K$1793)*tk_he_gb300+Sens!$K$1793*tk_he_vr200)</f>
        <v>11.5559410033471</v>
      </c>
      <c r="L1794" s="36" t="n">
        <f aca="false">cust_sh*tk_he_gb300*cf_chip+(1-cust_sh)*((1-Sens!$L$1793)*tk_he_gb300+Sens!$L$1793*tk_he_vr200)</f>
        <v>11.5559410033471</v>
      </c>
      <c r="M1794" s="36" t="n">
        <f aca="false">cust_sh*tk_he_gb300*cf_chip+(1-cust_sh)*((1-Sens!$M$1793)*tk_he_gb300+Sens!$M$1793*tk_he_vr200)</f>
        <v>11.5559410033471</v>
      </c>
    </row>
    <row r="1795" customFormat="false" ht="17.15" hidden="false" customHeight="false" outlineLevel="0" collapsed="false">
      <c r="A1795" s="5" t="s">
        <v>604</v>
      </c>
      <c r="B1795" s="0" t="s">
        <v>173</v>
      </c>
      <c r="F1795" s="36" t="n">
        <f aca="false">cust_sh*tk_ox_gb300+(1-cust_sh)*((1-Sens!$F$1793)*tk_ox_gb300+Sens!$F$1793*tk_ox_vr200)</f>
        <v>1.98263481314457</v>
      </c>
      <c r="G1795" s="36" t="n">
        <f aca="false">cust_sh*tk_ox_gb300+(1-cust_sh)*((1-Sens!$G$1793)*tk_ox_gb300+Sens!$G$1793*tk_ox_vr200)</f>
        <v>1.98263481314457</v>
      </c>
      <c r="H1795" s="36" t="n">
        <f aca="false">cust_sh*tk_ox_gb300+(1-cust_sh)*((1-Sens!$H$1793)*tk_ox_gb300+Sens!$H$1793*tk_ox_vr200)</f>
        <v>2.01034999693694</v>
      </c>
      <c r="I1795" s="36" t="n">
        <f aca="false">cust_sh*tk_ox_gb300+(1-cust_sh)*((1-Sens!$I$1793)*tk_ox_gb300+Sens!$I$1793*tk_ox_vr200)</f>
        <v>2.0380651807293</v>
      </c>
      <c r="J1795" s="36" t="n">
        <f aca="false">cust_sh*tk_ox_gb300+(1-cust_sh)*((1-Sens!$J$1793)*tk_ox_gb300+Sens!$J$1793*tk_ox_vr200)</f>
        <v>2.0380651807293</v>
      </c>
      <c r="K1795" s="36" t="n">
        <f aca="false">cust_sh*tk_ox_gb300+(1-cust_sh)*((1-Sens!$K$1793)*tk_ox_gb300+Sens!$K$1793*tk_ox_vr200)</f>
        <v>2.0380651807293</v>
      </c>
      <c r="L1795" s="36" t="n">
        <f aca="false">cust_sh*tk_ox_gb300+(1-cust_sh)*((1-Sens!$L$1793)*tk_ox_gb300+Sens!$L$1793*tk_ox_vr200)</f>
        <v>2.0380651807293</v>
      </c>
      <c r="M1795" s="36" t="n">
        <f aca="false">cust_sh*tk_ox_gb300+(1-cust_sh)*((1-Sens!$M$1793)*tk_ox_gb300+Sens!$M$1793*tk_ox_vr200)</f>
        <v>2.0380651807293</v>
      </c>
    </row>
    <row r="1796" customFormat="false" ht="17.15" hidden="false" customHeight="false" outlineLevel="0" collapsed="false">
      <c r="A1796" s="5" t="s">
        <v>605</v>
      </c>
      <c r="B1796" s="0" t="s">
        <v>192</v>
      </c>
      <c r="F1796" s="36" t="n">
        <f aca="false">cust_sh*tk_cx_gb300*cf_cx+(1-cust_sh)*((1-Sens!$F$1793)*tk_cx_gb300+Sens!$F$1793*tk_cx_vr200)</f>
        <v>32.237224</v>
      </c>
      <c r="G1796" s="36" t="n">
        <f aca="false">cust_sh*tk_cx_gb300*cf_cx+(1-cust_sh)*((1-Sens!$G$1793)*tk_cx_gb300+Sens!$G$1793*tk_cx_vr200)</f>
        <v>32.237224</v>
      </c>
      <c r="H1796" s="36" t="n">
        <f aca="false">cust_sh*tk_cx_gb300*cf_cx+(1-cust_sh)*((1-Sens!$H$1793)*tk_cx_gb300+Sens!$H$1793*tk_cx_vr200)</f>
        <v>33.574506</v>
      </c>
      <c r="I1796" s="36" t="n">
        <f aca="false">cust_sh*tk_cx_gb300*cf_cx+(1-cust_sh)*((1-Sens!$I$1793)*tk_cx_gb300+Sens!$I$1793*tk_cx_vr200)</f>
        <v>34.911788</v>
      </c>
      <c r="J1796" s="36" t="n">
        <f aca="false">cust_sh*tk_cx_gb300*cf_cx+(1-cust_sh)*((1-Sens!$J$1793)*tk_cx_gb300+Sens!$J$1793*tk_cx_vr200)</f>
        <v>34.911788</v>
      </c>
      <c r="K1796" s="36" t="n">
        <f aca="false">cust_sh*tk_cx_gb300*cf_cx+(1-cust_sh)*((1-Sens!$K$1793)*tk_cx_gb300+Sens!$K$1793*tk_cx_vr200)</f>
        <v>34.911788</v>
      </c>
      <c r="L1796" s="36" t="n">
        <f aca="false">cust_sh*tk_cx_gb300*cf_cx+(1-cust_sh)*((1-Sens!$L$1793)*tk_cx_gb300+Sens!$L$1793*tk_cx_vr200)</f>
        <v>34.911788</v>
      </c>
      <c r="M1796" s="36" t="n">
        <f aca="false">cust_sh*tk_cx_gb300*cf_cx+(1-cust_sh)*((1-Sens!$M$1793)*tk_cx_gb300+Sens!$M$1793*tk_cx_vr200)</f>
        <v>34.911788</v>
      </c>
    </row>
    <row r="1797" customFormat="false" ht="17.15" hidden="false" customHeight="false" outlineLevel="0" collapsed="false">
      <c r="A1797" s="5" t="s">
        <v>606</v>
      </c>
      <c r="B1797" s="0" t="s">
        <v>129</v>
      </c>
      <c r="F1797" s="32" t="n">
        <f aca="false">Sens!$F$1787-mw_open</f>
        <v>1817.15</v>
      </c>
      <c r="G1797" s="32" t="n">
        <f aca="false">Sens!$F$1797</f>
        <v>1817.15</v>
      </c>
      <c r="H1797" s="32" t="n">
        <f aca="false">Sens!$H$1787-mw_open</f>
        <v>5451.45</v>
      </c>
      <c r="I1797" s="32" t="n">
        <f aca="false">Sens!$I$1787-mw_open</f>
        <v>9085.75</v>
      </c>
      <c r="J1797" s="32" t="n">
        <f aca="false">Sens!$J$1787-mw_open</f>
        <v>12720.05</v>
      </c>
      <c r="K1797" s="32" t="n">
        <f aca="false">Sens!$K$1787-mw_open</f>
        <v>15290.9171666667</v>
      </c>
      <c r="L1797" s="32" t="n">
        <f aca="false">Sens!$L$1787-mw_open</f>
        <v>16798.3515</v>
      </c>
      <c r="M1797" s="32" t="n">
        <f aca="false">Sens!$M$1787-mw_open</f>
        <v>17242.353</v>
      </c>
    </row>
    <row r="1798" customFormat="false" ht="17.15" hidden="false" customHeight="false" outlineLevel="0" collapsed="false">
      <c r="A1798" s="0" t="s">
        <v>607</v>
      </c>
      <c r="B1798" s="0" t="s">
        <v>608</v>
      </c>
      <c r="F1798" s="32" t="n">
        <f aca="false">Sens!$F$1790*Sens!$F$1794</f>
        <v>19782.2417524844</v>
      </c>
      <c r="G1798" s="32" t="n">
        <f aca="false">Sens!$F$1798</f>
        <v>19782.2417524844</v>
      </c>
      <c r="H1798" s="32" t="n">
        <f aca="false">Sens!$G$1798+Sens!$H$1790*Sens!$H$1794</f>
        <v>60563.3616992009</v>
      </c>
      <c r="I1798" s="32" t="n">
        <f aca="false">Sens!$H$1798+Sens!$I$1790*Sens!$I$1794</f>
        <v>102561.118087665</v>
      </c>
      <c r="J1798" s="32" t="n">
        <f aca="false">Sens!$I$1798+Sens!$J$1790*Sens!$J$1794</f>
        <v>144558.87447613</v>
      </c>
      <c r="K1798" s="32" t="n">
        <f aca="false">Sens!$J$1798+Sens!$K$1790*Sens!$K$1794</f>
        <v>174267.663781572</v>
      </c>
      <c r="L1798" s="32" t="n">
        <f aca="false">Sens!$K$1798+Sens!$L$1790*Sens!$L$1794</f>
        <v>191687.486003992</v>
      </c>
      <c r="M1798" s="32" t="n">
        <f aca="false">Sens!$L$1798+Sens!$M$1790*Sens!$M$1794</f>
        <v>196818.341143389</v>
      </c>
    </row>
    <row r="1799" customFormat="false" ht="17.15" hidden="false" customHeight="false" outlineLevel="0" collapsed="false">
      <c r="A1799" s="0" t="s">
        <v>609</v>
      </c>
      <c r="B1799" s="0" t="s">
        <v>608</v>
      </c>
      <c r="F1799" s="32" t="n">
        <f aca="false">Sens!$F$1790*Sens!$F$1795</f>
        <v>3602.74485070566</v>
      </c>
      <c r="G1799" s="32" t="n">
        <f aca="false">Sens!$F$1799</f>
        <v>3602.74485070566</v>
      </c>
      <c r="H1799" s="32" t="n">
        <f aca="false">Sens!$G$1799+Sens!$H$1790*Sens!$H$1795</f>
        <v>10908.9598445736</v>
      </c>
      <c r="I1799" s="32" t="n">
        <f aca="false">Sens!$H$1799+Sens!$I$1790*Sens!$I$1795</f>
        <v>18315.9001308981</v>
      </c>
      <c r="J1799" s="32" t="n">
        <f aca="false">Sens!$I$1799+Sens!$J$1790*Sens!$J$1795</f>
        <v>25722.8404172225</v>
      </c>
      <c r="K1799" s="32" t="n">
        <f aca="false">Sens!$J$1799+Sens!$K$1790*Sens!$K$1795</f>
        <v>30962.4352738861</v>
      </c>
      <c r="L1799" s="32" t="n">
        <f aca="false">Sens!$K$1799+Sens!$L$1790*Sens!$L$1795</f>
        <v>34034.6847008886</v>
      </c>
      <c r="M1799" s="32" t="n">
        <f aca="false">Sens!$L$1799+Sens!$M$1790*Sens!$M$1795</f>
        <v>34939.5886982302</v>
      </c>
    </row>
    <row r="1800" customFormat="false" ht="17.15" hidden="false" customHeight="false" outlineLevel="0" collapsed="false">
      <c r="A1800" s="5" t="s">
        <v>610</v>
      </c>
      <c r="B1800" s="0" t="s">
        <v>173</v>
      </c>
      <c r="F1800" s="36" t="n">
        <f aca="false">IF(Sens!$F$1797&gt;0,Sens!$F$1798/Sens!$F$1797,Sens!$F$1794)</f>
        <v>10.8864110021101</v>
      </c>
      <c r="G1800" s="36" t="n">
        <f aca="false">IF(Sens!$G$1797&gt;0,Sens!$G$1798/Sens!$G$1797,Sens!$G$1794)</f>
        <v>10.8864110021101</v>
      </c>
      <c r="H1800" s="36" t="n">
        <f aca="false">IF(Sens!$H$1797&gt;0,Sens!$H$1798/Sens!$H$1797,Sens!$H$1794)</f>
        <v>11.1095876691891</v>
      </c>
      <c r="I1800" s="36" t="n">
        <f aca="false">IF(Sens!$I$1797&gt;0,Sens!$I$1798/Sens!$I$1797,Sens!$I$1794)</f>
        <v>11.2881290028523</v>
      </c>
      <c r="J1800" s="36" t="n">
        <f aca="false">IF(Sens!$J$1797&gt;0,Sens!$J$1798/Sens!$J$1797,Sens!$J$1794)</f>
        <v>11.3646467172794</v>
      </c>
      <c r="K1800" s="36" t="n">
        <f aca="false">IF(Sens!$K$1797&gt;0,Sens!$K$1798/Sens!$K$1797,Sens!$K$1794)</f>
        <v>11.3968090914432</v>
      </c>
      <c r="L1800" s="36" t="n">
        <f aca="false">IF(Sens!$L$1797&gt;0,Sens!$L$1798/Sens!$L$1797,Sens!$L$1794)</f>
        <v>11.4110891181192</v>
      </c>
      <c r="M1800" s="36" t="n">
        <f aca="false">IF(Sens!$M$1797&gt;0,Sens!$M$1798/Sens!$M$1797,Sens!$M$1794)</f>
        <v>11.4148191458201</v>
      </c>
    </row>
    <row r="1801" customFormat="false" ht="17.15" hidden="false" customHeight="false" outlineLevel="0" collapsed="false">
      <c r="A1801" s="5" t="s">
        <v>611</v>
      </c>
      <c r="B1801" s="0" t="s">
        <v>173</v>
      </c>
      <c r="F1801" s="36" t="n">
        <f aca="false">IF(Sens!$F$1797&gt;0,Sens!$F$1799/Sens!$F$1797,Sens!$F$1795)</f>
        <v>1.98263481314457</v>
      </c>
      <c r="G1801" s="36" t="n">
        <f aca="false">IF(Sens!$G$1797&gt;0,Sens!$G$1799/Sens!$G$1797,Sens!$G$1795)</f>
        <v>1.98263481314457</v>
      </c>
      <c r="H1801" s="36" t="n">
        <f aca="false">IF(Sens!$H$1797&gt;0,Sens!$H$1799/Sens!$H$1797,Sens!$H$1795)</f>
        <v>2.00111160233948</v>
      </c>
      <c r="I1801" s="36" t="n">
        <f aca="false">IF(Sens!$I$1797&gt;0,Sens!$I$1799/Sens!$I$1797,Sens!$I$1795)</f>
        <v>2.01589303369541</v>
      </c>
      <c r="J1801" s="36" t="n">
        <f aca="false">IF(Sens!$J$1797&gt;0,Sens!$J$1799/Sens!$J$1797,Sens!$J$1795)</f>
        <v>2.02222793284795</v>
      </c>
      <c r="K1801" s="36" t="n">
        <f aca="false">IF(Sens!$K$1797&gt;0,Sens!$K$1799/Sens!$K$1797,Sens!$K$1795)</f>
        <v>2.02489065478573</v>
      </c>
      <c r="L1801" s="36" t="n">
        <f aca="false">IF(Sens!$L$1797&gt;0,Sens!$L$1799/Sens!$L$1797,Sens!$L$1795)</f>
        <v>2.0260728977417</v>
      </c>
      <c r="M1801" s="36" t="n">
        <f aca="false">IF(Sens!$M$1797&gt;0,Sens!$M$1799/Sens!$M$1797,Sens!$M$1795)</f>
        <v>2.02638170661685</v>
      </c>
    </row>
    <row r="1802" customFormat="false" ht="17.15" hidden="false" customHeight="false" outlineLevel="0" collapsed="false">
      <c r="A1802" s="15" t="s">
        <v>612</v>
      </c>
      <c r="B1802" s="14" t="s">
        <v>173</v>
      </c>
      <c r="C1802" s="14"/>
      <c r="D1802" s="14"/>
      <c r="E1802" s="14"/>
      <c r="F1802" s="37" t="n">
        <f aca="false">Sens!$F$1800*k_B</f>
        <v>10.7987645808025</v>
      </c>
      <c r="G1802" s="37" t="n">
        <f aca="false">Sens!$G$1800*k_B</f>
        <v>10.7987645808025</v>
      </c>
      <c r="H1802" s="37" t="n">
        <f aca="false">Sens!$H$1800*k_B</f>
        <v>11.0201444540452</v>
      </c>
      <c r="I1802" s="37" t="n">
        <f aca="false">Sens!$I$1800*k_B</f>
        <v>11.1972483526393</v>
      </c>
      <c r="J1802" s="37" t="n">
        <f aca="false">Sens!$J$1800*k_B</f>
        <v>11.2731500234653</v>
      </c>
      <c r="K1802" s="37" t="n">
        <f aca="false">Sens!$K$1800*k_B</f>
        <v>11.3050534585724</v>
      </c>
      <c r="L1802" s="37" t="n">
        <f aca="false">Sens!$L$1800*k_B</f>
        <v>11.3192185168503</v>
      </c>
      <c r="M1802" s="37" t="n">
        <f aca="false">Sens!$M$1800*k_B</f>
        <v>11.3229185141234</v>
      </c>
      <c r="N1802" s="14"/>
      <c r="O1802" s="14"/>
      <c r="P1802" s="5" t="s">
        <v>613</v>
      </c>
    </row>
    <row r="1803" customFormat="false" ht="17.15" hidden="false" customHeight="false" outlineLevel="0" collapsed="false">
      <c r="A1803" s="5" t="s">
        <v>614</v>
      </c>
      <c r="B1803" s="0" t="s">
        <v>129</v>
      </c>
      <c r="F1803" s="32" t="n">
        <f aca="false">Sens!$F$1797/2</f>
        <v>908.575</v>
      </c>
      <c r="H1803" s="32" t="n">
        <f aca="false">(Sens!$G$1797+Sens!$H$1797)/2</f>
        <v>3634.3</v>
      </c>
      <c r="I1803" s="32" t="n">
        <f aca="false">(Sens!$H$1797+Sens!$I$1797)/2</f>
        <v>7268.6</v>
      </c>
      <c r="J1803" s="32" t="n">
        <f aca="false">(Sens!$I$1797+Sens!$J$1797)/2</f>
        <v>10902.9</v>
      </c>
      <c r="K1803" s="32" t="n">
        <f aca="false">(Sens!$J$1797+Sens!$K$1797)/2</f>
        <v>14005.4835833333</v>
      </c>
      <c r="L1803" s="32" t="n">
        <f aca="false">(Sens!$K$1797+Sens!$L$1797)/2</f>
        <v>16044.6343333333</v>
      </c>
      <c r="M1803" s="32" t="n">
        <f aca="false">(Sens!$L$1797+Sens!$M$1797)/2</f>
        <v>17020.35225</v>
      </c>
    </row>
    <row r="1804" customFormat="false" ht="17.15" hidden="false" customHeight="false" outlineLevel="0" collapsed="false">
      <c r="A1804" s="1" t="s">
        <v>615</v>
      </c>
    </row>
    <row r="1805" customFormat="false" ht="17.15" hidden="false" customHeight="false" outlineLevel="0" collapsed="false">
      <c r="A1805" s="1" t="s">
        <v>616</v>
      </c>
      <c r="B1805" s="8" t="s">
        <v>86</v>
      </c>
      <c r="C1805" s="38" t="n">
        <f aca="false">Sens!$C$1788*rpm_open*Sens!$C$1789/1000</f>
        <v>2.32100535697364</v>
      </c>
      <c r="D1805" s="38" t="n">
        <f aca="false">Sens!$D$1788*rpm_open*Sens!$D$1789/1000</f>
        <v>8.70377008865116</v>
      </c>
      <c r="E1805" s="38" t="n">
        <f aca="false">Sens!$E$1788*rpm_open*Sens!$E$1789/1000</f>
        <v>8.51035297557002</v>
      </c>
      <c r="F1805" s="38" t="n">
        <f aca="false">(mw_open*rpm_open+Sens!$F$1803*Sens!$F$1802)*Sens!$F$1789/1000</f>
        <v>14.9634336447205</v>
      </c>
      <c r="G1805" s="38" t="n">
        <f aca="false">Sens!$E$1805+Sens!$F$1805</f>
        <v>23.4737866202905</v>
      </c>
      <c r="H1805" s="38" t="n">
        <f aca="false">(mw_open*rpm_open+Sens!$H$1803*Sens!$H$1802)/1000</f>
        <v>60.1658907497746</v>
      </c>
      <c r="I1805" s="38" t="n">
        <f aca="false">(mw_open*rpm_open+Sens!$I$1803*Sens!$I$1802)/1000</f>
        <v>101.503699136432</v>
      </c>
      <c r="J1805" s="38" t="n">
        <f aca="false">(mw_open*rpm_open+Sens!$J$1803*Sens!$J$1802)/1000</f>
        <v>143.025407151278</v>
      </c>
      <c r="K1805" s="38" t="n">
        <f aca="false">(mw_open*rpm_open+Sens!$K$1803*Sens!$K$1802)/1000</f>
        <v>178.44812038318</v>
      </c>
      <c r="L1805" s="38" t="n">
        <f aca="false">(mw_open*rpm_open+Sens!$L$1803*Sens!$L$1802)/1000</f>
        <v>201.728101802396</v>
      </c>
      <c r="M1805" s="38" t="n">
        <f aca="false">(mw_open*rpm_open+Sens!$M$1803*Sens!$M$1802)/1000</f>
        <v>212.835441368865</v>
      </c>
      <c r="N1805" s="38" t="n">
        <f aca="false">Sens!$N$1788*rpm_open*Sens!$N$1789/1000</f>
        <v>3.04631953102791</v>
      </c>
      <c r="O1805" s="38" t="n">
        <f aca="false">Sens!$O$1788*rpm_open*Sens!$O$1789/1000</f>
        <v>5.65745055762326</v>
      </c>
      <c r="P1805" s="5" t="s">
        <v>617</v>
      </c>
    </row>
    <row r="1806" customFormat="false" ht="17.15" hidden="false" customHeight="false" outlineLevel="0" collapsed="false">
      <c r="A1806" s="5" t="s">
        <v>618</v>
      </c>
      <c r="B1806" s="0" t="s">
        <v>173</v>
      </c>
      <c r="C1806" s="36" t="n">
        <f aca="false">Sens!$C$1805*1000/(Sens!$C$1788*Sens!$C$1789)</f>
        <v>9.67085565405685</v>
      </c>
      <c r="D1806" s="36" t="n">
        <f aca="false">Sens!$D$1805*1000/(Sens!$D$1788*Sens!$D$1789)</f>
        <v>9.67085565405685</v>
      </c>
      <c r="E1806" s="36" t="n">
        <f aca="false">Sens!$E$1805*1000/(Sens!$E$1788*Sens!$E$1789)</f>
        <v>9.67085565405685</v>
      </c>
      <c r="F1806" s="36" t="n">
        <f aca="false">Sens!$F$1805*1000/(Sens!$F$1788*Sens!$F$1789)</f>
        <v>10.0137581588017</v>
      </c>
      <c r="G1806" s="36" t="n">
        <f aca="false">Sens!$G$1805*1000/(Sens!$G$1788*Sens!$G$1789)</f>
        <v>9.88666562928478</v>
      </c>
      <c r="H1806" s="36" t="n">
        <f aca="false">Sens!$H$1805*1000/(Sens!$H$1788*Sens!$H$1789)</f>
        <v>10.5290045586992</v>
      </c>
      <c r="I1806" s="36" t="n">
        <f aca="false">Sens!$I$1805*1000/(Sens!$I$1788*Sens!$I$1789)</f>
        <v>10.8576363451674</v>
      </c>
      <c r="J1806" s="36" t="n">
        <f aca="false">Sens!$J$1805*1000/(Sens!$J$1788*Sens!$J$1789)</f>
        <v>11.0164452588619</v>
      </c>
      <c r="K1806" s="36" t="n">
        <f aca="false">Sens!$K$1805*1000/(Sens!$K$1788*Sens!$K$1789)</f>
        <v>11.0937367508227</v>
      </c>
      <c r="L1806" s="36" t="n">
        <f aca="false">Sens!$L$1805*1000/(Sens!$L$1788*Sens!$L$1789)</f>
        <v>11.1300508519168</v>
      </c>
      <c r="M1806" s="36" t="n">
        <f aca="false">Sens!$M$1805*1000/(Sens!$M$1788*Sens!$M$1789)</f>
        <v>11.1430113216297</v>
      </c>
      <c r="N1806" s="36" t="n">
        <f aca="false">Sens!$N$1805*1000/(Sens!$N$1788*Sens!$N$1789)</f>
        <v>9.67085565405685</v>
      </c>
      <c r="O1806" s="36" t="n">
        <f aca="false">Sens!$O$1805*1000/(Sens!$O$1788*Sens!$O$1789)</f>
        <v>9.67085565405685</v>
      </c>
    </row>
    <row r="1807" customFormat="false" ht="17.15" hidden="false" customHeight="false" outlineLevel="0" collapsed="false">
      <c r="A1807" s="0" t="s">
        <v>619</v>
      </c>
      <c r="B1807" s="0" t="s">
        <v>86</v>
      </c>
      <c r="C1807" s="38" t="n">
        <f aca="false">Sens!$C$1788/ext_sh*(ox_open+rent_mw)*Sens!$C$1789/1000</f>
        <v>0.642569210675032</v>
      </c>
      <c r="D1807" s="38" t="n">
        <f aca="false">Sens!$D$1788/ext_sh*(ox_open+rent_mw)*Sens!$D$1789/1000</f>
        <v>2.40963454003137</v>
      </c>
      <c r="E1807" s="38" t="n">
        <f aca="false">Sens!$E$1788/ext_sh*(ox_open+rent_mw)*Sens!$E$1789/1000</f>
        <v>2.35608710580845</v>
      </c>
      <c r="F1807" s="38" t="n">
        <f aca="false">((mw_open*ox_open+Sens!$F$1803*Sens!$F$1801)/ext_sh+Sens!$F$1788/ext_sh*rent_mw)*Sens!$F$1789/1000</f>
        <v>4.05421991106232</v>
      </c>
      <c r="G1807" s="38" t="n">
        <f aca="false">Sens!$E$1807+Sens!$F$1807</f>
        <v>6.41030701687077</v>
      </c>
      <c r="H1807" s="38" t="n">
        <f aca="false">((mw_open*ox_open+Sens!$H$1803*Sens!$H$1801)/ext_sh+Sens!$H$1788/ext_sh*rent_mw)*Sens!$H$1789/1000</f>
        <v>15.8108975546616</v>
      </c>
      <c r="I1807" s="38" t="n">
        <f aca="false">((mw_open*ox_open+Sens!$I$1803*Sens!$I$1801)/ext_sh+Sens!$I$1788/ext_sh*rent_mw)*Sens!$I$1789/1000</f>
        <v>26.1871623400817</v>
      </c>
      <c r="J1807" s="38" t="n">
        <f aca="false">((mw_open*ox_open+Sens!$J$1803*Sens!$J$1801)/ext_sh+Sens!$J$1788/ext_sh*rent_mw)*Sens!$J$1789/1000</f>
        <v>36.5826128954935</v>
      </c>
      <c r="K1807" s="38" t="n">
        <f aca="false">((mw_open*ox_open+Sens!$K$1803*Sens!$K$1801)/ext_sh+Sens!$K$1788/ext_sh*rent_mw)*Sens!$K$1789/1000</f>
        <v>45.4546361137628</v>
      </c>
      <c r="L1807" s="38" t="n">
        <f aca="false">((mw_open*ox_open+Sens!$L$1803*Sens!$L$1801)/ext_sh+Sens!$L$1788/ext_sh*rent_mw)*Sens!$L$1789/1000</f>
        <v>51.2855695554452</v>
      </c>
      <c r="M1807" s="38" t="n">
        <f aca="false">((mw_open*ox_open+Sens!$M$1803*Sens!$M$1801)/ext_sh+Sens!$M$1788/ext_sh*rent_mw)*Sens!$M$1789/1000</f>
        <v>54.0722927838398</v>
      </c>
      <c r="N1807" s="38" t="n">
        <f aca="false">Sens!$N$1788/ext_sh*(ox_open+rent_mw)*Sens!$N$1789/1000</f>
        <v>0.84337208901098</v>
      </c>
      <c r="O1807" s="38" t="n">
        <f aca="false">Sens!$O$1788/ext_sh*(ox_open+rent_mw)*Sens!$O$1789/1000</f>
        <v>1.56626245102039</v>
      </c>
    </row>
    <row r="1808" customFormat="false" ht="17.15" hidden="false" customHeight="false" outlineLevel="0" collapsed="false">
      <c r="A1808" s="0" t="s">
        <v>620</v>
      </c>
      <c r="B1808" s="0" t="s">
        <v>86</v>
      </c>
      <c r="C1808" s="38" t="n">
        <f aca="false">Q!$D$7</f>
        <v>107.556</v>
      </c>
      <c r="D1808" s="38" t="n">
        <f aca="false">Q!$E$7</f>
        <v>128.725</v>
      </c>
      <c r="E1808" s="38" t="n">
        <f aca="false">Q!$P$7</f>
        <v>79.819</v>
      </c>
      <c r="N1808" s="38" t="n">
        <f aca="false">Q!$N$7</f>
        <v>60.14</v>
      </c>
      <c r="O1808" s="38" t="n">
        <f aca="false">Q!$O$7</f>
        <v>68.585</v>
      </c>
    </row>
    <row r="1809" customFormat="false" ht="17.15" hidden="false" customHeight="false" outlineLevel="0" collapsed="false">
      <c r="A1809" s="1" t="s">
        <v>621</v>
      </c>
      <c r="B1809" s="8" t="s">
        <v>86</v>
      </c>
      <c r="C1809" s="38" t="n">
        <f aca="false">Sens!$C$1808-Sens!$C$1805</f>
        <v>105.234994643026</v>
      </c>
      <c r="D1809" s="38" t="n">
        <f aca="false">Sens!$D$1808-Sens!$D$1805</f>
        <v>120.021229911349</v>
      </c>
      <c r="E1809" s="38" t="n">
        <f aca="false">Sens!$E$1808-Sens!$E$1805</f>
        <v>71.30864702443</v>
      </c>
      <c r="F1809" s="38" t="n">
        <f aca="false">Sens!$O$1809*(1+Sens!$F$1810)</f>
        <v>71.7692997942464</v>
      </c>
      <c r="G1809" s="38" t="n">
        <f aca="false">Sens!$E$1809+Sens!$F$1809</f>
        <v>143.077946818676</v>
      </c>
      <c r="H1809" s="38" t="n">
        <f aca="false">Sens!$G$1809*(1+Sens!$H$1810)</f>
        <v>161.017077079203</v>
      </c>
      <c r="I1809" s="38" t="n">
        <f aca="false">Sens!$H$1809*(1+Sens!$I$1810)</f>
        <v>178.769759521457</v>
      </c>
      <c r="J1809" s="38" t="n">
        <f aca="false">Sens!$I$1809*(1+Sens!$J$1810)</f>
        <v>195.775538045907</v>
      </c>
      <c r="K1809" s="38" t="n">
        <f aca="false">Sens!$J$1809*(1+Sens!$K$1810)</f>
        <v>211.43758108958</v>
      </c>
      <c r="L1809" s="38" t="n">
        <f aca="false">Sens!$K$1809*(1+Sens!$L$1810)</f>
        <v>228.352587576746</v>
      </c>
      <c r="M1809" s="38" t="n">
        <f aca="false">Sens!$L$1809*(1+Sens!$M$1810)</f>
        <v>246.620794582886</v>
      </c>
      <c r="N1809" s="38" t="n">
        <f aca="false">Sens!$N$1808-Sens!$N$1805</f>
        <v>57.0936804689721</v>
      </c>
      <c r="O1809" s="38" t="n">
        <f aca="false">Sens!$O$1808-Sens!$O$1805</f>
        <v>62.9275494423768</v>
      </c>
      <c r="P1809" s="5" t="s">
        <v>622</v>
      </c>
    </row>
    <row r="1810" customFormat="false" ht="17.15" hidden="false" customHeight="false" outlineLevel="0" collapsed="false">
      <c r="A1810" s="0" t="s">
        <v>623</v>
      </c>
      <c r="B1810" s="0" t="s">
        <v>52</v>
      </c>
      <c r="D1810" s="13" t="n">
        <f aca="false">Sens!$D$1809/Sens!$C$1809-1</f>
        <v>0.140506827776062</v>
      </c>
      <c r="E1810" s="13" t="n">
        <f aca="false">Sens!$E$1809/Sens!$N$1809-1</f>
        <v>0.248976181579029</v>
      </c>
      <c r="F1810" s="13" t="n">
        <f aca="false">Sens!$D$1810</f>
        <v>0.140506827776062</v>
      </c>
      <c r="G1810" s="13" t="n">
        <f aca="false">Sens!$G$1809/Sens!$D$1809-1</f>
        <v>0.19210532106993</v>
      </c>
      <c r="H1810" s="13" t="n">
        <f aca="false">Sens!$F$1810+(g_awso_lt-Sens!$F$1810)*1/4</f>
        <v>0.125380120832046</v>
      </c>
      <c r="I1810" s="13" t="n">
        <f aca="false">Sens!$F$1810+(g_awso_lt-Sens!$F$1810)*2/4</f>
        <v>0.110253413888031</v>
      </c>
      <c r="J1810" s="13" t="n">
        <f aca="false">Sens!$F$1810+(g_awso_lt-Sens!$F$1810)*3/4</f>
        <v>0.0951267069440154</v>
      </c>
      <c r="K1810" s="13" t="n">
        <f aca="false">Sens!$F$1810+(g_awso_lt-Sens!$F$1810)*4/4</f>
        <v>0.08</v>
      </c>
      <c r="L1810" s="13" t="n">
        <f aca="false">g_awso_lt</f>
        <v>0.08</v>
      </c>
      <c r="M1810" s="13" t="n">
        <f aca="false">g_awso_lt</f>
        <v>0.08</v>
      </c>
      <c r="P1810" s="5" t="s">
        <v>624</v>
      </c>
    </row>
    <row r="1811" customFormat="false" ht="17.15" hidden="false" customHeight="false" outlineLevel="0" collapsed="false">
      <c r="A1811" s="1" t="s">
        <v>625</v>
      </c>
    </row>
    <row r="1812" customFormat="false" ht="17.15" hidden="false" customHeight="false" outlineLevel="0" collapsed="false">
      <c r="A1812" s="0" t="s">
        <v>626</v>
      </c>
      <c r="B1812" s="0" t="s">
        <v>86</v>
      </c>
      <c r="F1812" s="38" t="n">
        <f aca="false">cx_rt*Sens!$F$1777+cx_awso*Sens!$F$1809</f>
        <v>34.9734495387866</v>
      </c>
    </row>
    <row r="1813" customFormat="false" ht="17.15" hidden="false" customHeight="false" outlineLevel="0" collapsed="false">
      <c r="A1813" s="0" t="s">
        <v>627</v>
      </c>
      <c r="B1813" s="0" t="s">
        <v>52</v>
      </c>
      <c r="C1813" s="13" t="n">
        <f aca="false">tk_cx_h100/(tk_cx_h100+tk_fac*(1-colo_sh))</f>
        <v>0.730756458006641</v>
      </c>
      <c r="D1813" s="13" t="n">
        <f aca="false">tk_cx_h100/(tk_cx_h100+tk_fac*(1-colo_sh))</f>
        <v>0.730756458006641</v>
      </c>
      <c r="E1813" s="13" t="n">
        <f aca="false">Sens!$F$1813</f>
        <v>0.760792334328868</v>
      </c>
      <c r="F1813" s="13" t="n">
        <f aca="false">Sens!$F$1796/(Sens!$F$1796+tk_fac*(1-colo_sh))</f>
        <v>0.760792334328868</v>
      </c>
      <c r="G1813" s="13" t="n">
        <f aca="false">Sens!$G$1796/(Sens!$G$1796+tk_fac*(1-colo_sh))</f>
        <v>0.760792334328868</v>
      </c>
      <c r="H1813" s="13" t="n">
        <f aca="false">Sens!$H$1796/(Sens!$H$1796+tk_fac*(1-colo_sh))</f>
        <v>0.768110668862996</v>
      </c>
      <c r="I1813" s="13" t="n">
        <f aca="false">Sens!$I$1796/(Sens!$I$1796+tk_fac*(1-colo_sh))</f>
        <v>0.77499450139483</v>
      </c>
      <c r="J1813" s="13" t="n">
        <f aca="false">Sens!$J$1796/(Sens!$J$1796+tk_fac*(1-colo_sh))</f>
        <v>0.77499450139483</v>
      </c>
      <c r="K1813" s="13" t="n">
        <f aca="false">Sens!$K$1796/(Sens!$K$1796+tk_fac*(1-colo_sh))</f>
        <v>0.77499450139483</v>
      </c>
      <c r="L1813" s="13" t="n">
        <f aca="false">Sens!$L$1796/(Sens!$L$1796+tk_fac*(1-colo_sh))</f>
        <v>0.77499450139483</v>
      </c>
      <c r="M1813" s="13" t="n">
        <f aca="false">Sens!$M$1796/(Sens!$M$1796+tk_fac*(1-colo_sh))</f>
        <v>0.77499450139483</v>
      </c>
    </row>
    <row r="1814" customFormat="false" ht="17.15" hidden="false" customHeight="false" outlineLevel="0" collapsed="false">
      <c r="A1814" s="1" t="s">
        <v>628</v>
      </c>
      <c r="B1814" s="8" t="s">
        <v>86</v>
      </c>
      <c r="C1814" s="38" t="n">
        <f aca="false">Q!$D$46-cx_rt*Q!$D$16-cx_awso*Sens!$C$1809</f>
        <v>25.2781053077374</v>
      </c>
      <c r="D1814" s="38" t="n">
        <f aca="false">Q!$E$46-cx_rt*Q!$E$16-cx_awso*Sens!$D$1809</f>
        <v>69.5686316310026</v>
      </c>
      <c r="E1814" s="38" t="n">
        <f aca="false">Q!$P$46-cx_rt*Q!$P$16-cx_awso*Sens!$E$1809</f>
        <v>64.1899206485108</v>
      </c>
      <c r="F1814" s="38" t="n">
        <f aca="false">MAX(Sens!$F$1791*(Sens!$F$1796+tk_fac*(1-colo_sh))/1000,capex_g26-Q!$P$46-Sens!$F$1812)</f>
        <v>96.2481299895</v>
      </c>
      <c r="G1814" s="38" t="n">
        <f aca="false">Sens!$E$1814+Sens!$F$1814</f>
        <v>160.438050638011</v>
      </c>
      <c r="H1814" s="38" t="n">
        <f aca="false">Sens!$H$1791*(Sens!$H$1796+tk_fac*(1-colo_sh))/1000+Sens!$H$1815</f>
        <v>198.57136494475</v>
      </c>
      <c r="I1814" s="38" t="n">
        <f aca="false">Sens!$I$1791*(Sens!$I$1796+tk_fac*(1-colo_sh))/1000+Sens!$I$1815</f>
        <v>209.8832381105</v>
      </c>
      <c r="J1814" s="38" t="n">
        <f aca="false">Sens!$J$1791*(Sens!$J$1796+tk_fac*(1-colo_sh))/1000+Sens!$J$1815</f>
        <v>215.1200063105</v>
      </c>
      <c r="K1814" s="38" t="n">
        <f aca="false">Sens!$K$1791*(Sens!$K$1796+tk_fac*(1-colo_sh))/1000+Sens!$K$1815</f>
        <v>191.895762675201</v>
      </c>
      <c r="L1814" s="38" t="n">
        <f aca="false">Sens!$L$1791*(Sens!$L$1796+tk_fac*(1-colo_sh))/1000+Sens!$L$1815</f>
        <v>192.112602695152</v>
      </c>
      <c r="M1814" s="38" t="n">
        <f aca="false">Sens!$M$1791*(Sens!$M$1796+tk_fac*(1-colo_sh))/1000+Sens!$M$1815</f>
        <v>183.601495715103</v>
      </c>
      <c r="P1814" s="5" t="s">
        <v>629</v>
      </c>
      <c r="R1814" s="38" t="n">
        <f aca="false">Q!$C$46-cx_rt*Q!$C$16-cx_awso*(Q!$C$7-mw_ye23/2*rpm_open/1000)</f>
        <v>1.50429979529945</v>
      </c>
      <c r="S1814" s="38" t="n">
        <f aca="false">Sens!$C$1814</f>
        <v>25.2781053077374</v>
      </c>
      <c r="T1814" s="38" t="n">
        <f aca="false">Sens!$D$1814</f>
        <v>69.5686316310026</v>
      </c>
      <c r="U1814" s="38" t="n">
        <f aca="false">Sens!$G$1814</f>
        <v>160.438050638011</v>
      </c>
      <c r="V1814" s="38" t="n">
        <f aca="false">Sens!$H$1814</f>
        <v>198.57136494475</v>
      </c>
      <c r="W1814" s="38" t="n">
        <f aca="false">Sens!$I$1814</f>
        <v>209.8832381105</v>
      </c>
      <c r="X1814" s="38" t="n">
        <f aca="false">Sens!$J$1814</f>
        <v>215.1200063105</v>
      </c>
      <c r="Y1814" s="38" t="n">
        <f aca="false">Sens!$K$1814</f>
        <v>191.895762675201</v>
      </c>
      <c r="Z1814" s="38" t="n">
        <f aca="false">Sens!$L$1814</f>
        <v>192.112602695152</v>
      </c>
      <c r="AA1814" s="38" t="n">
        <f aca="false">Sens!$M$1814</f>
        <v>183.601495715103</v>
      </c>
    </row>
    <row r="1815" customFormat="false" ht="17.15" hidden="false" customHeight="false" outlineLevel="0" collapsed="false">
      <c r="A1815" s="0" t="s">
        <v>630</v>
      </c>
      <c r="B1815" s="0" t="s">
        <v>86</v>
      </c>
      <c r="H1815" s="38" t="n">
        <f aca="false">SUMPRODUCT(--(Sens!$R$1784:$AA$1784=2027-tk_life_lo),Sens!$R$1791:$AA$1791)*Sens!$H$1796/1000</f>
        <v>0</v>
      </c>
      <c r="I1815" s="38" t="n">
        <f aca="false">SUMPRODUCT(--(Sens!$R$1784:$AA$1784=2028-tk_life_lo),Sens!$R$1791:$AA$1791)*Sens!$I$1796/1000</f>
        <v>5.2367682</v>
      </c>
      <c r="J1815" s="38" t="n">
        <f aca="false">SUMPRODUCT(--(Sens!$R$1784:$AA$1784=2029-tk_life_lo),Sens!$R$1791:$AA$1791)*Sens!$J$1796/1000</f>
        <v>10.4735364</v>
      </c>
      <c r="K1815" s="38" t="n">
        <f aca="false">SUMPRODUCT(--(Sens!$R$1784:$AA$1784=2030-tk_life_lo),Sens!$R$1791:$AA$1791)*Sens!$K$1796/1000</f>
        <v>47.1309138</v>
      </c>
      <c r="L1815" s="38" t="n">
        <f aca="false">SUMPRODUCT(--(Sens!$R$1784:$AA$1784=2031-tk_life_lo),Sens!$R$1791:$AA$1791)*Sens!$L$1796/1000</f>
        <v>107.22937485525</v>
      </c>
      <c r="M1815" s="38" t="n">
        <f aca="false">SUMPRODUCT(--(Sens!$R$1784:$AA$1784=2032-tk_life_lo),Sens!$R$1791:$AA$1791)*Sens!$M$1796/1000</f>
        <v>158.5998889105</v>
      </c>
    </row>
    <row r="1816" customFormat="false" ht="17.15" hidden="false" customHeight="false" outlineLevel="0" collapsed="false">
      <c r="A1816" s="0" t="s">
        <v>631</v>
      </c>
      <c r="B1816" s="0" t="s">
        <v>86</v>
      </c>
      <c r="C1816" s="38" t="n">
        <f aca="false">MIN(Sens!$C$1814,Sens!$C$1791*(tk_cx_h100+tk_fac*(1-colo_sh))/1000)</f>
        <v>11.2938642</v>
      </c>
      <c r="D1816" s="38" t="n">
        <f aca="false">MIN(Sens!$D$1814,Sens!$D$1791*(tk_cx_h100+tk_fac*(1-colo_sh))/1000)</f>
        <v>50.8223889</v>
      </c>
      <c r="E1816" s="38" t="n">
        <f aca="false">MIN(Sens!$E$1814,Sens!$E$1791*(Sens!$F$1796+tk_fac*(1-colo_sh))/1000)</f>
        <v>33.8985792</v>
      </c>
      <c r="F1816" s="38" t="n">
        <f aca="false">Sens!$F$1814</f>
        <v>96.2481299895</v>
      </c>
      <c r="G1816" s="38" t="n">
        <f aca="false">Sens!$E$1816+Sens!$F$1816</f>
        <v>130.1467091895</v>
      </c>
      <c r="H1816" s="38" t="n">
        <f aca="false">Sens!$H$1814</f>
        <v>198.57136494475</v>
      </c>
      <c r="I1816" s="38" t="n">
        <f aca="false">Sens!$I$1814</f>
        <v>209.8832381105</v>
      </c>
      <c r="J1816" s="38" t="n">
        <f aca="false">Sens!$J$1814</f>
        <v>215.1200063105</v>
      </c>
      <c r="K1816" s="38" t="n">
        <f aca="false">Sens!$K$1814</f>
        <v>191.895762675201</v>
      </c>
      <c r="L1816" s="38" t="n">
        <f aca="false">Sens!$L$1814</f>
        <v>192.112602695152</v>
      </c>
      <c r="M1816" s="38" t="n">
        <f aca="false">Sens!$M$1814</f>
        <v>183.601495715103</v>
      </c>
      <c r="P1816" s="5" t="s">
        <v>632</v>
      </c>
      <c r="R1816" s="38" t="n">
        <f aca="false">MIN(Sens!$R$1814,Sens!$R$1791*(tk_cx_h100+tk_fac*(1-colo_sh))/1000)</f>
        <v>1.50429979529945</v>
      </c>
      <c r="S1816" s="38" t="n">
        <f aca="false">Sens!$C$1816</f>
        <v>11.2938642</v>
      </c>
      <c r="T1816" s="38" t="n">
        <f aca="false">Sens!$D$1816</f>
        <v>50.8223889</v>
      </c>
      <c r="U1816" s="38" t="n">
        <f aca="false">Sens!$G$1816</f>
        <v>130.1467091895</v>
      </c>
      <c r="V1816" s="38" t="n">
        <f aca="false">Sens!$H$1816</f>
        <v>198.57136494475</v>
      </c>
      <c r="W1816" s="38" t="n">
        <f aca="false">Sens!$I$1816</f>
        <v>209.8832381105</v>
      </c>
      <c r="X1816" s="38" t="n">
        <f aca="false">Sens!$J$1816</f>
        <v>215.1200063105</v>
      </c>
      <c r="Y1816" s="38" t="n">
        <f aca="false">Sens!$K$1816</f>
        <v>191.895762675201</v>
      </c>
      <c r="Z1816" s="38" t="n">
        <f aca="false">Sens!$L$1816</f>
        <v>192.112602695152</v>
      </c>
      <c r="AA1816" s="38" t="n">
        <f aca="false">Sens!$M$1816</f>
        <v>183.601495715103</v>
      </c>
    </row>
    <row r="1817" customFormat="false" ht="17.15" hidden="false" customHeight="false" outlineLevel="0" collapsed="false">
      <c r="A1817" s="5" t="s">
        <v>633</v>
      </c>
      <c r="B1817" s="0" t="s">
        <v>86</v>
      </c>
      <c r="C1817" s="38" t="n">
        <f aca="false">Sens!$C$1814-Sens!$C$1816</f>
        <v>13.9842411077374</v>
      </c>
      <c r="D1817" s="38" t="n">
        <f aca="false">Sens!$D$1814-Sens!$D$1816</f>
        <v>18.7462427310026</v>
      </c>
      <c r="E1817" s="38" t="n">
        <f aca="false">Sens!$E$1814-Sens!$E$1816</f>
        <v>30.2913414485108</v>
      </c>
      <c r="F1817" s="38" t="n">
        <f aca="false">Sens!$F$1814-Sens!$F$1816</f>
        <v>0</v>
      </c>
      <c r="G1817" s="38" t="n">
        <f aca="false">Sens!$G$1814-Sens!$G$1816</f>
        <v>30.2913414485108</v>
      </c>
      <c r="H1817" s="38" t="n">
        <f aca="false">Sens!$H$1814-Sens!$H$1816</f>
        <v>0</v>
      </c>
      <c r="I1817" s="38" t="n">
        <f aca="false">Sens!$I$1814-Sens!$I$1816</f>
        <v>0</v>
      </c>
      <c r="J1817" s="38" t="n">
        <f aca="false">Sens!$J$1814-Sens!$J$1816</f>
        <v>0</v>
      </c>
      <c r="K1817" s="38" t="n">
        <f aca="false">Sens!$K$1814-Sens!$K$1816</f>
        <v>0</v>
      </c>
      <c r="L1817" s="38" t="n">
        <f aca="false">Sens!$L$1814-Sens!$L$1816</f>
        <v>0</v>
      </c>
      <c r="M1817" s="38" t="n">
        <f aca="false">Sens!$M$1814-Sens!$M$1816</f>
        <v>0</v>
      </c>
    </row>
    <row r="1818" customFormat="false" ht="17.15" hidden="false" customHeight="false" outlineLevel="0" collapsed="false">
      <c r="A1818" s="5" t="s">
        <v>634</v>
      </c>
      <c r="B1818" s="0" t="s">
        <v>86</v>
      </c>
      <c r="C1818" s="38" t="n">
        <f aca="false">Sens!$C$1816*Sens!$C$1813</f>
        <v>8.2530642</v>
      </c>
      <c r="D1818" s="38" t="n">
        <f aca="false">Sens!$D$1816*Sens!$D$1813</f>
        <v>37.1387889</v>
      </c>
      <c r="E1818" s="38" t="n">
        <f aca="false">Sens!$E$1816*Sens!$E$1813</f>
        <v>25.7897792</v>
      </c>
      <c r="F1818" s="38" t="n">
        <f aca="false">Sens!$F$1816*Sens!$F$1813</f>
        <v>73.2248394895</v>
      </c>
      <c r="G1818" s="38" t="n">
        <f aca="false">Sens!$E$1818+Sens!$F$1818</f>
        <v>99.0146186895</v>
      </c>
      <c r="H1818" s="38" t="n">
        <f aca="false">(Sens!$H$1816-Sens!$H$1815)*Sens!$H$1813+Sens!$H$1815</f>
        <v>152.52478394475</v>
      </c>
      <c r="I1818" s="38" t="n">
        <f aca="false">(Sens!$I$1816-Sens!$I$1815)*Sens!$I$1813+Sens!$I$1815</f>
        <v>163.8366571105</v>
      </c>
      <c r="J1818" s="38" t="n">
        <f aca="false">(Sens!$J$1816-Sens!$J$1815)*Sens!$J$1813+Sens!$J$1815</f>
        <v>169.0734253105</v>
      </c>
      <c r="K1818" s="38" t="n">
        <f aca="false">(Sens!$K$1816-Sens!$K$1815)*Sens!$K$1813+Sens!$K$1815</f>
        <v>159.322875673534</v>
      </c>
      <c r="L1818" s="38" t="n">
        <f aca="false">(Sens!$L$1816-Sens!$L$1815)*Sens!$L$1813+Sens!$L$1815</f>
        <v>173.013409691818</v>
      </c>
      <c r="M1818" s="38" t="n">
        <f aca="false">(Sens!$M$1816-Sens!$M$1815)*Sens!$M$1813+Sens!$M$1815</f>
        <v>177.975996710103</v>
      </c>
      <c r="R1818" s="38" t="n">
        <f aca="false">Sens!$R$1816*Sens!$C$1813</f>
        <v>1.09927679019314</v>
      </c>
      <c r="S1818" s="38" t="n">
        <f aca="false">Sens!$C$1818</f>
        <v>8.2530642</v>
      </c>
      <c r="T1818" s="38" t="n">
        <f aca="false">Sens!$D$1818</f>
        <v>37.1387889</v>
      </c>
      <c r="U1818" s="38" t="n">
        <f aca="false">Sens!$G$1818</f>
        <v>99.0146186895</v>
      </c>
      <c r="V1818" s="38" t="n">
        <f aca="false">Sens!$H$1818</f>
        <v>152.52478394475</v>
      </c>
      <c r="W1818" s="38" t="n">
        <f aca="false">Sens!$I$1818</f>
        <v>163.8366571105</v>
      </c>
      <c r="X1818" s="38" t="n">
        <f aca="false">Sens!$J$1818</f>
        <v>169.0734253105</v>
      </c>
      <c r="Y1818" s="38" t="n">
        <f aca="false">Sens!$K$1818</f>
        <v>159.322875673534</v>
      </c>
      <c r="Z1818" s="38" t="n">
        <f aca="false">Sens!$L$1818</f>
        <v>173.013409691818</v>
      </c>
      <c r="AA1818" s="38" t="n">
        <f aca="false">Sens!$M$1818</f>
        <v>177.975996710103</v>
      </c>
    </row>
    <row r="1819" customFormat="false" ht="15" hidden="false" customHeight="false" outlineLevel="0" collapsed="false">
      <c r="A1819" s="5" t="s">
        <v>635</v>
      </c>
      <c r="B1819" s="0" t="s">
        <v>86</v>
      </c>
      <c r="C1819" s="38" t="n">
        <f aca="false">Sens!$C$1816-Sens!$C$1818</f>
        <v>3.0408</v>
      </c>
      <c r="D1819" s="38" t="n">
        <f aca="false">Sens!$D$1816-Sens!$D$1818</f>
        <v>13.6836</v>
      </c>
      <c r="E1819" s="38" t="n">
        <f aca="false">Sens!$E$1816-Sens!$E$1818</f>
        <v>8.1088</v>
      </c>
      <c r="F1819" s="38" t="n">
        <f aca="false">Sens!$F$1816-Sens!$F$1818</f>
        <v>23.0232905</v>
      </c>
      <c r="G1819" s="38" t="n">
        <f aca="false">Sens!$G$1816-Sens!$G$1818</f>
        <v>31.1320905</v>
      </c>
      <c r="H1819" s="38" t="n">
        <f aca="false">Sens!$H$1816-Sens!$H$1818</f>
        <v>46.046581</v>
      </c>
      <c r="I1819" s="38" t="n">
        <f aca="false">Sens!$I$1816-Sens!$I$1818</f>
        <v>46.046581</v>
      </c>
      <c r="J1819" s="38" t="n">
        <f aca="false">Sens!$J$1816-Sens!$J$1818</f>
        <v>46.046581</v>
      </c>
      <c r="K1819" s="38" t="n">
        <f aca="false">Sens!$K$1816-Sens!$K$1818</f>
        <v>32.5728870016667</v>
      </c>
      <c r="L1819" s="38" t="n">
        <f aca="false">Sens!$L$1816-Sens!$L$1818</f>
        <v>19.0991930033334</v>
      </c>
      <c r="M1819" s="38" t="n">
        <f aca="false">Sens!$M$1816-Sens!$M$1818</f>
        <v>5.625499005</v>
      </c>
      <c r="R1819" s="38" t="n">
        <f aca="false">Sens!$R$1816-Sens!$R$1818</f>
        <v>0.405023005106309</v>
      </c>
      <c r="S1819" s="38" t="n">
        <f aca="false">Sens!$S$1816-Sens!$S$1818</f>
        <v>3.0408</v>
      </c>
      <c r="T1819" s="38" t="n">
        <f aca="false">Sens!$T$1816-Sens!$T$1818</f>
        <v>13.6836</v>
      </c>
      <c r="U1819" s="38" t="n">
        <f aca="false">Sens!$U$1816-Sens!$U$1818</f>
        <v>31.1320905</v>
      </c>
      <c r="V1819" s="38" t="n">
        <f aca="false">Sens!$V$1816-Sens!$V$1818</f>
        <v>46.046581</v>
      </c>
      <c r="W1819" s="38" t="n">
        <f aca="false">Sens!$W$1816-Sens!$W$1818</f>
        <v>46.046581</v>
      </c>
      <c r="X1819" s="38" t="n">
        <f aca="false">Sens!$X$1816-Sens!$X$1818</f>
        <v>46.046581</v>
      </c>
      <c r="Y1819" s="38" t="n">
        <f aca="false">Sens!$Y$1816-Sens!$Y$1818</f>
        <v>32.5728870016667</v>
      </c>
      <c r="Z1819" s="38" t="n">
        <f aca="false">Sens!$Z$1816-Sens!$Z$1818</f>
        <v>19.0991930033334</v>
      </c>
      <c r="AA1819" s="38" t="n">
        <f aca="false">Sens!$AA$1816-Sens!$AA$1818</f>
        <v>5.625499005</v>
      </c>
    </row>
    <row r="1820" customFormat="false" ht="17.15" hidden="false" customHeight="false" outlineLevel="0" collapsed="false">
      <c r="A1820" s="0" t="s">
        <v>636</v>
      </c>
      <c r="B1820" s="0" t="s">
        <v>52</v>
      </c>
      <c r="C1820" s="13" t="n">
        <f aca="false">Sens!$C$1814/Sens!$C$1936</f>
        <v>0.325505489553393</v>
      </c>
      <c r="D1820" s="13" t="n">
        <f aca="false">Sens!$D$1814/Sens!$D$1936</f>
        <v>0.54214956071542</v>
      </c>
      <c r="E1820" s="13" t="n">
        <f aca="false">Sens!$E$1814/Sens!$E$1936</f>
        <v>0.666492790452817</v>
      </c>
      <c r="F1820" s="13" t="n">
        <f aca="false">Sens!$F$1814/Sens!$F$1936</f>
        <v>0.733477910687338</v>
      </c>
      <c r="G1820" s="13" t="n">
        <f aca="false">Sens!$G$1814/Sens!$G$1936</f>
        <v>0.705124321514523</v>
      </c>
      <c r="H1820" s="13" t="n">
        <f aca="false">Sens!$H$1814/Sens!$H$1936</f>
        <v>0.726376041178204</v>
      </c>
      <c r="I1820" s="13" t="n">
        <f aca="false">Sens!$I$1814/Sens!$I$1936</f>
        <v>0.718240564315889</v>
      </c>
      <c r="J1820" s="13" t="n">
        <f aca="false">Sens!$J$1814/Sens!$J$1936</f>
        <v>0.706346046234102</v>
      </c>
      <c r="K1820" s="13" t="n">
        <f aca="false">Sens!$K$1814/Sens!$K$1936</f>
        <v>0.666965854670113</v>
      </c>
      <c r="L1820" s="13" t="n">
        <f aca="false">Sens!$L$1814/Sens!$L$1936</f>
        <v>0.651682485456269</v>
      </c>
      <c r="M1820" s="13" t="n">
        <f aca="false">Sens!$M$1814/Sens!$M$1936</f>
        <v>0.625213219138598</v>
      </c>
    </row>
    <row r="1821" customFormat="false" ht="17.15" hidden="false" customHeight="false" outlineLevel="0" collapsed="false">
      <c r="A1821" s="0" t="s">
        <v>637</v>
      </c>
      <c r="B1821" s="0" t="s">
        <v>86</v>
      </c>
      <c r="C1821" s="38" t="n">
        <f aca="false">Sens!$S$1821</f>
        <v>0.219855358038628</v>
      </c>
      <c r="D1821" s="38" t="n">
        <f aca="false">Sens!$T$1821</f>
        <v>1.87046819803863</v>
      </c>
      <c r="E1821" s="38" t="n">
        <f aca="false">Sens!$G$1821/2</f>
        <v>4.64911298901931</v>
      </c>
      <c r="F1821" s="38" t="n">
        <f aca="false">Sens!$G$1821/2</f>
        <v>4.64911298901931</v>
      </c>
      <c r="G1821" s="38" t="n">
        <f aca="false">Sens!$U$1821</f>
        <v>9.29822597803863</v>
      </c>
      <c r="H1821" s="38" t="n">
        <f aca="false">Sens!$V$1821</f>
        <v>29.1011497159386</v>
      </c>
      <c r="I1821" s="38" t="n">
        <f aca="false">Sens!$W$1821</f>
        <v>59.6061065048886</v>
      </c>
      <c r="J1821" s="38" t="n">
        <f aca="false">Sens!$X$1821</f>
        <v>92.15358256895</v>
      </c>
      <c r="K1821" s="38" t="n">
        <f aca="false">Sens!$Y$1821</f>
        <v>124.31765479105</v>
      </c>
      <c r="L1821" s="38" t="n">
        <f aca="false">Sens!$Z$1821</f>
        <v>148.754472145757</v>
      </c>
      <c r="M1821" s="38" t="n">
        <f aca="false">Sens!$AA$1821</f>
        <v>163.554230346221</v>
      </c>
      <c r="N1821" s="38" t="n">
        <f aca="false">Sens!$D$1821/2</f>
        <v>0.935234099019314</v>
      </c>
      <c r="O1821" s="38" t="n">
        <f aca="false">Sens!$D$1821/2</f>
        <v>0.935234099019314</v>
      </c>
      <c r="R1821" s="38" t="n">
        <f aca="false">SUMPRODUCT(--(Sens!$R$1784:$AA$1784&lt;Sens!R$1784),--(Sens!$R$1784:$AA$1784&gt;=Sens!R$1784-tk_life_lo),Sens!$R$1818:$AA$1818)/tk_life_lo</f>
        <v>0</v>
      </c>
      <c r="S1821" s="38" t="n">
        <f aca="false">SUMPRODUCT(--(Sens!$R$1784:$AA$1784&lt;Sens!S$1784),--(Sens!$R$1784:$AA$1784&gt;=Sens!S$1784-tk_life_lo),Sens!$R$1818:$AA$1818)/tk_life_lo</f>
        <v>0.219855358038628</v>
      </c>
      <c r="T1821" s="38" t="n">
        <f aca="false">SUMPRODUCT(--(Sens!$R$1784:$AA$1784&lt;Sens!T$1784),--(Sens!$R$1784:$AA$1784&gt;=Sens!T$1784-tk_life_lo),Sens!$R$1818:$AA$1818)/tk_life_lo</f>
        <v>1.87046819803863</v>
      </c>
      <c r="U1821" s="38" t="n">
        <f aca="false">SUMPRODUCT(--(Sens!$R$1784:$AA$1784&lt;Sens!U$1784),--(Sens!$R$1784:$AA$1784&gt;=Sens!U$1784-tk_life_lo),Sens!$R$1818:$AA$1818)/tk_life_lo</f>
        <v>9.29822597803863</v>
      </c>
      <c r="V1821" s="38" t="n">
        <f aca="false">SUMPRODUCT(--(Sens!$R$1784:$AA$1784&lt;Sens!V$1784),--(Sens!$R$1784:$AA$1784&gt;=Sens!V$1784-tk_life_lo),Sens!$R$1818:$AA$1818)/tk_life_lo</f>
        <v>29.1011497159386</v>
      </c>
      <c r="W1821" s="38" t="n">
        <f aca="false">SUMPRODUCT(--(Sens!$R$1784:$AA$1784&lt;Sens!W$1784),--(Sens!$R$1784:$AA$1784&gt;=Sens!W$1784-tk_life_lo),Sens!$R$1818:$AA$1818)/tk_life_lo</f>
        <v>59.6061065048886</v>
      </c>
      <c r="X1821" s="38" t="n">
        <f aca="false">SUMPRODUCT(--(Sens!$R$1784:$AA$1784&lt;Sens!X$1784),--(Sens!$R$1784:$AA$1784&gt;=Sens!X$1784-tk_life_lo),Sens!$R$1818:$AA$1818)/tk_life_lo</f>
        <v>92.15358256895</v>
      </c>
      <c r="Y1821" s="38" t="n">
        <f aca="false">SUMPRODUCT(--(Sens!$R$1784:$AA$1784&lt;Sens!Y$1784),--(Sens!$R$1784:$AA$1784&gt;=Sens!Y$1784-tk_life_lo),Sens!$R$1818:$AA$1818)/tk_life_lo</f>
        <v>124.31765479105</v>
      </c>
      <c r="Z1821" s="38" t="n">
        <f aca="false">SUMPRODUCT(--(Sens!$R$1784:$AA$1784&lt;Sens!Z$1784),--(Sens!$R$1784:$AA$1784&gt;=Sens!Z$1784-tk_life_lo),Sens!$R$1818:$AA$1818)/tk_life_lo</f>
        <v>148.754472145757</v>
      </c>
      <c r="AA1821" s="38" t="n">
        <f aca="false">SUMPRODUCT(--(Sens!$R$1784:$AA$1784&lt;Sens!AA$1784),--(Sens!$R$1784:$AA$1784&gt;=Sens!AA$1784-tk_life_lo),Sens!$R$1818:$AA$1818)/tk_life_lo</f>
        <v>163.554230346221</v>
      </c>
    </row>
    <row r="1822" customFormat="false" ht="17.15" hidden="false" customHeight="false" outlineLevel="0" collapsed="false">
      <c r="A1822" s="0" t="s">
        <v>638</v>
      </c>
      <c r="B1822" s="0" t="s">
        <v>86</v>
      </c>
      <c r="C1822" s="38" t="n">
        <f aca="false">Sens!$S$1822</f>
        <v>0.0202511502553155</v>
      </c>
      <c r="D1822" s="38" t="n">
        <f aca="false">Sens!$T$1822</f>
        <v>0.172291150255315</v>
      </c>
      <c r="E1822" s="38" t="n">
        <f aca="false">Sens!$G$1822/2</f>
        <v>0.428235575127658</v>
      </c>
      <c r="F1822" s="38" t="n">
        <f aca="false">Sens!$G$1822/2</f>
        <v>0.428235575127658</v>
      </c>
      <c r="G1822" s="38" t="n">
        <f aca="false">Sens!$U$1822</f>
        <v>0.856471150255315</v>
      </c>
      <c r="H1822" s="38" t="n">
        <f aca="false">Sens!$V$1822</f>
        <v>2.41307567525532</v>
      </c>
      <c r="I1822" s="38" t="n">
        <f aca="false">Sens!$W$1822</f>
        <v>4.71540472525532</v>
      </c>
      <c r="J1822" s="38" t="n">
        <f aca="false">Sens!$X$1822</f>
        <v>7.01773377525532</v>
      </c>
      <c r="K1822" s="38" t="n">
        <f aca="false">Sens!$Y$1822</f>
        <v>9.32006282525532</v>
      </c>
      <c r="L1822" s="38" t="n">
        <f aca="false">Sens!$Z$1822</f>
        <v>10.9487071753387</v>
      </c>
      <c r="M1822" s="38" t="n">
        <f aca="false">Sens!$AA$1822</f>
        <v>11.9036668255053</v>
      </c>
      <c r="N1822" s="38" t="n">
        <f aca="false">Sens!$D$1822/2</f>
        <v>0.0861455751276577</v>
      </c>
      <c r="O1822" s="38" t="n">
        <f aca="false">Sens!$D$1822/2</f>
        <v>0.0861455751276577</v>
      </c>
      <c r="R1822" s="38" t="n">
        <f aca="false">SUMPRODUCT(--(Sens!$R$1784:$AA$1784&lt;Sens!R$1784),Sens!$R$1819:$AA$1819)/fac_life</f>
        <v>0</v>
      </c>
      <c r="S1822" s="38" t="n">
        <f aca="false">SUMPRODUCT(--(Sens!$R$1784:$AA$1784&lt;Sens!S$1784),Sens!$R$1819:$AA$1819)/fac_life</f>
        <v>0.0202511502553155</v>
      </c>
      <c r="T1822" s="38" t="n">
        <f aca="false">SUMPRODUCT(--(Sens!$R$1784:$AA$1784&lt;Sens!T$1784),Sens!$R$1819:$AA$1819)/fac_life</f>
        <v>0.172291150255315</v>
      </c>
      <c r="U1822" s="38" t="n">
        <f aca="false">SUMPRODUCT(--(Sens!$R$1784:$AA$1784&lt;Sens!U$1784),Sens!$R$1819:$AA$1819)/fac_life</f>
        <v>0.856471150255315</v>
      </c>
      <c r="V1822" s="38" t="n">
        <f aca="false">SUMPRODUCT(--(Sens!$R$1784:$AA$1784&lt;Sens!V$1784),Sens!$R$1819:$AA$1819)/fac_life</f>
        <v>2.41307567525532</v>
      </c>
      <c r="W1822" s="38" t="n">
        <f aca="false">SUMPRODUCT(--(Sens!$R$1784:$AA$1784&lt;Sens!W$1784),Sens!$R$1819:$AA$1819)/fac_life</f>
        <v>4.71540472525532</v>
      </c>
      <c r="X1822" s="38" t="n">
        <f aca="false">SUMPRODUCT(--(Sens!$R$1784:$AA$1784&lt;Sens!X$1784),Sens!$R$1819:$AA$1819)/fac_life</f>
        <v>7.01773377525532</v>
      </c>
      <c r="Y1822" s="38" t="n">
        <f aca="false">SUMPRODUCT(--(Sens!$R$1784:$AA$1784&lt;Sens!Y$1784),Sens!$R$1819:$AA$1819)/fac_life</f>
        <v>9.32006282525532</v>
      </c>
      <c r="Z1822" s="38" t="n">
        <f aca="false">SUMPRODUCT(--(Sens!$R$1784:$AA$1784&lt;Sens!Z$1784),Sens!$R$1819:$AA$1819)/fac_life</f>
        <v>10.9487071753387</v>
      </c>
      <c r="AA1822" s="38" t="n">
        <f aca="false">SUMPRODUCT(--(Sens!$R$1784:$AA$1784&lt;Sens!AA$1784),Sens!$R$1819:$AA$1819)/fac_life</f>
        <v>11.9036668255053</v>
      </c>
    </row>
    <row r="1823" customFormat="false" ht="17.15" hidden="false" customHeight="false" outlineLevel="0" collapsed="false">
      <c r="A1823" s="1" t="s">
        <v>639</v>
      </c>
      <c r="B1823" s="8" t="s">
        <v>86</v>
      </c>
      <c r="C1823" s="38" t="n">
        <f aca="false">Sens!$C$1821+Sens!$C$1822</f>
        <v>0.240106508293943</v>
      </c>
      <c r="D1823" s="38" t="n">
        <f aca="false">Sens!$D$1821+Sens!$D$1822</f>
        <v>2.04275934829394</v>
      </c>
      <c r="E1823" s="38" t="n">
        <f aca="false">Sens!$E$1821+Sens!$E$1822</f>
        <v>5.07734856414697</v>
      </c>
      <c r="F1823" s="38" t="n">
        <f aca="false">Sens!$F$1821+Sens!$F$1822</f>
        <v>5.07734856414697</v>
      </c>
      <c r="G1823" s="38" t="n">
        <f aca="false">Sens!$G$1821+Sens!$G$1822</f>
        <v>10.1546971282939</v>
      </c>
      <c r="H1823" s="38" t="n">
        <f aca="false">Sens!$H$1821+Sens!$H$1822</f>
        <v>31.5142253911939</v>
      </c>
      <c r="I1823" s="38" t="n">
        <f aca="false">Sens!$I$1821+Sens!$I$1822</f>
        <v>64.321511230144</v>
      </c>
      <c r="J1823" s="38" t="n">
        <f aca="false">Sens!$J$1821+Sens!$J$1822</f>
        <v>99.1713163442053</v>
      </c>
      <c r="K1823" s="38" t="n">
        <f aca="false">Sens!$K$1821+Sens!$K$1822</f>
        <v>133.637717616305</v>
      </c>
      <c r="L1823" s="38" t="n">
        <f aca="false">Sens!$L$1821+Sens!$L$1822</f>
        <v>159.703179321096</v>
      </c>
      <c r="M1823" s="38" t="n">
        <f aca="false">Sens!$M$1821+Sens!$M$1822</f>
        <v>175.457897171726</v>
      </c>
      <c r="N1823" s="38" t="n">
        <f aca="false">Sens!$N$1821+Sens!$N$1822</f>
        <v>1.02137967414697</v>
      </c>
      <c r="O1823" s="38" t="n">
        <f aca="false">Sens!$O$1821+Sens!$O$1822</f>
        <v>1.02137967414697</v>
      </c>
      <c r="R1823" s="38" t="n">
        <f aca="false">Sens!$R$1821+Sens!$R$1822</f>
        <v>0</v>
      </c>
      <c r="S1823" s="38" t="n">
        <f aca="false">Sens!$S$1821+Sens!$S$1822</f>
        <v>0.240106508293943</v>
      </c>
      <c r="T1823" s="38" t="n">
        <f aca="false">Sens!$T$1821+Sens!$T$1822</f>
        <v>2.04275934829394</v>
      </c>
      <c r="U1823" s="38" t="n">
        <f aca="false">Sens!$U$1821+Sens!$U$1822</f>
        <v>10.1546971282939</v>
      </c>
      <c r="V1823" s="38" t="n">
        <f aca="false">Sens!$V$1821+Sens!$V$1822</f>
        <v>31.5142253911939</v>
      </c>
      <c r="W1823" s="38" t="n">
        <f aca="false">Sens!$W$1821+Sens!$W$1822</f>
        <v>64.321511230144</v>
      </c>
      <c r="X1823" s="38" t="n">
        <f aca="false">Sens!$X$1821+Sens!$X$1822</f>
        <v>99.1713163442053</v>
      </c>
      <c r="Y1823" s="38" t="n">
        <f aca="false">Sens!$Y$1821+Sens!$Y$1822</f>
        <v>133.637717616305</v>
      </c>
      <c r="Z1823" s="38" t="n">
        <f aca="false">Sens!$Z$1821+Sens!$Z$1822</f>
        <v>159.703179321096</v>
      </c>
      <c r="AA1823" s="38" t="n">
        <f aca="false">Sens!$AA$1821+Sens!$AA$1822</f>
        <v>175.457897171726</v>
      </c>
    </row>
    <row r="1824" customFormat="false" ht="17.15" hidden="false" customHeight="false" outlineLevel="0" collapsed="false">
      <c r="A1824" s="0" t="s">
        <v>640</v>
      </c>
      <c r="B1824" s="0" t="s">
        <v>86</v>
      </c>
      <c r="C1824" s="38" t="n">
        <f aca="false">Sens!$S$1824</f>
        <v>12.5580574870055</v>
      </c>
      <c r="D1824" s="38" t="n">
        <f aca="false">Sens!$T$1824</f>
        <v>61.3376870387116</v>
      </c>
      <c r="G1824" s="38" t="n">
        <f aca="false">Sens!$U$1824</f>
        <v>181.329699099918</v>
      </c>
      <c r="H1824" s="38" t="n">
        <f aca="false">Sens!$V$1824</f>
        <v>348.386838653474</v>
      </c>
      <c r="I1824" s="38" t="n">
        <f aca="false">Sens!$W$1824</f>
        <v>493.94856553383</v>
      </c>
      <c r="J1824" s="38" t="n">
        <f aca="false">Sens!$X$1824</f>
        <v>609.897255500125</v>
      </c>
      <c r="K1824" s="38" t="n">
        <f aca="false">Sens!$Y$1824</f>
        <v>668.15530055902</v>
      </c>
      <c r="L1824" s="38" t="n">
        <f aca="false">Sens!$Z$1824</f>
        <v>700.564723933076</v>
      </c>
      <c r="M1824" s="38" t="n">
        <f aca="false">Sens!$AA$1824</f>
        <v>708.708322476453</v>
      </c>
      <c r="R1824" s="38" t="n">
        <f aca="false">SUM(Sens!$R$1816:$R$1816)-SUM(Sens!$R$1823:$R$1823)</f>
        <v>1.50429979529945</v>
      </c>
      <c r="S1824" s="38" t="n">
        <f aca="false">SUM(Sens!$R$1816:$S$1816)-SUM(Sens!$R$1823:$S$1823)</f>
        <v>12.5580574870055</v>
      </c>
      <c r="T1824" s="38" t="n">
        <f aca="false">SUM(Sens!$R$1816:$T$1816)-SUM(Sens!$R$1823:$T$1823)</f>
        <v>61.3376870387116</v>
      </c>
      <c r="U1824" s="38" t="n">
        <f aca="false">SUM(Sens!$R$1816:$U$1816)-SUM(Sens!$R$1823:$U$1823)</f>
        <v>181.329699099918</v>
      </c>
      <c r="V1824" s="38" t="n">
        <f aca="false">SUM(Sens!$R$1816:$V$1816)-SUM(Sens!$R$1823:$V$1823)</f>
        <v>348.386838653474</v>
      </c>
      <c r="W1824" s="38" t="n">
        <f aca="false">SUM(Sens!$R$1816:$W$1816)-SUM(Sens!$R$1823:$W$1823)</f>
        <v>493.94856553383</v>
      </c>
      <c r="X1824" s="38" t="n">
        <f aca="false">SUM(Sens!$R$1816:$X$1816)-SUM(Sens!$R$1823:$X$1823)</f>
        <v>609.897255500125</v>
      </c>
      <c r="Y1824" s="38" t="n">
        <f aca="false">SUM(Sens!$R$1816:$Y$1816)-SUM(Sens!$R$1823:$Y$1823)</f>
        <v>668.15530055902</v>
      </c>
      <c r="Z1824" s="38" t="n">
        <f aca="false">SUM(Sens!$R$1816:$Z$1816)-SUM(Sens!$R$1823:$Z$1823)</f>
        <v>700.564723933076</v>
      </c>
      <c r="AA1824" s="38" t="n">
        <f aca="false">SUM(Sens!$R$1816:$AA$1816)-SUM(Sens!$R$1823:$AA$1823)</f>
        <v>708.708322476453</v>
      </c>
    </row>
    <row r="1825" customFormat="false" ht="17.15" hidden="false" customHeight="false" outlineLevel="0" collapsed="false">
      <c r="A1825" s="1" t="s">
        <v>641</v>
      </c>
    </row>
    <row r="1826" customFormat="false" ht="17.15" hidden="false" customHeight="false" outlineLevel="0" collapsed="false">
      <c r="A1826" s="0" t="s">
        <v>642</v>
      </c>
      <c r="B1826" s="0" t="s">
        <v>86</v>
      </c>
      <c r="C1826" s="38" t="n">
        <f aca="false">Sens!$C$1805-ext_sh*Sens!$C$1807</f>
        <v>1.80694998843362</v>
      </c>
      <c r="D1826" s="38" t="n">
        <f aca="false">Sens!$D$1805-ext_sh*Sens!$D$1807</f>
        <v>6.77606245662607</v>
      </c>
      <c r="E1826" s="38" t="n">
        <f aca="false">Sens!$E$1805-ext_sh*Sens!$E$1807</f>
        <v>6.62548329092326</v>
      </c>
      <c r="F1826" s="38" t="n">
        <f aca="false">Sens!$F$1805-ext_sh*Sens!$F$1807</f>
        <v>11.7200577158706</v>
      </c>
      <c r="G1826" s="38" t="n">
        <f aca="false">Sens!$G$1805-ext_sh*Sens!$G$1807</f>
        <v>18.3455410067939</v>
      </c>
      <c r="H1826" s="38" t="n">
        <f aca="false">Sens!$H$1805-ext_sh*Sens!$H$1807</f>
        <v>47.5171727060453</v>
      </c>
      <c r="I1826" s="38" t="n">
        <f aca="false">Sens!$I$1805-ext_sh*Sens!$I$1807</f>
        <v>80.5539692643667</v>
      </c>
      <c r="J1826" s="38" t="n">
        <f aca="false">Sens!$J$1805-ext_sh*Sens!$J$1807</f>
        <v>113.759316834883</v>
      </c>
      <c r="K1826" s="38" t="n">
        <f aca="false">Sens!$K$1805-ext_sh*Sens!$K$1807</f>
        <v>142.084411492169</v>
      </c>
      <c r="L1826" s="38" t="n">
        <f aca="false">Sens!$L$1805-ext_sh*Sens!$L$1807</f>
        <v>160.69964615804</v>
      </c>
      <c r="M1826" s="38" t="n">
        <f aca="false">Sens!$M$1805-ext_sh*Sens!$M$1807</f>
        <v>169.577607141793</v>
      </c>
      <c r="N1826" s="38" t="n">
        <f aca="false">Sens!$N$1805-ext_sh*Sens!$N$1807</f>
        <v>2.37162185981912</v>
      </c>
      <c r="O1826" s="38" t="n">
        <f aca="false">Sens!$O$1805-ext_sh*Sens!$O$1807</f>
        <v>4.40444059680694</v>
      </c>
    </row>
    <row r="1827" customFormat="false" ht="17.15" hidden="false" customHeight="false" outlineLevel="0" collapsed="false">
      <c r="A1827" s="1" t="s">
        <v>643</v>
      </c>
      <c r="B1827" s="8" t="s">
        <v>86</v>
      </c>
      <c r="C1827" s="38" t="n">
        <f aca="false">Sens!$C$1826-ext_sh*Sens!$C$1823</f>
        <v>1.61486478179846</v>
      </c>
      <c r="D1827" s="38" t="n">
        <f aca="false">Sens!$D$1826-ext_sh*Sens!$D$1823</f>
        <v>5.14185497799091</v>
      </c>
      <c r="E1827" s="38" t="n">
        <f aca="false">Sens!$E$1826-ext_sh*Sens!$E$1823</f>
        <v>2.56360443960569</v>
      </c>
      <c r="F1827" s="38" t="n">
        <f aca="false">Sens!$F$1826-ext_sh*Sens!$F$1823</f>
        <v>7.65817886455301</v>
      </c>
      <c r="G1827" s="38" t="n">
        <f aca="false">Sens!$G$1826-ext_sh*Sens!$G$1823</f>
        <v>10.2217833041587</v>
      </c>
      <c r="H1827" s="38" t="n">
        <f aca="false">Sens!$H$1826-ext_sh*Sens!$H$1823</f>
        <v>22.3057923930902</v>
      </c>
      <c r="I1827" s="38" t="n">
        <f aca="false">Sens!$I$1826-ext_sh*Sens!$I$1823</f>
        <v>29.0967602802515</v>
      </c>
      <c r="J1827" s="38" t="n">
        <f aca="false">Sens!$J$1826-ext_sh*Sens!$J$1823</f>
        <v>34.4222637595191</v>
      </c>
      <c r="K1827" s="38" t="n">
        <f aca="false">Sens!$K$1826-ext_sh*Sens!$K$1823</f>
        <v>35.1742373991252</v>
      </c>
      <c r="L1827" s="38" t="n">
        <f aca="false">Sens!$L$1826-ext_sh*Sens!$L$1823</f>
        <v>32.9371027011639</v>
      </c>
      <c r="M1827" s="38" t="n">
        <f aca="false">Sens!$M$1826-ext_sh*Sens!$M$1823</f>
        <v>29.2112894044126</v>
      </c>
      <c r="N1827" s="38" t="n">
        <f aca="false">Sens!$N$1826-ext_sh*Sens!$N$1823</f>
        <v>1.55451812050155</v>
      </c>
      <c r="O1827" s="38" t="n">
        <f aca="false">Sens!$O$1826-ext_sh*Sens!$O$1823</f>
        <v>3.58733685748937</v>
      </c>
    </row>
    <row r="1828" customFormat="false" ht="17.15" hidden="false" customHeight="false" outlineLevel="0" collapsed="false">
      <c r="A1828" s="0" t="s">
        <v>644</v>
      </c>
      <c r="B1828" s="0" t="s">
        <v>52</v>
      </c>
      <c r="C1828" s="13" t="n">
        <f aca="false">Sens!$C$1827/Sens!$C$1805</f>
        <v>0.695760902466888</v>
      </c>
      <c r="D1828" s="13" t="n">
        <f aca="false">Sens!$D$1827/Sens!$D$1805</f>
        <v>0.590761810757774</v>
      </c>
      <c r="E1828" s="13" t="n">
        <f aca="false">Sens!$E$1827/Sens!$E$1805</f>
        <v>0.301233620622413</v>
      </c>
      <c r="F1828" s="13" t="n">
        <f aca="false">Sens!$F$1827/Sens!$F$1805</f>
        <v>0.511792884332738</v>
      </c>
      <c r="G1828" s="13" t="n">
        <f aca="false">Sens!$G$1827/Sens!$G$1805</f>
        <v>0.435455236494444</v>
      </c>
      <c r="H1828" s="13" t="n">
        <f aca="false">Sens!$H$1827/Sens!$H$1805</f>
        <v>0.370738172660956</v>
      </c>
      <c r="I1828" s="13" t="n">
        <f aca="false">Sens!$I$1827/Sens!$I$1805</f>
        <v>0.286657141836204</v>
      </c>
      <c r="J1828" s="13" t="n">
        <f aca="false">Sens!$J$1827/Sens!$J$1805</f>
        <v>0.240672370351029</v>
      </c>
      <c r="K1828" s="13" t="n">
        <f aca="false">Sens!$K$1827/Sens!$K$1805</f>
        <v>0.197111840256966</v>
      </c>
      <c r="L1828" s="13" t="n">
        <f aca="false">Sens!$L$1827/Sens!$L$1805</f>
        <v>0.163274736672174</v>
      </c>
      <c r="M1828" s="13" t="n">
        <f aca="false">Sens!$M$1827/Sens!$M$1805</f>
        <v>0.137248238435001</v>
      </c>
      <c r="N1828" s="13" t="n">
        <f aca="false">Sens!$N$1827/Sens!$N$1805</f>
        <v>0.510293849567715</v>
      </c>
      <c r="O1828" s="13" t="n">
        <f aca="false">Sens!$O$1827/Sens!$O$1805</f>
        <v>0.634090712937037</v>
      </c>
    </row>
    <row r="1829" customFormat="false" ht="17.15" hidden="false" customHeight="false" outlineLevel="0" collapsed="false">
      <c r="A1829" s="5" t="s">
        <v>645</v>
      </c>
      <c r="B1829" s="0" t="s">
        <v>86</v>
      </c>
      <c r="C1829" s="39" t="n">
        <v>0</v>
      </c>
      <c r="D1829" s="39" t="n">
        <v>0</v>
      </c>
      <c r="E1829" s="39" t="n">
        <v>0</v>
      </c>
      <c r="F1829" s="38" t="n">
        <f aca="false">IF(internal_ai_reading=2,1,0)*(1-ext_sh)/ext_sh*(mw_open*he_open+Sens!$F$1803*Sens!$F$1800)*Sens!$F$1789/1000</f>
        <v>3.77122048175818</v>
      </c>
      <c r="G1829" s="38" t="n">
        <f aca="false">Sens!$E$1829+Sens!$F$1829</f>
        <v>3.77122048175818</v>
      </c>
      <c r="H1829" s="38" t="n">
        <f aca="false">IF(internal_ai_reading=2,1,0)*(1-ext_sh)/ext_sh*(mw_open*he_open+Sens!$H$1803*Sens!$H$1800)*Sens!$H$1789/1000</f>
        <v>15.1635543609893</v>
      </c>
      <c r="I1829" s="38" t="n">
        <f aca="false">IF(internal_ai_reading=2,1,0)*(1-ext_sh)/ext_sh*(mw_open*he_open+Sens!$I$1803*Sens!$I$1800)*Sens!$I$1789/1000</f>
        <v>25.5818843619889</v>
      </c>
      <c r="J1829" s="38" t="n">
        <f aca="false">IF(internal_ai_reading=2,1,0)*(1-ext_sh)/ext_sh*(mw_open*he_open+Sens!$J$1803*Sens!$J$1800)*Sens!$J$1789/1000</f>
        <v>36.0465624179122</v>
      </c>
      <c r="K1829" s="38" t="n">
        <f aca="false">IF(internal_ai_reading=2,1,0)*(1-ext_sh)/ext_sh*(mw_open*he_open+Sens!$K$1803*Sens!$K$1800)*Sens!$K$1789/1000</f>
        <v>44.9741164026038</v>
      </c>
      <c r="L1829" s="38" t="n">
        <f aca="false">IF(internal_ai_reading=2,1,0)*(1-ext_sh)/ext_sh*(mw_open*he_open+Sens!$L$1803*Sens!$L$1800)*Sens!$L$1789/1000</f>
        <v>50.8413488057813</v>
      </c>
      <c r="M1829" s="38" t="n">
        <f aca="false">IF(internal_ai_reading=2,1,0)*(1-ext_sh)/ext_sh*(mw_open*he_open+Sens!$M$1803*Sens!$M$1800)*Sens!$M$1789/1000</f>
        <v>53.6407214274315</v>
      </c>
      <c r="N1829" s="39" t="n">
        <v>0</v>
      </c>
      <c r="O1829" s="39" t="n">
        <v>0</v>
      </c>
      <c r="P1829" s="8" t="s">
        <v>646</v>
      </c>
    </row>
    <row r="1830" customFormat="false" ht="17.15" hidden="false" customHeight="false" outlineLevel="0" collapsed="false">
      <c r="A1830" s="5" t="s">
        <v>647</v>
      </c>
      <c r="B1830" s="0" t="s">
        <v>86</v>
      </c>
      <c r="C1830" s="38" t="n">
        <f aca="false">(1-ext_sh)*(Sens!$C$1807+Sens!$C$1823)</f>
        <v>0.176535143793795</v>
      </c>
      <c r="D1830" s="38" t="n">
        <f aca="false">(1-ext_sh)*(Sens!$D$1807+Sens!$D$1823)</f>
        <v>0.890478777665063</v>
      </c>
      <c r="E1830" s="38" t="n">
        <f aca="false">(1-ext_sh)*(Sens!$E$1807+Sens!$E$1823)</f>
        <v>1.48668713399108</v>
      </c>
      <c r="F1830" s="38" t="n">
        <f aca="false">(1-ext_sh)*(Sens!$F$1807+Sens!$F$1823)</f>
        <v>1.82631369504186</v>
      </c>
      <c r="G1830" s="38" t="n">
        <f aca="false">(1-ext_sh)*(Sens!$G$1807+Sens!$G$1823)</f>
        <v>3.31300082903294</v>
      </c>
      <c r="H1830" s="38" t="n">
        <f aca="false">(1-ext_sh)*(Sens!$H$1807+Sens!$H$1823)</f>
        <v>9.4650245891711</v>
      </c>
      <c r="I1830" s="38" t="n">
        <f aca="false">(1-ext_sh)*(Sens!$I$1807+Sens!$I$1823)</f>
        <v>18.1017347140451</v>
      </c>
      <c r="J1830" s="38" t="n">
        <f aca="false">(1-ext_sh)*(Sens!$J$1807+Sens!$J$1823)</f>
        <v>27.1507858479398</v>
      </c>
      <c r="K1830" s="38" t="n">
        <f aca="false">(1-ext_sh)*(Sens!$K$1807+Sens!$K$1823)</f>
        <v>35.8184707460136</v>
      </c>
      <c r="L1830" s="38" t="n">
        <f aca="false">(1-ext_sh)*(Sens!$L$1807+Sens!$L$1823)</f>
        <v>42.1977497753081</v>
      </c>
      <c r="M1830" s="38" t="n">
        <f aca="false">(1-ext_sh)*(Sens!$M$1807+Sens!$M$1823)</f>
        <v>45.9060379911131</v>
      </c>
      <c r="N1830" s="38" t="n">
        <f aca="false">(1-ext_sh)*(Sens!$N$1807+Sens!$N$1823)</f>
        <v>0.37295035263159</v>
      </c>
      <c r="O1830" s="38" t="n">
        <f aca="false">(1-ext_sh)*(Sens!$O$1807+Sens!$O$1823)</f>
        <v>0.517528425033472</v>
      </c>
    </row>
    <row r="1831" customFormat="false" ht="17.15" hidden="false" customHeight="false" outlineLevel="0" collapsed="false">
      <c r="A1831" s="0" t="s">
        <v>648</v>
      </c>
      <c r="B1831" s="0" t="s">
        <v>86</v>
      </c>
      <c r="C1831" s="38" t="n">
        <f aca="false">Q!$D$24</f>
        <v>39.834</v>
      </c>
      <c r="D1831" s="38" t="n">
        <f aca="false">Q!$E$24</f>
        <v>45.606</v>
      </c>
      <c r="E1831" s="38" t="n">
        <f aca="false">Q!$P$24</f>
        <v>30.782</v>
      </c>
      <c r="N1831" s="38" t="n">
        <f aca="false">Q!$N$24</f>
        <v>21.707</v>
      </c>
      <c r="O1831" s="38" t="n">
        <f aca="false">Q!$O$24</f>
        <v>23.899</v>
      </c>
    </row>
    <row r="1832" customFormat="false" ht="17.15" hidden="false" customHeight="false" outlineLevel="0" collapsed="false">
      <c r="A1832" s="0" t="s">
        <v>649</v>
      </c>
      <c r="B1832" s="0" t="s">
        <v>86</v>
      </c>
      <c r="C1832" s="38" t="n">
        <f aca="false">Sens!$C$1831-Sens!$C$1827</f>
        <v>38.2191352182015</v>
      </c>
      <c r="D1832" s="38" t="n">
        <f aca="false">Sens!$D$1831-Sens!$D$1827</f>
        <v>40.4641450220091</v>
      </c>
      <c r="E1832" s="38" t="n">
        <f aca="false">Sens!$E$1831-Sens!$E$1827</f>
        <v>28.2183955603943</v>
      </c>
      <c r="F1832" s="38" t="n">
        <f aca="false">Sens!$F$1809*Sens!$F$1833</f>
        <v>25.9465660064528</v>
      </c>
      <c r="G1832" s="38" t="n">
        <f aca="false">Sens!$E$1832+Sens!$F$1832</f>
        <v>54.1649615668471</v>
      </c>
      <c r="H1832" s="38" t="n">
        <f aca="false">Sens!$H$1809*Sens!$H$1833</f>
        <v>58.2120799642602</v>
      </c>
      <c r="I1832" s="38" t="n">
        <f aca="false">Sens!$I$1809*Sens!$I$1833</f>
        <v>64.6301605098429</v>
      </c>
      <c r="J1832" s="38" t="n">
        <f aca="false">Sens!$J$1809*Sens!$J$1833</f>
        <v>70.7782148484074</v>
      </c>
      <c r="K1832" s="38" t="n">
        <f aca="false">Sens!$K$1809*Sens!$K$1833</f>
        <v>76.44047203628</v>
      </c>
      <c r="L1832" s="38" t="n">
        <f aca="false">Sens!$L$1809*Sens!$L$1833</f>
        <v>82.5557097991825</v>
      </c>
      <c r="M1832" s="38" t="n">
        <f aca="false">Sens!$M$1809*Sens!$M$1833</f>
        <v>89.1601665831171</v>
      </c>
      <c r="N1832" s="38" t="n">
        <f aca="false">Sens!$N$1831-Sens!$N$1827</f>
        <v>20.1524818794985</v>
      </c>
      <c r="O1832" s="38" t="n">
        <f aca="false">Sens!$O$1831-Sens!$O$1827</f>
        <v>20.3116631425106</v>
      </c>
      <c r="P1832" s="5" t="s">
        <v>650</v>
      </c>
    </row>
    <row r="1833" customFormat="false" ht="17.15" hidden="false" customHeight="false" outlineLevel="0" collapsed="false">
      <c r="A1833" s="0" t="s">
        <v>651</v>
      </c>
      <c r="B1833" s="0" t="s">
        <v>52</v>
      </c>
      <c r="C1833" s="13" t="n">
        <f aca="false">Sens!$C$1832/Sens!$C$1809</f>
        <v>0.363178953425587</v>
      </c>
      <c r="D1833" s="13" t="n">
        <f aca="false">Sens!$D$1832/Sens!$D$1809</f>
        <v>0.337141562804323</v>
      </c>
      <c r="E1833" s="13" t="n">
        <f aca="false">Sens!$E$1832/Sens!$E$1809</f>
        <v>0.395721931881933</v>
      </c>
      <c r="F1833" s="13" t="n">
        <f aca="false">(Sens!$O$1832+Sens!$E$1832)/(Sens!$O$1809+Sens!$E$1809)</f>
        <v>0.361527367284317</v>
      </c>
      <c r="G1833" s="13" t="n">
        <f aca="false">Sens!$G$1832/Sens!$G$1809</f>
        <v>0.37856960329107</v>
      </c>
      <c r="H1833" s="13" t="n">
        <f aca="false">Sens!$F$1833</f>
        <v>0.361527367284317</v>
      </c>
      <c r="I1833" s="13" t="n">
        <f aca="false">Sens!$F$1833</f>
        <v>0.361527367284317</v>
      </c>
      <c r="J1833" s="13" t="n">
        <f aca="false">Sens!$F$1833</f>
        <v>0.361527367284317</v>
      </c>
      <c r="K1833" s="13" t="n">
        <f aca="false">Sens!$F$1833</f>
        <v>0.361527367284317</v>
      </c>
      <c r="L1833" s="13" t="n">
        <f aca="false">Sens!$F$1833</f>
        <v>0.361527367284317</v>
      </c>
      <c r="M1833" s="13" t="n">
        <f aca="false">Sens!$F$1833</f>
        <v>0.361527367284317</v>
      </c>
      <c r="N1833" s="13" t="n">
        <f aca="false">Sens!$N$1832/Sens!$N$1809</f>
        <v>0.352972197867861</v>
      </c>
      <c r="O1833" s="13" t="n">
        <f aca="false">Sens!$O$1832/Sens!$O$1809</f>
        <v>0.322778549657494</v>
      </c>
      <c r="P1833" s="8" t="s">
        <v>652</v>
      </c>
    </row>
    <row r="1834" customFormat="false" ht="17.15" hidden="false" customHeight="false" outlineLevel="0" collapsed="false">
      <c r="A1834" s="0" t="s">
        <v>653</v>
      </c>
      <c r="B1834" s="0" t="s">
        <v>52</v>
      </c>
      <c r="D1834" s="13" t="n">
        <f aca="false">(Q!$E$31-ext_sh*Sens!$D$1823)/Sens!$D$1809</f>
        <v>0.165102395101278</v>
      </c>
    </row>
    <row r="1835" customFormat="false" ht="17.15" hidden="false" customHeight="false" outlineLevel="0" collapsed="false">
      <c r="A1835" s="0" t="s">
        <v>654</v>
      </c>
      <c r="B1835" s="0" t="s">
        <v>86</v>
      </c>
      <c r="C1835" s="38" t="n">
        <f aca="false">Q!$D$31</f>
        <v>13.32</v>
      </c>
      <c r="D1835" s="38" t="n">
        <f aca="false">Q!$E$31</f>
        <v>21.45</v>
      </c>
      <c r="E1835" s="38" t="n">
        <f aca="false">Q!$P$31</f>
        <v>15.353</v>
      </c>
      <c r="F1835" s="38" t="n">
        <f aca="false">ext_sh*Sens!$F$1823+Sens!$D$1834*Sens!$F$1809</f>
        <v>15.9111621420893</v>
      </c>
      <c r="G1835" s="38" t="n">
        <f aca="false">Sens!$E$1835+Sens!$F$1835</f>
        <v>31.2641621420893</v>
      </c>
      <c r="H1835" s="38" t="n">
        <f aca="false">ext_sh*Sens!$H$1823+Sens!$D$1834*Sens!$H$1809</f>
        <v>51.7956853909387</v>
      </c>
      <c r="I1835" s="38" t="n">
        <f aca="false">ext_sh*Sens!$I$1823+Sens!$D$1834*Sens!$I$1809</f>
        <v>80.9725244527873</v>
      </c>
      <c r="J1835" s="38" t="n">
        <f aca="false">ext_sh*Sens!$J$1823+Sens!$D$1834*Sens!$J$1809</f>
        <v>111.660063308985</v>
      </c>
      <c r="K1835" s="38" t="n">
        <f aca="false">ext_sh*Sens!$K$1823+Sens!$D$1834*Sens!$K$1809</f>
        <v>141.819025145355</v>
      </c>
      <c r="L1835" s="38" t="n">
        <f aca="false">ext_sh*Sens!$L$1823+Sens!$D$1834*Sens!$L$1809</f>
        <v>165.464102593372</v>
      </c>
      <c r="M1835" s="38" t="n">
        <f aca="false">ext_sh*Sens!$M$1823+Sens!$D$1834*Sens!$M$1809</f>
        <v>181.084001604795</v>
      </c>
      <c r="N1835" s="38" t="n">
        <f aca="false">Q!$N$31</f>
        <v>9.234</v>
      </c>
      <c r="O1835" s="38" t="n">
        <f aca="false">Q!$O$31</f>
        <v>12.216</v>
      </c>
    </row>
    <row r="1836" customFormat="false" ht="17.15" hidden="false" customHeight="false" outlineLevel="0" collapsed="false">
      <c r="A1836" s="1" t="s">
        <v>655</v>
      </c>
    </row>
    <row r="1837" customFormat="false" ht="17.15" hidden="false" customHeight="false" outlineLevel="0" collapsed="false">
      <c r="A1837" s="15" t="s">
        <v>656</v>
      </c>
      <c r="B1837" s="14" t="s">
        <v>52</v>
      </c>
      <c r="C1837" s="14"/>
      <c r="D1837" s="14"/>
      <c r="E1837" s="14"/>
      <c r="F1837" s="14"/>
      <c r="G1837" s="17" t="n">
        <f aca="false">Sens!$G$1827*(1-tax)/(ext_sh*(Sens!$D$1824+Sens!$G$1824)/2)</f>
        <v>0.0870269386267858</v>
      </c>
      <c r="H1837" s="17" t="n">
        <f aca="false">Sens!$H$1827*(1-tax)/(ext_sh*(Sens!$G$1824+Sens!$H$1824)/2)</f>
        <v>0.0869986618588949</v>
      </c>
      <c r="I1837" s="17" t="n">
        <f aca="false">Sens!$I$1827*(1-tax)/(ext_sh*(Sens!$H$1824+Sens!$I$1824)/2)</f>
        <v>0.0713670967682954</v>
      </c>
      <c r="J1837" s="17" t="n">
        <f aca="false">Sens!$J$1827*(1-tax)/(ext_sh*(Sens!$I$1824+Sens!$J$1824)/2)</f>
        <v>0.0644272299118571</v>
      </c>
      <c r="K1837" s="17" t="n">
        <f aca="false">Sens!$K$1827*(1-tax)/(ext_sh*(Sens!$J$1824+Sens!$K$1824)/2)</f>
        <v>0.0568609911875902</v>
      </c>
      <c r="L1837" s="17" t="n">
        <f aca="false">Sens!$L$1827*(1-tax)/(ext_sh*(Sens!$K$1824+Sens!$L$1824)/2)</f>
        <v>0.0497174930472265</v>
      </c>
      <c r="M1837" s="17" t="n">
        <f aca="false">Sens!$M$1827*(1-tax)/(ext_sh*(Sens!$L$1824+Sens!$M$1824)/2)</f>
        <v>0.0428246705325525</v>
      </c>
      <c r="N1837" s="14"/>
      <c r="O1837" s="14"/>
      <c r="P1837" s="8" t="s">
        <v>657</v>
      </c>
    </row>
    <row r="1838" customFormat="false" ht="17.15" hidden="false" customHeight="false" outlineLevel="0" collapsed="false">
      <c r="A1838" s="5" t="s">
        <v>658</v>
      </c>
      <c r="B1838" s="0" t="s">
        <v>57</v>
      </c>
      <c r="H1838" s="36" t="n">
        <f aca="false">Sens!$H$1805*1000/(mw_open*he_open+Sens!$H$1803*Sens!$H$1800)</f>
        <v>0.991949006767191</v>
      </c>
      <c r="I1838" s="36" t="n">
        <f aca="false">Sens!$I$1805*1000/(mw_open*he_open+Sens!$I$1803*Sens!$I$1800)</f>
        <v>0.991949006767191</v>
      </c>
      <c r="J1838" s="36" t="n">
        <f aca="false">Sens!$J$1805*1000/(mw_open*he_open+Sens!$J$1803*Sens!$J$1800)</f>
        <v>0.991949006767191</v>
      </c>
      <c r="K1838" s="36" t="n">
        <f aca="false">Sens!$K$1805*1000/(mw_open*he_open+Sens!$K$1803*Sens!$K$1800)</f>
        <v>0.991949006767191</v>
      </c>
      <c r="L1838" s="36" t="n">
        <f aca="false">Sens!$L$1805*1000/(mw_open*he_open+Sens!$L$1803*Sens!$L$1800)</f>
        <v>0.991949006767191</v>
      </c>
      <c r="M1838" s="36" t="n">
        <f aca="false">Sens!$M$1805*1000/(mw_open*he_open+Sens!$M$1803*Sens!$M$1800)</f>
        <v>0.991949006767191</v>
      </c>
    </row>
    <row r="1839" customFormat="false" ht="17.15" hidden="false" customHeight="false" outlineLevel="0" collapsed="false">
      <c r="A1839" s="5" t="s">
        <v>659</v>
      </c>
      <c r="B1839" s="0" t="s">
        <v>57</v>
      </c>
      <c r="H1839" s="36" t="n">
        <f aca="false">Sens!$H$1838*(Sens!$H$1805+wacc*ext_sh*(Sens!$G$1824+Sens!$H$1824)/2/(1-tax)-Sens!$H$1827)/Sens!$H$1805</f>
        <v>1.10311689772047</v>
      </c>
      <c r="I1839" s="36" t="n">
        <f aca="false">Sens!$I$1838*(Sens!$I$1805+wacc*ext_sh*(Sens!$H$1824+Sens!$I$1824)/2/(1-tax)-Sens!$I$1827)/Sens!$I$1805</f>
        <v>1.15901279408864</v>
      </c>
      <c r="J1839" s="36" t="n">
        <f aca="false">Sens!$J$1838*(Sens!$J$1805+wacc*ext_sh*(Sens!$I$1824+Sens!$J$1824)/2/(1-tax)-Sens!$J$1827)/Sens!$J$1805</f>
        <v>1.17303721695615</v>
      </c>
      <c r="K1839" s="36" t="n">
        <f aca="false">Sens!$K$1838*(Sens!$K$1805+wacc*ext_sh*(Sens!$J$1824+Sens!$K$1824)/2/(1-tax)-Sens!$K$1827)/Sens!$K$1805</f>
        <v>1.18601399027735</v>
      </c>
      <c r="L1839" s="36" t="n">
        <f aca="false">Sens!$L$1838*(Sens!$L$1805+wacc*ext_sh*(Sens!$K$1824+Sens!$L$1824)/2/(1-tax)-Sens!$L$1827)/Sens!$L$1805</f>
        <v>1.19906763494601</v>
      </c>
      <c r="M1839" s="36" t="n">
        <f aca="false">Sens!$M$1838*(Sens!$M$1805+wacc*ext_sh*(Sens!$L$1824+Sens!$M$1824)/2/(1-tax)-Sens!$M$1827)/Sens!$M$1805</f>
        <v>1.21598785348194</v>
      </c>
    </row>
    <row r="1840" customFormat="false" ht="17.15" hidden="false" customHeight="false" outlineLevel="0" collapsed="false">
      <c r="A1840" s="5" t="s">
        <v>660</v>
      </c>
      <c r="B1840" s="0" t="s">
        <v>52</v>
      </c>
      <c r="C1840" s="13" t="n">
        <f aca="false">Sens!$C$1806/tk_pq</f>
        <v>0.195316432429398</v>
      </c>
      <c r="D1840" s="13" t="n">
        <f aca="false">Sens!$D$1806/tk_pq</f>
        <v>0.195316432429398</v>
      </c>
      <c r="E1840" s="13" t="n">
        <f aca="false">Sens!$E$1806/tk_pq</f>
        <v>0.195316432429398</v>
      </c>
      <c r="F1840" s="13" t="n">
        <f aca="false">Sens!$F$1806/tk_pq</f>
        <v>0.202241827274866</v>
      </c>
      <c r="G1840" s="13" t="n">
        <f aca="false">Sens!$G$1806/tk_pq</f>
        <v>0.199675016194063</v>
      </c>
      <c r="H1840" s="13" t="n">
        <f aca="false">Sens!$H$1806/tk_pq</f>
        <v>0.212647947710325</v>
      </c>
      <c r="I1840" s="13" t="n">
        <f aca="false">Sens!$I$1806/tk_pq</f>
        <v>0.219285125475351</v>
      </c>
      <c r="J1840" s="13" t="n">
        <f aca="false">Sens!$J$1806/tk_pq</f>
        <v>0.222492493217189</v>
      </c>
      <c r="K1840" s="13" t="n">
        <f aca="false">Sens!$K$1806/tk_pq</f>
        <v>0.224053502812094</v>
      </c>
      <c r="L1840" s="13" t="n">
        <f aca="false">Sens!$L$1806/tk_pq</f>
        <v>0.224786916785614</v>
      </c>
      <c r="M1840" s="13" t="n">
        <f aca="false">Sens!$M$1806/tk_pq</f>
        <v>0.225048671566937</v>
      </c>
      <c r="N1840" s="13" t="n">
        <f aca="false">Sens!$N$1806/tk_pq</f>
        <v>0.195316432429398</v>
      </c>
      <c r="O1840" s="13" t="n">
        <f aca="false">Sens!$O$1806/tk_pq</f>
        <v>0.195316432429398</v>
      </c>
      <c r="P1840" s="5" t="s">
        <v>661</v>
      </c>
    </row>
    <row r="1843" customFormat="false" ht="17.15" hidden="false" customHeight="false" outlineLevel="0" collapsed="false">
      <c r="A1843" s="1" t="s">
        <v>690</v>
      </c>
    </row>
    <row r="1844" customFormat="false" ht="17.15" hidden="false" customHeight="false" outlineLevel="0" collapsed="false">
      <c r="A1844" s="0" t="s">
        <v>691</v>
      </c>
      <c r="B1844" s="0" t="s">
        <v>86</v>
      </c>
      <c r="C1844" s="38" t="n">
        <f aca="false">Sens!$C$1805</f>
        <v>2.32100535697364</v>
      </c>
      <c r="D1844" s="38" t="n">
        <f aca="false">Sens!$D$1805</f>
        <v>8.70377008865116</v>
      </c>
      <c r="E1844" s="38" t="n">
        <f aca="false">Sens!$E$1805</f>
        <v>8.51035297557002</v>
      </c>
      <c r="F1844" s="38" t="n">
        <f aca="false">Sens!$F$1805</f>
        <v>14.9634336447205</v>
      </c>
      <c r="G1844" s="38" t="n">
        <f aca="false">Sens!$G$1805</f>
        <v>23.4737866202905</v>
      </c>
      <c r="H1844" s="38" t="n">
        <f aca="false">Sens!$H$1805</f>
        <v>60.1658907497746</v>
      </c>
      <c r="I1844" s="38" t="n">
        <f aca="false">Sens!$I$1805</f>
        <v>101.503699136432</v>
      </c>
      <c r="J1844" s="38" t="n">
        <f aca="false">Sens!$J$1805</f>
        <v>143.025407151278</v>
      </c>
      <c r="K1844" s="38" t="n">
        <f aca="false">Sens!$K$1805</f>
        <v>178.44812038318</v>
      </c>
      <c r="L1844" s="38" t="n">
        <f aca="false">Sens!$L$1805</f>
        <v>201.728101802396</v>
      </c>
      <c r="M1844" s="38" t="n">
        <f aca="false">Sens!$M$1805</f>
        <v>212.835441368865</v>
      </c>
      <c r="N1844" s="38" t="n">
        <f aca="false">Sens!$N$1805</f>
        <v>3.04631953102791</v>
      </c>
      <c r="O1844" s="38" t="n">
        <f aca="false">Sens!$O$1805</f>
        <v>5.65745055762326</v>
      </c>
      <c r="P1844" s="8" t="s">
        <v>692</v>
      </c>
    </row>
    <row r="1845" customFormat="false" ht="17.15" hidden="false" customHeight="false" outlineLevel="0" collapsed="false">
      <c r="A1845" s="0" t="s">
        <v>693</v>
      </c>
      <c r="B1845" s="0" t="s">
        <v>86</v>
      </c>
      <c r="C1845" s="38" t="n">
        <f aca="false">Sens!$C$1809</f>
        <v>105.234994643026</v>
      </c>
      <c r="D1845" s="38" t="n">
        <f aca="false">Sens!$D$1809</f>
        <v>120.021229911349</v>
      </c>
      <c r="E1845" s="38" t="n">
        <f aca="false">Sens!$E$1809</f>
        <v>71.30864702443</v>
      </c>
      <c r="F1845" s="38" t="n">
        <f aca="false">Sens!$F$1809</f>
        <v>71.7692997942464</v>
      </c>
      <c r="G1845" s="38" t="n">
        <f aca="false">Sens!$G$1809</f>
        <v>143.077946818676</v>
      </c>
      <c r="H1845" s="38" t="n">
        <f aca="false">Sens!$H$1809</f>
        <v>161.017077079203</v>
      </c>
      <c r="I1845" s="38" t="n">
        <f aca="false">Sens!$I$1809</f>
        <v>178.769759521457</v>
      </c>
      <c r="J1845" s="38" t="n">
        <f aca="false">Sens!$J$1809</f>
        <v>195.775538045907</v>
      </c>
      <c r="K1845" s="38" t="n">
        <f aca="false">Sens!$K$1809</f>
        <v>211.43758108958</v>
      </c>
      <c r="L1845" s="38" t="n">
        <f aca="false">Sens!$L$1809</f>
        <v>228.352587576746</v>
      </c>
      <c r="M1845" s="38" t="n">
        <f aca="false">Sens!$M$1809</f>
        <v>246.620794582886</v>
      </c>
      <c r="N1845" s="38" t="n">
        <f aca="false">Sens!$N$1809</f>
        <v>57.0936804689721</v>
      </c>
      <c r="O1845" s="38" t="n">
        <f aca="false">Sens!$O$1809</f>
        <v>62.9275494423768</v>
      </c>
      <c r="P1845" s="8" t="s">
        <v>692</v>
      </c>
    </row>
    <row r="1846" customFormat="false" ht="17.15" hidden="false" customHeight="false" outlineLevel="0" collapsed="false">
      <c r="A1846" s="1" t="s">
        <v>516</v>
      </c>
      <c r="B1846" s="8" t="s">
        <v>86</v>
      </c>
      <c r="C1846" s="38" t="n">
        <f aca="false">Q!$D$7</f>
        <v>107.556</v>
      </c>
      <c r="D1846" s="38" t="n">
        <f aca="false">Q!$E$7</f>
        <v>128.725</v>
      </c>
      <c r="E1846" s="38" t="n">
        <f aca="false">Q!$P$7</f>
        <v>79.819</v>
      </c>
      <c r="F1846" s="38" t="n">
        <f aca="false">Sens!$F$1844+Sens!$F$1845</f>
        <v>86.7327334389669</v>
      </c>
      <c r="G1846" s="38" t="n">
        <f aca="false">Sens!$G$1844+Sens!$G$1845</f>
        <v>166.551733438967</v>
      </c>
      <c r="H1846" s="38" t="n">
        <f aca="false">Sens!$H$1844+Sens!$H$1845</f>
        <v>221.182967828978</v>
      </c>
      <c r="I1846" s="38" t="n">
        <f aca="false">Sens!$I$1844+Sens!$I$1845</f>
        <v>280.27345865789</v>
      </c>
      <c r="J1846" s="38" t="n">
        <f aca="false">Sens!$J$1844+Sens!$J$1845</f>
        <v>338.800945197185</v>
      </c>
      <c r="K1846" s="38" t="n">
        <f aca="false">Sens!$K$1844+Sens!$K$1845</f>
        <v>389.88570147276</v>
      </c>
      <c r="L1846" s="38" t="n">
        <f aca="false">Sens!$L$1844+Sens!$L$1845</f>
        <v>430.080689379143</v>
      </c>
      <c r="M1846" s="38" t="n">
        <f aca="false">Sens!$M$1844+Sens!$M$1845</f>
        <v>459.456235951751</v>
      </c>
      <c r="N1846" s="38" t="n">
        <f aca="false">Q!$N$7</f>
        <v>60.14</v>
      </c>
      <c r="O1846" s="38" t="n">
        <f aca="false">Q!$O$7</f>
        <v>68.585</v>
      </c>
      <c r="P1846" s="5" t="s">
        <v>694</v>
      </c>
    </row>
    <row r="1847" customFormat="false" ht="15" hidden="false" customHeight="false" outlineLevel="0" collapsed="false">
      <c r="A1847" s="3" t="s">
        <v>695</v>
      </c>
      <c r="B1847" s="8" t="s">
        <v>86</v>
      </c>
      <c r="C1847" s="38" t="n">
        <f aca="false">Q!$D$8</f>
        <v>637.959</v>
      </c>
      <c r="D1847" s="38" t="n">
        <f aca="false">Q!$E$8</f>
        <v>716.924</v>
      </c>
      <c r="E1847" s="38" t="n">
        <f aca="false">Q!$P$8</f>
        <v>382.125</v>
      </c>
      <c r="F1847" s="38" t="n">
        <f aca="false">Sens!$F$1777+Sens!$F$1846</f>
        <v>435.780975084504</v>
      </c>
      <c r="G1847" s="38" t="n">
        <f aca="false">Sens!$G$1777+Sens!$G$1846</f>
        <v>817.905975084504</v>
      </c>
      <c r="H1847" s="38" t="n">
        <f aca="false">Sens!$H$1777+Sens!$H$1846</f>
        <v>942.279857350364</v>
      </c>
      <c r="I1847" s="38" t="n">
        <f aca="false">Sens!$I$1777+Sens!$I$1846</f>
        <v>1068.80284981042</v>
      </c>
      <c r="J1847" s="38" t="n">
        <f aca="false">Sens!$J$1777+Sens!$J$1846</f>
        <v>1189.90935093863</v>
      </c>
      <c r="K1847" s="38" t="n">
        <f aca="false">Sens!$K$1777+Sens!$K$1846</f>
        <v>1296.06215690385</v>
      </c>
      <c r="L1847" s="38" t="n">
        <f aca="false">Sens!$L$1777+Sens!$L$1846</f>
        <v>1395.17379585473</v>
      </c>
      <c r="M1847" s="38" t="n">
        <f aca="false">Sens!$M$1777+Sens!$M$1846</f>
        <v>1487.60414389864</v>
      </c>
      <c r="N1847" s="38" t="n">
        <f aca="false">Q!$N$8</f>
        <v>323.369</v>
      </c>
      <c r="O1847" s="38" t="n">
        <f aca="false">Q!$O$8</f>
        <v>393.555</v>
      </c>
    </row>
    <row r="1848" customFormat="false" ht="17.15" hidden="false" customHeight="false" outlineLevel="0" collapsed="false">
      <c r="A1848" s="24" t="s">
        <v>703</v>
      </c>
      <c r="B1848" s="25" t="s">
        <v>86</v>
      </c>
      <c r="C1848" s="41" t="n">
        <f aca="false">Sens!$C$1777-(Sens!$C$1779+Sens!$C$1780)</f>
        <v>0</v>
      </c>
      <c r="D1848" s="41" t="n">
        <f aca="false">Sens!$D$1777-(Sens!$D$1779+Sens!$D$1780)</f>
        <v>0</v>
      </c>
      <c r="E1848" s="41" t="n">
        <f aca="false">Sens!$E$1777-(Sens!$E$1779+Sens!$E$1780)</f>
        <v>0</v>
      </c>
      <c r="F1848" s="41" t="n">
        <f aca="false">Sens!$F$1777-(Sens!$F$1779+Sens!$F$1780)</f>
        <v>0</v>
      </c>
      <c r="G1848" s="41" t="n">
        <f aca="false">Sens!$G$1777-(Sens!$G$1779+Sens!$G$1780)</f>
        <v>0</v>
      </c>
      <c r="H1848" s="41" t="n">
        <f aca="false">Sens!$H$1777-(Sens!$H$1779+Sens!$H$1780)</f>
        <v>0</v>
      </c>
      <c r="I1848" s="41" t="n">
        <f aca="false">Sens!$I$1777-(Sens!$I$1779+Sens!$I$1780)</f>
        <v>0</v>
      </c>
      <c r="J1848" s="41" t="n">
        <f aca="false">Sens!$J$1777-(Sens!$J$1779+Sens!$J$1780)</f>
        <v>0</v>
      </c>
      <c r="K1848" s="41" t="n">
        <f aca="false">Sens!$K$1777-(Sens!$K$1779+Sens!$K$1780)</f>
        <v>0</v>
      </c>
      <c r="L1848" s="41" t="n">
        <f aca="false">Sens!$L$1777-(Sens!$L$1779+Sens!$L$1780)</f>
        <v>0</v>
      </c>
      <c r="M1848" s="41" t="n">
        <f aca="false">Sens!$M$1777-(Sens!$M$1779+Sens!$M$1780)</f>
        <v>0</v>
      </c>
      <c r="N1848" s="41" t="n">
        <f aca="false">Sens!$N$1777-(Sens!$N$1779+Sens!$N$1780)</f>
        <v>0</v>
      </c>
      <c r="O1848" s="41" t="n">
        <f aca="false">Sens!$O$1777-(Sens!$O$1779+Sens!$O$1780)</f>
        <v>0</v>
      </c>
    </row>
    <row r="1849" customFormat="false" ht="17.15" hidden="false" customHeight="false" outlineLevel="0" collapsed="false">
      <c r="A1849" s="24" t="s">
        <v>704</v>
      </c>
      <c r="B1849" s="25" t="s">
        <v>86</v>
      </c>
      <c r="C1849" s="41" t="n">
        <f aca="false">Sens!$C$1844+Sens!$C$1845-Sens!$C$1846</f>
        <v>0</v>
      </c>
      <c r="D1849" s="41" t="n">
        <f aca="false">Sens!$D$1844+Sens!$D$1845-Sens!$D$1846</f>
        <v>0</v>
      </c>
      <c r="E1849" s="41" t="n">
        <f aca="false">Sens!$E$1844+Sens!$E$1845-Sens!$E$1846</f>
        <v>0</v>
      </c>
      <c r="F1849" s="41" t="n">
        <f aca="false">Sens!$F$1844+Sens!$F$1845-Sens!$F$1846</f>
        <v>0</v>
      </c>
      <c r="G1849" s="41" t="n">
        <f aca="false">Sens!$G$1844+Sens!$G$1845-Sens!$G$1846</f>
        <v>0</v>
      </c>
      <c r="H1849" s="41" t="n">
        <f aca="false">Sens!$H$1844+Sens!$H$1845-Sens!$H$1846</f>
        <v>0</v>
      </c>
      <c r="I1849" s="41" t="n">
        <f aca="false">Sens!$I$1844+Sens!$I$1845-Sens!$I$1846</f>
        <v>0</v>
      </c>
      <c r="J1849" s="41" t="n">
        <f aca="false">Sens!$J$1844+Sens!$J$1845-Sens!$J$1846</f>
        <v>0</v>
      </c>
      <c r="K1849" s="41" t="n">
        <f aca="false">Sens!$K$1844+Sens!$K$1845-Sens!$K$1846</f>
        <v>0</v>
      </c>
      <c r="L1849" s="41" t="n">
        <f aca="false">Sens!$L$1844+Sens!$L$1845-Sens!$L$1846</f>
        <v>0</v>
      </c>
      <c r="M1849" s="41" t="n">
        <f aca="false">Sens!$M$1844+Sens!$M$1845-Sens!$M$1846</f>
        <v>0</v>
      </c>
      <c r="N1849" s="41" t="n">
        <f aca="false">Sens!$N$1844+Sens!$N$1845-Sens!$N$1846</f>
        <v>0</v>
      </c>
      <c r="O1849" s="41" t="n">
        <f aca="false">Sens!$O$1844+Sens!$O$1845-Sens!$O$1846</f>
        <v>0</v>
      </c>
    </row>
    <row r="1850" customFormat="false" ht="17.15" hidden="false" customHeight="false" outlineLevel="0" collapsed="false">
      <c r="A1850" s="24" t="s">
        <v>705</v>
      </c>
      <c r="B1850" s="25" t="s">
        <v>86</v>
      </c>
      <c r="C1850" s="41" t="n">
        <f aca="false">Sens!$C$1779+Sens!$C$1780+Sens!$C$1846-Sens!$C$1847</f>
        <v>0</v>
      </c>
      <c r="D1850" s="41" t="n">
        <f aca="false">Sens!$D$1779+Sens!$D$1780+Sens!$D$1846-Sens!$D$1847</f>
        <v>0</v>
      </c>
      <c r="E1850" s="41" t="n">
        <f aca="false">Sens!$E$1779+Sens!$E$1780+Sens!$E$1846-Sens!$E$1847</f>
        <v>0</v>
      </c>
      <c r="F1850" s="41" t="n">
        <f aca="false">Sens!$F$1779+Sens!$F$1780+Sens!$F$1846-Sens!$F$1847</f>
        <v>0</v>
      </c>
      <c r="G1850" s="41" t="n">
        <f aca="false">Sens!$G$1779+Sens!$G$1780+Sens!$G$1846-Sens!$G$1847</f>
        <v>0</v>
      </c>
      <c r="H1850" s="41" t="n">
        <f aca="false">Sens!$H$1779+Sens!$H$1780+Sens!$H$1846-Sens!$H$1847</f>
        <v>0</v>
      </c>
      <c r="I1850" s="41" t="n">
        <f aca="false">Sens!$I$1779+Sens!$I$1780+Sens!$I$1846-Sens!$I$1847</f>
        <v>0</v>
      </c>
      <c r="J1850" s="41" t="n">
        <f aca="false">Sens!$J$1779+Sens!$J$1780+Sens!$J$1846-Sens!$J$1847</f>
        <v>0</v>
      </c>
      <c r="K1850" s="41" t="n">
        <f aca="false">Sens!$K$1779+Sens!$K$1780+Sens!$K$1846-Sens!$K$1847</f>
        <v>0</v>
      </c>
      <c r="L1850" s="41" t="n">
        <f aca="false">Sens!$L$1779+Sens!$L$1780+Sens!$L$1846-Sens!$L$1847</f>
        <v>0</v>
      </c>
      <c r="M1850" s="41" t="n">
        <f aca="false">Sens!$M$1779+Sens!$M$1780+Sens!$M$1846-Sens!$M$1847</f>
        <v>0</v>
      </c>
      <c r="N1850" s="41" t="n">
        <f aca="false">Sens!$N$1779+Sens!$N$1780+Sens!$N$1846-Sens!$N$1847</f>
        <v>0</v>
      </c>
      <c r="O1850" s="41" t="n">
        <f aca="false">Sens!$O$1779+Sens!$O$1780+Sens!$O$1846-Sens!$O$1847</f>
        <v>0</v>
      </c>
    </row>
    <row r="1851" customFormat="false" ht="15" hidden="false" customHeight="false" outlineLevel="0" collapsed="false">
      <c r="A1851" s="5" t="s">
        <v>699</v>
      </c>
      <c r="B1851" s="0" t="s">
        <v>52</v>
      </c>
      <c r="G1851" s="13" t="n">
        <f aca="false">Sens!$G$1847/Sens!$D$1847-1</f>
        <v>0.140854504918937</v>
      </c>
      <c r="H1851" s="13" t="n">
        <f aca="false">Sens!$H$1847/Sens!$G$1847-1</f>
        <v>0.152063789793209</v>
      </c>
      <c r="I1851" s="13" t="n">
        <f aca="false">Sens!$I$1847/Sens!$H$1847-1</f>
        <v>0.134273264437417</v>
      </c>
      <c r="J1851" s="13" t="n">
        <f aca="false">Sens!$J$1847/Sens!$I$1847-1</f>
        <v>0.113310421234083</v>
      </c>
      <c r="K1851" s="13" t="n">
        <f aca="false">Sens!$K$1847/Sens!$J$1847-1</f>
        <v>0.0892108343223652</v>
      </c>
      <c r="L1851" s="13" t="n">
        <f aca="false">Sens!$L$1847/Sens!$K$1847-1</f>
        <v>0.076471362444261</v>
      </c>
      <c r="M1851" s="13" t="n">
        <f aca="false">Sens!$M$1847/Sens!$L$1847-1</f>
        <v>0.066250060256672</v>
      </c>
    </row>
    <row r="1852" customFormat="false" ht="17.15" hidden="false" customHeight="false" outlineLevel="0" collapsed="false">
      <c r="A1852" s="0" t="s">
        <v>700</v>
      </c>
      <c r="B1852" s="0" t="s">
        <v>52</v>
      </c>
      <c r="C1852" s="13" t="n">
        <f aca="false">Sens!$C$1846/Sens!$C$1847</f>
        <v>0.168593906504964</v>
      </c>
      <c r="D1852" s="13" t="n">
        <f aca="false">Sens!$D$1846/Sens!$D$1847</f>
        <v>0.179551807444025</v>
      </c>
      <c r="E1852" s="13" t="n">
        <f aca="false">Sens!$E$1846/Sens!$E$1847</f>
        <v>0.208881910369643</v>
      </c>
      <c r="F1852" s="13" t="n">
        <f aca="false">Sens!$F$1846/Sens!$F$1847</f>
        <v>0.199028269699356</v>
      </c>
      <c r="G1852" s="13" t="n">
        <f aca="false">Sens!$G$1846/Sens!$G$1847</f>
        <v>0.203631882529968</v>
      </c>
      <c r="H1852" s="13" t="n">
        <f aca="false">Sens!$H$1846/Sens!$H$1847</f>
        <v>0.234731715958496</v>
      </c>
      <c r="I1852" s="13" t="n">
        <f aca="false">Sens!$I$1846/Sens!$I$1847</f>
        <v>0.262231204480418</v>
      </c>
      <c r="J1852" s="13" t="n">
        <f aca="false">Sens!$J$1846/Sens!$J$1847</f>
        <v>0.284728366013706</v>
      </c>
      <c r="K1852" s="13" t="n">
        <f aca="false">Sens!$K$1846/Sens!$K$1847</f>
        <v>0.300823304959505</v>
      </c>
      <c r="L1852" s="13" t="n">
        <f aca="false">Sens!$L$1846/Sens!$L$1847</f>
        <v>0.308263164529735</v>
      </c>
      <c r="M1852" s="13" t="n">
        <f aca="false">Sens!$M$1846/Sens!$M$1847</f>
        <v>0.308856517936036</v>
      </c>
      <c r="N1852" s="13" t="n">
        <f aca="false">Sens!$N$1846/Sens!$N$1847</f>
        <v>0.185979484737251</v>
      </c>
      <c r="O1852" s="13" t="n">
        <f aca="false">Sens!$O$1846/Sens!$O$1847</f>
        <v>0.174270432341096</v>
      </c>
    </row>
    <row r="1853" customFormat="false" ht="17.15" hidden="false" customHeight="false" outlineLevel="0" collapsed="false">
      <c r="A1853" s="0" t="s">
        <v>701</v>
      </c>
      <c r="B1853" s="0" t="s">
        <v>52</v>
      </c>
      <c r="C1853" s="13" t="n">
        <f aca="false">Sens!$C$1844/Sens!$C$1846</f>
        <v>0.0215795060896058</v>
      </c>
      <c r="D1853" s="13" t="n">
        <f aca="false">Sens!$D$1844/Sens!$D$1846</f>
        <v>0.0676152269462122</v>
      </c>
      <c r="E1853" s="13" t="n">
        <f aca="false">Sens!$E$1844/Sens!$E$1846</f>
        <v>0.106620641395783</v>
      </c>
      <c r="F1853" s="13" t="n">
        <f aca="false">Sens!$F$1844/Sens!$F$1846</f>
        <v>0.172523487401099</v>
      </c>
      <c r="G1853" s="13" t="n">
        <f aca="false">Sens!$G$1844/Sens!$G$1846</f>
        <v>0.140939911795589</v>
      </c>
      <c r="H1853" s="13" t="n">
        <f aca="false">Sens!$H$1844/Sens!$H$1846</f>
        <v>0.272018642937714</v>
      </c>
      <c r="I1853" s="13" t="n">
        <f aca="false">Sens!$I$1844/Sens!$I$1846</f>
        <v>0.362159512436497</v>
      </c>
      <c r="J1853" s="13" t="n">
        <f aca="false">Sens!$J$1844/Sens!$J$1846</f>
        <v>0.422151735934609</v>
      </c>
      <c r="K1853" s="13" t="n">
        <f aca="false">Sens!$K$1844/Sens!$K$1846</f>
        <v>0.45769342068485</v>
      </c>
      <c r="L1853" s="13" t="n">
        <f aca="false">Sens!$L$1844/Sens!$L$1846</f>
        <v>0.469047103913472</v>
      </c>
      <c r="M1853" s="13" t="n">
        <f aca="false">Sens!$M$1844/Sens!$M$1846</f>
        <v>0.463233328258093</v>
      </c>
      <c r="N1853" s="13" t="n">
        <f aca="false">Sens!$N$1844/Sens!$N$1846</f>
        <v>0.0506537999838362</v>
      </c>
      <c r="O1853" s="13" t="n">
        <f aca="false">Sens!$O$1844/Sens!$O$1846</f>
        <v>0.0824881615167056</v>
      </c>
    </row>
    <row r="1856" customFormat="false" ht="19.4" hidden="false" customHeight="false" outlineLevel="0" collapsed="false">
      <c r="A1856" s="31" t="s">
        <v>1172</v>
      </c>
    </row>
    <row r="1857" customFormat="false" ht="17.15" hidden="false" customHeight="false" outlineLevel="0" collapsed="false">
      <c r="A1857" s="6" t="s">
        <v>16</v>
      </c>
      <c r="B1857" s="6" t="s">
        <v>17</v>
      </c>
      <c r="C1857" s="20" t="s">
        <v>497</v>
      </c>
      <c r="D1857" s="20" t="s">
        <v>498</v>
      </c>
      <c r="E1857" s="20" t="s">
        <v>580</v>
      </c>
      <c r="F1857" s="20" t="s">
        <v>581</v>
      </c>
      <c r="G1857" s="20" t="s">
        <v>582</v>
      </c>
      <c r="H1857" s="20" t="s">
        <v>583</v>
      </c>
      <c r="I1857" s="20" t="s">
        <v>584</v>
      </c>
      <c r="J1857" s="20" t="s">
        <v>585</v>
      </c>
      <c r="K1857" s="20" t="s">
        <v>586</v>
      </c>
      <c r="L1857" s="20" t="s">
        <v>587</v>
      </c>
      <c r="M1857" s="20" t="s">
        <v>588</v>
      </c>
      <c r="N1857" s="20" t="s">
        <v>589</v>
      </c>
      <c r="O1857" s="20" t="s">
        <v>590</v>
      </c>
      <c r="P1857" s="6" t="s">
        <v>23</v>
      </c>
      <c r="R1857" s="20" t="n">
        <v>2023</v>
      </c>
      <c r="S1857" s="20" t="n">
        <v>2024</v>
      </c>
      <c r="T1857" s="20" t="n">
        <v>2025</v>
      </c>
      <c r="U1857" s="20" t="n">
        <v>2026</v>
      </c>
      <c r="V1857" s="20" t="n">
        <v>2027</v>
      </c>
      <c r="W1857" s="20" t="n">
        <v>2028</v>
      </c>
      <c r="X1857" s="20" t="n">
        <v>2029</v>
      </c>
      <c r="Y1857" s="20" t="n">
        <v>2030</v>
      </c>
      <c r="Z1857" s="20" t="n">
        <v>2031</v>
      </c>
      <c r="AA1857" s="20" t="n">
        <v>2032</v>
      </c>
    </row>
    <row r="1858" customFormat="false" ht="17.15" hidden="false" customHeight="false" outlineLevel="0" collapsed="false">
      <c r="A1858" s="1" t="s">
        <v>716</v>
      </c>
    </row>
    <row r="1859" customFormat="false" ht="15" hidden="false" customHeight="false" outlineLevel="0" collapsed="false">
      <c r="A1859" s="0" t="s">
        <v>519</v>
      </c>
      <c r="B1859" s="0" t="s">
        <v>86</v>
      </c>
      <c r="C1859" s="38" t="n">
        <f aca="false">Sens!$C$1764</f>
        <v>247.029</v>
      </c>
      <c r="D1859" s="38" t="n">
        <f aca="false">Sens!$D$1764</f>
        <v>269.287</v>
      </c>
      <c r="E1859" s="38" t="n">
        <f aca="false">Sens!$E$1764</f>
        <v>134.686</v>
      </c>
      <c r="F1859" s="38" t="n">
        <f aca="false">Sens!$F$1764</f>
        <v>158.293876822267</v>
      </c>
      <c r="G1859" s="38" t="n">
        <f aca="false">Sens!$G$1764</f>
        <v>292.979876822267</v>
      </c>
      <c r="H1859" s="38" t="n">
        <f aca="false">Sens!$H$1764</f>
        <v>318.184543087396</v>
      </c>
      <c r="I1859" s="38" t="n">
        <f aca="false">Sens!$I$1764</f>
        <v>341.736278761793</v>
      </c>
      <c r="J1859" s="38" t="n">
        <f aca="false">Sens!$J$1764</f>
        <v>362.927192787048</v>
      </c>
      <c r="K1859" s="38" t="n">
        <f aca="false">Sens!$K$1764</f>
        <v>381.0735524264</v>
      </c>
      <c r="L1859" s="38" t="n">
        <f aca="false">Sens!$L$1764</f>
        <v>400.12723004772</v>
      </c>
      <c r="M1859" s="38" t="n">
        <f aca="false">Sens!$M$1764</f>
        <v>420.133591550106</v>
      </c>
      <c r="N1859" s="38" t="n">
        <f aca="false">Sens!$N$1764</f>
        <v>118.892</v>
      </c>
      <c r="O1859" s="38" t="n">
        <f aca="false">Sens!$O$1764</f>
        <v>150.395</v>
      </c>
    </row>
    <row r="1860" customFormat="false" ht="15" hidden="false" customHeight="false" outlineLevel="0" collapsed="false">
      <c r="A1860" s="0" t="s">
        <v>520</v>
      </c>
      <c r="B1860" s="0" t="s">
        <v>86</v>
      </c>
      <c r="C1860" s="38" t="n">
        <f aca="false">Sens!$C$1766</f>
        <v>21.215</v>
      </c>
      <c r="D1860" s="38" t="n">
        <f aca="false">Sens!$D$1766</f>
        <v>22.561</v>
      </c>
      <c r="E1860" s="38" t="n">
        <f aca="false">Sens!$E$1766</f>
        <v>11.579</v>
      </c>
      <c r="F1860" s="38" t="n">
        <f aca="false">Sens!$F$1766</f>
        <v>11.5938724610325</v>
      </c>
      <c r="G1860" s="38" t="n">
        <f aca="false">Sens!$G$1766</f>
        <v>23.1728724610325</v>
      </c>
      <c r="H1860" s="38" t="n">
        <f aca="false">Sens!$H$1766</f>
        <v>24.353392759506</v>
      </c>
      <c r="I1860" s="38" t="n">
        <f aca="false">Sens!$I$1766</f>
        <v>25.4240338872015</v>
      </c>
      <c r="J1860" s="38" t="n">
        <f aca="false">Sens!$J$1766</f>
        <v>26.3642491017174</v>
      </c>
      <c r="K1860" s="38" t="n">
        <f aca="false">Sens!$K$1766</f>
        <v>27.155176574769</v>
      </c>
      <c r="L1860" s="38" t="n">
        <f aca="false">Sens!$L$1766</f>
        <v>27.969831872012</v>
      </c>
      <c r="M1860" s="38" t="n">
        <f aca="false">Sens!$M$1766</f>
        <v>28.8089268281724</v>
      </c>
      <c r="N1860" s="38" t="n">
        <f aca="false">Sens!$N$1766</f>
        <v>11.128</v>
      </c>
      <c r="O1860" s="38" t="n">
        <f aca="false">Sens!$O$1766</f>
        <v>11.433</v>
      </c>
    </row>
    <row r="1861" customFormat="false" ht="15" hidden="false" customHeight="false" outlineLevel="0" collapsed="false">
      <c r="A1861" s="0" t="s">
        <v>521</v>
      </c>
      <c r="B1861" s="0" t="s">
        <v>86</v>
      </c>
      <c r="C1861" s="38" t="n">
        <f aca="false">Sens!$C$1768</f>
        <v>156.146</v>
      </c>
      <c r="D1861" s="38" t="n">
        <f aca="false">Sens!$D$1768</f>
        <v>172.162</v>
      </c>
      <c r="E1861" s="38" t="n">
        <f aca="false">Sens!$E$1768</f>
        <v>88.358</v>
      </c>
      <c r="F1861" s="38" t="n">
        <f aca="false">Sens!$F$1768</f>
        <v>102.004388260171</v>
      </c>
      <c r="G1861" s="38" t="n">
        <f aca="false">Sens!$G$1768</f>
        <v>190.362388260171</v>
      </c>
      <c r="H1861" s="38" t="n">
        <f aca="false">Sens!$H$1768</f>
        <v>210.343106588311</v>
      </c>
      <c r="I1861" s="38" t="n">
        <f aca="false">Sens!$I$1768</f>
        <v>229.969728494648</v>
      </c>
      <c r="J1861" s="38" t="n">
        <f aca="false">Sens!$J$1768</f>
        <v>248.747636972598</v>
      </c>
      <c r="K1861" s="38" t="n">
        <f aca="false">Sens!$K$1768</f>
        <v>266.15997156068</v>
      </c>
      <c r="L1861" s="38" t="n">
        <f aca="false">Sens!$L$1768</f>
        <v>284.791169569927</v>
      </c>
      <c r="M1861" s="38" t="n">
        <f aca="false">Sens!$M$1768</f>
        <v>304.726551439822</v>
      </c>
      <c r="N1861" s="38" t="n">
        <f aca="false">Sens!$N$1768</f>
        <v>76.86</v>
      </c>
      <c r="O1861" s="38" t="n">
        <f aca="false">Sens!$O$1768</f>
        <v>95.302</v>
      </c>
    </row>
    <row r="1862" customFormat="false" ht="15" hidden="false" customHeight="false" outlineLevel="0" collapsed="false">
      <c r="A1862" s="0" t="s">
        <v>522</v>
      </c>
      <c r="B1862" s="0" t="s">
        <v>86</v>
      </c>
      <c r="C1862" s="38" t="n">
        <f aca="false">Sens!$C$1770</f>
        <v>56.214</v>
      </c>
      <c r="D1862" s="38" t="n">
        <f aca="false">Sens!$D$1770</f>
        <v>68.635</v>
      </c>
      <c r="E1862" s="38" t="n">
        <f aca="false">Sens!$E$1770</f>
        <v>37.052</v>
      </c>
      <c r="F1862" s="38" t="n">
        <f aca="false">Sens!$F$1770</f>
        <v>46.1572219944148</v>
      </c>
      <c r="G1862" s="38" t="n">
        <f aca="false">Sens!$G$1770</f>
        <v>83.2092219944148</v>
      </c>
      <c r="H1862" s="38" t="n">
        <f aca="false">Sens!$H$1770</f>
        <v>99.8969223878976</v>
      </c>
      <c r="I1862" s="38" t="n">
        <f aca="false">Sens!$I$1770</f>
        <v>116.583111095496</v>
      </c>
      <c r="J1862" s="38" t="n">
        <f aca="false">Sens!$J$1770</f>
        <v>132.148941941952</v>
      </c>
      <c r="K1862" s="38" t="n">
        <f aca="false">Sens!$K$1770</f>
        <v>145.363836136147</v>
      </c>
      <c r="L1862" s="38" t="n">
        <f aca="false">Sens!$L$1770</f>
        <v>159.900219749762</v>
      </c>
      <c r="M1862" s="38" t="n">
        <f aca="false">Sens!$M$1770</f>
        <v>175.890241724738</v>
      </c>
      <c r="N1862" s="38" t="n">
        <f aca="false">Sens!$N$1770</f>
        <v>29.615</v>
      </c>
      <c r="O1862" s="38" t="n">
        <f aca="false">Sens!$O$1770</f>
        <v>39.02</v>
      </c>
    </row>
    <row r="1863" customFormat="false" ht="15" hidden="false" customHeight="false" outlineLevel="0" collapsed="false">
      <c r="A1863" s="0" t="s">
        <v>523</v>
      </c>
      <c r="B1863" s="0" t="s">
        <v>86</v>
      </c>
      <c r="C1863" s="38" t="n">
        <f aca="false">Sens!$C$1772</f>
        <v>44.374</v>
      </c>
      <c r="D1863" s="38" t="n">
        <f aca="false">Sens!$D$1772</f>
        <v>49.619</v>
      </c>
      <c r="E1863" s="38" t="n">
        <f aca="false">Sens!$E$1772</f>
        <v>27.157</v>
      </c>
      <c r="F1863" s="38" t="n">
        <f aca="false">Sens!$F$1772</f>
        <v>27.7764165988154</v>
      </c>
      <c r="G1863" s="38" t="n">
        <f aca="false">Sens!$G$1772</f>
        <v>54.9334165988154</v>
      </c>
      <c r="H1863" s="38" t="n">
        <f aca="false">Sens!$H$1772</f>
        <v>61.1564112561829</v>
      </c>
      <c r="I1863" s="38" t="n">
        <f aca="false">Sens!$I$1772</f>
        <v>67.2020282103945</v>
      </c>
      <c r="J1863" s="38" t="n">
        <f aca="false">Sens!$J$1772</f>
        <v>72.8757274028885</v>
      </c>
      <c r="K1863" s="38" t="n">
        <f aca="false">Sens!$K$1772</f>
        <v>77.9770283210907</v>
      </c>
      <c r="L1863" s="38" t="n">
        <f aca="false">Sens!$L$1772</f>
        <v>83.4354203035671</v>
      </c>
      <c r="M1863" s="38" t="n">
        <f aca="false">Sens!$M$1772</f>
        <v>89.2758997248168</v>
      </c>
      <c r="N1863" s="38" t="n">
        <f aca="false">Sens!$N$1772</f>
        <v>23.923</v>
      </c>
      <c r="O1863" s="38" t="n">
        <f aca="false">Sens!$O$1772</f>
        <v>25.696</v>
      </c>
    </row>
    <row r="1864" customFormat="false" ht="15" hidden="false" customHeight="false" outlineLevel="0" collapsed="false">
      <c r="A1864" s="0" t="s">
        <v>524</v>
      </c>
      <c r="B1864" s="0" t="s">
        <v>86</v>
      </c>
      <c r="C1864" s="38" t="n">
        <f aca="false">Sens!$C$1774</f>
        <v>5.425</v>
      </c>
      <c r="D1864" s="38" t="n">
        <f aca="false">Sens!$D$1774</f>
        <v>5.935</v>
      </c>
      <c r="E1864" s="38" t="n">
        <f aca="false">Sens!$E$1774</f>
        <v>3.474</v>
      </c>
      <c r="F1864" s="38" t="n">
        <f aca="false">Sens!$F$1774</f>
        <v>3.22246550883619</v>
      </c>
      <c r="G1864" s="38" t="n">
        <f aca="false">Sens!$G$1774</f>
        <v>6.69646550883619</v>
      </c>
      <c r="H1864" s="38" t="n">
        <f aca="false">Sens!$H$1774</f>
        <v>7.16251344209196</v>
      </c>
      <c r="I1864" s="38" t="n">
        <f aca="false">Sens!$I$1774</f>
        <v>7.61421070299826</v>
      </c>
      <c r="J1864" s="38" t="n">
        <f aca="false">Sens!$J$1774</f>
        <v>8.04465753523932</v>
      </c>
      <c r="K1864" s="38" t="n">
        <f aca="false">Sens!$K$1774</f>
        <v>8.44689041200128</v>
      </c>
      <c r="L1864" s="38" t="n">
        <f aca="false">Sens!$L$1774</f>
        <v>8.86923493260135</v>
      </c>
      <c r="M1864" s="38" t="n">
        <f aca="false">Sens!$M$1774</f>
        <v>9.31269667923142</v>
      </c>
      <c r="N1864" s="38" t="n">
        <f aca="false">Sens!$N$1774</f>
        <v>2.811</v>
      </c>
      <c r="O1864" s="38" t="n">
        <f aca="false">Sens!$O$1774</f>
        <v>3.124</v>
      </c>
    </row>
    <row r="1865" customFormat="false" ht="17.15" hidden="false" customHeight="false" outlineLevel="0" collapsed="false">
      <c r="A1865" s="0" t="s">
        <v>717</v>
      </c>
      <c r="B1865" s="0" t="s">
        <v>86</v>
      </c>
      <c r="C1865" s="38" t="n">
        <f aca="false">Sens!$C$1846</f>
        <v>107.556</v>
      </c>
      <c r="D1865" s="38" t="n">
        <f aca="false">Sens!$D$1846</f>
        <v>128.725</v>
      </c>
      <c r="E1865" s="38" t="n">
        <f aca="false">Sens!$E$1846</f>
        <v>79.819</v>
      </c>
      <c r="F1865" s="38" t="n">
        <f aca="false">Sens!$F$1846</f>
        <v>86.7327334389669</v>
      </c>
      <c r="G1865" s="38" t="n">
        <f aca="false">Sens!$G$1846</f>
        <v>166.551733438967</v>
      </c>
      <c r="H1865" s="38" t="n">
        <f aca="false">Sens!$H$1846</f>
        <v>221.182967828978</v>
      </c>
      <c r="I1865" s="38" t="n">
        <f aca="false">Sens!$I$1846</f>
        <v>280.27345865789</v>
      </c>
      <c r="J1865" s="38" t="n">
        <f aca="false">Sens!$J$1846</f>
        <v>338.800945197185</v>
      </c>
      <c r="K1865" s="38" t="n">
        <f aca="false">Sens!$K$1846</f>
        <v>389.88570147276</v>
      </c>
      <c r="L1865" s="38" t="n">
        <f aca="false">Sens!$L$1846</f>
        <v>430.080689379143</v>
      </c>
      <c r="M1865" s="38" t="n">
        <f aca="false">Sens!$M$1846</f>
        <v>459.456235951751</v>
      </c>
      <c r="N1865" s="38" t="n">
        <f aca="false">Sens!$N$1846</f>
        <v>60.14</v>
      </c>
      <c r="O1865" s="38" t="n">
        <f aca="false">Sens!$O$1846</f>
        <v>68.585</v>
      </c>
    </row>
    <row r="1866" customFormat="false" ht="15" hidden="false" customHeight="false" outlineLevel="0" collapsed="false">
      <c r="A1866" s="1" t="s">
        <v>512</v>
      </c>
      <c r="B1866" s="8" t="s">
        <v>86</v>
      </c>
      <c r="C1866" s="38" t="n">
        <f aca="false">Sens!$C$1779</f>
        <v>387.497</v>
      </c>
      <c r="D1866" s="38" t="n">
        <f aca="false">Sens!$D$1779</f>
        <v>426.305</v>
      </c>
      <c r="E1866" s="38" t="n">
        <f aca="false">Sens!$E$1779</f>
        <v>220.32</v>
      </c>
      <c r="F1866" s="38" t="n">
        <f aca="false">Sens!$F$1779</f>
        <v>250.639773480586</v>
      </c>
      <c r="G1866" s="38" t="n">
        <f aca="false">Sens!$G$1779</f>
        <v>470.959773480586</v>
      </c>
      <c r="H1866" s="38" t="n">
        <f aca="false">Sens!$H$1779</f>
        <v>521.386990416437</v>
      </c>
      <c r="I1866" s="38" t="n">
        <f aca="false">Sens!$I$1779</f>
        <v>570.143862887555</v>
      </c>
      <c r="J1866" s="38" t="n">
        <f aca="false">Sens!$J$1779</f>
        <v>615.391435791933</v>
      </c>
      <c r="K1866" s="38" t="n">
        <f aca="false">Sens!$K$1779</f>
        <v>655.208227561543</v>
      </c>
      <c r="L1866" s="38" t="n">
        <f aca="false">Sens!$L$1779</f>
        <v>697.807739249767</v>
      </c>
      <c r="M1866" s="38" t="n">
        <f aca="false">Sens!$M$1779</f>
        <v>743.399328463592</v>
      </c>
      <c r="N1866" s="38" t="n">
        <f aca="false">Sens!$N$1779</f>
        <v>192.955</v>
      </c>
      <c r="O1866" s="38" t="n">
        <f aca="false">Sens!$O$1779</f>
        <v>233.35</v>
      </c>
    </row>
    <row r="1867" customFormat="false" ht="15" hidden="false" customHeight="false" outlineLevel="0" collapsed="false">
      <c r="A1867" s="1" t="s">
        <v>515</v>
      </c>
      <c r="B1867" s="8" t="s">
        <v>86</v>
      </c>
      <c r="C1867" s="38" t="n">
        <f aca="false">Sens!$C$1780</f>
        <v>142.906</v>
      </c>
      <c r="D1867" s="38" t="n">
        <f aca="false">Sens!$D$1780</f>
        <v>161.894</v>
      </c>
      <c r="E1867" s="38" t="n">
        <f aca="false">Sens!$E$1780</f>
        <v>81.986</v>
      </c>
      <c r="F1867" s="38" t="n">
        <f aca="false">Sens!$F$1780</f>
        <v>98.408468164951</v>
      </c>
      <c r="G1867" s="38" t="n">
        <f aca="false">Sens!$G$1780</f>
        <v>180.394468164951</v>
      </c>
      <c r="H1867" s="38" t="n">
        <f aca="false">Sens!$H$1780</f>
        <v>199.709899104949</v>
      </c>
      <c r="I1867" s="38" t="n">
        <f aca="false">Sens!$I$1780</f>
        <v>218.385528264976</v>
      </c>
      <c r="J1867" s="38" t="n">
        <f aca="false">Sens!$J$1780</f>
        <v>235.71696994951</v>
      </c>
      <c r="K1867" s="38" t="n">
        <f aca="false">Sens!$K$1780</f>
        <v>250.968227869545</v>
      </c>
      <c r="L1867" s="38" t="n">
        <f aca="false">Sens!$L$1780</f>
        <v>267.285367225822</v>
      </c>
      <c r="M1867" s="38" t="n">
        <f aca="false">Sens!$M$1780</f>
        <v>284.748579483295</v>
      </c>
      <c r="N1867" s="38" t="n">
        <f aca="false">Sens!$N$1780</f>
        <v>70.274</v>
      </c>
      <c r="O1867" s="38" t="n">
        <f aca="false">Sens!$O$1780</f>
        <v>91.62</v>
      </c>
    </row>
    <row r="1868" customFormat="false" ht="15" hidden="false" customHeight="false" outlineLevel="0" collapsed="false">
      <c r="A1868" s="1" t="s">
        <v>516</v>
      </c>
      <c r="B1868" s="8" t="s">
        <v>86</v>
      </c>
      <c r="C1868" s="38" t="n">
        <f aca="false">Sens!$C$1846</f>
        <v>107.556</v>
      </c>
      <c r="D1868" s="38" t="n">
        <f aca="false">Sens!$D$1846</f>
        <v>128.725</v>
      </c>
      <c r="E1868" s="38" t="n">
        <f aca="false">Sens!$E$1846</f>
        <v>79.819</v>
      </c>
      <c r="F1868" s="38" t="n">
        <f aca="false">Sens!$F$1846</f>
        <v>86.7327334389669</v>
      </c>
      <c r="G1868" s="38" t="n">
        <f aca="false">Sens!$G$1846</f>
        <v>166.551733438967</v>
      </c>
      <c r="H1868" s="38" t="n">
        <f aca="false">Sens!$H$1846</f>
        <v>221.182967828978</v>
      </c>
      <c r="I1868" s="38" t="n">
        <f aca="false">Sens!$I$1846</f>
        <v>280.27345865789</v>
      </c>
      <c r="J1868" s="38" t="n">
        <f aca="false">Sens!$J$1846</f>
        <v>338.800945197185</v>
      </c>
      <c r="K1868" s="38" t="n">
        <f aca="false">Sens!$K$1846</f>
        <v>389.88570147276</v>
      </c>
      <c r="L1868" s="38" t="n">
        <f aca="false">Sens!$L$1846</f>
        <v>430.080689379143</v>
      </c>
      <c r="M1868" s="38" t="n">
        <f aca="false">Sens!$M$1846</f>
        <v>459.456235951751</v>
      </c>
      <c r="N1868" s="38" t="n">
        <f aca="false">Sens!$N$1846</f>
        <v>60.14</v>
      </c>
      <c r="O1868" s="38" t="n">
        <f aca="false">Sens!$O$1846</f>
        <v>68.585</v>
      </c>
    </row>
    <row r="1869" customFormat="false" ht="17.15" hidden="false" customHeight="false" outlineLevel="0" collapsed="false">
      <c r="A1869" s="0" t="s">
        <v>691</v>
      </c>
      <c r="B1869" s="0" t="s">
        <v>86</v>
      </c>
      <c r="C1869" s="38" t="n">
        <f aca="false">Sens!$C$1844</f>
        <v>2.32100535697364</v>
      </c>
      <c r="D1869" s="38" t="n">
        <f aca="false">Sens!$D$1844</f>
        <v>8.70377008865116</v>
      </c>
      <c r="E1869" s="38" t="n">
        <f aca="false">Sens!$E$1844</f>
        <v>8.51035297557002</v>
      </c>
      <c r="F1869" s="38" t="n">
        <f aca="false">Sens!$F$1844</f>
        <v>14.9634336447205</v>
      </c>
      <c r="G1869" s="38" t="n">
        <f aca="false">Sens!$G$1844</f>
        <v>23.4737866202905</v>
      </c>
      <c r="H1869" s="38" t="n">
        <f aca="false">Sens!$H$1844</f>
        <v>60.1658907497746</v>
      </c>
      <c r="I1869" s="38" t="n">
        <f aca="false">Sens!$I$1844</f>
        <v>101.503699136432</v>
      </c>
      <c r="J1869" s="38" t="n">
        <f aca="false">Sens!$J$1844</f>
        <v>143.025407151278</v>
      </c>
      <c r="K1869" s="38" t="n">
        <f aca="false">Sens!$K$1844</f>
        <v>178.44812038318</v>
      </c>
      <c r="L1869" s="38" t="n">
        <f aca="false">Sens!$L$1844</f>
        <v>201.728101802396</v>
      </c>
      <c r="M1869" s="38" t="n">
        <f aca="false">Sens!$M$1844</f>
        <v>212.835441368865</v>
      </c>
      <c r="N1869" s="38" t="n">
        <f aca="false">Sens!$N$1844</f>
        <v>3.04631953102791</v>
      </c>
      <c r="O1869" s="38" t="n">
        <f aca="false">Sens!$O$1844</f>
        <v>5.65745055762326</v>
      </c>
    </row>
    <row r="1870" customFormat="false" ht="17.15" hidden="false" customHeight="false" outlineLevel="0" collapsed="false">
      <c r="A1870" s="0" t="s">
        <v>693</v>
      </c>
      <c r="B1870" s="0" t="s">
        <v>86</v>
      </c>
      <c r="C1870" s="38" t="n">
        <f aca="false">Sens!$C$1845</f>
        <v>105.234994643026</v>
      </c>
      <c r="D1870" s="38" t="n">
        <f aca="false">Sens!$D$1845</f>
        <v>120.021229911349</v>
      </c>
      <c r="E1870" s="38" t="n">
        <f aca="false">Sens!$E$1845</f>
        <v>71.30864702443</v>
      </c>
      <c r="F1870" s="38" t="n">
        <f aca="false">Sens!$F$1845</f>
        <v>71.7692997942464</v>
      </c>
      <c r="G1870" s="38" t="n">
        <f aca="false">Sens!$G$1845</f>
        <v>143.077946818676</v>
      </c>
      <c r="H1870" s="38" t="n">
        <f aca="false">Sens!$H$1845</f>
        <v>161.017077079203</v>
      </c>
      <c r="I1870" s="38" t="n">
        <f aca="false">Sens!$I$1845</f>
        <v>178.769759521457</v>
      </c>
      <c r="J1870" s="38" t="n">
        <f aca="false">Sens!$J$1845</f>
        <v>195.775538045907</v>
      </c>
      <c r="K1870" s="38" t="n">
        <f aca="false">Sens!$K$1845</f>
        <v>211.43758108958</v>
      </c>
      <c r="L1870" s="38" t="n">
        <f aca="false">Sens!$L$1845</f>
        <v>228.352587576746</v>
      </c>
      <c r="M1870" s="38" t="n">
        <f aca="false">Sens!$M$1845</f>
        <v>246.620794582886</v>
      </c>
      <c r="N1870" s="38" t="n">
        <f aca="false">Sens!$N$1845</f>
        <v>57.0936804689721</v>
      </c>
      <c r="O1870" s="38" t="n">
        <f aca="false">Sens!$O$1845</f>
        <v>62.9275494423768</v>
      </c>
    </row>
    <row r="1871" customFormat="false" ht="15" hidden="false" customHeight="false" outlineLevel="0" collapsed="false">
      <c r="A1871" s="3" t="s">
        <v>517</v>
      </c>
      <c r="B1871" s="8" t="s">
        <v>86</v>
      </c>
      <c r="C1871" s="38" t="n">
        <f aca="false">Sens!$C$1847</f>
        <v>637.959</v>
      </c>
      <c r="D1871" s="38" t="n">
        <f aca="false">Sens!$D$1847</f>
        <v>716.924</v>
      </c>
      <c r="E1871" s="38" t="n">
        <f aca="false">Sens!$E$1847</f>
        <v>382.125</v>
      </c>
      <c r="F1871" s="38" t="n">
        <f aca="false">Sens!$F$1847</f>
        <v>435.780975084504</v>
      </c>
      <c r="G1871" s="38" t="n">
        <f aca="false">Sens!$G$1847</f>
        <v>817.905975084504</v>
      </c>
      <c r="H1871" s="38" t="n">
        <f aca="false">Sens!$H$1847</f>
        <v>942.279857350364</v>
      </c>
      <c r="I1871" s="38" t="n">
        <f aca="false">Sens!$I$1847</f>
        <v>1068.80284981042</v>
      </c>
      <c r="J1871" s="38" t="n">
        <f aca="false">Sens!$J$1847</f>
        <v>1189.90935093863</v>
      </c>
      <c r="K1871" s="38" t="n">
        <f aca="false">Sens!$K$1847</f>
        <v>1296.06215690385</v>
      </c>
      <c r="L1871" s="38" t="n">
        <f aca="false">Sens!$L$1847</f>
        <v>1395.17379585473</v>
      </c>
      <c r="M1871" s="38" t="n">
        <f aca="false">Sens!$M$1847</f>
        <v>1487.60414389864</v>
      </c>
      <c r="N1871" s="38" t="n">
        <f aca="false">Sens!$N$1847</f>
        <v>323.369</v>
      </c>
      <c r="O1871" s="38" t="n">
        <f aca="false">Sens!$O$1847</f>
        <v>393.555</v>
      </c>
    </row>
    <row r="1872" customFormat="false" ht="17.15" hidden="false" customHeight="false" outlineLevel="0" collapsed="false">
      <c r="A1872" s="24" t="s">
        <v>703</v>
      </c>
      <c r="B1872" s="25" t="s">
        <v>86</v>
      </c>
      <c r="C1872" s="41" t="n">
        <f aca="false">Sens!$C$1859+Sens!$C$1860+Sens!$C$1861+Sens!$C$1862+Sens!$C$1863+Sens!$C$1864-(Sens!$C$1866+Sens!$C$1867)</f>
        <v>0</v>
      </c>
      <c r="D1872" s="41" t="n">
        <f aca="false">Sens!$D$1859+Sens!$D$1860+Sens!$D$1861+Sens!$D$1862+Sens!$D$1863+Sens!$D$1864-(Sens!$D$1866+Sens!$D$1867)</f>
        <v>0</v>
      </c>
      <c r="E1872" s="41" t="n">
        <f aca="false">Sens!$E$1859+Sens!$E$1860+Sens!$E$1861+Sens!$E$1862+Sens!$E$1863+Sens!$E$1864-(Sens!$E$1866+Sens!$E$1867)</f>
        <v>0</v>
      </c>
      <c r="F1872" s="41" t="n">
        <f aca="false">Sens!$F$1859+Sens!$F$1860+Sens!$F$1861+Sens!$F$1862+Sens!$F$1863+Sens!$F$1864-(Sens!$F$1866+Sens!$F$1867)</f>
        <v>0</v>
      </c>
      <c r="G1872" s="41" t="n">
        <f aca="false">Sens!$G$1859+Sens!$G$1860+Sens!$G$1861+Sens!$G$1862+Sens!$G$1863+Sens!$G$1864-(Sens!$G$1866+Sens!$G$1867)</f>
        <v>0</v>
      </c>
      <c r="H1872" s="41" t="n">
        <f aca="false">Sens!$H$1859+Sens!$H$1860+Sens!$H$1861+Sens!$H$1862+Sens!$H$1863+Sens!$H$1864-(Sens!$H$1866+Sens!$H$1867)</f>
        <v>0</v>
      </c>
      <c r="I1872" s="41" t="n">
        <f aca="false">Sens!$I$1859+Sens!$I$1860+Sens!$I$1861+Sens!$I$1862+Sens!$I$1863+Sens!$I$1864-(Sens!$I$1866+Sens!$I$1867)</f>
        <v>0</v>
      </c>
      <c r="J1872" s="41" t="n">
        <f aca="false">Sens!$J$1859+Sens!$J$1860+Sens!$J$1861+Sens!$J$1862+Sens!$J$1863+Sens!$J$1864-(Sens!$J$1866+Sens!$J$1867)</f>
        <v>0</v>
      </c>
      <c r="K1872" s="41" t="n">
        <f aca="false">Sens!$K$1859+Sens!$K$1860+Sens!$K$1861+Sens!$K$1862+Sens!$K$1863+Sens!$K$1864-(Sens!$K$1866+Sens!$K$1867)</f>
        <v>0</v>
      </c>
      <c r="L1872" s="41" t="n">
        <f aca="false">Sens!$L$1859+Sens!$L$1860+Sens!$L$1861+Sens!$L$1862+Sens!$L$1863+Sens!$L$1864-(Sens!$L$1866+Sens!$L$1867)</f>
        <v>0</v>
      </c>
      <c r="M1872" s="41" t="n">
        <f aca="false">Sens!$M$1859+Sens!$M$1860+Sens!$M$1861+Sens!$M$1862+Sens!$M$1863+Sens!$M$1864-(Sens!$M$1866+Sens!$M$1867)</f>
        <v>0</v>
      </c>
      <c r="N1872" s="41" t="n">
        <f aca="false">Sens!$N$1859+Sens!$N$1860+Sens!$N$1861+Sens!$N$1862+Sens!$N$1863+Sens!$N$1864-(Sens!$N$1866+Sens!$N$1867)</f>
        <v>0</v>
      </c>
      <c r="O1872" s="41" t="n">
        <f aca="false">Sens!$O$1859+Sens!$O$1860+Sens!$O$1861+Sens!$O$1862+Sens!$O$1863+Sens!$O$1864-(Sens!$O$1866+Sens!$O$1867)</f>
        <v>0</v>
      </c>
    </row>
    <row r="1873" customFormat="false" ht="17.15" hidden="false" customHeight="false" outlineLevel="0" collapsed="false">
      <c r="A1873" s="24" t="s">
        <v>704</v>
      </c>
      <c r="B1873" s="25" t="s">
        <v>86</v>
      </c>
      <c r="C1873" s="41" t="n">
        <f aca="false">Sens!$C$1869+Sens!$C$1870-Sens!$C$1868</f>
        <v>0</v>
      </c>
      <c r="D1873" s="41" t="n">
        <f aca="false">Sens!$D$1869+Sens!$D$1870-Sens!$D$1868</f>
        <v>0</v>
      </c>
      <c r="E1873" s="41" t="n">
        <f aca="false">Sens!$E$1869+Sens!$E$1870-Sens!$E$1868</f>
        <v>0</v>
      </c>
      <c r="F1873" s="41" t="n">
        <f aca="false">Sens!$F$1869+Sens!$F$1870-Sens!$F$1868</f>
        <v>0</v>
      </c>
      <c r="G1873" s="41" t="n">
        <f aca="false">Sens!$G$1869+Sens!$G$1870-Sens!$G$1868</f>
        <v>0</v>
      </c>
      <c r="H1873" s="41" t="n">
        <f aca="false">Sens!$H$1869+Sens!$H$1870-Sens!$H$1868</f>
        <v>0</v>
      </c>
      <c r="I1873" s="41" t="n">
        <f aca="false">Sens!$I$1869+Sens!$I$1870-Sens!$I$1868</f>
        <v>0</v>
      </c>
      <c r="J1873" s="41" t="n">
        <f aca="false">Sens!$J$1869+Sens!$J$1870-Sens!$J$1868</f>
        <v>0</v>
      </c>
      <c r="K1873" s="41" t="n">
        <f aca="false">Sens!$K$1869+Sens!$K$1870-Sens!$K$1868</f>
        <v>0</v>
      </c>
      <c r="L1873" s="41" t="n">
        <f aca="false">Sens!$L$1869+Sens!$L$1870-Sens!$L$1868</f>
        <v>0</v>
      </c>
      <c r="M1873" s="41" t="n">
        <f aca="false">Sens!$M$1869+Sens!$M$1870-Sens!$M$1868</f>
        <v>0</v>
      </c>
      <c r="N1873" s="41" t="n">
        <f aca="false">Sens!$N$1869+Sens!$N$1870-Sens!$N$1868</f>
        <v>0</v>
      </c>
      <c r="O1873" s="41" t="n">
        <f aca="false">Sens!$O$1869+Sens!$O$1870-Sens!$O$1868</f>
        <v>0</v>
      </c>
    </row>
    <row r="1874" customFormat="false" ht="17.15" hidden="false" customHeight="false" outlineLevel="0" collapsed="false">
      <c r="A1874" s="24" t="s">
        <v>763</v>
      </c>
      <c r="B1874" s="25" t="s">
        <v>86</v>
      </c>
      <c r="C1874" s="41" t="n">
        <f aca="false">Sens!$C$1859+Sens!$C$1860+Sens!$C$1861+Sens!$C$1862+Sens!$C$1863+Sens!$C$1864+Sens!$C$1865-Sens!$C$1871</f>
        <v>0</v>
      </c>
      <c r="D1874" s="41" t="n">
        <f aca="false">Sens!$D$1859+Sens!$D$1860+Sens!$D$1861+Sens!$D$1862+Sens!$D$1863+Sens!$D$1864+Sens!$D$1865-Sens!$D$1871</f>
        <v>0</v>
      </c>
      <c r="E1874" s="41" t="n">
        <f aca="false">Sens!$E$1859+Sens!$E$1860+Sens!$E$1861+Sens!$E$1862+Sens!$E$1863+Sens!$E$1864+Sens!$E$1865-Sens!$E$1871</f>
        <v>0</v>
      </c>
      <c r="F1874" s="41" t="n">
        <f aca="false">Sens!$F$1859+Sens!$F$1860+Sens!$F$1861+Sens!$F$1862+Sens!$F$1863+Sens!$F$1864+Sens!$F$1865-Sens!$F$1871</f>
        <v>0</v>
      </c>
      <c r="G1874" s="41" t="n">
        <f aca="false">Sens!$G$1859+Sens!$G$1860+Sens!$G$1861+Sens!$G$1862+Sens!$G$1863+Sens!$G$1864+Sens!$G$1865-Sens!$G$1871</f>
        <v>0</v>
      </c>
      <c r="H1874" s="41" t="n">
        <f aca="false">Sens!$H$1859+Sens!$H$1860+Sens!$H$1861+Sens!$H$1862+Sens!$H$1863+Sens!$H$1864+Sens!$H$1865-Sens!$H$1871</f>
        <v>0</v>
      </c>
      <c r="I1874" s="41" t="n">
        <f aca="false">Sens!$I$1859+Sens!$I$1860+Sens!$I$1861+Sens!$I$1862+Sens!$I$1863+Sens!$I$1864+Sens!$I$1865-Sens!$I$1871</f>
        <v>0</v>
      </c>
      <c r="J1874" s="41" t="n">
        <f aca="false">Sens!$J$1859+Sens!$J$1860+Sens!$J$1861+Sens!$J$1862+Sens!$J$1863+Sens!$J$1864+Sens!$J$1865-Sens!$J$1871</f>
        <v>0</v>
      </c>
      <c r="K1874" s="41" t="n">
        <f aca="false">Sens!$K$1859+Sens!$K$1860+Sens!$K$1861+Sens!$K$1862+Sens!$K$1863+Sens!$K$1864+Sens!$K$1865-Sens!$K$1871</f>
        <v>0</v>
      </c>
      <c r="L1874" s="41" t="n">
        <f aca="false">Sens!$L$1859+Sens!$L$1860+Sens!$L$1861+Sens!$L$1862+Sens!$L$1863+Sens!$L$1864+Sens!$L$1865-Sens!$L$1871</f>
        <v>0</v>
      </c>
      <c r="M1874" s="41" t="n">
        <f aca="false">Sens!$M$1859+Sens!$M$1860+Sens!$M$1861+Sens!$M$1862+Sens!$M$1863+Sens!$M$1864+Sens!$M$1865-Sens!$M$1871</f>
        <v>0</v>
      </c>
      <c r="N1874" s="41" t="n">
        <f aca="false">Sens!$N$1859+Sens!$N$1860+Sens!$N$1861+Sens!$N$1862+Sens!$N$1863+Sens!$N$1864+Sens!$N$1865-Sens!$N$1871</f>
        <v>0</v>
      </c>
      <c r="O1874" s="41" t="n">
        <f aca="false">Sens!$O$1859+Sens!$O$1860+Sens!$O$1861+Sens!$O$1862+Sens!$O$1863+Sens!$O$1864+Sens!$O$1865-Sens!$O$1871</f>
        <v>0</v>
      </c>
    </row>
    <row r="1875" customFormat="false" ht="17.15" hidden="false" customHeight="false" outlineLevel="0" collapsed="false">
      <c r="A1875" s="24" t="s">
        <v>705</v>
      </c>
      <c r="B1875" s="25" t="s">
        <v>86</v>
      </c>
      <c r="C1875" s="41" t="n">
        <f aca="false">Sens!$C$1866+Sens!$C$1867+Sens!$C$1868-Sens!$C$1871</f>
        <v>0</v>
      </c>
      <c r="D1875" s="41" t="n">
        <f aca="false">Sens!$D$1866+Sens!$D$1867+Sens!$D$1868-Sens!$D$1871</f>
        <v>0</v>
      </c>
      <c r="E1875" s="41" t="n">
        <f aca="false">Sens!$E$1866+Sens!$E$1867+Sens!$E$1868-Sens!$E$1871</f>
        <v>0</v>
      </c>
      <c r="F1875" s="41" t="n">
        <f aca="false">Sens!$F$1866+Sens!$F$1867+Sens!$F$1868-Sens!$F$1871</f>
        <v>0</v>
      </c>
      <c r="G1875" s="41" t="n">
        <f aca="false">Sens!$G$1866+Sens!$G$1867+Sens!$G$1868-Sens!$G$1871</f>
        <v>0</v>
      </c>
      <c r="H1875" s="41" t="n">
        <f aca="false">Sens!$H$1866+Sens!$H$1867+Sens!$H$1868-Sens!$H$1871</f>
        <v>0</v>
      </c>
      <c r="I1875" s="41" t="n">
        <f aca="false">Sens!$I$1866+Sens!$I$1867+Sens!$I$1868-Sens!$I$1871</f>
        <v>0</v>
      </c>
      <c r="J1875" s="41" t="n">
        <f aca="false">Sens!$J$1866+Sens!$J$1867+Sens!$J$1868-Sens!$J$1871</f>
        <v>0</v>
      </c>
      <c r="K1875" s="41" t="n">
        <f aca="false">Sens!$K$1866+Sens!$K$1867+Sens!$K$1868-Sens!$K$1871</f>
        <v>0</v>
      </c>
      <c r="L1875" s="41" t="n">
        <f aca="false">Sens!$L$1866+Sens!$L$1867+Sens!$L$1868-Sens!$L$1871</f>
        <v>0</v>
      </c>
      <c r="M1875" s="41" t="n">
        <f aca="false">Sens!$M$1866+Sens!$M$1867+Sens!$M$1868-Sens!$M$1871</f>
        <v>0</v>
      </c>
      <c r="N1875" s="41" t="n">
        <f aca="false">Sens!$N$1866+Sens!$N$1867+Sens!$N$1868-Sens!$N$1871</f>
        <v>0</v>
      </c>
      <c r="O1875" s="41" t="n">
        <f aca="false">Sens!$O$1866+Sens!$O$1867+Sens!$O$1868-Sens!$O$1871</f>
        <v>0</v>
      </c>
    </row>
    <row r="1876" customFormat="false" ht="17.15" hidden="false" customHeight="false" outlineLevel="0" collapsed="false">
      <c r="A1876" s="1" t="s">
        <v>719</v>
      </c>
    </row>
    <row r="1877" customFormat="false" ht="17.15" hidden="false" customHeight="false" outlineLevel="0" collapsed="false">
      <c r="A1877" s="0" t="s">
        <v>720</v>
      </c>
      <c r="B1877" s="0" t="s">
        <v>86</v>
      </c>
      <c r="C1877" s="38" t="n">
        <f aca="false">Sens!$C$1781*m_ad</f>
        <v>20.5341564414228</v>
      </c>
      <c r="D1877" s="38" t="n">
        <f aca="false">Sens!$D$1781*m_ad</f>
        <v>24.8720617299587</v>
      </c>
      <c r="E1877" s="38" t="n">
        <f aca="false">Sens!$E$1781*m_ad</f>
        <v>13.5017112462207</v>
      </c>
      <c r="F1877" s="38" t="n">
        <f aca="false">Sens!$F$1781*m_ad</f>
        <v>16.5719724165257</v>
      </c>
      <c r="G1877" s="38" t="n">
        <f aca="false">Sens!$G$1781*m_ad</f>
        <v>30.0820919220415</v>
      </c>
      <c r="H1877" s="38" t="n">
        <f aca="false">Sens!$H$1781*m_ad</f>
        <v>36.1150883276314</v>
      </c>
      <c r="I1877" s="38" t="n">
        <f aca="false">Sens!$I$1781*m_ad</f>
        <v>42.1475382231996</v>
      </c>
      <c r="J1877" s="38" t="n">
        <f aca="false">Sens!$J$1781*m_ad</f>
        <v>47.7749523864693</v>
      </c>
      <c r="K1877" s="38" t="n">
        <f aca="false">Sens!$K$1781*m_ad</f>
        <v>52.5524476251162</v>
      </c>
      <c r="L1877" s="38" t="n">
        <f aca="false">Sens!$L$1781*m_ad</f>
        <v>57.8076923876279</v>
      </c>
      <c r="M1877" s="38" t="n">
        <f aca="false">Sens!$M$1781*m_ad</f>
        <v>63.5884616263907</v>
      </c>
      <c r="N1877" s="38" t="n">
        <f aca="false">Sens!$N$1781*m_ad</f>
        <v>10.8543555706248</v>
      </c>
      <c r="O1877" s="38" t="n">
        <f aca="false">Sens!$O$1781*m_ad</f>
        <v>14.0094731821399</v>
      </c>
    </row>
    <row r="1878" customFormat="false" ht="17.15" hidden="false" customHeight="false" outlineLevel="0" collapsed="false">
      <c r="A1878" s="0" t="s">
        <v>721</v>
      </c>
      <c r="B1878" s="0" t="s">
        <v>86</v>
      </c>
      <c r="C1878" s="38" t="n">
        <f aca="false">Sens!$C$1779-Sens!$C$1781</f>
        <v>346.428687117154</v>
      </c>
      <c r="D1878" s="38" t="n">
        <f aca="false">Sens!$D$1779-Sens!$D$1781</f>
        <v>376.560876540083</v>
      </c>
      <c r="E1878" s="38" t="n">
        <f aca="false">Sens!$E$1779-Sens!$E$1781</f>
        <v>193.316577507559</v>
      </c>
      <c r="F1878" s="38" t="n">
        <f aca="false">Sens!$F$1779-Sens!$F$1781</f>
        <v>217.495828647535</v>
      </c>
      <c r="G1878" s="38" t="n">
        <f aca="false">Sens!$G$1779-Sens!$G$1781</f>
        <v>410.795589636503</v>
      </c>
      <c r="H1878" s="38" t="n">
        <f aca="false">Sens!$H$1779-Sens!$H$1781</f>
        <v>449.156813761174</v>
      </c>
      <c r="I1878" s="38" t="n">
        <f aca="false">Sens!$I$1779-Sens!$I$1781</f>
        <v>485.848786441156</v>
      </c>
      <c r="J1878" s="38" t="n">
        <f aca="false">Sens!$J$1779-Sens!$J$1781</f>
        <v>519.841531018994</v>
      </c>
      <c r="K1878" s="38" t="n">
        <f aca="false">Sens!$K$1779-Sens!$K$1781</f>
        <v>550.103332311311</v>
      </c>
      <c r="L1878" s="38" t="n">
        <f aca="false">Sens!$L$1779-Sens!$L$1781</f>
        <v>582.192354474511</v>
      </c>
      <c r="M1878" s="38" t="n">
        <f aca="false">Sens!$M$1779-Sens!$M$1781</f>
        <v>616.22240521081</v>
      </c>
      <c r="N1878" s="38" t="n">
        <f aca="false">Sens!$N$1779-Sens!$N$1781</f>
        <v>171.24628885875</v>
      </c>
      <c r="O1878" s="38" t="n">
        <f aca="false">Sens!$O$1779-Sens!$O$1781</f>
        <v>205.33105363572</v>
      </c>
    </row>
    <row r="1879" customFormat="false" ht="17.15" hidden="false" customHeight="false" outlineLevel="0" collapsed="false">
      <c r="A1879" s="0" t="s">
        <v>722</v>
      </c>
      <c r="B1879" s="0" t="s">
        <v>86</v>
      </c>
      <c r="C1879" s="38" t="n">
        <f aca="false">Sens!$C$1830*Sens!$C$1778</f>
        <v>0.128971439857362</v>
      </c>
      <c r="D1879" s="38" t="n">
        <f aca="false">Sens!$D$1830*Sens!$D$1778</f>
        <v>0.645386264363769</v>
      </c>
      <c r="E1879" s="38" t="n">
        <f aca="false">Sens!$E$1830*Sens!$E$1778</f>
        <v>1.08349456961131</v>
      </c>
      <c r="F1879" s="38" t="n">
        <f aca="false">Sens!$F$1830*Sens!$F$1778</f>
        <v>1.31141428666652</v>
      </c>
      <c r="G1879" s="38" t="n">
        <f aca="false">Sens!$G$1830*Sens!$G$1778</f>
        <v>2.39545552975987</v>
      </c>
      <c r="H1879" s="38" t="n">
        <f aca="false">Sens!$H$1830*Sens!$H$1778</f>
        <v>6.84365826073797</v>
      </c>
      <c r="I1879" s="38" t="n">
        <f aca="false">Sens!$I$1830*Sens!$I$1778</f>
        <v>13.0884061781726</v>
      </c>
      <c r="J1879" s="38" t="n">
        <f aca="false">Sens!$J$1830*Sens!$J$1778</f>
        <v>19.6312960524546</v>
      </c>
      <c r="K1879" s="38" t="n">
        <f aca="false">Sens!$K$1830*Sens!$K$1778</f>
        <v>25.8984401887777</v>
      </c>
      <c r="L1879" s="38" t="n">
        <f aca="false">Sens!$L$1830*Sens!$L$1778</f>
        <v>30.5109591753984</v>
      </c>
      <c r="M1879" s="38" t="n">
        <f aca="false">Sens!$M$1830*Sens!$M$1778</f>
        <v>33.1922260904708</v>
      </c>
      <c r="N1879" s="38" t="n">
        <f aca="false">Sens!$N$1830*Sens!$N$1778</f>
        <v>0.273384145713536</v>
      </c>
      <c r="O1879" s="38" t="n">
        <f aca="false">Sens!$O$1830*Sens!$O$1778</f>
        <v>0.371619712532113</v>
      </c>
    </row>
    <row r="1880" customFormat="false" ht="17.15" hidden="false" customHeight="false" outlineLevel="0" collapsed="false">
      <c r="A1880" s="0" t="s">
        <v>723</v>
      </c>
      <c r="B1880" s="0" t="s">
        <v>52</v>
      </c>
      <c r="C1880" s="28" t="n">
        <f aca="false">(Sens!$C$1881-Sens!$C$1877+Sens!$C$1879)/Sens!$C$1878</f>
        <v>0.0131681213712299</v>
      </c>
      <c r="D1880" s="28" t="n">
        <f aca="false">(Sens!$D$1881-Sens!$D$1877+Sens!$D$1879)/Sens!$D$1878</f>
        <v>0.0143199277204547</v>
      </c>
      <c r="E1880" s="28" t="n">
        <f aca="false">(Sens!$E$1881-Sens!$E$1877+Sens!$E$1879)/Sens!$E$1878</f>
        <v>0.0257183495978052</v>
      </c>
      <c r="F1880" s="28" t="n">
        <f aca="false">Sens!$O$1880+(Sens!$E$1880-Sens!$N$1880)</f>
        <v>0.022276979021175</v>
      </c>
      <c r="G1880" s="28" t="n">
        <f aca="false">(Sens!$G$1881-Sens!$G$1877+Sens!$G$1879)/Sens!$G$1878</f>
        <v>0.0238782304314206</v>
      </c>
      <c r="H1880" s="28" t="n">
        <f aca="false">Sens!$G$1880+step_na</f>
        <v>0.0268782304314206</v>
      </c>
      <c r="I1880" s="28" t="n">
        <f aca="false">Sens!$H$1880+step_na</f>
        <v>0.0298782304314206</v>
      </c>
      <c r="J1880" s="28" t="n">
        <f aca="false">Sens!$I$1880+step_na</f>
        <v>0.0328782304314206</v>
      </c>
      <c r="K1880" s="28" t="n">
        <f aca="false">Sens!$J$1880+step_na</f>
        <v>0.0358782304314206</v>
      </c>
      <c r="L1880" s="28" t="n">
        <f aca="false">Sens!$K$1880</f>
        <v>0.0358782304314206</v>
      </c>
      <c r="M1880" s="28" t="n">
        <f aca="false">Sens!$L$1880</f>
        <v>0.0358782304314206</v>
      </c>
      <c r="N1880" s="28" t="n">
        <f aca="false">(Sens!$N$1881-Sens!$N$1877+Sens!$N$1879)/Sens!$N$1878</f>
        <v>0.0162165766837686</v>
      </c>
      <c r="O1880" s="28" t="n">
        <f aca="false">(Sens!$O$1881-Sens!$O$1877+Sens!$O$1879)/Sens!$O$1878</f>
        <v>0.0127752061071385</v>
      </c>
      <c r="P1880" s="8" t="s">
        <v>724</v>
      </c>
    </row>
    <row r="1881" customFormat="false" ht="17.15" hidden="false" customHeight="false" outlineLevel="0" collapsed="false">
      <c r="A1881" s="1" t="s">
        <v>725</v>
      </c>
      <c r="B1881" s="8" t="s">
        <v>86</v>
      </c>
      <c r="C1881" s="38" t="n">
        <f aca="false">Q!$D$22</f>
        <v>24.967</v>
      </c>
      <c r="D1881" s="38" t="n">
        <f aca="false">Q!$E$22</f>
        <v>29.619</v>
      </c>
      <c r="E1881" s="38" t="n">
        <f aca="false">Q!$P$22</f>
        <v>17.39</v>
      </c>
      <c r="F1881" s="38" t="n">
        <f aca="false">Sens!$F$1877+Sens!$F$1878*Sens!$F$1880-Sens!$F$1879</f>
        <v>20.1057081418333</v>
      </c>
      <c r="G1881" s="38" t="n">
        <f aca="false">Sens!$E$1881+Sens!$F$1881</f>
        <v>37.4957081418334</v>
      </c>
      <c r="H1881" s="38" t="n">
        <f aca="false">Sens!$H$1877+Sens!$H$1878*Sens!$H$1880-Sens!$H$1879</f>
        <v>41.3439704070089</v>
      </c>
      <c r="I1881" s="38" t="n">
        <f aca="false">Sens!$I$1877+Sens!$I$1878*Sens!$I$1880-Sens!$I$1879</f>
        <v>43.5754340411419</v>
      </c>
      <c r="J1881" s="38" t="n">
        <f aca="false">Sens!$J$1877+Sens!$J$1878*Sens!$J$1880-Sens!$J$1879</f>
        <v>45.2351259786796</v>
      </c>
      <c r="K1881" s="38" t="n">
        <f aca="false">Sens!$K$1877+Sens!$K$1878*Sens!$K$1880-Sens!$K$1879</f>
        <v>46.3907415540961</v>
      </c>
      <c r="L1881" s="38" t="n">
        <f aca="false">Sens!$L$1877+Sens!$L$1878*Sens!$L$1880-Sens!$L$1879</f>
        <v>48.1847646614773</v>
      </c>
      <c r="M1881" s="38" t="n">
        <f aca="false">Sens!$M$1877+Sens!$M$1878*Sens!$M$1880-Sens!$M$1879</f>
        <v>52.5052049870775</v>
      </c>
      <c r="N1881" s="38" t="n">
        <f aca="false">Q!$N$22</f>
        <v>13.358</v>
      </c>
      <c r="O1881" s="38" t="n">
        <f aca="false">Q!$O$22</f>
        <v>16.261</v>
      </c>
    </row>
    <row r="1882" customFormat="false" ht="17.15" hidden="false" customHeight="false" outlineLevel="0" collapsed="false">
      <c r="A1882" s="0" t="s">
        <v>726</v>
      </c>
      <c r="B1882" s="0" t="s">
        <v>86</v>
      </c>
      <c r="C1882" s="38" t="n">
        <f aca="false">Sens!$C$1782*m_ad</f>
        <v>7.57284355857716</v>
      </c>
      <c r="D1882" s="38" t="n">
        <f aca="false">Sens!$D$1782*m_ad</f>
        <v>9.44543827004127</v>
      </c>
      <c r="E1882" s="38" t="n">
        <f aca="false">Sens!$E$1782*m_ad</f>
        <v>5.02428875377928</v>
      </c>
      <c r="F1882" s="38" t="n">
        <f aca="false">Sens!$F$1782*m_ad</f>
        <v>6.50663858068173</v>
      </c>
      <c r="G1882" s="38" t="n">
        <f aca="false">Sens!$G$1782*m_ad</f>
        <v>11.5225190751659</v>
      </c>
      <c r="H1882" s="38" t="n">
        <f aca="false">Sens!$H$1782*m_ad</f>
        <v>13.8333728663174</v>
      </c>
      <c r="I1882" s="38" t="n">
        <f aca="false">Sens!$I$1782*m_ad</f>
        <v>16.1440173245485</v>
      </c>
      <c r="J1882" s="38" t="n">
        <f aca="false">Sens!$J$1782*m_ad</f>
        <v>18.2995185845066</v>
      </c>
      <c r="K1882" s="38" t="n">
        <f aca="false">Sens!$K$1782*m_ad</f>
        <v>20.1294704429572</v>
      </c>
      <c r="L1882" s="38" t="n">
        <f aca="false">Sens!$L$1782*m_ad</f>
        <v>22.142417487253</v>
      </c>
      <c r="M1882" s="38" t="n">
        <f aca="false">Sens!$M$1782*m_ad</f>
        <v>24.3566592359783</v>
      </c>
      <c r="N1882" s="38" t="n">
        <f aca="false">Sens!$N$1782*m_ad</f>
        <v>3.95314442937518</v>
      </c>
      <c r="O1882" s="38" t="n">
        <f aca="false">Sens!$O$1782*m_ad</f>
        <v>5.50052681786011</v>
      </c>
    </row>
    <row r="1883" customFormat="false" ht="17.15" hidden="false" customHeight="false" outlineLevel="0" collapsed="false">
      <c r="A1883" s="0" t="s">
        <v>727</v>
      </c>
      <c r="B1883" s="0" t="s">
        <v>86</v>
      </c>
      <c r="C1883" s="38" t="n">
        <f aca="false">Sens!$C$1780-Sens!$C$1782</f>
        <v>127.760312882846</v>
      </c>
      <c r="D1883" s="38" t="n">
        <f aca="false">Sens!$D$1780-Sens!$D$1782</f>
        <v>143.003123459917</v>
      </c>
      <c r="E1883" s="38" t="n">
        <f aca="false">Sens!$E$1780-Sens!$E$1782</f>
        <v>71.9374224924414</v>
      </c>
      <c r="F1883" s="38" t="n">
        <f aca="false">Sens!$F$1780-Sens!$F$1782</f>
        <v>85.3951910035875</v>
      </c>
      <c r="G1883" s="38" t="n">
        <f aca="false">Sens!$G$1780-Sens!$G$1782</f>
        <v>157.349430014619</v>
      </c>
      <c r="H1883" s="38" t="n">
        <f aca="false">Sens!$H$1780-Sens!$H$1782</f>
        <v>172.043153372315</v>
      </c>
      <c r="I1883" s="38" t="n">
        <f aca="false">Sens!$I$1780-Sens!$I$1782</f>
        <v>186.097493615879</v>
      </c>
      <c r="J1883" s="38" t="n">
        <f aca="false">Sens!$J$1780-Sens!$J$1782</f>
        <v>199.117932780497</v>
      </c>
      <c r="K1883" s="38" t="n">
        <f aca="false">Sens!$K$1780-Sens!$K$1782</f>
        <v>210.70928698363</v>
      </c>
      <c r="L1883" s="38" t="n">
        <f aca="false">Sens!$L$1780-Sens!$L$1782</f>
        <v>223.000532251316</v>
      </c>
      <c r="M1883" s="38" t="n">
        <f aca="false">Sens!$M$1780-Sens!$M$1782</f>
        <v>236.035261011339</v>
      </c>
      <c r="N1883" s="38" t="n">
        <f aca="false">Sens!$N$1780-Sens!$N$1782</f>
        <v>62.3677111412496</v>
      </c>
      <c r="O1883" s="38" t="n">
        <f aca="false">Sens!$O$1780-Sens!$O$1782</f>
        <v>80.6189463642798</v>
      </c>
    </row>
    <row r="1884" customFormat="false" ht="17.15" hidden="false" customHeight="false" outlineLevel="0" collapsed="false">
      <c r="A1884" s="0" t="s">
        <v>728</v>
      </c>
      <c r="B1884" s="0" t="s">
        <v>86</v>
      </c>
      <c r="C1884" s="38" t="n">
        <f aca="false">Sens!$C$1830*(1-Sens!$C$1778)</f>
        <v>0.0475637039364334</v>
      </c>
      <c r="D1884" s="38" t="n">
        <f aca="false">Sens!$D$1830*(1-Sens!$D$1778)</f>
        <v>0.245092513301294</v>
      </c>
      <c r="E1884" s="38" t="n">
        <f aca="false">Sens!$E$1830*(1-Sens!$E$1778)</f>
        <v>0.403192564379778</v>
      </c>
      <c r="F1884" s="38" t="n">
        <f aca="false">Sens!$F$1830*(1-Sens!$F$1778)</f>
        <v>0.514899408375343</v>
      </c>
      <c r="G1884" s="38" t="n">
        <f aca="false">Sens!$G$1830*(1-Sens!$G$1778)</f>
        <v>0.917545299273073</v>
      </c>
      <c r="H1884" s="38" t="n">
        <f aca="false">Sens!$H$1830*(1-Sens!$H$1778)</f>
        <v>2.62136632843313</v>
      </c>
      <c r="I1884" s="38" t="n">
        <f aca="false">Sens!$I$1830*(1-Sens!$I$1778)</f>
        <v>5.01332853587256</v>
      </c>
      <c r="J1884" s="38" t="n">
        <f aca="false">Sens!$J$1830*(1-Sens!$J$1778)</f>
        <v>7.51948979548513</v>
      </c>
      <c r="K1884" s="38" t="n">
        <f aca="false">Sens!$K$1830*(1-Sens!$K$1778)</f>
        <v>9.92003055723596</v>
      </c>
      <c r="L1884" s="38" t="n">
        <f aca="false">Sens!$L$1830*(1-Sens!$L$1778)</f>
        <v>11.6867905999097</v>
      </c>
      <c r="M1884" s="38" t="n">
        <f aca="false">Sens!$M$1830*(1-Sens!$M$1778)</f>
        <v>12.7138119006423</v>
      </c>
      <c r="N1884" s="38" t="n">
        <f aca="false">Sens!$N$1830*(1-Sens!$N$1778)</f>
        <v>0.0995662069180537</v>
      </c>
      <c r="O1884" s="38" t="n">
        <f aca="false">Sens!$O$1830*(1-Sens!$O$1778)</f>
        <v>0.145908712501359</v>
      </c>
    </row>
    <row r="1885" customFormat="false" ht="17.15" hidden="false" customHeight="false" outlineLevel="0" collapsed="false">
      <c r="A1885" s="0" t="s">
        <v>729</v>
      </c>
      <c r="B1885" s="0" t="s">
        <v>52</v>
      </c>
      <c r="C1885" s="28" t="n">
        <f aca="false">(Sens!$C$1886-Sens!$C$1882+Sens!$C$1884)/Sens!$C$1883</f>
        <v>-0.0292209667493855</v>
      </c>
      <c r="D1885" s="28" t="n">
        <f aca="false">(Sens!$D$1886-Sens!$D$1882+Sens!$D$1884)/Sens!$D$1883</f>
        <v>-0.0311206192498821</v>
      </c>
      <c r="E1885" s="28" t="n">
        <f aca="false">(Sens!$E$1886-Sens!$E$1882+Sens!$E$1884)/Sens!$E$1883</f>
        <v>-0.0205747737146827</v>
      </c>
      <c r="F1885" s="28" t="n">
        <f aca="false">Sens!$O$1885+(Sens!$E$1885-Sens!$N$1885)</f>
        <v>-0.0376941850747438</v>
      </c>
      <c r="G1885" s="28" t="n">
        <f aca="false">(Sens!$G$1886-Sens!$G$1882+Sens!$G$1884)/Sens!$G$1883</f>
        <v>-0.0298134968606679</v>
      </c>
      <c r="H1885" s="28" t="n">
        <f aca="false">Sens!$G$1885+step_in</f>
        <v>-0.0298134968606679</v>
      </c>
      <c r="I1885" s="28" t="n">
        <f aca="false">Sens!$H$1885+step_in</f>
        <v>-0.0298134968606679</v>
      </c>
      <c r="J1885" s="28" t="n">
        <f aca="false">Sens!$I$1885+step_in</f>
        <v>-0.0298134968606679</v>
      </c>
      <c r="K1885" s="28" t="n">
        <f aca="false">Sens!$J$1885+step_in</f>
        <v>-0.0298134968606679</v>
      </c>
      <c r="L1885" s="28" t="n">
        <f aca="false">Sens!$K$1885</f>
        <v>-0.0298134968606679</v>
      </c>
      <c r="M1885" s="28" t="n">
        <f aca="false">Sens!$L$1885</f>
        <v>-0.0298134968606679</v>
      </c>
      <c r="N1885" s="28" t="n">
        <f aca="false">(Sens!$N$1886-Sens!$N$1882+Sens!$N$1884)/Sens!$N$1883</f>
        <v>-0.0215268156853869</v>
      </c>
      <c r="O1885" s="28" t="n">
        <f aca="false">(Sens!$O$1886-Sens!$O$1882+Sens!$O$1884)/Sens!$O$1883</f>
        <v>-0.038646227045448</v>
      </c>
      <c r="P1885" s="8" t="s">
        <v>724</v>
      </c>
    </row>
    <row r="1886" customFormat="false" ht="17.15" hidden="false" customHeight="false" outlineLevel="0" collapsed="false">
      <c r="A1886" s="1" t="s">
        <v>730</v>
      </c>
      <c r="B1886" s="8" t="s">
        <v>86</v>
      </c>
      <c r="C1886" s="38" t="n">
        <f aca="false">Q!$D$23</f>
        <v>3.792</v>
      </c>
      <c r="D1886" s="38" t="n">
        <f aca="false">Q!$E$23</f>
        <v>4.75</v>
      </c>
      <c r="E1886" s="38" t="n">
        <f aca="false">Q!$P$23</f>
        <v>3.141</v>
      </c>
      <c r="F1886" s="38" t="n">
        <f aca="false">Sens!$F$1882+Sens!$F$1883*Sens!$F$1885-Sens!$F$1884</f>
        <v>2.77283703812406</v>
      </c>
      <c r="G1886" s="38" t="n">
        <f aca="false">Sens!$E$1886+Sens!$F$1886</f>
        <v>5.91383703812406</v>
      </c>
      <c r="H1886" s="38" t="n">
        <f aca="false">Sens!$H$1882+Sens!$H$1883*Sens!$H$1885-Sens!$H$1884</f>
        <v>6.08279852491931</v>
      </c>
      <c r="I1886" s="38" t="n">
        <f aca="false">Sens!$I$1882+Sens!$I$1883*Sens!$I$1885-Sens!$I$1884</f>
        <v>5.58247174698079</v>
      </c>
      <c r="J1886" s="38" t="n">
        <f aca="false">Sens!$J$1882+Sens!$J$1883*Sens!$J$1885-Sens!$J$1884</f>
        <v>4.84362692516741</v>
      </c>
      <c r="K1886" s="38" t="n">
        <f aca="false">Sens!$K$1882+Sens!$K$1883*Sens!$K$1885-Sens!$K$1884</f>
        <v>3.92745921972124</v>
      </c>
      <c r="L1886" s="38" t="n">
        <f aca="false">Sens!$L$1882+Sens!$L$1883*Sens!$L$1885-Sens!$L$1884</f>
        <v>3.80720121914133</v>
      </c>
      <c r="M1886" s="38" t="n">
        <f aca="false">Sens!$M$1882+Sens!$M$1883*Sens!$M$1885-Sens!$M$1884</f>
        <v>4.60581082216744</v>
      </c>
      <c r="N1886" s="38" t="n">
        <f aca="false">Q!$N$23</f>
        <v>2.511</v>
      </c>
      <c r="O1886" s="38" t="n">
        <f aca="false">Q!$O$23</f>
        <v>2.239</v>
      </c>
    </row>
    <row r="1887" customFormat="false" ht="17.15" hidden="false" customHeight="false" outlineLevel="0" collapsed="false">
      <c r="A1887" s="0" t="s">
        <v>731</v>
      </c>
      <c r="B1887" s="0" t="s">
        <v>86</v>
      </c>
      <c r="C1887" s="38" t="n">
        <f aca="false">Sens!$C$1827</f>
        <v>1.61486478179846</v>
      </c>
      <c r="D1887" s="38" t="n">
        <f aca="false">Sens!$D$1827</f>
        <v>5.14185497799091</v>
      </c>
      <c r="E1887" s="38" t="n">
        <f aca="false">Sens!$E$1827</f>
        <v>2.56360443960569</v>
      </c>
      <c r="F1887" s="38" t="n">
        <f aca="false">Sens!$F$1827</f>
        <v>7.65817886455301</v>
      </c>
      <c r="G1887" s="38" t="n">
        <f aca="false">Sens!$G$1827</f>
        <v>10.2217833041587</v>
      </c>
      <c r="H1887" s="38" t="n">
        <f aca="false">Sens!$H$1827</f>
        <v>22.3057923930902</v>
      </c>
      <c r="I1887" s="38" t="n">
        <f aca="false">Sens!$I$1827</f>
        <v>29.0967602802515</v>
      </c>
      <c r="J1887" s="38" t="n">
        <f aca="false">Sens!$J$1827</f>
        <v>34.4222637595191</v>
      </c>
      <c r="K1887" s="38" t="n">
        <f aca="false">Sens!$K$1827</f>
        <v>35.1742373991252</v>
      </c>
      <c r="L1887" s="38" t="n">
        <f aca="false">Sens!$L$1827</f>
        <v>32.9371027011639</v>
      </c>
      <c r="M1887" s="38" t="n">
        <f aca="false">Sens!$M$1827</f>
        <v>29.2112894044126</v>
      </c>
      <c r="N1887" s="38" t="n">
        <f aca="false">Sens!$N$1827</f>
        <v>1.55451812050155</v>
      </c>
      <c r="O1887" s="38" t="n">
        <f aca="false">Sens!$O$1827</f>
        <v>3.58733685748937</v>
      </c>
    </row>
    <row r="1888" customFormat="false" ht="17.15" hidden="false" customHeight="false" outlineLevel="0" collapsed="false">
      <c r="A1888" s="0" t="s">
        <v>649</v>
      </c>
      <c r="B1888" s="0" t="s">
        <v>86</v>
      </c>
      <c r="C1888" s="38" t="n">
        <f aca="false">Sens!$C$1832</f>
        <v>38.2191352182015</v>
      </c>
      <c r="D1888" s="38" t="n">
        <f aca="false">Sens!$D$1832</f>
        <v>40.4641450220091</v>
      </c>
      <c r="E1888" s="38" t="n">
        <f aca="false">Sens!$E$1832</f>
        <v>28.2183955603943</v>
      </c>
      <c r="F1888" s="38" t="n">
        <f aca="false">Sens!$F$1832</f>
        <v>25.9465660064528</v>
      </c>
      <c r="G1888" s="38" t="n">
        <f aca="false">Sens!$G$1832</f>
        <v>54.1649615668471</v>
      </c>
      <c r="H1888" s="38" t="n">
        <f aca="false">Sens!$H$1832</f>
        <v>58.2120799642602</v>
      </c>
      <c r="I1888" s="38" t="n">
        <f aca="false">Sens!$I$1832</f>
        <v>64.6301605098429</v>
      </c>
      <c r="J1888" s="38" t="n">
        <f aca="false">Sens!$J$1832</f>
        <v>70.7782148484074</v>
      </c>
      <c r="K1888" s="38" t="n">
        <f aca="false">Sens!$K$1832</f>
        <v>76.44047203628</v>
      </c>
      <c r="L1888" s="38" t="n">
        <f aca="false">Sens!$L$1832</f>
        <v>82.5557097991825</v>
      </c>
      <c r="M1888" s="38" t="n">
        <f aca="false">Sens!$M$1832</f>
        <v>89.1601665831171</v>
      </c>
      <c r="N1888" s="38" t="n">
        <f aca="false">Sens!$N$1832</f>
        <v>20.1524818794985</v>
      </c>
      <c r="O1888" s="38" t="n">
        <f aca="false">Sens!$O$1832</f>
        <v>20.3116631425106</v>
      </c>
    </row>
    <row r="1889" customFormat="false" ht="17.15" hidden="false" customHeight="false" outlineLevel="0" collapsed="false">
      <c r="A1889" s="1" t="s">
        <v>732</v>
      </c>
      <c r="B1889" s="8" t="s">
        <v>86</v>
      </c>
      <c r="C1889" s="38" t="n">
        <f aca="false">Q!$D$24</f>
        <v>39.834</v>
      </c>
      <c r="D1889" s="38" t="n">
        <f aca="false">Q!$E$24</f>
        <v>45.606</v>
      </c>
      <c r="E1889" s="38" t="n">
        <f aca="false">Q!$P$24</f>
        <v>30.782</v>
      </c>
      <c r="F1889" s="38" t="n">
        <f aca="false">Sens!$F$1887+Sens!$F$1888</f>
        <v>33.6047448710058</v>
      </c>
      <c r="G1889" s="38" t="n">
        <f aca="false">Sens!$G$1887+Sens!$G$1888</f>
        <v>64.3867448710058</v>
      </c>
      <c r="H1889" s="38" t="n">
        <f aca="false">Sens!$H$1887+Sens!$H$1888</f>
        <v>80.5178723573504</v>
      </c>
      <c r="I1889" s="38" t="n">
        <f aca="false">Sens!$I$1887+Sens!$I$1888</f>
        <v>93.7269207900945</v>
      </c>
      <c r="J1889" s="38" t="n">
        <f aca="false">Sens!$J$1887+Sens!$J$1888</f>
        <v>105.200478607927</v>
      </c>
      <c r="K1889" s="38" t="n">
        <f aca="false">Sens!$K$1887+Sens!$K$1888</f>
        <v>111.614709435405</v>
      </c>
      <c r="L1889" s="38" t="n">
        <f aca="false">Sens!$L$1887+Sens!$L$1888</f>
        <v>115.492812500346</v>
      </c>
      <c r="M1889" s="38" t="n">
        <f aca="false">Sens!$M$1887+Sens!$M$1888</f>
        <v>118.37145598753</v>
      </c>
      <c r="N1889" s="38" t="n">
        <f aca="false">Q!$N$24</f>
        <v>21.707</v>
      </c>
      <c r="O1889" s="38" t="n">
        <f aca="false">Q!$O$24</f>
        <v>23.899</v>
      </c>
    </row>
    <row r="1890" customFormat="false" ht="17.15" hidden="false" customHeight="false" outlineLevel="0" collapsed="false">
      <c r="A1890" s="5" t="s">
        <v>733</v>
      </c>
      <c r="B1890" s="0" t="s">
        <v>86</v>
      </c>
      <c r="C1890" s="38" t="n">
        <f aca="false">Q!$D$26</f>
        <v>0</v>
      </c>
      <c r="D1890" s="38" t="n">
        <f aca="false">Q!$E$26</f>
        <v>0</v>
      </c>
      <c r="E1890" s="38" t="n">
        <f aca="false">Q!$P$26</f>
        <v>0</v>
      </c>
      <c r="F1890" s="39" t="n">
        <v>0</v>
      </c>
      <c r="G1890" s="38" t="n">
        <f aca="false">Sens!$E$1890+Sens!$F$1890</f>
        <v>0</v>
      </c>
      <c r="H1890" s="39" t="n">
        <v>0</v>
      </c>
      <c r="I1890" s="39" t="n">
        <v>0</v>
      </c>
      <c r="J1890" s="39" t="n">
        <v>0</v>
      </c>
      <c r="K1890" s="39" t="n">
        <v>0</v>
      </c>
      <c r="L1890" s="39" t="n">
        <v>0</v>
      </c>
      <c r="M1890" s="39" t="n">
        <v>0</v>
      </c>
      <c r="N1890" s="38" t="n">
        <f aca="false">Q!$N$26</f>
        <v>0</v>
      </c>
      <c r="O1890" s="38" t="n">
        <f aca="false">Q!$O$26</f>
        <v>0</v>
      </c>
    </row>
    <row r="1891" customFormat="false" ht="15" hidden="false" customHeight="false" outlineLevel="0" collapsed="false">
      <c r="A1891" s="3" t="s">
        <v>534</v>
      </c>
      <c r="B1891" s="8" t="s">
        <v>86</v>
      </c>
      <c r="C1891" s="38" t="n">
        <f aca="false">Q!$D$25</f>
        <v>68.593</v>
      </c>
      <c r="D1891" s="38" t="n">
        <f aca="false">Q!$E$25</f>
        <v>79.975</v>
      </c>
      <c r="E1891" s="38" t="n">
        <f aca="false">Q!$P$25</f>
        <v>51.313</v>
      </c>
      <c r="F1891" s="38" t="n">
        <f aca="false">Sens!$F$1881+Sens!$F$1886+Sens!$F$1889+Sens!$F$1890</f>
        <v>56.4832900509632</v>
      </c>
      <c r="G1891" s="38" t="n">
        <f aca="false">Sens!$G$1881+Sens!$G$1886+Sens!$G$1889+Sens!$G$1890</f>
        <v>107.796290050963</v>
      </c>
      <c r="H1891" s="38" t="n">
        <f aca="false">Sens!$H$1881+Sens!$H$1886+Sens!$H$1889+Sens!$H$1890</f>
        <v>127.944641289279</v>
      </c>
      <c r="I1891" s="38" t="n">
        <f aca="false">Sens!$I$1881+Sens!$I$1886+Sens!$I$1889+Sens!$I$1890</f>
        <v>142.884826578217</v>
      </c>
      <c r="J1891" s="38" t="n">
        <f aca="false">Sens!$J$1881+Sens!$J$1886+Sens!$J$1889+Sens!$J$1890</f>
        <v>155.279231511774</v>
      </c>
      <c r="K1891" s="38" t="n">
        <f aca="false">Sens!$K$1881+Sens!$K$1886+Sens!$K$1889+Sens!$K$1890</f>
        <v>161.932910209223</v>
      </c>
      <c r="L1891" s="38" t="n">
        <f aca="false">Sens!$L$1881+Sens!$L$1886+Sens!$L$1889+Sens!$L$1890</f>
        <v>167.484778380965</v>
      </c>
      <c r="M1891" s="38" t="n">
        <f aca="false">Sens!$M$1881+Sens!$M$1886+Sens!$M$1889+Sens!$M$1890</f>
        <v>175.482471796775</v>
      </c>
      <c r="N1891" s="38" t="n">
        <f aca="false">Q!$N$25</f>
        <v>37.576</v>
      </c>
      <c r="O1891" s="38" t="n">
        <f aca="false">Q!$O$25</f>
        <v>42.399</v>
      </c>
    </row>
    <row r="1892" customFormat="false" ht="17.15" hidden="false" customHeight="false" outlineLevel="0" collapsed="false">
      <c r="A1892" s="24" t="s">
        <v>764</v>
      </c>
      <c r="B1892" s="25" t="s">
        <v>86</v>
      </c>
      <c r="C1892" s="41" t="n">
        <f aca="false">Sens!$C$1881+Sens!$C$1886+Sens!$C$1889+Sens!$C$1890-Sens!$C$1891</f>
        <v>0</v>
      </c>
      <c r="D1892" s="41" t="n">
        <f aca="false">Sens!$D$1881+Sens!$D$1886+Sens!$D$1889+Sens!$D$1890-Sens!$D$1891</f>
        <v>0</v>
      </c>
      <c r="E1892" s="41" t="n">
        <f aca="false">Sens!$E$1881+Sens!$E$1886+Sens!$E$1889+Sens!$E$1890-Sens!$E$1891</f>
        <v>0</v>
      </c>
      <c r="F1892" s="41" t="n">
        <f aca="false">Sens!$F$1881+Sens!$F$1886+Sens!$F$1889+Sens!$F$1890-Sens!$F$1891</f>
        <v>0</v>
      </c>
      <c r="G1892" s="41" t="n">
        <f aca="false">Sens!$G$1881+Sens!$G$1886+Sens!$G$1889+Sens!$G$1890-Sens!$G$1891</f>
        <v>0</v>
      </c>
      <c r="H1892" s="41" t="n">
        <f aca="false">Sens!$H$1881+Sens!$H$1886+Sens!$H$1889+Sens!$H$1890-Sens!$H$1891</f>
        <v>0</v>
      </c>
      <c r="I1892" s="41" t="n">
        <f aca="false">Sens!$I$1881+Sens!$I$1886+Sens!$I$1889+Sens!$I$1890-Sens!$I$1891</f>
        <v>0</v>
      </c>
      <c r="J1892" s="41" t="n">
        <f aca="false">Sens!$J$1881+Sens!$J$1886+Sens!$J$1889+Sens!$J$1890-Sens!$J$1891</f>
        <v>0</v>
      </c>
      <c r="K1892" s="41" t="n">
        <f aca="false">Sens!$K$1881+Sens!$K$1886+Sens!$K$1889+Sens!$K$1890-Sens!$K$1891</f>
        <v>0</v>
      </c>
      <c r="L1892" s="41" t="n">
        <f aca="false">Sens!$L$1881+Sens!$L$1886+Sens!$L$1889+Sens!$L$1890-Sens!$L$1891</f>
        <v>0</v>
      </c>
      <c r="M1892" s="41" t="n">
        <f aca="false">Sens!$M$1881+Sens!$M$1886+Sens!$M$1889+Sens!$M$1890-Sens!$M$1891</f>
        <v>0</v>
      </c>
      <c r="N1892" s="41" t="n">
        <f aca="false">Sens!$N$1881+Sens!$N$1886+Sens!$N$1889+Sens!$N$1890-Sens!$N$1891</f>
        <v>0</v>
      </c>
      <c r="O1892" s="41" t="n">
        <f aca="false">Sens!$O$1881+Sens!$O$1886+Sens!$O$1889+Sens!$O$1890-Sens!$O$1891</f>
        <v>0</v>
      </c>
    </row>
    <row r="1893" customFormat="false" ht="17.15" hidden="false" customHeight="false" outlineLevel="0" collapsed="false">
      <c r="A1893" s="5" t="s">
        <v>735</v>
      </c>
      <c r="B1893" s="0" t="s">
        <v>86</v>
      </c>
      <c r="C1893" s="38" t="n">
        <f aca="false">Sens!$C$1829</f>
        <v>0</v>
      </c>
      <c r="D1893" s="38" t="n">
        <f aca="false">Sens!$D$1829</f>
        <v>0</v>
      </c>
      <c r="E1893" s="38" t="n">
        <f aca="false">Sens!$E$1829</f>
        <v>0</v>
      </c>
      <c r="F1893" s="38" t="n">
        <f aca="false">Sens!$F$1829</f>
        <v>3.77122048175818</v>
      </c>
      <c r="G1893" s="38" t="n">
        <f aca="false">Sens!$G$1829</f>
        <v>3.77122048175818</v>
      </c>
      <c r="H1893" s="38" t="n">
        <f aca="false">Sens!$H$1829</f>
        <v>15.1635543609893</v>
      </c>
      <c r="I1893" s="38" t="n">
        <f aca="false">Sens!$I$1829</f>
        <v>25.5818843619889</v>
      </c>
      <c r="J1893" s="38" t="n">
        <f aca="false">Sens!$J$1829</f>
        <v>36.0465624179122</v>
      </c>
      <c r="K1893" s="38" t="n">
        <f aca="false">Sens!$K$1829</f>
        <v>44.9741164026038</v>
      </c>
      <c r="L1893" s="38" t="n">
        <f aca="false">Sens!$L$1829</f>
        <v>50.8413488057813</v>
      </c>
      <c r="M1893" s="38" t="n">
        <f aca="false">Sens!$M$1829</f>
        <v>53.6407214274315</v>
      </c>
      <c r="N1893" s="38" t="n">
        <f aca="false">Sens!$N$1829</f>
        <v>0</v>
      </c>
      <c r="O1893" s="38" t="n">
        <f aca="false">Sens!$O$1829</f>
        <v>0</v>
      </c>
      <c r="P1893" s="5" t="s">
        <v>736</v>
      </c>
    </row>
    <row r="1894" customFormat="false" ht="17.15" hidden="false" customHeight="false" outlineLevel="0" collapsed="false">
      <c r="A1894" s="5" t="s">
        <v>737</v>
      </c>
      <c r="B1894" s="0" t="s">
        <v>86</v>
      </c>
      <c r="C1894" s="38" t="n">
        <f aca="false">Sens!$C$1891+Sens!$C$1893</f>
        <v>68.593</v>
      </c>
      <c r="D1894" s="38" t="n">
        <f aca="false">Sens!$D$1891+Sens!$D$1893</f>
        <v>79.975</v>
      </c>
      <c r="E1894" s="38" t="n">
        <f aca="false">Sens!$E$1891+Sens!$E$1893</f>
        <v>51.313</v>
      </c>
      <c r="F1894" s="38" t="n">
        <f aca="false">Sens!$F$1891+Sens!$F$1893</f>
        <v>60.2545105327214</v>
      </c>
      <c r="G1894" s="38" t="n">
        <f aca="false">Sens!$G$1891+Sens!$G$1893</f>
        <v>111.567510532721</v>
      </c>
      <c r="H1894" s="38" t="n">
        <f aca="false">Sens!$H$1891+Sens!$H$1893</f>
        <v>143.108195650268</v>
      </c>
      <c r="I1894" s="38" t="n">
        <f aca="false">Sens!$I$1891+Sens!$I$1893</f>
        <v>168.466710940206</v>
      </c>
      <c r="J1894" s="38" t="n">
        <f aca="false">Sens!$J$1891+Sens!$J$1893</f>
        <v>191.325793929686</v>
      </c>
      <c r="K1894" s="38" t="n">
        <f aca="false">Sens!$K$1891+Sens!$K$1893</f>
        <v>206.907026611826</v>
      </c>
      <c r="L1894" s="38" t="n">
        <f aca="false">Sens!$L$1891+Sens!$L$1893</f>
        <v>218.326127186746</v>
      </c>
      <c r="M1894" s="38" t="n">
        <f aca="false">Sens!$M$1891+Sens!$M$1893</f>
        <v>229.123193224206</v>
      </c>
      <c r="N1894" s="38" t="n">
        <f aca="false">Sens!$N$1891+Sens!$N$1893</f>
        <v>37.576</v>
      </c>
      <c r="O1894" s="38" t="n">
        <f aca="false">Sens!$O$1891+Sens!$O$1893</f>
        <v>42.399</v>
      </c>
    </row>
    <row r="1895" customFormat="false" ht="17.15" hidden="false" customHeight="false" outlineLevel="0" collapsed="false">
      <c r="A1895" s="0" t="s">
        <v>738</v>
      </c>
      <c r="B1895" s="0" t="s">
        <v>52</v>
      </c>
      <c r="C1895" s="13" t="n">
        <f aca="false">Sens!$C$1881/Sens!$C$1866</f>
        <v>0.0644314665661928</v>
      </c>
      <c r="D1895" s="13" t="n">
        <f aca="false">Sens!$D$1881/Sens!$D$1866</f>
        <v>0.0694784250712518</v>
      </c>
      <c r="E1895" s="13" t="n">
        <f aca="false">Sens!$E$1881/Sens!$E$1866</f>
        <v>0.0789306463326071</v>
      </c>
      <c r="F1895" s="13" t="n">
        <f aca="false">Sens!$F$1881/Sens!$F$1866</f>
        <v>0.0802175483269445</v>
      </c>
      <c r="G1895" s="13" t="n">
        <f aca="false">Sens!$G$1881/Sens!$G$1866</f>
        <v>0.079615521862355</v>
      </c>
      <c r="H1895" s="13" t="n">
        <f aca="false">Sens!$H$1881/Sens!$H$1866</f>
        <v>0.0792961296828429</v>
      </c>
      <c r="I1895" s="13" t="n">
        <f aca="false">Sens!$I$1881/Sens!$I$1866</f>
        <v>0.0764288399430442</v>
      </c>
      <c r="J1895" s="13" t="n">
        <f aca="false">Sens!$J$1881/Sens!$J$1866</f>
        <v>0.0735062650335191</v>
      </c>
      <c r="K1895" s="13" t="n">
        <f aca="false">Sens!$K$1881/Sens!$K$1866</f>
        <v>0.0708030510037188</v>
      </c>
      <c r="L1895" s="13" t="n">
        <f aca="false">Sens!$L$1881/Sens!$L$1866</f>
        <v>0.0690516340694101</v>
      </c>
      <c r="M1895" s="13" t="n">
        <f aca="false">Sens!$M$1881/Sens!$M$1866</f>
        <v>0.0706285343243339</v>
      </c>
      <c r="N1895" s="13" t="n">
        <f aca="false">Sens!$N$1881/Sens!$N$1866</f>
        <v>0.069228576611127</v>
      </c>
      <c r="O1895" s="13" t="n">
        <f aca="false">Sens!$O$1881/Sens!$O$1866</f>
        <v>0.069685022498393</v>
      </c>
    </row>
    <row r="1896" customFormat="false" ht="17.15" hidden="false" customHeight="false" outlineLevel="0" collapsed="false">
      <c r="A1896" s="0" t="s">
        <v>739</v>
      </c>
      <c r="B1896" s="0" t="s">
        <v>52</v>
      </c>
      <c r="C1896" s="13" t="n">
        <f aca="false">Sens!$C$1886/Sens!$C$1867</f>
        <v>0.026534925055631</v>
      </c>
      <c r="D1896" s="13" t="n">
        <f aca="false">Sens!$D$1886/Sens!$D$1867</f>
        <v>0.0293401855535103</v>
      </c>
      <c r="E1896" s="13" t="n">
        <f aca="false">Sens!$E$1886/Sens!$E$1867</f>
        <v>0.03831141902276</v>
      </c>
      <c r="F1896" s="13" t="n">
        <f aca="false">Sens!$F$1886/Sens!$F$1867</f>
        <v>0.0281768133355787</v>
      </c>
      <c r="G1896" s="13" t="n">
        <f aca="false">Sens!$G$1886/Sens!$G$1867</f>
        <v>0.0327828070244178</v>
      </c>
      <c r="H1896" s="13" t="n">
        <f aca="false">Sens!$H$1886/Sens!$H$1867</f>
        <v>0.0304581723398836</v>
      </c>
      <c r="I1896" s="13" t="n">
        <f aca="false">Sens!$I$1886/Sens!$I$1867</f>
        <v>0.0255624619054764</v>
      </c>
      <c r="J1896" s="13" t="n">
        <f aca="false">Sens!$J$1886/Sens!$J$1867</f>
        <v>0.0205484862893194</v>
      </c>
      <c r="K1896" s="13" t="n">
        <f aca="false">Sens!$K$1886/Sens!$K$1867</f>
        <v>0.0156492288010368</v>
      </c>
      <c r="L1896" s="13" t="n">
        <f aca="false">Sens!$L$1886/Sens!$L$1867</f>
        <v>0.0142439567816847</v>
      </c>
      <c r="M1896" s="13" t="n">
        <f aca="false">Sens!$M$1886/Sens!$M$1867</f>
        <v>0.016175008951845</v>
      </c>
      <c r="N1896" s="13" t="n">
        <f aca="false">Sens!$N$1886/Sens!$N$1867</f>
        <v>0.0357315650169337</v>
      </c>
      <c r="O1896" s="13" t="n">
        <f aca="false">Sens!$O$1886/Sens!$O$1867</f>
        <v>0.0244378956559703</v>
      </c>
    </row>
    <row r="1897" customFormat="false" ht="17.15" hidden="false" customHeight="false" outlineLevel="0" collapsed="false">
      <c r="A1897" s="14" t="s">
        <v>740</v>
      </c>
      <c r="B1897" s="14" t="s">
        <v>52</v>
      </c>
      <c r="C1897" s="17" t="n">
        <f aca="false">Sens!$C$1889/Sens!$C$1868</f>
        <v>0.370355907620217</v>
      </c>
      <c r="D1897" s="17" t="n">
        <f aca="false">Sens!$D$1889/Sens!$D$1868</f>
        <v>0.35429015342785</v>
      </c>
      <c r="E1897" s="17" t="n">
        <f aca="false">Sens!$E$1889/Sens!$E$1868</f>
        <v>0.385647527531039</v>
      </c>
      <c r="F1897" s="17" t="n">
        <f aca="false">Sens!$F$1889/Sens!$F$1868</f>
        <v>0.38745169832164</v>
      </c>
      <c r="G1897" s="17" t="n">
        <f aca="false">Sens!$G$1889/Sens!$G$1868</f>
        <v>0.386587059417189</v>
      </c>
      <c r="H1897" s="17" t="n">
        <f aca="false">Sens!$H$1889/Sens!$H$1868</f>
        <v>0.364032878063234</v>
      </c>
      <c r="I1897" s="17" t="n">
        <f aca="false">Sens!$I$1889/Sens!$I$1868</f>
        <v>0.334412402940018</v>
      </c>
      <c r="J1897" s="17" t="n">
        <f aca="false">Sens!$J$1889/Sens!$J$1868</f>
        <v>0.310508220532557</v>
      </c>
      <c r="K1897" s="17" t="n">
        <f aca="false">Sens!$K$1889/Sens!$K$1868</f>
        <v>0.286275462305466</v>
      </c>
      <c r="L1897" s="17" t="n">
        <f aca="false">Sens!$L$1889/Sens!$L$1868</f>
        <v>0.268537545052464</v>
      </c>
      <c r="M1897" s="17" t="n">
        <f aca="false">Sens!$M$1889/Sens!$M$1868</f>
        <v>0.257633799968623</v>
      </c>
      <c r="N1897" s="17" t="n">
        <f aca="false">Sens!$N$1889/Sens!$N$1868</f>
        <v>0.360941137346192</v>
      </c>
      <c r="O1897" s="17" t="n">
        <f aca="false">Sens!$O$1889/Sens!$O$1868</f>
        <v>0.348458117664212</v>
      </c>
    </row>
    <row r="1898" customFormat="false" ht="17.15" hidden="false" customHeight="false" outlineLevel="0" collapsed="false">
      <c r="A1898" s="0" t="s">
        <v>741</v>
      </c>
      <c r="B1898" s="0" t="s">
        <v>52</v>
      </c>
      <c r="C1898" s="13" t="n">
        <f aca="false">Sens!$C$1887/Sens!$C$1869</f>
        <v>0.695760902466888</v>
      </c>
      <c r="D1898" s="13" t="n">
        <f aca="false">Sens!$D$1887/Sens!$D$1869</f>
        <v>0.590761810757774</v>
      </c>
      <c r="E1898" s="13" t="n">
        <f aca="false">Sens!$E$1887/Sens!$E$1869</f>
        <v>0.301233620622413</v>
      </c>
      <c r="F1898" s="13" t="n">
        <f aca="false">Sens!$F$1887/Sens!$F$1869</f>
        <v>0.511792884332738</v>
      </c>
      <c r="G1898" s="13" t="n">
        <f aca="false">Sens!$G$1887/Sens!$G$1869</f>
        <v>0.435455236494444</v>
      </c>
      <c r="H1898" s="13" t="n">
        <f aca="false">Sens!$H$1887/Sens!$H$1869</f>
        <v>0.370738172660956</v>
      </c>
      <c r="I1898" s="13" t="n">
        <f aca="false">Sens!$I$1887/Sens!$I$1869</f>
        <v>0.286657141836204</v>
      </c>
      <c r="J1898" s="13" t="n">
        <f aca="false">Sens!$J$1887/Sens!$J$1869</f>
        <v>0.240672370351029</v>
      </c>
      <c r="K1898" s="13" t="n">
        <f aca="false">Sens!$K$1887/Sens!$K$1869</f>
        <v>0.197111840256966</v>
      </c>
      <c r="L1898" s="13" t="n">
        <f aca="false">Sens!$L$1887/Sens!$L$1869</f>
        <v>0.163274736672174</v>
      </c>
      <c r="M1898" s="13" t="n">
        <f aca="false">Sens!$M$1887/Sens!$M$1869</f>
        <v>0.137248238435001</v>
      </c>
      <c r="N1898" s="13" t="n">
        <f aca="false">Sens!$N$1887/Sens!$N$1869</f>
        <v>0.510293849567715</v>
      </c>
      <c r="O1898" s="13" t="n">
        <f aca="false">Sens!$O$1887/Sens!$O$1869</f>
        <v>0.634090712937037</v>
      </c>
    </row>
    <row r="1899" customFormat="false" ht="15" hidden="false" customHeight="false" outlineLevel="0" collapsed="false">
      <c r="A1899" s="5" t="s">
        <v>742</v>
      </c>
      <c r="B1899" s="0" t="s">
        <v>52</v>
      </c>
      <c r="C1899" s="13" t="n">
        <f aca="false">Sens!$C$1891/Sens!$C$1871</f>
        <v>0.107519448742004</v>
      </c>
      <c r="D1899" s="13" t="n">
        <f aca="false">Sens!$D$1891/Sens!$D$1871</f>
        <v>0.111552967957552</v>
      </c>
      <c r="E1899" s="13" t="n">
        <f aca="false">Sens!$E$1891/Sens!$E$1871</f>
        <v>0.13428328426562</v>
      </c>
      <c r="F1899" s="13" t="n">
        <f aca="false">Sens!$F$1891/Sens!$F$1871</f>
        <v>0.129613942049697</v>
      </c>
      <c r="G1899" s="13" t="n">
        <f aca="false">Sens!$G$1891/Sens!$G$1871</f>
        <v>0.131795454899111</v>
      </c>
      <c r="H1899" s="13" t="n">
        <f aca="false">Sens!$H$1891/Sens!$H$1871</f>
        <v>0.135781997557553</v>
      </c>
      <c r="I1899" s="13" t="n">
        <f aca="false">Sens!$I$1891/Sens!$I$1871</f>
        <v>0.133686794158119</v>
      </c>
      <c r="J1899" s="13" t="n">
        <f aca="false">Sens!$J$1891/Sens!$J$1871</f>
        <v>0.130496689843882</v>
      </c>
      <c r="K1899" s="13" t="n">
        <f aca="false">Sens!$K$1891/Sens!$K$1871</f>
        <v>0.124942240884544</v>
      </c>
      <c r="L1899" s="13" t="n">
        <f aca="false">Sens!$L$1891/Sens!$L$1871</f>
        <v>0.120045817143776</v>
      </c>
      <c r="M1899" s="13" t="n">
        <f aca="false">Sens!$M$1891/Sens!$M$1871</f>
        <v>0.117963150692011</v>
      </c>
      <c r="N1899" s="13" t="n">
        <f aca="false">Sens!$N$1891/Sens!$N$1871</f>
        <v>0.116201614873411</v>
      </c>
      <c r="O1899" s="13" t="n">
        <f aca="false">Sens!$O$1891/Sens!$O$1871</f>
        <v>0.107733353660861</v>
      </c>
    </row>
    <row r="1900" customFormat="false" ht="17.15" hidden="false" customHeight="false" outlineLevel="0" collapsed="false">
      <c r="A1900" s="1" t="s">
        <v>743</v>
      </c>
    </row>
    <row r="1901" customFormat="false" ht="17.15" hidden="false" customHeight="false" outlineLevel="0" collapsed="false">
      <c r="A1901" s="5" t="s">
        <v>744</v>
      </c>
      <c r="B1901" s="0" t="s">
        <v>52</v>
      </c>
      <c r="D1901" s="28" t="n">
        <f aca="false">(Q!$E$29+Q!$E$30-(1-ext_sh)*Sens!$D$1823)/Sens!$D$1777</f>
        <v>0.0340045599029261</v>
      </c>
    </row>
    <row r="1902" customFormat="false" ht="17.15" hidden="false" customHeight="false" outlineLevel="0" collapsed="false">
      <c r="A1902" s="0" t="s">
        <v>538</v>
      </c>
      <c r="B1902" s="0" t="s">
        <v>86</v>
      </c>
      <c r="C1902" s="38" t="n">
        <f aca="false">Q!$D$29</f>
        <v>14.285</v>
      </c>
      <c r="D1902" s="38" t="n">
        <f aca="false">Q!$E$29</f>
        <v>15.503</v>
      </c>
      <c r="E1902" s="38" t="n">
        <f aca="false">Q!$P$29</f>
        <v>8.78</v>
      </c>
      <c r="F1902" s="38" t="n">
        <f aca="false">(Sens!$D$1901*Sens!$F$1777+(1-ext_sh)*Sens!$F$1823)*Sens!$F$1778</f>
        <v>9.25206975360905</v>
      </c>
      <c r="G1902" s="38" t="n">
        <f aca="false">Sens!$E$1902+Sens!$F$1902</f>
        <v>18.0320697536091</v>
      </c>
      <c r="H1902" s="38" t="n">
        <f aca="false">(Sens!$D$1901*Sens!$H$1777+(1-ext_sh)*Sens!$H$1823)*Sens!$H$1778</f>
        <v>22.2867887907737</v>
      </c>
      <c r="I1902" s="38" t="n">
        <f aca="false">(Sens!$D$1901*Sens!$I$1777+(1-ext_sh)*Sens!$I$1823)*Sens!$I$1778</f>
        <v>28.6889871365834</v>
      </c>
      <c r="J1902" s="38" t="n">
        <f aca="false">(Sens!$D$1901*Sens!$J$1777+(1-ext_sh)*Sens!$J$1823)*Sens!$J$1778</f>
        <v>35.2672208089649</v>
      </c>
      <c r="K1902" s="38" t="n">
        <f aca="false">(Sens!$D$1901*Sens!$K$1777+(1-ext_sh)*Sens!$K$1823)*Sens!$K$1778</f>
        <v>41.6053393543093</v>
      </c>
      <c r="L1902" s="38" t="n">
        <f aca="false">(Sens!$D$1901*Sens!$L$1777+(1-ext_sh)*Sens!$L$1823)*Sens!$L$1778</f>
        <v>46.8232281243212</v>
      </c>
      <c r="M1902" s="38" t="n">
        <f aca="false">(Sens!$D$1901*Sens!$M$1777+(1-ext_sh)*Sens!$M$1823)*Sens!$M$1778</f>
        <v>50.6518305549627</v>
      </c>
      <c r="N1902" s="38" t="n">
        <f aca="false">Q!$N$29</f>
        <v>7.272</v>
      </c>
      <c r="O1902" s="38" t="n">
        <f aca="false">Q!$O$29</f>
        <v>8.231</v>
      </c>
    </row>
    <row r="1903" customFormat="false" ht="17.15" hidden="false" customHeight="false" outlineLevel="0" collapsed="false">
      <c r="A1903" s="0" t="s">
        <v>540</v>
      </c>
      <c r="B1903" s="0" t="s">
        <v>86</v>
      </c>
      <c r="C1903" s="38" t="n">
        <f aca="false">Q!$D$30</f>
        <v>4.462</v>
      </c>
      <c r="D1903" s="38" t="n">
        <f aca="false">Q!$E$30</f>
        <v>4.907</v>
      </c>
      <c r="E1903" s="38" t="n">
        <f aca="false">Q!$P$30</f>
        <v>2.57</v>
      </c>
      <c r="F1903" s="38" t="n">
        <f aca="false">(Sens!$D$1901*Sens!$F$1777+(1-ext_sh)*Sens!$F$1823)*(1-Sens!$F$1778)</f>
        <v>3.63263180126703</v>
      </c>
      <c r="G1903" s="38" t="n">
        <f aca="false">Sens!$E$1903+Sens!$F$1903</f>
        <v>6.20263180126703</v>
      </c>
      <c r="H1903" s="38" t="n">
        <f aca="false">(Sens!$D$1901*Sens!$H$1777+(1-ext_sh)*Sens!$H$1823)*(1-Sens!$H$1778)</f>
        <v>8.53663866300875</v>
      </c>
      <c r="I1903" s="38" t="n">
        <f aca="false">(Sens!$D$1901*Sens!$I$1777+(1-ext_sh)*Sens!$I$1823)*(1-Sens!$I$1778)</f>
        <v>10.9889100261095</v>
      </c>
      <c r="J1903" s="38" t="n">
        <f aca="false">(Sens!$D$1901*Sens!$J$1777+(1-ext_sh)*Sens!$J$1823)*(1-Sens!$J$1778)</f>
        <v>13.508609226795</v>
      </c>
      <c r="K1903" s="38" t="n">
        <f aca="false">(Sens!$D$1901*Sens!$K$1777+(1-ext_sh)*Sens!$K$1823)*(1-Sens!$K$1778)</f>
        <v>15.9363357302794</v>
      </c>
      <c r="L1903" s="38" t="n">
        <f aca="false">(Sens!$D$1901*Sens!$L$1777+(1-ext_sh)*Sens!$L$1823)*(1-Sens!$L$1778)</f>
        <v>17.9349740909481</v>
      </c>
      <c r="M1903" s="38" t="n">
        <f aca="false">(Sens!$D$1901*Sens!$M$1777+(1-ext_sh)*Sens!$M$1823)*(1-Sens!$M$1778)</f>
        <v>19.4014660042305</v>
      </c>
      <c r="N1903" s="38" t="n">
        <f aca="false">Q!$N$30</f>
        <v>2.316</v>
      </c>
      <c r="O1903" s="38" t="n">
        <f aca="false">Q!$O$30</f>
        <v>2.591</v>
      </c>
    </row>
    <row r="1904" customFormat="false" ht="17.15" hidden="false" customHeight="false" outlineLevel="0" collapsed="false">
      <c r="A1904" s="0" t="s">
        <v>541</v>
      </c>
      <c r="B1904" s="0" t="s">
        <v>86</v>
      </c>
      <c r="C1904" s="38" t="n">
        <f aca="false">Sens!$C$1835</f>
        <v>13.32</v>
      </c>
      <c r="D1904" s="38" t="n">
        <f aca="false">Sens!$D$1835</f>
        <v>21.45</v>
      </c>
      <c r="E1904" s="38" t="n">
        <f aca="false">Sens!$E$1835</f>
        <v>15.353</v>
      </c>
      <c r="F1904" s="38" t="n">
        <f aca="false">Sens!$F$1835</f>
        <v>15.9111621420893</v>
      </c>
      <c r="G1904" s="38" t="n">
        <f aca="false">Sens!$G$1835</f>
        <v>31.2641621420893</v>
      </c>
      <c r="H1904" s="38" t="n">
        <f aca="false">Sens!$H$1835</f>
        <v>51.7956853909387</v>
      </c>
      <c r="I1904" s="38" t="n">
        <f aca="false">Sens!$I$1835</f>
        <v>80.9725244527873</v>
      </c>
      <c r="J1904" s="38" t="n">
        <f aca="false">Sens!$J$1835</f>
        <v>111.660063308985</v>
      </c>
      <c r="K1904" s="38" t="n">
        <f aca="false">Sens!$K$1835</f>
        <v>141.819025145355</v>
      </c>
      <c r="L1904" s="38" t="n">
        <f aca="false">Sens!$L$1835</f>
        <v>165.464102593372</v>
      </c>
      <c r="M1904" s="38" t="n">
        <f aca="false">Sens!$M$1835</f>
        <v>181.084001604795</v>
      </c>
      <c r="N1904" s="38" t="n">
        <f aca="false">Sens!$N$1835</f>
        <v>9.234</v>
      </c>
      <c r="O1904" s="38" t="n">
        <f aca="false">Sens!$O$1835</f>
        <v>12.216</v>
      </c>
    </row>
    <row r="1905" customFormat="false" ht="17.15" hidden="false" customHeight="false" outlineLevel="0" collapsed="false">
      <c r="A1905" s="5" t="s">
        <v>745</v>
      </c>
      <c r="B1905" s="0" t="s">
        <v>86</v>
      </c>
      <c r="C1905" s="38" t="n">
        <f aca="false">Sens!$C$1902+Sens!$C$1903+Sens!$C$1904</f>
        <v>32.067</v>
      </c>
      <c r="D1905" s="38" t="n">
        <f aca="false">Sens!$D$1902+Sens!$D$1903+Sens!$D$1904</f>
        <v>41.86</v>
      </c>
      <c r="E1905" s="38" t="n">
        <f aca="false">Sens!$E$1902+Sens!$E$1903+Sens!$E$1904</f>
        <v>26.703</v>
      </c>
      <c r="F1905" s="38" t="n">
        <f aca="false">Sens!$F$1902+Sens!$F$1903+Sens!$F$1904</f>
        <v>28.7958636969654</v>
      </c>
      <c r="G1905" s="38" t="n">
        <f aca="false">Sens!$G$1902+Sens!$G$1903+Sens!$G$1904</f>
        <v>55.4988636969654</v>
      </c>
      <c r="H1905" s="38" t="n">
        <f aca="false">Sens!$H$1902+Sens!$H$1903+Sens!$H$1904</f>
        <v>82.6191128447211</v>
      </c>
      <c r="I1905" s="38" t="n">
        <f aca="false">Sens!$I$1902+Sens!$I$1903+Sens!$I$1904</f>
        <v>120.65042161548</v>
      </c>
      <c r="J1905" s="38" t="n">
        <f aca="false">Sens!$J$1902+Sens!$J$1903+Sens!$J$1904</f>
        <v>160.435893344745</v>
      </c>
      <c r="K1905" s="38" t="n">
        <f aca="false">Sens!$K$1902+Sens!$K$1903+Sens!$K$1904</f>
        <v>199.360700229943</v>
      </c>
      <c r="L1905" s="38" t="n">
        <f aca="false">Sens!$L$1902+Sens!$L$1903+Sens!$L$1904</f>
        <v>230.222304808641</v>
      </c>
      <c r="M1905" s="38" t="n">
        <f aca="false">Sens!$M$1902+Sens!$M$1903+Sens!$M$1904</f>
        <v>251.137298163989</v>
      </c>
      <c r="N1905" s="38" t="n">
        <f aca="false">Sens!$N$1902+Sens!$N$1903+Sens!$N$1904</f>
        <v>18.822</v>
      </c>
      <c r="O1905" s="38" t="n">
        <f aca="false">Sens!$O$1902+Sens!$O$1903+Sens!$O$1904</f>
        <v>23.038</v>
      </c>
    </row>
    <row r="1906" customFormat="false" ht="17.15" hidden="false" customHeight="false" outlineLevel="0" collapsed="false">
      <c r="A1906" s="0" t="s">
        <v>746</v>
      </c>
      <c r="B1906" s="0" t="s">
        <v>86</v>
      </c>
      <c r="C1906" s="38" t="n">
        <f aca="false">Sens!$C$1877+Sens!$C$1882</f>
        <v>28.107</v>
      </c>
      <c r="D1906" s="38" t="n">
        <f aca="false">Sens!$D$1877+Sens!$D$1882</f>
        <v>34.3175</v>
      </c>
      <c r="E1906" s="38" t="n">
        <f aca="false">Sens!$E$1877+Sens!$E$1882</f>
        <v>18.526</v>
      </c>
      <c r="F1906" s="38" t="n">
        <f aca="false">Sens!$F$1877+Sens!$F$1882</f>
        <v>23.0786109972074</v>
      </c>
      <c r="G1906" s="38" t="n">
        <f aca="false">Sens!$G$1877+Sens!$G$1882</f>
        <v>41.6046109972074</v>
      </c>
      <c r="H1906" s="38" t="n">
        <f aca="false">Sens!$H$1877+Sens!$H$1882</f>
        <v>49.9484611939488</v>
      </c>
      <c r="I1906" s="38" t="n">
        <f aca="false">Sens!$I$1877+Sens!$I$1882</f>
        <v>58.2915555477481</v>
      </c>
      <c r="J1906" s="38" t="n">
        <f aca="false">Sens!$J$1877+Sens!$J$1882</f>
        <v>66.0744709709759</v>
      </c>
      <c r="K1906" s="38" t="n">
        <f aca="false">Sens!$K$1877+Sens!$K$1882</f>
        <v>72.6819180680735</v>
      </c>
      <c r="L1906" s="38" t="n">
        <f aca="false">Sens!$L$1877+Sens!$L$1882</f>
        <v>79.9501098748808</v>
      </c>
      <c r="M1906" s="38" t="n">
        <f aca="false">Sens!$M$1877+Sens!$M$1882</f>
        <v>87.9451208623689</v>
      </c>
      <c r="N1906" s="38" t="n">
        <f aca="false">Sens!$N$1877+Sens!$N$1882</f>
        <v>14.8075</v>
      </c>
      <c r="O1906" s="38" t="n">
        <f aca="false">Sens!$O$1877+Sens!$O$1882</f>
        <v>19.51</v>
      </c>
    </row>
    <row r="1907" customFormat="false" ht="17.15" hidden="false" customHeight="false" outlineLevel="0" collapsed="false">
      <c r="A1907" s="0" t="s">
        <v>747</v>
      </c>
      <c r="B1907" s="0" t="s">
        <v>86</v>
      </c>
      <c r="C1907" s="38" t="n">
        <f aca="false">Sens!$C$1881+Sens!$C$1886+Sens!$C$1902+Sens!$C$1903-Sens!$C$1906</f>
        <v>19.399</v>
      </c>
      <c r="D1907" s="38" t="n">
        <f aca="false">Sens!$D$1881+Sens!$D$1886+Sens!$D$1902+Sens!$D$1903-Sens!$D$1906</f>
        <v>20.4615</v>
      </c>
      <c r="E1907" s="38" t="n">
        <f aca="false">Sens!$E$1881+Sens!$E$1886+Sens!$E$1902+Sens!$E$1903-Sens!$E$1906</f>
        <v>13.355</v>
      </c>
      <c r="F1907" s="38" t="n">
        <f aca="false">Sens!$F$1881+Sens!$F$1886+Sens!$F$1902+Sens!$F$1903-Sens!$F$1906</f>
        <v>12.6846357376261</v>
      </c>
      <c r="G1907" s="38" t="n">
        <f aca="false">Sens!$G$1881+Sens!$G$1886+Sens!$G$1902+Sens!$G$1903-Sens!$G$1906</f>
        <v>26.0396357376261</v>
      </c>
      <c r="H1907" s="38" t="n">
        <f aca="false">Sens!$H$1881+Sens!$H$1886+Sens!$H$1902+Sens!$H$1903-Sens!$H$1906</f>
        <v>28.3017351917619</v>
      </c>
      <c r="I1907" s="38" t="n">
        <f aca="false">Sens!$I$1881+Sens!$I$1886+Sens!$I$1902+Sens!$I$1903-Sens!$I$1906</f>
        <v>30.5442474030675</v>
      </c>
      <c r="J1907" s="38" t="n">
        <f aca="false">Sens!$J$1881+Sens!$J$1886+Sens!$J$1902+Sens!$J$1903-Sens!$J$1906</f>
        <v>32.780111968631</v>
      </c>
      <c r="K1907" s="38" t="n">
        <f aca="false">Sens!$K$1881+Sens!$K$1886+Sens!$K$1902+Sens!$K$1903-Sens!$K$1906</f>
        <v>35.1779577903326</v>
      </c>
      <c r="L1907" s="38" t="n">
        <f aca="false">Sens!$L$1881+Sens!$L$1886+Sens!$L$1902+Sens!$L$1903-Sens!$L$1906</f>
        <v>36.800058221007</v>
      </c>
      <c r="M1907" s="38" t="n">
        <f aca="false">Sens!$M$1881+Sens!$M$1886+Sens!$M$1902+Sens!$M$1903-Sens!$M$1906</f>
        <v>39.2191915060693</v>
      </c>
      <c r="N1907" s="38" t="n">
        <f aca="false">Sens!$N$1881+Sens!$N$1886+Sens!$N$1902+Sens!$N$1903-Sens!$N$1906</f>
        <v>10.6495</v>
      </c>
      <c r="O1907" s="38" t="n">
        <f aca="false">Sens!$O$1881+Sens!$O$1886+Sens!$O$1902+Sens!$O$1903-Sens!$O$1906</f>
        <v>9.81200000000001</v>
      </c>
    </row>
    <row r="1908" customFormat="false" ht="17.15" hidden="false" customHeight="false" outlineLevel="0" collapsed="false">
      <c r="A1908" s="0" t="s">
        <v>748</v>
      </c>
      <c r="B1908" s="0" t="s">
        <v>86</v>
      </c>
      <c r="C1908" s="38" t="n">
        <f aca="false">Sens!$C$1888+Sens!$C$1904-ext_sh*Sens!$C$1823</f>
        <v>51.3470500115664</v>
      </c>
      <c r="D1908" s="38" t="n">
        <f aca="false">Sens!$D$1888+Sens!$D$1904-ext_sh*Sens!$D$1823</f>
        <v>60.2799375433739</v>
      </c>
      <c r="E1908" s="38" t="n">
        <f aca="false">Sens!$E$1888+Sens!$E$1904-ext_sh*Sens!$E$1823</f>
        <v>39.5095167090767</v>
      </c>
      <c r="F1908" s="38" t="n">
        <f aca="false">Sens!$F$1888+Sens!$F$1904-ext_sh*Sens!$F$1823</f>
        <v>37.7958492972245</v>
      </c>
      <c r="G1908" s="38" t="n">
        <f aca="false">Sens!$G$1888+Sens!$G$1904-ext_sh*Sens!$G$1823</f>
        <v>77.3053660063012</v>
      </c>
      <c r="H1908" s="38" t="n">
        <f aca="false">Sens!$H$1888+Sens!$H$1904-ext_sh*Sens!$H$1823</f>
        <v>84.7963850422437</v>
      </c>
      <c r="I1908" s="38" t="n">
        <f aca="false">Sens!$I$1888+Sens!$I$1904-ext_sh*Sens!$I$1823</f>
        <v>94.1454759785151</v>
      </c>
      <c r="J1908" s="38" t="n">
        <f aca="false">Sens!$J$1888+Sens!$J$1904-ext_sh*Sens!$J$1823</f>
        <v>103.101225082028</v>
      </c>
      <c r="K1908" s="38" t="n">
        <f aca="false">Sens!$K$1888+Sens!$K$1904-ext_sh*Sens!$K$1823</f>
        <v>111.34932308859</v>
      </c>
      <c r="L1908" s="38" t="n">
        <f aca="false">Sens!$L$1888+Sens!$L$1904-ext_sh*Sens!$L$1823</f>
        <v>120.257268935678</v>
      </c>
      <c r="M1908" s="38" t="n">
        <f aca="false">Sens!$M$1888+Sens!$M$1904-ext_sh*Sens!$M$1823</f>
        <v>129.877850450532</v>
      </c>
      <c r="N1908" s="38" t="n">
        <f aca="false">Sens!$N$1888+Sens!$N$1904-ext_sh*Sens!$N$1823</f>
        <v>28.5693781401809</v>
      </c>
      <c r="O1908" s="38" t="n">
        <f aca="false">Sens!$O$1888+Sens!$O$1904-ext_sh*Sens!$O$1823</f>
        <v>31.7105594031931</v>
      </c>
    </row>
    <row r="1909" customFormat="false" ht="17.15" hidden="false" customHeight="false" outlineLevel="0" collapsed="false">
      <c r="A1909" s="0" t="s">
        <v>749</v>
      </c>
      <c r="B1909" s="0" t="s">
        <v>86</v>
      </c>
      <c r="C1909" s="38" t="n">
        <f aca="false">Sens!$C$1826</f>
        <v>1.80694998843362</v>
      </c>
      <c r="D1909" s="38" t="n">
        <f aca="false">Sens!$D$1826</f>
        <v>6.77606245662607</v>
      </c>
      <c r="E1909" s="38" t="n">
        <f aca="false">Sens!$E$1826</f>
        <v>6.62548329092326</v>
      </c>
      <c r="F1909" s="38" t="n">
        <f aca="false">Sens!$F$1826</f>
        <v>11.7200577158706</v>
      </c>
      <c r="G1909" s="38" t="n">
        <f aca="false">Sens!$G$1826</f>
        <v>18.3455410067939</v>
      </c>
      <c r="H1909" s="38" t="n">
        <f aca="false">Sens!$H$1826</f>
        <v>47.5171727060453</v>
      </c>
      <c r="I1909" s="38" t="n">
        <f aca="false">Sens!$I$1826</f>
        <v>80.5539692643667</v>
      </c>
      <c r="J1909" s="38" t="n">
        <f aca="false">Sens!$J$1826</f>
        <v>113.759316834883</v>
      </c>
      <c r="K1909" s="38" t="n">
        <f aca="false">Sens!$K$1826</f>
        <v>142.084411492169</v>
      </c>
      <c r="L1909" s="38" t="n">
        <f aca="false">Sens!$L$1826</f>
        <v>160.69964615804</v>
      </c>
      <c r="M1909" s="38" t="n">
        <f aca="false">Sens!$M$1826</f>
        <v>169.577607141793</v>
      </c>
      <c r="N1909" s="38" t="n">
        <f aca="false">Sens!$N$1826</f>
        <v>2.37162185981912</v>
      </c>
      <c r="O1909" s="38" t="n">
        <f aca="false">Sens!$O$1826</f>
        <v>4.40444059680694</v>
      </c>
    </row>
    <row r="1910" customFormat="false" ht="17.15" hidden="false" customHeight="false" outlineLevel="0" collapsed="false">
      <c r="A1910" s="0" t="s">
        <v>750</v>
      </c>
      <c r="B1910" s="0" t="s">
        <v>86</v>
      </c>
      <c r="C1910" s="38" t="n">
        <f aca="false">Sens!$C$1891+Sens!$C$1905</f>
        <v>100.66</v>
      </c>
      <c r="D1910" s="38" t="n">
        <f aca="false">Sens!$D$1891+Sens!$D$1905</f>
        <v>121.835</v>
      </c>
      <c r="E1910" s="38" t="n">
        <f aca="false">Sens!$E$1891+Sens!$E$1905</f>
        <v>78.016</v>
      </c>
      <c r="F1910" s="38" t="n">
        <f aca="false">Sens!$F$1891+Sens!$F$1905</f>
        <v>85.2791537479286</v>
      </c>
      <c r="G1910" s="38" t="n">
        <f aca="false">Sens!$G$1891+Sens!$G$1905</f>
        <v>163.295153747929</v>
      </c>
      <c r="H1910" s="38" t="n">
        <f aca="false">Sens!$H$1891+Sens!$H$1905</f>
        <v>210.563754134</v>
      </c>
      <c r="I1910" s="38" t="n">
        <f aca="false">Sens!$I$1891+Sens!$I$1905</f>
        <v>263.535248193697</v>
      </c>
      <c r="J1910" s="38" t="n">
        <f aca="false">Sens!$J$1891+Sens!$J$1905</f>
        <v>315.715124856518</v>
      </c>
      <c r="K1910" s="38" t="n">
        <f aca="false">Sens!$K$1891+Sens!$K$1905</f>
        <v>361.293610439166</v>
      </c>
      <c r="L1910" s="38" t="n">
        <f aca="false">Sens!$L$1891+Sens!$L$1905</f>
        <v>397.707083189606</v>
      </c>
      <c r="M1910" s="38" t="n">
        <f aca="false">Sens!$M$1891+Sens!$M$1905</f>
        <v>426.619769960763</v>
      </c>
      <c r="N1910" s="38" t="n">
        <f aca="false">Sens!$N$1891+Sens!$N$1905</f>
        <v>56.398</v>
      </c>
      <c r="O1910" s="38" t="n">
        <f aca="false">Sens!$O$1891+Sens!$O$1905</f>
        <v>65.437</v>
      </c>
    </row>
    <row r="1911" customFormat="false" ht="17.15" hidden="false" customHeight="false" outlineLevel="0" collapsed="false">
      <c r="A1911" s="1" t="s">
        <v>751</v>
      </c>
    </row>
    <row r="1912" customFormat="false" ht="15" hidden="false" customHeight="false" outlineLevel="0" collapsed="false">
      <c r="A1912" s="5" t="s">
        <v>544</v>
      </c>
      <c r="B1912" s="0" t="s">
        <v>86</v>
      </c>
      <c r="C1912" s="38" t="n">
        <f aca="false">Q!$D$34</f>
        <v>2.406</v>
      </c>
      <c r="D1912" s="38" t="n">
        <f aca="false">Q!$E$34</f>
        <v>2.274</v>
      </c>
      <c r="E1912" s="38" t="n">
        <f aca="false">Q!$P$34</f>
        <v>2.114</v>
      </c>
      <c r="F1912" s="38" t="n">
        <f aca="false">Sens!$F$1950</f>
        <v>3.24888962733561</v>
      </c>
      <c r="G1912" s="38" t="n">
        <f aca="false">Sens!$E$1912+Sens!$F$1912</f>
        <v>5.36288962733561</v>
      </c>
      <c r="H1912" s="38" t="n">
        <f aca="false">Sens!$H$1950</f>
        <v>7.42354172302123</v>
      </c>
      <c r="I1912" s="38" t="n">
        <f aca="false">Sens!$I$1950</f>
        <v>8.36977384822442</v>
      </c>
      <c r="J1912" s="38" t="n">
        <f aca="false">Sens!$J$1950</f>
        <v>9.6889928200121</v>
      </c>
      <c r="K1912" s="38" t="n">
        <f aca="false">Sens!$K$1950</f>
        <v>9.6889928200121</v>
      </c>
      <c r="L1912" s="38" t="n">
        <f aca="false">Sens!$L$1950</f>
        <v>9.6889928200121</v>
      </c>
      <c r="M1912" s="38" t="n">
        <f aca="false">Sens!$M$1950</f>
        <v>9.6889928200121</v>
      </c>
      <c r="N1912" s="38" t="n">
        <f aca="false">Q!$N$34</f>
        <v>1.057</v>
      </c>
      <c r="O1912" s="38" t="n">
        <f aca="false">Q!$O$34</f>
        <v>1.217</v>
      </c>
    </row>
    <row r="1913" customFormat="false" ht="15" hidden="false" customHeight="false" outlineLevel="0" collapsed="false">
      <c r="A1913" s="5" t="s">
        <v>752</v>
      </c>
      <c r="B1913" s="0" t="s">
        <v>86</v>
      </c>
      <c r="F1913" s="38" t="n">
        <f aca="false">Sens!$F$1951</f>
        <v>2.59</v>
      </c>
      <c r="H1913" s="38" t="n">
        <f aca="false">Sens!$H$1951</f>
        <v>3.78723533650551</v>
      </c>
      <c r="I1913" s="38" t="n">
        <f aca="false">Sens!$I$1951</f>
        <v>2.10589651022864</v>
      </c>
      <c r="J1913" s="38" t="n">
        <f aca="false">Sens!$J$1951</f>
        <v>2.10589651022864</v>
      </c>
      <c r="K1913" s="38" t="n">
        <f aca="false">Sens!$K$1951</f>
        <v>2.9579266004346</v>
      </c>
      <c r="L1913" s="38" t="n">
        <f aca="false">Sens!$L$1951</f>
        <v>6.58475930661121</v>
      </c>
      <c r="M1913" s="38" t="n">
        <f aca="false">Sens!$M$1951</f>
        <v>11.6866626792493</v>
      </c>
    </row>
    <row r="1914" customFormat="false" ht="17.15" hidden="false" customHeight="false" outlineLevel="0" collapsed="false">
      <c r="A1914" s="5" t="s">
        <v>753</v>
      </c>
      <c r="B1914" s="0" t="s">
        <v>86</v>
      </c>
      <c r="C1914" s="38" t="n">
        <f aca="false">Q!$D$39</f>
        <v>2.427</v>
      </c>
      <c r="D1914" s="38" t="n">
        <f aca="false">Q!$E$39</f>
        <v>19.61</v>
      </c>
      <c r="E1914" s="38" t="n">
        <f aca="false">Q!$P$39</f>
        <v>71.492</v>
      </c>
      <c r="F1914" s="39" t="n">
        <v>0</v>
      </c>
      <c r="G1914" s="38" t="n">
        <f aca="false">Sens!$E$1914+Sens!$F$1914</f>
        <v>71.492</v>
      </c>
      <c r="H1914" s="39" t="n">
        <v>0</v>
      </c>
      <c r="I1914" s="39" t="n">
        <v>0</v>
      </c>
      <c r="J1914" s="39" t="n">
        <v>0</v>
      </c>
      <c r="K1914" s="39" t="n">
        <v>0</v>
      </c>
      <c r="L1914" s="39" t="n">
        <v>0</v>
      </c>
      <c r="M1914" s="39" t="n">
        <v>0</v>
      </c>
      <c r="N1914" s="38" t="n">
        <f aca="false">Q!$N$39</f>
        <v>6.017</v>
      </c>
      <c r="O1914" s="38" t="n">
        <f aca="false">Q!$O$39</f>
        <v>13.593</v>
      </c>
      <c r="P1914" s="5" t="s">
        <v>754</v>
      </c>
    </row>
    <row r="1915" customFormat="false" ht="15" hidden="false" customHeight="false" outlineLevel="0" collapsed="false">
      <c r="A1915" s="5" t="s">
        <v>547</v>
      </c>
      <c r="B1915" s="0" t="s">
        <v>86</v>
      </c>
      <c r="C1915" s="38" t="n">
        <f aca="false">Q!$D$36</f>
        <v>68.614</v>
      </c>
      <c r="D1915" s="38" t="n">
        <f aca="false">Q!$E$36</f>
        <v>97.311</v>
      </c>
      <c r="E1915" s="38" t="n">
        <f aca="false">Q!$P$36</f>
        <v>120.691</v>
      </c>
      <c r="F1915" s="38" t="n">
        <f aca="false">Sens!$F$1891-Sens!$F$1912+Sens!$F$1913+Sens!$F$1914</f>
        <v>55.8244004236276</v>
      </c>
      <c r="G1915" s="38" t="n">
        <f aca="false">Sens!$E$1915+Sens!$F$1915</f>
        <v>176.515400423628</v>
      </c>
      <c r="H1915" s="38" t="n">
        <f aca="false">Sens!$H$1891-Sens!$H$1912+Sens!$H$1913+Sens!$H$1914</f>
        <v>124.308334902763</v>
      </c>
      <c r="I1915" s="38" t="n">
        <f aca="false">Sens!$I$1891-Sens!$I$1912+Sens!$I$1913+Sens!$I$1914</f>
        <v>136.620949240221</v>
      </c>
      <c r="J1915" s="38" t="n">
        <f aca="false">Sens!$J$1891-Sens!$J$1912+Sens!$J$1913+Sens!$J$1914</f>
        <v>147.69613520199</v>
      </c>
      <c r="K1915" s="38" t="n">
        <f aca="false">Sens!$K$1891-Sens!$K$1912+Sens!$K$1913+Sens!$K$1914</f>
        <v>155.201843989645</v>
      </c>
      <c r="L1915" s="38" t="n">
        <f aca="false">Sens!$L$1891-Sens!$L$1912+Sens!$L$1913+Sens!$L$1914</f>
        <v>164.380544867564</v>
      </c>
      <c r="M1915" s="38" t="n">
        <f aca="false">Sens!$M$1891-Sens!$M$1912+Sens!$M$1913+Sens!$M$1914</f>
        <v>177.480141656012</v>
      </c>
      <c r="N1915" s="38" t="n">
        <f aca="false">Q!$N$36</f>
        <v>42.536</v>
      </c>
      <c r="O1915" s="38" t="n">
        <f aca="false">Q!$O$36</f>
        <v>54.775</v>
      </c>
    </row>
    <row r="1916" customFormat="false" ht="15" hidden="false" customHeight="false" outlineLevel="0" collapsed="false">
      <c r="A1916" s="5" t="s">
        <v>548</v>
      </c>
      <c r="B1916" s="0" t="s">
        <v>86</v>
      </c>
      <c r="C1916" s="38" t="n">
        <f aca="false">Q!$D$37</f>
        <v>9.265</v>
      </c>
      <c r="D1916" s="38" t="n">
        <f aca="false">Q!$E$37</f>
        <v>19.087</v>
      </c>
      <c r="E1916" s="38" t="n">
        <f aca="false">Q!$P$37</f>
        <v>27.759</v>
      </c>
      <c r="F1916" s="38" t="n">
        <f aca="false">Sens!$F$1915*tax</f>
        <v>9.69025212143798</v>
      </c>
      <c r="G1916" s="38" t="n">
        <f aca="false">Sens!$E$1916+Sens!$F$1916</f>
        <v>37.449252121438</v>
      </c>
      <c r="H1916" s="38" t="n">
        <f aca="false">Sens!$H$1915*tax</f>
        <v>21.578003469144</v>
      </c>
      <c r="I1916" s="38" t="n">
        <f aca="false">Sens!$I$1915*tax</f>
        <v>23.715282800379</v>
      </c>
      <c r="J1916" s="38" t="n">
        <f aca="false">Sens!$J$1915*tax</f>
        <v>25.6377637127925</v>
      </c>
      <c r="K1916" s="38" t="n">
        <f aca="false">Sens!$K$1915*tax</f>
        <v>26.9406386196528</v>
      </c>
      <c r="L1916" s="38" t="n">
        <f aca="false">Sens!$L$1915*tax</f>
        <v>28.5339190665424</v>
      </c>
      <c r="M1916" s="38" t="n">
        <f aca="false">Sens!$M$1915*tax</f>
        <v>30.8078063739914</v>
      </c>
      <c r="N1916" s="38" t="n">
        <f aca="false">Q!$N$37</f>
        <v>7.231</v>
      </c>
      <c r="O1916" s="38" t="n">
        <f aca="false">Q!$O$37</f>
        <v>11.856</v>
      </c>
    </row>
    <row r="1917" customFormat="false" ht="15" hidden="false" customHeight="false" outlineLevel="0" collapsed="false">
      <c r="A1917" s="3" t="s">
        <v>549</v>
      </c>
      <c r="B1917" s="8" t="s">
        <v>86</v>
      </c>
      <c r="C1917" s="38" t="n">
        <f aca="false">Q!$D$38</f>
        <v>59.248</v>
      </c>
      <c r="D1917" s="38" t="n">
        <f aca="false">Q!$E$38</f>
        <v>77.67</v>
      </c>
      <c r="E1917" s="38" t="n">
        <f aca="false">Q!$P$38</f>
        <v>92.902</v>
      </c>
      <c r="F1917" s="38" t="n">
        <f aca="false">Sens!$F$1915-Sens!$F$1916</f>
        <v>46.1341483021896</v>
      </c>
      <c r="G1917" s="38" t="n">
        <f aca="false">Sens!$E$1917+Sens!$F$1917</f>
        <v>139.03614830219</v>
      </c>
      <c r="H1917" s="38" t="n">
        <f aca="false">Sens!$H$1915-Sens!$H$1916</f>
        <v>102.730331433619</v>
      </c>
      <c r="I1917" s="38" t="n">
        <f aca="false">Sens!$I$1915-Sens!$I$1916</f>
        <v>112.905666439842</v>
      </c>
      <c r="J1917" s="38" t="n">
        <f aca="false">Sens!$J$1915-Sens!$J$1916</f>
        <v>122.058371489198</v>
      </c>
      <c r="K1917" s="38" t="n">
        <f aca="false">Sens!$K$1915-Sens!$K$1916</f>
        <v>128.261205369992</v>
      </c>
      <c r="L1917" s="38" t="n">
        <f aca="false">Sens!$L$1915-Sens!$L$1916</f>
        <v>135.846625801022</v>
      </c>
      <c r="M1917" s="38" t="n">
        <f aca="false">Sens!$M$1915-Sens!$M$1916</f>
        <v>146.67233528202</v>
      </c>
      <c r="N1917" s="38" t="n">
        <f aca="false">Q!$N$38</f>
        <v>35.291</v>
      </c>
      <c r="O1917" s="38" t="n">
        <f aca="false">Q!$O$38</f>
        <v>42.379</v>
      </c>
    </row>
    <row r="1918" customFormat="false" ht="17.15" hidden="false" customHeight="false" outlineLevel="0" collapsed="false">
      <c r="A1918" s="5" t="s">
        <v>552</v>
      </c>
      <c r="B1918" s="5" t="s">
        <v>33</v>
      </c>
      <c r="C1918" s="22" t="n">
        <f aca="false">Q!$D$41</f>
        <v>10.721</v>
      </c>
      <c r="D1918" s="22" t="n">
        <f aca="false">Q!$E$41</f>
        <v>10.827</v>
      </c>
      <c r="E1918" s="22" t="n">
        <f aca="false">(Q!$L$41+Q!$M$41)/2</f>
        <v>10.8885</v>
      </c>
      <c r="F1918" s="22" t="n">
        <f aca="false">Sens!$G$1918</f>
        <v>10.924806</v>
      </c>
      <c r="G1918" s="22" t="n">
        <f aca="false">Q!$M$41*(1+sh_g*0.25)</f>
        <v>10.924806</v>
      </c>
      <c r="H1918" s="22" t="n">
        <f aca="false">Sens!$G$1918*(1+sh_g)</f>
        <v>11.012204448</v>
      </c>
      <c r="I1918" s="22" t="n">
        <f aca="false">Sens!$H$1918*(1+sh_g)</f>
        <v>11.100302083584</v>
      </c>
      <c r="J1918" s="22" t="n">
        <f aca="false">Sens!$I$1918*(1+sh_g)</f>
        <v>11.1891045002527</v>
      </c>
      <c r="K1918" s="22" t="n">
        <f aca="false">Sens!$J$1918*(1+sh_g)</f>
        <v>11.2786173362547</v>
      </c>
      <c r="L1918" s="22" t="n">
        <f aca="false">Sens!$K$1918*(1+sh_g)</f>
        <v>11.3688462749447</v>
      </c>
      <c r="M1918" s="22" t="n">
        <f aca="false">Sens!$L$1918*(1+sh_g)</f>
        <v>11.4597970451443</v>
      </c>
      <c r="P1918" s="5" t="s">
        <v>755</v>
      </c>
    </row>
    <row r="1919" customFormat="false" ht="17.15" hidden="false" customHeight="false" outlineLevel="0" collapsed="false">
      <c r="A1919" s="5" t="s">
        <v>756</v>
      </c>
      <c r="B1919" s="0" t="s">
        <v>86</v>
      </c>
      <c r="C1919" s="38" t="n">
        <f aca="false">Sens!$C$1917+Sens!$C$1893*(1-tax)</f>
        <v>59.248</v>
      </c>
      <c r="D1919" s="38" t="n">
        <f aca="false">Sens!$D$1917+Sens!$D$1893*(1-tax)</f>
        <v>77.67</v>
      </c>
      <c r="E1919" s="38" t="n">
        <f aca="false">Sens!$E$1917+Sens!$E$1893*(1-tax)</f>
        <v>92.902</v>
      </c>
      <c r="F1919" s="38" t="n">
        <f aca="false">Sens!$F$1917+Sens!$F$1893*(1-tax)</f>
        <v>49.2507432618382</v>
      </c>
      <c r="G1919" s="38" t="n">
        <f aca="false">Sens!$G$1917+Sens!$G$1893*(1-tax)</f>
        <v>142.152743261838</v>
      </c>
      <c r="H1919" s="38" t="n">
        <f aca="false">Sens!$H$1917+Sens!$H$1893*(1-tax)</f>
        <v>115.261727388964</v>
      </c>
      <c r="I1919" s="38" t="n">
        <f aca="false">Sens!$I$1917+Sens!$I$1893*(1-tax)</f>
        <v>134.046931514782</v>
      </c>
      <c r="J1919" s="38" t="n">
        <f aca="false">Sens!$J$1917+Sens!$J$1893*(1-tax)</f>
        <v>151.847808433481</v>
      </c>
      <c r="K1919" s="38" t="n">
        <f aca="false">Sens!$K$1917+Sens!$K$1893*(1-tax)</f>
        <v>165.428511066651</v>
      </c>
      <c r="L1919" s="38" t="n">
        <f aca="false">Sens!$L$1917+Sens!$L$1893*(1-tax)</f>
        <v>177.862703141577</v>
      </c>
      <c r="M1919" s="38" t="n">
        <f aca="false">Sens!$M$1917+Sens!$M$1893*(1-tax)</f>
        <v>191.001857472861</v>
      </c>
      <c r="N1919" s="38" t="n">
        <f aca="false">Sens!$N$1917+Sens!$N$1893*(1-tax)</f>
        <v>35.291</v>
      </c>
      <c r="O1919" s="38" t="n">
        <f aca="false">Sens!$O$1917+Sens!$O$1893*(1-tax)</f>
        <v>42.379</v>
      </c>
    </row>
    <row r="1920" customFormat="false" ht="17.15" hidden="false" customHeight="false" outlineLevel="0" collapsed="false">
      <c r="A1920" s="43" t="s">
        <v>757</v>
      </c>
      <c r="B1920" s="14" t="s">
        <v>27</v>
      </c>
      <c r="C1920" s="44" t="n">
        <f aca="false">Sens!$C$1919/Sens!$C$1918</f>
        <v>5.52635015390355</v>
      </c>
      <c r="D1920" s="44" t="n">
        <f aca="false">Sens!$D$1919/Sens!$D$1918</f>
        <v>7.1737323358271</v>
      </c>
      <c r="E1920" s="44" t="n">
        <f aca="false">Sens!$E$1919/Sens!$E$1918</f>
        <v>8.53212104513937</v>
      </c>
      <c r="F1920" s="14"/>
      <c r="G1920" s="44" t="n">
        <f aca="false">Sens!$G$1919/Sens!$G$1918</f>
        <v>13.0119238054972</v>
      </c>
      <c r="H1920" s="44" t="n">
        <f aca="false">Sens!$H$1919/Sens!$H$1918</f>
        <v>10.4667260704461</v>
      </c>
      <c r="I1920" s="44" t="n">
        <f aca="false">Sens!$I$1919/Sens!$I$1918</f>
        <v>12.075971492075</v>
      </c>
      <c r="J1920" s="44" t="n">
        <f aca="false">Sens!$J$1919/Sens!$J$1918</f>
        <v>13.5710421178078</v>
      </c>
      <c r="K1920" s="44" t="n">
        <f aca="false">Sens!$K$1919/Sens!$K$1918</f>
        <v>14.667446029478</v>
      </c>
      <c r="L1920" s="44" t="n">
        <f aca="false">Sens!$L$1919/Sens!$L$1918</f>
        <v>15.6447451957865</v>
      </c>
      <c r="M1920" s="44" t="n">
        <f aca="false">Sens!$M$1919/Sens!$M$1918</f>
        <v>16.6671239220412</v>
      </c>
      <c r="N1920" s="14"/>
      <c r="O1920" s="14"/>
    </row>
    <row r="1921" customFormat="false" ht="17.15" hidden="false" customHeight="false" outlineLevel="0" collapsed="false">
      <c r="A1921" s="0" t="s">
        <v>758</v>
      </c>
      <c r="B1921" s="0" t="s">
        <v>27</v>
      </c>
      <c r="C1921" s="30" t="n">
        <f aca="false">Sens!$C$1917/Sens!$C$1918</f>
        <v>5.52635015390355</v>
      </c>
      <c r="D1921" s="30" t="n">
        <f aca="false">Sens!$D$1917/Sens!$D$1918</f>
        <v>7.1737323358271</v>
      </c>
      <c r="E1921" s="30" t="n">
        <f aca="false">Sens!$E$1917/Sens!$E$1918</f>
        <v>8.53212104513937</v>
      </c>
      <c r="G1921" s="30" t="n">
        <f aca="false">Sens!$G$1917/Sens!$G$1918</f>
        <v>12.7266468898569</v>
      </c>
      <c r="H1921" s="30" t="n">
        <f aca="false">Sens!$H$1917/Sens!$H$1918</f>
        <v>9.32877081230329</v>
      </c>
      <c r="I1921" s="30" t="n">
        <f aca="false">Sens!$I$1917/Sens!$I$1918</f>
        <v>10.1714048491361</v>
      </c>
      <c r="J1921" s="30" t="n">
        <f aca="false">Sens!$J$1917/Sens!$J$1918</f>
        <v>10.9086809839377</v>
      </c>
      <c r="K1921" s="30" t="n">
        <f aca="false">Sens!$K$1917/Sens!$K$1918</f>
        <v>11.3720681840762</v>
      </c>
      <c r="L1921" s="30" t="n">
        <f aca="false">Sens!$L$1917/Sens!$L$1918</f>
        <v>11.9490247748716</v>
      </c>
      <c r="M1921" s="30" t="n">
        <f aca="false">Sens!$M$1917/Sens!$M$1918</f>
        <v>12.7988597620207</v>
      </c>
    </row>
    <row r="1922" customFormat="false" ht="17.15" hidden="false" customHeight="false" outlineLevel="0" collapsed="false">
      <c r="A1922" s="0" t="s">
        <v>759</v>
      </c>
      <c r="B1922" s="0" t="s">
        <v>27</v>
      </c>
      <c r="C1922" s="30" t="n">
        <f aca="false">(Sens!$C$1917-Sens!$C$1914*(1-tax))/Sens!$C$1918</f>
        <v>5.33926775917445</v>
      </c>
      <c r="D1922" s="30" t="n">
        <f aca="false">(Sens!$D$1917-Sens!$D$1914*(1-tax))/Sens!$D$1918</f>
        <v>5.67691812755503</v>
      </c>
      <c r="E1922" s="30" t="n">
        <f aca="false">(Sens!$E$1917-Sens!$E$1914*(1-tax))/Sens!$E$1918</f>
        <v>3.10602057006846</v>
      </c>
      <c r="G1922" s="30" t="n">
        <f aca="false">(Sens!$G$1917-Sens!$G$1914*(1-tax))/Sens!$G$1918</f>
        <v>7.31857877195988</v>
      </c>
      <c r="H1922" s="30" t="n">
        <f aca="false">(Sens!$H$1917-Sens!$H$1914*(1-tax))/Sens!$H$1918</f>
        <v>9.32877081230329</v>
      </c>
      <c r="I1922" s="30" t="n">
        <f aca="false">(Sens!$I$1917-Sens!$I$1914*(1-tax))/Sens!$I$1918</f>
        <v>10.1714048491361</v>
      </c>
      <c r="J1922" s="30" t="n">
        <f aca="false">(Sens!$J$1917-Sens!$J$1914*(1-tax))/Sens!$J$1918</f>
        <v>10.9086809839377</v>
      </c>
      <c r="K1922" s="30" t="n">
        <f aca="false">(Sens!$K$1917-Sens!$K$1914*(1-tax))/Sens!$K$1918</f>
        <v>11.3720681840762</v>
      </c>
      <c r="L1922" s="30" t="n">
        <f aca="false">(Sens!$L$1917-Sens!$L$1914*(1-tax))/Sens!$L$1918</f>
        <v>11.9490247748716</v>
      </c>
      <c r="M1922" s="30" t="n">
        <f aca="false">(Sens!$M$1917-Sens!$M$1914*(1-tax))/Sens!$M$1918</f>
        <v>12.7988597620207</v>
      </c>
      <c r="P1922" s="5" t="s">
        <v>760</v>
      </c>
    </row>
    <row r="1923" customFormat="false" ht="17.15" hidden="false" customHeight="false" outlineLevel="0" collapsed="false">
      <c r="A1923" s="0" t="s">
        <v>761</v>
      </c>
      <c r="B1923" s="0" t="s">
        <v>52</v>
      </c>
      <c r="H1923" s="13" t="n">
        <f aca="false">Sens!$H$1920/Sens!$G$1920-1</f>
        <v>-0.195605029133035</v>
      </c>
      <c r="I1923" s="13" t="n">
        <f aca="false">Sens!$I$1920/Sens!$H$1920-1</f>
        <v>0.153748689972203</v>
      </c>
      <c r="J1923" s="13" t="n">
        <f aca="false">Sens!$J$1920/Sens!$I$1920-1</f>
        <v>0.123805411988084</v>
      </c>
      <c r="K1923" s="13" t="n">
        <f aca="false">Sens!$K$1920/Sens!$J$1920-1</f>
        <v>0.0807899571862358</v>
      </c>
      <c r="L1923" s="13" t="n">
        <f aca="false">Sens!$L$1920/Sens!$K$1920-1</f>
        <v>0.0666304934304396</v>
      </c>
      <c r="M1923" s="13" t="n">
        <f aca="false">Sens!$M$1920/Sens!$L$1920-1</f>
        <v>0.0653496566073828</v>
      </c>
    </row>
    <row r="1926" customFormat="false" ht="19.4" hidden="false" customHeight="false" outlineLevel="0" collapsed="false">
      <c r="A1926" s="31" t="s">
        <v>1173</v>
      </c>
    </row>
    <row r="1927" customFormat="false" ht="17.15" hidden="false" customHeight="false" outlineLevel="0" collapsed="false">
      <c r="A1927" s="6" t="s">
        <v>16</v>
      </c>
      <c r="B1927" s="6" t="s">
        <v>17</v>
      </c>
      <c r="C1927" s="20" t="s">
        <v>497</v>
      </c>
      <c r="D1927" s="20" t="s">
        <v>498</v>
      </c>
      <c r="E1927" s="20" t="s">
        <v>580</v>
      </c>
      <c r="F1927" s="20" t="s">
        <v>581</v>
      </c>
      <c r="G1927" s="20" t="s">
        <v>582</v>
      </c>
      <c r="H1927" s="20" t="s">
        <v>583</v>
      </c>
      <c r="I1927" s="20" t="s">
        <v>584</v>
      </c>
      <c r="J1927" s="20" t="s">
        <v>585</v>
      </c>
      <c r="K1927" s="20" t="s">
        <v>586</v>
      </c>
      <c r="L1927" s="20" t="s">
        <v>587</v>
      </c>
      <c r="M1927" s="20" t="s">
        <v>588</v>
      </c>
      <c r="N1927" s="20" t="s">
        <v>589</v>
      </c>
      <c r="O1927" s="20" t="s">
        <v>590</v>
      </c>
      <c r="P1927" s="6" t="s">
        <v>23</v>
      </c>
      <c r="R1927" s="20" t="n">
        <v>2023</v>
      </c>
      <c r="S1927" s="20" t="n">
        <v>2024</v>
      </c>
      <c r="T1927" s="20" t="n">
        <v>2025</v>
      </c>
      <c r="U1927" s="20" t="n">
        <v>2026</v>
      </c>
      <c r="V1927" s="20" t="n">
        <v>2027</v>
      </c>
      <c r="W1927" s="20" t="n">
        <v>2028</v>
      </c>
      <c r="X1927" s="20" t="n">
        <v>2029</v>
      </c>
      <c r="Y1927" s="20" t="n">
        <v>2030</v>
      </c>
      <c r="Z1927" s="20" t="n">
        <v>2031</v>
      </c>
      <c r="AA1927" s="20" t="n">
        <v>2032</v>
      </c>
    </row>
    <row r="1928" customFormat="false" ht="15" hidden="false" customHeight="false" outlineLevel="0" collapsed="false">
      <c r="A1928" s="5" t="s">
        <v>549</v>
      </c>
      <c r="B1928" s="0" t="s">
        <v>86</v>
      </c>
      <c r="C1928" s="38" t="n">
        <f aca="false">Sens!$C$1917</f>
        <v>59.248</v>
      </c>
      <c r="D1928" s="38" t="n">
        <f aca="false">Sens!$D$1917</f>
        <v>77.67</v>
      </c>
      <c r="E1928" s="38" t="n">
        <f aca="false">Sens!$E$1917</f>
        <v>92.902</v>
      </c>
      <c r="F1928" s="38" t="n">
        <f aca="false">Sens!$F$1917</f>
        <v>46.1341483021896</v>
      </c>
      <c r="G1928" s="38" t="n">
        <f aca="false">Sens!$G$1917</f>
        <v>139.03614830219</v>
      </c>
      <c r="H1928" s="38" t="n">
        <f aca="false">Sens!$H$1917</f>
        <v>102.730331433619</v>
      </c>
      <c r="I1928" s="38" t="n">
        <f aca="false">Sens!$I$1917</f>
        <v>112.905666439842</v>
      </c>
      <c r="J1928" s="38" t="n">
        <f aca="false">Sens!$J$1917</f>
        <v>122.058371489198</v>
      </c>
      <c r="K1928" s="38" t="n">
        <f aca="false">Sens!$K$1917</f>
        <v>128.261205369992</v>
      </c>
      <c r="L1928" s="38" t="n">
        <f aca="false">Sens!$L$1917</f>
        <v>135.846625801022</v>
      </c>
      <c r="M1928" s="38" t="n">
        <f aca="false">Sens!$M$1917</f>
        <v>146.67233528202</v>
      </c>
    </row>
    <row r="1929" customFormat="false" ht="17.15" hidden="false" customHeight="false" outlineLevel="0" collapsed="false">
      <c r="A1929" s="5" t="s">
        <v>784</v>
      </c>
      <c r="B1929" s="0" t="s">
        <v>86</v>
      </c>
      <c r="C1929" s="38" t="n">
        <f aca="false">Sens!$C$1905</f>
        <v>32.067</v>
      </c>
      <c r="D1929" s="38" t="n">
        <f aca="false">Sens!$D$1905</f>
        <v>41.86</v>
      </c>
      <c r="E1929" s="38" t="n">
        <f aca="false">Sens!$E$1905</f>
        <v>26.703</v>
      </c>
      <c r="F1929" s="38" t="n">
        <f aca="false">Sens!$F$1905</f>
        <v>28.7958636969654</v>
      </c>
      <c r="G1929" s="38" t="n">
        <f aca="false">Sens!$G$1905</f>
        <v>55.4988636969654</v>
      </c>
      <c r="H1929" s="38" t="n">
        <f aca="false">Sens!$H$1905</f>
        <v>82.6191128447211</v>
      </c>
      <c r="I1929" s="38" t="n">
        <f aca="false">Sens!$I$1905</f>
        <v>120.65042161548</v>
      </c>
      <c r="J1929" s="38" t="n">
        <f aca="false">Sens!$J$1905</f>
        <v>160.435893344745</v>
      </c>
      <c r="K1929" s="38" t="n">
        <f aca="false">Sens!$K$1905</f>
        <v>199.360700229943</v>
      </c>
      <c r="L1929" s="38" t="n">
        <f aca="false">Sens!$L$1905</f>
        <v>230.222304808641</v>
      </c>
      <c r="M1929" s="38" t="n">
        <f aca="false">Sens!$M$1905</f>
        <v>251.137298163989</v>
      </c>
    </row>
    <row r="1930" customFormat="false" ht="15" hidden="false" customHeight="false" outlineLevel="0" collapsed="false">
      <c r="A1930" s="5" t="s">
        <v>785</v>
      </c>
      <c r="B1930" s="0" t="s">
        <v>86</v>
      </c>
      <c r="C1930" s="38" t="n">
        <f aca="false">Q!$D$48</f>
        <v>22.011</v>
      </c>
      <c r="D1930" s="38" t="n">
        <f aca="false">Q!$E$48</f>
        <v>19.467</v>
      </c>
      <c r="E1930" s="38" t="n">
        <f aca="false">Q!$P$48</f>
        <v>10.07</v>
      </c>
      <c r="F1930" s="38" t="n">
        <f aca="false">sbc_r*Sens!$F$1847</f>
        <v>10.8507035798037</v>
      </c>
      <c r="G1930" s="38" t="n">
        <f aca="false">Sens!$E$1930+Sens!$F$1930</f>
        <v>20.9207035798037</v>
      </c>
      <c r="H1930" s="38" t="n">
        <f aca="false">sbc_r*Sens!$H$1847</f>
        <v>23.46224366345</v>
      </c>
      <c r="I1930" s="38" t="n">
        <f aca="false">sbc_r*Sens!$I$1847</f>
        <v>26.6125957111676</v>
      </c>
      <c r="J1930" s="38" t="n">
        <f aca="false">sbc_r*Sens!$J$1847</f>
        <v>29.6280801413323</v>
      </c>
      <c r="K1930" s="38" t="n">
        <f aca="false">sbc_r*Sens!$K$1847</f>
        <v>32.2712258901105</v>
      </c>
      <c r="L1930" s="38" t="n">
        <f aca="false">sbc_r*Sens!$L$1847</f>
        <v>34.7390505016737</v>
      </c>
      <c r="M1930" s="38" t="n">
        <f aca="false">sbc_r*Sens!$M$1847</f>
        <v>37.0405146906692</v>
      </c>
    </row>
    <row r="1931" customFormat="false" ht="17.15" hidden="false" customHeight="false" outlineLevel="0" collapsed="false">
      <c r="A1931" s="5" t="s">
        <v>786</v>
      </c>
      <c r="B1931" s="0" t="s">
        <v>86</v>
      </c>
      <c r="C1931" s="38" t="n">
        <f aca="false">Q!$D$44-Sens!$C$1928-Sens!$C$1929-Sens!$C$1930</f>
        <v>2.551</v>
      </c>
      <c r="D1931" s="38" t="n">
        <f aca="false">Q!$E$44-Sens!$D$1928-Sens!$D$1929-Sens!$D$1930</f>
        <v>0.51700000000001</v>
      </c>
      <c r="E1931" s="38" t="n">
        <f aca="false">Q!$P$44-Sens!$E$1928-Sens!$E$1929-Sens!$E$1930</f>
        <v>-58.256</v>
      </c>
      <c r="F1931" s="38" t="n">
        <f aca="false">oth_r*Sens!$F$1847</f>
        <v>5.22265251035878</v>
      </c>
      <c r="G1931" s="38" t="n">
        <f aca="false">Sens!$E$1931+Sens!$F$1931</f>
        <v>-53.0333474896412</v>
      </c>
      <c r="H1931" s="38" t="n">
        <f aca="false">oth_r*Sens!$H$1847</f>
        <v>11.2928295263397</v>
      </c>
      <c r="I1931" s="38" t="n">
        <f aca="false">oth_r*Sens!$I$1847</f>
        <v>12.8091546115766</v>
      </c>
      <c r="J1931" s="38" t="n">
        <f aca="false">oth_r*Sens!$J$1847</f>
        <v>14.2605653162668</v>
      </c>
      <c r="K1931" s="38" t="n">
        <f aca="false">oth_r*Sens!$K$1847</f>
        <v>15.5327622460396</v>
      </c>
      <c r="L1931" s="38" t="n">
        <f aca="false">oth_r*Sens!$L$1847</f>
        <v>16.720573737517</v>
      </c>
      <c r="M1931" s="38" t="n">
        <f aca="false">oth_r*Sens!$M$1847</f>
        <v>17.8283127551536</v>
      </c>
      <c r="P1931" s="8" t="s">
        <v>787</v>
      </c>
    </row>
    <row r="1932" customFormat="false" ht="15" hidden="false" customHeight="false" outlineLevel="0" collapsed="false">
      <c r="A1932" s="3" t="s">
        <v>555</v>
      </c>
      <c r="B1932" s="8" t="s">
        <v>86</v>
      </c>
      <c r="C1932" s="38" t="n">
        <f aca="false">Q!$D$44</f>
        <v>115.877</v>
      </c>
      <c r="D1932" s="38" t="n">
        <f aca="false">Q!$E$44</f>
        <v>139.514</v>
      </c>
      <c r="E1932" s="38" t="n">
        <f aca="false">Q!$P$44</f>
        <v>71.419</v>
      </c>
      <c r="F1932" s="38" t="n">
        <f aca="false">Sens!$F$1928+Sens!$F$1929+Sens!$F$1930+Sens!$F$1931</f>
        <v>91.0033680893174</v>
      </c>
      <c r="G1932" s="38" t="n">
        <f aca="false">Sens!$E$1932+Sens!$F$1932</f>
        <v>162.422368089317</v>
      </c>
      <c r="H1932" s="38" t="n">
        <f aca="false">Sens!$H$1928+Sens!$H$1929+Sens!$H$1930+Sens!$H$1931</f>
        <v>220.10451746813</v>
      </c>
      <c r="I1932" s="38" t="n">
        <f aca="false">Sens!$I$1928+Sens!$I$1929+Sens!$I$1930+Sens!$I$1931</f>
        <v>272.977838378067</v>
      </c>
      <c r="J1932" s="38" t="n">
        <f aca="false">Sens!$J$1928+Sens!$J$1929+Sens!$J$1930+Sens!$J$1931</f>
        <v>326.382910291542</v>
      </c>
      <c r="K1932" s="38" t="n">
        <f aca="false">Sens!$K$1928+Sens!$K$1929+Sens!$K$1930+Sens!$K$1931</f>
        <v>375.425893736086</v>
      </c>
      <c r="L1932" s="38" t="n">
        <f aca="false">Sens!$L$1928+Sens!$L$1929+Sens!$L$1930+Sens!$L$1931</f>
        <v>417.528554848853</v>
      </c>
      <c r="M1932" s="38" t="n">
        <f aca="false">Sens!$M$1928+Sens!$M$1929+Sens!$M$1930+Sens!$M$1931</f>
        <v>452.678460891832</v>
      </c>
    </row>
    <row r="1933" customFormat="false" ht="17.15" hidden="false" customHeight="false" outlineLevel="0" collapsed="false">
      <c r="A1933" s="5" t="s">
        <v>788</v>
      </c>
      <c r="B1933" s="0" t="s">
        <v>86</v>
      </c>
      <c r="C1933" s="38" t="n">
        <f aca="false">Sens!$C$1814</f>
        <v>25.2781053077374</v>
      </c>
      <c r="D1933" s="38" t="n">
        <f aca="false">Sens!$D$1814</f>
        <v>69.5686316310026</v>
      </c>
      <c r="E1933" s="38" t="n">
        <f aca="false">Sens!$E$1814</f>
        <v>64.1899206485108</v>
      </c>
      <c r="F1933" s="38" t="n">
        <f aca="false">Sens!$F$1814</f>
        <v>96.2481299895</v>
      </c>
      <c r="G1933" s="38" t="n">
        <f aca="false">Sens!$G$1814</f>
        <v>160.438050638011</v>
      </c>
      <c r="H1933" s="38" t="n">
        <f aca="false">Sens!$H$1814</f>
        <v>198.57136494475</v>
      </c>
      <c r="I1933" s="38" t="n">
        <f aca="false">Sens!$I$1814</f>
        <v>209.8832381105</v>
      </c>
      <c r="J1933" s="38" t="n">
        <f aca="false">Sens!$J$1814</f>
        <v>215.1200063105</v>
      </c>
      <c r="K1933" s="38" t="n">
        <f aca="false">Sens!$K$1814</f>
        <v>191.895762675201</v>
      </c>
      <c r="L1933" s="38" t="n">
        <f aca="false">Sens!$L$1814</f>
        <v>192.112602695152</v>
      </c>
      <c r="M1933" s="38" t="n">
        <f aca="false">Sens!$M$1814</f>
        <v>183.601495715103</v>
      </c>
    </row>
    <row r="1934" customFormat="false" ht="17.15" hidden="false" customHeight="false" outlineLevel="0" collapsed="false">
      <c r="A1934" s="5" t="s">
        <v>789</v>
      </c>
      <c r="B1934" s="0" t="s">
        <v>86</v>
      </c>
      <c r="C1934" s="38" t="n">
        <f aca="false">cx_awso*Sens!$C$1845</f>
        <v>21.0469989286053</v>
      </c>
      <c r="D1934" s="38" t="n">
        <f aca="false">cx_awso*Sens!$D$1845</f>
        <v>24.0042459822698</v>
      </c>
      <c r="E1934" s="38" t="n">
        <f aca="false">cx_awso*Sens!$E$1845</f>
        <v>14.261729404886</v>
      </c>
      <c r="F1934" s="38" t="n">
        <f aca="false">cx_awso*Sens!$F$1845</f>
        <v>14.3538599588493</v>
      </c>
      <c r="G1934" s="38" t="n">
        <f aca="false">Sens!$E$1934+Sens!$F$1934</f>
        <v>28.6155893637353</v>
      </c>
      <c r="H1934" s="38" t="n">
        <f aca="false">cx_awso*Sens!$H$1845</f>
        <v>32.2034154158406</v>
      </c>
      <c r="I1934" s="38" t="n">
        <f aca="false">cx_awso*Sens!$I$1845</f>
        <v>35.7539519042915</v>
      </c>
      <c r="J1934" s="38" t="n">
        <f aca="false">cx_awso*Sens!$J$1845</f>
        <v>39.1551076091815</v>
      </c>
      <c r="K1934" s="38" t="n">
        <f aca="false">cx_awso*Sens!$K$1845</f>
        <v>42.287516217916</v>
      </c>
      <c r="L1934" s="38" t="n">
        <f aca="false">cx_awso*Sens!$L$1845</f>
        <v>45.6705175153492</v>
      </c>
      <c r="M1934" s="38" t="n">
        <f aca="false">cx_awso*Sens!$M$1845</f>
        <v>49.3241589165772</v>
      </c>
    </row>
    <row r="1935" customFormat="false" ht="17.15" hidden="false" customHeight="false" outlineLevel="0" collapsed="false">
      <c r="A1935" s="5" t="s">
        <v>790</v>
      </c>
      <c r="B1935" s="0" t="s">
        <v>86</v>
      </c>
      <c r="C1935" s="38" t="n">
        <f aca="false">Q!$D$46-Sens!$C$1933-Sens!$C$1934</f>
        <v>31.3328957636573</v>
      </c>
      <c r="D1935" s="38" t="n">
        <f aca="false">Q!$E$46-Sens!$D$1933-Sens!$D$1934</f>
        <v>34.7471223867276</v>
      </c>
      <c r="E1935" s="38" t="n">
        <f aca="false">Q!$P$46-Sens!$E$1933-Sens!$E$1934</f>
        <v>17.8583499466032</v>
      </c>
      <c r="F1935" s="38" t="n">
        <f aca="false">cx_rt*Sens!$F$1777</f>
        <v>20.6195895799373</v>
      </c>
      <c r="G1935" s="38" t="n">
        <f aca="false">Sens!$E$1935+Sens!$F$1935</f>
        <v>38.4779395265405</v>
      </c>
      <c r="H1935" s="38" t="n">
        <f aca="false">cx_rt*Sens!$H$1777</f>
        <v>42.5978994743075</v>
      </c>
      <c r="I1935" s="38" t="n">
        <f aca="false">cx_rt*Sens!$I$1777</f>
        <v>46.5813904136335</v>
      </c>
      <c r="J1935" s="38" t="n">
        <f aca="false">cx_rt*Sens!$J$1777</f>
        <v>50.2781676586844</v>
      </c>
      <c r="K1935" s="38" t="n">
        <f aca="false">cx_rt*Sens!$K$1777</f>
        <v>53.5312440191755</v>
      </c>
      <c r="L1935" s="38" t="n">
        <f aca="false">cx_rt*Sens!$L$1777</f>
        <v>57.0116717051447</v>
      </c>
      <c r="M1935" s="38" t="n">
        <f aca="false">cx_rt*Sens!$M$1777</f>
        <v>60.7365554669226</v>
      </c>
    </row>
    <row r="1936" customFormat="false" ht="15" hidden="false" customHeight="false" outlineLevel="0" collapsed="false">
      <c r="A1936" s="3" t="s">
        <v>791</v>
      </c>
      <c r="B1936" s="8" t="s">
        <v>86</v>
      </c>
      <c r="C1936" s="38" t="n">
        <f aca="false">Q!$D$46</f>
        <v>77.658</v>
      </c>
      <c r="D1936" s="38" t="n">
        <f aca="false">Q!$E$46</f>
        <v>128.32</v>
      </c>
      <c r="E1936" s="38" t="n">
        <f aca="false">Q!$P$46</f>
        <v>96.31</v>
      </c>
      <c r="F1936" s="38" t="n">
        <f aca="false">Sens!$F$1933+Sens!$F$1934+Sens!$F$1935</f>
        <v>131.221579528287</v>
      </c>
      <c r="G1936" s="38" t="n">
        <f aca="false">Sens!$E$1936+Sens!$F$1936</f>
        <v>227.531579528287</v>
      </c>
      <c r="H1936" s="38" t="n">
        <f aca="false">Sens!$H$1933+Sens!$H$1934+Sens!$H$1935</f>
        <v>273.372679834898</v>
      </c>
      <c r="I1936" s="38" t="n">
        <f aca="false">Sens!$I$1933+Sens!$I$1934+Sens!$I$1935</f>
        <v>292.218580428425</v>
      </c>
      <c r="J1936" s="38" t="n">
        <f aca="false">Sens!$J$1933+Sens!$J$1934+Sens!$J$1935</f>
        <v>304.553281578366</v>
      </c>
      <c r="K1936" s="38" t="n">
        <f aca="false">Sens!$K$1933+Sens!$K$1934+Sens!$K$1935</f>
        <v>287.714522912292</v>
      </c>
      <c r="L1936" s="38" t="n">
        <f aca="false">Sens!$L$1933+Sens!$L$1934+Sens!$L$1935</f>
        <v>294.794791915646</v>
      </c>
      <c r="M1936" s="38" t="n">
        <f aca="false">Sens!$M$1933+Sens!$M$1934+Sens!$M$1935</f>
        <v>293.662210098602</v>
      </c>
    </row>
    <row r="1937" customFormat="false" ht="17.15" hidden="false" customHeight="false" outlineLevel="0" collapsed="false">
      <c r="A1937" s="5" t="s">
        <v>563</v>
      </c>
      <c r="B1937" s="0" t="s">
        <v>86</v>
      </c>
      <c r="C1937" s="38" t="n">
        <f aca="false">Q!$D$50</f>
        <v>2.043</v>
      </c>
      <c r="D1937" s="38" t="n">
        <f aca="false">Q!$E$50</f>
        <v>1.557</v>
      </c>
      <c r="E1937" s="38" t="n">
        <f aca="false">lease_pr/2</f>
        <v>0.8</v>
      </c>
      <c r="F1937" s="38" t="n">
        <f aca="false">lease_pr/2</f>
        <v>0.8</v>
      </c>
      <c r="G1937" s="38" t="n">
        <f aca="false">Sens!$E$1937+Sens!$F$1937</f>
        <v>1.6</v>
      </c>
      <c r="H1937" s="38" t="n">
        <f aca="false">lease_pr</f>
        <v>1.6</v>
      </c>
      <c r="I1937" s="38" t="n">
        <f aca="false">lease_pr</f>
        <v>1.6</v>
      </c>
      <c r="J1937" s="38" t="n">
        <f aca="false">lease_pr</f>
        <v>1.6</v>
      </c>
      <c r="K1937" s="38" t="n">
        <f aca="false">lease_pr</f>
        <v>1.6</v>
      </c>
      <c r="L1937" s="38" t="n">
        <f aca="false">lease_pr</f>
        <v>1.6</v>
      </c>
      <c r="M1937" s="38" t="n">
        <f aca="false">lease_pr</f>
        <v>1.6</v>
      </c>
      <c r="P1937" s="8" t="s">
        <v>792</v>
      </c>
    </row>
    <row r="1938" customFormat="false" ht="15" hidden="false" customHeight="false" outlineLevel="0" collapsed="false">
      <c r="A1938" s="47" t="s">
        <v>793</v>
      </c>
      <c r="B1938" s="14" t="s">
        <v>86</v>
      </c>
      <c r="C1938" s="48" t="n">
        <f aca="false">Sens!$C$1932-Sens!$C$1936-Sens!$C$1937</f>
        <v>36.176</v>
      </c>
      <c r="D1938" s="48" t="n">
        <f aca="false">Sens!$D$1932-Sens!$D$1936-Sens!$D$1937</f>
        <v>9.63700000000002</v>
      </c>
      <c r="E1938" s="48" t="n">
        <f aca="false">Sens!$E$1932-Sens!$E$1936-Sens!$E$1937</f>
        <v>-25.691</v>
      </c>
      <c r="F1938" s="48" t="n">
        <f aca="false">Sens!$F$1932-Sens!$F$1936-Sens!$F$1937</f>
        <v>-41.0182114389692</v>
      </c>
      <c r="G1938" s="48" t="n">
        <f aca="false">Sens!$G$1932-Sens!$G$1936-Sens!$G$1937</f>
        <v>-66.7092114389692</v>
      </c>
      <c r="H1938" s="48" t="n">
        <f aca="false">Sens!$H$1932-Sens!$H$1936-Sens!$H$1937</f>
        <v>-54.8681623667685</v>
      </c>
      <c r="I1938" s="48" t="n">
        <f aca="false">Sens!$I$1932-Sens!$I$1936-Sens!$I$1937</f>
        <v>-20.8407420503583</v>
      </c>
      <c r="J1938" s="48" t="n">
        <f aca="false">Sens!$J$1932-Sens!$J$1936-Sens!$J$1937</f>
        <v>20.2296287131757</v>
      </c>
      <c r="K1938" s="48" t="n">
        <f aca="false">Sens!$K$1932-Sens!$K$1936-Sens!$K$1937</f>
        <v>86.1113708237932</v>
      </c>
      <c r="L1938" s="48" t="n">
        <f aca="false">Sens!$L$1932-Sens!$L$1936-Sens!$L$1937</f>
        <v>121.133762933207</v>
      </c>
      <c r="M1938" s="48" t="n">
        <f aca="false">Sens!$M$1932-Sens!$M$1936-Sens!$M$1937</f>
        <v>157.41625079323</v>
      </c>
      <c r="N1938" s="14"/>
      <c r="O1938" s="14"/>
    </row>
    <row r="1939" customFormat="false" ht="17.15" hidden="false" customHeight="false" outlineLevel="0" collapsed="false">
      <c r="A1939" s="5" t="s">
        <v>794</v>
      </c>
      <c r="B1939" s="0" t="s">
        <v>86</v>
      </c>
      <c r="C1939" s="38" t="n">
        <f aca="false">dps*Sens!$C$1918</f>
        <v>0</v>
      </c>
      <c r="D1939" s="38" t="n">
        <f aca="false">dps*Sens!$D$1918</f>
        <v>0</v>
      </c>
      <c r="E1939" s="38" t="n">
        <f aca="false">dps*Sens!$E$1918</f>
        <v>0</v>
      </c>
      <c r="F1939" s="38" t="n">
        <f aca="false">0</f>
        <v>0</v>
      </c>
      <c r="G1939" s="38" t="n">
        <f aca="false">dps*Sens!$G$1918</f>
        <v>0</v>
      </c>
      <c r="H1939" s="38" t="n">
        <f aca="false">dps*Sens!$H$1918</f>
        <v>0</v>
      </c>
      <c r="I1939" s="38" t="n">
        <f aca="false">dps*Sens!$I$1918</f>
        <v>0</v>
      </c>
      <c r="J1939" s="38" t="n">
        <f aca="false">dps*Sens!$J$1918</f>
        <v>0</v>
      </c>
      <c r="K1939" s="38" t="n">
        <f aca="false">dps*Sens!$K$1918</f>
        <v>0</v>
      </c>
      <c r="L1939" s="38" t="n">
        <f aca="false">dps*Sens!$L$1918</f>
        <v>0</v>
      </c>
      <c r="M1939" s="38" t="n">
        <f aca="false">dps*Sens!$M$1918</f>
        <v>0</v>
      </c>
      <c r="P1939" s="8" t="s">
        <v>795</v>
      </c>
    </row>
    <row r="1940" customFormat="false" ht="17.15" hidden="false" customHeight="false" outlineLevel="0" collapsed="false">
      <c r="A1940" s="5" t="s">
        <v>796</v>
      </c>
      <c r="B1940" s="0" t="s">
        <v>86</v>
      </c>
      <c r="C1940" s="38" t="n">
        <f aca="false">0</f>
        <v>0</v>
      </c>
      <c r="D1940" s="38" t="n">
        <f aca="false">0</f>
        <v>0</v>
      </c>
      <c r="E1940" s="38" t="n">
        <f aca="false">0</f>
        <v>0</v>
      </c>
      <c r="F1940" s="38" t="n">
        <f aca="false">0</f>
        <v>0</v>
      </c>
      <c r="G1940" s="38" t="n">
        <f aca="false">0</f>
        <v>0</v>
      </c>
      <c r="H1940" s="38" t="n">
        <f aca="false">0</f>
        <v>0</v>
      </c>
      <c r="I1940" s="38" t="n">
        <f aca="false">0</f>
        <v>0</v>
      </c>
      <c r="J1940" s="38" t="n">
        <f aca="false">0</f>
        <v>0</v>
      </c>
      <c r="K1940" s="38" t="n">
        <f aca="false">0</f>
        <v>0</v>
      </c>
      <c r="L1940" s="38" t="n">
        <f aca="false">0</f>
        <v>0</v>
      </c>
      <c r="M1940" s="38" t="n">
        <f aca="false">0</f>
        <v>0</v>
      </c>
      <c r="P1940" s="8" t="s">
        <v>797</v>
      </c>
    </row>
    <row r="1941" customFormat="false" ht="15" hidden="false" customHeight="false" outlineLevel="0" collapsed="false">
      <c r="A1941" s="3" t="s">
        <v>798</v>
      </c>
      <c r="B1941" s="8" t="s">
        <v>86</v>
      </c>
      <c r="C1941" s="38" t="n">
        <f aca="false">Sens!$C$1938-Sens!$C$1939</f>
        <v>36.176</v>
      </c>
      <c r="D1941" s="38" t="n">
        <f aca="false">Sens!$D$1938-Sens!$D$1939</f>
        <v>9.63700000000002</v>
      </c>
      <c r="E1941" s="38" t="n">
        <f aca="false">Sens!$E$1938-Sens!$E$1939</f>
        <v>-25.691</v>
      </c>
      <c r="F1941" s="38" t="n">
        <f aca="false">Sens!$F$1938-Sens!$F$1939</f>
        <v>-41.0182114389692</v>
      </c>
      <c r="G1941" s="38" t="n">
        <f aca="false">Sens!$G$1938-Sens!$G$1939</f>
        <v>-66.7092114389692</v>
      </c>
      <c r="H1941" s="38" t="n">
        <f aca="false">Sens!$H$1938-Sens!$H$1939</f>
        <v>-54.8681623667685</v>
      </c>
      <c r="I1941" s="38" t="n">
        <f aca="false">Sens!$I$1938-Sens!$I$1939</f>
        <v>-20.8407420503583</v>
      </c>
      <c r="J1941" s="38" t="n">
        <f aca="false">Sens!$J$1938-Sens!$J$1939</f>
        <v>20.2296287131757</v>
      </c>
      <c r="K1941" s="38" t="n">
        <f aca="false">Sens!$K$1938-Sens!$K$1939</f>
        <v>86.1113708237932</v>
      </c>
      <c r="L1941" s="38" t="n">
        <f aca="false">Sens!$L$1938-Sens!$L$1939</f>
        <v>121.133762933207</v>
      </c>
      <c r="M1941" s="38" t="n">
        <f aca="false">Sens!$M$1938-Sens!$M$1939</f>
        <v>157.41625079323</v>
      </c>
    </row>
    <row r="1942" customFormat="false" ht="17.15" hidden="false" customHeight="false" outlineLevel="0" collapsed="false">
      <c r="A1942" s="5" t="s">
        <v>799</v>
      </c>
      <c r="B1942" s="0" t="s">
        <v>86</v>
      </c>
      <c r="E1942" s="38" t="n">
        <f aca="false">Q!$P$53</f>
        <v>39.767</v>
      </c>
      <c r="F1942" s="38" t="n">
        <f aca="false">inv_2h26</f>
        <v>21.3</v>
      </c>
      <c r="G1942" s="38" t="n">
        <f aca="false">Sens!$E$1942+Sens!$F$1942</f>
        <v>61.067</v>
      </c>
      <c r="H1942" s="39" t="n">
        <v>0</v>
      </c>
      <c r="I1942" s="39" t="n">
        <v>0</v>
      </c>
      <c r="J1942" s="39" t="n">
        <v>0</v>
      </c>
      <c r="K1942" s="39" t="n">
        <v>0</v>
      </c>
      <c r="L1942" s="39" t="n">
        <v>0</v>
      </c>
      <c r="M1942" s="39" t="n">
        <v>0</v>
      </c>
    </row>
    <row r="1943" customFormat="false" ht="17.15" hidden="false" customHeight="false" outlineLevel="0" collapsed="false">
      <c r="A1943" s="5" t="s">
        <v>800</v>
      </c>
      <c r="B1943" s="0" t="s">
        <v>86</v>
      </c>
      <c r="F1943" s="38" t="n">
        <f aca="false">iss_2h26</f>
        <v>29.249999</v>
      </c>
      <c r="G1943" s="38" t="n">
        <f aca="false">Sens!$F$1943</f>
        <v>29.249999</v>
      </c>
      <c r="H1943" s="39" t="n">
        <v>0</v>
      </c>
      <c r="I1943" s="39" t="n">
        <v>0</v>
      </c>
      <c r="J1943" s="39" t="n">
        <v>0</v>
      </c>
      <c r="K1943" s="39" t="n">
        <v>0</v>
      </c>
      <c r="L1943" s="39" t="n">
        <v>0</v>
      </c>
      <c r="M1943" s="39" t="n">
        <v>0</v>
      </c>
    </row>
    <row r="1944" customFormat="false" ht="17.15" hidden="false" customHeight="false" outlineLevel="0" collapsed="false">
      <c r="A1944" s="5" t="s">
        <v>801</v>
      </c>
      <c r="B1944" s="0" t="s">
        <v>86</v>
      </c>
      <c r="F1944" s="38" t="n">
        <f aca="false">cash_q2</f>
        <v>122.988</v>
      </c>
      <c r="G1944" s="38" t="n">
        <f aca="false">cash_q2</f>
        <v>122.988</v>
      </c>
      <c r="H1944" s="38" t="n">
        <f aca="false">Sens!$G$1947</f>
        <v>89.9197875610308</v>
      </c>
      <c r="I1944" s="38" t="n">
        <f aca="false">Sens!$H$1947</f>
        <v>50</v>
      </c>
      <c r="J1944" s="38" t="n">
        <f aca="false">Sens!$I$1947</f>
        <v>50</v>
      </c>
      <c r="K1944" s="38" t="n">
        <f aca="false">Sens!$J$1947</f>
        <v>70.2296287131757</v>
      </c>
      <c r="L1944" s="38" t="n">
        <f aca="false">Sens!$K$1947</f>
        <v>156.340999536969</v>
      </c>
      <c r="M1944" s="38" t="n">
        <f aca="false">Sens!$L$1947</f>
        <v>277.474762470176</v>
      </c>
    </row>
    <row r="1945" customFormat="false" ht="15" hidden="false" customHeight="false" outlineLevel="0" collapsed="false">
      <c r="A1945" s="5" t="s">
        <v>802</v>
      </c>
      <c r="B1945" s="0" t="s">
        <v>86</v>
      </c>
      <c r="F1945" s="38" t="n">
        <f aca="false">Sens!$F$1944+Sens!$F$1941-Sens!$F$1940-Sens!$F$1942+Sens!$F$1943</f>
        <v>89.9197875610308</v>
      </c>
      <c r="H1945" s="38" t="n">
        <f aca="false">Sens!$H$1944+Sens!$H$1941-Sens!$H$1940-Sens!$H$1942+Sens!$H$1943</f>
        <v>35.0516251942624</v>
      </c>
      <c r="I1945" s="38" t="n">
        <f aca="false">Sens!$I$1944+Sens!$I$1941-Sens!$I$1940-Sens!$I$1942+Sens!$I$1943</f>
        <v>29.1592579496417</v>
      </c>
      <c r="J1945" s="38" t="n">
        <f aca="false">Sens!$J$1944+Sens!$J$1941-Sens!$J$1940-Sens!$J$1942+Sens!$J$1943</f>
        <v>70.2296287131757</v>
      </c>
      <c r="K1945" s="38" t="n">
        <f aca="false">Sens!$K$1944+Sens!$K$1941-Sens!$K$1940-Sens!$K$1942+Sens!$K$1943</f>
        <v>156.340999536969</v>
      </c>
      <c r="L1945" s="38" t="n">
        <f aca="false">Sens!$L$1944+Sens!$L$1941-Sens!$L$1940-Sens!$L$1942+Sens!$L$1943</f>
        <v>277.474762470176</v>
      </c>
      <c r="M1945" s="38" t="n">
        <f aca="false">Sens!$M$1944+Sens!$M$1941-Sens!$M$1940-Sens!$M$1942+Sens!$M$1943</f>
        <v>434.891013263406</v>
      </c>
    </row>
    <row r="1946" customFormat="false" ht="17.15" hidden="false" customHeight="false" outlineLevel="0" collapsed="false">
      <c r="A1946" s="5" t="s">
        <v>803</v>
      </c>
      <c r="B1946" s="0" t="s">
        <v>86</v>
      </c>
      <c r="F1946" s="38" t="n">
        <f aca="false">MAX(0,min_cash-Sens!$F$1945)</f>
        <v>0</v>
      </c>
      <c r="G1946" s="38" t="n">
        <f aca="false">Sens!$F$1946</f>
        <v>0</v>
      </c>
      <c r="H1946" s="38" t="n">
        <f aca="false">MAX(0,min_cash-Sens!$H$1945)</f>
        <v>14.9483748057377</v>
      </c>
      <c r="I1946" s="38" t="n">
        <f aca="false">MAX(0,min_cash-Sens!$I$1945)</f>
        <v>20.8407420503583</v>
      </c>
      <c r="J1946" s="38" t="n">
        <f aca="false">MAX(0,min_cash-Sens!$J$1945)</f>
        <v>0</v>
      </c>
      <c r="K1946" s="38" t="n">
        <f aca="false">MAX(0,min_cash-Sens!$K$1945)</f>
        <v>0</v>
      </c>
      <c r="L1946" s="38" t="n">
        <f aca="false">MAX(0,min_cash-Sens!$L$1945)</f>
        <v>0</v>
      </c>
      <c r="M1946" s="38" t="n">
        <f aca="false">MAX(0,min_cash-Sens!$M$1945)</f>
        <v>0</v>
      </c>
      <c r="P1946" s="5" t="s">
        <v>804</v>
      </c>
    </row>
    <row r="1947" customFormat="false" ht="15" hidden="false" customHeight="false" outlineLevel="0" collapsed="false">
      <c r="A1947" s="5" t="s">
        <v>805</v>
      </c>
      <c r="B1947" s="0" t="s">
        <v>86</v>
      </c>
      <c r="D1947" s="38" t="n">
        <f aca="false">Q!$E$61</f>
        <v>123.029</v>
      </c>
      <c r="E1947" s="38" t="n">
        <f aca="false">Q!$M$61</f>
        <v>122.988</v>
      </c>
      <c r="F1947" s="38" t="n">
        <f aca="false">Sens!$F$1945+Sens!$F$1946</f>
        <v>89.9197875610308</v>
      </c>
      <c r="G1947" s="38" t="n">
        <f aca="false">Sens!$F$1947</f>
        <v>89.9197875610308</v>
      </c>
      <c r="H1947" s="38" t="n">
        <f aca="false">Sens!$H$1945+Sens!$H$1946</f>
        <v>50</v>
      </c>
      <c r="I1947" s="38" t="n">
        <f aca="false">Sens!$I$1945+Sens!$I$1946</f>
        <v>50</v>
      </c>
      <c r="J1947" s="38" t="n">
        <f aca="false">Sens!$J$1945+Sens!$J$1946</f>
        <v>70.2296287131757</v>
      </c>
      <c r="K1947" s="38" t="n">
        <f aca="false">Sens!$K$1945+Sens!$K$1946</f>
        <v>156.340999536969</v>
      </c>
      <c r="L1947" s="38" t="n">
        <f aca="false">Sens!$L$1945+Sens!$L$1946</f>
        <v>277.474762470176</v>
      </c>
      <c r="M1947" s="38" t="n">
        <f aca="false">Sens!$M$1945+Sens!$M$1946</f>
        <v>434.891013263406</v>
      </c>
    </row>
    <row r="1948" customFormat="false" ht="15" hidden="false" customHeight="false" outlineLevel="0" collapsed="false">
      <c r="A1948" s="5" t="s">
        <v>806</v>
      </c>
      <c r="B1948" s="0" t="s">
        <v>86</v>
      </c>
      <c r="D1948" s="38" t="n">
        <f aca="false">Q!$E$62</f>
        <v>68.836</v>
      </c>
      <c r="E1948" s="38" t="n">
        <f aca="false">Q!$M$62</f>
        <v>132.995</v>
      </c>
      <c r="F1948" s="38" t="n">
        <f aca="false">debt_q2+Sens!$F$1943+Sens!$F$1946</f>
        <v>162.244999</v>
      </c>
      <c r="G1948" s="38" t="n">
        <f aca="false">Sens!$F$1948</f>
        <v>162.244999</v>
      </c>
      <c r="H1948" s="38" t="n">
        <f aca="false">Sens!$G$1948+Sens!$H$1946</f>
        <v>177.193373805738</v>
      </c>
      <c r="I1948" s="38" t="n">
        <f aca="false">Sens!$H$1948+Sens!$I$1946</f>
        <v>198.034115856096</v>
      </c>
      <c r="J1948" s="38" t="n">
        <f aca="false">Sens!$I$1948+Sens!$J$1946</f>
        <v>198.034115856096</v>
      </c>
      <c r="K1948" s="38" t="n">
        <f aca="false">Sens!$J$1948+Sens!$K$1946</f>
        <v>198.034115856096</v>
      </c>
      <c r="L1948" s="38" t="n">
        <f aca="false">Sens!$K$1948+Sens!$L$1946</f>
        <v>198.034115856096</v>
      </c>
      <c r="M1948" s="38" t="n">
        <f aca="false">Sens!$L$1948+Sens!$M$1946</f>
        <v>198.034115856096</v>
      </c>
    </row>
    <row r="1949" customFormat="false" ht="15" hidden="false" customHeight="false" outlineLevel="0" collapsed="false">
      <c r="A1949" s="5" t="s">
        <v>807</v>
      </c>
      <c r="B1949" s="0" t="s">
        <v>86</v>
      </c>
      <c r="D1949" s="38" t="n">
        <f aca="false">Sens!$D$1948-Sens!$D$1947</f>
        <v>-54.193</v>
      </c>
      <c r="E1949" s="38" t="n">
        <f aca="false">Sens!$E$1948-Sens!$E$1947</f>
        <v>10.007</v>
      </c>
      <c r="F1949" s="38" t="n">
        <f aca="false">Sens!$F$1948-Sens!$F$1947</f>
        <v>72.3252114389692</v>
      </c>
      <c r="G1949" s="38" t="n">
        <f aca="false">Sens!$G$1948-Sens!$G$1947</f>
        <v>72.3252114389692</v>
      </c>
      <c r="H1949" s="38" t="n">
        <f aca="false">Sens!$H$1948-Sens!$H$1947</f>
        <v>127.193373805738</v>
      </c>
      <c r="I1949" s="38" t="n">
        <f aca="false">Sens!$I$1948-Sens!$I$1947</f>
        <v>148.034115856096</v>
      </c>
      <c r="J1949" s="38" t="n">
        <f aca="false">Sens!$J$1948-Sens!$J$1947</f>
        <v>127.80448714292</v>
      </c>
      <c r="K1949" s="38" t="n">
        <f aca="false">Sens!$K$1948-Sens!$K$1947</f>
        <v>41.6931163191269</v>
      </c>
      <c r="L1949" s="38" t="n">
        <f aca="false">Sens!$L$1948-Sens!$L$1947</f>
        <v>-79.4406466140805</v>
      </c>
      <c r="M1949" s="38" t="n">
        <f aca="false">Sens!$M$1948-Sens!$M$1947</f>
        <v>-236.85689740731</v>
      </c>
    </row>
    <row r="1950" customFormat="false" ht="17.15" hidden="false" customHeight="false" outlineLevel="0" collapsed="false">
      <c r="A1950" s="5" t="s">
        <v>808</v>
      </c>
      <c r="B1950" s="0" t="s">
        <v>86</v>
      </c>
      <c r="F1950" s="38" t="n">
        <f aca="false">debt_q2*kd_book*0.5+iss_2h26*kd_new*iss_t</f>
        <v>3.24888962733561</v>
      </c>
      <c r="H1950" s="38" t="n">
        <f aca="false">debt_q2*kd_book+(Sens!$G$1948-debt_q2)*kd_new</f>
        <v>7.42354172302123</v>
      </c>
      <c r="I1950" s="38" t="n">
        <f aca="false">debt_q2*kd_book+(Sens!$H$1948-debt_q2)*kd_new</f>
        <v>8.36977384822442</v>
      </c>
      <c r="J1950" s="38" t="n">
        <f aca="false">debt_q2*kd_book+(Sens!$I$1948-debt_q2)*kd_new</f>
        <v>9.6889928200121</v>
      </c>
      <c r="K1950" s="38" t="n">
        <f aca="false">debt_q2*kd_book+(Sens!$J$1948-debt_q2)*kd_new</f>
        <v>9.6889928200121</v>
      </c>
      <c r="L1950" s="38" t="n">
        <f aca="false">debt_q2*kd_book+(Sens!$K$1948-debt_q2)*kd_new</f>
        <v>9.6889928200121</v>
      </c>
      <c r="M1950" s="38" t="n">
        <f aca="false">debt_q2*kd_book+(Sens!$L$1948-debt_q2)*kd_new</f>
        <v>9.6889928200121</v>
      </c>
    </row>
    <row r="1951" customFormat="false" ht="17.15" hidden="false" customHeight="false" outlineLevel="0" collapsed="false">
      <c r="A1951" s="5" t="s">
        <v>809</v>
      </c>
      <c r="B1951" s="0" t="s">
        <v>86</v>
      </c>
      <c r="F1951" s="38" t="n">
        <f aca="false">cash_q2*y_cash*0.5</f>
        <v>2.59</v>
      </c>
      <c r="H1951" s="38" t="n">
        <f aca="false">Sens!$G$1947*y_cash</f>
        <v>3.78723533650551</v>
      </c>
      <c r="I1951" s="38" t="n">
        <f aca="false">Sens!$H$1947*y_cash</f>
        <v>2.10589651022864</v>
      </c>
      <c r="J1951" s="38" t="n">
        <f aca="false">Sens!$I$1947*y_cash</f>
        <v>2.10589651022864</v>
      </c>
      <c r="K1951" s="38" t="n">
        <f aca="false">Sens!$J$1947*y_cash</f>
        <v>2.9579266004346</v>
      </c>
      <c r="L1951" s="38" t="n">
        <f aca="false">Sens!$K$1947*y_cash</f>
        <v>6.58475930661121</v>
      </c>
      <c r="M1951" s="38" t="n">
        <f aca="false">Sens!$L$1947*y_cash</f>
        <v>11.6866626792493</v>
      </c>
    </row>
    <row r="1952" customFormat="false" ht="17.15" hidden="false" customHeight="false" outlineLevel="0" collapsed="false">
      <c r="A1952" s="47" t="s">
        <v>810</v>
      </c>
      <c r="B1952" s="14" t="s">
        <v>86</v>
      </c>
      <c r="C1952" s="14"/>
      <c r="D1952" s="14"/>
      <c r="E1952" s="14"/>
      <c r="F1952" s="14"/>
      <c r="G1952" s="48" t="n">
        <f aca="false">SUM(Sens!$G$1941:$K$1941)</f>
        <v>-36.077116319127</v>
      </c>
      <c r="H1952" s="14"/>
      <c r="I1952" s="14"/>
      <c r="J1952" s="14"/>
      <c r="K1952" s="14"/>
      <c r="L1952" s="14"/>
      <c r="M1952" s="14"/>
      <c r="N1952" s="14"/>
      <c r="O1952" s="14"/>
    </row>
    <row r="1953" customFormat="false" ht="17.15" hidden="false" customHeight="false" outlineLevel="0" collapsed="false">
      <c r="A1953" s="0" t="s">
        <v>776</v>
      </c>
      <c r="B1953" s="0" t="s">
        <v>86</v>
      </c>
      <c r="G1953" s="38" t="n">
        <f aca="false">SUM(Sens!$G$1946:$K$1946)</f>
        <v>35.7891168560959</v>
      </c>
    </row>
    <row r="1954" customFormat="false" ht="17.15" hidden="false" customHeight="false" outlineLevel="0" collapsed="false">
      <c r="A1954" s="24" t="s">
        <v>813</v>
      </c>
      <c r="B1954" s="25" t="s">
        <v>86</v>
      </c>
      <c r="C1954" s="25"/>
      <c r="D1954" s="25"/>
      <c r="E1954" s="25"/>
      <c r="F1954" s="25"/>
      <c r="G1954" s="41" t="n">
        <f aca="false">Sens!$G$1952-(Sens!$G$1941+Sens!$H$1941+Sens!$I$1941+Sens!$J$1941+Sens!$K$1941)</f>
        <v>0</v>
      </c>
      <c r="H1954" s="25"/>
      <c r="I1954" s="25"/>
      <c r="J1954" s="25"/>
      <c r="K1954" s="25"/>
      <c r="L1954" s="25"/>
      <c r="M1954" s="25"/>
      <c r="N1954" s="25"/>
      <c r="O1954" s="25"/>
    </row>
    <row r="1957" customFormat="false" ht="19.4" hidden="false" customHeight="false" outlineLevel="0" collapsed="false">
      <c r="A1957" s="31" t="s">
        <v>1174</v>
      </c>
    </row>
    <row r="1958" customFormat="false" ht="17.15" hidden="false" customHeight="false" outlineLevel="0" collapsed="false">
      <c r="A1958" s="6" t="s">
        <v>16</v>
      </c>
      <c r="B1958" s="6" t="s">
        <v>17</v>
      </c>
      <c r="C1958" s="20" t="s">
        <v>497</v>
      </c>
      <c r="D1958" s="20" t="s">
        <v>498</v>
      </c>
      <c r="E1958" s="20" t="s">
        <v>580</v>
      </c>
      <c r="F1958" s="20" t="s">
        <v>581</v>
      </c>
      <c r="G1958" s="20" t="s">
        <v>582</v>
      </c>
      <c r="H1958" s="20" t="s">
        <v>583</v>
      </c>
      <c r="I1958" s="20" t="s">
        <v>584</v>
      </c>
      <c r="J1958" s="20" t="s">
        <v>585</v>
      </c>
      <c r="K1958" s="20" t="s">
        <v>586</v>
      </c>
      <c r="L1958" s="20" t="s">
        <v>587</v>
      </c>
      <c r="M1958" s="20" t="s">
        <v>588</v>
      </c>
      <c r="N1958" s="20" t="s">
        <v>589</v>
      </c>
      <c r="O1958" s="20" t="s">
        <v>590</v>
      </c>
      <c r="P1958" s="6" t="s">
        <v>23</v>
      </c>
      <c r="R1958" s="20" t="n">
        <v>2023</v>
      </c>
      <c r="S1958" s="20" t="n">
        <v>2024</v>
      </c>
      <c r="T1958" s="20" t="n">
        <v>2025</v>
      </c>
      <c r="U1958" s="20" t="n">
        <v>2026</v>
      </c>
      <c r="V1958" s="20" t="n">
        <v>2027</v>
      </c>
      <c r="W1958" s="20" t="n">
        <v>2028</v>
      </c>
      <c r="X1958" s="20" t="n">
        <v>2029</v>
      </c>
      <c r="Y1958" s="20" t="n">
        <v>2030</v>
      </c>
      <c r="Z1958" s="20" t="n">
        <v>2031</v>
      </c>
      <c r="AA1958" s="20" t="n">
        <v>2032</v>
      </c>
    </row>
    <row r="1959" customFormat="false" ht="17.15" hidden="false" customHeight="false" outlineLevel="0" collapsed="false">
      <c r="A1959" s="1" t="s">
        <v>915</v>
      </c>
    </row>
    <row r="1960" customFormat="false" ht="17.15" hidden="false" customHeight="false" outlineLevel="0" collapsed="false">
      <c r="A1960" s="0" t="s">
        <v>916</v>
      </c>
      <c r="B1960" s="0" t="s">
        <v>86</v>
      </c>
      <c r="H1960" s="38" t="n">
        <f aca="false">Sens!$H$1894*(1-tax)</f>
        <v>118.266827252727</v>
      </c>
      <c r="I1960" s="38" t="n">
        <f aca="false">Sens!$I$1894*(1-tax)</f>
        <v>139.223496670249</v>
      </c>
      <c r="J1960" s="38" t="n">
        <f aca="false">Sens!$J$1894*(1-tax)</f>
        <v>158.114596560009</v>
      </c>
      <c r="K1960" s="38" t="n">
        <f aca="false">Sens!$K$1894*(1-tax)</f>
        <v>170.991168342849</v>
      </c>
      <c r="L1960" s="38" t="n">
        <f aca="false">Sens!$L$1894*(1-tax)</f>
        <v>180.428089750033</v>
      </c>
      <c r="M1960" s="38" t="n">
        <f aca="false">Sens!$M$1894*(1-tax)</f>
        <v>189.350952190485</v>
      </c>
    </row>
    <row r="1961" customFormat="false" ht="15" hidden="false" customHeight="false" outlineLevel="0" collapsed="false">
      <c r="A1961" s="5" t="s">
        <v>917</v>
      </c>
      <c r="B1961" s="0" t="s">
        <v>86</v>
      </c>
      <c r="H1961" s="38" t="n">
        <f aca="false">Sens!$H$1905</f>
        <v>82.6191128447211</v>
      </c>
      <c r="I1961" s="38" t="n">
        <f aca="false">Sens!$I$1905</f>
        <v>120.65042161548</v>
      </c>
      <c r="J1961" s="38" t="n">
        <f aca="false">Sens!$J$1905</f>
        <v>160.435893344745</v>
      </c>
      <c r="K1961" s="38" t="n">
        <f aca="false">Sens!$K$1905</f>
        <v>199.360700229943</v>
      </c>
      <c r="L1961" s="38" t="n">
        <f aca="false">Sens!$L$1905</f>
        <v>230.222304808641</v>
      </c>
      <c r="M1961" s="38" t="n">
        <f aca="false">Sens!$M$1905</f>
        <v>251.137298163989</v>
      </c>
    </row>
    <row r="1962" customFormat="false" ht="15" hidden="false" customHeight="false" outlineLevel="0" collapsed="false">
      <c r="A1962" s="5" t="s">
        <v>918</v>
      </c>
      <c r="B1962" s="0" t="s">
        <v>86</v>
      </c>
      <c r="H1962" s="38" t="n">
        <f aca="false">Sens!$H$1936</f>
        <v>273.372679834898</v>
      </c>
      <c r="I1962" s="38" t="n">
        <f aca="false">Sens!$I$1936</f>
        <v>292.218580428425</v>
      </c>
      <c r="J1962" s="38" t="n">
        <f aca="false">Sens!$J$1936</f>
        <v>304.553281578366</v>
      </c>
      <c r="K1962" s="38" t="n">
        <f aca="false">Sens!$K$1936</f>
        <v>287.714522912292</v>
      </c>
      <c r="L1962" s="38" t="n">
        <f aca="false">Sens!$L$1936</f>
        <v>294.794791915646</v>
      </c>
      <c r="M1962" s="38" t="n">
        <f aca="false">Sens!$M$1936</f>
        <v>293.662210098602</v>
      </c>
    </row>
    <row r="1963" customFormat="false" ht="15" hidden="false" customHeight="false" outlineLevel="0" collapsed="false">
      <c r="A1963" s="5" t="s">
        <v>919</v>
      </c>
      <c r="B1963" s="0" t="s">
        <v>86</v>
      </c>
      <c r="H1963" s="38" t="n">
        <f aca="false">Sens!$H$1937</f>
        <v>1.6</v>
      </c>
      <c r="I1963" s="38" t="n">
        <f aca="false">Sens!$I$1937</f>
        <v>1.6</v>
      </c>
      <c r="J1963" s="38" t="n">
        <f aca="false">Sens!$J$1937</f>
        <v>1.6</v>
      </c>
      <c r="K1963" s="38" t="n">
        <f aca="false">Sens!$K$1937</f>
        <v>1.6</v>
      </c>
      <c r="L1963" s="38" t="n">
        <f aca="false">Sens!$L$1937</f>
        <v>1.6</v>
      </c>
      <c r="M1963" s="38" t="n">
        <f aca="false">Sens!$M$1937</f>
        <v>1.6</v>
      </c>
    </row>
    <row r="1964" customFormat="false" ht="15" hidden="false" customHeight="false" outlineLevel="0" collapsed="false">
      <c r="A1964" s="5" t="s">
        <v>920</v>
      </c>
      <c r="B1964" s="0" t="s">
        <v>86</v>
      </c>
      <c r="H1964" s="38" t="n">
        <f aca="false">Sens!$H$1931</f>
        <v>11.2928295263397</v>
      </c>
      <c r="I1964" s="38" t="n">
        <f aca="false">Sens!$I$1931</f>
        <v>12.8091546115766</v>
      </c>
      <c r="J1964" s="38" t="n">
        <f aca="false">Sens!$J$1931</f>
        <v>14.2605653162668</v>
      </c>
      <c r="K1964" s="38" t="n">
        <f aca="false">Sens!$K$1931</f>
        <v>15.5327622460396</v>
      </c>
      <c r="L1964" s="38" t="n">
        <f aca="false">Sens!$L$1931</f>
        <v>16.720573737517</v>
      </c>
      <c r="M1964" s="38" t="n">
        <f aca="false">Sens!$M$1931</f>
        <v>17.8283127551536</v>
      </c>
    </row>
    <row r="1965" customFormat="false" ht="17.15" hidden="false" customHeight="false" outlineLevel="0" collapsed="false">
      <c r="A1965" s="1" t="s">
        <v>921</v>
      </c>
      <c r="B1965" s="8" t="s">
        <v>86</v>
      </c>
      <c r="H1965" s="38" t="n">
        <f aca="false">Sens!$H$1960+Sens!$H$1961-Sens!$H$1962+Sens!$H$1964</f>
        <v>-61.1939102111104</v>
      </c>
      <c r="I1965" s="38" t="n">
        <f aca="false">Sens!$I$1960+Sens!$I$1961-Sens!$I$1962+Sens!$I$1964</f>
        <v>-19.535507531119</v>
      </c>
      <c r="J1965" s="38" t="n">
        <f aca="false">Sens!$J$1960+Sens!$J$1961-Sens!$J$1962+Sens!$J$1964</f>
        <v>28.2577736426551</v>
      </c>
      <c r="K1965" s="38" t="n">
        <f aca="false">Sens!$K$1960+Sens!$K$1961-Sens!$K$1962+Sens!$K$1964</f>
        <v>98.170107906539</v>
      </c>
      <c r="L1965" s="38" t="n">
        <f aca="false">Sens!$L$1960+Sens!$L$1961-Sens!$L$1962+Sens!$L$1964</f>
        <v>132.576176380545</v>
      </c>
      <c r="M1965" s="38" t="n">
        <f aca="false">Sens!$M$1960+Sens!$M$1961-Sens!$M$1962+Sens!$M$1964</f>
        <v>164.654353011025</v>
      </c>
    </row>
    <row r="1966" customFormat="false" ht="15" hidden="false" customHeight="false" outlineLevel="0" collapsed="false">
      <c r="A1966" s="5" t="s">
        <v>922</v>
      </c>
      <c r="B1966" s="0" t="s">
        <v>57</v>
      </c>
      <c r="H1966" s="40" t="n">
        <f aca="false">1/(1+wacc)^(2027-2026-0.5)</f>
        <v>0.947751320380232</v>
      </c>
      <c r="I1966" s="40" t="n">
        <f aca="false">1/(1+wacc)^(2028-2026-0.5)</f>
        <v>0.851301099754987</v>
      </c>
      <c r="J1966" s="40" t="n">
        <f aca="false">1/(1+wacc)^(2029-2026-0.5)</f>
        <v>0.764666370660713</v>
      </c>
      <c r="K1966" s="40" t="n">
        <f aca="false">1/(1+wacc)^(2030-2026-0.5)</f>
        <v>0.686848235703811</v>
      </c>
      <c r="L1966" s="40" t="n">
        <f aca="false">1/(1+wacc)^(2031-2026-0.5)</f>
        <v>0.616949452715975</v>
      </c>
      <c r="M1966" s="40" t="n">
        <f aca="false">1/(1+wacc)^(2032-2026-0.5)</f>
        <v>0.554164089562688</v>
      </c>
    </row>
    <row r="1967" customFormat="false" ht="15" hidden="false" customHeight="false" outlineLevel="0" collapsed="false">
      <c r="A1967" s="5" t="s">
        <v>923</v>
      </c>
      <c r="B1967" s="0" t="s">
        <v>86</v>
      </c>
      <c r="H1967" s="38" t="n">
        <f aca="false">Sens!$H$1965*Sens!$H$1966</f>
        <v>-57.9966092018092</v>
      </c>
      <c r="I1967" s="38" t="n">
        <f aca="false">Sens!$I$1965*Sens!$I$1966</f>
        <v>-16.6305990455135</v>
      </c>
      <c r="J1967" s="38" t="n">
        <f aca="false">Sens!$J$1965*Sens!$J$1966</f>
        <v>21.607769214281</v>
      </c>
      <c r="K1967" s="38" t="n">
        <f aca="false">Sens!$K$1965*Sens!$K$1966</f>
        <v>67.427965414459</v>
      </c>
      <c r="L1967" s="38" t="n">
        <f aca="false">Sens!$L$1965*Sens!$L$1966</f>
        <v>81.7927994611539</v>
      </c>
      <c r="M1967" s="38" t="n">
        <f aca="false">Sens!$M$1965*Sens!$M$1966</f>
        <v>91.2455296288879</v>
      </c>
    </row>
    <row r="1968" customFormat="false" ht="15" hidden="false" customHeight="false" outlineLevel="0" collapsed="false">
      <c r="A1968" s="5" t="s">
        <v>924</v>
      </c>
      <c r="B1968" s="0" t="s">
        <v>86</v>
      </c>
      <c r="C1968" s="38" t="n">
        <f aca="false">SUM(Sens!$H$1967:$M$1967)</f>
        <v>187.446855471459</v>
      </c>
    </row>
    <row r="1969" customFormat="false" ht="17.15" hidden="false" customHeight="false" outlineLevel="0" collapsed="false">
      <c r="A1969" s="5" t="s">
        <v>925</v>
      </c>
      <c r="B1969" s="0" t="s">
        <v>86</v>
      </c>
      <c r="C1969" s="38" t="n">
        <f aca="false">Sens!$M$1960*(1+tg)*(1-tg/ronic)/(wacc-tg)</f>
        <v>1721.41144912155</v>
      </c>
    </row>
    <row r="1970" customFormat="false" ht="15" hidden="false" customHeight="false" outlineLevel="0" collapsed="false">
      <c r="A1970" s="5" t="s">
        <v>926</v>
      </c>
      <c r="B1970" s="0" t="s">
        <v>86</v>
      </c>
      <c r="C1970" s="38" t="n">
        <f aca="false">Sens!$C$1969/(1+wacc)^6</f>
        <v>904.102072692262</v>
      </c>
    </row>
    <row r="1971" customFormat="false" ht="17.15" hidden="false" customHeight="false" outlineLevel="0" collapsed="false">
      <c r="A1971" s="5" t="s">
        <v>927</v>
      </c>
      <c r="B1971" s="0" t="s">
        <v>86</v>
      </c>
      <c r="C1971" s="38" t="n">
        <f aca="false">Sens!$C$1968+Sens!$C$1970</f>
        <v>1091.54892816372</v>
      </c>
    </row>
    <row r="1972" customFormat="false" ht="17.15" hidden="false" customHeight="false" outlineLevel="0" collapsed="false">
      <c r="A1972" s="5" t="s">
        <v>928</v>
      </c>
      <c r="B1972" s="0" t="s">
        <v>52</v>
      </c>
      <c r="C1972" s="13" t="n">
        <f aca="false">Sens!$C$1970/Sens!$C$1971</f>
        <v>0.828274435863544</v>
      </c>
    </row>
    <row r="1973" customFormat="false" ht="17.15" hidden="false" customHeight="false" outlineLevel="0" collapsed="false">
      <c r="A1973" s="5" t="s">
        <v>929</v>
      </c>
      <c r="B1973" s="0" t="s">
        <v>86</v>
      </c>
      <c r="C1973" s="38" t="n">
        <f aca="false">Sens!$G$1949+fin_debt</f>
        <v>96.8462114389692</v>
      </c>
    </row>
    <row r="1974" customFormat="false" ht="17.15" hidden="false" customHeight="false" outlineLevel="0" collapsed="false">
      <c r="A1974" s="5" t="s">
        <v>930</v>
      </c>
      <c r="B1974" s="0" t="s">
        <v>86</v>
      </c>
      <c r="C1974" s="38" t="n">
        <f aca="false">(ant_val*ant_sh+oai_val*oai_sh)*(1-liq_disc)</f>
        <v>178.944</v>
      </c>
    </row>
    <row r="1975" customFormat="false" ht="15" hidden="false" customHeight="false" outlineLevel="0" collapsed="false">
      <c r="A1975" s="5" t="s">
        <v>931</v>
      </c>
      <c r="B1975" s="0" t="s">
        <v>86</v>
      </c>
      <c r="C1975" s="38" t="n">
        <f aca="false">Sens!$C$1971-Sens!$C$1973+Sens!$C$1974</f>
        <v>1173.64671672475</v>
      </c>
    </row>
    <row r="1976" customFormat="false" ht="17.15" hidden="false" customHeight="false" outlineLevel="0" collapsed="false">
      <c r="A1976" s="5" t="s">
        <v>932</v>
      </c>
      <c r="B1976" s="0" t="s">
        <v>27</v>
      </c>
      <c r="C1976" s="30" t="n">
        <f aca="false">Sens!$C$1975/sh_out</f>
        <v>108.80887731664</v>
      </c>
    </row>
    <row r="1977" customFormat="false" ht="17.15" hidden="false" customHeight="false" outlineLevel="0" collapsed="false">
      <c r="A1977" s="1" t="s">
        <v>933</v>
      </c>
      <c r="B1977" s="8" t="s">
        <v>27</v>
      </c>
      <c r="C1977" s="30" t="n">
        <f aca="false">Sens!$C$1976*(1+ke)^tp_yf-dps*tp_yf</f>
        <v>119.185854432528</v>
      </c>
    </row>
    <row r="1978" customFormat="false" ht="17.15" hidden="false" customHeight="false" outlineLevel="0" collapsed="false">
      <c r="A1978" s="3" t="s">
        <v>934</v>
      </c>
    </row>
    <row r="1979" customFormat="false" ht="17.15" hidden="false" customHeight="false" outlineLevel="0" collapsed="false">
      <c r="A1979" s="5" t="s">
        <v>935</v>
      </c>
      <c r="B1979" s="0" t="s">
        <v>86</v>
      </c>
      <c r="C1979" s="38" t="n">
        <f aca="false">(1-tp_yf)*(Sens!$H$1906+sbc_ab*Sens!$H$1930*Sens!$H$1770/Sens!$H$1847)+tp_yf*(Sens!$I$1906+sbc_ab*Sens!$I$1930*Sens!$I$1770/Sens!$I$1847)</f>
        <v>59.634664536349</v>
      </c>
    </row>
    <row r="1980" customFormat="false" ht="15" hidden="false" customHeight="false" outlineLevel="0" collapsed="false">
      <c r="A1980" s="5" t="s">
        <v>936</v>
      </c>
      <c r="B1980" s="0" t="s">
        <v>57</v>
      </c>
      <c r="C1980" s="30" t="n">
        <f aca="false">m_ads*m_x</f>
        <v>9.11</v>
      </c>
    </row>
    <row r="1981" customFormat="false" ht="17.15" hidden="false" customHeight="false" outlineLevel="0" collapsed="false">
      <c r="A1981" s="5" t="s">
        <v>937</v>
      </c>
      <c r="B1981" s="0" t="s">
        <v>86</v>
      </c>
      <c r="C1981" s="38" t="n">
        <f aca="false">Sens!$C$1979*Sens!$C$1980</f>
        <v>543.271793926139</v>
      </c>
    </row>
    <row r="1982" customFormat="false" ht="17.15" hidden="false" customHeight="false" outlineLevel="0" collapsed="false">
      <c r="A1982" s="5" t="s">
        <v>938</v>
      </c>
      <c r="B1982" s="0" t="s">
        <v>86</v>
      </c>
      <c r="C1982" s="38" t="n">
        <f aca="false">(1-tp_yf)*(Sens!$H$1907+sbc_ab*Sens!$H$1930*(Sens!$H$1777-Sens!$H$1770)/Sens!$H$1847+IF(internal_ai_reading=2,1,0)*(1-ext_sh)*Sens!$H$1807)+tp_yf*(Sens!$I$1907+sbc_ab*Sens!$I$1930*(Sens!$I$1777-Sens!$I$1770)/Sens!$I$1847+IF(internal_ai_reading=2,1,0)*(1-ext_sh)*Sens!$I$1807)</f>
        <v>51.5188343009131</v>
      </c>
    </row>
    <row r="1983" customFormat="false" ht="17.15" hidden="false" customHeight="false" outlineLevel="0" collapsed="false">
      <c r="A1983" s="5" t="s">
        <v>939</v>
      </c>
      <c r="B1983" s="0" t="s">
        <v>57</v>
      </c>
      <c r="C1983" s="30" t="n">
        <f aca="false">m_retail*m_x</f>
        <v>17.72</v>
      </c>
    </row>
    <row r="1984" customFormat="false" ht="17.15" hidden="false" customHeight="false" outlineLevel="0" collapsed="false">
      <c r="A1984" s="5" t="s">
        <v>940</v>
      </c>
      <c r="B1984" s="0" t="s">
        <v>86</v>
      </c>
      <c r="C1984" s="38" t="n">
        <f aca="false">Sens!$C$1982*Sens!$C$1983</f>
        <v>912.913743812181</v>
      </c>
    </row>
    <row r="1985" customFormat="false" ht="17.15" hidden="false" customHeight="false" outlineLevel="0" collapsed="false">
      <c r="A1985" s="0" t="s">
        <v>941</v>
      </c>
      <c r="B1985" s="0" t="s">
        <v>86</v>
      </c>
      <c r="C1985" s="38" t="n">
        <f aca="false">(1-tp_yf)*(Sens!$H$1908+sbc_ab*Sens!$H$1930*Sens!$H$1845/Sens!$H$1847)+tp_yf*(Sens!$I$1908+sbc_ab*Sens!$I$1930*Sens!$I$1845/Sens!$I$1847)</f>
        <v>96.8531188125222</v>
      </c>
    </row>
    <row r="1986" customFormat="false" ht="17.15" hidden="false" customHeight="false" outlineLevel="0" collapsed="false">
      <c r="A1986" s="0" t="s">
        <v>942</v>
      </c>
      <c r="B1986" s="0" t="s">
        <v>57</v>
      </c>
      <c r="C1986" s="30" t="n">
        <f aca="false">m_cloud*m_x</f>
        <v>13.82</v>
      </c>
    </row>
    <row r="1987" customFormat="false" ht="17.15" hidden="false" customHeight="false" outlineLevel="0" collapsed="false">
      <c r="A1987" s="0" t="s">
        <v>943</v>
      </c>
      <c r="B1987" s="0" t="s">
        <v>86</v>
      </c>
      <c r="C1987" s="38" t="n">
        <f aca="false">Sens!$C$1985*Sens!$C$1986</f>
        <v>1338.51010198906</v>
      </c>
    </row>
    <row r="1988" customFormat="false" ht="17.15" hidden="false" customHeight="false" outlineLevel="0" collapsed="false">
      <c r="A1988" s="0" t="s">
        <v>944</v>
      </c>
      <c r="B1988" s="0" t="s">
        <v>86</v>
      </c>
      <c r="H1988" s="38" t="n">
        <f aca="false">Sens!$H$1826-tax*Sens!$H$1827-ext_sh*Sens!$H$1814</f>
        <v>-115.211859663216</v>
      </c>
      <c r="I1988" s="38" t="n">
        <f aca="false">Sens!$I$1826-tax*Sens!$I$1827-ext_sh*Sens!$I$1814</f>
        <v>-92.4033685834862</v>
      </c>
      <c r="J1988" s="38" t="n">
        <f aca="false">Sens!$J$1826-tax*Sens!$J$1827-ext_sh*Sens!$J$1814</f>
        <v>-64.3118605734369</v>
      </c>
      <c r="K1988" s="38" t="n">
        <f aca="false">Sens!$K$1826-tax*Sens!$K$1827-ext_sh*Sens!$K$1814</f>
        <v>-17.537901996174</v>
      </c>
      <c r="L1988" s="38" t="n">
        <f aca="false">Sens!$L$1826-tax*Sens!$L$1827-ext_sh*Sens!$L$1814</f>
        <v>1.29219262126921</v>
      </c>
      <c r="M1988" s="38" t="n">
        <f aca="false">Sens!$M$1826-tax*Sens!$M$1827-ext_sh*Sens!$M$1814</f>
        <v>17.6257827264566</v>
      </c>
    </row>
    <row r="1989" customFormat="false" ht="17.15" hidden="false" customHeight="false" outlineLevel="0" collapsed="false">
      <c r="A1989" s="5" t="s">
        <v>945</v>
      </c>
      <c r="B1989" s="0" t="s">
        <v>86</v>
      </c>
      <c r="H1989" s="38" t="n">
        <f aca="false">Sens!$H$1988*Sens!$H$1966</f>
        <v>-109.192192119275</v>
      </c>
      <c r="I1989" s="38" t="n">
        <f aca="false">Sens!$I$1988*Sens!$I$1966</f>
        <v>-78.6630892961873</v>
      </c>
      <c r="J1989" s="38" t="n">
        <f aca="false">Sens!$J$1988*Sens!$J$1966</f>
        <v>-49.1771170151278</v>
      </c>
      <c r="K1989" s="38" t="n">
        <f aca="false">Sens!$K$1988*Sens!$K$1966</f>
        <v>-12.0458770440185</v>
      </c>
      <c r="L1989" s="38" t="n">
        <f aca="false">Sens!$L$1988*Sens!$L$1966</f>
        <v>0.797217530495659</v>
      </c>
      <c r="M1989" s="38" t="n">
        <f aca="false">Sens!$M$1988*Sens!$M$1966</f>
        <v>9.76757583743657</v>
      </c>
    </row>
    <row r="1990" customFormat="false" ht="17.15" hidden="false" customHeight="false" outlineLevel="0" collapsed="false">
      <c r="A1990" s="5" t="s">
        <v>946</v>
      </c>
      <c r="B1990" s="0" t="s">
        <v>86</v>
      </c>
      <c r="C1990" s="38" t="n">
        <f aca="false">Sens!$M$1827*(1-tax)*(1+tg)*(1-tg/ronic)/(wacc-tg)</f>
        <v>219.465551770455</v>
      </c>
    </row>
    <row r="1991" customFormat="false" ht="17.15" hidden="false" customHeight="false" outlineLevel="0" collapsed="false">
      <c r="A1991" s="0" t="s">
        <v>947</v>
      </c>
      <c r="B1991" s="0" t="s">
        <v>86</v>
      </c>
      <c r="C1991" s="38" t="n">
        <f aca="false">(SUM(Sens!$I$1989:$M$1989)+Sens!$C$1990/(1+wacc)^6)*(1+wacc)^tp_yf</f>
        <v>-15.3520888077837</v>
      </c>
    </row>
    <row r="1992" customFormat="false" ht="17.15" hidden="false" customHeight="false" outlineLevel="0" collapsed="false">
      <c r="A1992" s="5" t="s">
        <v>948</v>
      </c>
      <c r="B1992" s="0" t="s">
        <v>86</v>
      </c>
      <c r="C1992" s="38" t="n">
        <f aca="false">(1-tp_yf)*(Sens!$H$1909)+tp_yf*(Sens!$I$1909)</f>
        <v>74.6707041238437</v>
      </c>
    </row>
    <row r="1993" customFormat="false" ht="17.15" hidden="false" customHeight="false" outlineLevel="0" collapsed="false">
      <c r="A1993" s="5" t="s">
        <v>949</v>
      </c>
      <c r="B1993" s="0" t="s">
        <v>86</v>
      </c>
      <c r="C1993" s="38" t="n">
        <f aca="false">Sens!$C$1992*m_ai</f>
        <v>448.024224743062</v>
      </c>
    </row>
    <row r="1994" customFormat="false" ht="17.15" hidden="false" customHeight="false" outlineLevel="0" collapsed="false">
      <c r="A1994" s="0" t="s">
        <v>950</v>
      </c>
      <c r="B1994" s="0" t="s">
        <v>86</v>
      </c>
      <c r="C1994" s="38" t="n">
        <f aca="false">IF(ai_leg=1,Sens!$C$1991,Sens!$C$1993)</f>
        <v>-15.3520888077837</v>
      </c>
    </row>
    <row r="1995" customFormat="false" ht="17.15" hidden="false" customHeight="false" outlineLevel="0" collapsed="false">
      <c r="A1995" s="5" t="s">
        <v>951</v>
      </c>
      <c r="B1995" s="0" t="s">
        <v>86</v>
      </c>
      <c r="C1995" s="38" t="n">
        <f aca="false">Sens!$C$1981+Sens!$C$1984+Sens!$C$1987+Sens!$C$1994</f>
        <v>2779.34355091959</v>
      </c>
    </row>
    <row r="1996" customFormat="false" ht="17.15" hidden="false" customHeight="false" outlineLevel="0" collapsed="false">
      <c r="A1996" s="5" t="s">
        <v>952</v>
      </c>
      <c r="B1996" s="0" t="s">
        <v>86</v>
      </c>
      <c r="C1996" s="38" t="n">
        <f aca="false">Sens!$H$1949+fin_debt</f>
        <v>151.714373805738</v>
      </c>
    </row>
    <row r="1997" customFormat="false" ht="15" hidden="false" customHeight="false" outlineLevel="0" collapsed="false">
      <c r="A1997" s="5" t="s">
        <v>953</v>
      </c>
      <c r="B1997" s="0" t="s">
        <v>86</v>
      </c>
      <c r="C1997" s="38" t="n">
        <f aca="false">Sens!$C$1995-Sens!$C$1996+Sens!$C$1974</f>
        <v>2806.57317711386</v>
      </c>
    </row>
    <row r="1998" customFormat="false" ht="15" hidden="false" customHeight="false" outlineLevel="0" collapsed="false">
      <c r="A1998" s="3" t="s">
        <v>954</v>
      </c>
      <c r="B1998" s="8" t="s">
        <v>27</v>
      </c>
      <c r="C1998" s="30" t="n">
        <f aca="false">Sens!$C$1997/sh_val</f>
        <v>254.441820705544</v>
      </c>
    </row>
    <row r="1999" customFormat="false" ht="17.15" hidden="false" customHeight="false" outlineLevel="0" collapsed="false">
      <c r="A1999" s="47" t="s">
        <v>955</v>
      </c>
      <c r="B1999" s="14" t="s">
        <v>27</v>
      </c>
      <c r="C1999" s="44" t="n">
        <f aca="false">w_dcf*Sens!$C$1977+(1-w_dcf)*Sens!$C$1998</f>
        <v>186.813837569036</v>
      </c>
      <c r="D1999" s="14"/>
      <c r="E1999" s="14"/>
      <c r="F1999" s="14"/>
      <c r="G1999" s="14"/>
      <c r="H1999" s="14"/>
      <c r="I1999" s="14"/>
      <c r="J1999" s="14"/>
      <c r="K1999" s="14"/>
      <c r="L1999" s="14"/>
      <c r="M1999" s="14"/>
      <c r="N1999" s="14"/>
      <c r="O1999" s="14"/>
    </row>
    <row r="2000" customFormat="false" ht="17.15" hidden="false" customHeight="false" outlineLevel="0" collapsed="false">
      <c r="A2000" s="5" t="s">
        <v>956</v>
      </c>
      <c r="B2000" s="0" t="s">
        <v>27</v>
      </c>
      <c r="C2000" s="30" t="n">
        <f aca="false">v022_wdcf*Sens!$C$1977+(1-v022_wdcf)*Sens!$C$1998</f>
        <v>193.576635882687</v>
      </c>
    </row>
    <row r="2001" customFormat="false" ht="17.15" hidden="false" customHeight="false" outlineLevel="0" collapsed="false">
      <c r="A2001" s="5" t="s">
        <v>957</v>
      </c>
      <c r="B2001" s="0" t="s">
        <v>27</v>
      </c>
      <c r="C2001" s="30" t="n">
        <f aca="false">(Sens!$C$1997-Sens!$C$1994+Sens!$C$1993)/sh_val</f>
        <v>296.451169990691</v>
      </c>
    </row>
    <row r="2004" customFormat="false" ht="19.4" hidden="false" customHeight="false" outlineLevel="0" collapsed="false">
      <c r="A2004" s="31" t="s">
        <v>1175</v>
      </c>
    </row>
    <row r="2005" customFormat="false" ht="17.15" hidden="false" customHeight="false" outlineLevel="0" collapsed="false">
      <c r="A2005" s="6" t="s">
        <v>16</v>
      </c>
      <c r="B2005" s="6" t="s">
        <v>17</v>
      </c>
      <c r="C2005" s="20" t="s">
        <v>497</v>
      </c>
      <c r="D2005" s="20" t="s">
        <v>498</v>
      </c>
      <c r="E2005" s="20" t="s">
        <v>580</v>
      </c>
      <c r="F2005" s="20" t="s">
        <v>581</v>
      </c>
      <c r="G2005" s="20" t="s">
        <v>582</v>
      </c>
      <c r="H2005" s="20" t="s">
        <v>583</v>
      </c>
      <c r="I2005" s="20" t="s">
        <v>584</v>
      </c>
      <c r="J2005" s="20" t="s">
        <v>585</v>
      </c>
      <c r="K2005" s="20" t="s">
        <v>586</v>
      </c>
      <c r="L2005" s="20" t="s">
        <v>587</v>
      </c>
      <c r="M2005" s="20" t="s">
        <v>588</v>
      </c>
      <c r="N2005" s="20" t="s">
        <v>589</v>
      </c>
      <c r="O2005" s="20" t="s">
        <v>590</v>
      </c>
      <c r="P2005" s="6" t="s">
        <v>23</v>
      </c>
      <c r="R2005" s="20" t="n">
        <v>2023</v>
      </c>
      <c r="S2005" s="20" t="n">
        <v>2024</v>
      </c>
      <c r="T2005" s="20" t="n">
        <v>2025</v>
      </c>
      <c r="U2005" s="20" t="n">
        <v>2026</v>
      </c>
      <c r="V2005" s="20" t="n">
        <v>2027</v>
      </c>
      <c r="W2005" s="20" t="n">
        <v>2028</v>
      </c>
      <c r="X2005" s="20" t="n">
        <v>2029</v>
      </c>
      <c r="Y2005" s="20" t="n">
        <v>2030</v>
      </c>
      <c r="Z2005" s="20" t="n">
        <v>2031</v>
      </c>
      <c r="AA2005" s="20" t="n">
        <v>2032</v>
      </c>
    </row>
    <row r="2006" customFormat="false" ht="17.15" hidden="false" customHeight="false" outlineLevel="0" collapsed="false">
      <c r="A2006" s="1" t="s">
        <v>666</v>
      </c>
    </row>
    <row r="2007" customFormat="false" ht="17.15" hidden="false" customHeight="false" outlineLevel="0" collapsed="false">
      <c r="A2007" s="0" t="s">
        <v>519</v>
      </c>
      <c r="B2007" s="0" t="s">
        <v>86</v>
      </c>
      <c r="C2007" s="38" t="n">
        <f aca="false">Q!$D$10</f>
        <v>247.029</v>
      </c>
      <c r="D2007" s="38" t="n">
        <f aca="false">Q!$E$10</f>
        <v>269.287</v>
      </c>
      <c r="E2007" s="38" t="n">
        <f aca="false">Q!$P$10</f>
        <v>134.686</v>
      </c>
      <c r="F2007" s="38" t="n">
        <f aca="false">Sens!$O$2007*(1+Sens!$F$2008)*Sens!$F$2019</f>
        <v>158.293876822267</v>
      </c>
      <c r="G2007" s="38" t="n">
        <f aca="false">Sens!$E$2007+Sens!$F$2007</f>
        <v>292.979876822267</v>
      </c>
      <c r="H2007" s="38" t="n">
        <f aca="false">Sens!$G$2007*(1+Sens!$H$2008)</f>
        <v>318.184543087396</v>
      </c>
      <c r="I2007" s="38" t="n">
        <f aca="false">Sens!$H$2007*(1+Sens!$I$2008)</f>
        <v>341.736278761793</v>
      </c>
      <c r="J2007" s="38" t="n">
        <f aca="false">Sens!$I$2007*(1+Sens!$J$2008)</f>
        <v>362.927192787048</v>
      </c>
      <c r="K2007" s="38" t="n">
        <f aca="false">Sens!$J$2007*(1+Sens!$K$2008)</f>
        <v>381.0735524264</v>
      </c>
      <c r="L2007" s="38" t="n">
        <f aca="false">Sens!$K$2007*(1+Sens!$L$2008)</f>
        <v>400.12723004772</v>
      </c>
      <c r="M2007" s="38" t="n">
        <f aca="false">Sens!$L$2007*(1+Sens!$M$2008)</f>
        <v>420.133591550106</v>
      </c>
      <c r="N2007" s="38" t="n">
        <f aca="false">Q!$N$10</f>
        <v>118.892</v>
      </c>
      <c r="O2007" s="38" t="n">
        <f aca="false">Q!$O$10</f>
        <v>150.395</v>
      </c>
      <c r="P2007" s="8" t="s">
        <v>667</v>
      </c>
    </row>
    <row r="2008" customFormat="false" ht="17.15" hidden="false" customHeight="false" outlineLevel="0" collapsed="false">
      <c r="A2008" s="0" t="s">
        <v>668</v>
      </c>
      <c r="B2008" s="0" t="s">
        <v>52</v>
      </c>
      <c r="E2008" s="13" t="n">
        <f aca="false">Sens!$E$2007/Sens!$N$2007-1</f>
        <v>0.132843252699929</v>
      </c>
      <c r="F2008" s="13" t="n">
        <f aca="false">Sens!$O$2007/(Q!$F$10+Q!$G$10)-1</f>
        <v>0.0980382135842941</v>
      </c>
      <c r="G2008" s="13" t="n">
        <f aca="false">Sens!$G$2007/Sens!$D$2007-1</f>
        <v>0.0879837378791657</v>
      </c>
      <c r="H2008" s="13" t="n">
        <f aca="false">Sens!$F$2008+(g_os-Sens!$F$2008)*1/4</f>
        <v>0.0860286601882206</v>
      </c>
      <c r="I2008" s="13" t="n">
        <f aca="false">Sens!$F$2008+(g_os-Sens!$F$2008)*2/4</f>
        <v>0.074019106792147</v>
      </c>
      <c r="J2008" s="13" t="n">
        <f aca="false">Sens!$F$2008+(g_os-Sens!$F$2008)*3/4</f>
        <v>0.0620095533960735</v>
      </c>
      <c r="K2008" s="13" t="n">
        <f aca="false">Sens!$F$2008+(g_os-Sens!$F$2008)*4/4</f>
        <v>0.05</v>
      </c>
      <c r="L2008" s="13" t="n">
        <f aca="false">g_os</f>
        <v>0.05</v>
      </c>
      <c r="M2008" s="13" t="n">
        <f aca="false">g_os</f>
        <v>0.05</v>
      </c>
      <c r="P2008" s="8" t="s">
        <v>669</v>
      </c>
    </row>
    <row r="2009" customFormat="false" ht="17.15" hidden="false" customHeight="false" outlineLevel="0" collapsed="false">
      <c r="A2009" s="0" t="s">
        <v>520</v>
      </c>
      <c r="B2009" s="0" t="s">
        <v>86</v>
      </c>
      <c r="C2009" s="38" t="n">
        <f aca="false">Q!$D$11</f>
        <v>21.215</v>
      </c>
      <c r="D2009" s="38" t="n">
        <f aca="false">Q!$E$11</f>
        <v>22.561</v>
      </c>
      <c r="E2009" s="38" t="n">
        <f aca="false">Q!$P$11</f>
        <v>11.579</v>
      </c>
      <c r="F2009" s="38" t="n">
        <f aca="false">Sens!$O$2009*(1+Sens!$F$2010)*Sens!$F$2019</f>
        <v>11.5938724610325</v>
      </c>
      <c r="G2009" s="38" t="n">
        <f aca="false">Sens!$E$2009+Sens!$F$2009</f>
        <v>23.1728724610325</v>
      </c>
      <c r="H2009" s="38" t="n">
        <f aca="false">Sens!$G$2009*(1+Sens!$H$2010)</f>
        <v>24.353392759506</v>
      </c>
      <c r="I2009" s="38" t="n">
        <f aca="false">Sens!$H$2009*(1+Sens!$I$2010)</f>
        <v>25.4240338872015</v>
      </c>
      <c r="J2009" s="38" t="n">
        <f aca="false">Sens!$I$2009*(1+Sens!$J$2010)</f>
        <v>26.3642491017174</v>
      </c>
      <c r="K2009" s="38" t="n">
        <f aca="false">Sens!$J$2009*(1+Sens!$K$2010)</f>
        <v>27.155176574769</v>
      </c>
      <c r="L2009" s="38" t="n">
        <f aca="false">Sens!$K$2009*(1+Sens!$L$2010)</f>
        <v>27.969831872012</v>
      </c>
      <c r="M2009" s="38" t="n">
        <f aca="false">Sens!$L$2009*(1+Sens!$M$2010)</f>
        <v>28.8089268281724</v>
      </c>
      <c r="N2009" s="38" t="n">
        <f aca="false">Q!$N$11</f>
        <v>11.128</v>
      </c>
      <c r="O2009" s="38" t="n">
        <f aca="false">Q!$O$11</f>
        <v>11.433</v>
      </c>
      <c r="P2009" s="8" t="s">
        <v>667</v>
      </c>
    </row>
    <row r="2010" customFormat="false" ht="17.15" hidden="false" customHeight="false" outlineLevel="0" collapsed="false">
      <c r="A2010" s="0" t="s">
        <v>670</v>
      </c>
      <c r="B2010" s="0" t="s">
        <v>52</v>
      </c>
      <c r="E2010" s="13" t="n">
        <f aca="false">Sens!$E$2009/Sens!$N$2009-1</f>
        <v>0.0405283968368082</v>
      </c>
      <c r="F2010" s="13" t="n">
        <f aca="false">Sens!$O$2009/(Q!$F$11+Q!$G$11)-1</f>
        <v>0.0579254187100955</v>
      </c>
      <c r="G2010" s="13" t="n">
        <f aca="false">Sens!$G$2009/Sens!$D$2009-1</f>
        <v>0.0271208040881397</v>
      </c>
      <c r="H2010" s="13" t="n">
        <f aca="false">Sens!$F$2010+(g_ps-Sens!$F$2010)*1/4</f>
        <v>0.0509440640325716</v>
      </c>
      <c r="I2010" s="13" t="n">
        <f aca="false">Sens!$F$2010+(g_ps-Sens!$F$2010)*2/4</f>
        <v>0.0439627093550477</v>
      </c>
      <c r="J2010" s="13" t="n">
        <f aca="false">Sens!$F$2010+(g_ps-Sens!$F$2010)*3/4</f>
        <v>0.0369813546775239</v>
      </c>
      <c r="K2010" s="13" t="n">
        <f aca="false">Sens!$F$2010+(g_ps-Sens!$F$2010)*4/4</f>
        <v>0.03</v>
      </c>
      <c r="L2010" s="13" t="n">
        <f aca="false">g_ps</f>
        <v>0.03</v>
      </c>
      <c r="M2010" s="13" t="n">
        <f aca="false">g_ps</f>
        <v>0.03</v>
      </c>
      <c r="P2010" s="8" t="s">
        <v>671</v>
      </c>
    </row>
    <row r="2011" customFormat="false" ht="17.15" hidden="false" customHeight="false" outlineLevel="0" collapsed="false">
      <c r="A2011" s="0" t="s">
        <v>521</v>
      </c>
      <c r="B2011" s="0" t="s">
        <v>86</v>
      </c>
      <c r="C2011" s="38" t="n">
        <f aca="false">Q!$D$12</f>
        <v>156.146</v>
      </c>
      <c r="D2011" s="38" t="n">
        <f aca="false">Q!$E$12</f>
        <v>172.162</v>
      </c>
      <c r="E2011" s="38" t="n">
        <f aca="false">Q!$P$12</f>
        <v>88.358</v>
      </c>
      <c r="F2011" s="38" t="n">
        <f aca="false">Sens!$O$2011*(1+Sens!$F$2012)*Sens!$F$2019</f>
        <v>102.004388260171</v>
      </c>
      <c r="G2011" s="38" t="n">
        <f aca="false">Sens!$E$2011+Sens!$F$2011</f>
        <v>190.362388260171</v>
      </c>
      <c r="H2011" s="38" t="n">
        <f aca="false">Sens!$G$2011*(1+Sens!$H$2012)</f>
        <v>210.343106588311</v>
      </c>
      <c r="I2011" s="38" t="n">
        <f aca="false">Sens!$H$2011*(1+Sens!$I$2012)</f>
        <v>229.969728494648</v>
      </c>
      <c r="J2011" s="38" t="n">
        <f aca="false">Sens!$I$2011*(1+Sens!$J$2012)</f>
        <v>248.747636972598</v>
      </c>
      <c r="K2011" s="38" t="n">
        <f aca="false">Sens!$J$2011*(1+Sens!$K$2012)</f>
        <v>266.15997156068</v>
      </c>
      <c r="L2011" s="38" t="n">
        <f aca="false">Sens!$K$2011*(1+Sens!$L$2012)</f>
        <v>284.791169569927</v>
      </c>
      <c r="M2011" s="38" t="n">
        <f aca="false">Sens!$L$2011*(1+Sens!$M$2012)</f>
        <v>304.726551439822</v>
      </c>
      <c r="N2011" s="38" t="n">
        <f aca="false">Q!$N$12</f>
        <v>76.86</v>
      </c>
      <c r="O2011" s="38" t="n">
        <f aca="false">Q!$O$12</f>
        <v>95.302</v>
      </c>
      <c r="P2011" s="8" t="s">
        <v>667</v>
      </c>
    </row>
    <row r="2012" customFormat="false" ht="17.15" hidden="false" customHeight="false" outlineLevel="0" collapsed="false">
      <c r="A2012" s="0" t="s">
        <v>672</v>
      </c>
      <c r="B2012" s="0" t="s">
        <v>52</v>
      </c>
      <c r="E2012" s="13" t="n">
        <f aca="false">Sens!$E$2011/Sens!$N$2011-1</f>
        <v>0.1495966692688</v>
      </c>
      <c r="F2012" s="13" t="n">
        <f aca="false">Sens!$O$2011/(Q!$F$12+Q!$G$12)-1</f>
        <v>0.11661530890813</v>
      </c>
      <c r="G2012" s="13" t="n">
        <f aca="false">Sens!$G$2011/Sens!$D$2011-1</f>
        <v>0.105716640490767</v>
      </c>
      <c r="H2012" s="13" t="n">
        <f aca="false">Sens!$F$2012+(g_sp-Sens!$F$2012)*1/4</f>
        <v>0.104961481681098</v>
      </c>
      <c r="I2012" s="13" t="n">
        <f aca="false">Sens!$F$2012+(g_sp-Sens!$F$2012)*2/4</f>
        <v>0.0933076544540651</v>
      </c>
      <c r="J2012" s="13" t="n">
        <f aca="false">Sens!$F$2012+(g_sp-Sens!$F$2012)*3/4</f>
        <v>0.0816538272270325</v>
      </c>
      <c r="K2012" s="13" t="n">
        <f aca="false">Sens!$F$2012+(g_sp-Sens!$F$2012)*4/4</f>
        <v>0.07</v>
      </c>
      <c r="L2012" s="13" t="n">
        <f aca="false">g_sp</f>
        <v>0.07</v>
      </c>
      <c r="M2012" s="13" t="n">
        <f aca="false">g_sp</f>
        <v>0.07</v>
      </c>
      <c r="P2012" s="8" t="s">
        <v>673</v>
      </c>
    </row>
    <row r="2013" customFormat="false" ht="17.15" hidden="false" customHeight="false" outlineLevel="0" collapsed="false">
      <c r="A2013" s="0" t="s">
        <v>522</v>
      </c>
      <c r="B2013" s="0" t="s">
        <v>86</v>
      </c>
      <c r="C2013" s="38" t="n">
        <f aca="false">Q!$D$13</f>
        <v>56.214</v>
      </c>
      <c r="D2013" s="38" t="n">
        <f aca="false">Q!$E$13</f>
        <v>68.635</v>
      </c>
      <c r="E2013" s="38" t="n">
        <f aca="false">Q!$P$13</f>
        <v>37.052</v>
      </c>
      <c r="F2013" s="38" t="n">
        <f aca="false">Sens!$O$2013*(1+Sens!$F$2014)*Sens!$F$2019</f>
        <v>46.1572219944148</v>
      </c>
      <c r="G2013" s="38" t="n">
        <f aca="false">Sens!$E$2013+Sens!$F$2013</f>
        <v>83.2092219944148</v>
      </c>
      <c r="H2013" s="38" t="n">
        <f aca="false">Sens!$G$2013*(1+Sens!$H$2014)</f>
        <v>99.8969223878976</v>
      </c>
      <c r="I2013" s="38" t="n">
        <f aca="false">Sens!$H$2013*(1+Sens!$I$2014)</f>
        <v>116.583111095496</v>
      </c>
      <c r="J2013" s="38" t="n">
        <f aca="false">Sens!$I$2013*(1+Sens!$J$2014)</f>
        <v>132.148941941952</v>
      </c>
      <c r="K2013" s="38" t="n">
        <f aca="false">Sens!$J$2013*(1+Sens!$K$2014)</f>
        <v>145.363836136147</v>
      </c>
      <c r="L2013" s="38" t="n">
        <f aca="false">Sens!$K$2013*(1+Sens!$L$2014)</f>
        <v>159.900219749762</v>
      </c>
      <c r="M2013" s="38" t="n">
        <f aca="false">Sens!$L$2013*(1+Sens!$M$2014)</f>
        <v>175.890241724738</v>
      </c>
      <c r="N2013" s="38" t="n">
        <f aca="false">Q!$N$13</f>
        <v>29.615</v>
      </c>
      <c r="O2013" s="38" t="n">
        <f aca="false">Q!$O$13</f>
        <v>39.02</v>
      </c>
      <c r="P2013" s="8" t="s">
        <v>667</v>
      </c>
    </row>
    <row r="2014" customFormat="false" ht="17.15" hidden="false" customHeight="false" outlineLevel="0" collapsed="false">
      <c r="A2014" s="0" t="s">
        <v>674</v>
      </c>
      <c r="B2014" s="0" t="s">
        <v>52</v>
      </c>
      <c r="E2014" s="13" t="n">
        <f aca="false">Sens!$E$2013/Sens!$N$2013-1</f>
        <v>0.25112274185379</v>
      </c>
      <c r="F2014" s="13" t="n">
        <f aca="false">Sens!$O$2013/(Q!$F$13+Q!$G$13)-1</f>
        <v>0.234068123596572</v>
      </c>
      <c r="G2014" s="13" t="n">
        <f aca="false">Sens!$G$2013/Sens!$D$2013-1</f>
        <v>0.212343876949294</v>
      </c>
      <c r="H2014" s="13" t="n">
        <f aca="false">Sens!$F$2014+(g_ad-Sens!$F$2014)*1/4</f>
        <v>0.200551092697429</v>
      </c>
      <c r="I2014" s="13" t="n">
        <f aca="false">Sens!$F$2014+(g_ad-Sens!$F$2014)*2/4</f>
        <v>0.167034061798286</v>
      </c>
      <c r="J2014" s="13" t="n">
        <f aca="false">Sens!$F$2014+(g_ad-Sens!$F$2014)*3/4</f>
        <v>0.133517030899143</v>
      </c>
      <c r="K2014" s="13" t="n">
        <f aca="false">Sens!$F$2014+(g_ad-Sens!$F$2014)*4/4</f>
        <v>0.1</v>
      </c>
      <c r="L2014" s="13" t="n">
        <f aca="false">g_ad</f>
        <v>0.1</v>
      </c>
      <c r="M2014" s="13" t="n">
        <f aca="false">g_ad</f>
        <v>0.1</v>
      </c>
      <c r="P2014" s="8" t="s">
        <v>675</v>
      </c>
    </row>
    <row r="2015" customFormat="false" ht="17.15" hidden="false" customHeight="false" outlineLevel="0" collapsed="false">
      <c r="A2015" s="0" t="s">
        <v>523</v>
      </c>
      <c r="B2015" s="0" t="s">
        <v>86</v>
      </c>
      <c r="C2015" s="38" t="n">
        <f aca="false">Q!$D$14</f>
        <v>44.374</v>
      </c>
      <c r="D2015" s="38" t="n">
        <f aca="false">Q!$E$14</f>
        <v>49.619</v>
      </c>
      <c r="E2015" s="38" t="n">
        <f aca="false">Q!$P$14</f>
        <v>27.157</v>
      </c>
      <c r="F2015" s="38" t="n">
        <f aca="false">Sens!$O$2015*(1+Sens!$F$2016)*Sens!$F$2019</f>
        <v>27.7764165988154</v>
      </c>
      <c r="G2015" s="38" t="n">
        <f aca="false">Sens!$E$2015+Sens!$F$2015</f>
        <v>54.9334165988154</v>
      </c>
      <c r="H2015" s="38" t="n">
        <f aca="false">Sens!$G$2015*(1+Sens!$H$2016)</f>
        <v>61.1564112561829</v>
      </c>
      <c r="I2015" s="38" t="n">
        <f aca="false">Sens!$H$2015*(1+Sens!$I$2016)</f>
        <v>67.2020282103945</v>
      </c>
      <c r="J2015" s="38" t="n">
        <f aca="false">Sens!$I$2015*(1+Sens!$J$2016)</f>
        <v>72.8757274028885</v>
      </c>
      <c r="K2015" s="38" t="n">
        <f aca="false">Sens!$J$2015*(1+Sens!$K$2016)</f>
        <v>77.9770283210907</v>
      </c>
      <c r="L2015" s="38" t="n">
        <f aca="false">Sens!$K$2015*(1+Sens!$L$2016)</f>
        <v>83.4354203035671</v>
      </c>
      <c r="M2015" s="38" t="n">
        <f aca="false">Sens!$L$2015*(1+Sens!$M$2016)</f>
        <v>89.2758997248168</v>
      </c>
      <c r="N2015" s="38" t="n">
        <f aca="false">Q!$N$14</f>
        <v>23.923</v>
      </c>
      <c r="O2015" s="38" t="n">
        <f aca="false">Q!$O$14</f>
        <v>25.696</v>
      </c>
      <c r="P2015" s="8" t="s">
        <v>667</v>
      </c>
    </row>
    <row r="2016" customFormat="false" ht="17.15" hidden="false" customHeight="false" outlineLevel="0" collapsed="false">
      <c r="A2016" s="0" t="s">
        <v>676</v>
      </c>
      <c r="B2016" s="0" t="s">
        <v>52</v>
      </c>
      <c r="E2016" s="13" t="n">
        <f aca="false">Sens!$E$2015/Sens!$N$2015-1</f>
        <v>0.135183714417088</v>
      </c>
      <c r="F2016" s="13" t="n">
        <f aca="false">Sens!$O$2015/(Q!$F$14+Q!$G$14)-1</f>
        <v>0.127709997366804</v>
      </c>
      <c r="G2016" s="13" t="n">
        <f aca="false">Sens!$G$2015/Sens!$D$2015-1</f>
        <v>0.107104468022641</v>
      </c>
      <c r="H2016" s="13" t="n">
        <f aca="false">Sens!$F$2016+(g_sub-Sens!$F$2016)*1/4</f>
        <v>0.113282498025103</v>
      </c>
      <c r="I2016" s="13" t="n">
        <f aca="false">Sens!$F$2016+(g_sub-Sens!$F$2016)*2/4</f>
        <v>0.0988549986834021</v>
      </c>
      <c r="J2016" s="13" t="n">
        <f aca="false">Sens!$F$2016+(g_sub-Sens!$F$2016)*3/4</f>
        <v>0.084427499341701</v>
      </c>
      <c r="K2016" s="13" t="n">
        <f aca="false">Sens!$F$2016+(g_sub-Sens!$F$2016)*4/4</f>
        <v>0.07</v>
      </c>
      <c r="L2016" s="13" t="n">
        <f aca="false">g_sub</f>
        <v>0.07</v>
      </c>
      <c r="M2016" s="13" t="n">
        <f aca="false">g_sub</f>
        <v>0.07</v>
      </c>
      <c r="P2016" s="8" t="s">
        <v>677</v>
      </c>
    </row>
    <row r="2017" customFormat="false" ht="17.15" hidden="false" customHeight="false" outlineLevel="0" collapsed="false">
      <c r="A2017" s="0" t="s">
        <v>524</v>
      </c>
      <c r="B2017" s="0" t="s">
        <v>86</v>
      </c>
      <c r="C2017" s="38" t="n">
        <f aca="false">Q!$D$15</f>
        <v>5.425</v>
      </c>
      <c r="D2017" s="38" t="n">
        <f aca="false">Q!$E$15</f>
        <v>5.935</v>
      </c>
      <c r="E2017" s="38" t="n">
        <f aca="false">Q!$P$15</f>
        <v>3.474</v>
      </c>
      <c r="F2017" s="38" t="n">
        <f aca="false">Sens!$O$2017*(1+Sens!$F$2018)*Sens!$F$2019</f>
        <v>3.22246550883619</v>
      </c>
      <c r="G2017" s="38" t="n">
        <f aca="false">Sens!$E$2017+Sens!$F$2017</f>
        <v>6.69646550883619</v>
      </c>
      <c r="H2017" s="38" t="n">
        <f aca="false">Sens!$G$2017*(1+Sens!$H$2018)</f>
        <v>7.16251344209196</v>
      </c>
      <c r="I2017" s="38" t="n">
        <f aca="false">Sens!$H$2017*(1+Sens!$I$2018)</f>
        <v>7.61421070299826</v>
      </c>
      <c r="J2017" s="38" t="n">
        <f aca="false">Sens!$I$2017*(1+Sens!$J$2018)</f>
        <v>8.04465753523932</v>
      </c>
      <c r="K2017" s="38" t="n">
        <f aca="false">Sens!$J$2017*(1+Sens!$K$2018)</f>
        <v>8.44689041200128</v>
      </c>
      <c r="L2017" s="38" t="n">
        <f aca="false">Sens!$K$2017*(1+Sens!$L$2018)</f>
        <v>8.86923493260135</v>
      </c>
      <c r="M2017" s="38" t="n">
        <f aca="false">Sens!$L$2017*(1+Sens!$M$2018)</f>
        <v>9.31269667923142</v>
      </c>
      <c r="N2017" s="38" t="n">
        <f aca="false">Q!$N$15</f>
        <v>2.811</v>
      </c>
      <c r="O2017" s="38" t="n">
        <f aca="false">Q!$O$15</f>
        <v>3.124</v>
      </c>
      <c r="P2017" s="8" t="s">
        <v>667</v>
      </c>
    </row>
    <row r="2018" customFormat="false" ht="17.15" hidden="false" customHeight="false" outlineLevel="0" collapsed="false">
      <c r="A2018" s="0" t="s">
        <v>678</v>
      </c>
      <c r="B2018" s="0" t="s">
        <v>52</v>
      </c>
      <c r="E2018" s="13" t="n">
        <f aca="false">Sens!$E$2017/Sens!$N$2017-1</f>
        <v>0.235859124866596</v>
      </c>
      <c r="F2018" s="13" t="n">
        <f aca="false">Sens!$O$2017/(Q!$F$15+Q!$G$15)-1</f>
        <v>0.0761281433000345</v>
      </c>
      <c r="G2018" s="13" t="n">
        <f aca="false">Sens!$G$2017/Sens!$D$2017-1</f>
        <v>0.128300843948811</v>
      </c>
      <c r="H2018" s="13" t="n">
        <f aca="false">Sens!$F$2018+(g_ot-Sens!$F$2018)*1/4</f>
        <v>0.0695961074750259</v>
      </c>
      <c r="I2018" s="13" t="n">
        <f aca="false">Sens!$F$2018+(g_ot-Sens!$F$2018)*2/4</f>
        <v>0.0630640716500172</v>
      </c>
      <c r="J2018" s="13" t="n">
        <f aca="false">Sens!$F$2018+(g_ot-Sens!$F$2018)*3/4</f>
        <v>0.0565320358250086</v>
      </c>
      <c r="K2018" s="13" t="n">
        <f aca="false">Sens!$F$2018+(g_ot-Sens!$F$2018)*4/4</f>
        <v>0.05</v>
      </c>
      <c r="L2018" s="13" t="n">
        <f aca="false">g_ot</f>
        <v>0.05</v>
      </c>
      <c r="M2018" s="13" t="n">
        <f aca="false">g_ot</f>
        <v>0.05</v>
      </c>
      <c r="P2018" s="8" t="s">
        <v>679</v>
      </c>
    </row>
    <row r="2019" customFormat="false" ht="17.15" hidden="false" customHeight="false" outlineLevel="0" collapsed="false">
      <c r="A2019" s="0" t="s">
        <v>680</v>
      </c>
      <c r="B2019" s="0" t="s">
        <v>57</v>
      </c>
      <c r="F2019" s="40" t="n">
        <f aca="false">(g26q3_mid*Q!$O$8/Q!$J$8-Thesis!$F$86-Thesis!$F$90)/(Sens!$O$2007*(1+Sens!$F$2008)+Sens!$O$2009*(1+Sens!$F$2010)+Sens!$O$2011*(1+Sens!$F$2012)+Sens!$O$2013*(1+Sens!$F$2014)+Sens!$O$2015*(1+Sens!$F$2016)+Sens!$O$2017*(1+Sens!$F$2018))</f>
        <v>0.958546670622329</v>
      </c>
      <c r="P2019" s="8" t="s">
        <v>681</v>
      </c>
    </row>
    <row r="2020" customFormat="false" ht="17.15" hidden="false" customHeight="false" outlineLevel="0" collapsed="false">
      <c r="A2020" s="3" t="s">
        <v>682</v>
      </c>
      <c r="B2020" s="8" t="s">
        <v>86</v>
      </c>
      <c r="C2020" s="38" t="n">
        <f aca="false">Sens!$C$2007+Sens!$C$2009+Sens!$C$2011+Sens!$C$2013+Sens!$C$2015+Sens!$C$2017</f>
        <v>530.403</v>
      </c>
      <c r="D2020" s="38" t="n">
        <f aca="false">Sens!$D$2007+Sens!$D$2009+Sens!$D$2011+Sens!$D$2013+Sens!$D$2015+Sens!$D$2017</f>
        <v>588.199</v>
      </c>
      <c r="E2020" s="38" t="n">
        <f aca="false">Sens!$E$2007+Sens!$E$2009+Sens!$E$2011+Sens!$E$2013+Sens!$E$2015+Sens!$E$2017</f>
        <v>302.306</v>
      </c>
      <c r="F2020" s="38" t="n">
        <f aca="false">Sens!$F$2007+Sens!$F$2009+Sens!$F$2011+Sens!$F$2013+Sens!$F$2015+Sens!$F$2017</f>
        <v>349.048241645537</v>
      </c>
      <c r="G2020" s="38" t="n">
        <f aca="false">Sens!$G$2007+Sens!$G$2009+Sens!$G$2011+Sens!$G$2013+Sens!$G$2015+Sens!$G$2017</f>
        <v>651.354241645537</v>
      </c>
      <c r="H2020" s="38" t="n">
        <f aca="false">Sens!$H$2007+Sens!$H$2009+Sens!$H$2011+Sens!$H$2013+Sens!$H$2015+Sens!$H$2017</f>
        <v>721.096889521386</v>
      </c>
      <c r="I2020" s="38" t="n">
        <f aca="false">Sens!$I$2007+Sens!$I$2009+Sens!$I$2011+Sens!$I$2013+Sens!$I$2015+Sens!$I$2017</f>
        <v>788.529391152531</v>
      </c>
      <c r="J2020" s="38" t="n">
        <f aca="false">Sens!$J$2007+Sens!$J$2009+Sens!$J$2011+Sens!$J$2013+Sens!$J$2015+Sens!$J$2017</f>
        <v>851.108405741443</v>
      </c>
      <c r="K2020" s="38" t="n">
        <f aca="false">Sens!$K$2007+Sens!$K$2009+Sens!$K$2011+Sens!$K$2013+Sens!$K$2015+Sens!$K$2017</f>
        <v>906.176455431088</v>
      </c>
      <c r="L2020" s="38" t="n">
        <f aca="false">Sens!$L$2007+Sens!$L$2009+Sens!$L$2011+Sens!$L$2013+Sens!$L$2015+Sens!$L$2017</f>
        <v>965.093106475589</v>
      </c>
      <c r="M2020" s="38" t="n">
        <f aca="false">Sens!$M$2007+Sens!$M$2009+Sens!$M$2011+Sens!$M$2013+Sens!$M$2015+Sens!$M$2017</f>
        <v>1028.14790794689</v>
      </c>
      <c r="N2020" s="38" t="n">
        <f aca="false">Sens!$N$2007+Sens!$N$2009+Sens!$N$2011+Sens!$N$2013+Sens!$N$2015+Sens!$N$2017</f>
        <v>263.229</v>
      </c>
      <c r="O2020" s="38" t="n">
        <f aca="false">Sens!$O$2007+Sens!$O$2009+Sens!$O$2011+Sens!$O$2013+Sens!$O$2015+Sens!$O$2017</f>
        <v>324.97</v>
      </c>
    </row>
    <row r="2021" customFormat="false" ht="17.15" hidden="false" customHeight="false" outlineLevel="0" collapsed="false">
      <c r="A2021" s="5" t="s">
        <v>683</v>
      </c>
      <c r="B2021" s="0" t="s">
        <v>52</v>
      </c>
      <c r="C2021" s="13" t="n">
        <f aca="false">Q!$D$5/(Q!$D$5+Q!$D$6)</f>
        <v>0.730570905519011</v>
      </c>
      <c r="D2021" s="13" t="n">
        <f aca="false">Q!$E$5/(Q!$E$5+Q!$E$6)</f>
        <v>0.724763217890544</v>
      </c>
      <c r="E2021" s="13" t="n">
        <f aca="false">Q!$P$5/(Q!$P$5+Q!$P$6)</f>
        <v>0.728797972914861</v>
      </c>
      <c r="F2021" s="13" t="n">
        <f aca="false">Sens!$O$2021</f>
        <v>0.718066283041511</v>
      </c>
      <c r="G2021" s="13" t="n">
        <f aca="false">Sens!$G$2022/Sens!$G$2020</f>
        <v>0.723047066202847</v>
      </c>
      <c r="H2021" s="13" t="n">
        <f aca="false">Sens!$G$2021</f>
        <v>0.723047066202847</v>
      </c>
      <c r="I2021" s="13" t="n">
        <f aca="false">Sens!$G$2021</f>
        <v>0.723047066202847</v>
      </c>
      <c r="J2021" s="13" t="n">
        <f aca="false">Sens!$G$2021</f>
        <v>0.723047066202847</v>
      </c>
      <c r="K2021" s="13" t="n">
        <f aca="false">Sens!$G$2021</f>
        <v>0.723047066202847</v>
      </c>
      <c r="L2021" s="13" t="n">
        <f aca="false">Sens!$G$2021</f>
        <v>0.723047066202847</v>
      </c>
      <c r="M2021" s="13" t="n">
        <f aca="false">Sens!$G$2021</f>
        <v>0.723047066202847</v>
      </c>
      <c r="N2021" s="13" t="n">
        <f aca="false">Q!$N$5/(Q!$N$5+Q!$N$6)</f>
        <v>0.733030935041352</v>
      </c>
      <c r="O2021" s="13" t="n">
        <f aca="false">Q!$O$5/(Q!$O$5+Q!$O$6)</f>
        <v>0.718066283041511</v>
      </c>
      <c r="P2021" s="8" t="s">
        <v>684</v>
      </c>
    </row>
    <row r="2022" customFormat="false" ht="17.15" hidden="false" customHeight="false" outlineLevel="0" collapsed="false">
      <c r="A2022" s="1" t="s">
        <v>512</v>
      </c>
      <c r="B2022" s="8" t="s">
        <v>86</v>
      </c>
      <c r="C2022" s="38" t="n">
        <f aca="false">Q!$D$5</f>
        <v>387.497</v>
      </c>
      <c r="D2022" s="38" t="n">
        <f aca="false">Q!$E$5</f>
        <v>426.305</v>
      </c>
      <c r="E2022" s="38" t="n">
        <f aca="false">Q!$P$5</f>
        <v>220.32</v>
      </c>
      <c r="F2022" s="38" t="n">
        <f aca="false">Sens!$F$2020*Sens!$F$2021</f>
        <v>250.639773480586</v>
      </c>
      <c r="G2022" s="38" t="n">
        <f aca="false">Sens!$E$2022+Sens!$F$2022</f>
        <v>470.959773480586</v>
      </c>
      <c r="H2022" s="38" t="n">
        <f aca="false">Sens!$H$2020*Sens!$H$2021</f>
        <v>521.386990416437</v>
      </c>
      <c r="I2022" s="38" t="n">
        <f aca="false">Sens!$I$2020*Sens!$I$2021</f>
        <v>570.143862887555</v>
      </c>
      <c r="J2022" s="38" t="n">
        <f aca="false">Sens!$J$2020*Sens!$J$2021</f>
        <v>615.391435791933</v>
      </c>
      <c r="K2022" s="38" t="n">
        <f aca="false">Sens!$K$2020*Sens!$K$2021</f>
        <v>655.208227561543</v>
      </c>
      <c r="L2022" s="38" t="n">
        <f aca="false">Sens!$L$2020*Sens!$L$2021</f>
        <v>697.807739249767</v>
      </c>
      <c r="M2022" s="38" t="n">
        <f aca="false">Sens!$M$2020*Sens!$M$2021</f>
        <v>743.399328463592</v>
      </c>
      <c r="N2022" s="38" t="n">
        <f aca="false">Q!$N$5</f>
        <v>192.955</v>
      </c>
      <c r="O2022" s="38" t="n">
        <f aca="false">Q!$O$5</f>
        <v>233.35</v>
      </c>
      <c r="P2022" s="5" t="s">
        <v>685</v>
      </c>
    </row>
    <row r="2023" customFormat="false" ht="17.15" hidden="false" customHeight="false" outlineLevel="0" collapsed="false">
      <c r="A2023" s="1" t="s">
        <v>515</v>
      </c>
      <c r="B2023" s="8" t="s">
        <v>86</v>
      </c>
      <c r="C2023" s="38" t="n">
        <f aca="false">Q!$D$6</f>
        <v>142.906</v>
      </c>
      <c r="D2023" s="38" t="n">
        <f aca="false">Q!$E$6</f>
        <v>161.894</v>
      </c>
      <c r="E2023" s="38" t="n">
        <f aca="false">Q!$P$6</f>
        <v>81.986</v>
      </c>
      <c r="F2023" s="38" t="n">
        <f aca="false">Sens!$F$2020*(1-Sens!$F$2021)</f>
        <v>98.408468164951</v>
      </c>
      <c r="G2023" s="38" t="n">
        <f aca="false">Sens!$E$2023+Sens!$F$2023</f>
        <v>180.394468164951</v>
      </c>
      <c r="H2023" s="38" t="n">
        <f aca="false">Sens!$H$2020*(1-Sens!$H$2021)</f>
        <v>199.709899104949</v>
      </c>
      <c r="I2023" s="38" t="n">
        <f aca="false">Sens!$I$2020*(1-Sens!$I$2021)</f>
        <v>218.385528264976</v>
      </c>
      <c r="J2023" s="38" t="n">
        <f aca="false">Sens!$J$2020*(1-Sens!$J$2021)</f>
        <v>235.71696994951</v>
      </c>
      <c r="K2023" s="38" t="n">
        <f aca="false">Sens!$K$2020*(1-Sens!$K$2021)</f>
        <v>250.968227869545</v>
      </c>
      <c r="L2023" s="38" t="n">
        <f aca="false">Sens!$L$2020*(1-Sens!$L$2021)</f>
        <v>267.285367225822</v>
      </c>
      <c r="M2023" s="38" t="n">
        <f aca="false">Sens!$M$2020*(1-Sens!$M$2021)</f>
        <v>284.748579483295</v>
      </c>
      <c r="N2023" s="38" t="n">
        <f aca="false">Q!$N$6</f>
        <v>70.274</v>
      </c>
      <c r="O2023" s="38" t="n">
        <f aca="false">Q!$O$6</f>
        <v>91.62</v>
      </c>
      <c r="P2023" s="5" t="s">
        <v>686</v>
      </c>
    </row>
    <row r="2024" customFormat="false" ht="17.15" hidden="false" customHeight="false" outlineLevel="0" collapsed="false">
      <c r="A2024" s="5" t="s">
        <v>687</v>
      </c>
      <c r="B2024" s="0" t="s">
        <v>86</v>
      </c>
      <c r="C2024" s="38" t="n">
        <f aca="false">Sens!$C$2013*Sens!$C$2021</f>
        <v>41.0683128828457</v>
      </c>
      <c r="D2024" s="38" t="n">
        <f aca="false">Sens!$D$2013*Sens!$D$2021</f>
        <v>49.7441234599175</v>
      </c>
      <c r="E2024" s="38" t="n">
        <f aca="false">Sens!$E$2013*Sens!$E$2021</f>
        <v>27.0034224924414</v>
      </c>
      <c r="F2024" s="38" t="n">
        <f aca="false">Sens!$F$2013*Sens!$F$2021</f>
        <v>33.1439448330513</v>
      </c>
      <c r="G2024" s="38" t="n">
        <f aca="false">Sens!$G$2013*Sens!$G$2021</f>
        <v>60.164183844083</v>
      </c>
      <c r="H2024" s="38" t="n">
        <f aca="false">Sens!$H$2013*Sens!$H$2021</f>
        <v>72.2301766552629</v>
      </c>
      <c r="I2024" s="38" t="n">
        <f aca="false">Sens!$I$2013*Sens!$I$2021</f>
        <v>84.2950764463991</v>
      </c>
      <c r="J2024" s="38" t="n">
        <f aca="false">Sens!$J$2013*Sens!$J$2021</f>
        <v>95.5499047729386</v>
      </c>
      <c r="K2024" s="38" t="n">
        <f aca="false">Sens!$K$2013*Sens!$K$2021</f>
        <v>105.104895250232</v>
      </c>
      <c r="L2024" s="38" t="n">
        <f aca="false">Sens!$L$2013*Sens!$L$2021</f>
        <v>115.615384775256</v>
      </c>
      <c r="M2024" s="38" t="n">
        <f aca="false">Sens!$M$2013*Sens!$M$2021</f>
        <v>127.176923252781</v>
      </c>
      <c r="N2024" s="38" t="n">
        <f aca="false">Sens!$N$2013*Sens!$N$2021</f>
        <v>21.7087111412496</v>
      </c>
      <c r="O2024" s="38" t="n">
        <f aca="false">Sens!$O$2013*Sens!$O$2021</f>
        <v>28.0189463642798</v>
      </c>
      <c r="P2024" s="5" t="s">
        <v>688</v>
      </c>
    </row>
    <row r="2025" customFormat="false" ht="15" hidden="false" customHeight="false" outlineLevel="0" collapsed="false">
      <c r="A2025" s="5" t="s">
        <v>689</v>
      </c>
      <c r="B2025" s="0" t="s">
        <v>86</v>
      </c>
      <c r="C2025" s="38" t="n">
        <f aca="false">Sens!$C$2013-Sens!$C$2024</f>
        <v>15.1456871171543</v>
      </c>
      <c r="D2025" s="38" t="n">
        <f aca="false">Sens!$D$2013-Sens!$D$2024</f>
        <v>18.8908765400825</v>
      </c>
      <c r="E2025" s="38" t="n">
        <f aca="false">Sens!$E$2013-Sens!$E$2024</f>
        <v>10.0485775075586</v>
      </c>
      <c r="F2025" s="38" t="n">
        <f aca="false">Sens!$F$2013-Sens!$F$2024</f>
        <v>13.0132771613635</v>
      </c>
      <c r="G2025" s="38" t="n">
        <f aca="false">Sens!$G$2013-Sens!$G$2024</f>
        <v>23.0450381503318</v>
      </c>
      <c r="H2025" s="38" t="n">
        <f aca="false">Sens!$H$2013-Sens!$H$2024</f>
        <v>27.6667457326347</v>
      </c>
      <c r="I2025" s="38" t="n">
        <f aca="false">Sens!$I$2013-Sens!$I$2024</f>
        <v>32.2880346490971</v>
      </c>
      <c r="J2025" s="38" t="n">
        <f aca="false">Sens!$J$2013-Sens!$J$2024</f>
        <v>36.5990371690132</v>
      </c>
      <c r="K2025" s="38" t="n">
        <f aca="false">Sens!$K$2013-Sens!$K$2024</f>
        <v>40.2589408859145</v>
      </c>
      <c r="L2025" s="38" t="n">
        <f aca="false">Sens!$L$2013-Sens!$L$2024</f>
        <v>44.2848349745059</v>
      </c>
      <c r="M2025" s="38" t="n">
        <f aca="false">Sens!$M$2013-Sens!$M$2024</f>
        <v>48.7133184719565</v>
      </c>
      <c r="N2025" s="38" t="n">
        <f aca="false">Sens!$N$2013-Sens!$N$2024</f>
        <v>7.90628885875037</v>
      </c>
      <c r="O2025" s="38" t="n">
        <f aca="false">Sens!$O$2013-Sens!$O$2024</f>
        <v>11.0010536357202</v>
      </c>
    </row>
    <row r="2026" customFormat="false" ht="19.4" hidden="false" customHeight="false" outlineLevel="0" collapsed="false">
      <c r="A2026" s="31" t="s">
        <v>1176</v>
      </c>
    </row>
    <row r="2027" customFormat="false" ht="17.15" hidden="false" customHeight="false" outlineLevel="0" collapsed="false">
      <c r="A2027" s="6" t="s">
        <v>16</v>
      </c>
      <c r="B2027" s="6" t="s">
        <v>17</v>
      </c>
      <c r="C2027" s="20" t="s">
        <v>497</v>
      </c>
      <c r="D2027" s="20" t="s">
        <v>498</v>
      </c>
      <c r="E2027" s="20" t="s">
        <v>580</v>
      </c>
      <c r="F2027" s="20" t="s">
        <v>581</v>
      </c>
      <c r="G2027" s="20" t="s">
        <v>582</v>
      </c>
      <c r="H2027" s="20" t="s">
        <v>583</v>
      </c>
      <c r="I2027" s="20" t="s">
        <v>584</v>
      </c>
      <c r="J2027" s="20" t="s">
        <v>585</v>
      </c>
      <c r="K2027" s="20" t="s">
        <v>586</v>
      </c>
      <c r="L2027" s="20" t="s">
        <v>587</v>
      </c>
      <c r="M2027" s="20" t="s">
        <v>588</v>
      </c>
      <c r="N2027" s="20" t="s">
        <v>589</v>
      </c>
      <c r="O2027" s="20" t="s">
        <v>590</v>
      </c>
      <c r="P2027" s="6" t="s">
        <v>23</v>
      </c>
      <c r="R2027" s="20" t="n">
        <v>2023</v>
      </c>
      <c r="S2027" s="20" t="n">
        <v>2024</v>
      </c>
      <c r="T2027" s="20" t="n">
        <v>2025</v>
      </c>
      <c r="U2027" s="20" t="n">
        <v>2026</v>
      </c>
      <c r="V2027" s="20" t="n">
        <v>2027</v>
      </c>
      <c r="W2027" s="20" t="n">
        <v>2028</v>
      </c>
      <c r="X2027" s="20" t="n">
        <v>2029</v>
      </c>
      <c r="Y2027" s="20" t="n">
        <v>2030</v>
      </c>
      <c r="Z2027" s="20" t="n">
        <v>2031</v>
      </c>
      <c r="AA2027" s="20" t="n">
        <v>2032</v>
      </c>
    </row>
    <row r="2028" customFormat="false" ht="17.15" hidden="false" customHeight="false" outlineLevel="0" collapsed="false">
      <c r="A2028" s="1" t="s">
        <v>591</v>
      </c>
    </row>
    <row r="2029" customFormat="false" ht="17.15" hidden="false" customHeight="false" outlineLevel="0" collapsed="false">
      <c r="A2029" s="5" t="s">
        <v>592</v>
      </c>
      <c r="B2029" s="0" t="s">
        <v>144</v>
      </c>
      <c r="H2029" s="32" t="n">
        <f aca="false">pace_B</f>
        <v>3634.3</v>
      </c>
      <c r="I2029" s="32" t="n">
        <f aca="false">pace_B</f>
        <v>3634.3</v>
      </c>
      <c r="J2029" s="32" t="n">
        <f aca="false">pace_B</f>
        <v>3634.3</v>
      </c>
      <c r="K2029" s="32" t="n">
        <f aca="false">pace_B+(Sens!$J$2030*tg-pace_B)*1/3</f>
        <v>2570.86716666667</v>
      </c>
      <c r="L2029" s="32" t="n">
        <f aca="false">pace_B+(Sens!$J$2030*tg-pace_B)*2/3</f>
        <v>1507.43433333333</v>
      </c>
      <c r="M2029" s="32" t="n">
        <f aca="false">pace_B+(Sens!$J$2030*tg-pace_B)*3/3</f>
        <v>444.0015</v>
      </c>
      <c r="P2029" s="5" t="s">
        <v>593</v>
      </c>
    </row>
    <row r="2030" customFormat="false" ht="17.15" hidden="false" customHeight="false" outlineLevel="0" collapsed="false">
      <c r="A2030" s="15" t="s">
        <v>594</v>
      </c>
      <c r="B2030" s="14" t="s">
        <v>129</v>
      </c>
      <c r="C2030" s="33" t="n">
        <f aca="false">mw_ye24</f>
        <v>360</v>
      </c>
      <c r="D2030" s="33" t="n">
        <f aca="false">mw_ye25</f>
        <v>1440</v>
      </c>
      <c r="E2030" s="33" t="n">
        <f aca="false">mw_open</f>
        <v>2080</v>
      </c>
      <c r="F2030" s="33" t="n">
        <f aca="false">Sens!$E$2030+pace_B*0.5</f>
        <v>3897.15</v>
      </c>
      <c r="G2030" s="33" t="n">
        <f aca="false">Sens!$F$2030</f>
        <v>3897.15</v>
      </c>
      <c r="H2030" s="33" t="n">
        <f aca="false">Sens!$G$2030+Sens!$H$2029</f>
        <v>7531.45</v>
      </c>
      <c r="I2030" s="33" t="n">
        <f aca="false">Sens!$H$2030+Sens!$I$2029</f>
        <v>11165.75</v>
      </c>
      <c r="J2030" s="33" t="n">
        <f aca="false">Sens!$I$2030+Sens!$J$2029</f>
        <v>14800.05</v>
      </c>
      <c r="K2030" s="33" t="n">
        <f aca="false">Sens!$J$2030+Sens!$K$2029</f>
        <v>17370.9171666667</v>
      </c>
      <c r="L2030" s="33" t="n">
        <f aca="false">Sens!$K$2030+Sens!$L$2029</f>
        <v>18878.3515</v>
      </c>
      <c r="M2030" s="33" t="n">
        <f aca="false">Sens!$L$2030+Sens!$M$2029</f>
        <v>19322.353</v>
      </c>
      <c r="N2030" s="33" t="n">
        <f aca="false">(mw_ye24+mw_ye25)/2</f>
        <v>900</v>
      </c>
      <c r="O2030" s="33" t="n">
        <f aca="false">mw_ye25</f>
        <v>1440</v>
      </c>
      <c r="P2030" s="5" t="s">
        <v>595</v>
      </c>
    </row>
    <row r="2031" customFormat="false" ht="17.15" hidden="false" customHeight="false" outlineLevel="0" collapsed="false">
      <c r="A2031" s="5" t="s">
        <v>596</v>
      </c>
      <c r="B2031" s="0" t="s">
        <v>129</v>
      </c>
      <c r="C2031" s="32" t="n">
        <f aca="false">(mw_ye23+mw_ye24)/2</f>
        <v>240</v>
      </c>
      <c r="D2031" s="32" t="n">
        <f aca="false">(Sens!$C$2030+Sens!$D$2030)/2</f>
        <v>900</v>
      </c>
      <c r="E2031" s="32" t="n">
        <f aca="false">(Sens!$D$2030+Sens!$E$2030)/2</f>
        <v>1760</v>
      </c>
      <c r="F2031" s="32" t="n">
        <f aca="false">(Sens!$E$2030+Sens!$F$2030)/2</f>
        <v>2988.575</v>
      </c>
      <c r="G2031" s="32" t="n">
        <f aca="false">(Sens!$E$2031+Sens!$F$2031)/2</f>
        <v>2374.2875</v>
      </c>
      <c r="H2031" s="32" t="n">
        <f aca="false">(Sens!$G$2030+Sens!$H$2030)/2</f>
        <v>5714.3</v>
      </c>
      <c r="I2031" s="32" t="n">
        <f aca="false">(Sens!$H$2030+Sens!$I$2030)/2</f>
        <v>9348.6</v>
      </c>
      <c r="J2031" s="32" t="n">
        <f aca="false">(Sens!$I$2030+Sens!$J$2030)/2</f>
        <v>12982.9</v>
      </c>
      <c r="K2031" s="32" t="n">
        <f aca="false">(Sens!$J$2030+Sens!$K$2030)/2</f>
        <v>16085.4835833333</v>
      </c>
      <c r="L2031" s="32" t="n">
        <f aca="false">(Sens!$K$2030+Sens!$L$2030)/2</f>
        <v>18124.6343333333</v>
      </c>
      <c r="M2031" s="32" t="n">
        <f aca="false">(Sens!$L$2030+Sens!$M$2030)/2</f>
        <v>19100.35225</v>
      </c>
      <c r="N2031" s="32" t="n">
        <f aca="false">(Sens!$C$2030+Sens!$N$2030)/2</f>
        <v>630</v>
      </c>
      <c r="O2031" s="32" t="n">
        <f aca="false">(Sens!$N$2030+Sens!$O$2030)/2</f>
        <v>1170</v>
      </c>
    </row>
    <row r="2032" customFormat="false" ht="15" hidden="false" customHeight="false" outlineLevel="0" collapsed="false">
      <c r="A2032" s="5" t="s">
        <v>597</v>
      </c>
      <c r="B2032" s="5" t="s">
        <v>123</v>
      </c>
      <c r="C2032" s="34" t="n">
        <v>1</v>
      </c>
      <c r="D2032" s="34" t="n">
        <v>1</v>
      </c>
      <c r="E2032" s="34" t="n">
        <v>0.5</v>
      </c>
      <c r="F2032" s="34" t="n">
        <v>0.5</v>
      </c>
      <c r="G2032" s="34" t="n">
        <v>1</v>
      </c>
      <c r="H2032" s="34" t="n">
        <v>1</v>
      </c>
      <c r="I2032" s="34" t="n">
        <v>1</v>
      </c>
      <c r="J2032" s="34" t="n">
        <v>1</v>
      </c>
      <c r="K2032" s="34" t="n">
        <v>1</v>
      </c>
      <c r="L2032" s="34" t="n">
        <v>1</v>
      </c>
      <c r="M2032" s="34" t="n">
        <v>1</v>
      </c>
      <c r="N2032" s="34" t="n">
        <v>0.5</v>
      </c>
      <c r="O2032" s="34" t="n">
        <v>0.5</v>
      </c>
    </row>
    <row r="2033" customFormat="false" ht="17.15" hidden="false" customHeight="false" outlineLevel="0" collapsed="false">
      <c r="A2033" s="5" t="s">
        <v>598</v>
      </c>
      <c r="B2033" s="0" t="s">
        <v>129</v>
      </c>
      <c r="C2033" s="32" t="n">
        <f aca="false">Sens!$C$2030-mw_ye23</f>
        <v>240</v>
      </c>
      <c r="D2033" s="32" t="n">
        <f aca="false">Sens!$D$2030-Sens!$C$2030</f>
        <v>1080</v>
      </c>
      <c r="E2033" s="32" t="n">
        <f aca="false">Sens!$E$2030-Sens!$D$2030</f>
        <v>640</v>
      </c>
      <c r="F2033" s="32" t="n">
        <f aca="false">Sens!$F$2030-Sens!$E$2030</f>
        <v>1817.15</v>
      </c>
      <c r="G2033" s="32" t="n">
        <f aca="false">Sens!$E$2033+Sens!$F$2033</f>
        <v>2457.15</v>
      </c>
      <c r="H2033" s="32" t="n">
        <f aca="false">Sens!$H$2030-Sens!$G$2030</f>
        <v>3634.3</v>
      </c>
      <c r="I2033" s="32" t="n">
        <f aca="false">Sens!$I$2030-Sens!$H$2030</f>
        <v>3634.3</v>
      </c>
      <c r="J2033" s="32" t="n">
        <f aca="false">Sens!$J$2030-Sens!$I$2030</f>
        <v>3634.3</v>
      </c>
      <c r="K2033" s="32" t="n">
        <f aca="false">Sens!$K$2030-Sens!$J$2030</f>
        <v>2570.86716666667</v>
      </c>
      <c r="L2033" s="32" t="n">
        <f aca="false">Sens!$L$2030-Sens!$K$2030</f>
        <v>1507.43433333333</v>
      </c>
      <c r="M2033" s="32" t="n">
        <f aca="false">Sens!$M$2030-Sens!$L$2030</f>
        <v>444.001499999999</v>
      </c>
      <c r="N2033" s="32" t="n">
        <f aca="false">Sens!$N$2030-Sens!$C$2030</f>
        <v>540</v>
      </c>
      <c r="O2033" s="32" t="n">
        <f aca="false">Sens!$O$2030-Sens!$N$2030</f>
        <v>540</v>
      </c>
    </row>
    <row r="2034" customFormat="false" ht="17.15" hidden="false" customHeight="false" outlineLevel="0" collapsed="false">
      <c r="A2034" s="5" t="s">
        <v>599</v>
      </c>
      <c r="B2034" s="0" t="s">
        <v>129</v>
      </c>
      <c r="C2034" s="32" t="n">
        <f aca="false">Sens!$C$2033/ext_sh</f>
        <v>300</v>
      </c>
      <c r="D2034" s="32" t="n">
        <f aca="false">Sens!$D$2033/ext_sh</f>
        <v>1350</v>
      </c>
      <c r="E2034" s="32" t="n">
        <f aca="false">Sens!$E$2033/ext_sh</f>
        <v>800</v>
      </c>
      <c r="F2034" s="32" t="n">
        <f aca="false">Sens!$F$2033/ext_sh</f>
        <v>2271.4375</v>
      </c>
      <c r="G2034" s="32" t="n">
        <f aca="false">Sens!$G$2033/ext_sh</f>
        <v>3071.4375</v>
      </c>
      <c r="H2034" s="32" t="n">
        <f aca="false">Sens!$H$2033/ext_sh</f>
        <v>4542.875</v>
      </c>
      <c r="I2034" s="32" t="n">
        <f aca="false">Sens!$I$2033/ext_sh</f>
        <v>4542.875</v>
      </c>
      <c r="J2034" s="32" t="n">
        <f aca="false">Sens!$J$2033/ext_sh</f>
        <v>4542.875</v>
      </c>
      <c r="K2034" s="32" t="n">
        <f aca="false">Sens!$K$2033/ext_sh</f>
        <v>3213.58395833333</v>
      </c>
      <c r="L2034" s="32" t="n">
        <f aca="false">Sens!$L$2033/ext_sh</f>
        <v>1884.29291666667</v>
      </c>
      <c r="M2034" s="32" t="n">
        <f aca="false">Sens!$M$2033/ext_sh</f>
        <v>555.001874999998</v>
      </c>
      <c r="N2034" s="32" t="n">
        <f aca="false">Sens!$N$2033/ext_sh</f>
        <v>675</v>
      </c>
      <c r="O2034" s="32" t="n">
        <f aca="false">Sens!$O$2033/ext_sh</f>
        <v>675</v>
      </c>
      <c r="P2034" s="8" t="s">
        <v>600</v>
      </c>
      <c r="R2034" s="32" t="n">
        <f aca="false">mw_ye23/ext_sh</f>
        <v>150</v>
      </c>
      <c r="S2034" s="32" t="n">
        <f aca="false">Sens!$C$2034</f>
        <v>300</v>
      </c>
      <c r="T2034" s="32" t="n">
        <f aca="false">Sens!$D$2034</f>
        <v>1350</v>
      </c>
      <c r="U2034" s="32" t="n">
        <f aca="false">Sens!$G$2034</f>
        <v>3071.4375</v>
      </c>
      <c r="V2034" s="32" t="n">
        <f aca="false">Sens!$H$2034</f>
        <v>4542.875</v>
      </c>
      <c r="W2034" s="32" t="n">
        <f aca="false">Sens!$I$2034</f>
        <v>4542.875</v>
      </c>
      <c r="X2034" s="32" t="n">
        <f aca="false">Sens!$J$2034</f>
        <v>4542.875</v>
      </c>
      <c r="Y2034" s="32" t="n">
        <f aca="false">Sens!$K$2034</f>
        <v>3213.58395833333</v>
      </c>
      <c r="Z2034" s="32" t="n">
        <f aca="false">Sens!$L$2034</f>
        <v>1884.29291666667</v>
      </c>
      <c r="AA2034" s="32" t="n">
        <f aca="false">Sens!$M$2034</f>
        <v>555.001874999998</v>
      </c>
    </row>
    <row r="2035" customFormat="false" ht="17.15" hidden="false" customHeight="false" outlineLevel="0" collapsed="false">
      <c r="A2035" s="1" t="s">
        <v>601</v>
      </c>
    </row>
    <row r="2036" customFormat="false" ht="17.15" hidden="false" customHeight="false" outlineLevel="0" collapsed="false">
      <c r="A2036" s="0" t="s">
        <v>602</v>
      </c>
      <c r="B2036" s="0" t="s">
        <v>52</v>
      </c>
      <c r="F2036" s="35" t="n">
        <f aca="false">na_vr26</f>
        <v>0</v>
      </c>
      <c r="G2036" s="35" t="n">
        <f aca="false">na_vr26</f>
        <v>0</v>
      </c>
      <c r="H2036" s="35" t="n">
        <f aca="false">na_vr27</f>
        <v>0.5</v>
      </c>
      <c r="I2036" s="35" t="n">
        <f aca="false">na_vr28</f>
        <v>1</v>
      </c>
      <c r="J2036" s="35" t="n">
        <f aca="false">na_vr28</f>
        <v>1</v>
      </c>
      <c r="K2036" s="35" t="n">
        <f aca="false">na_vr28</f>
        <v>1</v>
      </c>
      <c r="L2036" s="35" t="n">
        <f aca="false">na_vr28</f>
        <v>1</v>
      </c>
      <c r="M2036" s="35" t="n">
        <f aca="false">na_vr28</f>
        <v>1</v>
      </c>
    </row>
    <row r="2037" customFormat="false" ht="17.15" hidden="false" customHeight="false" outlineLevel="0" collapsed="false">
      <c r="A2037" s="5" t="s">
        <v>603</v>
      </c>
      <c r="B2037" s="0" t="s">
        <v>173</v>
      </c>
      <c r="F2037" s="36" t="n">
        <f aca="false">cust_sh*tk_he_gb300*cf_chip+(1-cust_sh)*((1-Sens!$F$2036)*tk_he_gb300+Sens!$F$2036*tk_he_vr200)</f>
        <v>10.8864110021101</v>
      </c>
      <c r="G2037" s="36" t="n">
        <f aca="false">cust_sh*tk_he_gb300*cf_chip+(1-cust_sh)*((1-Sens!$G$2036)*tk_he_gb300+Sens!$G$2036*tk_he_vr200)</f>
        <v>10.8864110021101</v>
      </c>
      <c r="H2037" s="36" t="n">
        <f aca="false">cust_sh*tk_he_gb300*cf_chip+(1-cust_sh)*((1-Sens!$H$2036)*tk_he_gb300+Sens!$H$2036*tk_he_vr200)</f>
        <v>11.2211760027286</v>
      </c>
      <c r="I2037" s="36" t="n">
        <f aca="false">cust_sh*tk_he_gb300*cf_chip+(1-cust_sh)*((1-Sens!$I$2036)*tk_he_gb300+Sens!$I$2036*tk_he_vr200)</f>
        <v>11.5559410033471</v>
      </c>
      <c r="J2037" s="36" t="n">
        <f aca="false">cust_sh*tk_he_gb300*cf_chip+(1-cust_sh)*((1-Sens!$J$2036)*tk_he_gb300+Sens!$J$2036*tk_he_vr200)</f>
        <v>11.5559410033471</v>
      </c>
      <c r="K2037" s="36" t="n">
        <f aca="false">cust_sh*tk_he_gb300*cf_chip+(1-cust_sh)*((1-Sens!$K$2036)*tk_he_gb300+Sens!$K$2036*tk_he_vr200)</f>
        <v>11.5559410033471</v>
      </c>
      <c r="L2037" s="36" t="n">
        <f aca="false">cust_sh*tk_he_gb300*cf_chip+(1-cust_sh)*((1-Sens!$L$2036)*tk_he_gb300+Sens!$L$2036*tk_he_vr200)</f>
        <v>11.5559410033471</v>
      </c>
      <c r="M2037" s="36" t="n">
        <f aca="false">cust_sh*tk_he_gb300*cf_chip+(1-cust_sh)*((1-Sens!$M$2036)*tk_he_gb300+Sens!$M$2036*tk_he_vr200)</f>
        <v>11.5559410033471</v>
      </c>
    </row>
    <row r="2038" customFormat="false" ht="17.15" hidden="false" customHeight="false" outlineLevel="0" collapsed="false">
      <c r="A2038" s="5" t="s">
        <v>604</v>
      </c>
      <c r="B2038" s="0" t="s">
        <v>173</v>
      </c>
      <c r="F2038" s="36" t="n">
        <f aca="false">cust_sh*tk_ox_gb300+(1-cust_sh)*((1-Sens!$F$2036)*tk_ox_gb300+Sens!$F$2036*tk_ox_vr200)</f>
        <v>1.98263481314457</v>
      </c>
      <c r="G2038" s="36" t="n">
        <f aca="false">cust_sh*tk_ox_gb300+(1-cust_sh)*((1-Sens!$G$2036)*tk_ox_gb300+Sens!$G$2036*tk_ox_vr200)</f>
        <v>1.98263481314457</v>
      </c>
      <c r="H2038" s="36" t="n">
        <f aca="false">cust_sh*tk_ox_gb300+(1-cust_sh)*((1-Sens!$H$2036)*tk_ox_gb300+Sens!$H$2036*tk_ox_vr200)</f>
        <v>2.01034999693694</v>
      </c>
      <c r="I2038" s="36" t="n">
        <f aca="false">cust_sh*tk_ox_gb300+(1-cust_sh)*((1-Sens!$I$2036)*tk_ox_gb300+Sens!$I$2036*tk_ox_vr200)</f>
        <v>2.0380651807293</v>
      </c>
      <c r="J2038" s="36" t="n">
        <f aca="false">cust_sh*tk_ox_gb300+(1-cust_sh)*((1-Sens!$J$2036)*tk_ox_gb300+Sens!$J$2036*tk_ox_vr200)</f>
        <v>2.0380651807293</v>
      </c>
      <c r="K2038" s="36" t="n">
        <f aca="false">cust_sh*tk_ox_gb300+(1-cust_sh)*((1-Sens!$K$2036)*tk_ox_gb300+Sens!$K$2036*tk_ox_vr200)</f>
        <v>2.0380651807293</v>
      </c>
      <c r="L2038" s="36" t="n">
        <f aca="false">cust_sh*tk_ox_gb300+(1-cust_sh)*((1-Sens!$L$2036)*tk_ox_gb300+Sens!$L$2036*tk_ox_vr200)</f>
        <v>2.0380651807293</v>
      </c>
      <c r="M2038" s="36" t="n">
        <f aca="false">cust_sh*tk_ox_gb300+(1-cust_sh)*((1-Sens!$M$2036)*tk_ox_gb300+Sens!$M$2036*tk_ox_vr200)</f>
        <v>2.0380651807293</v>
      </c>
    </row>
    <row r="2039" customFormat="false" ht="17.15" hidden="false" customHeight="false" outlineLevel="0" collapsed="false">
      <c r="A2039" s="5" t="s">
        <v>605</v>
      </c>
      <c r="B2039" s="0" t="s">
        <v>192</v>
      </c>
      <c r="F2039" s="36" t="n">
        <f aca="false">cust_sh*tk_cx_gb300*cf_cx+(1-cust_sh)*((1-Sens!$F$2036)*tk_cx_gb300+Sens!$F$2036*tk_cx_vr200)</f>
        <v>32.237224</v>
      </c>
      <c r="G2039" s="36" t="n">
        <f aca="false">cust_sh*tk_cx_gb300*cf_cx+(1-cust_sh)*((1-Sens!$G$2036)*tk_cx_gb300+Sens!$G$2036*tk_cx_vr200)</f>
        <v>32.237224</v>
      </c>
      <c r="H2039" s="36" t="n">
        <f aca="false">cust_sh*tk_cx_gb300*cf_cx+(1-cust_sh)*((1-Sens!$H$2036)*tk_cx_gb300+Sens!$H$2036*tk_cx_vr200)</f>
        <v>33.574506</v>
      </c>
      <c r="I2039" s="36" t="n">
        <f aca="false">cust_sh*tk_cx_gb300*cf_cx+(1-cust_sh)*((1-Sens!$I$2036)*tk_cx_gb300+Sens!$I$2036*tk_cx_vr200)</f>
        <v>34.911788</v>
      </c>
      <c r="J2039" s="36" t="n">
        <f aca="false">cust_sh*tk_cx_gb300*cf_cx+(1-cust_sh)*((1-Sens!$J$2036)*tk_cx_gb300+Sens!$J$2036*tk_cx_vr200)</f>
        <v>34.911788</v>
      </c>
      <c r="K2039" s="36" t="n">
        <f aca="false">cust_sh*tk_cx_gb300*cf_cx+(1-cust_sh)*((1-Sens!$K$2036)*tk_cx_gb300+Sens!$K$2036*tk_cx_vr200)</f>
        <v>34.911788</v>
      </c>
      <c r="L2039" s="36" t="n">
        <f aca="false">cust_sh*tk_cx_gb300*cf_cx+(1-cust_sh)*((1-Sens!$L$2036)*tk_cx_gb300+Sens!$L$2036*tk_cx_vr200)</f>
        <v>34.911788</v>
      </c>
      <c r="M2039" s="36" t="n">
        <f aca="false">cust_sh*tk_cx_gb300*cf_cx+(1-cust_sh)*((1-Sens!$M$2036)*tk_cx_gb300+Sens!$M$2036*tk_cx_vr200)</f>
        <v>34.911788</v>
      </c>
    </row>
    <row r="2040" customFormat="false" ht="17.15" hidden="false" customHeight="false" outlineLevel="0" collapsed="false">
      <c r="A2040" s="5" t="s">
        <v>606</v>
      </c>
      <c r="B2040" s="0" t="s">
        <v>129</v>
      </c>
      <c r="F2040" s="32" t="n">
        <f aca="false">Sens!$F$2030-mw_open</f>
        <v>1817.15</v>
      </c>
      <c r="G2040" s="32" t="n">
        <f aca="false">Sens!$F$2040</f>
        <v>1817.15</v>
      </c>
      <c r="H2040" s="32" t="n">
        <f aca="false">Sens!$H$2030-mw_open</f>
        <v>5451.45</v>
      </c>
      <c r="I2040" s="32" t="n">
        <f aca="false">Sens!$I$2030-mw_open</f>
        <v>9085.75</v>
      </c>
      <c r="J2040" s="32" t="n">
        <f aca="false">Sens!$J$2030-mw_open</f>
        <v>12720.05</v>
      </c>
      <c r="K2040" s="32" t="n">
        <f aca="false">Sens!$K$2030-mw_open</f>
        <v>15290.9171666667</v>
      </c>
      <c r="L2040" s="32" t="n">
        <f aca="false">Sens!$L$2030-mw_open</f>
        <v>16798.3515</v>
      </c>
      <c r="M2040" s="32" t="n">
        <f aca="false">Sens!$M$2030-mw_open</f>
        <v>17242.353</v>
      </c>
    </row>
    <row r="2041" customFormat="false" ht="17.15" hidden="false" customHeight="false" outlineLevel="0" collapsed="false">
      <c r="A2041" s="0" t="s">
        <v>607</v>
      </c>
      <c r="B2041" s="0" t="s">
        <v>608</v>
      </c>
      <c r="F2041" s="32" t="n">
        <f aca="false">Sens!$F$2033*Sens!$F$2037</f>
        <v>19782.2417524844</v>
      </c>
      <c r="G2041" s="32" t="n">
        <f aca="false">Sens!$F$2041</f>
        <v>19782.2417524844</v>
      </c>
      <c r="H2041" s="32" t="n">
        <f aca="false">Sens!$G$2041+Sens!$H$2033*Sens!$H$2037</f>
        <v>60563.3616992009</v>
      </c>
      <c r="I2041" s="32" t="n">
        <f aca="false">Sens!$H$2041+Sens!$I$2033*Sens!$I$2037</f>
        <v>102561.118087665</v>
      </c>
      <c r="J2041" s="32" t="n">
        <f aca="false">Sens!$I$2041+Sens!$J$2033*Sens!$J$2037</f>
        <v>144558.87447613</v>
      </c>
      <c r="K2041" s="32" t="n">
        <f aca="false">Sens!$J$2041+Sens!$K$2033*Sens!$K$2037</f>
        <v>174267.663781572</v>
      </c>
      <c r="L2041" s="32" t="n">
        <f aca="false">Sens!$K$2041+Sens!$L$2033*Sens!$L$2037</f>
        <v>191687.486003992</v>
      </c>
      <c r="M2041" s="32" t="n">
        <f aca="false">Sens!$L$2041+Sens!$M$2033*Sens!$M$2037</f>
        <v>196818.341143389</v>
      </c>
    </row>
    <row r="2042" customFormat="false" ht="17.15" hidden="false" customHeight="false" outlineLevel="0" collapsed="false">
      <c r="A2042" s="0" t="s">
        <v>609</v>
      </c>
      <c r="B2042" s="0" t="s">
        <v>608</v>
      </c>
      <c r="F2042" s="32" t="n">
        <f aca="false">Sens!$F$2033*Sens!$F$2038</f>
        <v>3602.74485070566</v>
      </c>
      <c r="G2042" s="32" t="n">
        <f aca="false">Sens!$F$2042</f>
        <v>3602.74485070566</v>
      </c>
      <c r="H2042" s="32" t="n">
        <f aca="false">Sens!$G$2042+Sens!$H$2033*Sens!$H$2038</f>
        <v>10908.9598445736</v>
      </c>
      <c r="I2042" s="32" t="n">
        <f aca="false">Sens!$H$2042+Sens!$I$2033*Sens!$I$2038</f>
        <v>18315.9001308981</v>
      </c>
      <c r="J2042" s="32" t="n">
        <f aca="false">Sens!$I$2042+Sens!$J$2033*Sens!$J$2038</f>
        <v>25722.8404172225</v>
      </c>
      <c r="K2042" s="32" t="n">
        <f aca="false">Sens!$J$2042+Sens!$K$2033*Sens!$K$2038</f>
        <v>30962.4352738861</v>
      </c>
      <c r="L2042" s="32" t="n">
        <f aca="false">Sens!$K$2042+Sens!$L$2033*Sens!$L$2038</f>
        <v>34034.6847008886</v>
      </c>
      <c r="M2042" s="32" t="n">
        <f aca="false">Sens!$L$2042+Sens!$M$2033*Sens!$M$2038</f>
        <v>34939.5886982302</v>
      </c>
    </row>
    <row r="2043" customFormat="false" ht="17.15" hidden="false" customHeight="false" outlineLevel="0" collapsed="false">
      <c r="A2043" s="5" t="s">
        <v>610</v>
      </c>
      <c r="B2043" s="0" t="s">
        <v>173</v>
      </c>
      <c r="F2043" s="36" t="n">
        <f aca="false">IF(Sens!$F$2040&gt;0,Sens!$F$2041/Sens!$F$2040,Sens!$F$2037)</f>
        <v>10.8864110021101</v>
      </c>
      <c r="G2043" s="36" t="n">
        <f aca="false">IF(Sens!$G$2040&gt;0,Sens!$G$2041/Sens!$G$2040,Sens!$G$2037)</f>
        <v>10.8864110021101</v>
      </c>
      <c r="H2043" s="36" t="n">
        <f aca="false">IF(Sens!$H$2040&gt;0,Sens!$H$2041/Sens!$H$2040,Sens!$H$2037)</f>
        <v>11.1095876691891</v>
      </c>
      <c r="I2043" s="36" t="n">
        <f aca="false">IF(Sens!$I$2040&gt;0,Sens!$I$2041/Sens!$I$2040,Sens!$I$2037)</f>
        <v>11.2881290028523</v>
      </c>
      <c r="J2043" s="36" t="n">
        <f aca="false">IF(Sens!$J$2040&gt;0,Sens!$J$2041/Sens!$J$2040,Sens!$J$2037)</f>
        <v>11.3646467172794</v>
      </c>
      <c r="K2043" s="36" t="n">
        <f aca="false">IF(Sens!$K$2040&gt;0,Sens!$K$2041/Sens!$K$2040,Sens!$K$2037)</f>
        <v>11.3968090914432</v>
      </c>
      <c r="L2043" s="36" t="n">
        <f aca="false">IF(Sens!$L$2040&gt;0,Sens!$L$2041/Sens!$L$2040,Sens!$L$2037)</f>
        <v>11.4110891181192</v>
      </c>
      <c r="M2043" s="36" t="n">
        <f aca="false">IF(Sens!$M$2040&gt;0,Sens!$M$2041/Sens!$M$2040,Sens!$M$2037)</f>
        <v>11.4148191458201</v>
      </c>
    </row>
    <row r="2044" customFormat="false" ht="17.15" hidden="false" customHeight="false" outlineLevel="0" collapsed="false">
      <c r="A2044" s="5" t="s">
        <v>611</v>
      </c>
      <c r="B2044" s="0" t="s">
        <v>173</v>
      </c>
      <c r="F2044" s="36" t="n">
        <f aca="false">IF(Sens!$F$2040&gt;0,Sens!$F$2042/Sens!$F$2040,Sens!$F$2038)</f>
        <v>1.98263481314457</v>
      </c>
      <c r="G2044" s="36" t="n">
        <f aca="false">IF(Sens!$G$2040&gt;0,Sens!$G$2042/Sens!$G$2040,Sens!$G$2038)</f>
        <v>1.98263481314457</v>
      </c>
      <c r="H2044" s="36" t="n">
        <f aca="false">IF(Sens!$H$2040&gt;0,Sens!$H$2042/Sens!$H$2040,Sens!$H$2038)</f>
        <v>2.00111160233948</v>
      </c>
      <c r="I2044" s="36" t="n">
        <f aca="false">IF(Sens!$I$2040&gt;0,Sens!$I$2042/Sens!$I$2040,Sens!$I$2038)</f>
        <v>2.01589303369541</v>
      </c>
      <c r="J2044" s="36" t="n">
        <f aca="false">IF(Sens!$J$2040&gt;0,Sens!$J$2042/Sens!$J$2040,Sens!$J$2038)</f>
        <v>2.02222793284795</v>
      </c>
      <c r="K2044" s="36" t="n">
        <f aca="false">IF(Sens!$K$2040&gt;0,Sens!$K$2042/Sens!$K$2040,Sens!$K$2038)</f>
        <v>2.02489065478573</v>
      </c>
      <c r="L2044" s="36" t="n">
        <f aca="false">IF(Sens!$L$2040&gt;0,Sens!$L$2042/Sens!$L$2040,Sens!$L$2038)</f>
        <v>2.0260728977417</v>
      </c>
      <c r="M2044" s="36" t="n">
        <f aca="false">IF(Sens!$M$2040&gt;0,Sens!$M$2042/Sens!$M$2040,Sens!$M$2038)</f>
        <v>2.02638170661685</v>
      </c>
    </row>
    <row r="2045" customFormat="false" ht="17.15" hidden="false" customHeight="false" outlineLevel="0" collapsed="false">
      <c r="A2045" s="15" t="s">
        <v>612</v>
      </c>
      <c r="B2045" s="14" t="s">
        <v>173</v>
      </c>
      <c r="C2045" s="14"/>
      <c r="D2045" s="14"/>
      <c r="E2045" s="14"/>
      <c r="F2045" s="37" t="n">
        <f aca="false">Sens!$F$2043*k_B</f>
        <v>10.7987645808025</v>
      </c>
      <c r="G2045" s="37" t="n">
        <f aca="false">Sens!$G$2043*k_B</f>
        <v>10.7987645808025</v>
      </c>
      <c r="H2045" s="37" t="n">
        <f aca="false">Sens!$H$2043*k_B</f>
        <v>11.0201444540452</v>
      </c>
      <c r="I2045" s="37" t="n">
        <f aca="false">Sens!$I$2043*k_B</f>
        <v>11.1972483526393</v>
      </c>
      <c r="J2045" s="37" t="n">
        <f aca="false">Sens!$J$2043*k_B</f>
        <v>11.2731500234653</v>
      </c>
      <c r="K2045" s="37" t="n">
        <f aca="false">Sens!$K$2043*k_B</f>
        <v>11.3050534585724</v>
      </c>
      <c r="L2045" s="37" t="n">
        <f aca="false">Sens!$L$2043*k_B</f>
        <v>11.3192185168503</v>
      </c>
      <c r="M2045" s="37" t="n">
        <f aca="false">Sens!$M$2043*k_B</f>
        <v>11.3229185141234</v>
      </c>
      <c r="N2045" s="14"/>
      <c r="O2045" s="14"/>
      <c r="P2045" s="5" t="s">
        <v>613</v>
      </c>
    </row>
    <row r="2046" customFormat="false" ht="17.15" hidden="false" customHeight="false" outlineLevel="0" collapsed="false">
      <c r="A2046" s="5" t="s">
        <v>614</v>
      </c>
      <c r="B2046" s="0" t="s">
        <v>129</v>
      </c>
      <c r="F2046" s="32" t="n">
        <f aca="false">Sens!$F$2040/2</f>
        <v>908.575</v>
      </c>
      <c r="H2046" s="32" t="n">
        <f aca="false">(Sens!$G$2040+Sens!$H$2040)/2</f>
        <v>3634.3</v>
      </c>
      <c r="I2046" s="32" t="n">
        <f aca="false">(Sens!$H$2040+Sens!$I$2040)/2</f>
        <v>7268.6</v>
      </c>
      <c r="J2046" s="32" t="n">
        <f aca="false">(Sens!$I$2040+Sens!$J$2040)/2</f>
        <v>10902.9</v>
      </c>
      <c r="K2046" s="32" t="n">
        <f aca="false">(Sens!$J$2040+Sens!$K$2040)/2</f>
        <v>14005.4835833333</v>
      </c>
      <c r="L2046" s="32" t="n">
        <f aca="false">(Sens!$K$2040+Sens!$L$2040)/2</f>
        <v>16044.6343333333</v>
      </c>
      <c r="M2046" s="32" t="n">
        <f aca="false">(Sens!$L$2040+Sens!$M$2040)/2</f>
        <v>17020.35225</v>
      </c>
    </row>
    <row r="2047" customFormat="false" ht="17.15" hidden="false" customHeight="false" outlineLevel="0" collapsed="false">
      <c r="A2047" s="1" t="s">
        <v>615</v>
      </c>
    </row>
    <row r="2048" customFormat="false" ht="17.15" hidden="false" customHeight="false" outlineLevel="0" collapsed="false">
      <c r="A2048" s="1" t="s">
        <v>616</v>
      </c>
      <c r="B2048" s="8" t="s">
        <v>86</v>
      </c>
      <c r="C2048" s="38" t="n">
        <f aca="false">Sens!$C$2031*rpm_open*Sens!$C$2032/1000</f>
        <v>2.32100535697364</v>
      </c>
      <c r="D2048" s="38" t="n">
        <f aca="false">Sens!$D$2031*rpm_open*Sens!$D$2032/1000</f>
        <v>8.70377008865116</v>
      </c>
      <c r="E2048" s="38" t="n">
        <f aca="false">Sens!$E$2031*rpm_open*Sens!$E$2032/1000</f>
        <v>8.51035297557002</v>
      </c>
      <c r="F2048" s="38" t="n">
        <f aca="false">(mw_open*rpm_open+Sens!$F$2046*Sens!$F$2045)*Sens!$F$2032/1000</f>
        <v>14.9634336447205</v>
      </c>
      <c r="G2048" s="38" t="n">
        <f aca="false">Sens!$E$2048+Sens!$F$2048</f>
        <v>23.4737866202905</v>
      </c>
      <c r="H2048" s="38" t="n">
        <f aca="false">(mw_open*rpm_open+Sens!$H$2046*Sens!$H$2045)/1000</f>
        <v>60.1658907497746</v>
      </c>
      <c r="I2048" s="38" t="n">
        <f aca="false">(mw_open*rpm_open+Sens!$I$2046*Sens!$I$2045)/1000</f>
        <v>101.503699136432</v>
      </c>
      <c r="J2048" s="38" t="n">
        <f aca="false">(mw_open*rpm_open+Sens!$J$2046*Sens!$J$2045)/1000</f>
        <v>143.025407151278</v>
      </c>
      <c r="K2048" s="38" t="n">
        <f aca="false">(mw_open*rpm_open+Sens!$K$2046*Sens!$K$2045)/1000</f>
        <v>178.44812038318</v>
      </c>
      <c r="L2048" s="38" t="n">
        <f aca="false">(mw_open*rpm_open+Sens!$L$2046*Sens!$L$2045)/1000</f>
        <v>201.728101802396</v>
      </c>
      <c r="M2048" s="38" t="n">
        <f aca="false">(mw_open*rpm_open+Sens!$M$2046*Sens!$M$2045)/1000</f>
        <v>212.835441368865</v>
      </c>
      <c r="N2048" s="38" t="n">
        <f aca="false">Sens!$N$2031*rpm_open*Sens!$N$2032/1000</f>
        <v>3.04631953102791</v>
      </c>
      <c r="O2048" s="38" t="n">
        <f aca="false">Sens!$O$2031*rpm_open*Sens!$O$2032/1000</f>
        <v>5.65745055762326</v>
      </c>
      <c r="P2048" s="5" t="s">
        <v>617</v>
      </c>
    </row>
    <row r="2049" customFormat="false" ht="17.15" hidden="false" customHeight="false" outlineLevel="0" collapsed="false">
      <c r="A2049" s="5" t="s">
        <v>618</v>
      </c>
      <c r="B2049" s="0" t="s">
        <v>173</v>
      </c>
      <c r="C2049" s="36" t="n">
        <f aca="false">Sens!$C$2048*1000/(Sens!$C$2031*Sens!$C$2032)</f>
        <v>9.67085565405685</v>
      </c>
      <c r="D2049" s="36" t="n">
        <f aca="false">Sens!$D$2048*1000/(Sens!$D$2031*Sens!$D$2032)</f>
        <v>9.67085565405685</v>
      </c>
      <c r="E2049" s="36" t="n">
        <f aca="false">Sens!$E$2048*1000/(Sens!$E$2031*Sens!$E$2032)</f>
        <v>9.67085565405685</v>
      </c>
      <c r="F2049" s="36" t="n">
        <f aca="false">Sens!$F$2048*1000/(Sens!$F$2031*Sens!$F$2032)</f>
        <v>10.0137581588017</v>
      </c>
      <c r="G2049" s="36" t="n">
        <f aca="false">Sens!$G$2048*1000/(Sens!$G$2031*Sens!$G$2032)</f>
        <v>9.88666562928478</v>
      </c>
      <c r="H2049" s="36" t="n">
        <f aca="false">Sens!$H$2048*1000/(Sens!$H$2031*Sens!$H$2032)</f>
        <v>10.5290045586992</v>
      </c>
      <c r="I2049" s="36" t="n">
        <f aca="false">Sens!$I$2048*1000/(Sens!$I$2031*Sens!$I$2032)</f>
        <v>10.8576363451674</v>
      </c>
      <c r="J2049" s="36" t="n">
        <f aca="false">Sens!$J$2048*1000/(Sens!$J$2031*Sens!$J$2032)</f>
        <v>11.0164452588619</v>
      </c>
      <c r="K2049" s="36" t="n">
        <f aca="false">Sens!$K$2048*1000/(Sens!$K$2031*Sens!$K$2032)</f>
        <v>11.0937367508227</v>
      </c>
      <c r="L2049" s="36" t="n">
        <f aca="false">Sens!$L$2048*1000/(Sens!$L$2031*Sens!$L$2032)</f>
        <v>11.1300508519168</v>
      </c>
      <c r="M2049" s="36" t="n">
        <f aca="false">Sens!$M$2048*1000/(Sens!$M$2031*Sens!$M$2032)</f>
        <v>11.1430113216297</v>
      </c>
      <c r="N2049" s="36" t="n">
        <f aca="false">Sens!$N$2048*1000/(Sens!$N$2031*Sens!$N$2032)</f>
        <v>9.67085565405685</v>
      </c>
      <c r="O2049" s="36" t="n">
        <f aca="false">Sens!$O$2048*1000/(Sens!$O$2031*Sens!$O$2032)</f>
        <v>9.67085565405685</v>
      </c>
    </row>
    <row r="2050" customFormat="false" ht="17.15" hidden="false" customHeight="false" outlineLevel="0" collapsed="false">
      <c r="A2050" s="0" t="s">
        <v>619</v>
      </c>
      <c r="B2050" s="0" t="s">
        <v>86</v>
      </c>
      <c r="C2050" s="38" t="n">
        <f aca="false">Sens!$C$2031/ext_sh*(ox_open+rent_mw)*Sens!$C$2032/1000</f>
        <v>0.642569210675032</v>
      </c>
      <c r="D2050" s="38" t="n">
        <f aca="false">Sens!$D$2031/ext_sh*(ox_open+rent_mw)*Sens!$D$2032/1000</f>
        <v>2.40963454003137</v>
      </c>
      <c r="E2050" s="38" t="n">
        <f aca="false">Sens!$E$2031/ext_sh*(ox_open+rent_mw)*Sens!$E$2032/1000</f>
        <v>2.35608710580845</v>
      </c>
      <c r="F2050" s="38" t="n">
        <f aca="false">((mw_open*ox_open+Sens!$F$2046*Sens!$F$2044)/ext_sh+Sens!$F$2031/ext_sh*rent_mw)*Sens!$F$2032/1000</f>
        <v>4.05421991106232</v>
      </c>
      <c r="G2050" s="38" t="n">
        <f aca="false">Sens!$E$2050+Sens!$F$2050</f>
        <v>6.41030701687077</v>
      </c>
      <c r="H2050" s="38" t="n">
        <f aca="false">((mw_open*ox_open+Sens!$H$2046*Sens!$H$2044)/ext_sh+Sens!$H$2031/ext_sh*rent_mw)*Sens!$H$2032/1000</f>
        <v>15.8108975546616</v>
      </c>
      <c r="I2050" s="38" t="n">
        <f aca="false">((mw_open*ox_open+Sens!$I$2046*Sens!$I$2044)/ext_sh+Sens!$I$2031/ext_sh*rent_mw)*Sens!$I$2032/1000</f>
        <v>26.1871623400817</v>
      </c>
      <c r="J2050" s="38" t="n">
        <f aca="false">((mw_open*ox_open+Sens!$J$2046*Sens!$J$2044)/ext_sh+Sens!$J$2031/ext_sh*rent_mw)*Sens!$J$2032/1000</f>
        <v>36.5826128954935</v>
      </c>
      <c r="K2050" s="38" t="n">
        <f aca="false">((mw_open*ox_open+Sens!$K$2046*Sens!$K$2044)/ext_sh+Sens!$K$2031/ext_sh*rent_mw)*Sens!$K$2032/1000</f>
        <v>45.4546361137628</v>
      </c>
      <c r="L2050" s="38" t="n">
        <f aca="false">((mw_open*ox_open+Sens!$L$2046*Sens!$L$2044)/ext_sh+Sens!$L$2031/ext_sh*rent_mw)*Sens!$L$2032/1000</f>
        <v>51.2855695554452</v>
      </c>
      <c r="M2050" s="38" t="n">
        <f aca="false">((mw_open*ox_open+Sens!$M$2046*Sens!$M$2044)/ext_sh+Sens!$M$2031/ext_sh*rent_mw)*Sens!$M$2032/1000</f>
        <v>54.0722927838398</v>
      </c>
      <c r="N2050" s="38" t="n">
        <f aca="false">Sens!$N$2031/ext_sh*(ox_open+rent_mw)*Sens!$N$2032/1000</f>
        <v>0.84337208901098</v>
      </c>
      <c r="O2050" s="38" t="n">
        <f aca="false">Sens!$O$2031/ext_sh*(ox_open+rent_mw)*Sens!$O$2032/1000</f>
        <v>1.56626245102039</v>
      </c>
    </row>
    <row r="2051" customFormat="false" ht="17.15" hidden="false" customHeight="false" outlineLevel="0" collapsed="false">
      <c r="A2051" s="0" t="s">
        <v>620</v>
      </c>
      <c r="B2051" s="0" t="s">
        <v>86</v>
      </c>
      <c r="C2051" s="38" t="n">
        <f aca="false">Q!$D$7</f>
        <v>107.556</v>
      </c>
      <c r="D2051" s="38" t="n">
        <f aca="false">Q!$E$7</f>
        <v>128.725</v>
      </c>
      <c r="E2051" s="38" t="n">
        <f aca="false">Q!$P$7</f>
        <v>79.819</v>
      </c>
      <c r="N2051" s="38" t="n">
        <f aca="false">Q!$N$7</f>
        <v>60.14</v>
      </c>
      <c r="O2051" s="38" t="n">
        <f aca="false">Q!$O$7</f>
        <v>68.585</v>
      </c>
    </row>
    <row r="2052" customFormat="false" ht="17.15" hidden="false" customHeight="false" outlineLevel="0" collapsed="false">
      <c r="A2052" s="1" t="s">
        <v>621</v>
      </c>
      <c r="B2052" s="8" t="s">
        <v>86</v>
      </c>
      <c r="C2052" s="38" t="n">
        <f aca="false">Sens!$C$2051-Sens!$C$2048</f>
        <v>105.234994643026</v>
      </c>
      <c r="D2052" s="38" t="n">
        <f aca="false">Sens!$D$2051-Sens!$D$2048</f>
        <v>120.021229911349</v>
      </c>
      <c r="E2052" s="38" t="n">
        <f aca="false">Sens!$E$2051-Sens!$E$2048</f>
        <v>71.30864702443</v>
      </c>
      <c r="F2052" s="38" t="n">
        <f aca="false">Sens!$O$2052*(1+Sens!$F$2053)</f>
        <v>71.7692997942464</v>
      </c>
      <c r="G2052" s="38" t="n">
        <f aca="false">Sens!$E$2052+Sens!$F$2052</f>
        <v>143.077946818676</v>
      </c>
      <c r="H2052" s="38" t="n">
        <f aca="false">Sens!$G$2052*(1+Sens!$H$2053)</f>
        <v>161.017077079203</v>
      </c>
      <c r="I2052" s="38" t="n">
        <f aca="false">Sens!$H$2052*(1+Sens!$I$2053)</f>
        <v>178.769759521457</v>
      </c>
      <c r="J2052" s="38" t="n">
        <f aca="false">Sens!$I$2052*(1+Sens!$J$2053)</f>
        <v>195.775538045907</v>
      </c>
      <c r="K2052" s="38" t="n">
        <f aca="false">Sens!$J$2052*(1+Sens!$K$2053)</f>
        <v>211.43758108958</v>
      </c>
      <c r="L2052" s="38" t="n">
        <f aca="false">Sens!$K$2052*(1+Sens!$L$2053)</f>
        <v>228.352587576746</v>
      </c>
      <c r="M2052" s="38" t="n">
        <f aca="false">Sens!$L$2052*(1+Sens!$M$2053)</f>
        <v>246.620794582886</v>
      </c>
      <c r="N2052" s="38" t="n">
        <f aca="false">Sens!$N$2051-Sens!$N$2048</f>
        <v>57.0936804689721</v>
      </c>
      <c r="O2052" s="38" t="n">
        <f aca="false">Sens!$O$2051-Sens!$O$2048</f>
        <v>62.9275494423768</v>
      </c>
      <c r="P2052" s="5" t="s">
        <v>622</v>
      </c>
    </row>
    <row r="2053" customFormat="false" ht="17.15" hidden="false" customHeight="false" outlineLevel="0" collapsed="false">
      <c r="A2053" s="0" t="s">
        <v>623</v>
      </c>
      <c r="B2053" s="0" t="s">
        <v>52</v>
      </c>
      <c r="D2053" s="13" t="n">
        <f aca="false">Sens!$D$2052/Sens!$C$2052-1</f>
        <v>0.140506827776062</v>
      </c>
      <c r="E2053" s="13" t="n">
        <f aca="false">Sens!$E$2052/Sens!$N$2052-1</f>
        <v>0.248976181579029</v>
      </c>
      <c r="F2053" s="13" t="n">
        <f aca="false">Sens!$D$2053</f>
        <v>0.140506827776062</v>
      </c>
      <c r="G2053" s="13" t="n">
        <f aca="false">Sens!$G$2052/Sens!$D$2052-1</f>
        <v>0.19210532106993</v>
      </c>
      <c r="H2053" s="13" t="n">
        <f aca="false">Sens!$F$2053+(g_awso_lt-Sens!$F$2053)*1/4</f>
        <v>0.125380120832046</v>
      </c>
      <c r="I2053" s="13" t="n">
        <f aca="false">Sens!$F$2053+(g_awso_lt-Sens!$F$2053)*2/4</f>
        <v>0.110253413888031</v>
      </c>
      <c r="J2053" s="13" t="n">
        <f aca="false">Sens!$F$2053+(g_awso_lt-Sens!$F$2053)*3/4</f>
        <v>0.0951267069440154</v>
      </c>
      <c r="K2053" s="13" t="n">
        <f aca="false">Sens!$F$2053+(g_awso_lt-Sens!$F$2053)*4/4</f>
        <v>0.08</v>
      </c>
      <c r="L2053" s="13" t="n">
        <f aca="false">g_awso_lt</f>
        <v>0.08</v>
      </c>
      <c r="M2053" s="13" t="n">
        <f aca="false">g_awso_lt</f>
        <v>0.08</v>
      </c>
      <c r="P2053" s="5" t="s">
        <v>624</v>
      </c>
    </row>
    <row r="2054" customFormat="false" ht="17.15" hidden="false" customHeight="false" outlineLevel="0" collapsed="false">
      <c r="A2054" s="1" t="s">
        <v>625</v>
      </c>
    </row>
    <row r="2055" customFormat="false" ht="17.15" hidden="false" customHeight="false" outlineLevel="0" collapsed="false">
      <c r="A2055" s="0" t="s">
        <v>626</v>
      </c>
      <c r="B2055" s="0" t="s">
        <v>86</v>
      </c>
      <c r="F2055" s="38" t="n">
        <f aca="false">cx_rt*Sens!$F$2020+cx_awso*Sens!$F$2052</f>
        <v>34.9734495387866</v>
      </c>
    </row>
    <row r="2056" customFormat="false" ht="17.15" hidden="false" customHeight="false" outlineLevel="0" collapsed="false">
      <c r="A2056" s="0" t="s">
        <v>627</v>
      </c>
      <c r="B2056" s="0" t="s">
        <v>52</v>
      </c>
      <c r="C2056" s="13" t="n">
        <f aca="false">tk_cx_h100/(tk_cx_h100+tk_fac*(1-colo_sh))</f>
        <v>0.730756458006641</v>
      </c>
      <c r="D2056" s="13" t="n">
        <f aca="false">tk_cx_h100/(tk_cx_h100+tk_fac*(1-colo_sh))</f>
        <v>0.730756458006641</v>
      </c>
      <c r="E2056" s="13" t="n">
        <f aca="false">Sens!$F$2056</f>
        <v>0.760792334328868</v>
      </c>
      <c r="F2056" s="13" t="n">
        <f aca="false">Sens!$F$2039/(Sens!$F$2039+tk_fac*(1-colo_sh))</f>
        <v>0.760792334328868</v>
      </c>
      <c r="G2056" s="13" t="n">
        <f aca="false">Sens!$G$2039/(Sens!$G$2039+tk_fac*(1-colo_sh))</f>
        <v>0.760792334328868</v>
      </c>
      <c r="H2056" s="13" t="n">
        <f aca="false">Sens!$H$2039/(Sens!$H$2039+tk_fac*(1-colo_sh))</f>
        <v>0.768110668862996</v>
      </c>
      <c r="I2056" s="13" t="n">
        <f aca="false">Sens!$I$2039/(Sens!$I$2039+tk_fac*(1-colo_sh))</f>
        <v>0.77499450139483</v>
      </c>
      <c r="J2056" s="13" t="n">
        <f aca="false">Sens!$J$2039/(Sens!$J$2039+tk_fac*(1-colo_sh))</f>
        <v>0.77499450139483</v>
      </c>
      <c r="K2056" s="13" t="n">
        <f aca="false">Sens!$K$2039/(Sens!$K$2039+tk_fac*(1-colo_sh))</f>
        <v>0.77499450139483</v>
      </c>
      <c r="L2056" s="13" t="n">
        <f aca="false">Sens!$L$2039/(Sens!$L$2039+tk_fac*(1-colo_sh))</f>
        <v>0.77499450139483</v>
      </c>
      <c r="M2056" s="13" t="n">
        <f aca="false">Sens!$M$2039/(Sens!$M$2039+tk_fac*(1-colo_sh))</f>
        <v>0.77499450139483</v>
      </c>
    </row>
    <row r="2057" customFormat="false" ht="17.15" hidden="false" customHeight="false" outlineLevel="0" collapsed="false">
      <c r="A2057" s="1" t="s">
        <v>628</v>
      </c>
      <c r="B2057" s="8" t="s">
        <v>86</v>
      </c>
      <c r="C2057" s="38" t="n">
        <f aca="false">Q!$D$46-cx_rt*Q!$D$16-cx_awso*Sens!$C$2052</f>
        <v>25.2781053077374</v>
      </c>
      <c r="D2057" s="38" t="n">
        <f aca="false">Q!$E$46-cx_rt*Q!$E$16-cx_awso*Sens!$D$2052</f>
        <v>69.5686316310026</v>
      </c>
      <c r="E2057" s="38" t="n">
        <f aca="false">Q!$P$46-cx_rt*Q!$P$16-cx_awso*Sens!$E$2052</f>
        <v>64.1899206485108</v>
      </c>
      <c r="F2057" s="38" t="n">
        <f aca="false">MAX(Sens!$F$2034*(Sens!$F$2039+tk_fac*(1-colo_sh))/1000,capex_g26-Q!$P$46-Sens!$F$2055)</f>
        <v>96.2481299895</v>
      </c>
      <c r="G2057" s="38" t="n">
        <f aca="false">Sens!$E$2057+Sens!$F$2057</f>
        <v>160.438050638011</v>
      </c>
      <c r="H2057" s="38" t="n">
        <f aca="false">Sens!$H$2034*(Sens!$H$2039+tk_fac*(1-colo_sh))/1000+Sens!$H$2058</f>
        <v>198.57136494475</v>
      </c>
      <c r="I2057" s="38" t="n">
        <f aca="false">Sens!$I$2034*(Sens!$I$2039+tk_fac*(1-colo_sh))/1000+Sens!$I$2058</f>
        <v>204.6464699105</v>
      </c>
      <c r="J2057" s="38" t="n">
        <f aca="false">Sens!$J$2034*(Sens!$J$2039+tk_fac*(1-colo_sh))/1000+Sens!$J$2058</f>
        <v>204.6464699105</v>
      </c>
      <c r="K2057" s="38" t="n">
        <f aca="false">Sens!$K$2034*(Sens!$K$2039+tk_fac*(1-colo_sh))/1000+Sens!$K$2058</f>
        <v>150.001617075201</v>
      </c>
      <c r="L2057" s="38" t="n">
        <f aca="false">Sens!$L$2034*(Sens!$L$2039+tk_fac*(1-colo_sh))/1000+Sens!$L$2058</f>
        <v>95.3567642399017</v>
      </c>
      <c r="M2057" s="38" t="n">
        <f aca="false">Sens!$M$2034*(Sens!$M$2039+tk_fac*(1-colo_sh))/1000+Sens!$M$2058</f>
        <v>72.1325206046024</v>
      </c>
      <c r="P2057" s="5" t="s">
        <v>629</v>
      </c>
      <c r="R2057" s="38" t="n">
        <f aca="false">Q!$C$46-cx_rt*Q!$C$16-cx_awso*(Q!$C$7-mw_ye23/2*rpm_open/1000)</f>
        <v>1.50429979529945</v>
      </c>
      <c r="S2057" s="38" t="n">
        <f aca="false">Sens!$C$2057</f>
        <v>25.2781053077374</v>
      </c>
      <c r="T2057" s="38" t="n">
        <f aca="false">Sens!$D$2057</f>
        <v>69.5686316310026</v>
      </c>
      <c r="U2057" s="38" t="n">
        <f aca="false">Sens!$G$2057</f>
        <v>160.438050638011</v>
      </c>
      <c r="V2057" s="38" t="n">
        <f aca="false">Sens!$H$2057</f>
        <v>198.57136494475</v>
      </c>
      <c r="W2057" s="38" t="n">
        <f aca="false">Sens!$I$2057</f>
        <v>204.6464699105</v>
      </c>
      <c r="X2057" s="38" t="n">
        <f aca="false">Sens!$J$2057</f>
        <v>204.6464699105</v>
      </c>
      <c r="Y2057" s="38" t="n">
        <f aca="false">Sens!$K$2057</f>
        <v>150.001617075201</v>
      </c>
      <c r="Z2057" s="38" t="n">
        <f aca="false">Sens!$L$2057</f>
        <v>95.3567642399017</v>
      </c>
      <c r="AA2057" s="38" t="n">
        <f aca="false">Sens!$M$2057</f>
        <v>72.1325206046024</v>
      </c>
    </row>
    <row r="2058" customFormat="false" ht="17.15" hidden="false" customHeight="false" outlineLevel="0" collapsed="false">
      <c r="A2058" s="0" t="s">
        <v>630</v>
      </c>
      <c r="B2058" s="0" t="s">
        <v>86</v>
      </c>
      <c r="H2058" s="38" t="n">
        <f aca="false">SUMPRODUCT(--(Sens!$R$2027:$AA$2027=2027-tk_life_hi),Sens!$R$2034:$AA$2034)*Sens!$H$2039/1000</f>
        <v>0</v>
      </c>
      <c r="I2058" s="38" t="n">
        <f aca="false">SUMPRODUCT(--(Sens!$R$2027:$AA$2027=2028-tk_life_hi),Sens!$R$2034:$AA$2034)*Sens!$I$2039/1000</f>
        <v>0</v>
      </c>
      <c r="J2058" s="38" t="n">
        <f aca="false">SUMPRODUCT(--(Sens!$R$2027:$AA$2027=2029-tk_life_hi),Sens!$R$2034:$AA$2034)*Sens!$J$2039/1000</f>
        <v>0</v>
      </c>
      <c r="K2058" s="38" t="n">
        <f aca="false">SUMPRODUCT(--(Sens!$R$2027:$AA$2027=2030-tk_life_hi),Sens!$R$2034:$AA$2034)*Sens!$K$2039/1000</f>
        <v>5.2367682</v>
      </c>
      <c r="L2058" s="38" t="n">
        <f aca="false">SUMPRODUCT(--(Sens!$R$2027:$AA$2027=2031-tk_life_hi),Sens!$R$2034:$AA$2034)*Sens!$L$2039/1000</f>
        <v>10.4735364</v>
      </c>
      <c r="M2058" s="38" t="n">
        <f aca="false">SUMPRODUCT(--(Sens!$R$2027:$AA$2027=2032-tk_life_hi),Sens!$R$2034:$AA$2034)*Sens!$M$2039/1000</f>
        <v>47.1309138</v>
      </c>
    </row>
    <row r="2059" customFormat="false" ht="17.15" hidden="false" customHeight="false" outlineLevel="0" collapsed="false">
      <c r="A2059" s="0" t="s">
        <v>631</v>
      </c>
      <c r="B2059" s="0" t="s">
        <v>86</v>
      </c>
      <c r="C2059" s="38" t="n">
        <f aca="false">MIN(Sens!$C$2057,Sens!$C$2034*(tk_cx_h100+tk_fac*(1-colo_sh))/1000)</f>
        <v>11.2938642</v>
      </c>
      <c r="D2059" s="38" t="n">
        <f aca="false">MIN(Sens!$D$2057,Sens!$D$2034*(tk_cx_h100+tk_fac*(1-colo_sh))/1000)</f>
        <v>50.8223889</v>
      </c>
      <c r="E2059" s="38" t="n">
        <f aca="false">MIN(Sens!$E$2057,Sens!$E$2034*(Sens!$F$2039+tk_fac*(1-colo_sh))/1000)</f>
        <v>33.8985792</v>
      </c>
      <c r="F2059" s="38" t="n">
        <f aca="false">Sens!$F$2057</f>
        <v>96.2481299895</v>
      </c>
      <c r="G2059" s="38" t="n">
        <f aca="false">Sens!$E$2059+Sens!$F$2059</f>
        <v>130.1467091895</v>
      </c>
      <c r="H2059" s="38" t="n">
        <f aca="false">Sens!$H$2057</f>
        <v>198.57136494475</v>
      </c>
      <c r="I2059" s="38" t="n">
        <f aca="false">Sens!$I$2057</f>
        <v>204.6464699105</v>
      </c>
      <c r="J2059" s="38" t="n">
        <f aca="false">Sens!$J$2057</f>
        <v>204.6464699105</v>
      </c>
      <c r="K2059" s="38" t="n">
        <f aca="false">Sens!$K$2057</f>
        <v>150.001617075201</v>
      </c>
      <c r="L2059" s="38" t="n">
        <f aca="false">Sens!$L$2057</f>
        <v>95.3567642399017</v>
      </c>
      <c r="M2059" s="38" t="n">
        <f aca="false">Sens!$M$2057</f>
        <v>72.1325206046024</v>
      </c>
      <c r="P2059" s="5" t="s">
        <v>632</v>
      </c>
      <c r="R2059" s="38" t="n">
        <f aca="false">MIN(Sens!$R$2057,Sens!$R$2034*(tk_cx_h100+tk_fac*(1-colo_sh))/1000)</f>
        <v>1.50429979529945</v>
      </c>
      <c r="S2059" s="38" t="n">
        <f aca="false">Sens!$C$2059</f>
        <v>11.2938642</v>
      </c>
      <c r="T2059" s="38" t="n">
        <f aca="false">Sens!$D$2059</f>
        <v>50.8223889</v>
      </c>
      <c r="U2059" s="38" t="n">
        <f aca="false">Sens!$G$2059</f>
        <v>130.1467091895</v>
      </c>
      <c r="V2059" s="38" t="n">
        <f aca="false">Sens!$H$2059</f>
        <v>198.57136494475</v>
      </c>
      <c r="W2059" s="38" t="n">
        <f aca="false">Sens!$I$2059</f>
        <v>204.6464699105</v>
      </c>
      <c r="X2059" s="38" t="n">
        <f aca="false">Sens!$J$2059</f>
        <v>204.6464699105</v>
      </c>
      <c r="Y2059" s="38" t="n">
        <f aca="false">Sens!$K$2059</f>
        <v>150.001617075201</v>
      </c>
      <c r="Z2059" s="38" t="n">
        <f aca="false">Sens!$L$2059</f>
        <v>95.3567642399017</v>
      </c>
      <c r="AA2059" s="38" t="n">
        <f aca="false">Sens!$M$2059</f>
        <v>72.1325206046024</v>
      </c>
    </row>
    <row r="2060" customFormat="false" ht="17.15" hidden="false" customHeight="false" outlineLevel="0" collapsed="false">
      <c r="A2060" s="5" t="s">
        <v>633</v>
      </c>
      <c r="B2060" s="0" t="s">
        <v>86</v>
      </c>
      <c r="C2060" s="38" t="n">
        <f aca="false">Sens!$C$2057-Sens!$C$2059</f>
        <v>13.9842411077374</v>
      </c>
      <c r="D2060" s="38" t="n">
        <f aca="false">Sens!$D$2057-Sens!$D$2059</f>
        <v>18.7462427310026</v>
      </c>
      <c r="E2060" s="38" t="n">
        <f aca="false">Sens!$E$2057-Sens!$E$2059</f>
        <v>30.2913414485108</v>
      </c>
      <c r="F2060" s="38" t="n">
        <f aca="false">Sens!$F$2057-Sens!$F$2059</f>
        <v>0</v>
      </c>
      <c r="G2060" s="38" t="n">
        <f aca="false">Sens!$G$2057-Sens!$G$2059</f>
        <v>30.2913414485108</v>
      </c>
      <c r="H2060" s="38" t="n">
        <f aca="false">Sens!$H$2057-Sens!$H$2059</f>
        <v>0</v>
      </c>
      <c r="I2060" s="38" t="n">
        <f aca="false">Sens!$I$2057-Sens!$I$2059</f>
        <v>0</v>
      </c>
      <c r="J2060" s="38" t="n">
        <f aca="false">Sens!$J$2057-Sens!$J$2059</f>
        <v>0</v>
      </c>
      <c r="K2060" s="38" t="n">
        <f aca="false">Sens!$K$2057-Sens!$K$2059</f>
        <v>0</v>
      </c>
      <c r="L2060" s="38" t="n">
        <f aca="false">Sens!$L$2057-Sens!$L$2059</f>
        <v>0</v>
      </c>
      <c r="M2060" s="38" t="n">
        <f aca="false">Sens!$M$2057-Sens!$M$2059</f>
        <v>0</v>
      </c>
    </row>
    <row r="2061" customFormat="false" ht="17.15" hidden="false" customHeight="false" outlineLevel="0" collapsed="false">
      <c r="A2061" s="5" t="s">
        <v>634</v>
      </c>
      <c r="B2061" s="0" t="s">
        <v>86</v>
      </c>
      <c r="C2061" s="38" t="n">
        <f aca="false">Sens!$C$2059*Sens!$C$2056</f>
        <v>8.2530642</v>
      </c>
      <c r="D2061" s="38" t="n">
        <f aca="false">Sens!$D$2059*Sens!$D$2056</f>
        <v>37.1387889</v>
      </c>
      <c r="E2061" s="38" t="n">
        <f aca="false">Sens!$E$2059*Sens!$E$2056</f>
        <v>25.7897792</v>
      </c>
      <c r="F2061" s="38" t="n">
        <f aca="false">Sens!$F$2059*Sens!$F$2056</f>
        <v>73.2248394895</v>
      </c>
      <c r="G2061" s="38" t="n">
        <f aca="false">Sens!$E$2061+Sens!$F$2061</f>
        <v>99.0146186895</v>
      </c>
      <c r="H2061" s="38" t="n">
        <f aca="false">(Sens!$H$2059-Sens!$H$2058)*Sens!$H$2056+Sens!$H$2058</f>
        <v>152.52478394475</v>
      </c>
      <c r="I2061" s="38" t="n">
        <f aca="false">(Sens!$I$2059-Sens!$I$2058)*Sens!$I$2056+Sens!$I$2058</f>
        <v>158.5998889105</v>
      </c>
      <c r="J2061" s="38" t="n">
        <f aca="false">(Sens!$J$2059-Sens!$J$2058)*Sens!$J$2056+Sens!$J$2058</f>
        <v>158.5998889105</v>
      </c>
      <c r="K2061" s="38" t="n">
        <f aca="false">(Sens!$K$2059-Sens!$K$2058)*Sens!$K$2056+Sens!$K$2058</f>
        <v>117.428730073534</v>
      </c>
      <c r="L2061" s="38" t="n">
        <f aca="false">(Sens!$L$2059-Sens!$L$2058)*Sens!$L$2056+Sens!$L$2058</f>
        <v>76.2575712365684</v>
      </c>
      <c r="M2061" s="38" t="n">
        <f aca="false">(Sens!$M$2059-Sens!$M$2058)*Sens!$M$2056+Sens!$M$2058</f>
        <v>66.5070215996024</v>
      </c>
      <c r="R2061" s="38" t="n">
        <f aca="false">Sens!$R$2059*Sens!$C$2056</f>
        <v>1.09927679019314</v>
      </c>
      <c r="S2061" s="38" t="n">
        <f aca="false">Sens!$C$2061</f>
        <v>8.2530642</v>
      </c>
      <c r="T2061" s="38" t="n">
        <f aca="false">Sens!$D$2061</f>
        <v>37.1387889</v>
      </c>
      <c r="U2061" s="38" t="n">
        <f aca="false">Sens!$G$2061</f>
        <v>99.0146186895</v>
      </c>
      <c r="V2061" s="38" t="n">
        <f aca="false">Sens!$H$2061</f>
        <v>152.52478394475</v>
      </c>
      <c r="W2061" s="38" t="n">
        <f aca="false">Sens!$I$2061</f>
        <v>158.5998889105</v>
      </c>
      <c r="X2061" s="38" t="n">
        <f aca="false">Sens!$J$2061</f>
        <v>158.5998889105</v>
      </c>
      <c r="Y2061" s="38" t="n">
        <f aca="false">Sens!$K$2061</f>
        <v>117.428730073534</v>
      </c>
      <c r="Z2061" s="38" t="n">
        <f aca="false">Sens!$L$2061</f>
        <v>76.2575712365684</v>
      </c>
      <c r="AA2061" s="38" t="n">
        <f aca="false">Sens!$M$2061</f>
        <v>66.5070215996024</v>
      </c>
    </row>
    <row r="2062" customFormat="false" ht="15" hidden="false" customHeight="false" outlineLevel="0" collapsed="false">
      <c r="A2062" s="5" t="s">
        <v>635</v>
      </c>
      <c r="B2062" s="0" t="s">
        <v>86</v>
      </c>
      <c r="C2062" s="38" t="n">
        <f aca="false">Sens!$C$2059-Sens!$C$2061</f>
        <v>3.0408</v>
      </c>
      <c r="D2062" s="38" t="n">
        <f aca="false">Sens!$D$2059-Sens!$D$2061</f>
        <v>13.6836</v>
      </c>
      <c r="E2062" s="38" t="n">
        <f aca="false">Sens!$E$2059-Sens!$E$2061</f>
        <v>8.1088</v>
      </c>
      <c r="F2062" s="38" t="n">
        <f aca="false">Sens!$F$2059-Sens!$F$2061</f>
        <v>23.0232905</v>
      </c>
      <c r="G2062" s="38" t="n">
        <f aca="false">Sens!$G$2059-Sens!$G$2061</f>
        <v>31.1320905</v>
      </c>
      <c r="H2062" s="38" t="n">
        <f aca="false">Sens!$H$2059-Sens!$H$2061</f>
        <v>46.046581</v>
      </c>
      <c r="I2062" s="38" t="n">
        <f aca="false">Sens!$I$2059-Sens!$I$2061</f>
        <v>46.046581</v>
      </c>
      <c r="J2062" s="38" t="n">
        <f aca="false">Sens!$J$2059-Sens!$J$2061</f>
        <v>46.046581</v>
      </c>
      <c r="K2062" s="38" t="n">
        <f aca="false">Sens!$K$2059-Sens!$K$2061</f>
        <v>32.5728870016667</v>
      </c>
      <c r="L2062" s="38" t="n">
        <f aca="false">Sens!$L$2059-Sens!$L$2061</f>
        <v>19.0991930033334</v>
      </c>
      <c r="M2062" s="38" t="n">
        <f aca="false">Sens!$M$2059-Sens!$M$2061</f>
        <v>5.62549900499998</v>
      </c>
      <c r="R2062" s="38" t="n">
        <f aca="false">Sens!$R$2059-Sens!$R$2061</f>
        <v>0.405023005106309</v>
      </c>
      <c r="S2062" s="38" t="n">
        <f aca="false">Sens!$S$2059-Sens!$S$2061</f>
        <v>3.0408</v>
      </c>
      <c r="T2062" s="38" t="n">
        <f aca="false">Sens!$T$2059-Sens!$T$2061</f>
        <v>13.6836</v>
      </c>
      <c r="U2062" s="38" t="n">
        <f aca="false">Sens!$U$2059-Sens!$U$2061</f>
        <v>31.1320905</v>
      </c>
      <c r="V2062" s="38" t="n">
        <f aca="false">Sens!$V$2059-Sens!$V$2061</f>
        <v>46.046581</v>
      </c>
      <c r="W2062" s="38" t="n">
        <f aca="false">Sens!$W$2059-Sens!$W$2061</f>
        <v>46.046581</v>
      </c>
      <c r="X2062" s="38" t="n">
        <f aca="false">Sens!$X$2059-Sens!$X$2061</f>
        <v>46.046581</v>
      </c>
      <c r="Y2062" s="38" t="n">
        <f aca="false">Sens!$Y$2059-Sens!$Y$2061</f>
        <v>32.5728870016667</v>
      </c>
      <c r="Z2062" s="38" t="n">
        <f aca="false">Sens!$Z$2059-Sens!$Z$2061</f>
        <v>19.0991930033334</v>
      </c>
      <c r="AA2062" s="38" t="n">
        <f aca="false">Sens!$AA$2059-Sens!$AA$2061</f>
        <v>5.62549900499998</v>
      </c>
    </row>
    <row r="2063" customFormat="false" ht="17.15" hidden="false" customHeight="false" outlineLevel="0" collapsed="false">
      <c r="A2063" s="0" t="s">
        <v>636</v>
      </c>
      <c r="B2063" s="0" t="s">
        <v>52</v>
      </c>
      <c r="C2063" s="13" t="n">
        <f aca="false">Sens!$C$2057/Sens!$C$2179</f>
        <v>0.325505489553393</v>
      </c>
      <c r="D2063" s="13" t="n">
        <f aca="false">Sens!$D$2057/Sens!$D$2179</f>
        <v>0.54214956071542</v>
      </c>
      <c r="E2063" s="13" t="n">
        <f aca="false">Sens!$E$2057/Sens!$E$2179</f>
        <v>0.666492790452817</v>
      </c>
      <c r="F2063" s="13" t="n">
        <f aca="false">Sens!$F$2057/Sens!$F$2179</f>
        <v>0.733477910687338</v>
      </c>
      <c r="G2063" s="13" t="n">
        <f aca="false">Sens!$G$2057/Sens!$G$2179</f>
        <v>0.705124321514523</v>
      </c>
      <c r="H2063" s="13" t="n">
        <f aca="false">Sens!$H$2057/Sens!$H$2179</f>
        <v>0.726376041178204</v>
      </c>
      <c r="I2063" s="13" t="n">
        <f aca="false">Sens!$I$2057/Sens!$I$2179</f>
        <v>0.713099092661699</v>
      </c>
      <c r="J2063" s="13" t="n">
        <f aca="false">Sens!$J$2057/Sens!$J$2179</f>
        <v>0.695887674230598</v>
      </c>
      <c r="K2063" s="13" t="n">
        <f aca="false">Sens!$K$2057/Sens!$K$2179</f>
        <v>0.610208228932289</v>
      </c>
      <c r="L2063" s="13" t="n">
        <f aca="false">Sens!$L$2057/Sens!$L$2179</f>
        <v>0.481505090658699</v>
      </c>
      <c r="M2063" s="13" t="n">
        <f aca="false">Sens!$M$2057/Sens!$M$2179</f>
        <v>0.395912178678385</v>
      </c>
    </row>
    <row r="2064" customFormat="false" ht="17.15" hidden="false" customHeight="false" outlineLevel="0" collapsed="false">
      <c r="A2064" s="0" t="s">
        <v>637</v>
      </c>
      <c r="B2064" s="0" t="s">
        <v>86</v>
      </c>
      <c r="C2064" s="38" t="n">
        <f aca="false">Sens!$S$2064</f>
        <v>0.157039541456163</v>
      </c>
      <c r="D2064" s="38" t="n">
        <f aca="false">Sens!$T$2064</f>
        <v>1.33604871288473</v>
      </c>
      <c r="E2064" s="38" t="n">
        <f aca="false">Sens!$G$2064/2</f>
        <v>3.32079499215665</v>
      </c>
      <c r="F2064" s="38" t="n">
        <f aca="false">Sens!$G$2064/2</f>
        <v>3.32079499215665</v>
      </c>
      <c r="G2064" s="38" t="n">
        <f aca="false">Sens!$U$2064</f>
        <v>6.64158998431331</v>
      </c>
      <c r="H2064" s="38" t="n">
        <f aca="false">Sens!$V$2064</f>
        <v>20.7865355113847</v>
      </c>
      <c r="I2064" s="38" t="n">
        <f aca="false">Sens!$W$2064</f>
        <v>42.5757903606347</v>
      </c>
      <c r="J2064" s="38" t="n">
        <f aca="false">Sens!$X$2064</f>
        <v>65.232917347849</v>
      </c>
      <c r="K2064" s="38" t="n">
        <f aca="false">Sens!$Y$2064</f>
        <v>87.8900443350633</v>
      </c>
      <c r="L2064" s="38" t="n">
        <f aca="false">Sens!$Z$2064</f>
        <v>104.508537661255</v>
      </c>
      <c r="M2064" s="38" t="n">
        <f aca="false">Sens!$AA$2064</f>
        <v>114.223467237908</v>
      </c>
      <c r="N2064" s="38" t="n">
        <f aca="false">Sens!$D$2064/2</f>
        <v>0.668024356442367</v>
      </c>
      <c r="O2064" s="38" t="n">
        <f aca="false">Sens!$D$2064/2</f>
        <v>0.668024356442367</v>
      </c>
      <c r="R2064" s="38" t="n">
        <f aca="false">SUMPRODUCT(--(Sens!$R$2027:$AA$2027&lt;Sens!R$2027),--(Sens!$R$2027:$AA$2027&gt;=Sens!R$2027-tk_life_hi),Sens!$R$2061:$AA$2061)/tk_life_hi</f>
        <v>0</v>
      </c>
      <c r="S2064" s="38" t="n">
        <f aca="false">SUMPRODUCT(--(Sens!$R$2027:$AA$2027&lt;Sens!S$2027),--(Sens!$R$2027:$AA$2027&gt;=Sens!S$2027-tk_life_hi),Sens!$R$2061:$AA$2061)/tk_life_hi</f>
        <v>0.157039541456163</v>
      </c>
      <c r="T2064" s="38" t="n">
        <f aca="false">SUMPRODUCT(--(Sens!$R$2027:$AA$2027&lt;Sens!T$2027),--(Sens!$R$2027:$AA$2027&gt;=Sens!T$2027-tk_life_hi),Sens!$R$2061:$AA$2061)/tk_life_hi</f>
        <v>1.33604871288473</v>
      </c>
      <c r="U2064" s="38" t="n">
        <f aca="false">SUMPRODUCT(--(Sens!$R$2027:$AA$2027&lt;Sens!U$2027),--(Sens!$R$2027:$AA$2027&gt;=Sens!U$2027-tk_life_hi),Sens!$R$2061:$AA$2061)/tk_life_hi</f>
        <v>6.64158998431331</v>
      </c>
      <c r="V2064" s="38" t="n">
        <f aca="false">SUMPRODUCT(--(Sens!$R$2027:$AA$2027&lt;Sens!V$2027),--(Sens!$R$2027:$AA$2027&gt;=Sens!V$2027-tk_life_hi),Sens!$R$2061:$AA$2061)/tk_life_hi</f>
        <v>20.7865355113847</v>
      </c>
      <c r="W2064" s="38" t="n">
        <f aca="false">SUMPRODUCT(--(Sens!$R$2027:$AA$2027&lt;Sens!W$2027),--(Sens!$R$2027:$AA$2027&gt;=Sens!W$2027-tk_life_hi),Sens!$R$2061:$AA$2061)/tk_life_hi</f>
        <v>42.5757903606347</v>
      </c>
      <c r="X2064" s="38" t="n">
        <f aca="false">SUMPRODUCT(--(Sens!$R$2027:$AA$2027&lt;Sens!X$2027),--(Sens!$R$2027:$AA$2027&gt;=Sens!X$2027-tk_life_hi),Sens!$R$2061:$AA$2061)/tk_life_hi</f>
        <v>65.232917347849</v>
      </c>
      <c r="Y2064" s="38" t="n">
        <f aca="false">SUMPRODUCT(--(Sens!$R$2027:$AA$2027&lt;Sens!Y$2027),--(Sens!$R$2027:$AA$2027&gt;=Sens!Y$2027-tk_life_hi),Sens!$R$2061:$AA$2061)/tk_life_hi</f>
        <v>87.8900443350633</v>
      </c>
      <c r="Z2064" s="38" t="n">
        <f aca="false">SUMPRODUCT(--(Sens!$R$2027:$AA$2027&lt;Sens!Z$2027),--(Sens!$R$2027:$AA$2027&gt;=Sens!Z$2027-tk_life_hi),Sens!$R$2061:$AA$2061)/tk_life_hi</f>
        <v>104.508537661255</v>
      </c>
      <c r="AA2064" s="38" t="n">
        <f aca="false">SUMPRODUCT(--(Sens!$R$2027:$AA$2027&lt;Sens!AA$2027),--(Sens!$R$2027:$AA$2027&gt;=Sens!AA$2027-tk_life_hi),Sens!$R$2061:$AA$2061)/tk_life_hi</f>
        <v>114.223467237908</v>
      </c>
    </row>
    <row r="2065" customFormat="false" ht="17.15" hidden="false" customHeight="false" outlineLevel="0" collapsed="false">
      <c r="A2065" s="0" t="s">
        <v>638</v>
      </c>
      <c r="B2065" s="0" t="s">
        <v>86</v>
      </c>
      <c r="C2065" s="38" t="n">
        <f aca="false">Sens!$S$2065</f>
        <v>0.0202511502553155</v>
      </c>
      <c r="D2065" s="38" t="n">
        <f aca="false">Sens!$T$2065</f>
        <v>0.172291150255315</v>
      </c>
      <c r="E2065" s="38" t="n">
        <f aca="false">Sens!$G$2065/2</f>
        <v>0.428235575127658</v>
      </c>
      <c r="F2065" s="38" t="n">
        <f aca="false">Sens!$G$2065/2</f>
        <v>0.428235575127658</v>
      </c>
      <c r="G2065" s="38" t="n">
        <f aca="false">Sens!$U$2065</f>
        <v>0.856471150255315</v>
      </c>
      <c r="H2065" s="38" t="n">
        <f aca="false">Sens!$V$2065</f>
        <v>2.41307567525532</v>
      </c>
      <c r="I2065" s="38" t="n">
        <f aca="false">Sens!$W$2065</f>
        <v>4.71540472525532</v>
      </c>
      <c r="J2065" s="38" t="n">
        <f aca="false">Sens!$X$2065</f>
        <v>7.01773377525532</v>
      </c>
      <c r="K2065" s="38" t="n">
        <f aca="false">Sens!$Y$2065</f>
        <v>9.32006282525532</v>
      </c>
      <c r="L2065" s="38" t="n">
        <f aca="false">Sens!$Z$2065</f>
        <v>10.9487071753387</v>
      </c>
      <c r="M2065" s="38" t="n">
        <f aca="false">Sens!$AA$2065</f>
        <v>11.9036668255053</v>
      </c>
      <c r="N2065" s="38" t="n">
        <f aca="false">Sens!$D$2065/2</f>
        <v>0.0861455751276577</v>
      </c>
      <c r="O2065" s="38" t="n">
        <f aca="false">Sens!$D$2065/2</f>
        <v>0.0861455751276577</v>
      </c>
      <c r="R2065" s="38" t="n">
        <f aca="false">SUMPRODUCT(--(Sens!$R$2027:$AA$2027&lt;Sens!R$2027),Sens!$R$2062:$AA$2062)/fac_life</f>
        <v>0</v>
      </c>
      <c r="S2065" s="38" t="n">
        <f aca="false">SUMPRODUCT(--(Sens!$R$2027:$AA$2027&lt;Sens!S$2027),Sens!$R$2062:$AA$2062)/fac_life</f>
        <v>0.0202511502553155</v>
      </c>
      <c r="T2065" s="38" t="n">
        <f aca="false">SUMPRODUCT(--(Sens!$R$2027:$AA$2027&lt;Sens!T$2027),Sens!$R$2062:$AA$2062)/fac_life</f>
        <v>0.172291150255315</v>
      </c>
      <c r="U2065" s="38" t="n">
        <f aca="false">SUMPRODUCT(--(Sens!$R$2027:$AA$2027&lt;Sens!U$2027),Sens!$R$2062:$AA$2062)/fac_life</f>
        <v>0.856471150255315</v>
      </c>
      <c r="V2065" s="38" t="n">
        <f aca="false">SUMPRODUCT(--(Sens!$R$2027:$AA$2027&lt;Sens!V$2027),Sens!$R$2062:$AA$2062)/fac_life</f>
        <v>2.41307567525532</v>
      </c>
      <c r="W2065" s="38" t="n">
        <f aca="false">SUMPRODUCT(--(Sens!$R$2027:$AA$2027&lt;Sens!W$2027),Sens!$R$2062:$AA$2062)/fac_life</f>
        <v>4.71540472525532</v>
      </c>
      <c r="X2065" s="38" t="n">
        <f aca="false">SUMPRODUCT(--(Sens!$R$2027:$AA$2027&lt;Sens!X$2027),Sens!$R$2062:$AA$2062)/fac_life</f>
        <v>7.01773377525532</v>
      </c>
      <c r="Y2065" s="38" t="n">
        <f aca="false">SUMPRODUCT(--(Sens!$R$2027:$AA$2027&lt;Sens!Y$2027),Sens!$R$2062:$AA$2062)/fac_life</f>
        <v>9.32006282525532</v>
      </c>
      <c r="Z2065" s="38" t="n">
        <f aca="false">SUMPRODUCT(--(Sens!$R$2027:$AA$2027&lt;Sens!Z$2027),Sens!$R$2062:$AA$2062)/fac_life</f>
        <v>10.9487071753387</v>
      </c>
      <c r="AA2065" s="38" t="n">
        <f aca="false">SUMPRODUCT(--(Sens!$R$2027:$AA$2027&lt;Sens!AA$2027),Sens!$R$2062:$AA$2062)/fac_life</f>
        <v>11.9036668255053</v>
      </c>
    </row>
    <row r="2066" customFormat="false" ht="17.15" hidden="false" customHeight="false" outlineLevel="0" collapsed="false">
      <c r="A2066" s="1" t="s">
        <v>639</v>
      </c>
      <c r="B2066" s="8" t="s">
        <v>86</v>
      </c>
      <c r="C2066" s="38" t="n">
        <f aca="false">Sens!$C$2064+Sens!$C$2065</f>
        <v>0.177290691711478</v>
      </c>
      <c r="D2066" s="38" t="n">
        <f aca="false">Sens!$D$2064+Sens!$D$2065</f>
        <v>1.50833986314005</v>
      </c>
      <c r="E2066" s="38" t="n">
        <f aca="false">Sens!$E$2064+Sens!$E$2065</f>
        <v>3.74903056728431</v>
      </c>
      <c r="F2066" s="38" t="n">
        <f aca="false">Sens!$F$2064+Sens!$F$2065</f>
        <v>3.74903056728431</v>
      </c>
      <c r="G2066" s="38" t="n">
        <f aca="false">Sens!$G$2064+Sens!$G$2065</f>
        <v>7.49806113456862</v>
      </c>
      <c r="H2066" s="38" t="n">
        <f aca="false">Sens!$H$2064+Sens!$H$2065</f>
        <v>23.1996111866401</v>
      </c>
      <c r="I2066" s="38" t="n">
        <f aca="false">Sens!$I$2064+Sens!$I$2065</f>
        <v>47.2911950858901</v>
      </c>
      <c r="J2066" s="38" t="n">
        <f aca="false">Sens!$J$2064+Sens!$J$2065</f>
        <v>72.2506511231044</v>
      </c>
      <c r="K2066" s="38" t="n">
        <f aca="false">Sens!$K$2064+Sens!$K$2065</f>
        <v>97.2101071603186</v>
      </c>
      <c r="L2066" s="38" t="n">
        <f aca="false">Sens!$L$2064+Sens!$L$2065</f>
        <v>115.457244836594</v>
      </c>
      <c r="M2066" s="38" t="n">
        <f aca="false">Sens!$M$2064+Sens!$M$2065</f>
        <v>126.127134063413</v>
      </c>
      <c r="N2066" s="38" t="n">
        <f aca="false">Sens!$N$2064+Sens!$N$2065</f>
        <v>0.754169931570025</v>
      </c>
      <c r="O2066" s="38" t="n">
        <f aca="false">Sens!$O$2064+Sens!$O$2065</f>
        <v>0.754169931570025</v>
      </c>
      <c r="R2066" s="38" t="n">
        <f aca="false">Sens!$R$2064+Sens!$R$2065</f>
        <v>0</v>
      </c>
      <c r="S2066" s="38" t="n">
        <f aca="false">Sens!$S$2064+Sens!$S$2065</f>
        <v>0.177290691711478</v>
      </c>
      <c r="T2066" s="38" t="n">
        <f aca="false">Sens!$T$2064+Sens!$T$2065</f>
        <v>1.50833986314005</v>
      </c>
      <c r="U2066" s="38" t="n">
        <f aca="false">Sens!$U$2064+Sens!$U$2065</f>
        <v>7.49806113456862</v>
      </c>
      <c r="V2066" s="38" t="n">
        <f aca="false">Sens!$V$2064+Sens!$V$2065</f>
        <v>23.1996111866401</v>
      </c>
      <c r="W2066" s="38" t="n">
        <f aca="false">Sens!$W$2064+Sens!$W$2065</f>
        <v>47.2911950858901</v>
      </c>
      <c r="X2066" s="38" t="n">
        <f aca="false">Sens!$X$2064+Sens!$X$2065</f>
        <v>72.2506511231044</v>
      </c>
      <c r="Y2066" s="38" t="n">
        <f aca="false">Sens!$Y$2064+Sens!$Y$2065</f>
        <v>97.2101071603186</v>
      </c>
      <c r="Z2066" s="38" t="n">
        <f aca="false">Sens!$Z$2064+Sens!$Z$2065</f>
        <v>115.457244836594</v>
      </c>
      <c r="AA2066" s="38" t="n">
        <f aca="false">Sens!$AA$2064+Sens!$AA$2065</f>
        <v>126.127134063413</v>
      </c>
    </row>
    <row r="2067" customFormat="false" ht="17.15" hidden="false" customHeight="false" outlineLevel="0" collapsed="false">
      <c r="A2067" s="0" t="s">
        <v>640</v>
      </c>
      <c r="B2067" s="0" t="s">
        <v>86</v>
      </c>
      <c r="C2067" s="38" t="n">
        <f aca="false">Sens!$S$2067</f>
        <v>12.620873303588</v>
      </c>
      <c r="D2067" s="38" t="n">
        <f aca="false">Sens!$T$2067</f>
        <v>61.9349223404479</v>
      </c>
      <c r="G2067" s="38" t="n">
        <f aca="false">Sens!$U$2067</f>
        <v>184.583570395379</v>
      </c>
      <c r="H2067" s="38" t="n">
        <f aca="false">Sens!$V$2067</f>
        <v>359.955324153489</v>
      </c>
      <c r="I2067" s="38" t="n">
        <f aca="false">Sens!$W$2067</f>
        <v>517.310598978099</v>
      </c>
      <c r="J2067" s="38" t="n">
        <f aca="false">Sens!$X$2067</f>
        <v>649.706417765495</v>
      </c>
      <c r="K2067" s="38" t="n">
        <f aca="false">Sens!$Y$2067</f>
        <v>702.497927680377</v>
      </c>
      <c r="L2067" s="38" t="n">
        <f aca="false">Sens!$Z$2067</f>
        <v>682.397447083685</v>
      </c>
      <c r="M2067" s="38" t="n">
        <f aca="false">Sens!$AA$2067</f>
        <v>628.402833624875</v>
      </c>
      <c r="R2067" s="38" t="n">
        <f aca="false">SUM(Sens!$R$2059:$R$2059)-SUM(Sens!$R$2066:$R$2066)</f>
        <v>1.50429979529945</v>
      </c>
      <c r="S2067" s="38" t="n">
        <f aca="false">SUM(Sens!$R$2059:$S$2059)-SUM(Sens!$R$2066:$S$2066)</f>
        <v>12.620873303588</v>
      </c>
      <c r="T2067" s="38" t="n">
        <f aca="false">SUM(Sens!$R$2059:$T$2059)-SUM(Sens!$R$2066:$T$2066)</f>
        <v>61.9349223404479</v>
      </c>
      <c r="U2067" s="38" t="n">
        <f aca="false">SUM(Sens!$R$2059:$U$2059)-SUM(Sens!$R$2066:$U$2066)</f>
        <v>184.583570395379</v>
      </c>
      <c r="V2067" s="38" t="n">
        <f aca="false">SUM(Sens!$R$2059:$V$2059)-SUM(Sens!$R$2066:$V$2066)</f>
        <v>359.955324153489</v>
      </c>
      <c r="W2067" s="38" t="n">
        <f aca="false">SUM(Sens!$R$2059:$W$2059)-SUM(Sens!$R$2066:$W$2066)</f>
        <v>517.310598978099</v>
      </c>
      <c r="X2067" s="38" t="n">
        <f aca="false">SUM(Sens!$R$2059:$X$2059)-SUM(Sens!$R$2066:$X$2066)</f>
        <v>649.706417765495</v>
      </c>
      <c r="Y2067" s="38" t="n">
        <f aca="false">SUM(Sens!$R$2059:$Y$2059)-SUM(Sens!$R$2066:$Y$2066)</f>
        <v>702.497927680377</v>
      </c>
      <c r="Z2067" s="38" t="n">
        <f aca="false">SUM(Sens!$R$2059:$Z$2059)-SUM(Sens!$R$2066:$Z$2066)</f>
        <v>682.397447083685</v>
      </c>
      <c r="AA2067" s="38" t="n">
        <f aca="false">SUM(Sens!$R$2059:$AA$2059)-SUM(Sens!$R$2066:$AA$2066)</f>
        <v>628.402833624875</v>
      </c>
    </row>
    <row r="2068" customFormat="false" ht="17.15" hidden="false" customHeight="false" outlineLevel="0" collapsed="false">
      <c r="A2068" s="1" t="s">
        <v>641</v>
      </c>
    </row>
    <row r="2069" customFormat="false" ht="17.15" hidden="false" customHeight="false" outlineLevel="0" collapsed="false">
      <c r="A2069" s="0" t="s">
        <v>642</v>
      </c>
      <c r="B2069" s="0" t="s">
        <v>86</v>
      </c>
      <c r="C2069" s="38" t="n">
        <f aca="false">Sens!$C$2048-ext_sh*Sens!$C$2050</f>
        <v>1.80694998843362</v>
      </c>
      <c r="D2069" s="38" t="n">
        <f aca="false">Sens!$D$2048-ext_sh*Sens!$D$2050</f>
        <v>6.77606245662607</v>
      </c>
      <c r="E2069" s="38" t="n">
        <f aca="false">Sens!$E$2048-ext_sh*Sens!$E$2050</f>
        <v>6.62548329092326</v>
      </c>
      <c r="F2069" s="38" t="n">
        <f aca="false">Sens!$F$2048-ext_sh*Sens!$F$2050</f>
        <v>11.7200577158706</v>
      </c>
      <c r="G2069" s="38" t="n">
        <f aca="false">Sens!$G$2048-ext_sh*Sens!$G$2050</f>
        <v>18.3455410067939</v>
      </c>
      <c r="H2069" s="38" t="n">
        <f aca="false">Sens!$H$2048-ext_sh*Sens!$H$2050</f>
        <v>47.5171727060453</v>
      </c>
      <c r="I2069" s="38" t="n">
        <f aca="false">Sens!$I$2048-ext_sh*Sens!$I$2050</f>
        <v>80.5539692643667</v>
      </c>
      <c r="J2069" s="38" t="n">
        <f aca="false">Sens!$J$2048-ext_sh*Sens!$J$2050</f>
        <v>113.759316834883</v>
      </c>
      <c r="K2069" s="38" t="n">
        <f aca="false">Sens!$K$2048-ext_sh*Sens!$K$2050</f>
        <v>142.084411492169</v>
      </c>
      <c r="L2069" s="38" t="n">
        <f aca="false">Sens!$L$2048-ext_sh*Sens!$L$2050</f>
        <v>160.69964615804</v>
      </c>
      <c r="M2069" s="38" t="n">
        <f aca="false">Sens!$M$2048-ext_sh*Sens!$M$2050</f>
        <v>169.577607141793</v>
      </c>
      <c r="N2069" s="38" t="n">
        <f aca="false">Sens!$N$2048-ext_sh*Sens!$N$2050</f>
        <v>2.37162185981912</v>
      </c>
      <c r="O2069" s="38" t="n">
        <f aca="false">Sens!$O$2048-ext_sh*Sens!$O$2050</f>
        <v>4.40444059680694</v>
      </c>
    </row>
    <row r="2070" customFormat="false" ht="17.15" hidden="false" customHeight="false" outlineLevel="0" collapsed="false">
      <c r="A2070" s="1" t="s">
        <v>643</v>
      </c>
      <c r="B2070" s="8" t="s">
        <v>86</v>
      </c>
      <c r="C2070" s="38" t="n">
        <f aca="false">Sens!$C$2069-ext_sh*Sens!$C$2066</f>
        <v>1.66511743506443</v>
      </c>
      <c r="D2070" s="38" t="n">
        <f aca="false">Sens!$D$2069-ext_sh*Sens!$D$2066</f>
        <v>5.56939056611403</v>
      </c>
      <c r="E2070" s="38" t="n">
        <f aca="false">Sens!$E$2069-ext_sh*Sens!$E$2066</f>
        <v>3.62625883709581</v>
      </c>
      <c r="F2070" s="38" t="n">
        <f aca="false">Sens!$F$2069-ext_sh*Sens!$F$2066</f>
        <v>8.72083326204314</v>
      </c>
      <c r="G2070" s="38" t="n">
        <f aca="false">Sens!$G$2069-ext_sh*Sens!$G$2066</f>
        <v>12.347092099139</v>
      </c>
      <c r="H2070" s="38" t="n">
        <f aca="false">Sens!$H$2069-ext_sh*Sens!$H$2066</f>
        <v>28.9574837567333</v>
      </c>
      <c r="I2070" s="38" t="n">
        <f aca="false">Sens!$I$2069-ext_sh*Sens!$I$2066</f>
        <v>42.7210131956547</v>
      </c>
      <c r="J2070" s="38" t="n">
        <f aca="false">Sens!$J$2069-ext_sh*Sens!$J$2066</f>
        <v>55.9587959363999</v>
      </c>
      <c r="K2070" s="38" t="n">
        <f aca="false">Sens!$K$2069-ext_sh*Sens!$K$2066</f>
        <v>64.3163257639145</v>
      </c>
      <c r="L2070" s="38" t="n">
        <f aca="false">Sens!$L$2069-ext_sh*Sens!$L$2066</f>
        <v>68.3338502887654</v>
      </c>
      <c r="M2070" s="38" t="n">
        <f aca="false">Sens!$M$2069-ext_sh*Sens!$M$2066</f>
        <v>68.6758998910631</v>
      </c>
      <c r="N2070" s="38" t="n">
        <f aca="false">Sens!$N$2069-ext_sh*Sens!$N$2066</f>
        <v>1.7682859145631</v>
      </c>
      <c r="O2070" s="38" t="n">
        <f aca="false">Sens!$O$2069-ext_sh*Sens!$O$2066</f>
        <v>3.80110465155092</v>
      </c>
    </row>
    <row r="2071" customFormat="false" ht="17.15" hidden="false" customHeight="false" outlineLevel="0" collapsed="false">
      <c r="A2071" s="0" t="s">
        <v>644</v>
      </c>
      <c r="B2071" s="0" t="s">
        <v>52</v>
      </c>
      <c r="C2071" s="13" t="n">
        <f aca="false">Sens!$C$2070/Sens!$C$2048</f>
        <v>0.717412146448287</v>
      </c>
      <c r="D2071" s="13" t="n">
        <f aca="false">Sens!$D$2070/Sens!$D$2048</f>
        <v>0.639882546228553</v>
      </c>
      <c r="E2071" s="13" t="n">
        <f aca="false">Sens!$E$2070/Sens!$E$2048</f>
        <v>0.42609969850903</v>
      </c>
      <c r="F2071" s="13" t="n">
        <f aca="false">Sens!$F$2070/Sens!$F$2048</f>
        <v>0.582809632408142</v>
      </c>
      <c r="G2071" s="13" t="n">
        <f aca="false">Sens!$G$2070/Sens!$G$2048</f>
        <v>0.525994902265418</v>
      </c>
      <c r="H2071" s="13" t="n">
        <f aca="false">Sens!$H$2070/Sens!$H$2048</f>
        <v>0.481294025499685</v>
      </c>
      <c r="I2071" s="13" t="n">
        <f aca="false">Sens!$I$2070/Sens!$I$2048</f>
        <v>0.420881342838875</v>
      </c>
      <c r="J2071" s="13" t="n">
        <f aca="false">Sens!$J$2070/Sens!$J$2048</f>
        <v>0.391250736851336</v>
      </c>
      <c r="K2071" s="13" t="n">
        <f aca="false">Sens!$K$2070/Sens!$K$2048</f>
        <v>0.360420303816083</v>
      </c>
      <c r="L2071" s="13" t="n">
        <f aca="false">Sens!$L$2070/Sens!$L$2048</f>
        <v>0.338742345157752</v>
      </c>
      <c r="M2071" s="13" t="n">
        <f aca="false">Sens!$M$2070/Sens!$M$2048</f>
        <v>0.322671353273541</v>
      </c>
      <c r="N2071" s="13" t="n">
        <f aca="false">Sens!$N$2070/Sens!$N$2048</f>
        <v>0.580466328811685</v>
      </c>
      <c r="O2071" s="13" t="n">
        <f aca="false">Sens!$O$2070/Sens!$O$2048</f>
        <v>0.671875894068405</v>
      </c>
    </row>
    <row r="2072" customFormat="false" ht="17.15" hidden="false" customHeight="false" outlineLevel="0" collapsed="false">
      <c r="A2072" s="5" t="s">
        <v>645</v>
      </c>
      <c r="B2072" s="0" t="s">
        <v>86</v>
      </c>
      <c r="C2072" s="39" t="n">
        <v>0</v>
      </c>
      <c r="D2072" s="39" t="n">
        <v>0</v>
      </c>
      <c r="E2072" s="39" t="n">
        <v>0</v>
      </c>
      <c r="F2072" s="38" t="n">
        <f aca="false">IF(internal_ai_reading=2,1,0)*(1-ext_sh)/ext_sh*(mw_open*he_open+Sens!$F$2046*Sens!$F$2043)*Sens!$F$2032/1000</f>
        <v>3.77122048175818</v>
      </c>
      <c r="G2072" s="38" t="n">
        <f aca="false">Sens!$E$2072+Sens!$F$2072</f>
        <v>3.77122048175818</v>
      </c>
      <c r="H2072" s="38" t="n">
        <f aca="false">IF(internal_ai_reading=2,1,0)*(1-ext_sh)/ext_sh*(mw_open*he_open+Sens!$H$2046*Sens!$H$2043)*Sens!$H$2032/1000</f>
        <v>15.1635543609893</v>
      </c>
      <c r="I2072" s="38" t="n">
        <f aca="false">IF(internal_ai_reading=2,1,0)*(1-ext_sh)/ext_sh*(mw_open*he_open+Sens!$I$2046*Sens!$I$2043)*Sens!$I$2032/1000</f>
        <v>25.5818843619889</v>
      </c>
      <c r="J2072" s="38" t="n">
        <f aca="false">IF(internal_ai_reading=2,1,0)*(1-ext_sh)/ext_sh*(mw_open*he_open+Sens!$J$2046*Sens!$J$2043)*Sens!$J$2032/1000</f>
        <v>36.0465624179122</v>
      </c>
      <c r="K2072" s="38" t="n">
        <f aca="false">IF(internal_ai_reading=2,1,0)*(1-ext_sh)/ext_sh*(mw_open*he_open+Sens!$K$2046*Sens!$K$2043)*Sens!$K$2032/1000</f>
        <v>44.9741164026038</v>
      </c>
      <c r="L2072" s="38" t="n">
        <f aca="false">IF(internal_ai_reading=2,1,0)*(1-ext_sh)/ext_sh*(mw_open*he_open+Sens!$L$2046*Sens!$L$2043)*Sens!$L$2032/1000</f>
        <v>50.8413488057813</v>
      </c>
      <c r="M2072" s="38" t="n">
        <f aca="false">IF(internal_ai_reading=2,1,0)*(1-ext_sh)/ext_sh*(mw_open*he_open+Sens!$M$2046*Sens!$M$2043)*Sens!$M$2032/1000</f>
        <v>53.6407214274315</v>
      </c>
      <c r="N2072" s="39" t="n">
        <v>0</v>
      </c>
      <c r="O2072" s="39" t="n">
        <v>0</v>
      </c>
      <c r="P2072" s="8" t="s">
        <v>646</v>
      </c>
    </row>
    <row r="2073" customFormat="false" ht="17.15" hidden="false" customHeight="false" outlineLevel="0" collapsed="false">
      <c r="A2073" s="5" t="s">
        <v>647</v>
      </c>
      <c r="B2073" s="0" t="s">
        <v>86</v>
      </c>
      <c r="C2073" s="38" t="n">
        <f aca="false">(1-ext_sh)*(Sens!$C$2050+Sens!$C$2066)</f>
        <v>0.163971980477302</v>
      </c>
      <c r="D2073" s="38" t="n">
        <f aca="false">(1-ext_sh)*(Sens!$D$2050+Sens!$D$2066)</f>
        <v>0.783594880634284</v>
      </c>
      <c r="E2073" s="38" t="n">
        <f aca="false">(1-ext_sh)*(Sens!$E$2050+Sens!$E$2066)</f>
        <v>1.22102353461855</v>
      </c>
      <c r="F2073" s="38" t="n">
        <f aca="false">(1-ext_sh)*(Sens!$F$2050+Sens!$F$2066)</f>
        <v>1.56065009566933</v>
      </c>
      <c r="G2073" s="38" t="n">
        <f aca="false">(1-ext_sh)*(Sens!$G$2050+Sens!$G$2066)</f>
        <v>2.78167363028788</v>
      </c>
      <c r="H2073" s="38" t="n">
        <f aca="false">(1-ext_sh)*(Sens!$H$2050+Sens!$H$2066)</f>
        <v>7.80210174826032</v>
      </c>
      <c r="I2073" s="38" t="n">
        <f aca="false">(1-ext_sh)*(Sens!$I$2050+Sens!$I$2066)</f>
        <v>14.6956714851943</v>
      </c>
      <c r="J2073" s="38" t="n">
        <f aca="false">(1-ext_sh)*(Sens!$J$2050+Sens!$J$2066)</f>
        <v>21.7666528037196</v>
      </c>
      <c r="K2073" s="38" t="n">
        <f aca="false">(1-ext_sh)*(Sens!$K$2050+Sens!$K$2066)</f>
        <v>28.5329486548163</v>
      </c>
      <c r="L2073" s="38" t="n">
        <f aca="false">(1-ext_sh)*(Sens!$L$2050+Sens!$L$2066)</f>
        <v>33.3485628784078</v>
      </c>
      <c r="M2073" s="38" t="n">
        <f aca="false">(1-ext_sh)*(Sens!$M$2050+Sens!$M$2066)</f>
        <v>36.0398853694505</v>
      </c>
      <c r="N2073" s="38" t="n">
        <f aca="false">(1-ext_sh)*(Sens!$N$2050+Sens!$N$2066)</f>
        <v>0.319508404116201</v>
      </c>
      <c r="O2073" s="38" t="n">
        <f aca="false">(1-ext_sh)*(Sens!$O$2050+Sens!$O$2066)</f>
        <v>0.464086476518083</v>
      </c>
    </row>
    <row r="2074" customFormat="false" ht="17.15" hidden="false" customHeight="false" outlineLevel="0" collapsed="false">
      <c r="A2074" s="0" t="s">
        <v>648</v>
      </c>
      <c r="B2074" s="0" t="s">
        <v>86</v>
      </c>
      <c r="C2074" s="38" t="n">
        <f aca="false">Q!$D$24</f>
        <v>39.834</v>
      </c>
      <c r="D2074" s="38" t="n">
        <f aca="false">Q!$E$24</f>
        <v>45.606</v>
      </c>
      <c r="E2074" s="38" t="n">
        <f aca="false">Q!$P$24</f>
        <v>30.782</v>
      </c>
      <c r="N2074" s="38" t="n">
        <f aca="false">Q!$N$24</f>
        <v>21.707</v>
      </c>
      <c r="O2074" s="38" t="n">
        <f aca="false">Q!$O$24</f>
        <v>23.899</v>
      </c>
    </row>
    <row r="2075" customFormat="false" ht="17.15" hidden="false" customHeight="false" outlineLevel="0" collapsed="false">
      <c r="A2075" s="0" t="s">
        <v>649</v>
      </c>
      <c r="B2075" s="0" t="s">
        <v>86</v>
      </c>
      <c r="C2075" s="38" t="n">
        <f aca="false">Sens!$C$2074-Sens!$C$2070</f>
        <v>38.1688825649356</v>
      </c>
      <c r="D2075" s="38" t="n">
        <f aca="false">Sens!$D$2074-Sens!$D$2070</f>
        <v>40.036609433886</v>
      </c>
      <c r="E2075" s="38" t="n">
        <f aca="false">Sens!$E$2074-Sens!$E$2070</f>
        <v>27.1557411629042</v>
      </c>
      <c r="F2075" s="38" t="n">
        <f aca="false">Sens!$F$2052*Sens!$F$2076</f>
        <v>25.2641276676091</v>
      </c>
      <c r="G2075" s="38" t="n">
        <f aca="false">Sens!$E$2075+Sens!$F$2075</f>
        <v>52.4198688305133</v>
      </c>
      <c r="H2075" s="38" t="n">
        <f aca="false">Sens!$H$2052*Sens!$H$2076</f>
        <v>56.6810043243638</v>
      </c>
      <c r="I2075" s="38" t="n">
        <f aca="false">Sens!$I$2052*Sens!$I$2076</f>
        <v>62.9302785537271</v>
      </c>
      <c r="J2075" s="38" t="n">
        <f aca="false">Sens!$J$2052*Sens!$J$2076</f>
        <v>68.9166287196128</v>
      </c>
      <c r="K2075" s="38" t="n">
        <f aca="false">Sens!$K$2052*Sens!$K$2076</f>
        <v>74.4299590171818</v>
      </c>
      <c r="L2075" s="38" t="n">
        <f aca="false">Sens!$L$2052*Sens!$L$2076</f>
        <v>80.3843557385563</v>
      </c>
      <c r="M2075" s="38" t="n">
        <f aca="false">Sens!$M$2052*Sens!$M$2076</f>
        <v>86.8151041976408</v>
      </c>
      <c r="N2075" s="38" t="n">
        <f aca="false">Sens!$N$2074-Sens!$N$2070</f>
        <v>19.9387140854369</v>
      </c>
      <c r="O2075" s="38" t="n">
        <f aca="false">Sens!$O$2074-Sens!$O$2070</f>
        <v>20.0978953484491</v>
      </c>
      <c r="P2075" s="5" t="s">
        <v>650</v>
      </c>
    </row>
    <row r="2076" customFormat="false" ht="17.15" hidden="false" customHeight="false" outlineLevel="0" collapsed="false">
      <c r="A2076" s="0" t="s">
        <v>651</v>
      </c>
      <c r="B2076" s="0" t="s">
        <v>52</v>
      </c>
      <c r="C2076" s="13" t="n">
        <f aca="false">Sens!$C$2075/Sens!$C$2052</f>
        <v>0.362701425456526</v>
      </c>
      <c r="D2076" s="13" t="n">
        <f aca="false">Sens!$D$2075/Sens!$D$2052</f>
        <v>0.333579396440598</v>
      </c>
      <c r="E2076" s="13" t="n">
        <f aca="false">Sens!$E$2075/Sens!$E$2052</f>
        <v>0.380819750423827</v>
      </c>
      <c r="F2076" s="13" t="n">
        <f aca="false">(Sens!$O$2075+Sens!$E$2075)/(Sens!$O$2052+Sens!$E$2052)</f>
        <v>0.352018589285923</v>
      </c>
      <c r="G2076" s="13" t="n">
        <f aca="false">Sens!$G$2075/Sens!$G$2052</f>
        <v>0.366372805845092</v>
      </c>
      <c r="H2076" s="13" t="n">
        <f aca="false">Sens!$F$2076</f>
        <v>0.352018589285923</v>
      </c>
      <c r="I2076" s="13" t="n">
        <f aca="false">Sens!$F$2076</f>
        <v>0.352018589285923</v>
      </c>
      <c r="J2076" s="13" t="n">
        <f aca="false">Sens!$F$2076</f>
        <v>0.352018589285923</v>
      </c>
      <c r="K2076" s="13" t="n">
        <f aca="false">Sens!$F$2076</f>
        <v>0.352018589285923</v>
      </c>
      <c r="L2076" s="13" t="n">
        <f aca="false">Sens!$F$2076</f>
        <v>0.352018589285923</v>
      </c>
      <c r="M2076" s="13" t="n">
        <f aca="false">Sens!$F$2076</f>
        <v>0.352018589285923</v>
      </c>
      <c r="N2076" s="13" t="n">
        <f aca="false">Sens!$N$2075/Sens!$N$2052</f>
        <v>0.349228039279631</v>
      </c>
      <c r="O2076" s="13" t="n">
        <f aca="false">Sens!$O$2075/Sens!$O$2052</f>
        <v>0.319381503435993</v>
      </c>
      <c r="P2076" s="8" t="s">
        <v>652</v>
      </c>
    </row>
    <row r="2077" customFormat="false" ht="17.15" hidden="false" customHeight="false" outlineLevel="0" collapsed="false">
      <c r="A2077" s="0" t="s">
        <v>653</v>
      </c>
      <c r="B2077" s="0" t="s">
        <v>52</v>
      </c>
      <c r="D2077" s="13" t="n">
        <f aca="false">(Q!$E$31-ext_sh*Sens!$D$2066)/Sens!$D$2052</f>
        <v>0.168664561465003</v>
      </c>
    </row>
    <row r="2078" customFormat="false" ht="17.15" hidden="false" customHeight="false" outlineLevel="0" collapsed="false">
      <c r="A2078" s="0" t="s">
        <v>654</v>
      </c>
      <c r="B2078" s="0" t="s">
        <v>86</v>
      </c>
      <c r="C2078" s="38" t="n">
        <f aca="false">Q!$D$31</f>
        <v>13.32</v>
      </c>
      <c r="D2078" s="38" t="n">
        <f aca="false">Q!$E$31</f>
        <v>21.45</v>
      </c>
      <c r="E2078" s="38" t="n">
        <f aca="false">Q!$P$31</f>
        <v>15.353</v>
      </c>
      <c r="F2078" s="38" t="n">
        <f aca="false">ext_sh*Sens!$F$2066+Sens!$D$2077*Sens!$F$2052</f>
        <v>15.1041619302744</v>
      </c>
      <c r="G2078" s="38" t="n">
        <f aca="false">Sens!$E$2078+Sens!$F$2078</f>
        <v>30.4571619302744</v>
      </c>
      <c r="H2078" s="38" t="n">
        <f aca="false">ext_sh*Sens!$H$2066+Sens!$D$2077*Sens!$H$2052</f>
        <v>45.7175636432524</v>
      </c>
      <c r="I2078" s="38" t="n">
        <f aca="false">ext_sh*Sens!$I$2066+Sens!$D$2077*Sens!$I$2052</f>
        <v>67.9850791616027</v>
      </c>
      <c r="J2078" s="38" t="n">
        <f aca="false">ext_sh*Sens!$J$2066+Sens!$D$2077*Sens!$J$2052</f>
        <v>90.8209161685714</v>
      </c>
      <c r="K2078" s="38" t="n">
        <f aca="false">ext_sh*Sens!$K$2066+Sens!$D$2077*Sens!$K$2052</f>
        <v>113.43011261995</v>
      </c>
      <c r="L2078" s="38" t="n">
        <f aca="false">ext_sh*Sens!$L$2066+Sens!$D$2077*Sens!$L$2052</f>
        <v>130.880784912305</v>
      </c>
      <c r="M2078" s="38" t="n">
        <f aca="false">ext_sh*Sens!$M$2066+Sens!$D$2077*Sens!$M$2052</f>
        <v>142.497895417203</v>
      </c>
      <c r="N2078" s="38" t="n">
        <f aca="false">Q!$N$31</f>
        <v>9.234</v>
      </c>
      <c r="O2078" s="38" t="n">
        <f aca="false">Q!$O$31</f>
        <v>12.216</v>
      </c>
    </row>
    <row r="2079" customFormat="false" ht="17.15" hidden="false" customHeight="false" outlineLevel="0" collapsed="false">
      <c r="A2079" s="1" t="s">
        <v>655</v>
      </c>
    </row>
    <row r="2080" customFormat="false" ht="17.15" hidden="false" customHeight="false" outlineLevel="0" collapsed="false">
      <c r="A2080" s="15" t="s">
        <v>656</v>
      </c>
      <c r="B2080" s="14" t="s">
        <v>52</v>
      </c>
      <c r="C2080" s="14"/>
      <c r="D2080" s="14"/>
      <c r="E2080" s="14"/>
      <c r="F2080" s="14"/>
      <c r="G2080" s="17" t="n">
        <f aca="false">Sens!$G$2070*(1-tax)/(ext_sh*(Sens!$D$2067+Sens!$G$2067)/2)</f>
        <v>0.103479335857557</v>
      </c>
      <c r="H2080" s="17" t="n">
        <f aca="false">Sens!$H$2070*(1-tax)/(ext_sh*(Sens!$G$2067+Sens!$H$2067)/2)</f>
        <v>0.109867783946409</v>
      </c>
      <c r="I2080" s="17" t="n">
        <f aca="false">Sens!$I$2070*(1-tax)/(ext_sh*(Sens!$H$2067+Sens!$I$2067)/2)</f>
        <v>0.100611756972408</v>
      </c>
      <c r="J2080" s="17" t="n">
        <f aca="false">Sens!$J$2070*(1-tax)/(ext_sh*(Sens!$I$2067+Sens!$J$2067)/2)</f>
        <v>0.0990671390605307</v>
      </c>
      <c r="K2080" s="17" t="n">
        <f aca="false">Sens!$K$2070*(1-tax)/(ext_sh*(Sens!$J$2067+Sens!$K$2067)/2)</f>
        <v>0.0982691835394441</v>
      </c>
      <c r="L2080" s="17" t="n">
        <f aca="false">Sens!$L$2070*(1-tax)/(ext_sh*(Sens!$K$2067+Sens!$L$2067)/2)</f>
        <v>0.10194299198201</v>
      </c>
      <c r="M2080" s="17" t="n">
        <f aca="false">Sens!$M$2070*(1-tax)/(ext_sh*(Sens!$L$2067+Sens!$M$2067)/2)</f>
        <v>0.108244610474757</v>
      </c>
      <c r="N2080" s="14"/>
      <c r="O2080" s="14"/>
      <c r="P2080" s="8" t="s">
        <v>657</v>
      </c>
    </row>
    <row r="2081" customFormat="false" ht="17.15" hidden="false" customHeight="false" outlineLevel="0" collapsed="false">
      <c r="A2081" s="5" t="s">
        <v>658</v>
      </c>
      <c r="B2081" s="0" t="s">
        <v>57</v>
      </c>
      <c r="H2081" s="36" t="n">
        <f aca="false">Sens!$H$2048*1000/(mw_open*he_open+Sens!$H$2046*Sens!$H$2043)</f>
        <v>0.991949006767191</v>
      </c>
      <c r="I2081" s="36" t="n">
        <f aca="false">Sens!$I$2048*1000/(mw_open*he_open+Sens!$I$2046*Sens!$I$2043)</f>
        <v>0.991949006767191</v>
      </c>
      <c r="J2081" s="36" t="n">
        <f aca="false">Sens!$J$2048*1000/(mw_open*he_open+Sens!$J$2046*Sens!$J$2043)</f>
        <v>0.991949006767191</v>
      </c>
      <c r="K2081" s="36" t="n">
        <f aca="false">Sens!$K$2048*1000/(mw_open*he_open+Sens!$K$2046*Sens!$K$2043)</f>
        <v>0.991949006767191</v>
      </c>
      <c r="L2081" s="36" t="n">
        <f aca="false">Sens!$L$2048*1000/(mw_open*he_open+Sens!$L$2046*Sens!$L$2043)</f>
        <v>0.991949006767191</v>
      </c>
      <c r="M2081" s="36" t="n">
        <f aca="false">Sens!$M$2048*1000/(mw_open*he_open+Sens!$M$2046*Sens!$M$2043)</f>
        <v>0.991949006767191</v>
      </c>
    </row>
    <row r="2082" customFormat="false" ht="17.15" hidden="false" customHeight="false" outlineLevel="0" collapsed="false">
      <c r="A2082" s="5" t="s">
        <v>659</v>
      </c>
      <c r="B2082" s="0" t="s">
        <v>57</v>
      </c>
      <c r="H2082" s="36" t="n">
        <f aca="false">Sens!$H$2081*(Sens!$H$2048+wacc*ext_sh*(Sens!$G$2067+Sens!$H$2067)/2/(1-tax)-Sens!$H$2070)/Sens!$H$2048</f>
        <v>1.0068521488773</v>
      </c>
      <c r="I2082" s="36" t="n">
        <f aca="false">Sens!$I$2081*(Sens!$I$2048+wacc*ext_sh*(Sens!$H$2067+Sens!$I$2067)/2/(1-tax)-Sens!$I$2070)/Sens!$I$2048</f>
        <v>1.04458872487023</v>
      </c>
      <c r="J2082" s="36" t="n">
        <f aca="false">Sens!$J$2081*(Sens!$J$2048+wacc*ext_sh*(Sens!$I$2067+Sens!$J$2067)/2/(1-tax)-Sens!$J$2070)/Sens!$J$2048</f>
        <v>1.04769689922619</v>
      </c>
      <c r="K2082" s="36" t="n">
        <f aca="false">Sens!$K$2081*(Sens!$K$2048+wacc*ext_sh*(Sens!$J$2067+Sens!$K$2067)/2/(1-tax)-Sens!$K$2070)/Sens!$K$2048</f>
        <v>1.04662407682026</v>
      </c>
      <c r="L2082" s="36" t="n">
        <f aca="false">Sens!$L$2081*(Sens!$L$2048+wacc*ext_sh*(Sens!$K$2067+Sens!$L$2067)/2/(1-tax)-Sens!$L$2070)/Sens!$L$2048</f>
        <v>1.02937443939213</v>
      </c>
      <c r="M2082" s="36" t="n">
        <f aca="false">Sens!$M$2081*(Sens!$M$2048+wacc*ext_sh*(Sens!$L$2067+Sens!$M$2067)/2/(1-tax)-Sens!$M$2070)/Sens!$M$2048</f>
        <v>1.00688990276858</v>
      </c>
    </row>
    <row r="2083" customFormat="false" ht="17.15" hidden="false" customHeight="false" outlineLevel="0" collapsed="false">
      <c r="A2083" s="5" t="s">
        <v>660</v>
      </c>
      <c r="B2083" s="0" t="s">
        <v>52</v>
      </c>
      <c r="C2083" s="13" t="n">
        <f aca="false">Sens!$C$2049/tk_pq</f>
        <v>0.195316432429398</v>
      </c>
      <c r="D2083" s="13" t="n">
        <f aca="false">Sens!$D$2049/tk_pq</f>
        <v>0.195316432429398</v>
      </c>
      <c r="E2083" s="13" t="n">
        <f aca="false">Sens!$E$2049/tk_pq</f>
        <v>0.195316432429398</v>
      </c>
      <c r="F2083" s="13" t="n">
        <f aca="false">Sens!$F$2049/tk_pq</f>
        <v>0.202241827274866</v>
      </c>
      <c r="G2083" s="13" t="n">
        <f aca="false">Sens!$G$2049/tk_pq</f>
        <v>0.199675016194063</v>
      </c>
      <c r="H2083" s="13" t="n">
        <f aca="false">Sens!$H$2049/tk_pq</f>
        <v>0.212647947710325</v>
      </c>
      <c r="I2083" s="13" t="n">
        <f aca="false">Sens!$I$2049/tk_pq</f>
        <v>0.219285125475351</v>
      </c>
      <c r="J2083" s="13" t="n">
        <f aca="false">Sens!$J$2049/tk_pq</f>
        <v>0.222492493217189</v>
      </c>
      <c r="K2083" s="13" t="n">
        <f aca="false">Sens!$K$2049/tk_pq</f>
        <v>0.224053502812094</v>
      </c>
      <c r="L2083" s="13" t="n">
        <f aca="false">Sens!$L$2049/tk_pq</f>
        <v>0.224786916785614</v>
      </c>
      <c r="M2083" s="13" t="n">
        <f aca="false">Sens!$M$2049/tk_pq</f>
        <v>0.225048671566937</v>
      </c>
      <c r="N2083" s="13" t="n">
        <f aca="false">Sens!$N$2049/tk_pq</f>
        <v>0.195316432429398</v>
      </c>
      <c r="O2083" s="13" t="n">
        <f aca="false">Sens!$O$2049/tk_pq</f>
        <v>0.195316432429398</v>
      </c>
      <c r="P2083" s="5" t="s">
        <v>661</v>
      </c>
    </row>
    <row r="2086" customFormat="false" ht="17.15" hidden="false" customHeight="false" outlineLevel="0" collapsed="false">
      <c r="A2086" s="1" t="s">
        <v>690</v>
      </c>
    </row>
    <row r="2087" customFormat="false" ht="17.15" hidden="false" customHeight="false" outlineLevel="0" collapsed="false">
      <c r="A2087" s="0" t="s">
        <v>691</v>
      </c>
      <c r="B2087" s="0" t="s">
        <v>86</v>
      </c>
      <c r="C2087" s="38" t="n">
        <f aca="false">Sens!$C$2048</f>
        <v>2.32100535697364</v>
      </c>
      <c r="D2087" s="38" t="n">
        <f aca="false">Sens!$D$2048</f>
        <v>8.70377008865116</v>
      </c>
      <c r="E2087" s="38" t="n">
        <f aca="false">Sens!$E$2048</f>
        <v>8.51035297557002</v>
      </c>
      <c r="F2087" s="38" t="n">
        <f aca="false">Sens!$F$2048</f>
        <v>14.9634336447205</v>
      </c>
      <c r="G2087" s="38" t="n">
        <f aca="false">Sens!$G$2048</f>
        <v>23.4737866202905</v>
      </c>
      <c r="H2087" s="38" t="n">
        <f aca="false">Sens!$H$2048</f>
        <v>60.1658907497746</v>
      </c>
      <c r="I2087" s="38" t="n">
        <f aca="false">Sens!$I$2048</f>
        <v>101.503699136432</v>
      </c>
      <c r="J2087" s="38" t="n">
        <f aca="false">Sens!$J$2048</f>
        <v>143.025407151278</v>
      </c>
      <c r="K2087" s="38" t="n">
        <f aca="false">Sens!$K$2048</f>
        <v>178.44812038318</v>
      </c>
      <c r="L2087" s="38" t="n">
        <f aca="false">Sens!$L$2048</f>
        <v>201.728101802396</v>
      </c>
      <c r="M2087" s="38" t="n">
        <f aca="false">Sens!$M$2048</f>
        <v>212.835441368865</v>
      </c>
      <c r="N2087" s="38" t="n">
        <f aca="false">Sens!$N$2048</f>
        <v>3.04631953102791</v>
      </c>
      <c r="O2087" s="38" t="n">
        <f aca="false">Sens!$O$2048</f>
        <v>5.65745055762326</v>
      </c>
      <c r="P2087" s="8" t="s">
        <v>692</v>
      </c>
    </row>
    <row r="2088" customFormat="false" ht="17.15" hidden="false" customHeight="false" outlineLevel="0" collapsed="false">
      <c r="A2088" s="0" t="s">
        <v>693</v>
      </c>
      <c r="B2088" s="0" t="s">
        <v>86</v>
      </c>
      <c r="C2088" s="38" t="n">
        <f aca="false">Sens!$C$2052</f>
        <v>105.234994643026</v>
      </c>
      <c r="D2088" s="38" t="n">
        <f aca="false">Sens!$D$2052</f>
        <v>120.021229911349</v>
      </c>
      <c r="E2088" s="38" t="n">
        <f aca="false">Sens!$E$2052</f>
        <v>71.30864702443</v>
      </c>
      <c r="F2088" s="38" t="n">
        <f aca="false">Sens!$F$2052</f>
        <v>71.7692997942464</v>
      </c>
      <c r="G2088" s="38" t="n">
        <f aca="false">Sens!$G$2052</f>
        <v>143.077946818676</v>
      </c>
      <c r="H2088" s="38" t="n">
        <f aca="false">Sens!$H$2052</f>
        <v>161.017077079203</v>
      </c>
      <c r="I2088" s="38" t="n">
        <f aca="false">Sens!$I$2052</f>
        <v>178.769759521457</v>
      </c>
      <c r="J2088" s="38" t="n">
        <f aca="false">Sens!$J$2052</f>
        <v>195.775538045907</v>
      </c>
      <c r="K2088" s="38" t="n">
        <f aca="false">Sens!$K$2052</f>
        <v>211.43758108958</v>
      </c>
      <c r="L2088" s="38" t="n">
        <f aca="false">Sens!$L$2052</f>
        <v>228.352587576746</v>
      </c>
      <c r="M2088" s="38" t="n">
        <f aca="false">Sens!$M$2052</f>
        <v>246.620794582886</v>
      </c>
      <c r="N2088" s="38" t="n">
        <f aca="false">Sens!$N$2052</f>
        <v>57.0936804689721</v>
      </c>
      <c r="O2088" s="38" t="n">
        <f aca="false">Sens!$O$2052</f>
        <v>62.9275494423768</v>
      </c>
      <c r="P2088" s="8" t="s">
        <v>692</v>
      </c>
    </row>
    <row r="2089" customFormat="false" ht="17.15" hidden="false" customHeight="false" outlineLevel="0" collapsed="false">
      <c r="A2089" s="1" t="s">
        <v>516</v>
      </c>
      <c r="B2089" s="8" t="s">
        <v>86</v>
      </c>
      <c r="C2089" s="38" t="n">
        <f aca="false">Q!$D$7</f>
        <v>107.556</v>
      </c>
      <c r="D2089" s="38" t="n">
        <f aca="false">Q!$E$7</f>
        <v>128.725</v>
      </c>
      <c r="E2089" s="38" t="n">
        <f aca="false">Q!$P$7</f>
        <v>79.819</v>
      </c>
      <c r="F2089" s="38" t="n">
        <f aca="false">Sens!$F$2087+Sens!$F$2088</f>
        <v>86.7327334389669</v>
      </c>
      <c r="G2089" s="38" t="n">
        <f aca="false">Sens!$G$2087+Sens!$G$2088</f>
        <v>166.551733438967</v>
      </c>
      <c r="H2089" s="38" t="n">
        <f aca="false">Sens!$H$2087+Sens!$H$2088</f>
        <v>221.182967828978</v>
      </c>
      <c r="I2089" s="38" t="n">
        <f aca="false">Sens!$I$2087+Sens!$I$2088</f>
        <v>280.27345865789</v>
      </c>
      <c r="J2089" s="38" t="n">
        <f aca="false">Sens!$J$2087+Sens!$J$2088</f>
        <v>338.800945197185</v>
      </c>
      <c r="K2089" s="38" t="n">
        <f aca="false">Sens!$K$2087+Sens!$K$2088</f>
        <v>389.88570147276</v>
      </c>
      <c r="L2089" s="38" t="n">
        <f aca="false">Sens!$L$2087+Sens!$L$2088</f>
        <v>430.080689379143</v>
      </c>
      <c r="M2089" s="38" t="n">
        <f aca="false">Sens!$M$2087+Sens!$M$2088</f>
        <v>459.456235951751</v>
      </c>
      <c r="N2089" s="38" t="n">
        <f aca="false">Q!$N$7</f>
        <v>60.14</v>
      </c>
      <c r="O2089" s="38" t="n">
        <f aca="false">Q!$O$7</f>
        <v>68.585</v>
      </c>
      <c r="P2089" s="5" t="s">
        <v>694</v>
      </c>
    </row>
    <row r="2090" customFormat="false" ht="15" hidden="false" customHeight="false" outlineLevel="0" collapsed="false">
      <c r="A2090" s="3" t="s">
        <v>695</v>
      </c>
      <c r="B2090" s="8" t="s">
        <v>86</v>
      </c>
      <c r="C2090" s="38" t="n">
        <f aca="false">Q!$D$8</f>
        <v>637.959</v>
      </c>
      <c r="D2090" s="38" t="n">
        <f aca="false">Q!$E$8</f>
        <v>716.924</v>
      </c>
      <c r="E2090" s="38" t="n">
        <f aca="false">Q!$P$8</f>
        <v>382.125</v>
      </c>
      <c r="F2090" s="38" t="n">
        <f aca="false">Sens!$F$2020+Sens!$F$2089</f>
        <v>435.780975084504</v>
      </c>
      <c r="G2090" s="38" t="n">
        <f aca="false">Sens!$G$2020+Sens!$G$2089</f>
        <v>817.905975084504</v>
      </c>
      <c r="H2090" s="38" t="n">
        <f aca="false">Sens!$H$2020+Sens!$H$2089</f>
        <v>942.279857350364</v>
      </c>
      <c r="I2090" s="38" t="n">
        <f aca="false">Sens!$I$2020+Sens!$I$2089</f>
        <v>1068.80284981042</v>
      </c>
      <c r="J2090" s="38" t="n">
        <f aca="false">Sens!$J$2020+Sens!$J$2089</f>
        <v>1189.90935093863</v>
      </c>
      <c r="K2090" s="38" t="n">
        <f aca="false">Sens!$K$2020+Sens!$K$2089</f>
        <v>1296.06215690385</v>
      </c>
      <c r="L2090" s="38" t="n">
        <f aca="false">Sens!$L$2020+Sens!$L$2089</f>
        <v>1395.17379585473</v>
      </c>
      <c r="M2090" s="38" t="n">
        <f aca="false">Sens!$M$2020+Sens!$M$2089</f>
        <v>1487.60414389864</v>
      </c>
      <c r="N2090" s="38" t="n">
        <f aca="false">Q!$N$8</f>
        <v>323.369</v>
      </c>
      <c r="O2090" s="38" t="n">
        <f aca="false">Q!$O$8</f>
        <v>393.555</v>
      </c>
    </row>
    <row r="2091" customFormat="false" ht="17.15" hidden="false" customHeight="false" outlineLevel="0" collapsed="false">
      <c r="A2091" s="24" t="s">
        <v>703</v>
      </c>
      <c r="B2091" s="25" t="s">
        <v>86</v>
      </c>
      <c r="C2091" s="41" t="n">
        <f aca="false">Sens!$C$2020-(Sens!$C$2022+Sens!$C$2023)</f>
        <v>0</v>
      </c>
      <c r="D2091" s="41" t="n">
        <f aca="false">Sens!$D$2020-(Sens!$D$2022+Sens!$D$2023)</f>
        <v>0</v>
      </c>
      <c r="E2091" s="41" t="n">
        <f aca="false">Sens!$E$2020-(Sens!$E$2022+Sens!$E$2023)</f>
        <v>0</v>
      </c>
      <c r="F2091" s="41" t="n">
        <f aca="false">Sens!$F$2020-(Sens!$F$2022+Sens!$F$2023)</f>
        <v>0</v>
      </c>
      <c r="G2091" s="41" t="n">
        <f aca="false">Sens!$G$2020-(Sens!$G$2022+Sens!$G$2023)</f>
        <v>0</v>
      </c>
      <c r="H2091" s="41" t="n">
        <f aca="false">Sens!$H$2020-(Sens!$H$2022+Sens!$H$2023)</f>
        <v>0</v>
      </c>
      <c r="I2091" s="41" t="n">
        <f aca="false">Sens!$I$2020-(Sens!$I$2022+Sens!$I$2023)</f>
        <v>0</v>
      </c>
      <c r="J2091" s="41" t="n">
        <f aca="false">Sens!$J$2020-(Sens!$J$2022+Sens!$J$2023)</f>
        <v>0</v>
      </c>
      <c r="K2091" s="41" t="n">
        <f aca="false">Sens!$K$2020-(Sens!$K$2022+Sens!$K$2023)</f>
        <v>0</v>
      </c>
      <c r="L2091" s="41" t="n">
        <f aca="false">Sens!$L$2020-(Sens!$L$2022+Sens!$L$2023)</f>
        <v>0</v>
      </c>
      <c r="M2091" s="41" t="n">
        <f aca="false">Sens!$M$2020-(Sens!$M$2022+Sens!$M$2023)</f>
        <v>0</v>
      </c>
      <c r="N2091" s="41" t="n">
        <f aca="false">Sens!$N$2020-(Sens!$N$2022+Sens!$N$2023)</f>
        <v>0</v>
      </c>
      <c r="O2091" s="41" t="n">
        <f aca="false">Sens!$O$2020-(Sens!$O$2022+Sens!$O$2023)</f>
        <v>0</v>
      </c>
    </row>
    <row r="2092" customFormat="false" ht="17.15" hidden="false" customHeight="false" outlineLevel="0" collapsed="false">
      <c r="A2092" s="24" t="s">
        <v>704</v>
      </c>
      <c r="B2092" s="25" t="s">
        <v>86</v>
      </c>
      <c r="C2092" s="41" t="n">
        <f aca="false">Sens!$C$2087+Sens!$C$2088-Sens!$C$2089</f>
        <v>0</v>
      </c>
      <c r="D2092" s="41" t="n">
        <f aca="false">Sens!$D$2087+Sens!$D$2088-Sens!$D$2089</f>
        <v>0</v>
      </c>
      <c r="E2092" s="41" t="n">
        <f aca="false">Sens!$E$2087+Sens!$E$2088-Sens!$E$2089</f>
        <v>0</v>
      </c>
      <c r="F2092" s="41" t="n">
        <f aca="false">Sens!$F$2087+Sens!$F$2088-Sens!$F$2089</f>
        <v>0</v>
      </c>
      <c r="G2092" s="41" t="n">
        <f aca="false">Sens!$G$2087+Sens!$G$2088-Sens!$G$2089</f>
        <v>0</v>
      </c>
      <c r="H2092" s="41" t="n">
        <f aca="false">Sens!$H$2087+Sens!$H$2088-Sens!$H$2089</f>
        <v>0</v>
      </c>
      <c r="I2092" s="41" t="n">
        <f aca="false">Sens!$I$2087+Sens!$I$2088-Sens!$I$2089</f>
        <v>0</v>
      </c>
      <c r="J2092" s="41" t="n">
        <f aca="false">Sens!$J$2087+Sens!$J$2088-Sens!$J$2089</f>
        <v>0</v>
      </c>
      <c r="K2092" s="41" t="n">
        <f aca="false">Sens!$K$2087+Sens!$K$2088-Sens!$K$2089</f>
        <v>0</v>
      </c>
      <c r="L2092" s="41" t="n">
        <f aca="false">Sens!$L$2087+Sens!$L$2088-Sens!$L$2089</f>
        <v>0</v>
      </c>
      <c r="M2092" s="41" t="n">
        <f aca="false">Sens!$M$2087+Sens!$M$2088-Sens!$M$2089</f>
        <v>0</v>
      </c>
      <c r="N2092" s="41" t="n">
        <f aca="false">Sens!$N$2087+Sens!$N$2088-Sens!$N$2089</f>
        <v>0</v>
      </c>
      <c r="O2092" s="41" t="n">
        <f aca="false">Sens!$O$2087+Sens!$O$2088-Sens!$O$2089</f>
        <v>0</v>
      </c>
    </row>
    <row r="2093" customFormat="false" ht="17.15" hidden="false" customHeight="false" outlineLevel="0" collapsed="false">
      <c r="A2093" s="24" t="s">
        <v>705</v>
      </c>
      <c r="B2093" s="25" t="s">
        <v>86</v>
      </c>
      <c r="C2093" s="41" t="n">
        <f aca="false">Sens!$C$2022+Sens!$C$2023+Sens!$C$2089-Sens!$C$2090</f>
        <v>0</v>
      </c>
      <c r="D2093" s="41" t="n">
        <f aca="false">Sens!$D$2022+Sens!$D$2023+Sens!$D$2089-Sens!$D$2090</f>
        <v>0</v>
      </c>
      <c r="E2093" s="41" t="n">
        <f aca="false">Sens!$E$2022+Sens!$E$2023+Sens!$E$2089-Sens!$E$2090</f>
        <v>0</v>
      </c>
      <c r="F2093" s="41" t="n">
        <f aca="false">Sens!$F$2022+Sens!$F$2023+Sens!$F$2089-Sens!$F$2090</f>
        <v>0</v>
      </c>
      <c r="G2093" s="41" t="n">
        <f aca="false">Sens!$G$2022+Sens!$G$2023+Sens!$G$2089-Sens!$G$2090</f>
        <v>0</v>
      </c>
      <c r="H2093" s="41" t="n">
        <f aca="false">Sens!$H$2022+Sens!$H$2023+Sens!$H$2089-Sens!$H$2090</f>
        <v>0</v>
      </c>
      <c r="I2093" s="41" t="n">
        <f aca="false">Sens!$I$2022+Sens!$I$2023+Sens!$I$2089-Sens!$I$2090</f>
        <v>0</v>
      </c>
      <c r="J2093" s="41" t="n">
        <f aca="false">Sens!$J$2022+Sens!$J$2023+Sens!$J$2089-Sens!$J$2090</f>
        <v>0</v>
      </c>
      <c r="K2093" s="41" t="n">
        <f aca="false">Sens!$K$2022+Sens!$K$2023+Sens!$K$2089-Sens!$K$2090</f>
        <v>0</v>
      </c>
      <c r="L2093" s="41" t="n">
        <f aca="false">Sens!$L$2022+Sens!$L$2023+Sens!$L$2089-Sens!$L$2090</f>
        <v>0</v>
      </c>
      <c r="M2093" s="41" t="n">
        <f aca="false">Sens!$M$2022+Sens!$M$2023+Sens!$M$2089-Sens!$M$2090</f>
        <v>0</v>
      </c>
      <c r="N2093" s="41" t="n">
        <f aca="false">Sens!$N$2022+Sens!$N$2023+Sens!$N$2089-Sens!$N$2090</f>
        <v>0</v>
      </c>
      <c r="O2093" s="41" t="n">
        <f aca="false">Sens!$O$2022+Sens!$O$2023+Sens!$O$2089-Sens!$O$2090</f>
        <v>0</v>
      </c>
    </row>
    <row r="2094" customFormat="false" ht="15" hidden="false" customHeight="false" outlineLevel="0" collapsed="false">
      <c r="A2094" s="5" t="s">
        <v>699</v>
      </c>
      <c r="B2094" s="0" t="s">
        <v>52</v>
      </c>
      <c r="G2094" s="13" t="n">
        <f aca="false">Sens!$G$2090/Sens!$D$2090-1</f>
        <v>0.140854504918937</v>
      </c>
      <c r="H2094" s="13" t="n">
        <f aca="false">Sens!$H$2090/Sens!$G$2090-1</f>
        <v>0.152063789793209</v>
      </c>
      <c r="I2094" s="13" t="n">
        <f aca="false">Sens!$I$2090/Sens!$H$2090-1</f>
        <v>0.134273264437417</v>
      </c>
      <c r="J2094" s="13" t="n">
        <f aca="false">Sens!$J$2090/Sens!$I$2090-1</f>
        <v>0.113310421234083</v>
      </c>
      <c r="K2094" s="13" t="n">
        <f aca="false">Sens!$K$2090/Sens!$J$2090-1</f>
        <v>0.0892108343223652</v>
      </c>
      <c r="L2094" s="13" t="n">
        <f aca="false">Sens!$L$2090/Sens!$K$2090-1</f>
        <v>0.076471362444261</v>
      </c>
      <c r="M2094" s="13" t="n">
        <f aca="false">Sens!$M$2090/Sens!$L$2090-1</f>
        <v>0.066250060256672</v>
      </c>
    </row>
    <row r="2095" customFormat="false" ht="17.15" hidden="false" customHeight="false" outlineLevel="0" collapsed="false">
      <c r="A2095" s="0" t="s">
        <v>700</v>
      </c>
      <c r="B2095" s="0" t="s">
        <v>52</v>
      </c>
      <c r="C2095" s="13" t="n">
        <f aca="false">Sens!$C$2089/Sens!$C$2090</f>
        <v>0.168593906504964</v>
      </c>
      <c r="D2095" s="13" t="n">
        <f aca="false">Sens!$D$2089/Sens!$D$2090</f>
        <v>0.179551807444025</v>
      </c>
      <c r="E2095" s="13" t="n">
        <f aca="false">Sens!$E$2089/Sens!$E$2090</f>
        <v>0.208881910369643</v>
      </c>
      <c r="F2095" s="13" t="n">
        <f aca="false">Sens!$F$2089/Sens!$F$2090</f>
        <v>0.199028269699356</v>
      </c>
      <c r="G2095" s="13" t="n">
        <f aca="false">Sens!$G$2089/Sens!$G$2090</f>
        <v>0.203631882529968</v>
      </c>
      <c r="H2095" s="13" t="n">
        <f aca="false">Sens!$H$2089/Sens!$H$2090</f>
        <v>0.234731715958496</v>
      </c>
      <c r="I2095" s="13" t="n">
        <f aca="false">Sens!$I$2089/Sens!$I$2090</f>
        <v>0.262231204480418</v>
      </c>
      <c r="J2095" s="13" t="n">
        <f aca="false">Sens!$J$2089/Sens!$J$2090</f>
        <v>0.284728366013706</v>
      </c>
      <c r="K2095" s="13" t="n">
        <f aca="false">Sens!$K$2089/Sens!$K$2090</f>
        <v>0.300823304959505</v>
      </c>
      <c r="L2095" s="13" t="n">
        <f aca="false">Sens!$L$2089/Sens!$L$2090</f>
        <v>0.308263164529735</v>
      </c>
      <c r="M2095" s="13" t="n">
        <f aca="false">Sens!$M$2089/Sens!$M$2090</f>
        <v>0.308856517936036</v>
      </c>
      <c r="N2095" s="13" t="n">
        <f aca="false">Sens!$N$2089/Sens!$N$2090</f>
        <v>0.185979484737251</v>
      </c>
      <c r="O2095" s="13" t="n">
        <f aca="false">Sens!$O$2089/Sens!$O$2090</f>
        <v>0.174270432341096</v>
      </c>
    </row>
    <row r="2096" customFormat="false" ht="17.15" hidden="false" customHeight="false" outlineLevel="0" collapsed="false">
      <c r="A2096" s="0" t="s">
        <v>701</v>
      </c>
      <c r="B2096" s="0" t="s">
        <v>52</v>
      </c>
      <c r="C2096" s="13" t="n">
        <f aca="false">Sens!$C$2087/Sens!$C$2089</f>
        <v>0.0215795060896058</v>
      </c>
      <c r="D2096" s="13" t="n">
        <f aca="false">Sens!$D$2087/Sens!$D$2089</f>
        <v>0.0676152269462122</v>
      </c>
      <c r="E2096" s="13" t="n">
        <f aca="false">Sens!$E$2087/Sens!$E$2089</f>
        <v>0.106620641395783</v>
      </c>
      <c r="F2096" s="13" t="n">
        <f aca="false">Sens!$F$2087/Sens!$F$2089</f>
        <v>0.172523487401099</v>
      </c>
      <c r="G2096" s="13" t="n">
        <f aca="false">Sens!$G$2087/Sens!$G$2089</f>
        <v>0.140939911795589</v>
      </c>
      <c r="H2096" s="13" t="n">
        <f aca="false">Sens!$H$2087/Sens!$H$2089</f>
        <v>0.272018642937714</v>
      </c>
      <c r="I2096" s="13" t="n">
        <f aca="false">Sens!$I$2087/Sens!$I$2089</f>
        <v>0.362159512436497</v>
      </c>
      <c r="J2096" s="13" t="n">
        <f aca="false">Sens!$J$2087/Sens!$J$2089</f>
        <v>0.422151735934609</v>
      </c>
      <c r="K2096" s="13" t="n">
        <f aca="false">Sens!$K$2087/Sens!$K$2089</f>
        <v>0.45769342068485</v>
      </c>
      <c r="L2096" s="13" t="n">
        <f aca="false">Sens!$L$2087/Sens!$L$2089</f>
        <v>0.469047103913472</v>
      </c>
      <c r="M2096" s="13" t="n">
        <f aca="false">Sens!$M$2087/Sens!$M$2089</f>
        <v>0.463233328258093</v>
      </c>
      <c r="N2096" s="13" t="n">
        <f aca="false">Sens!$N$2087/Sens!$N$2089</f>
        <v>0.0506537999838362</v>
      </c>
      <c r="O2096" s="13" t="n">
        <f aca="false">Sens!$O$2087/Sens!$O$2089</f>
        <v>0.0824881615167056</v>
      </c>
    </row>
    <row r="2099" customFormat="false" ht="19.4" hidden="false" customHeight="false" outlineLevel="0" collapsed="false">
      <c r="A2099" s="31" t="s">
        <v>1177</v>
      </c>
    </row>
    <row r="2100" customFormat="false" ht="17.15" hidden="false" customHeight="false" outlineLevel="0" collapsed="false">
      <c r="A2100" s="6" t="s">
        <v>16</v>
      </c>
      <c r="B2100" s="6" t="s">
        <v>17</v>
      </c>
      <c r="C2100" s="20" t="s">
        <v>497</v>
      </c>
      <c r="D2100" s="20" t="s">
        <v>498</v>
      </c>
      <c r="E2100" s="20" t="s">
        <v>580</v>
      </c>
      <c r="F2100" s="20" t="s">
        <v>581</v>
      </c>
      <c r="G2100" s="20" t="s">
        <v>582</v>
      </c>
      <c r="H2100" s="20" t="s">
        <v>583</v>
      </c>
      <c r="I2100" s="20" t="s">
        <v>584</v>
      </c>
      <c r="J2100" s="20" t="s">
        <v>585</v>
      </c>
      <c r="K2100" s="20" t="s">
        <v>586</v>
      </c>
      <c r="L2100" s="20" t="s">
        <v>587</v>
      </c>
      <c r="M2100" s="20" t="s">
        <v>588</v>
      </c>
      <c r="N2100" s="20" t="s">
        <v>589</v>
      </c>
      <c r="O2100" s="20" t="s">
        <v>590</v>
      </c>
      <c r="P2100" s="6" t="s">
        <v>23</v>
      </c>
      <c r="R2100" s="20" t="n">
        <v>2023</v>
      </c>
      <c r="S2100" s="20" t="n">
        <v>2024</v>
      </c>
      <c r="T2100" s="20" t="n">
        <v>2025</v>
      </c>
      <c r="U2100" s="20" t="n">
        <v>2026</v>
      </c>
      <c r="V2100" s="20" t="n">
        <v>2027</v>
      </c>
      <c r="W2100" s="20" t="n">
        <v>2028</v>
      </c>
      <c r="X2100" s="20" t="n">
        <v>2029</v>
      </c>
      <c r="Y2100" s="20" t="n">
        <v>2030</v>
      </c>
      <c r="Z2100" s="20" t="n">
        <v>2031</v>
      </c>
      <c r="AA2100" s="20" t="n">
        <v>2032</v>
      </c>
    </row>
    <row r="2101" customFormat="false" ht="17.15" hidden="false" customHeight="false" outlineLevel="0" collapsed="false">
      <c r="A2101" s="1" t="s">
        <v>716</v>
      </c>
    </row>
    <row r="2102" customFormat="false" ht="15" hidden="false" customHeight="false" outlineLevel="0" collapsed="false">
      <c r="A2102" s="0" t="s">
        <v>519</v>
      </c>
      <c r="B2102" s="0" t="s">
        <v>86</v>
      </c>
      <c r="C2102" s="38" t="n">
        <f aca="false">Sens!$C$2007</f>
        <v>247.029</v>
      </c>
      <c r="D2102" s="38" t="n">
        <f aca="false">Sens!$D$2007</f>
        <v>269.287</v>
      </c>
      <c r="E2102" s="38" t="n">
        <f aca="false">Sens!$E$2007</f>
        <v>134.686</v>
      </c>
      <c r="F2102" s="38" t="n">
        <f aca="false">Sens!$F$2007</f>
        <v>158.293876822267</v>
      </c>
      <c r="G2102" s="38" t="n">
        <f aca="false">Sens!$G$2007</f>
        <v>292.979876822267</v>
      </c>
      <c r="H2102" s="38" t="n">
        <f aca="false">Sens!$H$2007</f>
        <v>318.184543087396</v>
      </c>
      <c r="I2102" s="38" t="n">
        <f aca="false">Sens!$I$2007</f>
        <v>341.736278761793</v>
      </c>
      <c r="J2102" s="38" t="n">
        <f aca="false">Sens!$J$2007</f>
        <v>362.927192787048</v>
      </c>
      <c r="K2102" s="38" t="n">
        <f aca="false">Sens!$K$2007</f>
        <v>381.0735524264</v>
      </c>
      <c r="L2102" s="38" t="n">
        <f aca="false">Sens!$L$2007</f>
        <v>400.12723004772</v>
      </c>
      <c r="M2102" s="38" t="n">
        <f aca="false">Sens!$M$2007</f>
        <v>420.133591550106</v>
      </c>
      <c r="N2102" s="38" t="n">
        <f aca="false">Sens!$N$2007</f>
        <v>118.892</v>
      </c>
      <c r="O2102" s="38" t="n">
        <f aca="false">Sens!$O$2007</f>
        <v>150.395</v>
      </c>
    </row>
    <row r="2103" customFormat="false" ht="15" hidden="false" customHeight="false" outlineLevel="0" collapsed="false">
      <c r="A2103" s="0" t="s">
        <v>520</v>
      </c>
      <c r="B2103" s="0" t="s">
        <v>86</v>
      </c>
      <c r="C2103" s="38" t="n">
        <f aca="false">Sens!$C$2009</f>
        <v>21.215</v>
      </c>
      <c r="D2103" s="38" t="n">
        <f aca="false">Sens!$D$2009</f>
        <v>22.561</v>
      </c>
      <c r="E2103" s="38" t="n">
        <f aca="false">Sens!$E$2009</f>
        <v>11.579</v>
      </c>
      <c r="F2103" s="38" t="n">
        <f aca="false">Sens!$F$2009</f>
        <v>11.5938724610325</v>
      </c>
      <c r="G2103" s="38" t="n">
        <f aca="false">Sens!$G$2009</f>
        <v>23.1728724610325</v>
      </c>
      <c r="H2103" s="38" t="n">
        <f aca="false">Sens!$H$2009</f>
        <v>24.353392759506</v>
      </c>
      <c r="I2103" s="38" t="n">
        <f aca="false">Sens!$I$2009</f>
        <v>25.4240338872015</v>
      </c>
      <c r="J2103" s="38" t="n">
        <f aca="false">Sens!$J$2009</f>
        <v>26.3642491017174</v>
      </c>
      <c r="K2103" s="38" t="n">
        <f aca="false">Sens!$K$2009</f>
        <v>27.155176574769</v>
      </c>
      <c r="L2103" s="38" t="n">
        <f aca="false">Sens!$L$2009</f>
        <v>27.969831872012</v>
      </c>
      <c r="M2103" s="38" t="n">
        <f aca="false">Sens!$M$2009</f>
        <v>28.8089268281724</v>
      </c>
      <c r="N2103" s="38" t="n">
        <f aca="false">Sens!$N$2009</f>
        <v>11.128</v>
      </c>
      <c r="O2103" s="38" t="n">
        <f aca="false">Sens!$O$2009</f>
        <v>11.433</v>
      </c>
    </row>
    <row r="2104" customFormat="false" ht="15" hidden="false" customHeight="false" outlineLevel="0" collapsed="false">
      <c r="A2104" s="0" t="s">
        <v>521</v>
      </c>
      <c r="B2104" s="0" t="s">
        <v>86</v>
      </c>
      <c r="C2104" s="38" t="n">
        <f aca="false">Sens!$C$2011</f>
        <v>156.146</v>
      </c>
      <c r="D2104" s="38" t="n">
        <f aca="false">Sens!$D$2011</f>
        <v>172.162</v>
      </c>
      <c r="E2104" s="38" t="n">
        <f aca="false">Sens!$E$2011</f>
        <v>88.358</v>
      </c>
      <c r="F2104" s="38" t="n">
        <f aca="false">Sens!$F$2011</f>
        <v>102.004388260171</v>
      </c>
      <c r="G2104" s="38" t="n">
        <f aca="false">Sens!$G$2011</f>
        <v>190.362388260171</v>
      </c>
      <c r="H2104" s="38" t="n">
        <f aca="false">Sens!$H$2011</f>
        <v>210.343106588311</v>
      </c>
      <c r="I2104" s="38" t="n">
        <f aca="false">Sens!$I$2011</f>
        <v>229.969728494648</v>
      </c>
      <c r="J2104" s="38" t="n">
        <f aca="false">Sens!$J$2011</f>
        <v>248.747636972598</v>
      </c>
      <c r="K2104" s="38" t="n">
        <f aca="false">Sens!$K$2011</f>
        <v>266.15997156068</v>
      </c>
      <c r="L2104" s="38" t="n">
        <f aca="false">Sens!$L$2011</f>
        <v>284.791169569927</v>
      </c>
      <c r="M2104" s="38" t="n">
        <f aca="false">Sens!$M$2011</f>
        <v>304.726551439822</v>
      </c>
      <c r="N2104" s="38" t="n">
        <f aca="false">Sens!$N$2011</f>
        <v>76.86</v>
      </c>
      <c r="O2104" s="38" t="n">
        <f aca="false">Sens!$O$2011</f>
        <v>95.302</v>
      </c>
    </row>
    <row r="2105" customFormat="false" ht="15" hidden="false" customHeight="false" outlineLevel="0" collapsed="false">
      <c r="A2105" s="0" t="s">
        <v>522</v>
      </c>
      <c r="B2105" s="0" t="s">
        <v>86</v>
      </c>
      <c r="C2105" s="38" t="n">
        <f aca="false">Sens!$C$2013</f>
        <v>56.214</v>
      </c>
      <c r="D2105" s="38" t="n">
        <f aca="false">Sens!$D$2013</f>
        <v>68.635</v>
      </c>
      <c r="E2105" s="38" t="n">
        <f aca="false">Sens!$E$2013</f>
        <v>37.052</v>
      </c>
      <c r="F2105" s="38" t="n">
        <f aca="false">Sens!$F$2013</f>
        <v>46.1572219944148</v>
      </c>
      <c r="G2105" s="38" t="n">
        <f aca="false">Sens!$G$2013</f>
        <v>83.2092219944148</v>
      </c>
      <c r="H2105" s="38" t="n">
        <f aca="false">Sens!$H$2013</f>
        <v>99.8969223878976</v>
      </c>
      <c r="I2105" s="38" t="n">
        <f aca="false">Sens!$I$2013</f>
        <v>116.583111095496</v>
      </c>
      <c r="J2105" s="38" t="n">
        <f aca="false">Sens!$J$2013</f>
        <v>132.148941941952</v>
      </c>
      <c r="K2105" s="38" t="n">
        <f aca="false">Sens!$K$2013</f>
        <v>145.363836136147</v>
      </c>
      <c r="L2105" s="38" t="n">
        <f aca="false">Sens!$L$2013</f>
        <v>159.900219749762</v>
      </c>
      <c r="M2105" s="38" t="n">
        <f aca="false">Sens!$M$2013</f>
        <v>175.890241724738</v>
      </c>
      <c r="N2105" s="38" t="n">
        <f aca="false">Sens!$N$2013</f>
        <v>29.615</v>
      </c>
      <c r="O2105" s="38" t="n">
        <f aca="false">Sens!$O$2013</f>
        <v>39.02</v>
      </c>
    </row>
    <row r="2106" customFormat="false" ht="15" hidden="false" customHeight="false" outlineLevel="0" collapsed="false">
      <c r="A2106" s="0" t="s">
        <v>523</v>
      </c>
      <c r="B2106" s="0" t="s">
        <v>86</v>
      </c>
      <c r="C2106" s="38" t="n">
        <f aca="false">Sens!$C$2015</f>
        <v>44.374</v>
      </c>
      <c r="D2106" s="38" t="n">
        <f aca="false">Sens!$D$2015</f>
        <v>49.619</v>
      </c>
      <c r="E2106" s="38" t="n">
        <f aca="false">Sens!$E$2015</f>
        <v>27.157</v>
      </c>
      <c r="F2106" s="38" t="n">
        <f aca="false">Sens!$F$2015</f>
        <v>27.7764165988154</v>
      </c>
      <c r="G2106" s="38" t="n">
        <f aca="false">Sens!$G$2015</f>
        <v>54.9334165988154</v>
      </c>
      <c r="H2106" s="38" t="n">
        <f aca="false">Sens!$H$2015</f>
        <v>61.1564112561829</v>
      </c>
      <c r="I2106" s="38" t="n">
        <f aca="false">Sens!$I$2015</f>
        <v>67.2020282103945</v>
      </c>
      <c r="J2106" s="38" t="n">
        <f aca="false">Sens!$J$2015</f>
        <v>72.8757274028885</v>
      </c>
      <c r="K2106" s="38" t="n">
        <f aca="false">Sens!$K$2015</f>
        <v>77.9770283210907</v>
      </c>
      <c r="L2106" s="38" t="n">
        <f aca="false">Sens!$L$2015</f>
        <v>83.4354203035671</v>
      </c>
      <c r="M2106" s="38" t="n">
        <f aca="false">Sens!$M$2015</f>
        <v>89.2758997248168</v>
      </c>
      <c r="N2106" s="38" t="n">
        <f aca="false">Sens!$N$2015</f>
        <v>23.923</v>
      </c>
      <c r="O2106" s="38" t="n">
        <f aca="false">Sens!$O$2015</f>
        <v>25.696</v>
      </c>
    </row>
    <row r="2107" customFormat="false" ht="15" hidden="false" customHeight="false" outlineLevel="0" collapsed="false">
      <c r="A2107" s="0" t="s">
        <v>524</v>
      </c>
      <c r="B2107" s="0" t="s">
        <v>86</v>
      </c>
      <c r="C2107" s="38" t="n">
        <f aca="false">Sens!$C$2017</f>
        <v>5.425</v>
      </c>
      <c r="D2107" s="38" t="n">
        <f aca="false">Sens!$D$2017</f>
        <v>5.935</v>
      </c>
      <c r="E2107" s="38" t="n">
        <f aca="false">Sens!$E$2017</f>
        <v>3.474</v>
      </c>
      <c r="F2107" s="38" t="n">
        <f aca="false">Sens!$F$2017</f>
        <v>3.22246550883619</v>
      </c>
      <c r="G2107" s="38" t="n">
        <f aca="false">Sens!$G$2017</f>
        <v>6.69646550883619</v>
      </c>
      <c r="H2107" s="38" t="n">
        <f aca="false">Sens!$H$2017</f>
        <v>7.16251344209196</v>
      </c>
      <c r="I2107" s="38" t="n">
        <f aca="false">Sens!$I$2017</f>
        <v>7.61421070299826</v>
      </c>
      <c r="J2107" s="38" t="n">
        <f aca="false">Sens!$J$2017</f>
        <v>8.04465753523932</v>
      </c>
      <c r="K2107" s="38" t="n">
        <f aca="false">Sens!$K$2017</f>
        <v>8.44689041200128</v>
      </c>
      <c r="L2107" s="38" t="n">
        <f aca="false">Sens!$L$2017</f>
        <v>8.86923493260135</v>
      </c>
      <c r="M2107" s="38" t="n">
        <f aca="false">Sens!$M$2017</f>
        <v>9.31269667923142</v>
      </c>
      <c r="N2107" s="38" t="n">
        <f aca="false">Sens!$N$2017</f>
        <v>2.811</v>
      </c>
      <c r="O2107" s="38" t="n">
        <f aca="false">Sens!$O$2017</f>
        <v>3.124</v>
      </c>
    </row>
    <row r="2108" customFormat="false" ht="17.15" hidden="false" customHeight="false" outlineLevel="0" collapsed="false">
      <c r="A2108" s="0" t="s">
        <v>717</v>
      </c>
      <c r="B2108" s="0" t="s">
        <v>86</v>
      </c>
      <c r="C2108" s="38" t="n">
        <f aca="false">Sens!$C$2089</f>
        <v>107.556</v>
      </c>
      <c r="D2108" s="38" t="n">
        <f aca="false">Sens!$D$2089</f>
        <v>128.725</v>
      </c>
      <c r="E2108" s="38" t="n">
        <f aca="false">Sens!$E$2089</f>
        <v>79.819</v>
      </c>
      <c r="F2108" s="38" t="n">
        <f aca="false">Sens!$F$2089</f>
        <v>86.7327334389669</v>
      </c>
      <c r="G2108" s="38" t="n">
        <f aca="false">Sens!$G$2089</f>
        <v>166.551733438967</v>
      </c>
      <c r="H2108" s="38" t="n">
        <f aca="false">Sens!$H$2089</f>
        <v>221.182967828978</v>
      </c>
      <c r="I2108" s="38" t="n">
        <f aca="false">Sens!$I$2089</f>
        <v>280.27345865789</v>
      </c>
      <c r="J2108" s="38" t="n">
        <f aca="false">Sens!$J$2089</f>
        <v>338.800945197185</v>
      </c>
      <c r="K2108" s="38" t="n">
        <f aca="false">Sens!$K$2089</f>
        <v>389.88570147276</v>
      </c>
      <c r="L2108" s="38" t="n">
        <f aca="false">Sens!$L$2089</f>
        <v>430.080689379143</v>
      </c>
      <c r="M2108" s="38" t="n">
        <f aca="false">Sens!$M$2089</f>
        <v>459.456235951751</v>
      </c>
      <c r="N2108" s="38" t="n">
        <f aca="false">Sens!$N$2089</f>
        <v>60.14</v>
      </c>
      <c r="O2108" s="38" t="n">
        <f aca="false">Sens!$O$2089</f>
        <v>68.585</v>
      </c>
    </row>
    <row r="2109" customFormat="false" ht="15" hidden="false" customHeight="false" outlineLevel="0" collapsed="false">
      <c r="A2109" s="1" t="s">
        <v>512</v>
      </c>
      <c r="B2109" s="8" t="s">
        <v>86</v>
      </c>
      <c r="C2109" s="38" t="n">
        <f aca="false">Sens!$C$2022</f>
        <v>387.497</v>
      </c>
      <c r="D2109" s="38" t="n">
        <f aca="false">Sens!$D$2022</f>
        <v>426.305</v>
      </c>
      <c r="E2109" s="38" t="n">
        <f aca="false">Sens!$E$2022</f>
        <v>220.32</v>
      </c>
      <c r="F2109" s="38" t="n">
        <f aca="false">Sens!$F$2022</f>
        <v>250.639773480586</v>
      </c>
      <c r="G2109" s="38" t="n">
        <f aca="false">Sens!$G$2022</f>
        <v>470.959773480586</v>
      </c>
      <c r="H2109" s="38" t="n">
        <f aca="false">Sens!$H$2022</f>
        <v>521.386990416437</v>
      </c>
      <c r="I2109" s="38" t="n">
        <f aca="false">Sens!$I$2022</f>
        <v>570.143862887555</v>
      </c>
      <c r="J2109" s="38" t="n">
        <f aca="false">Sens!$J$2022</f>
        <v>615.391435791933</v>
      </c>
      <c r="K2109" s="38" t="n">
        <f aca="false">Sens!$K$2022</f>
        <v>655.208227561543</v>
      </c>
      <c r="L2109" s="38" t="n">
        <f aca="false">Sens!$L$2022</f>
        <v>697.807739249767</v>
      </c>
      <c r="M2109" s="38" t="n">
        <f aca="false">Sens!$M$2022</f>
        <v>743.399328463592</v>
      </c>
      <c r="N2109" s="38" t="n">
        <f aca="false">Sens!$N$2022</f>
        <v>192.955</v>
      </c>
      <c r="O2109" s="38" t="n">
        <f aca="false">Sens!$O$2022</f>
        <v>233.35</v>
      </c>
    </row>
    <row r="2110" customFormat="false" ht="15" hidden="false" customHeight="false" outlineLevel="0" collapsed="false">
      <c r="A2110" s="1" t="s">
        <v>515</v>
      </c>
      <c r="B2110" s="8" t="s">
        <v>86</v>
      </c>
      <c r="C2110" s="38" t="n">
        <f aca="false">Sens!$C$2023</f>
        <v>142.906</v>
      </c>
      <c r="D2110" s="38" t="n">
        <f aca="false">Sens!$D$2023</f>
        <v>161.894</v>
      </c>
      <c r="E2110" s="38" t="n">
        <f aca="false">Sens!$E$2023</f>
        <v>81.986</v>
      </c>
      <c r="F2110" s="38" t="n">
        <f aca="false">Sens!$F$2023</f>
        <v>98.408468164951</v>
      </c>
      <c r="G2110" s="38" t="n">
        <f aca="false">Sens!$G$2023</f>
        <v>180.394468164951</v>
      </c>
      <c r="H2110" s="38" t="n">
        <f aca="false">Sens!$H$2023</f>
        <v>199.709899104949</v>
      </c>
      <c r="I2110" s="38" t="n">
        <f aca="false">Sens!$I$2023</f>
        <v>218.385528264976</v>
      </c>
      <c r="J2110" s="38" t="n">
        <f aca="false">Sens!$J$2023</f>
        <v>235.71696994951</v>
      </c>
      <c r="K2110" s="38" t="n">
        <f aca="false">Sens!$K$2023</f>
        <v>250.968227869545</v>
      </c>
      <c r="L2110" s="38" t="n">
        <f aca="false">Sens!$L$2023</f>
        <v>267.285367225822</v>
      </c>
      <c r="M2110" s="38" t="n">
        <f aca="false">Sens!$M$2023</f>
        <v>284.748579483295</v>
      </c>
      <c r="N2110" s="38" t="n">
        <f aca="false">Sens!$N$2023</f>
        <v>70.274</v>
      </c>
      <c r="O2110" s="38" t="n">
        <f aca="false">Sens!$O$2023</f>
        <v>91.62</v>
      </c>
    </row>
    <row r="2111" customFormat="false" ht="15" hidden="false" customHeight="false" outlineLevel="0" collapsed="false">
      <c r="A2111" s="1" t="s">
        <v>516</v>
      </c>
      <c r="B2111" s="8" t="s">
        <v>86</v>
      </c>
      <c r="C2111" s="38" t="n">
        <f aca="false">Sens!$C$2089</f>
        <v>107.556</v>
      </c>
      <c r="D2111" s="38" t="n">
        <f aca="false">Sens!$D$2089</f>
        <v>128.725</v>
      </c>
      <c r="E2111" s="38" t="n">
        <f aca="false">Sens!$E$2089</f>
        <v>79.819</v>
      </c>
      <c r="F2111" s="38" t="n">
        <f aca="false">Sens!$F$2089</f>
        <v>86.7327334389669</v>
      </c>
      <c r="G2111" s="38" t="n">
        <f aca="false">Sens!$G$2089</f>
        <v>166.551733438967</v>
      </c>
      <c r="H2111" s="38" t="n">
        <f aca="false">Sens!$H$2089</f>
        <v>221.182967828978</v>
      </c>
      <c r="I2111" s="38" t="n">
        <f aca="false">Sens!$I$2089</f>
        <v>280.27345865789</v>
      </c>
      <c r="J2111" s="38" t="n">
        <f aca="false">Sens!$J$2089</f>
        <v>338.800945197185</v>
      </c>
      <c r="K2111" s="38" t="n">
        <f aca="false">Sens!$K$2089</f>
        <v>389.88570147276</v>
      </c>
      <c r="L2111" s="38" t="n">
        <f aca="false">Sens!$L$2089</f>
        <v>430.080689379143</v>
      </c>
      <c r="M2111" s="38" t="n">
        <f aca="false">Sens!$M$2089</f>
        <v>459.456235951751</v>
      </c>
      <c r="N2111" s="38" t="n">
        <f aca="false">Sens!$N$2089</f>
        <v>60.14</v>
      </c>
      <c r="O2111" s="38" t="n">
        <f aca="false">Sens!$O$2089</f>
        <v>68.585</v>
      </c>
    </row>
    <row r="2112" customFormat="false" ht="17.15" hidden="false" customHeight="false" outlineLevel="0" collapsed="false">
      <c r="A2112" s="0" t="s">
        <v>691</v>
      </c>
      <c r="B2112" s="0" t="s">
        <v>86</v>
      </c>
      <c r="C2112" s="38" t="n">
        <f aca="false">Sens!$C$2087</f>
        <v>2.32100535697364</v>
      </c>
      <c r="D2112" s="38" t="n">
        <f aca="false">Sens!$D$2087</f>
        <v>8.70377008865116</v>
      </c>
      <c r="E2112" s="38" t="n">
        <f aca="false">Sens!$E$2087</f>
        <v>8.51035297557002</v>
      </c>
      <c r="F2112" s="38" t="n">
        <f aca="false">Sens!$F$2087</f>
        <v>14.9634336447205</v>
      </c>
      <c r="G2112" s="38" t="n">
        <f aca="false">Sens!$G$2087</f>
        <v>23.4737866202905</v>
      </c>
      <c r="H2112" s="38" t="n">
        <f aca="false">Sens!$H$2087</f>
        <v>60.1658907497746</v>
      </c>
      <c r="I2112" s="38" t="n">
        <f aca="false">Sens!$I$2087</f>
        <v>101.503699136432</v>
      </c>
      <c r="J2112" s="38" t="n">
        <f aca="false">Sens!$J$2087</f>
        <v>143.025407151278</v>
      </c>
      <c r="K2112" s="38" t="n">
        <f aca="false">Sens!$K$2087</f>
        <v>178.44812038318</v>
      </c>
      <c r="L2112" s="38" t="n">
        <f aca="false">Sens!$L$2087</f>
        <v>201.728101802396</v>
      </c>
      <c r="M2112" s="38" t="n">
        <f aca="false">Sens!$M$2087</f>
        <v>212.835441368865</v>
      </c>
      <c r="N2112" s="38" t="n">
        <f aca="false">Sens!$N$2087</f>
        <v>3.04631953102791</v>
      </c>
      <c r="O2112" s="38" t="n">
        <f aca="false">Sens!$O$2087</f>
        <v>5.65745055762326</v>
      </c>
    </row>
    <row r="2113" customFormat="false" ht="17.15" hidden="false" customHeight="false" outlineLevel="0" collapsed="false">
      <c r="A2113" s="0" t="s">
        <v>693</v>
      </c>
      <c r="B2113" s="0" t="s">
        <v>86</v>
      </c>
      <c r="C2113" s="38" t="n">
        <f aca="false">Sens!$C$2088</f>
        <v>105.234994643026</v>
      </c>
      <c r="D2113" s="38" t="n">
        <f aca="false">Sens!$D$2088</f>
        <v>120.021229911349</v>
      </c>
      <c r="E2113" s="38" t="n">
        <f aca="false">Sens!$E$2088</f>
        <v>71.30864702443</v>
      </c>
      <c r="F2113" s="38" t="n">
        <f aca="false">Sens!$F$2088</f>
        <v>71.7692997942464</v>
      </c>
      <c r="G2113" s="38" t="n">
        <f aca="false">Sens!$G$2088</f>
        <v>143.077946818676</v>
      </c>
      <c r="H2113" s="38" t="n">
        <f aca="false">Sens!$H$2088</f>
        <v>161.017077079203</v>
      </c>
      <c r="I2113" s="38" t="n">
        <f aca="false">Sens!$I$2088</f>
        <v>178.769759521457</v>
      </c>
      <c r="J2113" s="38" t="n">
        <f aca="false">Sens!$J$2088</f>
        <v>195.775538045907</v>
      </c>
      <c r="K2113" s="38" t="n">
        <f aca="false">Sens!$K$2088</f>
        <v>211.43758108958</v>
      </c>
      <c r="L2113" s="38" t="n">
        <f aca="false">Sens!$L$2088</f>
        <v>228.352587576746</v>
      </c>
      <c r="M2113" s="38" t="n">
        <f aca="false">Sens!$M$2088</f>
        <v>246.620794582886</v>
      </c>
      <c r="N2113" s="38" t="n">
        <f aca="false">Sens!$N$2088</f>
        <v>57.0936804689721</v>
      </c>
      <c r="O2113" s="38" t="n">
        <f aca="false">Sens!$O$2088</f>
        <v>62.9275494423768</v>
      </c>
    </row>
    <row r="2114" customFormat="false" ht="15" hidden="false" customHeight="false" outlineLevel="0" collapsed="false">
      <c r="A2114" s="3" t="s">
        <v>517</v>
      </c>
      <c r="B2114" s="8" t="s">
        <v>86</v>
      </c>
      <c r="C2114" s="38" t="n">
        <f aca="false">Sens!$C$2090</f>
        <v>637.959</v>
      </c>
      <c r="D2114" s="38" t="n">
        <f aca="false">Sens!$D$2090</f>
        <v>716.924</v>
      </c>
      <c r="E2114" s="38" t="n">
        <f aca="false">Sens!$E$2090</f>
        <v>382.125</v>
      </c>
      <c r="F2114" s="38" t="n">
        <f aca="false">Sens!$F$2090</f>
        <v>435.780975084504</v>
      </c>
      <c r="G2114" s="38" t="n">
        <f aca="false">Sens!$G$2090</f>
        <v>817.905975084504</v>
      </c>
      <c r="H2114" s="38" t="n">
        <f aca="false">Sens!$H$2090</f>
        <v>942.279857350364</v>
      </c>
      <c r="I2114" s="38" t="n">
        <f aca="false">Sens!$I$2090</f>
        <v>1068.80284981042</v>
      </c>
      <c r="J2114" s="38" t="n">
        <f aca="false">Sens!$J$2090</f>
        <v>1189.90935093863</v>
      </c>
      <c r="K2114" s="38" t="n">
        <f aca="false">Sens!$K$2090</f>
        <v>1296.06215690385</v>
      </c>
      <c r="L2114" s="38" t="n">
        <f aca="false">Sens!$L$2090</f>
        <v>1395.17379585473</v>
      </c>
      <c r="M2114" s="38" t="n">
        <f aca="false">Sens!$M$2090</f>
        <v>1487.60414389864</v>
      </c>
      <c r="N2114" s="38" t="n">
        <f aca="false">Sens!$N$2090</f>
        <v>323.369</v>
      </c>
      <c r="O2114" s="38" t="n">
        <f aca="false">Sens!$O$2090</f>
        <v>393.555</v>
      </c>
    </row>
    <row r="2115" customFormat="false" ht="17.15" hidden="false" customHeight="false" outlineLevel="0" collapsed="false">
      <c r="A2115" s="24" t="s">
        <v>703</v>
      </c>
      <c r="B2115" s="25" t="s">
        <v>86</v>
      </c>
      <c r="C2115" s="41" t="n">
        <f aca="false">Sens!$C$2102+Sens!$C$2103+Sens!$C$2104+Sens!$C$2105+Sens!$C$2106+Sens!$C$2107-(Sens!$C$2109+Sens!$C$2110)</f>
        <v>0</v>
      </c>
      <c r="D2115" s="41" t="n">
        <f aca="false">Sens!$D$2102+Sens!$D$2103+Sens!$D$2104+Sens!$D$2105+Sens!$D$2106+Sens!$D$2107-(Sens!$D$2109+Sens!$D$2110)</f>
        <v>0</v>
      </c>
      <c r="E2115" s="41" t="n">
        <f aca="false">Sens!$E$2102+Sens!$E$2103+Sens!$E$2104+Sens!$E$2105+Sens!$E$2106+Sens!$E$2107-(Sens!$E$2109+Sens!$E$2110)</f>
        <v>0</v>
      </c>
      <c r="F2115" s="41" t="n">
        <f aca="false">Sens!$F$2102+Sens!$F$2103+Sens!$F$2104+Sens!$F$2105+Sens!$F$2106+Sens!$F$2107-(Sens!$F$2109+Sens!$F$2110)</f>
        <v>0</v>
      </c>
      <c r="G2115" s="41" t="n">
        <f aca="false">Sens!$G$2102+Sens!$G$2103+Sens!$G$2104+Sens!$G$2105+Sens!$G$2106+Sens!$G$2107-(Sens!$G$2109+Sens!$G$2110)</f>
        <v>0</v>
      </c>
      <c r="H2115" s="41" t="n">
        <f aca="false">Sens!$H$2102+Sens!$H$2103+Sens!$H$2104+Sens!$H$2105+Sens!$H$2106+Sens!$H$2107-(Sens!$H$2109+Sens!$H$2110)</f>
        <v>0</v>
      </c>
      <c r="I2115" s="41" t="n">
        <f aca="false">Sens!$I$2102+Sens!$I$2103+Sens!$I$2104+Sens!$I$2105+Sens!$I$2106+Sens!$I$2107-(Sens!$I$2109+Sens!$I$2110)</f>
        <v>0</v>
      </c>
      <c r="J2115" s="41" t="n">
        <f aca="false">Sens!$J$2102+Sens!$J$2103+Sens!$J$2104+Sens!$J$2105+Sens!$J$2106+Sens!$J$2107-(Sens!$J$2109+Sens!$J$2110)</f>
        <v>0</v>
      </c>
      <c r="K2115" s="41" t="n">
        <f aca="false">Sens!$K$2102+Sens!$K$2103+Sens!$K$2104+Sens!$K$2105+Sens!$K$2106+Sens!$K$2107-(Sens!$K$2109+Sens!$K$2110)</f>
        <v>0</v>
      </c>
      <c r="L2115" s="41" t="n">
        <f aca="false">Sens!$L$2102+Sens!$L$2103+Sens!$L$2104+Sens!$L$2105+Sens!$L$2106+Sens!$L$2107-(Sens!$L$2109+Sens!$L$2110)</f>
        <v>0</v>
      </c>
      <c r="M2115" s="41" t="n">
        <f aca="false">Sens!$M$2102+Sens!$M$2103+Sens!$M$2104+Sens!$M$2105+Sens!$M$2106+Sens!$M$2107-(Sens!$M$2109+Sens!$M$2110)</f>
        <v>0</v>
      </c>
      <c r="N2115" s="41" t="n">
        <f aca="false">Sens!$N$2102+Sens!$N$2103+Sens!$N$2104+Sens!$N$2105+Sens!$N$2106+Sens!$N$2107-(Sens!$N$2109+Sens!$N$2110)</f>
        <v>0</v>
      </c>
      <c r="O2115" s="41" t="n">
        <f aca="false">Sens!$O$2102+Sens!$O$2103+Sens!$O$2104+Sens!$O$2105+Sens!$O$2106+Sens!$O$2107-(Sens!$O$2109+Sens!$O$2110)</f>
        <v>0</v>
      </c>
    </row>
    <row r="2116" customFormat="false" ht="17.15" hidden="false" customHeight="false" outlineLevel="0" collapsed="false">
      <c r="A2116" s="24" t="s">
        <v>704</v>
      </c>
      <c r="B2116" s="25" t="s">
        <v>86</v>
      </c>
      <c r="C2116" s="41" t="n">
        <f aca="false">Sens!$C$2112+Sens!$C$2113-Sens!$C$2111</f>
        <v>0</v>
      </c>
      <c r="D2116" s="41" t="n">
        <f aca="false">Sens!$D$2112+Sens!$D$2113-Sens!$D$2111</f>
        <v>0</v>
      </c>
      <c r="E2116" s="41" t="n">
        <f aca="false">Sens!$E$2112+Sens!$E$2113-Sens!$E$2111</f>
        <v>0</v>
      </c>
      <c r="F2116" s="41" t="n">
        <f aca="false">Sens!$F$2112+Sens!$F$2113-Sens!$F$2111</f>
        <v>0</v>
      </c>
      <c r="G2116" s="41" t="n">
        <f aca="false">Sens!$G$2112+Sens!$G$2113-Sens!$G$2111</f>
        <v>0</v>
      </c>
      <c r="H2116" s="41" t="n">
        <f aca="false">Sens!$H$2112+Sens!$H$2113-Sens!$H$2111</f>
        <v>0</v>
      </c>
      <c r="I2116" s="41" t="n">
        <f aca="false">Sens!$I$2112+Sens!$I$2113-Sens!$I$2111</f>
        <v>0</v>
      </c>
      <c r="J2116" s="41" t="n">
        <f aca="false">Sens!$J$2112+Sens!$J$2113-Sens!$J$2111</f>
        <v>0</v>
      </c>
      <c r="K2116" s="41" t="n">
        <f aca="false">Sens!$K$2112+Sens!$K$2113-Sens!$K$2111</f>
        <v>0</v>
      </c>
      <c r="L2116" s="41" t="n">
        <f aca="false">Sens!$L$2112+Sens!$L$2113-Sens!$L$2111</f>
        <v>0</v>
      </c>
      <c r="M2116" s="41" t="n">
        <f aca="false">Sens!$M$2112+Sens!$M$2113-Sens!$M$2111</f>
        <v>0</v>
      </c>
      <c r="N2116" s="41" t="n">
        <f aca="false">Sens!$N$2112+Sens!$N$2113-Sens!$N$2111</f>
        <v>0</v>
      </c>
      <c r="O2116" s="41" t="n">
        <f aca="false">Sens!$O$2112+Sens!$O$2113-Sens!$O$2111</f>
        <v>0</v>
      </c>
    </row>
    <row r="2117" customFormat="false" ht="17.15" hidden="false" customHeight="false" outlineLevel="0" collapsed="false">
      <c r="A2117" s="24" t="s">
        <v>763</v>
      </c>
      <c r="B2117" s="25" t="s">
        <v>86</v>
      </c>
      <c r="C2117" s="41" t="n">
        <f aca="false">Sens!$C$2102+Sens!$C$2103+Sens!$C$2104+Sens!$C$2105+Sens!$C$2106+Sens!$C$2107+Sens!$C$2108-Sens!$C$2114</f>
        <v>0</v>
      </c>
      <c r="D2117" s="41" t="n">
        <f aca="false">Sens!$D$2102+Sens!$D$2103+Sens!$D$2104+Sens!$D$2105+Sens!$D$2106+Sens!$D$2107+Sens!$D$2108-Sens!$D$2114</f>
        <v>0</v>
      </c>
      <c r="E2117" s="41" t="n">
        <f aca="false">Sens!$E$2102+Sens!$E$2103+Sens!$E$2104+Sens!$E$2105+Sens!$E$2106+Sens!$E$2107+Sens!$E$2108-Sens!$E$2114</f>
        <v>0</v>
      </c>
      <c r="F2117" s="41" t="n">
        <f aca="false">Sens!$F$2102+Sens!$F$2103+Sens!$F$2104+Sens!$F$2105+Sens!$F$2106+Sens!$F$2107+Sens!$F$2108-Sens!$F$2114</f>
        <v>0</v>
      </c>
      <c r="G2117" s="41" t="n">
        <f aca="false">Sens!$G$2102+Sens!$G$2103+Sens!$G$2104+Sens!$G$2105+Sens!$G$2106+Sens!$G$2107+Sens!$G$2108-Sens!$G$2114</f>
        <v>0</v>
      </c>
      <c r="H2117" s="41" t="n">
        <f aca="false">Sens!$H$2102+Sens!$H$2103+Sens!$H$2104+Sens!$H$2105+Sens!$H$2106+Sens!$H$2107+Sens!$H$2108-Sens!$H$2114</f>
        <v>0</v>
      </c>
      <c r="I2117" s="41" t="n">
        <f aca="false">Sens!$I$2102+Sens!$I$2103+Sens!$I$2104+Sens!$I$2105+Sens!$I$2106+Sens!$I$2107+Sens!$I$2108-Sens!$I$2114</f>
        <v>0</v>
      </c>
      <c r="J2117" s="41" t="n">
        <f aca="false">Sens!$J$2102+Sens!$J$2103+Sens!$J$2104+Sens!$J$2105+Sens!$J$2106+Sens!$J$2107+Sens!$J$2108-Sens!$J$2114</f>
        <v>0</v>
      </c>
      <c r="K2117" s="41" t="n">
        <f aca="false">Sens!$K$2102+Sens!$K$2103+Sens!$K$2104+Sens!$K$2105+Sens!$K$2106+Sens!$K$2107+Sens!$K$2108-Sens!$K$2114</f>
        <v>0</v>
      </c>
      <c r="L2117" s="41" t="n">
        <f aca="false">Sens!$L$2102+Sens!$L$2103+Sens!$L$2104+Sens!$L$2105+Sens!$L$2106+Sens!$L$2107+Sens!$L$2108-Sens!$L$2114</f>
        <v>0</v>
      </c>
      <c r="M2117" s="41" t="n">
        <f aca="false">Sens!$M$2102+Sens!$M$2103+Sens!$M$2104+Sens!$M$2105+Sens!$M$2106+Sens!$M$2107+Sens!$M$2108-Sens!$M$2114</f>
        <v>0</v>
      </c>
      <c r="N2117" s="41" t="n">
        <f aca="false">Sens!$N$2102+Sens!$N$2103+Sens!$N$2104+Sens!$N$2105+Sens!$N$2106+Sens!$N$2107+Sens!$N$2108-Sens!$N$2114</f>
        <v>0</v>
      </c>
      <c r="O2117" s="41" t="n">
        <f aca="false">Sens!$O$2102+Sens!$O$2103+Sens!$O$2104+Sens!$O$2105+Sens!$O$2106+Sens!$O$2107+Sens!$O$2108-Sens!$O$2114</f>
        <v>0</v>
      </c>
    </row>
    <row r="2118" customFormat="false" ht="17.15" hidden="false" customHeight="false" outlineLevel="0" collapsed="false">
      <c r="A2118" s="24" t="s">
        <v>705</v>
      </c>
      <c r="B2118" s="25" t="s">
        <v>86</v>
      </c>
      <c r="C2118" s="41" t="n">
        <f aca="false">Sens!$C$2109+Sens!$C$2110+Sens!$C$2111-Sens!$C$2114</f>
        <v>0</v>
      </c>
      <c r="D2118" s="41" t="n">
        <f aca="false">Sens!$D$2109+Sens!$D$2110+Sens!$D$2111-Sens!$D$2114</f>
        <v>0</v>
      </c>
      <c r="E2118" s="41" t="n">
        <f aca="false">Sens!$E$2109+Sens!$E$2110+Sens!$E$2111-Sens!$E$2114</f>
        <v>0</v>
      </c>
      <c r="F2118" s="41" t="n">
        <f aca="false">Sens!$F$2109+Sens!$F$2110+Sens!$F$2111-Sens!$F$2114</f>
        <v>0</v>
      </c>
      <c r="G2118" s="41" t="n">
        <f aca="false">Sens!$G$2109+Sens!$G$2110+Sens!$G$2111-Sens!$G$2114</f>
        <v>0</v>
      </c>
      <c r="H2118" s="41" t="n">
        <f aca="false">Sens!$H$2109+Sens!$H$2110+Sens!$H$2111-Sens!$H$2114</f>
        <v>0</v>
      </c>
      <c r="I2118" s="41" t="n">
        <f aca="false">Sens!$I$2109+Sens!$I$2110+Sens!$I$2111-Sens!$I$2114</f>
        <v>0</v>
      </c>
      <c r="J2118" s="41" t="n">
        <f aca="false">Sens!$J$2109+Sens!$J$2110+Sens!$J$2111-Sens!$J$2114</f>
        <v>0</v>
      </c>
      <c r="K2118" s="41" t="n">
        <f aca="false">Sens!$K$2109+Sens!$K$2110+Sens!$K$2111-Sens!$K$2114</f>
        <v>0</v>
      </c>
      <c r="L2118" s="41" t="n">
        <f aca="false">Sens!$L$2109+Sens!$L$2110+Sens!$L$2111-Sens!$L$2114</f>
        <v>0</v>
      </c>
      <c r="M2118" s="41" t="n">
        <f aca="false">Sens!$M$2109+Sens!$M$2110+Sens!$M$2111-Sens!$M$2114</f>
        <v>0</v>
      </c>
      <c r="N2118" s="41" t="n">
        <f aca="false">Sens!$N$2109+Sens!$N$2110+Sens!$N$2111-Sens!$N$2114</f>
        <v>0</v>
      </c>
      <c r="O2118" s="41" t="n">
        <f aca="false">Sens!$O$2109+Sens!$O$2110+Sens!$O$2111-Sens!$O$2114</f>
        <v>0</v>
      </c>
    </row>
    <row r="2119" customFormat="false" ht="17.15" hidden="false" customHeight="false" outlineLevel="0" collapsed="false">
      <c r="A2119" s="1" t="s">
        <v>719</v>
      </c>
    </row>
    <row r="2120" customFormat="false" ht="17.15" hidden="false" customHeight="false" outlineLevel="0" collapsed="false">
      <c r="A2120" s="0" t="s">
        <v>720</v>
      </c>
      <c r="B2120" s="0" t="s">
        <v>86</v>
      </c>
      <c r="C2120" s="38" t="n">
        <f aca="false">Sens!$C$2024*m_ad</f>
        <v>20.5341564414228</v>
      </c>
      <c r="D2120" s="38" t="n">
        <f aca="false">Sens!$D$2024*m_ad</f>
        <v>24.8720617299587</v>
      </c>
      <c r="E2120" s="38" t="n">
        <f aca="false">Sens!$E$2024*m_ad</f>
        <v>13.5017112462207</v>
      </c>
      <c r="F2120" s="38" t="n">
        <f aca="false">Sens!$F$2024*m_ad</f>
        <v>16.5719724165257</v>
      </c>
      <c r="G2120" s="38" t="n">
        <f aca="false">Sens!$G$2024*m_ad</f>
        <v>30.0820919220415</v>
      </c>
      <c r="H2120" s="38" t="n">
        <f aca="false">Sens!$H$2024*m_ad</f>
        <v>36.1150883276314</v>
      </c>
      <c r="I2120" s="38" t="n">
        <f aca="false">Sens!$I$2024*m_ad</f>
        <v>42.1475382231996</v>
      </c>
      <c r="J2120" s="38" t="n">
        <f aca="false">Sens!$J$2024*m_ad</f>
        <v>47.7749523864693</v>
      </c>
      <c r="K2120" s="38" t="n">
        <f aca="false">Sens!$K$2024*m_ad</f>
        <v>52.5524476251162</v>
      </c>
      <c r="L2120" s="38" t="n">
        <f aca="false">Sens!$L$2024*m_ad</f>
        <v>57.8076923876279</v>
      </c>
      <c r="M2120" s="38" t="n">
        <f aca="false">Sens!$M$2024*m_ad</f>
        <v>63.5884616263907</v>
      </c>
      <c r="N2120" s="38" t="n">
        <f aca="false">Sens!$N$2024*m_ad</f>
        <v>10.8543555706248</v>
      </c>
      <c r="O2120" s="38" t="n">
        <f aca="false">Sens!$O$2024*m_ad</f>
        <v>14.0094731821399</v>
      </c>
    </row>
    <row r="2121" customFormat="false" ht="17.15" hidden="false" customHeight="false" outlineLevel="0" collapsed="false">
      <c r="A2121" s="0" t="s">
        <v>721</v>
      </c>
      <c r="B2121" s="0" t="s">
        <v>86</v>
      </c>
      <c r="C2121" s="38" t="n">
        <f aca="false">Sens!$C$2022-Sens!$C$2024</f>
        <v>346.428687117154</v>
      </c>
      <c r="D2121" s="38" t="n">
        <f aca="false">Sens!$D$2022-Sens!$D$2024</f>
        <v>376.560876540083</v>
      </c>
      <c r="E2121" s="38" t="n">
        <f aca="false">Sens!$E$2022-Sens!$E$2024</f>
        <v>193.316577507559</v>
      </c>
      <c r="F2121" s="38" t="n">
        <f aca="false">Sens!$F$2022-Sens!$F$2024</f>
        <v>217.495828647535</v>
      </c>
      <c r="G2121" s="38" t="n">
        <f aca="false">Sens!$G$2022-Sens!$G$2024</f>
        <v>410.795589636503</v>
      </c>
      <c r="H2121" s="38" t="n">
        <f aca="false">Sens!$H$2022-Sens!$H$2024</f>
        <v>449.156813761174</v>
      </c>
      <c r="I2121" s="38" t="n">
        <f aca="false">Sens!$I$2022-Sens!$I$2024</f>
        <v>485.848786441156</v>
      </c>
      <c r="J2121" s="38" t="n">
        <f aca="false">Sens!$J$2022-Sens!$J$2024</f>
        <v>519.841531018994</v>
      </c>
      <c r="K2121" s="38" t="n">
        <f aca="false">Sens!$K$2022-Sens!$K$2024</f>
        <v>550.103332311311</v>
      </c>
      <c r="L2121" s="38" t="n">
        <f aca="false">Sens!$L$2022-Sens!$L$2024</f>
        <v>582.192354474511</v>
      </c>
      <c r="M2121" s="38" t="n">
        <f aca="false">Sens!$M$2022-Sens!$M$2024</f>
        <v>616.22240521081</v>
      </c>
      <c r="N2121" s="38" t="n">
        <f aca="false">Sens!$N$2022-Sens!$N$2024</f>
        <v>171.24628885875</v>
      </c>
      <c r="O2121" s="38" t="n">
        <f aca="false">Sens!$O$2022-Sens!$O$2024</f>
        <v>205.33105363572</v>
      </c>
    </row>
    <row r="2122" customFormat="false" ht="17.15" hidden="false" customHeight="false" outlineLevel="0" collapsed="false">
      <c r="A2122" s="0" t="s">
        <v>722</v>
      </c>
      <c r="B2122" s="0" t="s">
        <v>86</v>
      </c>
      <c r="C2122" s="38" t="n">
        <f aca="false">Sens!$C$2073*Sens!$C$2021</f>
        <v>0.119793158257048</v>
      </c>
      <c r="D2122" s="38" t="n">
        <f aca="false">Sens!$D$2073*Sens!$D$2021</f>
        <v>0.56792074721106</v>
      </c>
      <c r="E2122" s="38" t="n">
        <f aca="false">Sens!$E$2073*Sens!$E$2021</f>
        <v>0.88987947691134</v>
      </c>
      <c r="F2122" s="38" t="n">
        <f aca="false">Sens!$F$2073*Sens!$F$2021</f>
        <v>1.12065021332565</v>
      </c>
      <c r="G2122" s="38" t="n">
        <f aca="false">Sens!$G$2073*Sens!$G$2021</f>
        <v>2.01128095751347</v>
      </c>
      <c r="H2122" s="38" t="n">
        <f aca="false">Sens!$H$2073*Sens!$H$2021</f>
        <v>5.64128677929573</v>
      </c>
      <c r="I2122" s="38" t="n">
        <f aca="false">Sens!$I$2073*Sens!$I$2021</f>
        <v>10.6256621532506</v>
      </c>
      <c r="J2122" s="38" t="n">
        <f aca="false">Sens!$J$2073*Sens!$J$2021</f>
        <v>15.7383144507854</v>
      </c>
      <c r="K2122" s="38" t="n">
        <f aca="false">Sens!$K$2073*Sens!$K$2021</f>
        <v>20.6306648149814</v>
      </c>
      <c r="L2122" s="38" t="n">
        <f aca="false">Sens!$L$2073*Sens!$L$2021</f>
        <v>24.1125805513139</v>
      </c>
      <c r="M2122" s="38" t="n">
        <f aca="false">Sens!$M$2073*Sens!$M$2021</f>
        <v>26.0585333826681</v>
      </c>
      <c r="N2122" s="38" t="n">
        <f aca="false">Sens!$N$2073*Sens!$N$2021</f>
        <v>0.234209544222869</v>
      </c>
      <c r="O2122" s="38" t="n">
        <f aca="false">Sens!$O$2073*Sens!$O$2021</f>
        <v>0.333244851203172</v>
      </c>
    </row>
    <row r="2123" customFormat="false" ht="17.15" hidden="false" customHeight="false" outlineLevel="0" collapsed="false">
      <c r="A2123" s="0" t="s">
        <v>723</v>
      </c>
      <c r="B2123" s="0" t="s">
        <v>52</v>
      </c>
      <c r="C2123" s="28" t="n">
        <f aca="false">(Sens!$C$2124-Sens!$C$2120+Sens!$C$2122)/Sens!$C$2121</f>
        <v>0.0131416273713343</v>
      </c>
      <c r="D2123" s="28" t="n">
        <f aca="false">(Sens!$D$2124-Sens!$D$2120+Sens!$D$2122)/Sens!$D$2121</f>
        <v>0.0141142092776242</v>
      </c>
      <c r="E2123" s="28" t="n">
        <f aca="false">(Sens!$E$2124-Sens!$E$2120+Sens!$E$2122)/Sens!$E$2121</f>
        <v>0.0247168054198756</v>
      </c>
      <c r="F2123" s="28" t="n">
        <f aca="false">Sens!$O$2123+(Sens!$E$2123-Sens!$N$2123)</f>
        <v>0.0213173039643625</v>
      </c>
      <c r="G2123" s="28" t="n">
        <f aca="false">(Sens!$G$2124-Sens!$G$2120+Sens!$G$2122)/Sens!$G$2121</f>
        <v>0.022899310913382</v>
      </c>
      <c r="H2123" s="28" t="n">
        <f aca="false">Sens!$G$2123+step_na</f>
        <v>0.025899310913382</v>
      </c>
      <c r="I2123" s="28" t="n">
        <f aca="false">Sens!$H$2123+step_na</f>
        <v>0.028899310913382</v>
      </c>
      <c r="J2123" s="28" t="n">
        <f aca="false">Sens!$I$2123+step_na</f>
        <v>0.031899310913382</v>
      </c>
      <c r="K2123" s="28" t="n">
        <f aca="false">Sens!$J$2123+step_na</f>
        <v>0.034899310913382</v>
      </c>
      <c r="L2123" s="28" t="n">
        <f aca="false">Sens!$K$2123</f>
        <v>0.034899310913382</v>
      </c>
      <c r="M2123" s="28" t="n">
        <f aca="false">Sens!$L$2123</f>
        <v>0.034899310913382</v>
      </c>
      <c r="N2123" s="28" t="n">
        <f aca="false">(Sens!$N$2124-Sens!$N$2120+Sens!$N$2122)/Sens!$N$2121</f>
        <v>0.0159878149292702</v>
      </c>
      <c r="O2123" s="28" t="n">
        <f aca="false">(Sens!$O$2124-Sens!$O$2120+Sens!$O$2122)/Sens!$O$2121</f>
        <v>0.0125883134737571</v>
      </c>
      <c r="P2123" s="8" t="s">
        <v>724</v>
      </c>
    </row>
    <row r="2124" customFormat="false" ht="17.15" hidden="false" customHeight="false" outlineLevel="0" collapsed="false">
      <c r="A2124" s="1" t="s">
        <v>725</v>
      </c>
      <c r="B2124" s="8" t="s">
        <v>86</v>
      </c>
      <c r="C2124" s="38" t="n">
        <f aca="false">Q!$D$22</f>
        <v>24.967</v>
      </c>
      <c r="D2124" s="38" t="n">
        <f aca="false">Q!$E$22</f>
        <v>29.619</v>
      </c>
      <c r="E2124" s="38" t="n">
        <f aca="false">Q!$P$22</f>
        <v>17.39</v>
      </c>
      <c r="F2124" s="38" t="n">
        <f aca="false">Sens!$F$2120+Sens!$F$2121*Sens!$F$2123-Sens!$F$2122</f>
        <v>20.0877468934604</v>
      </c>
      <c r="G2124" s="38" t="n">
        <f aca="false">Sens!$E$2124+Sens!$F$2124</f>
        <v>37.4777468934604</v>
      </c>
      <c r="H2124" s="38" t="n">
        <f aca="false">Sens!$H$2120+Sens!$H$2121*Sens!$H$2123-Sens!$H$2122</f>
        <v>42.1066535168004</v>
      </c>
      <c r="I2124" s="38" t="n">
        <f aca="false">Sens!$I$2120+Sens!$I$2121*Sens!$I$2123-Sens!$I$2122</f>
        <v>45.5625712062013</v>
      </c>
      <c r="J2124" s="38" t="n">
        <f aca="false">Sens!$J$2120+Sens!$J$2121*Sens!$J$2123-Sens!$J$2122</f>
        <v>48.6192245593473</v>
      </c>
      <c r="K2124" s="38" t="n">
        <f aca="false">Sens!$K$2120+Sens!$K$2121*Sens!$K$2123-Sens!$K$2122</f>
        <v>51.1200100389548</v>
      </c>
      <c r="L2124" s="38" t="n">
        <f aca="false">Sens!$L$2120+Sens!$L$2121*Sens!$L$2123-Sens!$L$2122</f>
        <v>54.0132238265138</v>
      </c>
      <c r="M2124" s="38" t="n">
        <f aca="false">Sens!$M$2120+Sens!$M$2121*Sens!$M$2123-Sens!$M$2122</f>
        <v>59.0356655549667</v>
      </c>
      <c r="N2124" s="38" t="n">
        <f aca="false">Q!$N$22</f>
        <v>13.358</v>
      </c>
      <c r="O2124" s="38" t="n">
        <f aca="false">Q!$O$22</f>
        <v>16.261</v>
      </c>
    </row>
    <row r="2125" customFormat="false" ht="17.15" hidden="false" customHeight="false" outlineLevel="0" collapsed="false">
      <c r="A2125" s="0" t="s">
        <v>726</v>
      </c>
      <c r="B2125" s="0" t="s">
        <v>86</v>
      </c>
      <c r="C2125" s="38" t="n">
        <f aca="false">Sens!$C$2025*m_ad</f>
        <v>7.57284355857716</v>
      </c>
      <c r="D2125" s="38" t="n">
        <f aca="false">Sens!$D$2025*m_ad</f>
        <v>9.44543827004127</v>
      </c>
      <c r="E2125" s="38" t="n">
        <f aca="false">Sens!$E$2025*m_ad</f>
        <v>5.02428875377928</v>
      </c>
      <c r="F2125" s="38" t="n">
        <f aca="false">Sens!$F$2025*m_ad</f>
        <v>6.50663858068173</v>
      </c>
      <c r="G2125" s="38" t="n">
        <f aca="false">Sens!$G$2025*m_ad</f>
        <v>11.5225190751659</v>
      </c>
      <c r="H2125" s="38" t="n">
        <f aca="false">Sens!$H$2025*m_ad</f>
        <v>13.8333728663174</v>
      </c>
      <c r="I2125" s="38" t="n">
        <f aca="false">Sens!$I$2025*m_ad</f>
        <v>16.1440173245485</v>
      </c>
      <c r="J2125" s="38" t="n">
        <f aca="false">Sens!$J$2025*m_ad</f>
        <v>18.2995185845066</v>
      </c>
      <c r="K2125" s="38" t="n">
        <f aca="false">Sens!$K$2025*m_ad</f>
        <v>20.1294704429572</v>
      </c>
      <c r="L2125" s="38" t="n">
        <f aca="false">Sens!$L$2025*m_ad</f>
        <v>22.142417487253</v>
      </c>
      <c r="M2125" s="38" t="n">
        <f aca="false">Sens!$M$2025*m_ad</f>
        <v>24.3566592359783</v>
      </c>
      <c r="N2125" s="38" t="n">
        <f aca="false">Sens!$N$2025*m_ad</f>
        <v>3.95314442937518</v>
      </c>
      <c r="O2125" s="38" t="n">
        <f aca="false">Sens!$O$2025*m_ad</f>
        <v>5.50052681786011</v>
      </c>
    </row>
    <row r="2126" customFormat="false" ht="17.15" hidden="false" customHeight="false" outlineLevel="0" collapsed="false">
      <c r="A2126" s="0" t="s">
        <v>727</v>
      </c>
      <c r="B2126" s="0" t="s">
        <v>86</v>
      </c>
      <c r="C2126" s="38" t="n">
        <f aca="false">Sens!$C$2023-Sens!$C$2025</f>
        <v>127.760312882846</v>
      </c>
      <c r="D2126" s="38" t="n">
        <f aca="false">Sens!$D$2023-Sens!$D$2025</f>
        <v>143.003123459917</v>
      </c>
      <c r="E2126" s="38" t="n">
        <f aca="false">Sens!$E$2023-Sens!$E$2025</f>
        <v>71.9374224924414</v>
      </c>
      <c r="F2126" s="38" t="n">
        <f aca="false">Sens!$F$2023-Sens!$F$2025</f>
        <v>85.3951910035875</v>
      </c>
      <c r="G2126" s="38" t="n">
        <f aca="false">Sens!$G$2023-Sens!$G$2025</f>
        <v>157.349430014619</v>
      </c>
      <c r="H2126" s="38" t="n">
        <f aca="false">Sens!$H$2023-Sens!$H$2025</f>
        <v>172.043153372315</v>
      </c>
      <c r="I2126" s="38" t="n">
        <f aca="false">Sens!$I$2023-Sens!$I$2025</f>
        <v>186.097493615879</v>
      </c>
      <c r="J2126" s="38" t="n">
        <f aca="false">Sens!$J$2023-Sens!$J$2025</f>
        <v>199.117932780497</v>
      </c>
      <c r="K2126" s="38" t="n">
        <f aca="false">Sens!$K$2023-Sens!$K$2025</f>
        <v>210.70928698363</v>
      </c>
      <c r="L2126" s="38" t="n">
        <f aca="false">Sens!$L$2023-Sens!$L$2025</f>
        <v>223.000532251316</v>
      </c>
      <c r="M2126" s="38" t="n">
        <f aca="false">Sens!$M$2023-Sens!$M$2025</f>
        <v>236.035261011339</v>
      </c>
      <c r="N2126" s="38" t="n">
        <f aca="false">Sens!$N$2023-Sens!$N$2025</f>
        <v>62.3677111412496</v>
      </c>
      <c r="O2126" s="38" t="n">
        <f aca="false">Sens!$O$2023-Sens!$O$2025</f>
        <v>80.6189463642798</v>
      </c>
    </row>
    <row r="2127" customFormat="false" ht="17.15" hidden="false" customHeight="false" outlineLevel="0" collapsed="false">
      <c r="A2127" s="0" t="s">
        <v>728</v>
      </c>
      <c r="B2127" s="0" t="s">
        <v>86</v>
      </c>
      <c r="C2127" s="38" t="n">
        <f aca="false">Sens!$C$2073*(1-Sens!$C$2021)</f>
        <v>0.0441788222202539</v>
      </c>
      <c r="D2127" s="38" t="n">
        <f aca="false">Sens!$D$2073*(1-Sens!$D$2021)</f>
        <v>0.215674133423224</v>
      </c>
      <c r="E2127" s="38" t="n">
        <f aca="false">Sens!$E$2073*(1-Sens!$E$2021)</f>
        <v>0.331144057707213</v>
      </c>
      <c r="F2127" s="38" t="n">
        <f aca="false">Sens!$F$2073*(1-Sens!$F$2021)</f>
        <v>0.439999882343674</v>
      </c>
      <c r="G2127" s="38" t="n">
        <f aca="false">Sens!$G$2073*(1-Sens!$G$2021)</f>
        <v>0.770392672774405</v>
      </c>
      <c r="H2127" s="38" t="n">
        <f aca="false">Sens!$H$2073*(1-Sens!$H$2021)</f>
        <v>2.16081496896459</v>
      </c>
      <c r="I2127" s="38" t="n">
        <f aca="false">Sens!$I$2073*(1-Sens!$I$2021)</f>
        <v>4.07000933194373</v>
      </c>
      <c r="J2127" s="38" t="n">
        <f aca="false">Sens!$J$2073*(1-Sens!$J$2021)</f>
        <v>6.02833835293415</v>
      </c>
      <c r="K2127" s="38" t="n">
        <f aca="false">Sens!$K$2073*(1-Sens!$K$2021)</f>
        <v>7.90228383983489</v>
      </c>
      <c r="L2127" s="38" t="n">
        <f aca="false">Sens!$L$2073*(1-Sens!$L$2021)</f>
        <v>9.23598232709385</v>
      </c>
      <c r="M2127" s="38" t="n">
        <f aca="false">Sens!$M$2073*(1-Sens!$M$2021)</f>
        <v>9.98135198678241</v>
      </c>
      <c r="N2127" s="38" t="n">
        <f aca="false">Sens!$N$2073*(1-Sens!$N$2021)</f>
        <v>0.085298859893332</v>
      </c>
      <c r="O2127" s="38" t="n">
        <f aca="false">Sens!$O$2073*(1-Sens!$O$2021)</f>
        <v>0.130841625314911</v>
      </c>
    </row>
    <row r="2128" customFormat="false" ht="17.15" hidden="false" customHeight="false" outlineLevel="0" collapsed="false">
      <c r="A2128" s="0" t="s">
        <v>729</v>
      </c>
      <c r="B2128" s="0" t="s">
        <v>52</v>
      </c>
      <c r="C2128" s="28" t="n">
        <f aca="false">(Sens!$C$2129-Sens!$C$2125+Sens!$C$2127)/Sens!$C$2126</f>
        <v>-0.0292474607492811</v>
      </c>
      <c r="D2128" s="28" t="n">
        <f aca="false">(Sens!$D$2129-Sens!$D$2125+Sens!$D$2127)/Sens!$D$2126</f>
        <v>-0.0313263376927126</v>
      </c>
      <c r="E2128" s="28" t="n">
        <f aca="false">(Sens!$E$2129-Sens!$E$2125+Sens!$E$2127)/Sens!$E$2126</f>
        <v>-0.0215763178926122</v>
      </c>
      <c r="F2128" s="28" t="n">
        <f aca="false">Sens!$O$2128+(Sens!$E$2128-Sens!$N$2128)</f>
        <v>-0.0386538601315563</v>
      </c>
      <c r="G2128" s="28" t="n">
        <f aca="false">(Sens!$G$2129-Sens!$G$2125+Sens!$G$2127)/Sens!$G$2126</f>
        <v>-0.030793511438608</v>
      </c>
      <c r="H2128" s="28" t="n">
        <f aca="false">Sens!$G$2128+step_in</f>
        <v>-0.030793511438608</v>
      </c>
      <c r="I2128" s="28" t="n">
        <f aca="false">Sens!$H$2128+step_in</f>
        <v>-0.030793511438608</v>
      </c>
      <c r="J2128" s="28" t="n">
        <f aca="false">Sens!$I$2128+step_in</f>
        <v>-0.030793511438608</v>
      </c>
      <c r="K2128" s="28" t="n">
        <f aca="false">Sens!$J$2128+step_in</f>
        <v>-0.030793511438608</v>
      </c>
      <c r="L2128" s="28" t="n">
        <f aca="false">Sens!$K$2128</f>
        <v>-0.030793511438608</v>
      </c>
      <c r="M2128" s="28" t="n">
        <f aca="false">Sens!$L$2128</f>
        <v>-0.030793511438608</v>
      </c>
      <c r="N2128" s="28" t="n">
        <f aca="false">(Sens!$N$2129-Sens!$N$2125+Sens!$N$2127)/Sens!$N$2126</f>
        <v>-0.0217555774398852</v>
      </c>
      <c r="O2128" s="28" t="n">
        <f aca="false">(Sens!$O$2129-Sens!$O$2125+Sens!$O$2127)/Sens!$O$2126</f>
        <v>-0.0388331196788293</v>
      </c>
      <c r="P2128" s="8" t="s">
        <v>724</v>
      </c>
    </row>
    <row r="2129" customFormat="false" ht="17.15" hidden="false" customHeight="false" outlineLevel="0" collapsed="false">
      <c r="A2129" s="1" t="s">
        <v>730</v>
      </c>
      <c r="B2129" s="8" t="s">
        <v>86</v>
      </c>
      <c r="C2129" s="38" t="n">
        <f aca="false">Q!$D$23</f>
        <v>3.792</v>
      </c>
      <c r="D2129" s="38" t="n">
        <f aca="false">Q!$E$23</f>
        <v>4.75</v>
      </c>
      <c r="E2129" s="38" t="n">
        <f aca="false">Q!$P$23</f>
        <v>3.141</v>
      </c>
      <c r="F2129" s="38" t="n">
        <f aca="false">Sens!$F$2125+Sens!$F$2126*Sens!$F$2128-Sens!$F$2127</f>
        <v>2.76578492937785</v>
      </c>
      <c r="G2129" s="38" t="n">
        <f aca="false">Sens!$E$2129+Sens!$F$2129</f>
        <v>5.90678492937785</v>
      </c>
      <c r="H2129" s="38" t="n">
        <f aca="false">Sens!$H$2125+Sens!$H$2126*Sens!$H$2128-Sens!$H$2127</f>
        <v>6.37474508604821</v>
      </c>
      <c r="I2129" s="38" t="n">
        <f aca="false">Sens!$I$2125+Sens!$I$2126*Sens!$I$2128-Sens!$I$2127</f>
        <v>6.34341269424796</v>
      </c>
      <c r="J2129" s="38" t="n">
        <f aca="false">Sens!$J$2125+Sens!$J$2126*Sens!$J$2128-Sens!$J$2127</f>
        <v>6.13963989086422</v>
      </c>
      <c r="K2129" s="38" t="n">
        <f aca="false">Sens!$K$2125+Sens!$K$2126*Sens!$K$2128-Sens!$K$2127</f>
        <v>5.73870776417101</v>
      </c>
      <c r="L2129" s="38" t="n">
        <f aca="false">Sens!$L$2125+Sens!$L$2126*Sens!$L$2128-Sens!$L$2127</f>
        <v>6.03946571946254</v>
      </c>
      <c r="M2129" s="38" t="n">
        <f aca="false">Sens!$M$2125+Sens!$M$2126*Sens!$M$2128-Sens!$M$2127</f>
        <v>7.10695273932838</v>
      </c>
      <c r="N2129" s="38" t="n">
        <f aca="false">Q!$N$23</f>
        <v>2.511</v>
      </c>
      <c r="O2129" s="38" t="n">
        <f aca="false">Q!$O$23</f>
        <v>2.239</v>
      </c>
    </row>
    <row r="2130" customFormat="false" ht="17.15" hidden="false" customHeight="false" outlineLevel="0" collapsed="false">
      <c r="A2130" s="0" t="s">
        <v>731</v>
      </c>
      <c r="B2130" s="0" t="s">
        <v>86</v>
      </c>
      <c r="C2130" s="38" t="n">
        <f aca="false">Sens!$C$2070</f>
        <v>1.66511743506443</v>
      </c>
      <c r="D2130" s="38" t="n">
        <f aca="false">Sens!$D$2070</f>
        <v>5.56939056611403</v>
      </c>
      <c r="E2130" s="38" t="n">
        <f aca="false">Sens!$E$2070</f>
        <v>3.62625883709581</v>
      </c>
      <c r="F2130" s="38" t="n">
        <f aca="false">Sens!$F$2070</f>
        <v>8.72083326204314</v>
      </c>
      <c r="G2130" s="38" t="n">
        <f aca="false">Sens!$G$2070</f>
        <v>12.347092099139</v>
      </c>
      <c r="H2130" s="38" t="n">
        <f aca="false">Sens!$H$2070</f>
        <v>28.9574837567333</v>
      </c>
      <c r="I2130" s="38" t="n">
        <f aca="false">Sens!$I$2070</f>
        <v>42.7210131956547</v>
      </c>
      <c r="J2130" s="38" t="n">
        <f aca="false">Sens!$J$2070</f>
        <v>55.9587959363999</v>
      </c>
      <c r="K2130" s="38" t="n">
        <f aca="false">Sens!$K$2070</f>
        <v>64.3163257639145</v>
      </c>
      <c r="L2130" s="38" t="n">
        <f aca="false">Sens!$L$2070</f>
        <v>68.3338502887654</v>
      </c>
      <c r="M2130" s="38" t="n">
        <f aca="false">Sens!$M$2070</f>
        <v>68.6758998910631</v>
      </c>
      <c r="N2130" s="38" t="n">
        <f aca="false">Sens!$N$2070</f>
        <v>1.7682859145631</v>
      </c>
      <c r="O2130" s="38" t="n">
        <f aca="false">Sens!$O$2070</f>
        <v>3.80110465155092</v>
      </c>
    </row>
    <row r="2131" customFormat="false" ht="17.15" hidden="false" customHeight="false" outlineLevel="0" collapsed="false">
      <c r="A2131" s="0" t="s">
        <v>649</v>
      </c>
      <c r="B2131" s="0" t="s">
        <v>86</v>
      </c>
      <c r="C2131" s="38" t="n">
        <f aca="false">Sens!$C$2075</f>
        <v>38.1688825649356</v>
      </c>
      <c r="D2131" s="38" t="n">
        <f aca="false">Sens!$D$2075</f>
        <v>40.036609433886</v>
      </c>
      <c r="E2131" s="38" t="n">
        <f aca="false">Sens!$E$2075</f>
        <v>27.1557411629042</v>
      </c>
      <c r="F2131" s="38" t="n">
        <f aca="false">Sens!$F$2075</f>
        <v>25.2641276676091</v>
      </c>
      <c r="G2131" s="38" t="n">
        <f aca="false">Sens!$G$2075</f>
        <v>52.4198688305133</v>
      </c>
      <c r="H2131" s="38" t="n">
        <f aca="false">Sens!$H$2075</f>
        <v>56.6810043243638</v>
      </c>
      <c r="I2131" s="38" t="n">
        <f aca="false">Sens!$I$2075</f>
        <v>62.9302785537271</v>
      </c>
      <c r="J2131" s="38" t="n">
        <f aca="false">Sens!$J$2075</f>
        <v>68.9166287196128</v>
      </c>
      <c r="K2131" s="38" t="n">
        <f aca="false">Sens!$K$2075</f>
        <v>74.4299590171818</v>
      </c>
      <c r="L2131" s="38" t="n">
        <f aca="false">Sens!$L$2075</f>
        <v>80.3843557385563</v>
      </c>
      <c r="M2131" s="38" t="n">
        <f aca="false">Sens!$M$2075</f>
        <v>86.8151041976408</v>
      </c>
      <c r="N2131" s="38" t="n">
        <f aca="false">Sens!$N$2075</f>
        <v>19.9387140854369</v>
      </c>
      <c r="O2131" s="38" t="n">
        <f aca="false">Sens!$O$2075</f>
        <v>20.0978953484491</v>
      </c>
    </row>
    <row r="2132" customFormat="false" ht="17.15" hidden="false" customHeight="false" outlineLevel="0" collapsed="false">
      <c r="A2132" s="1" t="s">
        <v>732</v>
      </c>
      <c r="B2132" s="8" t="s">
        <v>86</v>
      </c>
      <c r="C2132" s="38" t="n">
        <f aca="false">Q!$D$24</f>
        <v>39.834</v>
      </c>
      <c r="D2132" s="38" t="n">
        <f aca="false">Q!$E$24</f>
        <v>45.606</v>
      </c>
      <c r="E2132" s="38" t="n">
        <f aca="false">Q!$P$24</f>
        <v>30.782</v>
      </c>
      <c r="F2132" s="38" t="n">
        <f aca="false">Sens!$F$2130+Sens!$F$2131</f>
        <v>33.9849609296522</v>
      </c>
      <c r="G2132" s="38" t="n">
        <f aca="false">Sens!$G$2130+Sens!$G$2131</f>
        <v>64.7669609296522</v>
      </c>
      <c r="H2132" s="38" t="n">
        <f aca="false">Sens!$H$2130+Sens!$H$2131</f>
        <v>85.638488081097</v>
      </c>
      <c r="I2132" s="38" t="n">
        <f aca="false">Sens!$I$2130+Sens!$I$2131</f>
        <v>105.651291749382</v>
      </c>
      <c r="J2132" s="38" t="n">
        <f aca="false">Sens!$J$2130+Sens!$J$2131</f>
        <v>124.875424656013</v>
      </c>
      <c r="K2132" s="38" t="n">
        <f aca="false">Sens!$K$2130+Sens!$K$2131</f>
        <v>138.746284781096</v>
      </c>
      <c r="L2132" s="38" t="n">
        <f aca="false">Sens!$L$2130+Sens!$L$2131</f>
        <v>148.718206027322</v>
      </c>
      <c r="M2132" s="38" t="n">
        <f aca="false">Sens!$M$2130+Sens!$M$2131</f>
        <v>155.491004088704</v>
      </c>
      <c r="N2132" s="38" t="n">
        <f aca="false">Q!$N$24</f>
        <v>21.707</v>
      </c>
      <c r="O2132" s="38" t="n">
        <f aca="false">Q!$O$24</f>
        <v>23.899</v>
      </c>
    </row>
    <row r="2133" customFormat="false" ht="17.15" hidden="false" customHeight="false" outlineLevel="0" collapsed="false">
      <c r="A2133" s="5" t="s">
        <v>733</v>
      </c>
      <c r="B2133" s="0" t="s">
        <v>86</v>
      </c>
      <c r="C2133" s="38" t="n">
        <f aca="false">Q!$D$26</f>
        <v>0</v>
      </c>
      <c r="D2133" s="38" t="n">
        <f aca="false">Q!$E$26</f>
        <v>0</v>
      </c>
      <c r="E2133" s="38" t="n">
        <f aca="false">Q!$P$26</f>
        <v>0</v>
      </c>
      <c r="F2133" s="39" t="n">
        <v>0</v>
      </c>
      <c r="G2133" s="38" t="n">
        <f aca="false">Sens!$E$2133+Sens!$F$2133</f>
        <v>0</v>
      </c>
      <c r="H2133" s="39" t="n">
        <v>0</v>
      </c>
      <c r="I2133" s="39" t="n">
        <v>0</v>
      </c>
      <c r="J2133" s="39" t="n">
        <v>0</v>
      </c>
      <c r="K2133" s="39" t="n">
        <v>0</v>
      </c>
      <c r="L2133" s="39" t="n">
        <v>0</v>
      </c>
      <c r="M2133" s="39" t="n">
        <v>0</v>
      </c>
      <c r="N2133" s="38" t="n">
        <f aca="false">Q!$N$26</f>
        <v>0</v>
      </c>
      <c r="O2133" s="38" t="n">
        <f aca="false">Q!$O$26</f>
        <v>0</v>
      </c>
    </row>
    <row r="2134" customFormat="false" ht="15" hidden="false" customHeight="false" outlineLevel="0" collapsed="false">
      <c r="A2134" s="3" t="s">
        <v>534</v>
      </c>
      <c r="B2134" s="8" t="s">
        <v>86</v>
      </c>
      <c r="C2134" s="38" t="n">
        <f aca="false">Q!$D$25</f>
        <v>68.593</v>
      </c>
      <c r="D2134" s="38" t="n">
        <f aca="false">Q!$E$25</f>
        <v>79.975</v>
      </c>
      <c r="E2134" s="38" t="n">
        <f aca="false">Q!$P$25</f>
        <v>51.313</v>
      </c>
      <c r="F2134" s="38" t="n">
        <f aca="false">Sens!$F$2124+Sens!$F$2129+Sens!$F$2132+Sens!$F$2133</f>
        <v>56.8384927524905</v>
      </c>
      <c r="G2134" s="38" t="n">
        <f aca="false">Sens!$G$2124+Sens!$G$2129+Sens!$G$2132+Sens!$G$2133</f>
        <v>108.15149275249</v>
      </c>
      <c r="H2134" s="38" t="n">
        <f aca="false">Sens!$H$2124+Sens!$H$2129+Sens!$H$2132+Sens!$H$2133</f>
        <v>134.119886683946</v>
      </c>
      <c r="I2134" s="38" t="n">
        <f aca="false">Sens!$I$2124+Sens!$I$2129+Sens!$I$2132+Sens!$I$2133</f>
        <v>157.557275649831</v>
      </c>
      <c r="J2134" s="38" t="n">
        <f aca="false">Sens!$J$2124+Sens!$J$2129+Sens!$J$2132+Sens!$J$2133</f>
        <v>179.634289106224</v>
      </c>
      <c r="K2134" s="38" t="n">
        <f aca="false">Sens!$K$2124+Sens!$K$2129+Sens!$K$2132+Sens!$K$2133</f>
        <v>195.605002584222</v>
      </c>
      <c r="L2134" s="38" t="n">
        <f aca="false">Sens!$L$2124+Sens!$L$2129+Sens!$L$2132+Sens!$L$2133</f>
        <v>208.770895573298</v>
      </c>
      <c r="M2134" s="38" t="n">
        <f aca="false">Sens!$M$2124+Sens!$M$2129+Sens!$M$2132+Sens!$M$2133</f>
        <v>221.633622382999</v>
      </c>
      <c r="N2134" s="38" t="n">
        <f aca="false">Q!$N$25</f>
        <v>37.576</v>
      </c>
      <c r="O2134" s="38" t="n">
        <f aca="false">Q!$O$25</f>
        <v>42.399</v>
      </c>
    </row>
    <row r="2135" customFormat="false" ht="17.15" hidden="false" customHeight="false" outlineLevel="0" collapsed="false">
      <c r="A2135" s="24" t="s">
        <v>764</v>
      </c>
      <c r="B2135" s="25" t="s">
        <v>86</v>
      </c>
      <c r="C2135" s="41" t="n">
        <f aca="false">Sens!$C$2124+Sens!$C$2129+Sens!$C$2132+Sens!$C$2133-Sens!$C$2134</f>
        <v>0</v>
      </c>
      <c r="D2135" s="41" t="n">
        <f aca="false">Sens!$D$2124+Sens!$D$2129+Sens!$D$2132+Sens!$D$2133-Sens!$D$2134</f>
        <v>0</v>
      </c>
      <c r="E2135" s="41" t="n">
        <f aca="false">Sens!$E$2124+Sens!$E$2129+Sens!$E$2132+Sens!$E$2133-Sens!$E$2134</f>
        <v>0</v>
      </c>
      <c r="F2135" s="41" t="n">
        <f aca="false">Sens!$F$2124+Sens!$F$2129+Sens!$F$2132+Sens!$F$2133-Sens!$F$2134</f>
        <v>0</v>
      </c>
      <c r="G2135" s="41" t="n">
        <f aca="false">Sens!$G$2124+Sens!$G$2129+Sens!$G$2132+Sens!$G$2133-Sens!$G$2134</f>
        <v>0</v>
      </c>
      <c r="H2135" s="41" t="n">
        <f aca="false">Sens!$H$2124+Sens!$H$2129+Sens!$H$2132+Sens!$H$2133-Sens!$H$2134</f>
        <v>0</v>
      </c>
      <c r="I2135" s="41" t="n">
        <f aca="false">Sens!$I$2124+Sens!$I$2129+Sens!$I$2132+Sens!$I$2133-Sens!$I$2134</f>
        <v>0</v>
      </c>
      <c r="J2135" s="41" t="n">
        <f aca="false">Sens!$J$2124+Sens!$J$2129+Sens!$J$2132+Sens!$J$2133-Sens!$J$2134</f>
        <v>0</v>
      </c>
      <c r="K2135" s="41" t="n">
        <f aca="false">Sens!$K$2124+Sens!$K$2129+Sens!$K$2132+Sens!$K$2133-Sens!$K$2134</f>
        <v>0</v>
      </c>
      <c r="L2135" s="41" t="n">
        <f aca="false">Sens!$L$2124+Sens!$L$2129+Sens!$L$2132+Sens!$L$2133-Sens!$L$2134</f>
        <v>0</v>
      </c>
      <c r="M2135" s="41" t="n">
        <f aca="false">Sens!$M$2124+Sens!$M$2129+Sens!$M$2132+Sens!$M$2133-Sens!$M$2134</f>
        <v>0</v>
      </c>
      <c r="N2135" s="41" t="n">
        <f aca="false">Sens!$N$2124+Sens!$N$2129+Sens!$N$2132+Sens!$N$2133-Sens!$N$2134</f>
        <v>0</v>
      </c>
      <c r="O2135" s="41" t="n">
        <f aca="false">Sens!$O$2124+Sens!$O$2129+Sens!$O$2132+Sens!$O$2133-Sens!$O$2134</f>
        <v>0</v>
      </c>
    </row>
    <row r="2136" customFormat="false" ht="17.15" hidden="false" customHeight="false" outlineLevel="0" collapsed="false">
      <c r="A2136" s="5" t="s">
        <v>735</v>
      </c>
      <c r="B2136" s="0" t="s">
        <v>86</v>
      </c>
      <c r="C2136" s="38" t="n">
        <f aca="false">Sens!$C$2072</f>
        <v>0</v>
      </c>
      <c r="D2136" s="38" t="n">
        <f aca="false">Sens!$D$2072</f>
        <v>0</v>
      </c>
      <c r="E2136" s="38" t="n">
        <f aca="false">Sens!$E$2072</f>
        <v>0</v>
      </c>
      <c r="F2136" s="38" t="n">
        <f aca="false">Sens!$F$2072</f>
        <v>3.77122048175818</v>
      </c>
      <c r="G2136" s="38" t="n">
        <f aca="false">Sens!$G$2072</f>
        <v>3.77122048175818</v>
      </c>
      <c r="H2136" s="38" t="n">
        <f aca="false">Sens!$H$2072</f>
        <v>15.1635543609893</v>
      </c>
      <c r="I2136" s="38" t="n">
        <f aca="false">Sens!$I$2072</f>
        <v>25.5818843619889</v>
      </c>
      <c r="J2136" s="38" t="n">
        <f aca="false">Sens!$J$2072</f>
        <v>36.0465624179122</v>
      </c>
      <c r="K2136" s="38" t="n">
        <f aca="false">Sens!$K$2072</f>
        <v>44.9741164026038</v>
      </c>
      <c r="L2136" s="38" t="n">
        <f aca="false">Sens!$L$2072</f>
        <v>50.8413488057813</v>
      </c>
      <c r="M2136" s="38" t="n">
        <f aca="false">Sens!$M$2072</f>
        <v>53.6407214274315</v>
      </c>
      <c r="N2136" s="38" t="n">
        <f aca="false">Sens!$N$2072</f>
        <v>0</v>
      </c>
      <c r="O2136" s="38" t="n">
        <f aca="false">Sens!$O$2072</f>
        <v>0</v>
      </c>
      <c r="P2136" s="5" t="s">
        <v>736</v>
      </c>
    </row>
    <row r="2137" customFormat="false" ht="17.15" hidden="false" customHeight="false" outlineLevel="0" collapsed="false">
      <c r="A2137" s="5" t="s">
        <v>737</v>
      </c>
      <c r="B2137" s="0" t="s">
        <v>86</v>
      </c>
      <c r="C2137" s="38" t="n">
        <f aca="false">Sens!$C$2134+Sens!$C$2136</f>
        <v>68.593</v>
      </c>
      <c r="D2137" s="38" t="n">
        <f aca="false">Sens!$D$2134+Sens!$D$2136</f>
        <v>79.975</v>
      </c>
      <c r="E2137" s="38" t="n">
        <f aca="false">Sens!$E$2134+Sens!$E$2136</f>
        <v>51.313</v>
      </c>
      <c r="F2137" s="38" t="n">
        <f aca="false">Sens!$F$2134+Sens!$F$2136</f>
        <v>60.6097132342486</v>
      </c>
      <c r="G2137" s="38" t="n">
        <f aca="false">Sens!$G$2134+Sens!$G$2136</f>
        <v>111.922713234249</v>
      </c>
      <c r="H2137" s="38" t="n">
        <f aca="false">Sens!$H$2134+Sens!$H$2136</f>
        <v>149.283441044935</v>
      </c>
      <c r="I2137" s="38" t="n">
        <f aca="false">Sens!$I$2134+Sens!$I$2136</f>
        <v>183.13916001182</v>
      </c>
      <c r="J2137" s="38" t="n">
        <f aca="false">Sens!$J$2134+Sens!$J$2136</f>
        <v>215.680851524136</v>
      </c>
      <c r="K2137" s="38" t="n">
        <f aca="false">Sens!$K$2134+Sens!$K$2136</f>
        <v>240.579118986826</v>
      </c>
      <c r="L2137" s="38" t="n">
        <f aca="false">Sens!$L$2134+Sens!$L$2136</f>
        <v>259.612244379079</v>
      </c>
      <c r="M2137" s="38" t="n">
        <f aca="false">Sens!$M$2134+Sens!$M$2136</f>
        <v>275.274343810431</v>
      </c>
      <c r="N2137" s="38" t="n">
        <f aca="false">Sens!$N$2134+Sens!$N$2136</f>
        <v>37.576</v>
      </c>
      <c r="O2137" s="38" t="n">
        <f aca="false">Sens!$O$2134+Sens!$O$2136</f>
        <v>42.399</v>
      </c>
    </row>
    <row r="2138" customFormat="false" ht="17.15" hidden="false" customHeight="false" outlineLevel="0" collapsed="false">
      <c r="A2138" s="0" t="s">
        <v>738</v>
      </c>
      <c r="B2138" s="0" t="s">
        <v>52</v>
      </c>
      <c r="C2138" s="13" t="n">
        <f aca="false">Sens!$C$2124/Sens!$C$2109</f>
        <v>0.0644314665661928</v>
      </c>
      <c r="D2138" s="13" t="n">
        <f aca="false">Sens!$D$2124/Sens!$D$2109</f>
        <v>0.0694784250712518</v>
      </c>
      <c r="E2138" s="13" t="n">
        <f aca="false">Sens!$E$2124/Sens!$E$2109</f>
        <v>0.0789306463326071</v>
      </c>
      <c r="F2138" s="13" t="n">
        <f aca="false">Sens!$F$2124/Sens!$F$2109</f>
        <v>0.0801458867222298</v>
      </c>
      <c r="G2138" s="13" t="n">
        <f aca="false">Sens!$G$2124/Sens!$G$2109</f>
        <v>0.0795773843198634</v>
      </c>
      <c r="H2138" s="13" t="n">
        <f aca="false">Sens!$H$2124/Sens!$H$2109</f>
        <v>0.0807589262692753</v>
      </c>
      <c r="I2138" s="13" t="n">
        <f aca="false">Sens!$I$2124/Sens!$I$2109</f>
        <v>0.0799141658307865</v>
      </c>
      <c r="J2138" s="13" t="n">
        <f aca="false">Sens!$J$2124/Sens!$J$2109</f>
        <v>0.0790053642796968</v>
      </c>
      <c r="K2138" s="13" t="n">
        <f aca="false">Sens!$K$2124/Sens!$K$2109</f>
        <v>0.0780210136084611</v>
      </c>
      <c r="L2138" s="13" t="n">
        <f aca="false">Sens!$L$2124/Sens!$L$2109</f>
        <v>0.0774041627634927</v>
      </c>
      <c r="M2138" s="13" t="n">
        <f aca="false">Sens!$M$2124/Sens!$M$2109</f>
        <v>0.0794131273658502</v>
      </c>
      <c r="N2138" s="13" t="n">
        <f aca="false">Sens!$N$2124/Sens!$N$2109</f>
        <v>0.069228576611127</v>
      </c>
      <c r="O2138" s="13" t="n">
        <f aca="false">Sens!$O$2124/Sens!$O$2109</f>
        <v>0.069685022498393</v>
      </c>
    </row>
    <row r="2139" customFormat="false" ht="17.15" hidden="false" customHeight="false" outlineLevel="0" collapsed="false">
      <c r="A2139" s="0" t="s">
        <v>739</v>
      </c>
      <c r="B2139" s="0" t="s">
        <v>52</v>
      </c>
      <c r="C2139" s="13" t="n">
        <f aca="false">Sens!$C$2129/Sens!$C$2110</f>
        <v>0.026534925055631</v>
      </c>
      <c r="D2139" s="13" t="n">
        <f aca="false">Sens!$D$2129/Sens!$D$2110</f>
        <v>0.0293401855535103</v>
      </c>
      <c r="E2139" s="13" t="n">
        <f aca="false">Sens!$E$2129/Sens!$E$2110</f>
        <v>0.03831141902276</v>
      </c>
      <c r="F2139" s="13" t="n">
        <f aca="false">Sens!$F$2129/Sens!$F$2110</f>
        <v>0.028105151730864</v>
      </c>
      <c r="G2139" s="13" t="n">
        <f aca="false">Sens!$G$2129/Sens!$G$2110</f>
        <v>0.0327437143137712</v>
      </c>
      <c r="H2139" s="13" t="n">
        <f aca="false">Sens!$H$2129/Sens!$H$2110</f>
        <v>0.0319200255701808</v>
      </c>
      <c r="I2139" s="13" t="n">
        <f aca="false">Sens!$I$2129/Sens!$I$2110</f>
        <v>0.0290468546365913</v>
      </c>
      <c r="J2139" s="13" t="n">
        <f aca="false">Sens!$J$2129/Sens!$J$2110</f>
        <v>0.0260466605021239</v>
      </c>
      <c r="K2139" s="13" t="n">
        <f aca="false">Sens!$K$2129/Sens!$K$2110</f>
        <v>0.0228662720093558</v>
      </c>
      <c r="L2139" s="13" t="n">
        <f aca="false">Sens!$L$2129/Sens!$L$2110</f>
        <v>0.0225955718494681</v>
      </c>
      <c r="M2139" s="13" t="n">
        <f aca="false">Sens!$M$2129/Sens!$M$2110</f>
        <v>0.0249586942706603</v>
      </c>
      <c r="N2139" s="13" t="n">
        <f aca="false">Sens!$N$2129/Sens!$N$2110</f>
        <v>0.0357315650169337</v>
      </c>
      <c r="O2139" s="13" t="n">
        <f aca="false">Sens!$O$2129/Sens!$O$2110</f>
        <v>0.0244378956559703</v>
      </c>
    </row>
    <row r="2140" customFormat="false" ht="17.15" hidden="false" customHeight="false" outlineLevel="0" collapsed="false">
      <c r="A2140" s="14" t="s">
        <v>740</v>
      </c>
      <c r="B2140" s="14" t="s">
        <v>52</v>
      </c>
      <c r="C2140" s="17" t="n">
        <f aca="false">Sens!$C$2132/Sens!$C$2111</f>
        <v>0.370355907620217</v>
      </c>
      <c r="D2140" s="17" t="n">
        <f aca="false">Sens!$D$2132/Sens!$D$2111</f>
        <v>0.35429015342785</v>
      </c>
      <c r="E2140" s="17" t="n">
        <f aca="false">Sens!$E$2132/Sens!$E$2111</f>
        <v>0.385647527531039</v>
      </c>
      <c r="F2140" s="17" t="n">
        <f aca="false">Sens!$F$2132/Sens!$F$2111</f>
        <v>0.391835464906305</v>
      </c>
      <c r="G2140" s="17" t="n">
        <f aca="false">Sens!$G$2132/Sens!$G$2111</f>
        <v>0.388869930035199</v>
      </c>
      <c r="H2140" s="17" t="n">
        <f aca="false">Sens!$H$2132/Sens!$H$2111</f>
        <v>0.387183918009971</v>
      </c>
      <c r="I2140" s="17" t="n">
        <f aca="false">Sens!$I$2132/Sens!$I$2111</f>
        <v>0.376957890537695</v>
      </c>
      <c r="J2140" s="17" t="n">
        <f aca="false">Sens!$J$2132/Sens!$J$2111</f>
        <v>0.368580508485105</v>
      </c>
      <c r="K2140" s="17" t="n">
        <f aca="false">Sens!$K$2132/Sens!$K$2111</f>
        <v>0.355863998748849</v>
      </c>
      <c r="L2140" s="17" t="n">
        <f aca="false">Sens!$L$2132/Sens!$L$2111</f>
        <v>0.345791405426756</v>
      </c>
      <c r="M2140" s="17" t="n">
        <f aca="false">Sens!$M$2132/Sens!$M$2111</f>
        <v>0.338423971472731</v>
      </c>
      <c r="N2140" s="17" t="n">
        <f aca="false">Sens!$N$2132/Sens!$N$2111</f>
        <v>0.360941137346192</v>
      </c>
      <c r="O2140" s="17" t="n">
        <f aca="false">Sens!$O$2132/Sens!$O$2111</f>
        <v>0.348458117664212</v>
      </c>
    </row>
    <row r="2141" customFormat="false" ht="17.15" hidden="false" customHeight="false" outlineLevel="0" collapsed="false">
      <c r="A2141" s="0" t="s">
        <v>741</v>
      </c>
      <c r="B2141" s="0" t="s">
        <v>52</v>
      </c>
      <c r="C2141" s="13" t="n">
        <f aca="false">Sens!$C$2130/Sens!$C$2112</f>
        <v>0.717412146448287</v>
      </c>
      <c r="D2141" s="13" t="n">
        <f aca="false">Sens!$D$2130/Sens!$D$2112</f>
        <v>0.639882546228553</v>
      </c>
      <c r="E2141" s="13" t="n">
        <f aca="false">Sens!$E$2130/Sens!$E$2112</f>
        <v>0.42609969850903</v>
      </c>
      <c r="F2141" s="13" t="n">
        <f aca="false">Sens!$F$2130/Sens!$F$2112</f>
        <v>0.582809632408142</v>
      </c>
      <c r="G2141" s="13" t="n">
        <f aca="false">Sens!$G$2130/Sens!$G$2112</f>
        <v>0.525994902265418</v>
      </c>
      <c r="H2141" s="13" t="n">
        <f aca="false">Sens!$H$2130/Sens!$H$2112</f>
        <v>0.481294025499685</v>
      </c>
      <c r="I2141" s="13" t="n">
        <f aca="false">Sens!$I$2130/Sens!$I$2112</f>
        <v>0.420881342838875</v>
      </c>
      <c r="J2141" s="13" t="n">
        <f aca="false">Sens!$J$2130/Sens!$J$2112</f>
        <v>0.391250736851336</v>
      </c>
      <c r="K2141" s="13" t="n">
        <f aca="false">Sens!$K$2130/Sens!$K$2112</f>
        <v>0.360420303816083</v>
      </c>
      <c r="L2141" s="13" t="n">
        <f aca="false">Sens!$L$2130/Sens!$L$2112</f>
        <v>0.338742345157752</v>
      </c>
      <c r="M2141" s="13" t="n">
        <f aca="false">Sens!$M$2130/Sens!$M$2112</f>
        <v>0.322671353273541</v>
      </c>
      <c r="N2141" s="13" t="n">
        <f aca="false">Sens!$N$2130/Sens!$N$2112</f>
        <v>0.580466328811685</v>
      </c>
      <c r="O2141" s="13" t="n">
        <f aca="false">Sens!$O$2130/Sens!$O$2112</f>
        <v>0.671875894068405</v>
      </c>
    </row>
    <row r="2142" customFormat="false" ht="15" hidden="false" customHeight="false" outlineLevel="0" collapsed="false">
      <c r="A2142" s="5" t="s">
        <v>742</v>
      </c>
      <c r="B2142" s="0" t="s">
        <v>52</v>
      </c>
      <c r="C2142" s="13" t="n">
        <f aca="false">Sens!$C$2134/Sens!$C$2114</f>
        <v>0.107519448742004</v>
      </c>
      <c r="D2142" s="13" t="n">
        <f aca="false">Sens!$D$2134/Sens!$D$2114</f>
        <v>0.111552967957552</v>
      </c>
      <c r="E2142" s="13" t="n">
        <f aca="false">Sens!$E$2134/Sens!$E$2114</f>
        <v>0.13428328426562</v>
      </c>
      <c r="F2142" s="13" t="n">
        <f aca="false">Sens!$F$2134/Sens!$F$2114</f>
        <v>0.130429036608284</v>
      </c>
      <c r="G2142" s="13" t="n">
        <f aca="false">Sens!$G$2134/Sens!$G$2114</f>
        <v>0.132229737949177</v>
      </c>
      <c r="H2142" s="13" t="n">
        <f aca="false">Sens!$H$2134/Sens!$H$2114</f>
        <v>0.142335512786066</v>
      </c>
      <c r="I2142" s="13" t="n">
        <f aca="false">Sens!$I$2134/Sens!$I$2114</f>
        <v>0.147414722628947</v>
      </c>
      <c r="J2142" s="13" t="n">
        <f aca="false">Sens!$J$2134/Sens!$J$2114</f>
        <v>0.15096468396061</v>
      </c>
      <c r="K2142" s="13" t="n">
        <f aca="false">Sens!$K$2134/Sens!$K$2114</f>
        <v>0.150922547612609</v>
      </c>
      <c r="L2142" s="13" t="n">
        <f aca="false">Sens!$L$2134/Sens!$L$2114</f>
        <v>0.149637913350715</v>
      </c>
      <c r="M2142" s="13" t="n">
        <f aca="false">Sens!$M$2134/Sens!$M$2114</f>
        <v>0.148986962218425</v>
      </c>
      <c r="N2142" s="13" t="n">
        <f aca="false">Sens!$N$2134/Sens!$N$2114</f>
        <v>0.116201614873411</v>
      </c>
      <c r="O2142" s="13" t="n">
        <f aca="false">Sens!$O$2134/Sens!$O$2114</f>
        <v>0.107733353660861</v>
      </c>
    </row>
    <row r="2143" customFormat="false" ht="17.15" hidden="false" customHeight="false" outlineLevel="0" collapsed="false">
      <c r="A2143" s="1" t="s">
        <v>743</v>
      </c>
    </row>
    <row r="2144" customFormat="false" ht="17.15" hidden="false" customHeight="false" outlineLevel="0" collapsed="false">
      <c r="A2144" s="5" t="s">
        <v>744</v>
      </c>
      <c r="B2144" s="0" t="s">
        <v>52</v>
      </c>
      <c r="D2144" s="28" t="n">
        <f aca="false">(Q!$E$29+Q!$E$30-(1-ext_sh)*Sens!$D$2066)/Sens!$D$2020</f>
        <v>0.0341862737396221</v>
      </c>
    </row>
    <row r="2145" customFormat="false" ht="17.15" hidden="false" customHeight="false" outlineLevel="0" collapsed="false">
      <c r="A2145" s="0" t="s">
        <v>538</v>
      </c>
      <c r="B2145" s="0" t="s">
        <v>86</v>
      </c>
      <c r="C2145" s="38" t="n">
        <f aca="false">Q!$D$29</f>
        <v>14.285</v>
      </c>
      <c r="D2145" s="38" t="n">
        <f aca="false">Q!$E$29</f>
        <v>15.503</v>
      </c>
      <c r="E2145" s="38" t="n">
        <f aca="false">Q!$P$29</f>
        <v>8.78</v>
      </c>
      <c r="F2145" s="38" t="n">
        <f aca="false">(Sens!$D$2144*Sens!$F$2020+(1-ext_sh)*Sens!$F$2066)*Sens!$F$2021</f>
        <v>9.10685039513597</v>
      </c>
      <c r="G2145" s="38" t="n">
        <f aca="false">Sens!$E$2145+Sens!$F$2145</f>
        <v>17.886850395136</v>
      </c>
      <c r="H2145" s="38" t="n">
        <f aca="false">(Sens!$D$2144*Sens!$H$2020+(1-ext_sh)*Sens!$H$2066)*Sens!$H$2021</f>
        <v>21.1791605397634</v>
      </c>
      <c r="I2145" s="38" t="n">
        <f aca="false">(Sens!$D$2144*Sens!$I$2020+(1-ext_sh)*Sens!$I$2066)*Sens!$I$2021</f>
        <v>26.3298461404554</v>
      </c>
      <c r="J2145" s="38" t="n">
        <f aca="false">(Sens!$D$2144*Sens!$J$2020+(1-ext_sh)*Sens!$J$2066)*Sens!$J$2021</f>
        <v>31.4860643461633</v>
      </c>
      <c r="K2145" s="38" t="n">
        <f aca="false">(Sens!$D$2144*Sens!$K$2020+(1-ext_sh)*Sens!$K$2066)*Sens!$K$2021</f>
        <v>36.4566243813781</v>
      </c>
      <c r="L2145" s="38" t="n">
        <f aca="false">(Sens!$D$2144*Sens!$L$2020+(1-ext_sh)*Sens!$L$2066)*Sens!$L$2021</f>
        <v>40.5516508218119</v>
      </c>
      <c r="M2145" s="38" t="n">
        <f aca="false">(Sens!$D$2144*Sens!$M$2020+(1-ext_sh)*Sens!$M$2066)*Sens!$M$2021</f>
        <v>43.6532237913324</v>
      </c>
      <c r="N2145" s="38" t="n">
        <f aca="false">Q!$N$29</f>
        <v>7.272</v>
      </c>
      <c r="O2145" s="38" t="n">
        <f aca="false">Q!$O$29</f>
        <v>8.231</v>
      </c>
    </row>
    <row r="2146" customFormat="false" ht="17.15" hidden="false" customHeight="false" outlineLevel="0" collapsed="false">
      <c r="A2146" s="0" t="s">
        <v>540</v>
      </c>
      <c r="B2146" s="0" t="s">
        <v>86</v>
      </c>
      <c r="C2146" s="38" t="n">
        <f aca="false">Q!$D$30</f>
        <v>4.462</v>
      </c>
      <c r="D2146" s="38" t="n">
        <f aca="false">Q!$E$30</f>
        <v>4.907</v>
      </c>
      <c r="E2146" s="38" t="n">
        <f aca="false">Q!$P$30</f>
        <v>2.57</v>
      </c>
      <c r="F2146" s="38" t="n">
        <f aca="false">(Sens!$D$2144*Sens!$F$2020+(1-ext_sh)*Sens!$F$2066)*(1-Sens!$F$2021)</f>
        <v>3.57561445554899</v>
      </c>
      <c r="G2146" s="38" t="n">
        <f aca="false">Sens!$E$2146+Sens!$F$2146</f>
        <v>6.14561445554899</v>
      </c>
      <c r="H2146" s="38" t="n">
        <f aca="false">(Sens!$D$2144*Sens!$H$2020+(1-ext_sh)*Sens!$H$2066)*(1-Sens!$H$2021)</f>
        <v>8.11237735553275</v>
      </c>
      <c r="I2146" s="38" t="n">
        <f aca="false">(Sens!$D$2144*Sens!$I$2020+(1-ext_sh)*Sens!$I$2066)*(1-Sens!$I$2021)</f>
        <v>10.0852744944006</v>
      </c>
      <c r="J2146" s="38" t="n">
        <f aca="false">(Sens!$D$2144*Sens!$J$2020+(1-ext_sh)*Sens!$J$2066)*(1-Sens!$J$2021)</f>
        <v>12.0602908192279</v>
      </c>
      <c r="K2146" s="38" t="n">
        <f aca="false">(Sens!$D$2144*Sens!$K$2020+(1-ext_sh)*Sens!$K$2066)*(1-Sens!$K$2021)</f>
        <v>13.9641934124533</v>
      </c>
      <c r="L2146" s="38" t="n">
        <f aca="false">(Sens!$D$2144*Sens!$L$2020+(1-ext_sh)*Sens!$L$2066)*(1-Sens!$L$2021)</f>
        <v>15.5327352677035</v>
      </c>
      <c r="M2146" s="38" t="n">
        <f aca="false">(Sens!$D$2144*Sens!$M$2020+(1-ext_sh)*Sens!$M$2066)*(1-Sens!$M$2021)</f>
        <v>16.7207488472423</v>
      </c>
      <c r="N2146" s="38" t="n">
        <f aca="false">Q!$N$30</f>
        <v>2.316</v>
      </c>
      <c r="O2146" s="38" t="n">
        <f aca="false">Q!$O$30</f>
        <v>2.591</v>
      </c>
    </row>
    <row r="2147" customFormat="false" ht="17.15" hidden="false" customHeight="false" outlineLevel="0" collapsed="false">
      <c r="A2147" s="0" t="s">
        <v>541</v>
      </c>
      <c r="B2147" s="0" t="s">
        <v>86</v>
      </c>
      <c r="C2147" s="38" t="n">
        <f aca="false">Sens!$C$2078</f>
        <v>13.32</v>
      </c>
      <c r="D2147" s="38" t="n">
        <f aca="false">Sens!$D$2078</f>
        <v>21.45</v>
      </c>
      <c r="E2147" s="38" t="n">
        <f aca="false">Sens!$E$2078</f>
        <v>15.353</v>
      </c>
      <c r="F2147" s="38" t="n">
        <f aca="false">Sens!$F$2078</f>
        <v>15.1041619302744</v>
      </c>
      <c r="G2147" s="38" t="n">
        <f aca="false">Sens!$G$2078</f>
        <v>30.4571619302744</v>
      </c>
      <c r="H2147" s="38" t="n">
        <f aca="false">Sens!$H$2078</f>
        <v>45.7175636432524</v>
      </c>
      <c r="I2147" s="38" t="n">
        <f aca="false">Sens!$I$2078</f>
        <v>67.9850791616027</v>
      </c>
      <c r="J2147" s="38" t="n">
        <f aca="false">Sens!$J$2078</f>
        <v>90.8209161685714</v>
      </c>
      <c r="K2147" s="38" t="n">
        <f aca="false">Sens!$K$2078</f>
        <v>113.43011261995</v>
      </c>
      <c r="L2147" s="38" t="n">
        <f aca="false">Sens!$L$2078</f>
        <v>130.880784912305</v>
      </c>
      <c r="M2147" s="38" t="n">
        <f aca="false">Sens!$M$2078</f>
        <v>142.497895417203</v>
      </c>
      <c r="N2147" s="38" t="n">
        <f aca="false">Sens!$N$2078</f>
        <v>9.234</v>
      </c>
      <c r="O2147" s="38" t="n">
        <f aca="false">Sens!$O$2078</f>
        <v>12.216</v>
      </c>
    </row>
    <row r="2148" customFormat="false" ht="17.15" hidden="false" customHeight="false" outlineLevel="0" collapsed="false">
      <c r="A2148" s="5" t="s">
        <v>745</v>
      </c>
      <c r="B2148" s="0" t="s">
        <v>86</v>
      </c>
      <c r="C2148" s="38" t="n">
        <f aca="false">Sens!$C$2145+Sens!$C$2146+Sens!$C$2147</f>
        <v>32.067</v>
      </c>
      <c r="D2148" s="38" t="n">
        <f aca="false">Sens!$D$2145+Sens!$D$2146+Sens!$D$2147</f>
        <v>41.86</v>
      </c>
      <c r="E2148" s="38" t="n">
        <f aca="false">Sens!$E$2145+Sens!$E$2146+Sens!$E$2147</f>
        <v>26.703</v>
      </c>
      <c r="F2148" s="38" t="n">
        <f aca="false">Sens!$F$2145+Sens!$F$2146+Sens!$F$2147</f>
        <v>27.7866267809593</v>
      </c>
      <c r="G2148" s="38" t="n">
        <f aca="false">Sens!$G$2145+Sens!$G$2146+Sens!$G$2147</f>
        <v>54.4896267809593</v>
      </c>
      <c r="H2148" s="38" t="n">
        <f aca="false">Sens!$H$2145+Sens!$H$2146+Sens!$H$2147</f>
        <v>75.0091015385486</v>
      </c>
      <c r="I2148" s="38" t="n">
        <f aca="false">Sens!$I$2145+Sens!$I$2146+Sens!$I$2147</f>
        <v>104.400199796459</v>
      </c>
      <c r="J2148" s="38" t="n">
        <f aca="false">Sens!$J$2145+Sens!$J$2146+Sens!$J$2147</f>
        <v>134.367271333963</v>
      </c>
      <c r="K2148" s="38" t="n">
        <f aca="false">Sens!$K$2145+Sens!$K$2146+Sens!$K$2147</f>
        <v>163.850930413781</v>
      </c>
      <c r="L2148" s="38" t="n">
        <f aca="false">Sens!$L$2145+Sens!$L$2146+Sens!$L$2147</f>
        <v>186.965171001821</v>
      </c>
      <c r="M2148" s="38" t="n">
        <f aca="false">Sens!$M$2145+Sens!$M$2146+Sens!$M$2147</f>
        <v>202.871868055778</v>
      </c>
      <c r="N2148" s="38" t="n">
        <f aca="false">Sens!$N$2145+Sens!$N$2146+Sens!$N$2147</f>
        <v>18.822</v>
      </c>
      <c r="O2148" s="38" t="n">
        <f aca="false">Sens!$O$2145+Sens!$O$2146+Sens!$O$2147</f>
        <v>23.038</v>
      </c>
    </row>
    <row r="2149" customFormat="false" ht="17.15" hidden="false" customHeight="false" outlineLevel="0" collapsed="false">
      <c r="A2149" s="0" t="s">
        <v>746</v>
      </c>
      <c r="B2149" s="0" t="s">
        <v>86</v>
      </c>
      <c r="C2149" s="38" t="n">
        <f aca="false">Sens!$C$2120+Sens!$C$2125</f>
        <v>28.107</v>
      </c>
      <c r="D2149" s="38" t="n">
        <f aca="false">Sens!$D$2120+Sens!$D$2125</f>
        <v>34.3175</v>
      </c>
      <c r="E2149" s="38" t="n">
        <f aca="false">Sens!$E$2120+Sens!$E$2125</f>
        <v>18.526</v>
      </c>
      <c r="F2149" s="38" t="n">
        <f aca="false">Sens!$F$2120+Sens!$F$2125</f>
        <v>23.0786109972074</v>
      </c>
      <c r="G2149" s="38" t="n">
        <f aca="false">Sens!$G$2120+Sens!$G$2125</f>
        <v>41.6046109972074</v>
      </c>
      <c r="H2149" s="38" t="n">
        <f aca="false">Sens!$H$2120+Sens!$H$2125</f>
        <v>49.9484611939488</v>
      </c>
      <c r="I2149" s="38" t="n">
        <f aca="false">Sens!$I$2120+Sens!$I$2125</f>
        <v>58.2915555477481</v>
      </c>
      <c r="J2149" s="38" t="n">
        <f aca="false">Sens!$J$2120+Sens!$J$2125</f>
        <v>66.0744709709759</v>
      </c>
      <c r="K2149" s="38" t="n">
        <f aca="false">Sens!$K$2120+Sens!$K$2125</f>
        <v>72.6819180680735</v>
      </c>
      <c r="L2149" s="38" t="n">
        <f aca="false">Sens!$L$2120+Sens!$L$2125</f>
        <v>79.9501098748808</v>
      </c>
      <c r="M2149" s="38" t="n">
        <f aca="false">Sens!$M$2120+Sens!$M$2125</f>
        <v>87.9451208623689</v>
      </c>
      <c r="N2149" s="38" t="n">
        <f aca="false">Sens!$N$2120+Sens!$N$2125</f>
        <v>14.8075</v>
      </c>
      <c r="O2149" s="38" t="n">
        <f aca="false">Sens!$O$2120+Sens!$O$2125</f>
        <v>19.51</v>
      </c>
    </row>
    <row r="2150" customFormat="false" ht="17.15" hidden="false" customHeight="false" outlineLevel="0" collapsed="false">
      <c r="A2150" s="0" t="s">
        <v>747</v>
      </c>
      <c r="B2150" s="0" t="s">
        <v>86</v>
      </c>
      <c r="C2150" s="38" t="n">
        <f aca="false">Sens!$C$2124+Sens!$C$2129+Sens!$C$2145+Sens!$C$2146-Sens!$C$2149</f>
        <v>19.399</v>
      </c>
      <c r="D2150" s="38" t="n">
        <f aca="false">Sens!$D$2124+Sens!$D$2129+Sens!$D$2145+Sens!$D$2146-Sens!$D$2149</f>
        <v>20.4615</v>
      </c>
      <c r="E2150" s="38" t="n">
        <f aca="false">Sens!$E$2124+Sens!$E$2129+Sens!$E$2145+Sens!$E$2146-Sens!$E$2149</f>
        <v>13.355</v>
      </c>
      <c r="F2150" s="38" t="n">
        <f aca="false">Sens!$F$2124+Sens!$F$2129+Sens!$F$2145+Sens!$F$2146-Sens!$F$2149</f>
        <v>12.4573856763158</v>
      </c>
      <c r="G2150" s="38" t="n">
        <f aca="false">Sens!$G$2124+Sens!$G$2129+Sens!$G$2145+Sens!$G$2146-Sens!$G$2149</f>
        <v>25.8123856763158</v>
      </c>
      <c r="H2150" s="38" t="n">
        <f aca="false">Sens!$H$2124+Sens!$H$2129+Sens!$H$2145+Sens!$H$2146-Sens!$H$2149</f>
        <v>27.8244753041959</v>
      </c>
      <c r="I2150" s="38" t="n">
        <f aca="false">Sens!$I$2124+Sens!$I$2129+Sens!$I$2145+Sens!$I$2146-Sens!$I$2149</f>
        <v>30.0295489875571</v>
      </c>
      <c r="J2150" s="38" t="n">
        <f aca="false">Sens!$J$2124+Sens!$J$2129+Sens!$J$2145+Sens!$J$2146-Sens!$J$2149</f>
        <v>32.2307486446268</v>
      </c>
      <c r="K2150" s="38" t="n">
        <f aca="false">Sens!$K$2124+Sens!$K$2129+Sens!$K$2145+Sens!$K$2146-Sens!$K$2149</f>
        <v>34.5976175288837</v>
      </c>
      <c r="L2150" s="38" t="n">
        <f aca="false">Sens!$L$2124+Sens!$L$2129+Sens!$L$2145+Sens!$L$2146-Sens!$L$2149</f>
        <v>36.186965760611</v>
      </c>
      <c r="M2150" s="38" t="n">
        <f aca="false">Sens!$M$2124+Sens!$M$2129+Sens!$M$2145+Sens!$M$2146-Sens!$M$2149</f>
        <v>38.5714700705008</v>
      </c>
      <c r="N2150" s="38" t="n">
        <f aca="false">Sens!$N$2124+Sens!$N$2129+Sens!$N$2145+Sens!$N$2146-Sens!$N$2149</f>
        <v>10.6495</v>
      </c>
      <c r="O2150" s="38" t="n">
        <f aca="false">Sens!$O$2124+Sens!$O$2129+Sens!$O$2145+Sens!$O$2146-Sens!$O$2149</f>
        <v>9.81200000000001</v>
      </c>
    </row>
    <row r="2151" customFormat="false" ht="17.15" hidden="false" customHeight="false" outlineLevel="0" collapsed="false">
      <c r="A2151" s="0" t="s">
        <v>748</v>
      </c>
      <c r="B2151" s="0" t="s">
        <v>86</v>
      </c>
      <c r="C2151" s="38" t="n">
        <f aca="false">Sens!$C$2131+Sens!$C$2147-ext_sh*Sens!$C$2066</f>
        <v>51.3470500115664</v>
      </c>
      <c r="D2151" s="38" t="n">
        <f aca="false">Sens!$D$2131+Sens!$D$2147-ext_sh*Sens!$D$2066</f>
        <v>60.2799375433739</v>
      </c>
      <c r="E2151" s="38" t="n">
        <f aca="false">Sens!$E$2131+Sens!$E$2147-ext_sh*Sens!$E$2066</f>
        <v>39.5095167090767</v>
      </c>
      <c r="F2151" s="38" t="n">
        <f aca="false">Sens!$F$2131+Sens!$F$2147-ext_sh*Sens!$F$2066</f>
        <v>37.369065144056</v>
      </c>
      <c r="G2151" s="38" t="n">
        <f aca="false">Sens!$G$2131+Sens!$G$2147-ext_sh*Sens!$G$2066</f>
        <v>76.8785818531327</v>
      </c>
      <c r="H2151" s="38" t="n">
        <f aca="false">Sens!$H$2131+Sens!$H$2147-ext_sh*Sens!$H$2066</f>
        <v>83.8388790183041</v>
      </c>
      <c r="I2151" s="38" t="n">
        <f aca="false">Sens!$I$2131+Sens!$I$2147-ext_sh*Sens!$I$2066</f>
        <v>93.0824016466178</v>
      </c>
      <c r="J2151" s="38" t="n">
        <f aca="false">Sens!$J$2131+Sens!$J$2147-ext_sh*Sens!$J$2066</f>
        <v>101.937023989701</v>
      </c>
      <c r="K2151" s="38" t="n">
        <f aca="false">Sens!$K$2131+Sens!$K$2147-ext_sh*Sens!$K$2066</f>
        <v>110.091985908877</v>
      </c>
      <c r="L2151" s="38" t="n">
        <f aca="false">Sens!$L$2131+Sens!$L$2147-ext_sh*Sens!$L$2066</f>
        <v>118.899344781587</v>
      </c>
      <c r="M2151" s="38" t="n">
        <f aca="false">Sens!$M$2131+Sens!$M$2147-ext_sh*Sens!$M$2066</f>
        <v>128.411292364114</v>
      </c>
      <c r="N2151" s="38" t="n">
        <f aca="false">Sens!$N$2131+Sens!$N$2147-ext_sh*Sens!$N$2066</f>
        <v>28.5693781401809</v>
      </c>
      <c r="O2151" s="38" t="n">
        <f aca="false">Sens!$O$2131+Sens!$O$2147-ext_sh*Sens!$O$2066</f>
        <v>31.7105594031931</v>
      </c>
    </row>
    <row r="2152" customFormat="false" ht="17.15" hidden="false" customHeight="false" outlineLevel="0" collapsed="false">
      <c r="A2152" s="0" t="s">
        <v>749</v>
      </c>
      <c r="B2152" s="0" t="s">
        <v>86</v>
      </c>
      <c r="C2152" s="38" t="n">
        <f aca="false">Sens!$C$2069</f>
        <v>1.80694998843362</v>
      </c>
      <c r="D2152" s="38" t="n">
        <f aca="false">Sens!$D$2069</f>
        <v>6.77606245662607</v>
      </c>
      <c r="E2152" s="38" t="n">
        <f aca="false">Sens!$E$2069</f>
        <v>6.62548329092326</v>
      </c>
      <c r="F2152" s="38" t="n">
        <f aca="false">Sens!$F$2069</f>
        <v>11.7200577158706</v>
      </c>
      <c r="G2152" s="38" t="n">
        <f aca="false">Sens!$G$2069</f>
        <v>18.3455410067939</v>
      </c>
      <c r="H2152" s="38" t="n">
        <f aca="false">Sens!$H$2069</f>
        <v>47.5171727060453</v>
      </c>
      <c r="I2152" s="38" t="n">
        <f aca="false">Sens!$I$2069</f>
        <v>80.5539692643667</v>
      </c>
      <c r="J2152" s="38" t="n">
        <f aca="false">Sens!$J$2069</f>
        <v>113.759316834883</v>
      </c>
      <c r="K2152" s="38" t="n">
        <f aca="false">Sens!$K$2069</f>
        <v>142.084411492169</v>
      </c>
      <c r="L2152" s="38" t="n">
        <f aca="false">Sens!$L$2069</f>
        <v>160.69964615804</v>
      </c>
      <c r="M2152" s="38" t="n">
        <f aca="false">Sens!$M$2069</f>
        <v>169.577607141793</v>
      </c>
      <c r="N2152" s="38" t="n">
        <f aca="false">Sens!$N$2069</f>
        <v>2.37162185981912</v>
      </c>
      <c r="O2152" s="38" t="n">
        <f aca="false">Sens!$O$2069</f>
        <v>4.40444059680694</v>
      </c>
    </row>
    <row r="2153" customFormat="false" ht="17.15" hidden="false" customHeight="false" outlineLevel="0" collapsed="false">
      <c r="A2153" s="0" t="s">
        <v>750</v>
      </c>
      <c r="B2153" s="0" t="s">
        <v>86</v>
      </c>
      <c r="C2153" s="38" t="n">
        <f aca="false">Sens!$C$2134+Sens!$C$2148</f>
        <v>100.66</v>
      </c>
      <c r="D2153" s="38" t="n">
        <f aca="false">Sens!$D$2134+Sens!$D$2148</f>
        <v>121.835</v>
      </c>
      <c r="E2153" s="38" t="n">
        <f aca="false">Sens!$E$2134+Sens!$E$2148</f>
        <v>78.016</v>
      </c>
      <c r="F2153" s="38" t="n">
        <f aca="false">Sens!$F$2134+Sens!$F$2148</f>
        <v>84.6251195334498</v>
      </c>
      <c r="G2153" s="38" t="n">
        <f aca="false">Sens!$G$2134+Sens!$G$2148</f>
        <v>162.64111953345</v>
      </c>
      <c r="H2153" s="38" t="n">
        <f aca="false">Sens!$H$2134+Sens!$H$2148</f>
        <v>209.128988222494</v>
      </c>
      <c r="I2153" s="38" t="n">
        <f aca="false">Sens!$I$2134+Sens!$I$2148</f>
        <v>261.95747544629</v>
      </c>
      <c r="J2153" s="38" t="n">
        <f aca="false">Sens!$J$2134+Sens!$J$2148</f>
        <v>314.001560440187</v>
      </c>
      <c r="K2153" s="38" t="n">
        <f aca="false">Sens!$K$2134+Sens!$K$2148</f>
        <v>359.455932998003</v>
      </c>
      <c r="L2153" s="38" t="n">
        <f aca="false">Sens!$L$2134+Sens!$L$2148</f>
        <v>395.736066575119</v>
      </c>
      <c r="M2153" s="38" t="n">
        <f aca="false">Sens!$M$2134+Sens!$M$2148</f>
        <v>424.505490438777</v>
      </c>
      <c r="N2153" s="38" t="n">
        <f aca="false">Sens!$N$2134+Sens!$N$2148</f>
        <v>56.398</v>
      </c>
      <c r="O2153" s="38" t="n">
        <f aca="false">Sens!$O$2134+Sens!$O$2148</f>
        <v>65.437</v>
      </c>
    </row>
    <row r="2154" customFormat="false" ht="17.15" hidden="false" customHeight="false" outlineLevel="0" collapsed="false">
      <c r="A2154" s="1" t="s">
        <v>751</v>
      </c>
    </row>
    <row r="2155" customFormat="false" ht="15" hidden="false" customHeight="false" outlineLevel="0" collapsed="false">
      <c r="A2155" s="5" t="s">
        <v>544</v>
      </c>
      <c r="B2155" s="0" t="s">
        <v>86</v>
      </c>
      <c r="C2155" s="38" t="n">
        <f aca="false">Q!$D$34</f>
        <v>2.406</v>
      </c>
      <c r="D2155" s="38" t="n">
        <f aca="false">Q!$E$34</f>
        <v>2.274</v>
      </c>
      <c r="E2155" s="38" t="n">
        <f aca="false">Q!$P$34</f>
        <v>2.114</v>
      </c>
      <c r="F2155" s="38" t="n">
        <f aca="false">Sens!$F$2193</f>
        <v>3.24888962733561</v>
      </c>
      <c r="G2155" s="38" t="n">
        <f aca="false">Sens!$E$2155+Sens!$F$2155</f>
        <v>5.36288962733561</v>
      </c>
      <c r="H2155" s="38" t="n">
        <f aca="false">Sens!$H$2193</f>
        <v>7.42354172302123</v>
      </c>
      <c r="I2155" s="38" t="n">
        <f aca="false">Sens!$I$2193</f>
        <v>8.57532767810175</v>
      </c>
      <c r="J2155" s="38" t="n">
        <f aca="false">Sens!$J$2193</f>
        <v>9.83490460113964</v>
      </c>
      <c r="K2155" s="38" t="n">
        <f aca="false">Sens!$K$2193</f>
        <v>9.83490460113964</v>
      </c>
      <c r="L2155" s="38" t="n">
        <f aca="false">Sens!$L$2193</f>
        <v>9.83490460113964</v>
      </c>
      <c r="M2155" s="38" t="n">
        <f aca="false">Sens!$M$2193</f>
        <v>9.83490460113964</v>
      </c>
      <c r="N2155" s="38" t="n">
        <f aca="false">Q!$N$34</f>
        <v>1.057</v>
      </c>
      <c r="O2155" s="38" t="n">
        <f aca="false">Q!$O$34</f>
        <v>1.217</v>
      </c>
    </row>
    <row r="2156" customFormat="false" ht="15" hidden="false" customHeight="false" outlineLevel="0" collapsed="false">
      <c r="A2156" s="5" t="s">
        <v>752</v>
      </c>
      <c r="B2156" s="0" t="s">
        <v>86</v>
      </c>
      <c r="F2156" s="38" t="n">
        <f aca="false">Sens!$F$2194</f>
        <v>2.59</v>
      </c>
      <c r="H2156" s="38" t="n">
        <f aca="false">Sens!$H$2194</f>
        <v>3.7570918747068</v>
      </c>
      <c r="I2156" s="38" t="n">
        <f aca="false">Sens!$I$2194</f>
        <v>2.10589651022864</v>
      </c>
      <c r="J2156" s="38" t="n">
        <f aca="false">Sens!$J$2194</f>
        <v>2.10589651022864</v>
      </c>
      <c r="K2156" s="38" t="n">
        <f aca="false">Sens!$K$2194</f>
        <v>3.14373941395115</v>
      </c>
      <c r="L2156" s="38" t="n">
        <f aca="false">Sens!$L$2194</f>
        <v>8.21287910820885</v>
      </c>
      <c r="M2156" s="38" t="n">
        <f aca="false">Sens!$M$2194</f>
        <v>17.0566704027697</v>
      </c>
    </row>
    <row r="2157" customFormat="false" ht="17.15" hidden="false" customHeight="false" outlineLevel="0" collapsed="false">
      <c r="A2157" s="5" t="s">
        <v>753</v>
      </c>
      <c r="B2157" s="0" t="s">
        <v>86</v>
      </c>
      <c r="C2157" s="38" t="n">
        <f aca="false">Q!$D$39</f>
        <v>2.427</v>
      </c>
      <c r="D2157" s="38" t="n">
        <f aca="false">Q!$E$39</f>
        <v>19.61</v>
      </c>
      <c r="E2157" s="38" t="n">
        <f aca="false">Q!$P$39</f>
        <v>71.492</v>
      </c>
      <c r="F2157" s="39" t="n">
        <v>0</v>
      </c>
      <c r="G2157" s="38" t="n">
        <f aca="false">Sens!$E$2157+Sens!$F$2157</f>
        <v>71.492</v>
      </c>
      <c r="H2157" s="39" t="n">
        <v>0</v>
      </c>
      <c r="I2157" s="39" t="n">
        <v>0</v>
      </c>
      <c r="J2157" s="39" t="n">
        <v>0</v>
      </c>
      <c r="K2157" s="39" t="n">
        <v>0</v>
      </c>
      <c r="L2157" s="39" t="n">
        <v>0</v>
      </c>
      <c r="M2157" s="39" t="n">
        <v>0</v>
      </c>
      <c r="N2157" s="38" t="n">
        <f aca="false">Q!$N$39</f>
        <v>6.017</v>
      </c>
      <c r="O2157" s="38" t="n">
        <f aca="false">Q!$O$39</f>
        <v>13.593</v>
      </c>
      <c r="P2157" s="5" t="s">
        <v>754</v>
      </c>
    </row>
    <row r="2158" customFormat="false" ht="15" hidden="false" customHeight="false" outlineLevel="0" collapsed="false">
      <c r="A2158" s="5" t="s">
        <v>547</v>
      </c>
      <c r="B2158" s="0" t="s">
        <v>86</v>
      </c>
      <c r="C2158" s="38" t="n">
        <f aca="false">Q!$D$36</f>
        <v>68.614</v>
      </c>
      <c r="D2158" s="38" t="n">
        <f aca="false">Q!$E$36</f>
        <v>97.311</v>
      </c>
      <c r="E2158" s="38" t="n">
        <f aca="false">Q!$P$36</f>
        <v>120.691</v>
      </c>
      <c r="F2158" s="38" t="n">
        <f aca="false">Sens!$F$2134-Sens!$F$2155+Sens!$F$2156+Sens!$F$2157</f>
        <v>56.1796031251549</v>
      </c>
      <c r="G2158" s="38" t="n">
        <f aca="false">Sens!$E$2158+Sens!$F$2158</f>
        <v>176.870603125155</v>
      </c>
      <c r="H2158" s="38" t="n">
        <f aca="false">Sens!$H$2134-Sens!$H$2155+Sens!$H$2156+Sens!$H$2157</f>
        <v>130.453436835631</v>
      </c>
      <c r="I2158" s="38" t="n">
        <f aca="false">Sens!$I$2134-Sens!$I$2155+Sens!$I$2156+Sens!$I$2157</f>
        <v>151.087844481958</v>
      </c>
      <c r="J2158" s="38" t="n">
        <f aca="false">Sens!$J$2134-Sens!$J$2155+Sens!$J$2156+Sens!$J$2157</f>
        <v>171.905281015313</v>
      </c>
      <c r="K2158" s="38" t="n">
        <f aca="false">Sens!$K$2134-Sens!$K$2155+Sens!$K$2156+Sens!$K$2157</f>
        <v>188.913837397034</v>
      </c>
      <c r="L2158" s="38" t="n">
        <f aca="false">Sens!$L$2134-Sens!$L$2155+Sens!$L$2156+Sens!$L$2157</f>
        <v>207.148870080367</v>
      </c>
      <c r="M2158" s="38" t="n">
        <f aca="false">Sens!$M$2134-Sens!$M$2155+Sens!$M$2156+Sens!$M$2157</f>
        <v>228.855388184629</v>
      </c>
      <c r="N2158" s="38" t="n">
        <f aca="false">Q!$N$36</f>
        <v>42.536</v>
      </c>
      <c r="O2158" s="38" t="n">
        <f aca="false">Q!$O$36</f>
        <v>54.775</v>
      </c>
    </row>
    <row r="2159" customFormat="false" ht="15" hidden="false" customHeight="false" outlineLevel="0" collapsed="false">
      <c r="A2159" s="5" t="s">
        <v>548</v>
      </c>
      <c r="B2159" s="0" t="s">
        <v>86</v>
      </c>
      <c r="C2159" s="38" t="n">
        <f aca="false">Q!$D$37</f>
        <v>9.265</v>
      </c>
      <c r="D2159" s="38" t="n">
        <f aca="false">Q!$E$37</f>
        <v>19.087</v>
      </c>
      <c r="E2159" s="38" t="n">
        <f aca="false">Q!$P$37</f>
        <v>27.759</v>
      </c>
      <c r="F2159" s="38" t="n">
        <f aca="false">Sens!$F$2158*tax</f>
        <v>9.75190981423711</v>
      </c>
      <c r="G2159" s="38" t="n">
        <f aca="false">Sens!$E$2159+Sens!$F$2159</f>
        <v>37.5109098142371</v>
      </c>
      <c r="H2159" s="38" t="n">
        <f aca="false">Sens!$H$2158*tax</f>
        <v>22.6446980791989</v>
      </c>
      <c r="I2159" s="38" t="n">
        <f aca="false">Sens!$I$2158*tax</f>
        <v>26.2265119625918</v>
      </c>
      <c r="J2159" s="38" t="n">
        <f aca="false">Sens!$J$2158*tax</f>
        <v>29.8400968286976</v>
      </c>
      <c r="K2159" s="38" t="n">
        <f aca="false">Sens!$K$2158*tax</f>
        <v>32.7925190367255</v>
      </c>
      <c r="L2159" s="38" t="n">
        <f aca="false">Sens!$L$2158*tax</f>
        <v>35.9578385529809</v>
      </c>
      <c r="M2159" s="38" t="n">
        <f aca="false">Sens!$M$2158*tax</f>
        <v>39.7257542226999</v>
      </c>
      <c r="N2159" s="38" t="n">
        <f aca="false">Q!$N$37</f>
        <v>7.231</v>
      </c>
      <c r="O2159" s="38" t="n">
        <f aca="false">Q!$O$37</f>
        <v>11.856</v>
      </c>
    </row>
    <row r="2160" customFormat="false" ht="15" hidden="false" customHeight="false" outlineLevel="0" collapsed="false">
      <c r="A2160" s="3" t="s">
        <v>549</v>
      </c>
      <c r="B2160" s="8" t="s">
        <v>86</v>
      </c>
      <c r="C2160" s="38" t="n">
        <f aca="false">Q!$D$38</f>
        <v>59.248</v>
      </c>
      <c r="D2160" s="38" t="n">
        <f aca="false">Q!$E$38</f>
        <v>77.67</v>
      </c>
      <c r="E2160" s="38" t="n">
        <f aca="false">Q!$P$38</f>
        <v>92.902</v>
      </c>
      <c r="F2160" s="38" t="n">
        <f aca="false">Sens!$F$2158-Sens!$F$2159</f>
        <v>46.4276933109177</v>
      </c>
      <c r="G2160" s="38" t="n">
        <f aca="false">Sens!$E$2160+Sens!$F$2160</f>
        <v>139.329693310918</v>
      </c>
      <c r="H2160" s="38" t="n">
        <f aca="false">Sens!$H$2158-Sens!$H$2159</f>
        <v>107.808738756432</v>
      </c>
      <c r="I2160" s="38" t="n">
        <f aca="false">Sens!$I$2158-Sens!$I$2159</f>
        <v>124.861332519366</v>
      </c>
      <c r="J2160" s="38" t="n">
        <f aca="false">Sens!$J$2158-Sens!$J$2159</f>
        <v>142.065184186616</v>
      </c>
      <c r="K2160" s="38" t="n">
        <f aca="false">Sens!$K$2158-Sens!$K$2159</f>
        <v>156.121318360308</v>
      </c>
      <c r="L2160" s="38" t="n">
        <f aca="false">Sens!$L$2158-Sens!$L$2159</f>
        <v>171.191031527386</v>
      </c>
      <c r="M2160" s="38" t="n">
        <f aca="false">Sens!$M$2158-Sens!$M$2159</f>
        <v>189.129633961929</v>
      </c>
      <c r="N2160" s="38" t="n">
        <f aca="false">Q!$N$38</f>
        <v>35.291</v>
      </c>
      <c r="O2160" s="38" t="n">
        <f aca="false">Q!$O$38</f>
        <v>42.379</v>
      </c>
    </row>
    <row r="2161" customFormat="false" ht="17.15" hidden="false" customHeight="false" outlineLevel="0" collapsed="false">
      <c r="A2161" s="5" t="s">
        <v>552</v>
      </c>
      <c r="B2161" s="5" t="s">
        <v>33</v>
      </c>
      <c r="C2161" s="22" t="n">
        <f aca="false">Q!$D$41</f>
        <v>10.721</v>
      </c>
      <c r="D2161" s="22" t="n">
        <f aca="false">Q!$E$41</f>
        <v>10.827</v>
      </c>
      <c r="E2161" s="22" t="n">
        <f aca="false">(Q!$L$41+Q!$M$41)/2</f>
        <v>10.8885</v>
      </c>
      <c r="F2161" s="22" t="n">
        <f aca="false">Sens!$G$2161</f>
        <v>10.924806</v>
      </c>
      <c r="G2161" s="22" t="n">
        <f aca="false">Q!$M$41*(1+sh_g*0.25)</f>
        <v>10.924806</v>
      </c>
      <c r="H2161" s="22" t="n">
        <f aca="false">Sens!$G$2161*(1+sh_g)</f>
        <v>11.012204448</v>
      </c>
      <c r="I2161" s="22" t="n">
        <f aca="false">Sens!$H$2161*(1+sh_g)</f>
        <v>11.100302083584</v>
      </c>
      <c r="J2161" s="22" t="n">
        <f aca="false">Sens!$I$2161*(1+sh_g)</f>
        <v>11.1891045002527</v>
      </c>
      <c r="K2161" s="22" t="n">
        <f aca="false">Sens!$J$2161*(1+sh_g)</f>
        <v>11.2786173362547</v>
      </c>
      <c r="L2161" s="22" t="n">
        <f aca="false">Sens!$K$2161*(1+sh_g)</f>
        <v>11.3688462749447</v>
      </c>
      <c r="M2161" s="22" t="n">
        <f aca="false">Sens!$L$2161*(1+sh_g)</f>
        <v>11.4597970451443</v>
      </c>
      <c r="P2161" s="5" t="s">
        <v>755</v>
      </c>
    </row>
    <row r="2162" customFormat="false" ht="17.15" hidden="false" customHeight="false" outlineLevel="0" collapsed="false">
      <c r="A2162" s="5" t="s">
        <v>756</v>
      </c>
      <c r="B2162" s="0" t="s">
        <v>86</v>
      </c>
      <c r="C2162" s="38" t="n">
        <f aca="false">Sens!$C$2160+Sens!$C$2136*(1-tax)</f>
        <v>59.248</v>
      </c>
      <c r="D2162" s="38" t="n">
        <f aca="false">Sens!$D$2160+Sens!$D$2136*(1-tax)</f>
        <v>77.67</v>
      </c>
      <c r="E2162" s="38" t="n">
        <f aca="false">Sens!$E$2160+Sens!$E$2136*(1-tax)</f>
        <v>92.902</v>
      </c>
      <c r="F2162" s="38" t="n">
        <f aca="false">Sens!$F$2160+Sens!$F$2136*(1-tax)</f>
        <v>49.5442882705664</v>
      </c>
      <c r="G2162" s="38" t="n">
        <f aca="false">Sens!$G$2160+Sens!$G$2136*(1-tax)</f>
        <v>142.446288270566</v>
      </c>
      <c r="H2162" s="38" t="n">
        <f aca="false">Sens!$H$2160+Sens!$H$2136*(1-tax)</f>
        <v>120.340134711777</v>
      </c>
      <c r="I2162" s="38" t="n">
        <f aca="false">Sens!$I$2160+Sens!$I$2136*(1-tax)</f>
        <v>146.002597594305</v>
      </c>
      <c r="J2162" s="38" t="n">
        <f aca="false">Sens!$J$2160+Sens!$J$2136*(1-tax)</f>
        <v>171.854621130899</v>
      </c>
      <c r="K2162" s="38" t="n">
        <f aca="false">Sens!$K$2160+Sens!$K$2136*(1-tax)</f>
        <v>193.288624056967</v>
      </c>
      <c r="L2162" s="38" t="n">
        <f aca="false">Sens!$L$2160+Sens!$L$2136*(1-tax)</f>
        <v>213.207108867942</v>
      </c>
      <c r="M2162" s="38" t="n">
        <f aca="false">Sens!$M$2160+Sens!$M$2136*(1-tax)</f>
        <v>233.45915615277</v>
      </c>
      <c r="N2162" s="38" t="n">
        <f aca="false">Sens!$N$2160+Sens!$N$2136*(1-tax)</f>
        <v>35.291</v>
      </c>
      <c r="O2162" s="38" t="n">
        <f aca="false">Sens!$O$2160+Sens!$O$2136*(1-tax)</f>
        <v>42.379</v>
      </c>
    </row>
    <row r="2163" customFormat="false" ht="17.15" hidden="false" customHeight="false" outlineLevel="0" collapsed="false">
      <c r="A2163" s="43" t="s">
        <v>757</v>
      </c>
      <c r="B2163" s="14" t="s">
        <v>27</v>
      </c>
      <c r="C2163" s="44" t="n">
        <f aca="false">Sens!$C$2162/Sens!$C$2161</f>
        <v>5.52635015390355</v>
      </c>
      <c r="D2163" s="44" t="n">
        <f aca="false">Sens!$D$2162/Sens!$D$2161</f>
        <v>7.1737323358271</v>
      </c>
      <c r="E2163" s="44" t="n">
        <f aca="false">Sens!$E$2162/Sens!$E$2161</f>
        <v>8.53212104513937</v>
      </c>
      <c r="F2163" s="14"/>
      <c r="G2163" s="44" t="n">
        <f aca="false">Sens!$G$2162/Sens!$G$2161</f>
        <v>13.0387933909825</v>
      </c>
      <c r="H2163" s="44" t="n">
        <f aca="false">Sens!$H$2162/Sens!$H$2161</f>
        <v>10.9278878066628</v>
      </c>
      <c r="I2163" s="44" t="n">
        <f aca="false">Sens!$I$2162/Sens!$I$2161</f>
        <v>13.1530292144234</v>
      </c>
      <c r="J2163" s="44" t="n">
        <f aca="false">Sens!$J$2162/Sens!$J$2161</f>
        <v>15.3591041291122</v>
      </c>
      <c r="K2163" s="44" t="n">
        <f aca="false">Sens!$K$2162/Sens!$K$2161</f>
        <v>17.1376169874695</v>
      </c>
      <c r="L2163" s="44" t="n">
        <f aca="false">Sens!$L$2162/Sens!$L$2161</f>
        <v>18.753627563583</v>
      </c>
      <c r="M2163" s="44" t="n">
        <f aca="false">Sens!$M$2162/Sens!$M$2161</f>
        <v>20.3720148998354</v>
      </c>
      <c r="N2163" s="14"/>
      <c r="O2163" s="14"/>
    </row>
    <row r="2164" customFormat="false" ht="17.15" hidden="false" customHeight="false" outlineLevel="0" collapsed="false">
      <c r="A2164" s="0" t="s">
        <v>758</v>
      </c>
      <c r="B2164" s="0" t="s">
        <v>27</v>
      </c>
      <c r="C2164" s="30" t="n">
        <f aca="false">Sens!$C$2160/Sens!$C$2161</f>
        <v>5.52635015390355</v>
      </c>
      <c r="D2164" s="30" t="n">
        <f aca="false">Sens!$D$2160/Sens!$D$2161</f>
        <v>7.1737323358271</v>
      </c>
      <c r="E2164" s="30" t="n">
        <f aca="false">Sens!$E$2160/Sens!$E$2161</f>
        <v>8.53212104513937</v>
      </c>
      <c r="G2164" s="30" t="n">
        <f aca="false">Sens!$G$2160/Sens!$G$2161</f>
        <v>12.7535164753422</v>
      </c>
      <c r="H2164" s="30" t="n">
        <f aca="false">Sens!$H$2160/Sens!$H$2161</f>
        <v>9.78993254852003</v>
      </c>
      <c r="I2164" s="30" t="n">
        <f aca="false">Sens!$I$2160/Sens!$I$2161</f>
        <v>11.2484625714845</v>
      </c>
      <c r="J2164" s="30" t="n">
        <f aca="false">Sens!$J$2160/Sens!$J$2161</f>
        <v>12.6967429952422</v>
      </c>
      <c r="K2164" s="30" t="n">
        <f aca="false">Sens!$K$2160/Sens!$K$2161</f>
        <v>13.8422391420677</v>
      </c>
      <c r="L2164" s="30" t="n">
        <f aca="false">Sens!$L$2160/Sens!$L$2161</f>
        <v>15.0579071426681</v>
      </c>
      <c r="M2164" s="30" t="n">
        <f aca="false">Sens!$M$2160/Sens!$M$2161</f>
        <v>16.5037507398149</v>
      </c>
    </row>
    <row r="2165" customFormat="false" ht="17.15" hidden="false" customHeight="false" outlineLevel="0" collapsed="false">
      <c r="A2165" s="0" t="s">
        <v>759</v>
      </c>
      <c r="B2165" s="0" t="s">
        <v>27</v>
      </c>
      <c r="C2165" s="30" t="n">
        <f aca="false">(Sens!$C$2160-Sens!$C$2157*(1-tax))/Sens!$C$2161</f>
        <v>5.33926775917445</v>
      </c>
      <c r="D2165" s="30" t="n">
        <f aca="false">(Sens!$D$2160-Sens!$D$2157*(1-tax))/Sens!$D$2161</f>
        <v>5.67691812755503</v>
      </c>
      <c r="E2165" s="30" t="n">
        <f aca="false">(Sens!$E$2160-Sens!$E$2157*(1-tax))/Sens!$E$2161</f>
        <v>3.10602057006846</v>
      </c>
      <c r="G2165" s="30" t="n">
        <f aca="false">(Sens!$G$2160-Sens!$G$2157*(1-tax))/Sens!$G$2161</f>
        <v>7.34544835744526</v>
      </c>
      <c r="H2165" s="30" t="n">
        <f aca="false">(Sens!$H$2160-Sens!$H$2157*(1-tax))/Sens!$H$2161</f>
        <v>9.78993254852003</v>
      </c>
      <c r="I2165" s="30" t="n">
        <f aca="false">(Sens!$I$2160-Sens!$I$2157*(1-tax))/Sens!$I$2161</f>
        <v>11.2484625714845</v>
      </c>
      <c r="J2165" s="30" t="n">
        <f aca="false">(Sens!$J$2160-Sens!$J$2157*(1-tax))/Sens!$J$2161</f>
        <v>12.6967429952422</v>
      </c>
      <c r="K2165" s="30" t="n">
        <f aca="false">(Sens!$K$2160-Sens!$K$2157*(1-tax))/Sens!$K$2161</f>
        <v>13.8422391420677</v>
      </c>
      <c r="L2165" s="30" t="n">
        <f aca="false">(Sens!$L$2160-Sens!$L$2157*(1-tax))/Sens!$L$2161</f>
        <v>15.0579071426681</v>
      </c>
      <c r="M2165" s="30" t="n">
        <f aca="false">(Sens!$M$2160-Sens!$M$2157*(1-tax))/Sens!$M$2161</f>
        <v>16.5037507398149</v>
      </c>
      <c r="P2165" s="5" t="s">
        <v>760</v>
      </c>
    </row>
    <row r="2166" customFormat="false" ht="17.15" hidden="false" customHeight="false" outlineLevel="0" collapsed="false">
      <c r="A2166" s="0" t="s">
        <v>761</v>
      </c>
      <c r="B2166" s="0" t="s">
        <v>52</v>
      </c>
      <c r="H2166" s="13" t="n">
        <f aca="false">Sens!$H$2163/Sens!$G$2163-1</f>
        <v>-0.16189424289671</v>
      </c>
      <c r="I2166" s="13" t="n">
        <f aca="false">Sens!$I$2163/Sens!$H$2163-1</f>
        <v>0.20362044771396</v>
      </c>
      <c r="J2166" s="13" t="n">
        <f aca="false">Sens!$J$2163/Sens!$I$2163-1</f>
        <v>0.167723714341766</v>
      </c>
      <c r="K2166" s="13" t="n">
        <f aca="false">Sens!$K$2163/Sens!$J$2163-1</f>
        <v>0.115795351304783</v>
      </c>
      <c r="L2166" s="13" t="n">
        <f aca="false">Sens!$L$2163/Sens!$K$2163-1</f>
        <v>0.0942961076382467</v>
      </c>
      <c r="M2166" s="13" t="n">
        <f aca="false">Sens!$M$2163/Sens!$L$2163-1</f>
        <v>0.0862972953240846</v>
      </c>
    </row>
    <row r="2169" customFormat="false" ht="19.4" hidden="false" customHeight="false" outlineLevel="0" collapsed="false">
      <c r="A2169" s="31" t="s">
        <v>1178</v>
      </c>
    </row>
    <row r="2170" customFormat="false" ht="17.15" hidden="false" customHeight="false" outlineLevel="0" collapsed="false">
      <c r="A2170" s="6" t="s">
        <v>16</v>
      </c>
      <c r="B2170" s="6" t="s">
        <v>17</v>
      </c>
      <c r="C2170" s="20" t="s">
        <v>497</v>
      </c>
      <c r="D2170" s="20" t="s">
        <v>498</v>
      </c>
      <c r="E2170" s="20" t="s">
        <v>580</v>
      </c>
      <c r="F2170" s="20" t="s">
        <v>581</v>
      </c>
      <c r="G2170" s="20" t="s">
        <v>582</v>
      </c>
      <c r="H2170" s="20" t="s">
        <v>583</v>
      </c>
      <c r="I2170" s="20" t="s">
        <v>584</v>
      </c>
      <c r="J2170" s="20" t="s">
        <v>585</v>
      </c>
      <c r="K2170" s="20" t="s">
        <v>586</v>
      </c>
      <c r="L2170" s="20" t="s">
        <v>587</v>
      </c>
      <c r="M2170" s="20" t="s">
        <v>588</v>
      </c>
      <c r="N2170" s="20" t="s">
        <v>589</v>
      </c>
      <c r="O2170" s="20" t="s">
        <v>590</v>
      </c>
      <c r="P2170" s="6" t="s">
        <v>23</v>
      </c>
      <c r="R2170" s="20" t="n">
        <v>2023</v>
      </c>
      <c r="S2170" s="20" t="n">
        <v>2024</v>
      </c>
      <c r="T2170" s="20" t="n">
        <v>2025</v>
      </c>
      <c r="U2170" s="20" t="n">
        <v>2026</v>
      </c>
      <c r="V2170" s="20" t="n">
        <v>2027</v>
      </c>
      <c r="W2170" s="20" t="n">
        <v>2028</v>
      </c>
      <c r="X2170" s="20" t="n">
        <v>2029</v>
      </c>
      <c r="Y2170" s="20" t="n">
        <v>2030</v>
      </c>
      <c r="Z2170" s="20" t="n">
        <v>2031</v>
      </c>
      <c r="AA2170" s="20" t="n">
        <v>2032</v>
      </c>
    </row>
    <row r="2171" customFormat="false" ht="15" hidden="false" customHeight="false" outlineLevel="0" collapsed="false">
      <c r="A2171" s="5" t="s">
        <v>549</v>
      </c>
      <c r="B2171" s="0" t="s">
        <v>86</v>
      </c>
      <c r="C2171" s="38" t="n">
        <f aca="false">Sens!$C$2160</f>
        <v>59.248</v>
      </c>
      <c r="D2171" s="38" t="n">
        <f aca="false">Sens!$D$2160</f>
        <v>77.67</v>
      </c>
      <c r="E2171" s="38" t="n">
        <f aca="false">Sens!$E$2160</f>
        <v>92.902</v>
      </c>
      <c r="F2171" s="38" t="n">
        <f aca="false">Sens!$F$2160</f>
        <v>46.4276933109177</v>
      </c>
      <c r="G2171" s="38" t="n">
        <f aca="false">Sens!$G$2160</f>
        <v>139.329693310918</v>
      </c>
      <c r="H2171" s="38" t="n">
        <f aca="false">Sens!$H$2160</f>
        <v>107.808738756432</v>
      </c>
      <c r="I2171" s="38" t="n">
        <f aca="false">Sens!$I$2160</f>
        <v>124.861332519366</v>
      </c>
      <c r="J2171" s="38" t="n">
        <f aca="false">Sens!$J$2160</f>
        <v>142.065184186616</v>
      </c>
      <c r="K2171" s="38" t="n">
        <f aca="false">Sens!$K$2160</f>
        <v>156.121318360308</v>
      </c>
      <c r="L2171" s="38" t="n">
        <f aca="false">Sens!$L$2160</f>
        <v>171.191031527386</v>
      </c>
      <c r="M2171" s="38" t="n">
        <f aca="false">Sens!$M$2160</f>
        <v>189.129633961929</v>
      </c>
    </row>
    <row r="2172" customFormat="false" ht="17.15" hidden="false" customHeight="false" outlineLevel="0" collapsed="false">
      <c r="A2172" s="5" t="s">
        <v>784</v>
      </c>
      <c r="B2172" s="0" t="s">
        <v>86</v>
      </c>
      <c r="C2172" s="38" t="n">
        <f aca="false">Sens!$C$2148</f>
        <v>32.067</v>
      </c>
      <c r="D2172" s="38" t="n">
        <f aca="false">Sens!$D$2148</f>
        <v>41.86</v>
      </c>
      <c r="E2172" s="38" t="n">
        <f aca="false">Sens!$E$2148</f>
        <v>26.703</v>
      </c>
      <c r="F2172" s="38" t="n">
        <f aca="false">Sens!$F$2148</f>
        <v>27.7866267809593</v>
      </c>
      <c r="G2172" s="38" t="n">
        <f aca="false">Sens!$G$2148</f>
        <v>54.4896267809593</v>
      </c>
      <c r="H2172" s="38" t="n">
        <f aca="false">Sens!$H$2148</f>
        <v>75.0091015385486</v>
      </c>
      <c r="I2172" s="38" t="n">
        <f aca="false">Sens!$I$2148</f>
        <v>104.400199796459</v>
      </c>
      <c r="J2172" s="38" t="n">
        <f aca="false">Sens!$J$2148</f>
        <v>134.367271333963</v>
      </c>
      <c r="K2172" s="38" t="n">
        <f aca="false">Sens!$K$2148</f>
        <v>163.850930413781</v>
      </c>
      <c r="L2172" s="38" t="n">
        <f aca="false">Sens!$L$2148</f>
        <v>186.965171001821</v>
      </c>
      <c r="M2172" s="38" t="n">
        <f aca="false">Sens!$M$2148</f>
        <v>202.871868055778</v>
      </c>
    </row>
    <row r="2173" customFormat="false" ht="15" hidden="false" customHeight="false" outlineLevel="0" collapsed="false">
      <c r="A2173" s="5" t="s">
        <v>785</v>
      </c>
      <c r="B2173" s="0" t="s">
        <v>86</v>
      </c>
      <c r="C2173" s="38" t="n">
        <f aca="false">Q!$D$48</f>
        <v>22.011</v>
      </c>
      <c r="D2173" s="38" t="n">
        <f aca="false">Q!$E$48</f>
        <v>19.467</v>
      </c>
      <c r="E2173" s="38" t="n">
        <f aca="false">Q!$P$48</f>
        <v>10.07</v>
      </c>
      <c r="F2173" s="38" t="n">
        <f aca="false">sbc_r*Sens!$F$2090</f>
        <v>10.8507035798037</v>
      </c>
      <c r="G2173" s="38" t="n">
        <f aca="false">Sens!$E$2173+Sens!$F$2173</f>
        <v>20.9207035798037</v>
      </c>
      <c r="H2173" s="38" t="n">
        <f aca="false">sbc_r*Sens!$H$2090</f>
        <v>23.46224366345</v>
      </c>
      <c r="I2173" s="38" t="n">
        <f aca="false">sbc_r*Sens!$I$2090</f>
        <v>26.6125957111676</v>
      </c>
      <c r="J2173" s="38" t="n">
        <f aca="false">sbc_r*Sens!$J$2090</f>
        <v>29.6280801413323</v>
      </c>
      <c r="K2173" s="38" t="n">
        <f aca="false">sbc_r*Sens!$K$2090</f>
        <v>32.2712258901105</v>
      </c>
      <c r="L2173" s="38" t="n">
        <f aca="false">sbc_r*Sens!$L$2090</f>
        <v>34.7390505016737</v>
      </c>
      <c r="M2173" s="38" t="n">
        <f aca="false">sbc_r*Sens!$M$2090</f>
        <v>37.0405146906692</v>
      </c>
    </row>
    <row r="2174" customFormat="false" ht="17.15" hidden="false" customHeight="false" outlineLevel="0" collapsed="false">
      <c r="A2174" s="5" t="s">
        <v>786</v>
      </c>
      <c r="B2174" s="0" t="s">
        <v>86</v>
      </c>
      <c r="C2174" s="38" t="n">
        <f aca="false">Q!$D$44-Sens!$C$2171-Sens!$C$2172-Sens!$C$2173</f>
        <v>2.551</v>
      </c>
      <c r="D2174" s="38" t="n">
        <f aca="false">Q!$E$44-Sens!$D$2171-Sens!$D$2172-Sens!$D$2173</f>
        <v>0.51700000000001</v>
      </c>
      <c r="E2174" s="38" t="n">
        <f aca="false">Q!$P$44-Sens!$E$2171-Sens!$E$2172-Sens!$E$2173</f>
        <v>-58.256</v>
      </c>
      <c r="F2174" s="38" t="n">
        <f aca="false">oth_r*Sens!$F$2090</f>
        <v>5.22265251035878</v>
      </c>
      <c r="G2174" s="38" t="n">
        <f aca="false">Sens!$E$2174+Sens!$F$2174</f>
        <v>-53.0333474896412</v>
      </c>
      <c r="H2174" s="38" t="n">
        <f aca="false">oth_r*Sens!$H$2090</f>
        <v>11.2928295263397</v>
      </c>
      <c r="I2174" s="38" t="n">
        <f aca="false">oth_r*Sens!$I$2090</f>
        <v>12.8091546115766</v>
      </c>
      <c r="J2174" s="38" t="n">
        <f aca="false">oth_r*Sens!$J$2090</f>
        <v>14.2605653162668</v>
      </c>
      <c r="K2174" s="38" t="n">
        <f aca="false">oth_r*Sens!$K$2090</f>
        <v>15.5327622460396</v>
      </c>
      <c r="L2174" s="38" t="n">
        <f aca="false">oth_r*Sens!$L$2090</f>
        <v>16.720573737517</v>
      </c>
      <c r="M2174" s="38" t="n">
        <f aca="false">oth_r*Sens!$M$2090</f>
        <v>17.8283127551536</v>
      </c>
      <c r="P2174" s="8" t="s">
        <v>787</v>
      </c>
    </row>
    <row r="2175" customFormat="false" ht="15" hidden="false" customHeight="false" outlineLevel="0" collapsed="false">
      <c r="A2175" s="3" t="s">
        <v>555</v>
      </c>
      <c r="B2175" s="8" t="s">
        <v>86</v>
      </c>
      <c r="C2175" s="38" t="n">
        <f aca="false">Q!$D$44</f>
        <v>115.877</v>
      </c>
      <c r="D2175" s="38" t="n">
        <f aca="false">Q!$E$44</f>
        <v>139.514</v>
      </c>
      <c r="E2175" s="38" t="n">
        <f aca="false">Q!$P$44</f>
        <v>71.419</v>
      </c>
      <c r="F2175" s="38" t="n">
        <f aca="false">Sens!$F$2171+Sens!$F$2172+Sens!$F$2173+Sens!$F$2174</f>
        <v>90.2876761820395</v>
      </c>
      <c r="G2175" s="38" t="n">
        <f aca="false">Sens!$E$2175+Sens!$F$2175</f>
        <v>161.70667618204</v>
      </c>
      <c r="H2175" s="38" t="n">
        <f aca="false">Sens!$H$2171+Sens!$H$2172+Sens!$H$2173+Sens!$H$2174</f>
        <v>217.572913484771</v>
      </c>
      <c r="I2175" s="38" t="n">
        <f aca="false">Sens!$I$2171+Sens!$I$2172+Sens!$I$2173+Sens!$I$2174</f>
        <v>268.683282638569</v>
      </c>
      <c r="J2175" s="38" t="n">
        <f aca="false">Sens!$J$2171+Sens!$J$2172+Sens!$J$2173+Sens!$J$2174</f>
        <v>320.321100978177</v>
      </c>
      <c r="K2175" s="38" t="n">
        <f aca="false">Sens!$K$2171+Sens!$K$2172+Sens!$K$2173+Sens!$K$2174</f>
        <v>367.776236910239</v>
      </c>
      <c r="L2175" s="38" t="n">
        <f aca="false">Sens!$L$2171+Sens!$L$2172+Sens!$L$2173+Sens!$L$2174</f>
        <v>409.615826768398</v>
      </c>
      <c r="M2175" s="38" t="n">
        <f aca="false">Sens!$M$2171+Sens!$M$2172+Sens!$M$2173+Sens!$M$2174</f>
        <v>446.87032946353</v>
      </c>
    </row>
    <row r="2176" customFormat="false" ht="17.15" hidden="false" customHeight="false" outlineLevel="0" collapsed="false">
      <c r="A2176" s="5" t="s">
        <v>788</v>
      </c>
      <c r="B2176" s="0" t="s">
        <v>86</v>
      </c>
      <c r="C2176" s="38" t="n">
        <f aca="false">Sens!$C$2057</f>
        <v>25.2781053077374</v>
      </c>
      <c r="D2176" s="38" t="n">
        <f aca="false">Sens!$D$2057</f>
        <v>69.5686316310026</v>
      </c>
      <c r="E2176" s="38" t="n">
        <f aca="false">Sens!$E$2057</f>
        <v>64.1899206485108</v>
      </c>
      <c r="F2176" s="38" t="n">
        <f aca="false">Sens!$F$2057</f>
        <v>96.2481299895</v>
      </c>
      <c r="G2176" s="38" t="n">
        <f aca="false">Sens!$G$2057</f>
        <v>160.438050638011</v>
      </c>
      <c r="H2176" s="38" t="n">
        <f aca="false">Sens!$H$2057</f>
        <v>198.57136494475</v>
      </c>
      <c r="I2176" s="38" t="n">
        <f aca="false">Sens!$I$2057</f>
        <v>204.6464699105</v>
      </c>
      <c r="J2176" s="38" t="n">
        <f aca="false">Sens!$J$2057</f>
        <v>204.6464699105</v>
      </c>
      <c r="K2176" s="38" t="n">
        <f aca="false">Sens!$K$2057</f>
        <v>150.001617075201</v>
      </c>
      <c r="L2176" s="38" t="n">
        <f aca="false">Sens!$L$2057</f>
        <v>95.3567642399017</v>
      </c>
      <c r="M2176" s="38" t="n">
        <f aca="false">Sens!$M$2057</f>
        <v>72.1325206046024</v>
      </c>
    </row>
    <row r="2177" customFormat="false" ht="17.15" hidden="false" customHeight="false" outlineLevel="0" collapsed="false">
      <c r="A2177" s="5" t="s">
        <v>789</v>
      </c>
      <c r="B2177" s="0" t="s">
        <v>86</v>
      </c>
      <c r="C2177" s="38" t="n">
        <f aca="false">cx_awso*Sens!$C$2088</f>
        <v>21.0469989286053</v>
      </c>
      <c r="D2177" s="38" t="n">
        <f aca="false">cx_awso*Sens!$D$2088</f>
        <v>24.0042459822698</v>
      </c>
      <c r="E2177" s="38" t="n">
        <f aca="false">cx_awso*Sens!$E$2088</f>
        <v>14.261729404886</v>
      </c>
      <c r="F2177" s="38" t="n">
        <f aca="false">cx_awso*Sens!$F$2088</f>
        <v>14.3538599588493</v>
      </c>
      <c r="G2177" s="38" t="n">
        <f aca="false">Sens!$E$2177+Sens!$F$2177</f>
        <v>28.6155893637353</v>
      </c>
      <c r="H2177" s="38" t="n">
        <f aca="false">cx_awso*Sens!$H$2088</f>
        <v>32.2034154158406</v>
      </c>
      <c r="I2177" s="38" t="n">
        <f aca="false">cx_awso*Sens!$I$2088</f>
        <v>35.7539519042915</v>
      </c>
      <c r="J2177" s="38" t="n">
        <f aca="false">cx_awso*Sens!$J$2088</f>
        <v>39.1551076091815</v>
      </c>
      <c r="K2177" s="38" t="n">
        <f aca="false">cx_awso*Sens!$K$2088</f>
        <v>42.287516217916</v>
      </c>
      <c r="L2177" s="38" t="n">
        <f aca="false">cx_awso*Sens!$L$2088</f>
        <v>45.6705175153492</v>
      </c>
      <c r="M2177" s="38" t="n">
        <f aca="false">cx_awso*Sens!$M$2088</f>
        <v>49.3241589165772</v>
      </c>
    </row>
    <row r="2178" customFormat="false" ht="17.15" hidden="false" customHeight="false" outlineLevel="0" collapsed="false">
      <c r="A2178" s="5" t="s">
        <v>790</v>
      </c>
      <c r="B2178" s="0" t="s">
        <v>86</v>
      </c>
      <c r="C2178" s="38" t="n">
        <f aca="false">Q!$D$46-Sens!$C$2176-Sens!$C$2177</f>
        <v>31.3328957636573</v>
      </c>
      <c r="D2178" s="38" t="n">
        <f aca="false">Q!$E$46-Sens!$D$2176-Sens!$D$2177</f>
        <v>34.7471223867276</v>
      </c>
      <c r="E2178" s="38" t="n">
        <f aca="false">Q!$P$46-Sens!$E$2176-Sens!$E$2177</f>
        <v>17.8583499466032</v>
      </c>
      <c r="F2178" s="38" t="n">
        <f aca="false">cx_rt*Sens!$F$2020</f>
        <v>20.6195895799373</v>
      </c>
      <c r="G2178" s="38" t="n">
        <f aca="false">Sens!$E$2178+Sens!$F$2178</f>
        <v>38.4779395265405</v>
      </c>
      <c r="H2178" s="38" t="n">
        <f aca="false">cx_rt*Sens!$H$2020</f>
        <v>42.5978994743075</v>
      </c>
      <c r="I2178" s="38" t="n">
        <f aca="false">cx_rt*Sens!$I$2020</f>
        <v>46.5813904136335</v>
      </c>
      <c r="J2178" s="38" t="n">
        <f aca="false">cx_rt*Sens!$J$2020</f>
        <v>50.2781676586844</v>
      </c>
      <c r="K2178" s="38" t="n">
        <f aca="false">cx_rt*Sens!$K$2020</f>
        <v>53.5312440191755</v>
      </c>
      <c r="L2178" s="38" t="n">
        <f aca="false">cx_rt*Sens!$L$2020</f>
        <v>57.0116717051447</v>
      </c>
      <c r="M2178" s="38" t="n">
        <f aca="false">cx_rt*Sens!$M$2020</f>
        <v>60.7365554669226</v>
      </c>
    </row>
    <row r="2179" customFormat="false" ht="15" hidden="false" customHeight="false" outlineLevel="0" collapsed="false">
      <c r="A2179" s="3" t="s">
        <v>791</v>
      </c>
      <c r="B2179" s="8" t="s">
        <v>86</v>
      </c>
      <c r="C2179" s="38" t="n">
        <f aca="false">Q!$D$46</f>
        <v>77.658</v>
      </c>
      <c r="D2179" s="38" t="n">
        <f aca="false">Q!$E$46</f>
        <v>128.32</v>
      </c>
      <c r="E2179" s="38" t="n">
        <f aca="false">Q!$P$46</f>
        <v>96.31</v>
      </c>
      <c r="F2179" s="38" t="n">
        <f aca="false">Sens!$F$2176+Sens!$F$2177+Sens!$F$2178</f>
        <v>131.221579528287</v>
      </c>
      <c r="G2179" s="38" t="n">
        <f aca="false">Sens!$E$2179+Sens!$F$2179</f>
        <v>227.531579528287</v>
      </c>
      <c r="H2179" s="38" t="n">
        <f aca="false">Sens!$H$2176+Sens!$H$2177+Sens!$H$2178</f>
        <v>273.372679834898</v>
      </c>
      <c r="I2179" s="38" t="n">
        <f aca="false">Sens!$I$2176+Sens!$I$2177+Sens!$I$2178</f>
        <v>286.981812228425</v>
      </c>
      <c r="J2179" s="38" t="n">
        <f aca="false">Sens!$J$2176+Sens!$J$2177+Sens!$J$2178</f>
        <v>294.079745178366</v>
      </c>
      <c r="K2179" s="38" t="n">
        <f aca="false">Sens!$K$2176+Sens!$K$2177+Sens!$K$2178</f>
        <v>245.820377312292</v>
      </c>
      <c r="L2179" s="38" t="n">
        <f aca="false">Sens!$L$2176+Sens!$L$2177+Sens!$L$2178</f>
        <v>198.038953460396</v>
      </c>
      <c r="M2179" s="38" t="n">
        <f aca="false">Sens!$M$2176+Sens!$M$2177+Sens!$M$2178</f>
        <v>182.193234988102</v>
      </c>
    </row>
    <row r="2180" customFormat="false" ht="17.15" hidden="false" customHeight="false" outlineLevel="0" collapsed="false">
      <c r="A2180" s="5" t="s">
        <v>563</v>
      </c>
      <c r="B2180" s="0" t="s">
        <v>86</v>
      </c>
      <c r="C2180" s="38" t="n">
        <f aca="false">Q!$D$50</f>
        <v>2.043</v>
      </c>
      <c r="D2180" s="38" t="n">
        <f aca="false">Q!$E$50</f>
        <v>1.557</v>
      </c>
      <c r="E2180" s="38" t="n">
        <f aca="false">lease_pr/2</f>
        <v>0.8</v>
      </c>
      <c r="F2180" s="38" t="n">
        <f aca="false">lease_pr/2</f>
        <v>0.8</v>
      </c>
      <c r="G2180" s="38" t="n">
        <f aca="false">Sens!$E$2180+Sens!$F$2180</f>
        <v>1.6</v>
      </c>
      <c r="H2180" s="38" t="n">
        <f aca="false">lease_pr</f>
        <v>1.6</v>
      </c>
      <c r="I2180" s="38" t="n">
        <f aca="false">lease_pr</f>
        <v>1.6</v>
      </c>
      <c r="J2180" s="38" t="n">
        <f aca="false">lease_pr</f>
        <v>1.6</v>
      </c>
      <c r="K2180" s="38" t="n">
        <f aca="false">lease_pr</f>
        <v>1.6</v>
      </c>
      <c r="L2180" s="38" t="n">
        <f aca="false">lease_pr</f>
        <v>1.6</v>
      </c>
      <c r="M2180" s="38" t="n">
        <f aca="false">lease_pr</f>
        <v>1.6</v>
      </c>
      <c r="P2180" s="8" t="s">
        <v>792</v>
      </c>
    </row>
    <row r="2181" customFormat="false" ht="15" hidden="false" customHeight="false" outlineLevel="0" collapsed="false">
      <c r="A2181" s="47" t="s">
        <v>793</v>
      </c>
      <c r="B2181" s="14" t="s">
        <v>86</v>
      </c>
      <c r="C2181" s="48" t="n">
        <f aca="false">Sens!$C$2175-Sens!$C$2179-Sens!$C$2180</f>
        <v>36.176</v>
      </c>
      <c r="D2181" s="48" t="n">
        <f aca="false">Sens!$D$2175-Sens!$D$2179-Sens!$D$2180</f>
        <v>9.63700000000002</v>
      </c>
      <c r="E2181" s="48" t="n">
        <f aca="false">Sens!$E$2175-Sens!$E$2179-Sens!$E$2180</f>
        <v>-25.691</v>
      </c>
      <c r="F2181" s="48" t="n">
        <f aca="false">Sens!$F$2175-Sens!$F$2179-Sens!$F$2180</f>
        <v>-41.7339033462471</v>
      </c>
      <c r="G2181" s="48" t="n">
        <f aca="false">Sens!$G$2175-Sens!$G$2179-Sens!$G$2180</f>
        <v>-67.4249033462471</v>
      </c>
      <c r="H2181" s="48" t="n">
        <f aca="false">Sens!$H$2175-Sens!$H$2179-Sens!$H$2180</f>
        <v>-57.3997663501276</v>
      </c>
      <c r="I2181" s="48" t="n">
        <f aca="false">Sens!$I$2175-Sens!$I$2179-Sens!$I$2180</f>
        <v>-19.8985295898561</v>
      </c>
      <c r="J2181" s="48" t="n">
        <f aca="false">Sens!$J$2175-Sens!$J$2179-Sens!$J$2180</f>
        <v>24.6413557998116</v>
      </c>
      <c r="K2181" s="48" t="n">
        <f aca="false">Sens!$K$2175-Sens!$K$2179-Sens!$K$2180</f>
        <v>120.355859597947</v>
      </c>
      <c r="L2181" s="48" t="n">
        <f aca="false">Sens!$L$2175-Sens!$L$2179-Sens!$L$2180</f>
        <v>209.976873308002</v>
      </c>
      <c r="M2181" s="48" t="n">
        <f aca="false">Sens!$M$2175-Sens!$M$2179-Sens!$M$2180</f>
        <v>263.077094475428</v>
      </c>
      <c r="N2181" s="14"/>
      <c r="O2181" s="14"/>
    </row>
    <row r="2182" customFormat="false" ht="17.15" hidden="false" customHeight="false" outlineLevel="0" collapsed="false">
      <c r="A2182" s="5" t="s">
        <v>794</v>
      </c>
      <c r="B2182" s="0" t="s">
        <v>86</v>
      </c>
      <c r="C2182" s="38" t="n">
        <f aca="false">dps*Sens!$C$2161</f>
        <v>0</v>
      </c>
      <c r="D2182" s="38" t="n">
        <f aca="false">dps*Sens!$D$2161</f>
        <v>0</v>
      </c>
      <c r="E2182" s="38" t="n">
        <f aca="false">dps*Sens!$E$2161</f>
        <v>0</v>
      </c>
      <c r="F2182" s="38" t="n">
        <f aca="false">0</f>
        <v>0</v>
      </c>
      <c r="G2182" s="38" t="n">
        <f aca="false">dps*Sens!$G$2161</f>
        <v>0</v>
      </c>
      <c r="H2182" s="38" t="n">
        <f aca="false">dps*Sens!$H$2161</f>
        <v>0</v>
      </c>
      <c r="I2182" s="38" t="n">
        <f aca="false">dps*Sens!$I$2161</f>
        <v>0</v>
      </c>
      <c r="J2182" s="38" t="n">
        <f aca="false">dps*Sens!$J$2161</f>
        <v>0</v>
      </c>
      <c r="K2182" s="38" t="n">
        <f aca="false">dps*Sens!$K$2161</f>
        <v>0</v>
      </c>
      <c r="L2182" s="38" t="n">
        <f aca="false">dps*Sens!$L$2161</f>
        <v>0</v>
      </c>
      <c r="M2182" s="38" t="n">
        <f aca="false">dps*Sens!$M$2161</f>
        <v>0</v>
      </c>
      <c r="P2182" s="8" t="s">
        <v>795</v>
      </c>
    </row>
    <row r="2183" customFormat="false" ht="17.15" hidden="false" customHeight="false" outlineLevel="0" collapsed="false">
      <c r="A2183" s="5" t="s">
        <v>796</v>
      </c>
      <c r="B2183" s="0" t="s">
        <v>86</v>
      </c>
      <c r="C2183" s="38" t="n">
        <f aca="false">0</f>
        <v>0</v>
      </c>
      <c r="D2183" s="38" t="n">
        <f aca="false">0</f>
        <v>0</v>
      </c>
      <c r="E2183" s="38" t="n">
        <f aca="false">0</f>
        <v>0</v>
      </c>
      <c r="F2183" s="38" t="n">
        <f aca="false">0</f>
        <v>0</v>
      </c>
      <c r="G2183" s="38" t="n">
        <f aca="false">0</f>
        <v>0</v>
      </c>
      <c r="H2183" s="38" t="n">
        <f aca="false">0</f>
        <v>0</v>
      </c>
      <c r="I2183" s="38" t="n">
        <f aca="false">0</f>
        <v>0</v>
      </c>
      <c r="J2183" s="38" t="n">
        <f aca="false">0</f>
        <v>0</v>
      </c>
      <c r="K2183" s="38" t="n">
        <f aca="false">0</f>
        <v>0</v>
      </c>
      <c r="L2183" s="38" t="n">
        <f aca="false">0</f>
        <v>0</v>
      </c>
      <c r="M2183" s="38" t="n">
        <f aca="false">0</f>
        <v>0</v>
      </c>
      <c r="P2183" s="8" t="s">
        <v>797</v>
      </c>
    </row>
    <row r="2184" customFormat="false" ht="15" hidden="false" customHeight="false" outlineLevel="0" collapsed="false">
      <c r="A2184" s="3" t="s">
        <v>798</v>
      </c>
      <c r="B2184" s="8" t="s">
        <v>86</v>
      </c>
      <c r="C2184" s="38" t="n">
        <f aca="false">Sens!$C$2181-Sens!$C$2182</f>
        <v>36.176</v>
      </c>
      <c r="D2184" s="38" t="n">
        <f aca="false">Sens!$D$2181-Sens!$D$2182</f>
        <v>9.63700000000002</v>
      </c>
      <c r="E2184" s="38" t="n">
        <f aca="false">Sens!$E$2181-Sens!$E$2182</f>
        <v>-25.691</v>
      </c>
      <c r="F2184" s="38" t="n">
        <f aca="false">Sens!$F$2181-Sens!$F$2182</f>
        <v>-41.7339033462471</v>
      </c>
      <c r="G2184" s="38" t="n">
        <f aca="false">Sens!$G$2181-Sens!$G$2182</f>
        <v>-67.4249033462471</v>
      </c>
      <c r="H2184" s="38" t="n">
        <f aca="false">Sens!$H$2181-Sens!$H$2182</f>
        <v>-57.3997663501276</v>
      </c>
      <c r="I2184" s="38" t="n">
        <f aca="false">Sens!$I$2181-Sens!$I$2182</f>
        <v>-19.8985295898561</v>
      </c>
      <c r="J2184" s="38" t="n">
        <f aca="false">Sens!$J$2181-Sens!$J$2182</f>
        <v>24.6413557998116</v>
      </c>
      <c r="K2184" s="38" t="n">
        <f aca="false">Sens!$K$2181-Sens!$K$2182</f>
        <v>120.355859597947</v>
      </c>
      <c r="L2184" s="38" t="n">
        <f aca="false">Sens!$L$2181-Sens!$L$2182</f>
        <v>209.976873308002</v>
      </c>
      <c r="M2184" s="38" t="n">
        <f aca="false">Sens!$M$2181-Sens!$M$2182</f>
        <v>263.077094475428</v>
      </c>
    </row>
    <row r="2185" customFormat="false" ht="17.15" hidden="false" customHeight="false" outlineLevel="0" collapsed="false">
      <c r="A2185" s="5" t="s">
        <v>799</v>
      </c>
      <c r="B2185" s="0" t="s">
        <v>86</v>
      </c>
      <c r="E2185" s="38" t="n">
        <f aca="false">Q!$P$53</f>
        <v>39.767</v>
      </c>
      <c r="F2185" s="38" t="n">
        <f aca="false">inv_2h26</f>
        <v>21.3</v>
      </c>
      <c r="G2185" s="38" t="n">
        <f aca="false">Sens!$E$2185+Sens!$F$2185</f>
        <v>61.067</v>
      </c>
      <c r="H2185" s="39" t="n">
        <v>0</v>
      </c>
      <c r="I2185" s="39" t="n">
        <v>0</v>
      </c>
      <c r="J2185" s="39" t="n">
        <v>0</v>
      </c>
      <c r="K2185" s="39" t="n">
        <v>0</v>
      </c>
      <c r="L2185" s="39" t="n">
        <v>0</v>
      </c>
      <c r="M2185" s="39" t="n">
        <v>0</v>
      </c>
    </row>
    <row r="2186" customFormat="false" ht="17.15" hidden="false" customHeight="false" outlineLevel="0" collapsed="false">
      <c r="A2186" s="5" t="s">
        <v>800</v>
      </c>
      <c r="B2186" s="0" t="s">
        <v>86</v>
      </c>
      <c r="F2186" s="38" t="n">
        <f aca="false">iss_2h26</f>
        <v>29.249999</v>
      </c>
      <c r="G2186" s="38" t="n">
        <f aca="false">Sens!$F$2186</f>
        <v>29.249999</v>
      </c>
      <c r="H2186" s="39" t="n">
        <v>0</v>
      </c>
      <c r="I2186" s="39" t="n">
        <v>0</v>
      </c>
      <c r="J2186" s="39" t="n">
        <v>0</v>
      </c>
      <c r="K2186" s="39" t="n">
        <v>0</v>
      </c>
      <c r="L2186" s="39" t="n">
        <v>0</v>
      </c>
      <c r="M2186" s="39" t="n">
        <v>0</v>
      </c>
    </row>
    <row r="2187" customFormat="false" ht="17.15" hidden="false" customHeight="false" outlineLevel="0" collapsed="false">
      <c r="A2187" s="5" t="s">
        <v>801</v>
      </c>
      <c r="B2187" s="0" t="s">
        <v>86</v>
      </c>
      <c r="F2187" s="38" t="n">
        <f aca="false">cash_q2</f>
        <v>122.988</v>
      </c>
      <c r="G2187" s="38" t="n">
        <f aca="false">cash_q2</f>
        <v>122.988</v>
      </c>
      <c r="H2187" s="38" t="n">
        <f aca="false">Sens!$G$2190</f>
        <v>89.2040956537529</v>
      </c>
      <c r="I2187" s="38" t="n">
        <f aca="false">Sens!$H$2190</f>
        <v>50</v>
      </c>
      <c r="J2187" s="38" t="n">
        <f aca="false">Sens!$I$2190</f>
        <v>50</v>
      </c>
      <c r="K2187" s="38" t="n">
        <f aca="false">Sens!$J$2190</f>
        <v>74.6413557998116</v>
      </c>
      <c r="L2187" s="38" t="n">
        <f aca="false">Sens!$K$2190</f>
        <v>194.997215397759</v>
      </c>
      <c r="M2187" s="38" t="n">
        <f aca="false">Sens!$L$2190</f>
        <v>404.974088705761</v>
      </c>
    </row>
    <row r="2188" customFormat="false" ht="15" hidden="false" customHeight="false" outlineLevel="0" collapsed="false">
      <c r="A2188" s="5" t="s">
        <v>802</v>
      </c>
      <c r="B2188" s="0" t="s">
        <v>86</v>
      </c>
      <c r="F2188" s="38" t="n">
        <f aca="false">Sens!$F$2187+Sens!$F$2184-Sens!$F$2183-Sens!$F$2185+Sens!$F$2186</f>
        <v>89.2040956537529</v>
      </c>
      <c r="H2188" s="38" t="n">
        <f aca="false">Sens!$H$2187+Sens!$H$2184-Sens!$H$2183-Sens!$H$2185+Sens!$H$2186</f>
        <v>31.8043293036253</v>
      </c>
      <c r="I2188" s="38" t="n">
        <f aca="false">Sens!$I$2187+Sens!$I$2184-Sens!$I$2183-Sens!$I$2185+Sens!$I$2186</f>
        <v>30.1014704101439</v>
      </c>
      <c r="J2188" s="38" t="n">
        <f aca="false">Sens!$J$2187+Sens!$J$2184-Sens!$J$2183-Sens!$J$2185+Sens!$J$2186</f>
        <v>74.6413557998116</v>
      </c>
      <c r="K2188" s="38" t="n">
        <f aca="false">Sens!$K$2187+Sens!$K$2184-Sens!$K$2183-Sens!$K$2185+Sens!$K$2186</f>
        <v>194.997215397759</v>
      </c>
      <c r="L2188" s="38" t="n">
        <f aca="false">Sens!$L$2187+Sens!$L$2184-Sens!$L$2183-Sens!$L$2185+Sens!$L$2186</f>
        <v>404.974088705761</v>
      </c>
      <c r="M2188" s="38" t="n">
        <f aca="false">Sens!$M$2187+Sens!$M$2184-Sens!$M$2183-Sens!$M$2185+Sens!$M$2186</f>
        <v>668.051183181189</v>
      </c>
    </row>
    <row r="2189" customFormat="false" ht="17.15" hidden="false" customHeight="false" outlineLevel="0" collapsed="false">
      <c r="A2189" s="5" t="s">
        <v>803</v>
      </c>
      <c r="B2189" s="0" t="s">
        <v>86</v>
      </c>
      <c r="F2189" s="38" t="n">
        <f aca="false">MAX(0,min_cash-Sens!$F$2188)</f>
        <v>0</v>
      </c>
      <c r="G2189" s="38" t="n">
        <f aca="false">Sens!$F$2189</f>
        <v>0</v>
      </c>
      <c r="H2189" s="38" t="n">
        <f aca="false">MAX(0,min_cash-Sens!$H$2188)</f>
        <v>18.1956706963747</v>
      </c>
      <c r="I2189" s="38" t="n">
        <f aca="false">MAX(0,min_cash-Sens!$I$2188)</f>
        <v>19.8985295898561</v>
      </c>
      <c r="J2189" s="38" t="n">
        <f aca="false">MAX(0,min_cash-Sens!$J$2188)</f>
        <v>0</v>
      </c>
      <c r="K2189" s="38" t="n">
        <f aca="false">MAX(0,min_cash-Sens!$K$2188)</f>
        <v>0</v>
      </c>
      <c r="L2189" s="38" t="n">
        <f aca="false">MAX(0,min_cash-Sens!$L$2188)</f>
        <v>0</v>
      </c>
      <c r="M2189" s="38" t="n">
        <f aca="false">MAX(0,min_cash-Sens!$M$2188)</f>
        <v>0</v>
      </c>
      <c r="P2189" s="5" t="s">
        <v>804</v>
      </c>
    </row>
    <row r="2190" customFormat="false" ht="15" hidden="false" customHeight="false" outlineLevel="0" collapsed="false">
      <c r="A2190" s="5" t="s">
        <v>805</v>
      </c>
      <c r="B2190" s="0" t="s">
        <v>86</v>
      </c>
      <c r="D2190" s="38" t="n">
        <f aca="false">Q!$E$61</f>
        <v>123.029</v>
      </c>
      <c r="E2190" s="38" t="n">
        <f aca="false">Q!$M$61</f>
        <v>122.988</v>
      </c>
      <c r="F2190" s="38" t="n">
        <f aca="false">Sens!$F$2188+Sens!$F$2189</f>
        <v>89.2040956537529</v>
      </c>
      <c r="G2190" s="38" t="n">
        <f aca="false">Sens!$F$2190</f>
        <v>89.2040956537529</v>
      </c>
      <c r="H2190" s="38" t="n">
        <f aca="false">Sens!$H$2188+Sens!$H$2189</f>
        <v>50</v>
      </c>
      <c r="I2190" s="38" t="n">
        <f aca="false">Sens!$I$2188+Sens!$I$2189</f>
        <v>50</v>
      </c>
      <c r="J2190" s="38" t="n">
        <f aca="false">Sens!$J$2188+Sens!$J$2189</f>
        <v>74.6413557998116</v>
      </c>
      <c r="K2190" s="38" t="n">
        <f aca="false">Sens!$K$2188+Sens!$K$2189</f>
        <v>194.997215397759</v>
      </c>
      <c r="L2190" s="38" t="n">
        <f aca="false">Sens!$L$2188+Sens!$L$2189</f>
        <v>404.974088705761</v>
      </c>
      <c r="M2190" s="38" t="n">
        <f aca="false">Sens!$M$2188+Sens!$M$2189</f>
        <v>668.051183181189</v>
      </c>
    </row>
    <row r="2191" customFormat="false" ht="15" hidden="false" customHeight="false" outlineLevel="0" collapsed="false">
      <c r="A2191" s="5" t="s">
        <v>806</v>
      </c>
      <c r="B2191" s="0" t="s">
        <v>86</v>
      </c>
      <c r="D2191" s="38" t="n">
        <f aca="false">Q!$E$62</f>
        <v>68.836</v>
      </c>
      <c r="E2191" s="38" t="n">
        <f aca="false">Q!$M$62</f>
        <v>132.995</v>
      </c>
      <c r="F2191" s="38" t="n">
        <f aca="false">debt_q2+Sens!$F$2186+Sens!$F$2189</f>
        <v>162.244999</v>
      </c>
      <c r="G2191" s="38" t="n">
        <f aca="false">Sens!$F$2191</f>
        <v>162.244999</v>
      </c>
      <c r="H2191" s="38" t="n">
        <f aca="false">Sens!$G$2191+Sens!$H$2189</f>
        <v>180.440669696375</v>
      </c>
      <c r="I2191" s="38" t="n">
        <f aca="false">Sens!$H$2191+Sens!$I$2189</f>
        <v>200.339199286231</v>
      </c>
      <c r="J2191" s="38" t="n">
        <f aca="false">Sens!$I$2191+Sens!$J$2189</f>
        <v>200.339199286231</v>
      </c>
      <c r="K2191" s="38" t="n">
        <f aca="false">Sens!$J$2191+Sens!$K$2189</f>
        <v>200.339199286231</v>
      </c>
      <c r="L2191" s="38" t="n">
        <f aca="false">Sens!$K$2191+Sens!$L$2189</f>
        <v>200.339199286231</v>
      </c>
      <c r="M2191" s="38" t="n">
        <f aca="false">Sens!$L$2191+Sens!$M$2189</f>
        <v>200.339199286231</v>
      </c>
    </row>
    <row r="2192" customFormat="false" ht="15" hidden="false" customHeight="false" outlineLevel="0" collapsed="false">
      <c r="A2192" s="5" t="s">
        <v>807</v>
      </c>
      <c r="B2192" s="0" t="s">
        <v>86</v>
      </c>
      <c r="D2192" s="38" t="n">
        <f aca="false">Sens!$D$2191-Sens!$D$2190</f>
        <v>-54.193</v>
      </c>
      <c r="E2192" s="38" t="n">
        <f aca="false">Sens!$E$2191-Sens!$E$2190</f>
        <v>10.007</v>
      </c>
      <c r="F2192" s="38" t="n">
        <f aca="false">Sens!$F$2191-Sens!$F$2190</f>
        <v>73.0409033462471</v>
      </c>
      <c r="G2192" s="38" t="n">
        <f aca="false">Sens!$G$2191-Sens!$G$2190</f>
        <v>73.0409033462471</v>
      </c>
      <c r="H2192" s="38" t="n">
        <f aca="false">Sens!$H$2191-Sens!$H$2190</f>
        <v>130.440669696375</v>
      </c>
      <c r="I2192" s="38" t="n">
        <f aca="false">Sens!$I$2191-Sens!$I$2190</f>
        <v>150.339199286231</v>
      </c>
      <c r="J2192" s="38" t="n">
        <f aca="false">Sens!$J$2191-Sens!$J$2190</f>
        <v>125.697843486419</v>
      </c>
      <c r="K2192" s="38" t="n">
        <f aca="false">Sens!$K$2191-Sens!$K$2190</f>
        <v>5.34198388847216</v>
      </c>
      <c r="L2192" s="38" t="n">
        <f aca="false">Sens!$L$2191-Sens!$L$2190</f>
        <v>-204.63488941953</v>
      </c>
      <c r="M2192" s="38" t="n">
        <f aca="false">Sens!$M$2191-Sens!$M$2190</f>
        <v>-467.711983894958</v>
      </c>
    </row>
    <row r="2193" customFormat="false" ht="17.15" hidden="false" customHeight="false" outlineLevel="0" collapsed="false">
      <c r="A2193" s="5" t="s">
        <v>808</v>
      </c>
      <c r="B2193" s="0" t="s">
        <v>86</v>
      </c>
      <c r="F2193" s="38" t="n">
        <f aca="false">debt_q2*kd_book*0.5+iss_2h26*kd_new*iss_t</f>
        <v>3.24888962733561</v>
      </c>
      <c r="H2193" s="38" t="n">
        <f aca="false">debt_q2*kd_book+(Sens!$G$2191-debt_q2)*kd_new</f>
        <v>7.42354172302123</v>
      </c>
      <c r="I2193" s="38" t="n">
        <f aca="false">debt_q2*kd_book+(Sens!$H$2191-debt_q2)*kd_new</f>
        <v>8.57532767810175</v>
      </c>
      <c r="J2193" s="38" t="n">
        <f aca="false">debt_q2*kd_book+(Sens!$I$2191-debt_q2)*kd_new</f>
        <v>9.83490460113964</v>
      </c>
      <c r="K2193" s="38" t="n">
        <f aca="false">debt_q2*kd_book+(Sens!$J$2191-debt_q2)*kd_new</f>
        <v>9.83490460113964</v>
      </c>
      <c r="L2193" s="38" t="n">
        <f aca="false">debt_q2*kd_book+(Sens!$K$2191-debt_q2)*kd_new</f>
        <v>9.83490460113964</v>
      </c>
      <c r="M2193" s="38" t="n">
        <f aca="false">debt_q2*kd_book+(Sens!$L$2191-debt_q2)*kd_new</f>
        <v>9.83490460113964</v>
      </c>
    </row>
    <row r="2194" customFormat="false" ht="17.15" hidden="false" customHeight="false" outlineLevel="0" collapsed="false">
      <c r="A2194" s="5" t="s">
        <v>809</v>
      </c>
      <c r="B2194" s="0" t="s">
        <v>86</v>
      </c>
      <c r="F2194" s="38" t="n">
        <f aca="false">cash_q2*y_cash*0.5</f>
        <v>2.59</v>
      </c>
      <c r="H2194" s="38" t="n">
        <f aca="false">Sens!$G$2190*y_cash</f>
        <v>3.7570918747068</v>
      </c>
      <c r="I2194" s="38" t="n">
        <f aca="false">Sens!$H$2190*y_cash</f>
        <v>2.10589651022864</v>
      </c>
      <c r="J2194" s="38" t="n">
        <f aca="false">Sens!$I$2190*y_cash</f>
        <v>2.10589651022864</v>
      </c>
      <c r="K2194" s="38" t="n">
        <f aca="false">Sens!$J$2190*y_cash</f>
        <v>3.14373941395115</v>
      </c>
      <c r="L2194" s="38" t="n">
        <f aca="false">Sens!$K$2190*y_cash</f>
        <v>8.21287910820885</v>
      </c>
      <c r="M2194" s="38" t="n">
        <f aca="false">Sens!$L$2190*y_cash</f>
        <v>17.0566704027697</v>
      </c>
    </row>
    <row r="2195" customFormat="false" ht="17.15" hidden="false" customHeight="false" outlineLevel="0" collapsed="false">
      <c r="A2195" s="47" t="s">
        <v>810</v>
      </c>
      <c r="B2195" s="14" t="s">
        <v>86</v>
      </c>
      <c r="C2195" s="14"/>
      <c r="D2195" s="14"/>
      <c r="E2195" s="14"/>
      <c r="F2195" s="14"/>
      <c r="G2195" s="48" t="n">
        <f aca="false">SUM(Sens!$G$2184:$K$2184)</f>
        <v>0.274016111527828</v>
      </c>
      <c r="H2195" s="14"/>
      <c r="I2195" s="14"/>
      <c r="J2195" s="14"/>
      <c r="K2195" s="14"/>
      <c r="L2195" s="14"/>
      <c r="M2195" s="14"/>
      <c r="N2195" s="14"/>
      <c r="O2195" s="14"/>
    </row>
    <row r="2196" customFormat="false" ht="17.15" hidden="false" customHeight="false" outlineLevel="0" collapsed="false">
      <c r="A2196" s="0" t="s">
        <v>776</v>
      </c>
      <c r="B2196" s="0" t="s">
        <v>86</v>
      </c>
      <c r="G2196" s="38" t="n">
        <f aca="false">SUM(Sens!$G$2189:$K$2189)</f>
        <v>38.0942002862308</v>
      </c>
    </row>
    <row r="2197" customFormat="false" ht="17.15" hidden="false" customHeight="false" outlineLevel="0" collapsed="false">
      <c r="A2197" s="24" t="s">
        <v>813</v>
      </c>
      <c r="B2197" s="25" t="s">
        <v>86</v>
      </c>
      <c r="C2197" s="25"/>
      <c r="D2197" s="25"/>
      <c r="E2197" s="25"/>
      <c r="F2197" s="25"/>
      <c r="G2197" s="41" t="n">
        <f aca="false">Sens!$G$2195-(Sens!$G$2184+Sens!$H$2184+Sens!$I$2184+Sens!$J$2184+Sens!$K$2184)</f>
        <v>-2.8421709430404E-014</v>
      </c>
      <c r="H2197" s="25"/>
      <c r="I2197" s="25"/>
      <c r="J2197" s="25"/>
      <c r="K2197" s="25"/>
      <c r="L2197" s="25"/>
      <c r="M2197" s="25"/>
      <c r="N2197" s="25"/>
      <c r="O2197" s="25"/>
    </row>
    <row r="2200" customFormat="false" ht="19.4" hidden="false" customHeight="false" outlineLevel="0" collapsed="false">
      <c r="A2200" s="31" t="s">
        <v>1179</v>
      </c>
    </row>
    <row r="2201" customFormat="false" ht="17.15" hidden="false" customHeight="false" outlineLevel="0" collapsed="false">
      <c r="A2201" s="6" t="s">
        <v>16</v>
      </c>
      <c r="B2201" s="6" t="s">
        <v>17</v>
      </c>
      <c r="C2201" s="20" t="s">
        <v>497</v>
      </c>
      <c r="D2201" s="20" t="s">
        <v>498</v>
      </c>
      <c r="E2201" s="20" t="s">
        <v>580</v>
      </c>
      <c r="F2201" s="20" t="s">
        <v>581</v>
      </c>
      <c r="G2201" s="20" t="s">
        <v>582</v>
      </c>
      <c r="H2201" s="20" t="s">
        <v>583</v>
      </c>
      <c r="I2201" s="20" t="s">
        <v>584</v>
      </c>
      <c r="J2201" s="20" t="s">
        <v>585</v>
      </c>
      <c r="K2201" s="20" t="s">
        <v>586</v>
      </c>
      <c r="L2201" s="20" t="s">
        <v>587</v>
      </c>
      <c r="M2201" s="20" t="s">
        <v>588</v>
      </c>
      <c r="N2201" s="20" t="s">
        <v>589</v>
      </c>
      <c r="O2201" s="20" t="s">
        <v>590</v>
      </c>
      <c r="P2201" s="6" t="s">
        <v>23</v>
      </c>
      <c r="R2201" s="20" t="n">
        <v>2023</v>
      </c>
      <c r="S2201" s="20" t="n">
        <v>2024</v>
      </c>
      <c r="T2201" s="20" t="n">
        <v>2025</v>
      </c>
      <c r="U2201" s="20" t="n">
        <v>2026</v>
      </c>
      <c r="V2201" s="20" t="n">
        <v>2027</v>
      </c>
      <c r="W2201" s="20" t="n">
        <v>2028</v>
      </c>
      <c r="X2201" s="20" t="n">
        <v>2029</v>
      </c>
      <c r="Y2201" s="20" t="n">
        <v>2030</v>
      </c>
      <c r="Z2201" s="20" t="n">
        <v>2031</v>
      </c>
      <c r="AA2201" s="20" t="n">
        <v>2032</v>
      </c>
    </row>
    <row r="2202" customFormat="false" ht="17.15" hidden="false" customHeight="false" outlineLevel="0" collapsed="false">
      <c r="A2202" s="1" t="s">
        <v>915</v>
      </c>
    </row>
    <row r="2203" customFormat="false" ht="17.15" hidden="false" customHeight="false" outlineLevel="0" collapsed="false">
      <c r="A2203" s="0" t="s">
        <v>916</v>
      </c>
      <c r="B2203" s="0" t="s">
        <v>86</v>
      </c>
      <c r="H2203" s="38" t="n">
        <f aca="false">Sens!$H$2137*(1-tax)</f>
        <v>123.370145598792</v>
      </c>
      <c r="I2203" s="38" t="n">
        <f aca="false">Sens!$I$2137*(1-tax)</f>
        <v>151.349035615396</v>
      </c>
      <c r="J2203" s="38" t="n">
        <f aca="false">Sens!$J$2137*(1-tax)</f>
        <v>178.241993011099</v>
      </c>
      <c r="K2203" s="38" t="n">
        <f aca="false">Sens!$K$2137*(1-tax)</f>
        <v>198.818306502594</v>
      </c>
      <c r="L2203" s="38" t="n">
        <f aca="false">Sens!$L$2137*(1-tax)</f>
        <v>214.547575833515</v>
      </c>
      <c r="M2203" s="38" t="n">
        <f aca="false">Sens!$M$2137*(1-tax)</f>
        <v>227.490977149183</v>
      </c>
    </row>
    <row r="2204" customFormat="false" ht="15" hidden="false" customHeight="false" outlineLevel="0" collapsed="false">
      <c r="A2204" s="5" t="s">
        <v>917</v>
      </c>
      <c r="B2204" s="0" t="s">
        <v>86</v>
      </c>
      <c r="H2204" s="38" t="n">
        <f aca="false">Sens!$H$2148</f>
        <v>75.0091015385486</v>
      </c>
      <c r="I2204" s="38" t="n">
        <f aca="false">Sens!$I$2148</f>
        <v>104.400199796459</v>
      </c>
      <c r="J2204" s="38" t="n">
        <f aca="false">Sens!$J$2148</f>
        <v>134.367271333963</v>
      </c>
      <c r="K2204" s="38" t="n">
        <f aca="false">Sens!$K$2148</f>
        <v>163.850930413781</v>
      </c>
      <c r="L2204" s="38" t="n">
        <f aca="false">Sens!$L$2148</f>
        <v>186.965171001821</v>
      </c>
      <c r="M2204" s="38" t="n">
        <f aca="false">Sens!$M$2148</f>
        <v>202.871868055778</v>
      </c>
    </row>
    <row r="2205" customFormat="false" ht="15" hidden="false" customHeight="false" outlineLevel="0" collapsed="false">
      <c r="A2205" s="5" t="s">
        <v>918</v>
      </c>
      <c r="B2205" s="0" t="s">
        <v>86</v>
      </c>
      <c r="H2205" s="38" t="n">
        <f aca="false">Sens!$H$2179</f>
        <v>273.372679834898</v>
      </c>
      <c r="I2205" s="38" t="n">
        <f aca="false">Sens!$I$2179</f>
        <v>286.981812228425</v>
      </c>
      <c r="J2205" s="38" t="n">
        <f aca="false">Sens!$J$2179</f>
        <v>294.079745178366</v>
      </c>
      <c r="K2205" s="38" t="n">
        <f aca="false">Sens!$K$2179</f>
        <v>245.820377312292</v>
      </c>
      <c r="L2205" s="38" t="n">
        <f aca="false">Sens!$L$2179</f>
        <v>198.038953460396</v>
      </c>
      <c r="M2205" s="38" t="n">
        <f aca="false">Sens!$M$2179</f>
        <v>182.193234988102</v>
      </c>
    </row>
    <row r="2206" customFormat="false" ht="15" hidden="false" customHeight="false" outlineLevel="0" collapsed="false">
      <c r="A2206" s="5" t="s">
        <v>919</v>
      </c>
      <c r="B2206" s="0" t="s">
        <v>86</v>
      </c>
      <c r="H2206" s="38" t="n">
        <f aca="false">Sens!$H$2180</f>
        <v>1.6</v>
      </c>
      <c r="I2206" s="38" t="n">
        <f aca="false">Sens!$I$2180</f>
        <v>1.6</v>
      </c>
      <c r="J2206" s="38" t="n">
        <f aca="false">Sens!$J$2180</f>
        <v>1.6</v>
      </c>
      <c r="K2206" s="38" t="n">
        <f aca="false">Sens!$K$2180</f>
        <v>1.6</v>
      </c>
      <c r="L2206" s="38" t="n">
        <f aca="false">Sens!$L$2180</f>
        <v>1.6</v>
      </c>
      <c r="M2206" s="38" t="n">
        <f aca="false">Sens!$M$2180</f>
        <v>1.6</v>
      </c>
    </row>
    <row r="2207" customFormat="false" ht="15" hidden="false" customHeight="false" outlineLevel="0" collapsed="false">
      <c r="A2207" s="5" t="s">
        <v>920</v>
      </c>
      <c r="B2207" s="0" t="s">
        <v>86</v>
      </c>
      <c r="H2207" s="38" t="n">
        <f aca="false">Sens!$H$2174</f>
        <v>11.2928295263397</v>
      </c>
      <c r="I2207" s="38" t="n">
        <f aca="false">Sens!$I$2174</f>
        <v>12.8091546115766</v>
      </c>
      <c r="J2207" s="38" t="n">
        <f aca="false">Sens!$J$2174</f>
        <v>14.2605653162668</v>
      </c>
      <c r="K2207" s="38" t="n">
        <f aca="false">Sens!$K$2174</f>
        <v>15.5327622460396</v>
      </c>
      <c r="L2207" s="38" t="n">
        <f aca="false">Sens!$L$2174</f>
        <v>16.720573737517</v>
      </c>
      <c r="M2207" s="38" t="n">
        <f aca="false">Sens!$M$2174</f>
        <v>17.8283127551536</v>
      </c>
    </row>
    <row r="2208" customFormat="false" ht="17.15" hidden="false" customHeight="false" outlineLevel="0" collapsed="false">
      <c r="A2208" s="1" t="s">
        <v>921</v>
      </c>
      <c r="B2208" s="8" t="s">
        <v>86</v>
      </c>
      <c r="H2208" s="38" t="n">
        <f aca="false">Sens!$H$2203+Sens!$H$2204-Sens!$H$2205+Sens!$H$2207</f>
        <v>-63.7006031712179</v>
      </c>
      <c r="I2208" s="38" t="n">
        <f aca="false">Sens!$I$2203+Sens!$I$2204-Sens!$I$2205+Sens!$I$2207</f>
        <v>-18.4234222049939</v>
      </c>
      <c r="J2208" s="38" t="n">
        <f aca="false">Sens!$J$2203+Sens!$J$2204-Sens!$J$2205+Sens!$J$2207</f>
        <v>32.790084482963</v>
      </c>
      <c r="K2208" s="38" t="n">
        <f aca="false">Sens!$K$2203+Sens!$K$2204-Sens!$K$2205+Sens!$K$2207</f>
        <v>132.381621850123</v>
      </c>
      <c r="L2208" s="38" t="n">
        <f aca="false">Sens!$L$2203+Sens!$L$2204-Sens!$L$2205+Sens!$L$2207</f>
        <v>220.194367112457</v>
      </c>
      <c r="M2208" s="38" t="n">
        <f aca="false">Sens!$M$2203+Sens!$M$2204-Sens!$M$2205+Sens!$M$2207</f>
        <v>265.997922972013</v>
      </c>
    </row>
    <row r="2209" customFormat="false" ht="15" hidden="false" customHeight="false" outlineLevel="0" collapsed="false">
      <c r="A2209" s="5" t="s">
        <v>922</v>
      </c>
      <c r="B2209" s="0" t="s">
        <v>57</v>
      </c>
      <c r="H2209" s="40" t="n">
        <f aca="false">1/(1+wacc)^(2027-2026-0.5)</f>
        <v>0.947751320380232</v>
      </c>
      <c r="I2209" s="40" t="n">
        <f aca="false">1/(1+wacc)^(2028-2026-0.5)</f>
        <v>0.851301099754987</v>
      </c>
      <c r="J2209" s="40" t="n">
        <f aca="false">1/(1+wacc)^(2029-2026-0.5)</f>
        <v>0.764666370660713</v>
      </c>
      <c r="K2209" s="40" t="n">
        <f aca="false">1/(1+wacc)^(2030-2026-0.5)</f>
        <v>0.686848235703811</v>
      </c>
      <c r="L2209" s="40" t="n">
        <f aca="false">1/(1+wacc)^(2031-2026-0.5)</f>
        <v>0.616949452715975</v>
      </c>
      <c r="M2209" s="40" t="n">
        <f aca="false">1/(1+wacc)^(2032-2026-0.5)</f>
        <v>0.554164089562688</v>
      </c>
    </row>
    <row r="2210" customFormat="false" ht="15" hidden="false" customHeight="false" outlineLevel="0" collapsed="false">
      <c r="A2210" s="5" t="s">
        <v>923</v>
      </c>
      <c r="B2210" s="0" t="s">
        <v>86</v>
      </c>
      <c r="H2210" s="38" t="n">
        <f aca="false">Sens!$H$2208*Sens!$H$2209</f>
        <v>-60.3723307645389</v>
      </c>
      <c r="I2210" s="38" t="n">
        <f aca="false">Sens!$I$2208*Sens!$I$2209</f>
        <v>-15.6838795843618</v>
      </c>
      <c r="J2210" s="38" t="n">
        <f aca="false">Sens!$J$2208*Sens!$J$2209</f>
        <v>25.0734748952455</v>
      </c>
      <c r="K2210" s="38" t="n">
        <f aca="false">Sens!$K$2208*Sens!$K$2209</f>
        <v>90.9260834073659</v>
      </c>
      <c r="L2210" s="38" t="n">
        <f aca="false">Sens!$L$2208*Sens!$L$2209</f>
        <v>135.848794281171</v>
      </c>
      <c r="M2210" s="38" t="n">
        <f aca="false">Sens!$M$2208*Sens!$M$2209</f>
        <v>147.406496809352</v>
      </c>
    </row>
    <row r="2211" customFormat="false" ht="15" hidden="false" customHeight="false" outlineLevel="0" collapsed="false">
      <c r="A2211" s="5" t="s">
        <v>924</v>
      </c>
      <c r="B2211" s="0" t="s">
        <v>86</v>
      </c>
      <c r="C2211" s="38" t="n">
        <f aca="false">SUM(Sens!$H$2210:$M$2210)</f>
        <v>323.198639044233</v>
      </c>
    </row>
    <row r="2212" customFormat="false" ht="17.15" hidden="false" customHeight="false" outlineLevel="0" collapsed="false">
      <c r="A2212" s="5" t="s">
        <v>925</v>
      </c>
      <c r="B2212" s="0" t="s">
        <v>86</v>
      </c>
      <c r="C2212" s="38" t="n">
        <f aca="false">Sens!$M$2203*(1+tg)*(1-tg/ronic)/(wacc-tg)</f>
        <v>2068.14683584217</v>
      </c>
    </row>
    <row r="2213" customFormat="false" ht="15" hidden="false" customHeight="false" outlineLevel="0" collapsed="false">
      <c r="A2213" s="5" t="s">
        <v>926</v>
      </c>
      <c r="B2213" s="0" t="s">
        <v>86</v>
      </c>
      <c r="C2213" s="38" t="n">
        <f aca="false">Sens!$C$2212/(1+wacc)^6</f>
        <v>1086.21087763244</v>
      </c>
    </row>
    <row r="2214" customFormat="false" ht="17.15" hidden="false" customHeight="false" outlineLevel="0" collapsed="false">
      <c r="A2214" s="5" t="s">
        <v>927</v>
      </c>
      <c r="B2214" s="0" t="s">
        <v>86</v>
      </c>
      <c r="C2214" s="38" t="n">
        <f aca="false">Sens!$C$2211+Sens!$C$2213</f>
        <v>1409.40951667667</v>
      </c>
    </row>
    <row r="2215" customFormat="false" ht="17.15" hidden="false" customHeight="false" outlineLevel="0" collapsed="false">
      <c r="A2215" s="5" t="s">
        <v>928</v>
      </c>
      <c r="B2215" s="0" t="s">
        <v>52</v>
      </c>
      <c r="C2215" s="13" t="n">
        <f aca="false">Sens!$C$2213/Sens!$C$2214</f>
        <v>0.770685073983095</v>
      </c>
    </row>
    <row r="2216" customFormat="false" ht="17.15" hidden="false" customHeight="false" outlineLevel="0" collapsed="false">
      <c r="A2216" s="5" t="s">
        <v>929</v>
      </c>
      <c r="B2216" s="0" t="s">
        <v>86</v>
      </c>
      <c r="C2216" s="38" t="n">
        <f aca="false">Sens!$G$2192+fin_debt</f>
        <v>97.5619033462471</v>
      </c>
    </row>
    <row r="2217" customFormat="false" ht="17.15" hidden="false" customHeight="false" outlineLevel="0" collapsed="false">
      <c r="A2217" s="5" t="s">
        <v>930</v>
      </c>
      <c r="B2217" s="0" t="s">
        <v>86</v>
      </c>
      <c r="C2217" s="38" t="n">
        <f aca="false">(ant_val*ant_sh+oai_val*oai_sh)*(1-liq_disc)</f>
        <v>178.944</v>
      </c>
    </row>
    <row r="2218" customFormat="false" ht="15" hidden="false" customHeight="false" outlineLevel="0" collapsed="false">
      <c r="A2218" s="5" t="s">
        <v>931</v>
      </c>
      <c r="B2218" s="0" t="s">
        <v>86</v>
      </c>
      <c r="C2218" s="38" t="n">
        <f aca="false">Sens!$C$2214-Sens!$C$2216+Sens!$C$2217</f>
        <v>1490.79161333043</v>
      </c>
    </row>
    <row r="2219" customFormat="false" ht="17.15" hidden="false" customHeight="false" outlineLevel="0" collapsed="false">
      <c r="A2219" s="5" t="s">
        <v>932</v>
      </c>
      <c r="B2219" s="0" t="s">
        <v>27</v>
      </c>
      <c r="C2219" s="30" t="n">
        <f aca="false">Sens!$C$2218/sh_out</f>
        <v>138.211405057411</v>
      </c>
    </row>
    <row r="2220" customFormat="false" ht="17.15" hidden="false" customHeight="false" outlineLevel="0" collapsed="false">
      <c r="A2220" s="1" t="s">
        <v>933</v>
      </c>
      <c r="B2220" s="8" t="s">
        <v>27</v>
      </c>
      <c r="C2220" s="30" t="n">
        <f aca="false">Sens!$C$2219*(1+ke)^tp_yf-dps*tp_yf</f>
        <v>151.392467327375</v>
      </c>
    </row>
    <row r="2221" customFormat="false" ht="17.15" hidden="false" customHeight="false" outlineLevel="0" collapsed="false">
      <c r="A2221" s="3" t="s">
        <v>934</v>
      </c>
    </row>
    <row r="2222" customFormat="false" ht="17.15" hidden="false" customHeight="false" outlineLevel="0" collapsed="false">
      <c r="A2222" s="5" t="s">
        <v>935</v>
      </c>
      <c r="B2222" s="0" t="s">
        <v>86</v>
      </c>
      <c r="C2222" s="38" t="n">
        <f aca="false">(1-tp_yf)*(Sens!$H$2149+sbc_ab*Sens!$H$2173*Sens!$H$2013/Sens!$H$2090)+tp_yf*(Sens!$I$2149+sbc_ab*Sens!$I$2173*Sens!$I$2013/Sens!$I$2090)</f>
        <v>59.634664536349</v>
      </c>
    </row>
    <row r="2223" customFormat="false" ht="15" hidden="false" customHeight="false" outlineLevel="0" collapsed="false">
      <c r="A2223" s="5" t="s">
        <v>936</v>
      </c>
      <c r="B2223" s="0" t="s">
        <v>57</v>
      </c>
      <c r="C2223" s="30" t="n">
        <f aca="false">m_ads*m_x</f>
        <v>9.11</v>
      </c>
    </row>
    <row r="2224" customFormat="false" ht="17.15" hidden="false" customHeight="false" outlineLevel="0" collapsed="false">
      <c r="A2224" s="5" t="s">
        <v>937</v>
      </c>
      <c r="B2224" s="0" t="s">
        <v>86</v>
      </c>
      <c r="C2224" s="38" t="n">
        <f aca="false">Sens!$C$2222*Sens!$C$2223</f>
        <v>543.271793926139</v>
      </c>
    </row>
    <row r="2225" customFormat="false" ht="17.15" hidden="false" customHeight="false" outlineLevel="0" collapsed="false">
      <c r="A2225" s="5" t="s">
        <v>938</v>
      </c>
      <c r="B2225" s="0" t="s">
        <v>86</v>
      </c>
      <c r="C2225" s="38" t="n">
        <f aca="false">(1-tp_yf)*(Sens!$H$2150+sbc_ab*Sens!$H$2173*(Sens!$H$2020-Sens!$H$2013)/Sens!$H$2090+IF(internal_ai_reading=2,1,0)*(1-ext_sh)*Sens!$H$2050)+tp_yf*(Sens!$I$2150+sbc_ab*Sens!$I$2173*(Sens!$I$2020-Sens!$I$2013)/Sens!$I$2090+IF(internal_ai_reading=2,1,0)*(1-ext_sh)*Sens!$I$2050)</f>
        <v>51.0108030205162</v>
      </c>
    </row>
    <row r="2226" customFormat="false" ht="17.15" hidden="false" customHeight="false" outlineLevel="0" collapsed="false">
      <c r="A2226" s="5" t="s">
        <v>939</v>
      </c>
      <c r="B2226" s="0" t="s">
        <v>57</v>
      </c>
      <c r="C2226" s="30" t="n">
        <f aca="false">m_retail*m_x</f>
        <v>17.72</v>
      </c>
    </row>
    <row r="2227" customFormat="false" ht="17.15" hidden="false" customHeight="false" outlineLevel="0" collapsed="false">
      <c r="A2227" s="5" t="s">
        <v>940</v>
      </c>
      <c r="B2227" s="0" t="s">
        <v>86</v>
      </c>
      <c r="C2227" s="38" t="n">
        <f aca="false">Sens!$C$2225*Sens!$C$2226</f>
        <v>903.911429523546</v>
      </c>
    </row>
    <row r="2228" customFormat="false" ht="17.15" hidden="false" customHeight="false" outlineLevel="0" collapsed="false">
      <c r="A2228" s="0" t="s">
        <v>941</v>
      </c>
      <c r="B2228" s="0" t="s">
        <v>86</v>
      </c>
      <c r="C2228" s="38" t="n">
        <f aca="false">(1-tp_yf)*(Sens!$H$2151+sbc_ab*Sens!$H$2173*Sens!$H$2088/Sens!$H$2090)+tp_yf*(Sens!$I$2151+sbc_ab*Sens!$I$2173*Sens!$I$2088/Sens!$I$2090)</f>
        <v>95.8088443162886</v>
      </c>
    </row>
    <row r="2229" customFormat="false" ht="17.15" hidden="false" customHeight="false" outlineLevel="0" collapsed="false">
      <c r="A2229" s="0" t="s">
        <v>942</v>
      </c>
      <c r="B2229" s="0" t="s">
        <v>57</v>
      </c>
      <c r="C2229" s="30" t="n">
        <f aca="false">m_cloud*m_x</f>
        <v>13.82</v>
      </c>
    </row>
    <row r="2230" customFormat="false" ht="17.15" hidden="false" customHeight="false" outlineLevel="0" collapsed="false">
      <c r="A2230" s="0" t="s">
        <v>943</v>
      </c>
      <c r="B2230" s="0" t="s">
        <v>86</v>
      </c>
      <c r="C2230" s="38" t="n">
        <f aca="false">Sens!$C$2228*Sens!$C$2229</f>
        <v>1324.07822845111</v>
      </c>
    </row>
    <row r="2231" customFormat="false" ht="17.15" hidden="false" customHeight="false" outlineLevel="0" collapsed="false">
      <c r="A2231" s="0" t="s">
        <v>944</v>
      </c>
      <c r="B2231" s="0" t="s">
        <v>86</v>
      </c>
      <c r="H2231" s="38" t="n">
        <f aca="false">Sens!$H$2069-tax*Sens!$H$2070-ext_sh*Sens!$H$2057</f>
        <v>-116.366490359803</v>
      </c>
      <c r="I2231" s="38" t="n">
        <f aca="false">Sens!$I$2069-tax*Sens!$I$2070-ext_sh*Sens!$I$2057</f>
        <v>-90.5789135163716</v>
      </c>
      <c r="J2231" s="38" t="n">
        <f aca="false">Sens!$J$2069-tax*Sens!$J$2070-ext_sh*Sens!$J$2057</f>
        <v>-59.6714401964192</v>
      </c>
      <c r="K2231" s="38" t="n">
        <f aca="false">Sens!$K$2069-tax*Sens!$K$2070-ext_sh*Sens!$K$2057</f>
        <v>10.9187988702759</v>
      </c>
      <c r="L2231" s="38" t="n">
        <f aca="false">Sens!$L$2069-tax*Sens!$L$2070-ext_sh*Sens!$L$2057</f>
        <v>72.5525357115515</v>
      </c>
      <c r="M2231" s="38" t="n">
        <f aca="false">Sens!$M$2069-tax*Sens!$M$2070-ext_sh*Sens!$M$2057</f>
        <v>99.9505170852482</v>
      </c>
    </row>
    <row r="2232" customFormat="false" ht="17.15" hidden="false" customHeight="false" outlineLevel="0" collapsed="false">
      <c r="A2232" s="5" t="s">
        <v>945</v>
      </c>
      <c r="B2232" s="0" t="s">
        <v>86</v>
      </c>
      <c r="H2232" s="38" t="n">
        <f aca="false">Sens!$H$2231*Sens!$H$2209</f>
        <v>-110.286494886517</v>
      </c>
      <c r="I2232" s="38" t="n">
        <f aca="false">Sens!$I$2231*Sens!$I$2209</f>
        <v>-77.1099286910991</v>
      </c>
      <c r="J2232" s="38" t="n">
        <f aca="false">Sens!$J$2231*Sens!$J$2209</f>
        <v>-45.6287436070937</v>
      </c>
      <c r="K2232" s="38" t="n">
        <f aca="false">Sens!$K$2231*Sens!$K$2209</f>
        <v>7.49955774005378</v>
      </c>
      <c r="L2232" s="38" t="n">
        <f aca="false">Sens!$L$2231*Sens!$L$2209</f>
        <v>44.7612472003979</v>
      </c>
      <c r="M2232" s="38" t="n">
        <f aca="false">Sens!$M$2231*Sens!$M$2209</f>
        <v>55.3889873018665</v>
      </c>
    </row>
    <row r="2233" customFormat="false" ht="17.15" hidden="false" customHeight="false" outlineLevel="0" collapsed="false">
      <c r="A2233" s="5" t="s">
        <v>946</v>
      </c>
      <c r="B2233" s="0" t="s">
        <v>86</v>
      </c>
      <c r="C2233" s="38" t="n">
        <f aca="false">Sens!$M$2070*(1-tax)*(1+tg)*(1-tg/ronic)/(wacc-tg)</f>
        <v>515.964703038678</v>
      </c>
    </row>
    <row r="2234" customFormat="false" ht="17.15" hidden="false" customHeight="false" outlineLevel="0" collapsed="false">
      <c r="A2234" s="0" t="s">
        <v>947</v>
      </c>
      <c r="B2234" s="0" t="s">
        <v>86</v>
      </c>
      <c r="C2234" s="38" t="n">
        <f aca="false">(SUM(Sens!$I$2232:$M$2232)+Sens!$C$2233/(1+wacc)^6)*(1+wacc)^tp_yf</f>
        <v>279.500276149758</v>
      </c>
    </row>
    <row r="2235" customFormat="false" ht="17.15" hidden="false" customHeight="false" outlineLevel="0" collapsed="false">
      <c r="A2235" s="5" t="s">
        <v>948</v>
      </c>
      <c r="B2235" s="0" t="s">
        <v>86</v>
      </c>
      <c r="C2235" s="38" t="n">
        <f aca="false">(1-tp_yf)*(Sens!$H$2152)+tp_yf*(Sens!$I$2152)</f>
        <v>74.6707041238437</v>
      </c>
    </row>
    <row r="2236" customFormat="false" ht="17.15" hidden="false" customHeight="false" outlineLevel="0" collapsed="false">
      <c r="A2236" s="5" t="s">
        <v>949</v>
      </c>
      <c r="B2236" s="0" t="s">
        <v>86</v>
      </c>
      <c r="C2236" s="38" t="n">
        <f aca="false">Sens!$C$2235*m_ai</f>
        <v>448.024224743062</v>
      </c>
    </row>
    <row r="2237" customFormat="false" ht="17.15" hidden="false" customHeight="false" outlineLevel="0" collapsed="false">
      <c r="A2237" s="0" t="s">
        <v>950</v>
      </c>
      <c r="B2237" s="0" t="s">
        <v>86</v>
      </c>
      <c r="C2237" s="38" t="n">
        <f aca="false">IF(ai_leg=1,Sens!$C$2234,Sens!$C$2236)</f>
        <v>279.500276149758</v>
      </c>
    </row>
    <row r="2238" customFormat="false" ht="17.15" hidden="false" customHeight="false" outlineLevel="0" collapsed="false">
      <c r="A2238" s="5" t="s">
        <v>951</v>
      </c>
      <c r="B2238" s="0" t="s">
        <v>86</v>
      </c>
      <c r="C2238" s="38" t="n">
        <f aca="false">Sens!$C$2224+Sens!$C$2227+Sens!$C$2230+Sens!$C$2237</f>
        <v>3050.76172805055</v>
      </c>
    </row>
    <row r="2239" customFormat="false" ht="17.15" hidden="false" customHeight="false" outlineLevel="0" collapsed="false">
      <c r="A2239" s="5" t="s">
        <v>952</v>
      </c>
      <c r="B2239" s="0" t="s">
        <v>86</v>
      </c>
      <c r="C2239" s="38" t="n">
        <f aca="false">Sens!$H$2192+fin_debt</f>
        <v>154.961669696375</v>
      </c>
    </row>
    <row r="2240" customFormat="false" ht="15" hidden="false" customHeight="false" outlineLevel="0" collapsed="false">
      <c r="A2240" s="5" t="s">
        <v>953</v>
      </c>
      <c r="B2240" s="0" t="s">
        <v>86</v>
      </c>
      <c r="C2240" s="38" t="n">
        <f aca="false">Sens!$C$2238-Sens!$C$2239+Sens!$C$2217</f>
        <v>3074.74405835418</v>
      </c>
    </row>
    <row r="2241" customFormat="false" ht="15" hidden="false" customHeight="false" outlineLevel="0" collapsed="false">
      <c r="A2241" s="3" t="s">
        <v>954</v>
      </c>
      <c r="B2241" s="8" t="s">
        <v>27</v>
      </c>
      <c r="C2241" s="30" t="n">
        <f aca="false">Sens!$C$2240/sh_val</f>
        <v>278.753991804238</v>
      </c>
    </row>
    <row r="2242" customFormat="false" ht="17.15" hidden="false" customHeight="false" outlineLevel="0" collapsed="false">
      <c r="A2242" s="47" t="s">
        <v>955</v>
      </c>
      <c r="B2242" s="14" t="s">
        <v>27</v>
      </c>
      <c r="C2242" s="44" t="n">
        <f aca="false">w_dcf*Sens!$C$2220+(1-w_dcf)*Sens!$C$2241</f>
        <v>215.073229565807</v>
      </c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4"/>
      <c r="O2242" s="14"/>
    </row>
    <row r="2243" customFormat="false" ht="17.15" hidden="false" customHeight="false" outlineLevel="0" collapsed="false">
      <c r="A2243" s="5" t="s">
        <v>956</v>
      </c>
      <c r="B2243" s="0" t="s">
        <v>27</v>
      </c>
      <c r="C2243" s="30" t="n">
        <f aca="false">v022_wdcf*Sens!$C$2220+(1-v022_wdcf)*Sens!$C$2241</f>
        <v>221.44130578965</v>
      </c>
    </row>
    <row r="2244" customFormat="false" ht="17.15" hidden="false" customHeight="false" outlineLevel="0" collapsed="false">
      <c r="A2244" s="5" t="s">
        <v>957</v>
      </c>
      <c r="B2244" s="0" t="s">
        <v>27</v>
      </c>
      <c r="C2244" s="30" t="n">
        <f aca="false">(Sens!$C$2240-Sens!$C$2237+Sens!$C$2236)/sh_val</f>
        <v>294.032246674708</v>
      </c>
    </row>
    <row r="2247" customFormat="false" ht="19.4" hidden="false" customHeight="false" outlineLevel="0" collapsed="false">
      <c r="A2247" s="31" t="s">
        <v>1180</v>
      </c>
    </row>
    <row r="2248" customFormat="false" ht="17.15" hidden="false" customHeight="false" outlineLevel="0" collapsed="false">
      <c r="A2248" s="6" t="s">
        <v>16</v>
      </c>
      <c r="B2248" s="6" t="s">
        <v>17</v>
      </c>
      <c r="C2248" s="20" t="s">
        <v>497</v>
      </c>
      <c r="D2248" s="20" t="s">
        <v>498</v>
      </c>
      <c r="E2248" s="20" t="s">
        <v>580</v>
      </c>
      <c r="F2248" s="20" t="s">
        <v>581</v>
      </c>
      <c r="G2248" s="20" t="s">
        <v>582</v>
      </c>
      <c r="H2248" s="20" t="s">
        <v>583</v>
      </c>
      <c r="I2248" s="20" t="s">
        <v>584</v>
      </c>
      <c r="J2248" s="20" t="s">
        <v>585</v>
      </c>
      <c r="K2248" s="20" t="s">
        <v>586</v>
      </c>
      <c r="L2248" s="20" t="s">
        <v>587</v>
      </c>
      <c r="M2248" s="20" t="s">
        <v>588</v>
      </c>
      <c r="N2248" s="20" t="s">
        <v>589</v>
      </c>
      <c r="O2248" s="20" t="s">
        <v>590</v>
      </c>
      <c r="P2248" s="6" t="s">
        <v>23</v>
      </c>
      <c r="R2248" s="20" t="n">
        <v>2023</v>
      </c>
      <c r="S2248" s="20" t="n">
        <v>2024</v>
      </c>
      <c r="T2248" s="20" t="n">
        <v>2025</v>
      </c>
      <c r="U2248" s="20" t="n">
        <v>2026</v>
      </c>
      <c r="V2248" s="20" t="n">
        <v>2027</v>
      </c>
      <c r="W2248" s="20" t="n">
        <v>2028</v>
      </c>
      <c r="X2248" s="20" t="n">
        <v>2029</v>
      </c>
      <c r="Y2248" s="20" t="n">
        <v>2030</v>
      </c>
      <c r="Z2248" s="20" t="n">
        <v>2031</v>
      </c>
      <c r="AA2248" s="20" t="n">
        <v>2032</v>
      </c>
    </row>
    <row r="2249" customFormat="false" ht="17.15" hidden="false" customHeight="false" outlineLevel="0" collapsed="false">
      <c r="A2249" s="1" t="s">
        <v>666</v>
      </c>
    </row>
    <row r="2250" customFormat="false" ht="17.15" hidden="false" customHeight="false" outlineLevel="0" collapsed="false">
      <c r="A2250" s="0" t="s">
        <v>519</v>
      </c>
      <c r="B2250" s="0" t="s">
        <v>86</v>
      </c>
      <c r="C2250" s="38" t="n">
        <f aca="false">Q!$D$10</f>
        <v>247.029</v>
      </c>
      <c r="D2250" s="38" t="n">
        <f aca="false">Q!$E$10</f>
        <v>269.287</v>
      </c>
      <c r="E2250" s="38" t="n">
        <f aca="false">Q!$P$10</f>
        <v>134.686</v>
      </c>
      <c r="F2250" s="38" t="n">
        <f aca="false">Sens!$O$2250*(1+Sens!$F$2251)*Sens!$F$2262</f>
        <v>158.293876822267</v>
      </c>
      <c r="G2250" s="38" t="n">
        <f aca="false">Sens!$E$2250+Sens!$F$2250</f>
        <v>292.979876822267</v>
      </c>
      <c r="H2250" s="38" t="n">
        <f aca="false">Sens!$G$2250*(1+Sens!$H$2251)</f>
        <v>318.184543087396</v>
      </c>
      <c r="I2250" s="38" t="n">
        <f aca="false">Sens!$H$2250*(1+Sens!$I$2251)</f>
        <v>341.736278761793</v>
      </c>
      <c r="J2250" s="38" t="n">
        <f aca="false">Sens!$I$2250*(1+Sens!$J$2251)</f>
        <v>362.927192787048</v>
      </c>
      <c r="K2250" s="38" t="n">
        <f aca="false">Sens!$J$2250*(1+Sens!$K$2251)</f>
        <v>381.0735524264</v>
      </c>
      <c r="L2250" s="38" t="n">
        <f aca="false">Sens!$K$2250*(1+Sens!$L$2251)</f>
        <v>400.12723004772</v>
      </c>
      <c r="M2250" s="38" t="n">
        <f aca="false">Sens!$L$2250*(1+Sens!$M$2251)</f>
        <v>420.133591550106</v>
      </c>
      <c r="N2250" s="38" t="n">
        <f aca="false">Q!$N$10</f>
        <v>118.892</v>
      </c>
      <c r="O2250" s="38" t="n">
        <f aca="false">Q!$O$10</f>
        <v>150.395</v>
      </c>
      <c r="P2250" s="8" t="s">
        <v>667</v>
      </c>
    </row>
    <row r="2251" customFormat="false" ht="17.15" hidden="false" customHeight="false" outlineLevel="0" collapsed="false">
      <c r="A2251" s="0" t="s">
        <v>668</v>
      </c>
      <c r="B2251" s="0" t="s">
        <v>52</v>
      </c>
      <c r="E2251" s="13" t="n">
        <f aca="false">Sens!$E$2250/Sens!$N$2250-1</f>
        <v>0.132843252699929</v>
      </c>
      <c r="F2251" s="13" t="n">
        <f aca="false">Sens!$O$2250/(Q!$F$10+Q!$G$10)-1</f>
        <v>0.0980382135842941</v>
      </c>
      <c r="G2251" s="13" t="n">
        <f aca="false">Sens!$G$2250/Sens!$D$2250-1</f>
        <v>0.0879837378791657</v>
      </c>
      <c r="H2251" s="13" t="n">
        <f aca="false">Sens!$F$2251+(g_os-Sens!$F$2251)*1/4</f>
        <v>0.0860286601882206</v>
      </c>
      <c r="I2251" s="13" t="n">
        <f aca="false">Sens!$F$2251+(g_os-Sens!$F$2251)*2/4</f>
        <v>0.074019106792147</v>
      </c>
      <c r="J2251" s="13" t="n">
        <f aca="false">Sens!$F$2251+(g_os-Sens!$F$2251)*3/4</f>
        <v>0.0620095533960735</v>
      </c>
      <c r="K2251" s="13" t="n">
        <f aca="false">Sens!$F$2251+(g_os-Sens!$F$2251)*4/4</f>
        <v>0.05</v>
      </c>
      <c r="L2251" s="13" t="n">
        <f aca="false">g_os</f>
        <v>0.05</v>
      </c>
      <c r="M2251" s="13" t="n">
        <f aca="false">g_os</f>
        <v>0.05</v>
      </c>
      <c r="P2251" s="8" t="s">
        <v>669</v>
      </c>
    </row>
    <row r="2252" customFormat="false" ht="17.15" hidden="false" customHeight="false" outlineLevel="0" collapsed="false">
      <c r="A2252" s="0" t="s">
        <v>520</v>
      </c>
      <c r="B2252" s="0" t="s">
        <v>86</v>
      </c>
      <c r="C2252" s="38" t="n">
        <f aca="false">Q!$D$11</f>
        <v>21.215</v>
      </c>
      <c r="D2252" s="38" t="n">
        <f aca="false">Q!$E$11</f>
        <v>22.561</v>
      </c>
      <c r="E2252" s="38" t="n">
        <f aca="false">Q!$P$11</f>
        <v>11.579</v>
      </c>
      <c r="F2252" s="38" t="n">
        <f aca="false">Sens!$O$2252*(1+Sens!$F$2253)*Sens!$F$2262</f>
        <v>11.5938724610325</v>
      </c>
      <c r="G2252" s="38" t="n">
        <f aca="false">Sens!$E$2252+Sens!$F$2252</f>
        <v>23.1728724610325</v>
      </c>
      <c r="H2252" s="38" t="n">
        <f aca="false">Sens!$G$2252*(1+Sens!$H$2253)</f>
        <v>24.353392759506</v>
      </c>
      <c r="I2252" s="38" t="n">
        <f aca="false">Sens!$H$2252*(1+Sens!$I$2253)</f>
        <v>25.4240338872015</v>
      </c>
      <c r="J2252" s="38" t="n">
        <f aca="false">Sens!$I$2252*(1+Sens!$J$2253)</f>
        <v>26.3642491017174</v>
      </c>
      <c r="K2252" s="38" t="n">
        <f aca="false">Sens!$J$2252*(1+Sens!$K$2253)</f>
        <v>27.155176574769</v>
      </c>
      <c r="L2252" s="38" t="n">
        <f aca="false">Sens!$K$2252*(1+Sens!$L$2253)</f>
        <v>27.969831872012</v>
      </c>
      <c r="M2252" s="38" t="n">
        <f aca="false">Sens!$L$2252*(1+Sens!$M$2253)</f>
        <v>28.8089268281724</v>
      </c>
      <c r="N2252" s="38" t="n">
        <f aca="false">Q!$N$11</f>
        <v>11.128</v>
      </c>
      <c r="O2252" s="38" t="n">
        <f aca="false">Q!$O$11</f>
        <v>11.433</v>
      </c>
      <c r="P2252" s="8" t="s">
        <v>667</v>
      </c>
    </row>
    <row r="2253" customFormat="false" ht="17.15" hidden="false" customHeight="false" outlineLevel="0" collapsed="false">
      <c r="A2253" s="0" t="s">
        <v>670</v>
      </c>
      <c r="B2253" s="0" t="s">
        <v>52</v>
      </c>
      <c r="E2253" s="13" t="n">
        <f aca="false">Sens!$E$2252/Sens!$N$2252-1</f>
        <v>0.0405283968368082</v>
      </c>
      <c r="F2253" s="13" t="n">
        <f aca="false">Sens!$O$2252/(Q!$F$11+Q!$G$11)-1</f>
        <v>0.0579254187100955</v>
      </c>
      <c r="G2253" s="13" t="n">
        <f aca="false">Sens!$G$2252/Sens!$D$2252-1</f>
        <v>0.0271208040881397</v>
      </c>
      <c r="H2253" s="13" t="n">
        <f aca="false">Sens!$F$2253+(g_ps-Sens!$F$2253)*1/4</f>
        <v>0.0509440640325716</v>
      </c>
      <c r="I2253" s="13" t="n">
        <f aca="false">Sens!$F$2253+(g_ps-Sens!$F$2253)*2/4</f>
        <v>0.0439627093550477</v>
      </c>
      <c r="J2253" s="13" t="n">
        <f aca="false">Sens!$F$2253+(g_ps-Sens!$F$2253)*3/4</f>
        <v>0.0369813546775239</v>
      </c>
      <c r="K2253" s="13" t="n">
        <f aca="false">Sens!$F$2253+(g_ps-Sens!$F$2253)*4/4</f>
        <v>0.03</v>
      </c>
      <c r="L2253" s="13" t="n">
        <f aca="false">g_ps</f>
        <v>0.03</v>
      </c>
      <c r="M2253" s="13" t="n">
        <f aca="false">g_ps</f>
        <v>0.03</v>
      </c>
      <c r="P2253" s="8" t="s">
        <v>671</v>
      </c>
    </row>
    <row r="2254" customFormat="false" ht="17.15" hidden="false" customHeight="false" outlineLevel="0" collapsed="false">
      <c r="A2254" s="0" t="s">
        <v>521</v>
      </c>
      <c r="B2254" s="0" t="s">
        <v>86</v>
      </c>
      <c r="C2254" s="38" t="n">
        <f aca="false">Q!$D$12</f>
        <v>156.146</v>
      </c>
      <c r="D2254" s="38" t="n">
        <f aca="false">Q!$E$12</f>
        <v>172.162</v>
      </c>
      <c r="E2254" s="38" t="n">
        <f aca="false">Q!$P$12</f>
        <v>88.358</v>
      </c>
      <c r="F2254" s="38" t="n">
        <f aca="false">Sens!$O$2254*(1+Sens!$F$2255)*Sens!$F$2262</f>
        <v>102.004388260171</v>
      </c>
      <c r="G2254" s="38" t="n">
        <f aca="false">Sens!$E$2254+Sens!$F$2254</f>
        <v>190.362388260171</v>
      </c>
      <c r="H2254" s="38" t="n">
        <f aca="false">Sens!$G$2254*(1+Sens!$H$2255)</f>
        <v>210.343106588311</v>
      </c>
      <c r="I2254" s="38" t="n">
        <f aca="false">Sens!$H$2254*(1+Sens!$I$2255)</f>
        <v>229.969728494648</v>
      </c>
      <c r="J2254" s="38" t="n">
        <f aca="false">Sens!$I$2254*(1+Sens!$J$2255)</f>
        <v>248.747636972598</v>
      </c>
      <c r="K2254" s="38" t="n">
        <f aca="false">Sens!$J$2254*(1+Sens!$K$2255)</f>
        <v>266.15997156068</v>
      </c>
      <c r="L2254" s="38" t="n">
        <f aca="false">Sens!$K$2254*(1+Sens!$L$2255)</f>
        <v>284.791169569927</v>
      </c>
      <c r="M2254" s="38" t="n">
        <f aca="false">Sens!$L$2254*(1+Sens!$M$2255)</f>
        <v>304.726551439822</v>
      </c>
      <c r="N2254" s="38" t="n">
        <f aca="false">Q!$N$12</f>
        <v>76.86</v>
      </c>
      <c r="O2254" s="38" t="n">
        <f aca="false">Q!$O$12</f>
        <v>95.302</v>
      </c>
      <c r="P2254" s="8" t="s">
        <v>667</v>
      </c>
    </row>
    <row r="2255" customFormat="false" ht="17.15" hidden="false" customHeight="false" outlineLevel="0" collapsed="false">
      <c r="A2255" s="0" t="s">
        <v>672</v>
      </c>
      <c r="B2255" s="0" t="s">
        <v>52</v>
      </c>
      <c r="E2255" s="13" t="n">
        <f aca="false">Sens!$E$2254/Sens!$N$2254-1</f>
        <v>0.1495966692688</v>
      </c>
      <c r="F2255" s="13" t="n">
        <f aca="false">Sens!$O$2254/(Q!$F$12+Q!$G$12)-1</f>
        <v>0.11661530890813</v>
      </c>
      <c r="G2255" s="13" t="n">
        <f aca="false">Sens!$G$2254/Sens!$D$2254-1</f>
        <v>0.105716640490767</v>
      </c>
      <c r="H2255" s="13" t="n">
        <f aca="false">Sens!$F$2255+(g_sp-Sens!$F$2255)*1/4</f>
        <v>0.104961481681098</v>
      </c>
      <c r="I2255" s="13" t="n">
        <f aca="false">Sens!$F$2255+(g_sp-Sens!$F$2255)*2/4</f>
        <v>0.0933076544540651</v>
      </c>
      <c r="J2255" s="13" t="n">
        <f aca="false">Sens!$F$2255+(g_sp-Sens!$F$2255)*3/4</f>
        <v>0.0816538272270325</v>
      </c>
      <c r="K2255" s="13" t="n">
        <f aca="false">Sens!$F$2255+(g_sp-Sens!$F$2255)*4/4</f>
        <v>0.07</v>
      </c>
      <c r="L2255" s="13" t="n">
        <f aca="false">g_sp</f>
        <v>0.07</v>
      </c>
      <c r="M2255" s="13" t="n">
        <f aca="false">g_sp</f>
        <v>0.07</v>
      </c>
      <c r="P2255" s="8" t="s">
        <v>673</v>
      </c>
    </row>
    <row r="2256" customFormat="false" ht="17.15" hidden="false" customHeight="false" outlineLevel="0" collapsed="false">
      <c r="A2256" s="0" t="s">
        <v>522</v>
      </c>
      <c r="B2256" s="0" t="s">
        <v>86</v>
      </c>
      <c r="C2256" s="38" t="n">
        <f aca="false">Q!$D$13</f>
        <v>56.214</v>
      </c>
      <c r="D2256" s="38" t="n">
        <f aca="false">Q!$E$13</f>
        <v>68.635</v>
      </c>
      <c r="E2256" s="38" t="n">
        <f aca="false">Q!$P$13</f>
        <v>37.052</v>
      </c>
      <c r="F2256" s="38" t="n">
        <f aca="false">Sens!$O$2256*(1+Sens!$F$2257)*Sens!$F$2262</f>
        <v>46.1572219944148</v>
      </c>
      <c r="G2256" s="38" t="n">
        <f aca="false">Sens!$E$2256+Sens!$F$2256</f>
        <v>83.2092219944148</v>
      </c>
      <c r="H2256" s="38" t="n">
        <f aca="false">Sens!$G$2256*(1+Sens!$H$2257)</f>
        <v>99.8969223878976</v>
      </c>
      <c r="I2256" s="38" t="n">
        <f aca="false">Sens!$H$2256*(1+Sens!$I$2257)</f>
        <v>116.583111095496</v>
      </c>
      <c r="J2256" s="38" t="n">
        <f aca="false">Sens!$I$2256*(1+Sens!$J$2257)</f>
        <v>132.148941941952</v>
      </c>
      <c r="K2256" s="38" t="n">
        <f aca="false">Sens!$J$2256*(1+Sens!$K$2257)</f>
        <v>145.363836136147</v>
      </c>
      <c r="L2256" s="38" t="n">
        <f aca="false">Sens!$K$2256*(1+Sens!$L$2257)</f>
        <v>159.900219749762</v>
      </c>
      <c r="M2256" s="38" t="n">
        <f aca="false">Sens!$L$2256*(1+Sens!$M$2257)</f>
        <v>175.890241724738</v>
      </c>
      <c r="N2256" s="38" t="n">
        <f aca="false">Q!$N$13</f>
        <v>29.615</v>
      </c>
      <c r="O2256" s="38" t="n">
        <f aca="false">Q!$O$13</f>
        <v>39.02</v>
      </c>
      <c r="P2256" s="8" t="s">
        <v>667</v>
      </c>
    </row>
    <row r="2257" customFormat="false" ht="17.15" hidden="false" customHeight="false" outlineLevel="0" collapsed="false">
      <c r="A2257" s="0" t="s">
        <v>674</v>
      </c>
      <c r="B2257" s="0" t="s">
        <v>52</v>
      </c>
      <c r="E2257" s="13" t="n">
        <f aca="false">Sens!$E$2256/Sens!$N$2256-1</f>
        <v>0.25112274185379</v>
      </c>
      <c r="F2257" s="13" t="n">
        <f aca="false">Sens!$O$2256/(Q!$F$13+Q!$G$13)-1</f>
        <v>0.234068123596572</v>
      </c>
      <c r="G2257" s="13" t="n">
        <f aca="false">Sens!$G$2256/Sens!$D$2256-1</f>
        <v>0.212343876949294</v>
      </c>
      <c r="H2257" s="13" t="n">
        <f aca="false">Sens!$F$2257+(g_ad-Sens!$F$2257)*1/4</f>
        <v>0.200551092697429</v>
      </c>
      <c r="I2257" s="13" t="n">
        <f aca="false">Sens!$F$2257+(g_ad-Sens!$F$2257)*2/4</f>
        <v>0.167034061798286</v>
      </c>
      <c r="J2257" s="13" t="n">
        <f aca="false">Sens!$F$2257+(g_ad-Sens!$F$2257)*3/4</f>
        <v>0.133517030899143</v>
      </c>
      <c r="K2257" s="13" t="n">
        <f aca="false">Sens!$F$2257+(g_ad-Sens!$F$2257)*4/4</f>
        <v>0.1</v>
      </c>
      <c r="L2257" s="13" t="n">
        <f aca="false">g_ad</f>
        <v>0.1</v>
      </c>
      <c r="M2257" s="13" t="n">
        <f aca="false">g_ad</f>
        <v>0.1</v>
      </c>
      <c r="P2257" s="8" t="s">
        <v>675</v>
      </c>
    </row>
    <row r="2258" customFormat="false" ht="17.15" hidden="false" customHeight="false" outlineLevel="0" collapsed="false">
      <c r="A2258" s="0" t="s">
        <v>523</v>
      </c>
      <c r="B2258" s="0" t="s">
        <v>86</v>
      </c>
      <c r="C2258" s="38" t="n">
        <f aca="false">Q!$D$14</f>
        <v>44.374</v>
      </c>
      <c r="D2258" s="38" t="n">
        <f aca="false">Q!$E$14</f>
        <v>49.619</v>
      </c>
      <c r="E2258" s="38" t="n">
        <f aca="false">Q!$P$14</f>
        <v>27.157</v>
      </c>
      <c r="F2258" s="38" t="n">
        <f aca="false">Sens!$O$2258*(1+Sens!$F$2259)*Sens!$F$2262</f>
        <v>27.7764165988154</v>
      </c>
      <c r="G2258" s="38" t="n">
        <f aca="false">Sens!$E$2258+Sens!$F$2258</f>
        <v>54.9334165988154</v>
      </c>
      <c r="H2258" s="38" t="n">
        <f aca="false">Sens!$G$2258*(1+Sens!$H$2259)</f>
        <v>61.1564112561829</v>
      </c>
      <c r="I2258" s="38" t="n">
        <f aca="false">Sens!$H$2258*(1+Sens!$I$2259)</f>
        <v>67.2020282103945</v>
      </c>
      <c r="J2258" s="38" t="n">
        <f aca="false">Sens!$I$2258*(1+Sens!$J$2259)</f>
        <v>72.8757274028885</v>
      </c>
      <c r="K2258" s="38" t="n">
        <f aca="false">Sens!$J$2258*(1+Sens!$K$2259)</f>
        <v>77.9770283210907</v>
      </c>
      <c r="L2258" s="38" t="n">
        <f aca="false">Sens!$K$2258*(1+Sens!$L$2259)</f>
        <v>83.4354203035671</v>
      </c>
      <c r="M2258" s="38" t="n">
        <f aca="false">Sens!$L$2258*(1+Sens!$M$2259)</f>
        <v>89.2758997248168</v>
      </c>
      <c r="N2258" s="38" t="n">
        <f aca="false">Q!$N$14</f>
        <v>23.923</v>
      </c>
      <c r="O2258" s="38" t="n">
        <f aca="false">Q!$O$14</f>
        <v>25.696</v>
      </c>
      <c r="P2258" s="8" t="s">
        <v>667</v>
      </c>
    </row>
    <row r="2259" customFormat="false" ht="17.15" hidden="false" customHeight="false" outlineLevel="0" collapsed="false">
      <c r="A2259" s="0" t="s">
        <v>676</v>
      </c>
      <c r="B2259" s="0" t="s">
        <v>52</v>
      </c>
      <c r="E2259" s="13" t="n">
        <f aca="false">Sens!$E$2258/Sens!$N$2258-1</f>
        <v>0.135183714417088</v>
      </c>
      <c r="F2259" s="13" t="n">
        <f aca="false">Sens!$O$2258/(Q!$F$14+Q!$G$14)-1</f>
        <v>0.127709997366804</v>
      </c>
      <c r="G2259" s="13" t="n">
        <f aca="false">Sens!$G$2258/Sens!$D$2258-1</f>
        <v>0.107104468022641</v>
      </c>
      <c r="H2259" s="13" t="n">
        <f aca="false">Sens!$F$2259+(g_sub-Sens!$F$2259)*1/4</f>
        <v>0.113282498025103</v>
      </c>
      <c r="I2259" s="13" t="n">
        <f aca="false">Sens!$F$2259+(g_sub-Sens!$F$2259)*2/4</f>
        <v>0.0988549986834021</v>
      </c>
      <c r="J2259" s="13" t="n">
        <f aca="false">Sens!$F$2259+(g_sub-Sens!$F$2259)*3/4</f>
        <v>0.084427499341701</v>
      </c>
      <c r="K2259" s="13" t="n">
        <f aca="false">Sens!$F$2259+(g_sub-Sens!$F$2259)*4/4</f>
        <v>0.07</v>
      </c>
      <c r="L2259" s="13" t="n">
        <f aca="false">g_sub</f>
        <v>0.07</v>
      </c>
      <c r="M2259" s="13" t="n">
        <f aca="false">g_sub</f>
        <v>0.07</v>
      </c>
      <c r="P2259" s="8" t="s">
        <v>677</v>
      </c>
    </row>
    <row r="2260" customFormat="false" ht="17.15" hidden="false" customHeight="false" outlineLevel="0" collapsed="false">
      <c r="A2260" s="0" t="s">
        <v>524</v>
      </c>
      <c r="B2260" s="0" t="s">
        <v>86</v>
      </c>
      <c r="C2260" s="38" t="n">
        <f aca="false">Q!$D$15</f>
        <v>5.425</v>
      </c>
      <c r="D2260" s="38" t="n">
        <f aca="false">Q!$E$15</f>
        <v>5.935</v>
      </c>
      <c r="E2260" s="38" t="n">
        <f aca="false">Q!$P$15</f>
        <v>3.474</v>
      </c>
      <c r="F2260" s="38" t="n">
        <f aca="false">Sens!$O$2260*(1+Sens!$F$2261)*Sens!$F$2262</f>
        <v>3.22246550883619</v>
      </c>
      <c r="G2260" s="38" t="n">
        <f aca="false">Sens!$E$2260+Sens!$F$2260</f>
        <v>6.69646550883619</v>
      </c>
      <c r="H2260" s="38" t="n">
        <f aca="false">Sens!$G$2260*(1+Sens!$H$2261)</f>
        <v>7.16251344209196</v>
      </c>
      <c r="I2260" s="38" t="n">
        <f aca="false">Sens!$H$2260*(1+Sens!$I$2261)</f>
        <v>7.61421070299826</v>
      </c>
      <c r="J2260" s="38" t="n">
        <f aca="false">Sens!$I$2260*(1+Sens!$J$2261)</f>
        <v>8.04465753523932</v>
      </c>
      <c r="K2260" s="38" t="n">
        <f aca="false">Sens!$J$2260*(1+Sens!$K$2261)</f>
        <v>8.44689041200128</v>
      </c>
      <c r="L2260" s="38" t="n">
        <f aca="false">Sens!$K$2260*(1+Sens!$L$2261)</f>
        <v>8.86923493260135</v>
      </c>
      <c r="M2260" s="38" t="n">
        <f aca="false">Sens!$L$2260*(1+Sens!$M$2261)</f>
        <v>9.31269667923142</v>
      </c>
      <c r="N2260" s="38" t="n">
        <f aca="false">Q!$N$15</f>
        <v>2.811</v>
      </c>
      <c r="O2260" s="38" t="n">
        <f aca="false">Q!$O$15</f>
        <v>3.124</v>
      </c>
      <c r="P2260" s="8" t="s">
        <v>667</v>
      </c>
    </row>
    <row r="2261" customFormat="false" ht="17.15" hidden="false" customHeight="false" outlineLevel="0" collapsed="false">
      <c r="A2261" s="0" t="s">
        <v>678</v>
      </c>
      <c r="B2261" s="0" t="s">
        <v>52</v>
      </c>
      <c r="E2261" s="13" t="n">
        <f aca="false">Sens!$E$2260/Sens!$N$2260-1</f>
        <v>0.235859124866596</v>
      </c>
      <c r="F2261" s="13" t="n">
        <f aca="false">Sens!$O$2260/(Q!$F$15+Q!$G$15)-1</f>
        <v>0.0761281433000345</v>
      </c>
      <c r="G2261" s="13" t="n">
        <f aca="false">Sens!$G$2260/Sens!$D$2260-1</f>
        <v>0.128300843948811</v>
      </c>
      <c r="H2261" s="13" t="n">
        <f aca="false">Sens!$F$2261+(g_ot-Sens!$F$2261)*1/4</f>
        <v>0.0695961074750259</v>
      </c>
      <c r="I2261" s="13" t="n">
        <f aca="false">Sens!$F$2261+(g_ot-Sens!$F$2261)*2/4</f>
        <v>0.0630640716500172</v>
      </c>
      <c r="J2261" s="13" t="n">
        <f aca="false">Sens!$F$2261+(g_ot-Sens!$F$2261)*3/4</f>
        <v>0.0565320358250086</v>
      </c>
      <c r="K2261" s="13" t="n">
        <f aca="false">Sens!$F$2261+(g_ot-Sens!$F$2261)*4/4</f>
        <v>0.05</v>
      </c>
      <c r="L2261" s="13" t="n">
        <f aca="false">g_ot</f>
        <v>0.05</v>
      </c>
      <c r="M2261" s="13" t="n">
        <f aca="false">g_ot</f>
        <v>0.05</v>
      </c>
      <c r="P2261" s="8" t="s">
        <v>679</v>
      </c>
    </row>
    <row r="2262" customFormat="false" ht="17.15" hidden="false" customHeight="false" outlineLevel="0" collapsed="false">
      <c r="A2262" s="0" t="s">
        <v>680</v>
      </c>
      <c r="B2262" s="0" t="s">
        <v>57</v>
      </c>
      <c r="F2262" s="40" t="n">
        <f aca="false">(g26q3_mid*Q!$O$8/Q!$J$8-Thesis!$F$86-Thesis!$F$90)/(Sens!$O$2250*(1+Sens!$F$2251)+Sens!$O$2252*(1+Sens!$F$2253)+Sens!$O$2254*(1+Sens!$F$2255)+Sens!$O$2256*(1+Sens!$F$2257)+Sens!$O$2258*(1+Sens!$F$2259)+Sens!$O$2260*(1+Sens!$F$2261))</f>
        <v>0.958546670622329</v>
      </c>
      <c r="P2262" s="8" t="s">
        <v>681</v>
      </c>
    </row>
    <row r="2263" customFormat="false" ht="17.15" hidden="false" customHeight="false" outlineLevel="0" collapsed="false">
      <c r="A2263" s="3" t="s">
        <v>682</v>
      </c>
      <c r="B2263" s="8" t="s">
        <v>86</v>
      </c>
      <c r="C2263" s="38" t="n">
        <f aca="false">Sens!$C$2250+Sens!$C$2252+Sens!$C$2254+Sens!$C$2256+Sens!$C$2258+Sens!$C$2260</f>
        <v>530.403</v>
      </c>
      <c r="D2263" s="38" t="n">
        <f aca="false">Sens!$D$2250+Sens!$D$2252+Sens!$D$2254+Sens!$D$2256+Sens!$D$2258+Sens!$D$2260</f>
        <v>588.199</v>
      </c>
      <c r="E2263" s="38" t="n">
        <f aca="false">Sens!$E$2250+Sens!$E$2252+Sens!$E$2254+Sens!$E$2256+Sens!$E$2258+Sens!$E$2260</f>
        <v>302.306</v>
      </c>
      <c r="F2263" s="38" t="n">
        <f aca="false">Sens!$F$2250+Sens!$F$2252+Sens!$F$2254+Sens!$F$2256+Sens!$F$2258+Sens!$F$2260</f>
        <v>349.048241645537</v>
      </c>
      <c r="G2263" s="38" t="n">
        <f aca="false">Sens!$G$2250+Sens!$G$2252+Sens!$G$2254+Sens!$G$2256+Sens!$G$2258+Sens!$G$2260</f>
        <v>651.354241645537</v>
      </c>
      <c r="H2263" s="38" t="n">
        <f aca="false">Sens!$H$2250+Sens!$H$2252+Sens!$H$2254+Sens!$H$2256+Sens!$H$2258+Sens!$H$2260</f>
        <v>721.096889521386</v>
      </c>
      <c r="I2263" s="38" t="n">
        <f aca="false">Sens!$I$2250+Sens!$I$2252+Sens!$I$2254+Sens!$I$2256+Sens!$I$2258+Sens!$I$2260</f>
        <v>788.529391152531</v>
      </c>
      <c r="J2263" s="38" t="n">
        <f aca="false">Sens!$J$2250+Sens!$J$2252+Sens!$J$2254+Sens!$J$2256+Sens!$J$2258+Sens!$J$2260</f>
        <v>851.108405741443</v>
      </c>
      <c r="K2263" s="38" t="n">
        <f aca="false">Sens!$K$2250+Sens!$K$2252+Sens!$K$2254+Sens!$K$2256+Sens!$K$2258+Sens!$K$2260</f>
        <v>906.176455431088</v>
      </c>
      <c r="L2263" s="38" t="n">
        <f aca="false">Sens!$L$2250+Sens!$L$2252+Sens!$L$2254+Sens!$L$2256+Sens!$L$2258+Sens!$L$2260</f>
        <v>965.093106475589</v>
      </c>
      <c r="M2263" s="38" t="n">
        <f aca="false">Sens!$M$2250+Sens!$M$2252+Sens!$M$2254+Sens!$M$2256+Sens!$M$2258+Sens!$M$2260</f>
        <v>1028.14790794689</v>
      </c>
      <c r="N2263" s="38" t="n">
        <f aca="false">Sens!$N$2250+Sens!$N$2252+Sens!$N$2254+Sens!$N$2256+Sens!$N$2258+Sens!$N$2260</f>
        <v>263.229</v>
      </c>
      <c r="O2263" s="38" t="n">
        <f aca="false">Sens!$O$2250+Sens!$O$2252+Sens!$O$2254+Sens!$O$2256+Sens!$O$2258+Sens!$O$2260</f>
        <v>324.97</v>
      </c>
    </row>
    <row r="2264" customFormat="false" ht="17.15" hidden="false" customHeight="false" outlineLevel="0" collapsed="false">
      <c r="A2264" s="5" t="s">
        <v>683</v>
      </c>
      <c r="B2264" s="0" t="s">
        <v>52</v>
      </c>
      <c r="C2264" s="13" t="n">
        <f aca="false">Q!$D$5/(Q!$D$5+Q!$D$6)</f>
        <v>0.730570905519011</v>
      </c>
      <c r="D2264" s="13" t="n">
        <f aca="false">Q!$E$5/(Q!$E$5+Q!$E$6)</f>
        <v>0.724763217890544</v>
      </c>
      <c r="E2264" s="13" t="n">
        <f aca="false">Q!$P$5/(Q!$P$5+Q!$P$6)</f>
        <v>0.728797972914861</v>
      </c>
      <c r="F2264" s="13" t="n">
        <f aca="false">Sens!$O$2264</f>
        <v>0.718066283041511</v>
      </c>
      <c r="G2264" s="13" t="n">
        <f aca="false">Sens!$G$2265/Sens!$G$2263</f>
        <v>0.723047066202847</v>
      </c>
      <c r="H2264" s="13" t="n">
        <f aca="false">Sens!$G$2264</f>
        <v>0.723047066202847</v>
      </c>
      <c r="I2264" s="13" t="n">
        <f aca="false">Sens!$G$2264</f>
        <v>0.723047066202847</v>
      </c>
      <c r="J2264" s="13" t="n">
        <f aca="false">Sens!$G$2264</f>
        <v>0.723047066202847</v>
      </c>
      <c r="K2264" s="13" t="n">
        <f aca="false">Sens!$G$2264</f>
        <v>0.723047066202847</v>
      </c>
      <c r="L2264" s="13" t="n">
        <f aca="false">Sens!$G$2264</f>
        <v>0.723047066202847</v>
      </c>
      <c r="M2264" s="13" t="n">
        <f aca="false">Sens!$G$2264</f>
        <v>0.723047066202847</v>
      </c>
      <c r="N2264" s="13" t="n">
        <f aca="false">Q!$N$5/(Q!$N$5+Q!$N$6)</f>
        <v>0.733030935041352</v>
      </c>
      <c r="O2264" s="13" t="n">
        <f aca="false">Q!$O$5/(Q!$O$5+Q!$O$6)</f>
        <v>0.718066283041511</v>
      </c>
      <c r="P2264" s="8" t="s">
        <v>684</v>
      </c>
    </row>
    <row r="2265" customFormat="false" ht="17.15" hidden="false" customHeight="false" outlineLevel="0" collapsed="false">
      <c r="A2265" s="1" t="s">
        <v>512</v>
      </c>
      <c r="B2265" s="8" t="s">
        <v>86</v>
      </c>
      <c r="C2265" s="38" t="n">
        <f aca="false">Q!$D$5</f>
        <v>387.497</v>
      </c>
      <c r="D2265" s="38" t="n">
        <f aca="false">Q!$E$5</f>
        <v>426.305</v>
      </c>
      <c r="E2265" s="38" t="n">
        <f aca="false">Q!$P$5</f>
        <v>220.32</v>
      </c>
      <c r="F2265" s="38" t="n">
        <f aca="false">Sens!$F$2263*Sens!$F$2264</f>
        <v>250.639773480586</v>
      </c>
      <c r="G2265" s="38" t="n">
        <f aca="false">Sens!$E$2265+Sens!$F$2265</f>
        <v>470.959773480586</v>
      </c>
      <c r="H2265" s="38" t="n">
        <f aca="false">Sens!$H$2263*Sens!$H$2264</f>
        <v>521.386990416437</v>
      </c>
      <c r="I2265" s="38" t="n">
        <f aca="false">Sens!$I$2263*Sens!$I$2264</f>
        <v>570.143862887555</v>
      </c>
      <c r="J2265" s="38" t="n">
        <f aca="false">Sens!$J$2263*Sens!$J$2264</f>
        <v>615.391435791933</v>
      </c>
      <c r="K2265" s="38" t="n">
        <f aca="false">Sens!$K$2263*Sens!$K$2264</f>
        <v>655.208227561543</v>
      </c>
      <c r="L2265" s="38" t="n">
        <f aca="false">Sens!$L$2263*Sens!$L$2264</f>
        <v>697.807739249767</v>
      </c>
      <c r="M2265" s="38" t="n">
        <f aca="false">Sens!$M$2263*Sens!$M$2264</f>
        <v>743.399328463592</v>
      </c>
      <c r="N2265" s="38" t="n">
        <f aca="false">Q!$N$5</f>
        <v>192.955</v>
      </c>
      <c r="O2265" s="38" t="n">
        <f aca="false">Q!$O$5</f>
        <v>233.35</v>
      </c>
      <c r="P2265" s="5" t="s">
        <v>685</v>
      </c>
    </row>
    <row r="2266" customFormat="false" ht="17.15" hidden="false" customHeight="false" outlineLevel="0" collapsed="false">
      <c r="A2266" s="1" t="s">
        <v>515</v>
      </c>
      <c r="B2266" s="8" t="s">
        <v>86</v>
      </c>
      <c r="C2266" s="38" t="n">
        <f aca="false">Q!$D$6</f>
        <v>142.906</v>
      </c>
      <c r="D2266" s="38" t="n">
        <f aca="false">Q!$E$6</f>
        <v>161.894</v>
      </c>
      <c r="E2266" s="38" t="n">
        <f aca="false">Q!$P$6</f>
        <v>81.986</v>
      </c>
      <c r="F2266" s="38" t="n">
        <f aca="false">Sens!$F$2263*(1-Sens!$F$2264)</f>
        <v>98.408468164951</v>
      </c>
      <c r="G2266" s="38" t="n">
        <f aca="false">Sens!$E$2266+Sens!$F$2266</f>
        <v>180.394468164951</v>
      </c>
      <c r="H2266" s="38" t="n">
        <f aca="false">Sens!$H$2263*(1-Sens!$H$2264)</f>
        <v>199.709899104949</v>
      </c>
      <c r="I2266" s="38" t="n">
        <f aca="false">Sens!$I$2263*(1-Sens!$I$2264)</f>
        <v>218.385528264976</v>
      </c>
      <c r="J2266" s="38" t="n">
        <f aca="false">Sens!$J$2263*(1-Sens!$J$2264)</f>
        <v>235.71696994951</v>
      </c>
      <c r="K2266" s="38" t="n">
        <f aca="false">Sens!$K$2263*(1-Sens!$K$2264)</f>
        <v>250.968227869545</v>
      </c>
      <c r="L2266" s="38" t="n">
        <f aca="false">Sens!$L$2263*(1-Sens!$L$2264)</f>
        <v>267.285367225822</v>
      </c>
      <c r="M2266" s="38" t="n">
        <f aca="false">Sens!$M$2263*(1-Sens!$M$2264)</f>
        <v>284.748579483295</v>
      </c>
      <c r="N2266" s="38" t="n">
        <f aca="false">Q!$N$6</f>
        <v>70.274</v>
      </c>
      <c r="O2266" s="38" t="n">
        <f aca="false">Q!$O$6</f>
        <v>91.62</v>
      </c>
      <c r="P2266" s="5" t="s">
        <v>686</v>
      </c>
    </row>
    <row r="2267" customFormat="false" ht="17.15" hidden="false" customHeight="false" outlineLevel="0" collapsed="false">
      <c r="A2267" s="5" t="s">
        <v>687</v>
      </c>
      <c r="B2267" s="0" t="s">
        <v>86</v>
      </c>
      <c r="C2267" s="38" t="n">
        <f aca="false">Sens!$C$2256*Sens!$C$2264</f>
        <v>41.0683128828457</v>
      </c>
      <c r="D2267" s="38" t="n">
        <f aca="false">Sens!$D$2256*Sens!$D$2264</f>
        <v>49.7441234599175</v>
      </c>
      <c r="E2267" s="38" t="n">
        <f aca="false">Sens!$E$2256*Sens!$E$2264</f>
        <v>27.0034224924414</v>
      </c>
      <c r="F2267" s="38" t="n">
        <f aca="false">Sens!$F$2256*Sens!$F$2264</f>
        <v>33.1439448330513</v>
      </c>
      <c r="G2267" s="38" t="n">
        <f aca="false">Sens!$G$2256*Sens!$G$2264</f>
        <v>60.164183844083</v>
      </c>
      <c r="H2267" s="38" t="n">
        <f aca="false">Sens!$H$2256*Sens!$H$2264</f>
        <v>72.2301766552629</v>
      </c>
      <c r="I2267" s="38" t="n">
        <f aca="false">Sens!$I$2256*Sens!$I$2264</f>
        <v>84.2950764463991</v>
      </c>
      <c r="J2267" s="38" t="n">
        <f aca="false">Sens!$J$2256*Sens!$J$2264</f>
        <v>95.5499047729386</v>
      </c>
      <c r="K2267" s="38" t="n">
        <f aca="false">Sens!$K$2256*Sens!$K$2264</f>
        <v>105.104895250232</v>
      </c>
      <c r="L2267" s="38" t="n">
        <f aca="false">Sens!$L$2256*Sens!$L$2264</f>
        <v>115.615384775256</v>
      </c>
      <c r="M2267" s="38" t="n">
        <f aca="false">Sens!$M$2256*Sens!$M$2264</f>
        <v>127.176923252781</v>
      </c>
      <c r="N2267" s="38" t="n">
        <f aca="false">Sens!$N$2256*Sens!$N$2264</f>
        <v>21.7087111412496</v>
      </c>
      <c r="O2267" s="38" t="n">
        <f aca="false">Sens!$O$2256*Sens!$O$2264</f>
        <v>28.0189463642798</v>
      </c>
      <c r="P2267" s="5" t="s">
        <v>688</v>
      </c>
    </row>
    <row r="2268" customFormat="false" ht="15" hidden="false" customHeight="false" outlineLevel="0" collapsed="false">
      <c r="A2268" s="5" t="s">
        <v>689</v>
      </c>
      <c r="B2268" s="0" t="s">
        <v>86</v>
      </c>
      <c r="C2268" s="38" t="n">
        <f aca="false">Sens!$C$2256-Sens!$C$2267</f>
        <v>15.1456871171543</v>
      </c>
      <c r="D2268" s="38" t="n">
        <f aca="false">Sens!$D$2256-Sens!$D$2267</f>
        <v>18.8908765400825</v>
      </c>
      <c r="E2268" s="38" t="n">
        <f aca="false">Sens!$E$2256-Sens!$E$2267</f>
        <v>10.0485775075586</v>
      </c>
      <c r="F2268" s="38" t="n">
        <f aca="false">Sens!$F$2256-Sens!$F$2267</f>
        <v>13.0132771613635</v>
      </c>
      <c r="G2268" s="38" t="n">
        <f aca="false">Sens!$G$2256-Sens!$G$2267</f>
        <v>23.0450381503318</v>
      </c>
      <c r="H2268" s="38" t="n">
        <f aca="false">Sens!$H$2256-Sens!$H$2267</f>
        <v>27.6667457326347</v>
      </c>
      <c r="I2268" s="38" t="n">
        <f aca="false">Sens!$I$2256-Sens!$I$2267</f>
        <v>32.2880346490971</v>
      </c>
      <c r="J2268" s="38" t="n">
        <f aca="false">Sens!$J$2256-Sens!$J$2267</f>
        <v>36.5990371690132</v>
      </c>
      <c r="K2268" s="38" t="n">
        <f aca="false">Sens!$K$2256-Sens!$K$2267</f>
        <v>40.2589408859145</v>
      </c>
      <c r="L2268" s="38" t="n">
        <f aca="false">Sens!$L$2256-Sens!$L$2267</f>
        <v>44.2848349745059</v>
      </c>
      <c r="M2268" s="38" t="n">
        <f aca="false">Sens!$M$2256-Sens!$M$2267</f>
        <v>48.7133184719565</v>
      </c>
      <c r="N2268" s="38" t="n">
        <f aca="false">Sens!$N$2256-Sens!$N$2267</f>
        <v>7.90628885875037</v>
      </c>
      <c r="O2268" s="38" t="n">
        <f aca="false">Sens!$O$2256-Sens!$O$2267</f>
        <v>11.0010536357202</v>
      </c>
    </row>
    <row r="2269" customFormat="false" ht="19.4" hidden="false" customHeight="false" outlineLevel="0" collapsed="false">
      <c r="A2269" s="31" t="s">
        <v>1181</v>
      </c>
    </row>
    <row r="2270" customFormat="false" ht="17.15" hidden="false" customHeight="false" outlineLevel="0" collapsed="false">
      <c r="A2270" s="6" t="s">
        <v>16</v>
      </c>
      <c r="B2270" s="6" t="s">
        <v>17</v>
      </c>
      <c r="C2270" s="20" t="s">
        <v>497</v>
      </c>
      <c r="D2270" s="20" t="s">
        <v>498</v>
      </c>
      <c r="E2270" s="20" t="s">
        <v>580</v>
      </c>
      <c r="F2270" s="20" t="s">
        <v>581</v>
      </c>
      <c r="G2270" s="20" t="s">
        <v>582</v>
      </c>
      <c r="H2270" s="20" t="s">
        <v>583</v>
      </c>
      <c r="I2270" s="20" t="s">
        <v>584</v>
      </c>
      <c r="J2270" s="20" t="s">
        <v>585</v>
      </c>
      <c r="K2270" s="20" t="s">
        <v>586</v>
      </c>
      <c r="L2270" s="20" t="s">
        <v>587</v>
      </c>
      <c r="M2270" s="20" t="s">
        <v>588</v>
      </c>
      <c r="N2270" s="20" t="s">
        <v>589</v>
      </c>
      <c r="O2270" s="20" t="s">
        <v>590</v>
      </c>
      <c r="P2270" s="6" t="s">
        <v>23</v>
      </c>
      <c r="R2270" s="20" t="n">
        <v>2023</v>
      </c>
      <c r="S2270" s="20" t="n">
        <v>2024</v>
      </c>
      <c r="T2270" s="20" t="n">
        <v>2025</v>
      </c>
      <c r="U2270" s="20" t="n">
        <v>2026</v>
      </c>
      <c r="V2270" s="20" t="n">
        <v>2027</v>
      </c>
      <c r="W2270" s="20" t="n">
        <v>2028</v>
      </c>
      <c r="X2270" s="20" t="n">
        <v>2029</v>
      </c>
      <c r="Y2270" s="20" t="n">
        <v>2030</v>
      </c>
      <c r="Z2270" s="20" t="n">
        <v>2031</v>
      </c>
      <c r="AA2270" s="20" t="n">
        <v>2032</v>
      </c>
    </row>
    <row r="2271" customFormat="false" ht="17.15" hidden="false" customHeight="false" outlineLevel="0" collapsed="false">
      <c r="A2271" s="1" t="s">
        <v>591</v>
      </c>
    </row>
    <row r="2272" customFormat="false" ht="17.15" hidden="false" customHeight="false" outlineLevel="0" collapsed="false">
      <c r="A2272" s="5" t="s">
        <v>592</v>
      </c>
      <c r="B2272" s="0" t="s">
        <v>144</v>
      </c>
      <c r="H2272" s="32" t="n">
        <f aca="false">pace_B</f>
        <v>3634.3</v>
      </c>
      <c r="I2272" s="32" t="n">
        <f aca="false">pace_B</f>
        <v>3634.3</v>
      </c>
      <c r="J2272" s="32" t="n">
        <f aca="false">pace_B</f>
        <v>3634.3</v>
      </c>
      <c r="K2272" s="32" t="n">
        <f aca="false">pace_B+(Sens!$J$2273*tg-pace_B)*1/3</f>
        <v>2570.86716666667</v>
      </c>
      <c r="L2272" s="32" t="n">
        <f aca="false">pace_B+(Sens!$J$2273*tg-pace_B)*2/3</f>
        <v>1507.43433333333</v>
      </c>
      <c r="M2272" s="32" t="n">
        <f aca="false">pace_B+(Sens!$J$2273*tg-pace_B)*3/3</f>
        <v>444.0015</v>
      </c>
      <c r="P2272" s="5" t="s">
        <v>593</v>
      </c>
    </row>
    <row r="2273" customFormat="false" ht="17.15" hidden="false" customHeight="false" outlineLevel="0" collapsed="false">
      <c r="A2273" s="15" t="s">
        <v>594</v>
      </c>
      <c r="B2273" s="14" t="s">
        <v>129</v>
      </c>
      <c r="C2273" s="33" t="n">
        <f aca="false">mw_ye24</f>
        <v>360</v>
      </c>
      <c r="D2273" s="33" t="n">
        <f aca="false">mw_ye25</f>
        <v>1440</v>
      </c>
      <c r="E2273" s="33" t="n">
        <f aca="false">mw_open</f>
        <v>2080</v>
      </c>
      <c r="F2273" s="33" t="n">
        <f aca="false">Sens!$E$2273+pace_B*0.5</f>
        <v>3897.15</v>
      </c>
      <c r="G2273" s="33" t="n">
        <f aca="false">Sens!$F$2273</f>
        <v>3897.15</v>
      </c>
      <c r="H2273" s="33" t="n">
        <f aca="false">Sens!$G$2273+Sens!$H$2272</f>
        <v>7531.45</v>
      </c>
      <c r="I2273" s="33" t="n">
        <f aca="false">Sens!$H$2273+Sens!$I$2272</f>
        <v>11165.75</v>
      </c>
      <c r="J2273" s="33" t="n">
        <f aca="false">Sens!$I$2273+Sens!$J$2272</f>
        <v>14800.05</v>
      </c>
      <c r="K2273" s="33" t="n">
        <f aca="false">Sens!$J$2273+Sens!$K$2272</f>
        <v>17370.9171666667</v>
      </c>
      <c r="L2273" s="33" t="n">
        <f aca="false">Sens!$K$2273+Sens!$L$2272</f>
        <v>18878.3515</v>
      </c>
      <c r="M2273" s="33" t="n">
        <f aca="false">Sens!$L$2273+Sens!$M$2272</f>
        <v>19322.353</v>
      </c>
      <c r="N2273" s="33" t="n">
        <f aca="false">(mw_ye24+mw_ye25)/2</f>
        <v>900</v>
      </c>
      <c r="O2273" s="33" t="n">
        <f aca="false">mw_ye25</f>
        <v>1440</v>
      </c>
      <c r="P2273" s="5" t="s">
        <v>595</v>
      </c>
    </row>
    <row r="2274" customFormat="false" ht="17.15" hidden="false" customHeight="false" outlineLevel="0" collapsed="false">
      <c r="A2274" s="5" t="s">
        <v>596</v>
      </c>
      <c r="B2274" s="0" t="s">
        <v>129</v>
      </c>
      <c r="C2274" s="32" t="n">
        <f aca="false">(mw_ye23+mw_ye24)/2</f>
        <v>240</v>
      </c>
      <c r="D2274" s="32" t="n">
        <f aca="false">(Sens!$C$2273+Sens!$D$2273)/2</f>
        <v>900</v>
      </c>
      <c r="E2274" s="32" t="n">
        <f aca="false">(Sens!$D$2273+Sens!$E$2273)/2</f>
        <v>1760</v>
      </c>
      <c r="F2274" s="32" t="n">
        <f aca="false">(Sens!$E$2273+Sens!$F$2273)/2</f>
        <v>2988.575</v>
      </c>
      <c r="G2274" s="32" t="n">
        <f aca="false">(Sens!$E$2274+Sens!$F$2274)/2</f>
        <v>2374.2875</v>
      </c>
      <c r="H2274" s="32" t="n">
        <f aca="false">(Sens!$G$2273+Sens!$H$2273)/2</f>
        <v>5714.3</v>
      </c>
      <c r="I2274" s="32" t="n">
        <f aca="false">(Sens!$H$2273+Sens!$I$2273)/2</f>
        <v>9348.6</v>
      </c>
      <c r="J2274" s="32" t="n">
        <f aca="false">(Sens!$I$2273+Sens!$J$2273)/2</f>
        <v>12982.9</v>
      </c>
      <c r="K2274" s="32" t="n">
        <f aca="false">(Sens!$J$2273+Sens!$K$2273)/2</f>
        <v>16085.4835833333</v>
      </c>
      <c r="L2274" s="32" t="n">
        <f aca="false">(Sens!$K$2273+Sens!$L$2273)/2</f>
        <v>18124.6343333333</v>
      </c>
      <c r="M2274" s="32" t="n">
        <f aca="false">(Sens!$L$2273+Sens!$M$2273)/2</f>
        <v>19100.35225</v>
      </c>
      <c r="N2274" s="32" t="n">
        <f aca="false">(Sens!$C$2273+Sens!$N$2273)/2</f>
        <v>630</v>
      </c>
      <c r="O2274" s="32" t="n">
        <f aca="false">(Sens!$N$2273+Sens!$O$2273)/2</f>
        <v>1170</v>
      </c>
    </row>
    <row r="2275" customFormat="false" ht="15" hidden="false" customHeight="false" outlineLevel="0" collapsed="false">
      <c r="A2275" s="5" t="s">
        <v>597</v>
      </c>
      <c r="B2275" s="5" t="s">
        <v>123</v>
      </c>
      <c r="C2275" s="34" t="n">
        <v>1</v>
      </c>
      <c r="D2275" s="34" t="n">
        <v>1</v>
      </c>
      <c r="E2275" s="34" t="n">
        <v>0.5</v>
      </c>
      <c r="F2275" s="34" t="n">
        <v>0.5</v>
      </c>
      <c r="G2275" s="34" t="n">
        <v>1</v>
      </c>
      <c r="H2275" s="34" t="n">
        <v>1</v>
      </c>
      <c r="I2275" s="34" t="n">
        <v>1</v>
      </c>
      <c r="J2275" s="34" t="n">
        <v>1</v>
      </c>
      <c r="K2275" s="34" t="n">
        <v>1</v>
      </c>
      <c r="L2275" s="34" t="n">
        <v>1</v>
      </c>
      <c r="M2275" s="34" t="n">
        <v>1</v>
      </c>
      <c r="N2275" s="34" t="n">
        <v>0.5</v>
      </c>
      <c r="O2275" s="34" t="n">
        <v>0.5</v>
      </c>
    </row>
    <row r="2276" customFormat="false" ht="17.15" hidden="false" customHeight="false" outlineLevel="0" collapsed="false">
      <c r="A2276" s="5" t="s">
        <v>598</v>
      </c>
      <c r="B2276" s="0" t="s">
        <v>129</v>
      </c>
      <c r="C2276" s="32" t="n">
        <f aca="false">Sens!$C$2273-mw_ye23</f>
        <v>240</v>
      </c>
      <c r="D2276" s="32" t="n">
        <f aca="false">Sens!$D$2273-Sens!$C$2273</f>
        <v>1080</v>
      </c>
      <c r="E2276" s="32" t="n">
        <f aca="false">Sens!$E$2273-Sens!$D$2273</f>
        <v>640</v>
      </c>
      <c r="F2276" s="32" t="n">
        <f aca="false">Sens!$F$2273-Sens!$E$2273</f>
        <v>1817.15</v>
      </c>
      <c r="G2276" s="32" t="n">
        <f aca="false">Sens!$E$2276+Sens!$F$2276</f>
        <v>2457.15</v>
      </c>
      <c r="H2276" s="32" t="n">
        <f aca="false">Sens!$H$2273-Sens!$G$2273</f>
        <v>3634.3</v>
      </c>
      <c r="I2276" s="32" t="n">
        <f aca="false">Sens!$I$2273-Sens!$H$2273</f>
        <v>3634.3</v>
      </c>
      <c r="J2276" s="32" t="n">
        <f aca="false">Sens!$J$2273-Sens!$I$2273</f>
        <v>3634.3</v>
      </c>
      <c r="K2276" s="32" t="n">
        <f aca="false">Sens!$K$2273-Sens!$J$2273</f>
        <v>2570.86716666667</v>
      </c>
      <c r="L2276" s="32" t="n">
        <f aca="false">Sens!$L$2273-Sens!$K$2273</f>
        <v>1507.43433333333</v>
      </c>
      <c r="M2276" s="32" t="n">
        <f aca="false">Sens!$M$2273-Sens!$L$2273</f>
        <v>444.001499999999</v>
      </c>
      <c r="N2276" s="32" t="n">
        <f aca="false">Sens!$N$2273-Sens!$C$2273</f>
        <v>540</v>
      </c>
      <c r="O2276" s="32" t="n">
        <f aca="false">Sens!$O$2273-Sens!$N$2273</f>
        <v>540</v>
      </c>
    </row>
    <row r="2277" customFormat="false" ht="17.15" hidden="false" customHeight="false" outlineLevel="0" collapsed="false">
      <c r="A2277" s="5" t="s">
        <v>599</v>
      </c>
      <c r="B2277" s="0" t="s">
        <v>129</v>
      </c>
      <c r="C2277" s="32" t="n">
        <f aca="false">Sens!$C$2276/ext_sh</f>
        <v>300</v>
      </c>
      <c r="D2277" s="32" t="n">
        <f aca="false">Sens!$D$2276/ext_sh</f>
        <v>1350</v>
      </c>
      <c r="E2277" s="32" t="n">
        <f aca="false">Sens!$E$2276/ext_sh</f>
        <v>800</v>
      </c>
      <c r="F2277" s="32" t="n">
        <f aca="false">Sens!$F$2276/ext_sh</f>
        <v>2271.4375</v>
      </c>
      <c r="G2277" s="32" t="n">
        <f aca="false">Sens!$G$2276/ext_sh</f>
        <v>3071.4375</v>
      </c>
      <c r="H2277" s="32" t="n">
        <f aca="false">Sens!$H$2276/ext_sh</f>
        <v>4542.875</v>
      </c>
      <c r="I2277" s="32" t="n">
        <f aca="false">Sens!$I$2276/ext_sh</f>
        <v>4542.875</v>
      </c>
      <c r="J2277" s="32" t="n">
        <f aca="false">Sens!$J$2276/ext_sh</f>
        <v>4542.875</v>
      </c>
      <c r="K2277" s="32" t="n">
        <f aca="false">Sens!$K$2276/ext_sh</f>
        <v>3213.58395833333</v>
      </c>
      <c r="L2277" s="32" t="n">
        <f aca="false">Sens!$L$2276/ext_sh</f>
        <v>1884.29291666667</v>
      </c>
      <c r="M2277" s="32" t="n">
        <f aca="false">Sens!$M$2276/ext_sh</f>
        <v>555.001874999998</v>
      </c>
      <c r="N2277" s="32" t="n">
        <f aca="false">Sens!$N$2276/ext_sh</f>
        <v>675</v>
      </c>
      <c r="O2277" s="32" t="n">
        <f aca="false">Sens!$O$2276/ext_sh</f>
        <v>675</v>
      </c>
      <c r="P2277" s="8" t="s">
        <v>600</v>
      </c>
      <c r="R2277" s="32" t="n">
        <f aca="false">mw_ye23/ext_sh</f>
        <v>150</v>
      </c>
      <c r="S2277" s="32" t="n">
        <f aca="false">Sens!$C$2277</f>
        <v>300</v>
      </c>
      <c r="T2277" s="32" t="n">
        <f aca="false">Sens!$D$2277</f>
        <v>1350</v>
      </c>
      <c r="U2277" s="32" t="n">
        <f aca="false">Sens!$G$2277</f>
        <v>3071.4375</v>
      </c>
      <c r="V2277" s="32" t="n">
        <f aca="false">Sens!$H$2277</f>
        <v>4542.875</v>
      </c>
      <c r="W2277" s="32" t="n">
        <f aca="false">Sens!$I$2277</f>
        <v>4542.875</v>
      </c>
      <c r="X2277" s="32" t="n">
        <f aca="false">Sens!$J$2277</f>
        <v>4542.875</v>
      </c>
      <c r="Y2277" s="32" t="n">
        <f aca="false">Sens!$K$2277</f>
        <v>3213.58395833333</v>
      </c>
      <c r="Z2277" s="32" t="n">
        <f aca="false">Sens!$L$2277</f>
        <v>1884.29291666667</v>
      </c>
      <c r="AA2277" s="32" t="n">
        <f aca="false">Sens!$M$2277</f>
        <v>555.001874999998</v>
      </c>
    </row>
    <row r="2278" customFormat="false" ht="17.15" hidden="false" customHeight="false" outlineLevel="0" collapsed="false">
      <c r="A2278" s="1" t="s">
        <v>601</v>
      </c>
    </row>
    <row r="2279" customFormat="false" ht="17.15" hidden="false" customHeight="false" outlineLevel="0" collapsed="false">
      <c r="A2279" s="0" t="s">
        <v>602</v>
      </c>
      <c r="B2279" s="0" t="s">
        <v>52</v>
      </c>
      <c r="F2279" s="35" t="n">
        <f aca="false">na_vr26</f>
        <v>0</v>
      </c>
      <c r="G2279" s="35" t="n">
        <f aca="false">na_vr26</f>
        <v>0</v>
      </c>
      <c r="H2279" s="35" t="n">
        <f aca="false">na_vr27</f>
        <v>0.5</v>
      </c>
      <c r="I2279" s="35" t="n">
        <f aca="false">na_vr28</f>
        <v>1</v>
      </c>
      <c r="J2279" s="35" t="n">
        <f aca="false">na_vr28</f>
        <v>1</v>
      </c>
      <c r="K2279" s="35" t="n">
        <f aca="false">na_vr28</f>
        <v>1</v>
      </c>
      <c r="L2279" s="35" t="n">
        <f aca="false">na_vr28</f>
        <v>1</v>
      </c>
      <c r="M2279" s="35" t="n">
        <f aca="false">na_vr28</f>
        <v>1</v>
      </c>
    </row>
    <row r="2280" customFormat="false" ht="17.15" hidden="false" customHeight="false" outlineLevel="0" collapsed="false">
      <c r="A2280" s="5" t="s">
        <v>603</v>
      </c>
      <c r="B2280" s="0" t="s">
        <v>173</v>
      </c>
      <c r="F2280" s="36" t="n">
        <f aca="false">cust_sh*tk_he_gb300*cf_chip_lo+(1-cust_sh)*((1-Sens!$F$2279)*tk_he_gb300+Sens!$F$2279*tk_he_vr200)</f>
        <v>9.25344935179358</v>
      </c>
      <c r="G2280" s="36" t="n">
        <f aca="false">cust_sh*tk_he_gb300*cf_chip_lo+(1-cust_sh)*((1-Sens!$G$2279)*tk_he_gb300+Sens!$G$2279*tk_he_vr200)</f>
        <v>9.25344935179358</v>
      </c>
      <c r="H2280" s="36" t="n">
        <f aca="false">cust_sh*tk_he_gb300*cf_chip_lo+(1-cust_sh)*((1-Sens!$H$2279)*tk_he_gb300+Sens!$H$2279*tk_he_vr200)</f>
        <v>9.58821435241208</v>
      </c>
      <c r="I2280" s="36" t="n">
        <f aca="false">cust_sh*tk_he_gb300*cf_chip_lo+(1-cust_sh)*((1-Sens!$I$2279)*tk_he_gb300+Sens!$I$2279*tk_he_vr200)</f>
        <v>9.92297935303058</v>
      </c>
      <c r="J2280" s="36" t="n">
        <f aca="false">cust_sh*tk_he_gb300*cf_chip_lo+(1-cust_sh)*((1-Sens!$J$2279)*tk_he_gb300+Sens!$J$2279*tk_he_vr200)</f>
        <v>9.92297935303058</v>
      </c>
      <c r="K2280" s="36" t="n">
        <f aca="false">cust_sh*tk_he_gb300*cf_chip_lo+(1-cust_sh)*((1-Sens!$K$2279)*tk_he_gb300+Sens!$K$2279*tk_he_vr200)</f>
        <v>9.92297935303058</v>
      </c>
      <c r="L2280" s="36" t="n">
        <f aca="false">cust_sh*tk_he_gb300*cf_chip_lo+(1-cust_sh)*((1-Sens!$L$2279)*tk_he_gb300+Sens!$L$2279*tk_he_vr200)</f>
        <v>9.92297935303058</v>
      </c>
      <c r="M2280" s="36" t="n">
        <f aca="false">cust_sh*tk_he_gb300*cf_chip_lo+(1-cust_sh)*((1-Sens!$M$2279)*tk_he_gb300+Sens!$M$2279*tk_he_vr200)</f>
        <v>9.92297935303058</v>
      </c>
    </row>
    <row r="2281" customFormat="false" ht="17.15" hidden="false" customHeight="false" outlineLevel="0" collapsed="false">
      <c r="A2281" s="5" t="s">
        <v>604</v>
      </c>
      <c r="B2281" s="0" t="s">
        <v>173</v>
      </c>
      <c r="F2281" s="36" t="n">
        <f aca="false">cust_sh*tk_ox_gb300+(1-cust_sh)*((1-Sens!$F$2279)*tk_ox_gb300+Sens!$F$2279*tk_ox_vr200)</f>
        <v>1.98263481314457</v>
      </c>
      <c r="G2281" s="36" t="n">
        <f aca="false">cust_sh*tk_ox_gb300+(1-cust_sh)*((1-Sens!$G$2279)*tk_ox_gb300+Sens!$G$2279*tk_ox_vr200)</f>
        <v>1.98263481314457</v>
      </c>
      <c r="H2281" s="36" t="n">
        <f aca="false">cust_sh*tk_ox_gb300+(1-cust_sh)*((1-Sens!$H$2279)*tk_ox_gb300+Sens!$H$2279*tk_ox_vr200)</f>
        <v>2.01034999693694</v>
      </c>
      <c r="I2281" s="36" t="n">
        <f aca="false">cust_sh*tk_ox_gb300+(1-cust_sh)*((1-Sens!$I$2279)*tk_ox_gb300+Sens!$I$2279*tk_ox_vr200)</f>
        <v>2.0380651807293</v>
      </c>
      <c r="J2281" s="36" t="n">
        <f aca="false">cust_sh*tk_ox_gb300+(1-cust_sh)*((1-Sens!$J$2279)*tk_ox_gb300+Sens!$J$2279*tk_ox_vr200)</f>
        <v>2.0380651807293</v>
      </c>
      <c r="K2281" s="36" t="n">
        <f aca="false">cust_sh*tk_ox_gb300+(1-cust_sh)*((1-Sens!$K$2279)*tk_ox_gb300+Sens!$K$2279*tk_ox_vr200)</f>
        <v>2.0380651807293</v>
      </c>
      <c r="L2281" s="36" t="n">
        <f aca="false">cust_sh*tk_ox_gb300+(1-cust_sh)*((1-Sens!$L$2279)*tk_ox_gb300+Sens!$L$2279*tk_ox_vr200)</f>
        <v>2.0380651807293</v>
      </c>
      <c r="M2281" s="36" t="n">
        <f aca="false">cust_sh*tk_ox_gb300+(1-cust_sh)*((1-Sens!$M$2279)*tk_ox_gb300+Sens!$M$2279*tk_ox_vr200)</f>
        <v>2.0380651807293</v>
      </c>
    </row>
    <row r="2282" customFormat="false" ht="17.15" hidden="false" customHeight="false" outlineLevel="0" collapsed="false">
      <c r="A2282" s="5" t="s">
        <v>605</v>
      </c>
      <c r="B2282" s="0" t="s">
        <v>192</v>
      </c>
      <c r="F2282" s="36" t="n">
        <f aca="false">cust_sh*tk_cx_gb300*cf_cx_lo+(1-cust_sh)*((1-Sens!$F$2279)*tk_cx_gb300+Sens!$F$2279*tk_cx_vr200)</f>
        <v>27.4016404</v>
      </c>
      <c r="G2282" s="36" t="n">
        <f aca="false">cust_sh*tk_cx_gb300*cf_cx_lo+(1-cust_sh)*((1-Sens!$G$2279)*tk_cx_gb300+Sens!$G$2279*tk_cx_vr200)</f>
        <v>27.4016404</v>
      </c>
      <c r="H2282" s="36" t="n">
        <f aca="false">cust_sh*tk_cx_gb300*cf_cx_lo+(1-cust_sh)*((1-Sens!$H$2279)*tk_cx_gb300+Sens!$H$2279*tk_cx_vr200)</f>
        <v>28.7389224</v>
      </c>
      <c r="I2282" s="36" t="n">
        <f aca="false">cust_sh*tk_cx_gb300*cf_cx_lo+(1-cust_sh)*((1-Sens!$I$2279)*tk_cx_gb300+Sens!$I$2279*tk_cx_vr200)</f>
        <v>30.0762044</v>
      </c>
      <c r="J2282" s="36" t="n">
        <f aca="false">cust_sh*tk_cx_gb300*cf_cx_lo+(1-cust_sh)*((1-Sens!$J$2279)*tk_cx_gb300+Sens!$J$2279*tk_cx_vr200)</f>
        <v>30.0762044</v>
      </c>
      <c r="K2282" s="36" t="n">
        <f aca="false">cust_sh*tk_cx_gb300*cf_cx_lo+(1-cust_sh)*((1-Sens!$K$2279)*tk_cx_gb300+Sens!$K$2279*tk_cx_vr200)</f>
        <v>30.0762044</v>
      </c>
      <c r="L2282" s="36" t="n">
        <f aca="false">cust_sh*tk_cx_gb300*cf_cx_lo+(1-cust_sh)*((1-Sens!$L$2279)*tk_cx_gb300+Sens!$L$2279*tk_cx_vr200)</f>
        <v>30.0762044</v>
      </c>
      <c r="M2282" s="36" t="n">
        <f aca="false">cust_sh*tk_cx_gb300*cf_cx_lo+(1-cust_sh)*((1-Sens!$M$2279)*tk_cx_gb300+Sens!$M$2279*tk_cx_vr200)</f>
        <v>30.0762044</v>
      </c>
    </row>
    <row r="2283" customFormat="false" ht="17.15" hidden="false" customHeight="false" outlineLevel="0" collapsed="false">
      <c r="A2283" s="5" t="s">
        <v>606</v>
      </c>
      <c r="B2283" s="0" t="s">
        <v>129</v>
      </c>
      <c r="F2283" s="32" t="n">
        <f aca="false">Sens!$F$2273-mw_open</f>
        <v>1817.15</v>
      </c>
      <c r="G2283" s="32" t="n">
        <f aca="false">Sens!$F$2283</f>
        <v>1817.15</v>
      </c>
      <c r="H2283" s="32" t="n">
        <f aca="false">Sens!$H$2273-mw_open</f>
        <v>5451.45</v>
      </c>
      <c r="I2283" s="32" t="n">
        <f aca="false">Sens!$I$2273-mw_open</f>
        <v>9085.75</v>
      </c>
      <c r="J2283" s="32" t="n">
        <f aca="false">Sens!$J$2273-mw_open</f>
        <v>12720.05</v>
      </c>
      <c r="K2283" s="32" t="n">
        <f aca="false">Sens!$K$2273-mw_open</f>
        <v>15290.9171666667</v>
      </c>
      <c r="L2283" s="32" t="n">
        <f aca="false">Sens!$L$2273-mw_open</f>
        <v>16798.3515</v>
      </c>
      <c r="M2283" s="32" t="n">
        <f aca="false">Sens!$M$2273-mw_open</f>
        <v>17242.353</v>
      </c>
    </row>
    <row r="2284" customFormat="false" ht="17.15" hidden="false" customHeight="false" outlineLevel="0" collapsed="false">
      <c r="A2284" s="0" t="s">
        <v>607</v>
      </c>
      <c r="B2284" s="0" t="s">
        <v>608</v>
      </c>
      <c r="F2284" s="32" t="n">
        <f aca="false">Sens!$F$2276*Sens!$F$2280</f>
        <v>16814.9054896117</v>
      </c>
      <c r="G2284" s="32" t="n">
        <f aca="false">Sens!$F$2284</f>
        <v>16814.9054896117</v>
      </c>
      <c r="H2284" s="32" t="n">
        <f aca="false">Sens!$G$2284+Sens!$H$2276*Sens!$H$2280</f>
        <v>51661.352910583</v>
      </c>
      <c r="I2284" s="32" t="n">
        <f aca="false">Sens!$H$2284+Sens!$I$2276*Sens!$I$2280</f>
        <v>87724.436773302</v>
      </c>
      <c r="J2284" s="32" t="n">
        <f aca="false">Sens!$I$2284+Sens!$J$2276*Sens!$J$2280</f>
        <v>123787.520636021</v>
      </c>
      <c r="K2284" s="32" t="n">
        <f aca="false">Sens!$J$2284+Sens!$K$2276*Sens!$K$2280</f>
        <v>149298.182450239</v>
      </c>
      <c r="L2284" s="32" t="n">
        <f aca="false">Sens!$K$2284+Sens!$L$2276*Sens!$L$2280</f>
        <v>164256.422215955</v>
      </c>
      <c r="M2284" s="32" t="n">
        <f aca="false">Sens!$L$2284+Sens!$M$2276*Sens!$M$2280</f>
        <v>168662.239933169</v>
      </c>
    </row>
    <row r="2285" customFormat="false" ht="17.15" hidden="false" customHeight="false" outlineLevel="0" collapsed="false">
      <c r="A2285" s="0" t="s">
        <v>609</v>
      </c>
      <c r="B2285" s="0" t="s">
        <v>608</v>
      </c>
      <c r="F2285" s="32" t="n">
        <f aca="false">Sens!$F$2276*Sens!$F$2281</f>
        <v>3602.74485070566</v>
      </c>
      <c r="G2285" s="32" t="n">
        <f aca="false">Sens!$F$2285</f>
        <v>3602.74485070566</v>
      </c>
      <c r="H2285" s="32" t="n">
        <f aca="false">Sens!$G$2285+Sens!$H$2276*Sens!$H$2281</f>
        <v>10908.9598445736</v>
      </c>
      <c r="I2285" s="32" t="n">
        <f aca="false">Sens!$H$2285+Sens!$I$2276*Sens!$I$2281</f>
        <v>18315.9001308981</v>
      </c>
      <c r="J2285" s="32" t="n">
        <f aca="false">Sens!$I$2285+Sens!$J$2276*Sens!$J$2281</f>
        <v>25722.8404172225</v>
      </c>
      <c r="K2285" s="32" t="n">
        <f aca="false">Sens!$J$2285+Sens!$K$2276*Sens!$K$2281</f>
        <v>30962.4352738861</v>
      </c>
      <c r="L2285" s="32" t="n">
        <f aca="false">Sens!$K$2285+Sens!$L$2276*Sens!$L$2281</f>
        <v>34034.6847008886</v>
      </c>
      <c r="M2285" s="32" t="n">
        <f aca="false">Sens!$L$2285+Sens!$M$2276*Sens!$M$2281</f>
        <v>34939.5886982302</v>
      </c>
    </row>
    <row r="2286" customFormat="false" ht="17.15" hidden="false" customHeight="false" outlineLevel="0" collapsed="false">
      <c r="A2286" s="5" t="s">
        <v>610</v>
      </c>
      <c r="B2286" s="0" t="s">
        <v>173</v>
      </c>
      <c r="F2286" s="36" t="n">
        <f aca="false">IF(Sens!$F$2283&gt;0,Sens!$F$2284/Sens!$F$2283,Sens!$F$2280)</f>
        <v>9.25344935179358</v>
      </c>
      <c r="G2286" s="36" t="n">
        <f aca="false">IF(Sens!$G$2283&gt;0,Sens!$G$2284/Sens!$G$2283,Sens!$G$2280)</f>
        <v>9.25344935179358</v>
      </c>
      <c r="H2286" s="36" t="n">
        <f aca="false">IF(Sens!$H$2283&gt;0,Sens!$H$2284/Sens!$H$2283,Sens!$H$2280)</f>
        <v>9.47662601887258</v>
      </c>
      <c r="I2286" s="36" t="n">
        <f aca="false">IF(Sens!$I$2283&gt;0,Sens!$I$2284/Sens!$I$2283,Sens!$I$2280)</f>
        <v>9.65516735253578</v>
      </c>
      <c r="J2286" s="36" t="n">
        <f aca="false">IF(Sens!$J$2283&gt;0,Sens!$J$2284/Sens!$J$2283,Sens!$J$2280)</f>
        <v>9.73168506696287</v>
      </c>
      <c r="K2286" s="36" t="n">
        <f aca="false">IF(Sens!$K$2283&gt;0,Sens!$K$2284/Sens!$K$2283,Sens!$K$2280)</f>
        <v>9.7638474411267</v>
      </c>
      <c r="L2286" s="36" t="n">
        <f aca="false">IF(Sens!$L$2283&gt;0,Sens!$L$2284/Sens!$L$2283,Sens!$L$2280)</f>
        <v>9.7781274678027</v>
      </c>
      <c r="M2286" s="36" t="n">
        <f aca="false">IF(Sens!$M$2283&gt;0,Sens!$M$2284/Sens!$M$2283,Sens!$M$2280)</f>
        <v>9.78185749550362</v>
      </c>
    </row>
    <row r="2287" customFormat="false" ht="17.15" hidden="false" customHeight="false" outlineLevel="0" collapsed="false">
      <c r="A2287" s="5" t="s">
        <v>611</v>
      </c>
      <c r="B2287" s="0" t="s">
        <v>173</v>
      </c>
      <c r="F2287" s="36" t="n">
        <f aca="false">IF(Sens!$F$2283&gt;0,Sens!$F$2285/Sens!$F$2283,Sens!$F$2281)</f>
        <v>1.98263481314457</v>
      </c>
      <c r="G2287" s="36" t="n">
        <f aca="false">IF(Sens!$G$2283&gt;0,Sens!$G$2285/Sens!$G$2283,Sens!$G$2281)</f>
        <v>1.98263481314457</v>
      </c>
      <c r="H2287" s="36" t="n">
        <f aca="false">IF(Sens!$H$2283&gt;0,Sens!$H$2285/Sens!$H$2283,Sens!$H$2281)</f>
        <v>2.00111160233948</v>
      </c>
      <c r="I2287" s="36" t="n">
        <f aca="false">IF(Sens!$I$2283&gt;0,Sens!$I$2285/Sens!$I$2283,Sens!$I$2281)</f>
        <v>2.01589303369541</v>
      </c>
      <c r="J2287" s="36" t="n">
        <f aca="false">IF(Sens!$J$2283&gt;0,Sens!$J$2285/Sens!$J$2283,Sens!$J$2281)</f>
        <v>2.02222793284795</v>
      </c>
      <c r="K2287" s="36" t="n">
        <f aca="false">IF(Sens!$K$2283&gt;0,Sens!$K$2285/Sens!$K$2283,Sens!$K$2281)</f>
        <v>2.02489065478573</v>
      </c>
      <c r="L2287" s="36" t="n">
        <f aca="false">IF(Sens!$L$2283&gt;0,Sens!$L$2285/Sens!$L$2283,Sens!$L$2281)</f>
        <v>2.0260728977417</v>
      </c>
      <c r="M2287" s="36" t="n">
        <f aca="false">IF(Sens!$M$2283&gt;0,Sens!$M$2285/Sens!$M$2283,Sens!$M$2281)</f>
        <v>2.02638170661685</v>
      </c>
    </row>
    <row r="2288" customFormat="false" ht="17.15" hidden="false" customHeight="false" outlineLevel="0" collapsed="false">
      <c r="A2288" s="15" t="s">
        <v>612</v>
      </c>
      <c r="B2288" s="14" t="s">
        <v>173</v>
      </c>
      <c r="C2288" s="14"/>
      <c r="D2288" s="14"/>
      <c r="E2288" s="14"/>
      <c r="F2288" s="37" t="n">
        <f aca="false">Sens!$F$2286*k_B</f>
        <v>9.17894989368216</v>
      </c>
      <c r="G2288" s="37" t="n">
        <f aca="false">Sens!$G$2286*k_B</f>
        <v>9.17894989368216</v>
      </c>
      <c r="H2288" s="37" t="n">
        <f aca="false">Sens!$H$2286*k_B</f>
        <v>9.40032976692478</v>
      </c>
      <c r="I2288" s="37" t="n">
        <f aca="false">Sens!$I$2286*k_B</f>
        <v>9.57743366551888</v>
      </c>
      <c r="J2288" s="37" t="n">
        <f aca="false">Sens!$J$2286*k_B</f>
        <v>9.65333533634493</v>
      </c>
      <c r="K2288" s="37" t="n">
        <f aca="false">Sens!$K$2286*k_B</f>
        <v>9.68523877145201</v>
      </c>
      <c r="L2288" s="37" t="n">
        <f aca="false">Sens!$L$2286*k_B</f>
        <v>9.69940382972988</v>
      </c>
      <c r="M2288" s="37" t="n">
        <f aca="false">Sens!$M$2286*k_B</f>
        <v>9.70310382700302</v>
      </c>
      <c r="N2288" s="14"/>
      <c r="O2288" s="14"/>
      <c r="P2288" s="5" t="s">
        <v>613</v>
      </c>
    </row>
    <row r="2289" customFormat="false" ht="17.15" hidden="false" customHeight="false" outlineLevel="0" collapsed="false">
      <c r="A2289" s="5" t="s">
        <v>614</v>
      </c>
      <c r="B2289" s="0" t="s">
        <v>129</v>
      </c>
      <c r="F2289" s="32" t="n">
        <f aca="false">Sens!$F$2283/2</f>
        <v>908.575</v>
      </c>
      <c r="H2289" s="32" t="n">
        <f aca="false">(Sens!$G$2283+Sens!$H$2283)/2</f>
        <v>3634.3</v>
      </c>
      <c r="I2289" s="32" t="n">
        <f aca="false">(Sens!$H$2283+Sens!$I$2283)/2</f>
        <v>7268.6</v>
      </c>
      <c r="J2289" s="32" t="n">
        <f aca="false">(Sens!$I$2283+Sens!$J$2283)/2</f>
        <v>10902.9</v>
      </c>
      <c r="K2289" s="32" t="n">
        <f aca="false">(Sens!$J$2283+Sens!$K$2283)/2</f>
        <v>14005.4835833333</v>
      </c>
      <c r="L2289" s="32" t="n">
        <f aca="false">(Sens!$K$2283+Sens!$L$2283)/2</f>
        <v>16044.6343333333</v>
      </c>
      <c r="M2289" s="32" t="n">
        <f aca="false">(Sens!$L$2283+Sens!$M$2283)/2</f>
        <v>17020.35225</v>
      </c>
    </row>
    <row r="2290" customFormat="false" ht="17.15" hidden="false" customHeight="false" outlineLevel="0" collapsed="false">
      <c r="A2290" s="1" t="s">
        <v>615</v>
      </c>
    </row>
    <row r="2291" customFormat="false" ht="17.15" hidden="false" customHeight="false" outlineLevel="0" collapsed="false">
      <c r="A2291" s="1" t="s">
        <v>616</v>
      </c>
      <c r="B2291" s="8" t="s">
        <v>86</v>
      </c>
      <c r="C2291" s="38" t="n">
        <f aca="false">Sens!$C$2274*rpm_open*Sens!$C$2275/1000</f>
        <v>2.32100535697364</v>
      </c>
      <c r="D2291" s="38" t="n">
        <f aca="false">Sens!$D$2274*rpm_open*Sens!$D$2275/1000</f>
        <v>8.70377008865116</v>
      </c>
      <c r="E2291" s="38" t="n">
        <f aca="false">Sens!$E$2274*rpm_open*Sens!$E$2275/1000</f>
        <v>8.51035297557002</v>
      </c>
      <c r="F2291" s="38" t="n">
        <f aca="false">(mw_open*rpm_open+Sens!$F$2289*Sens!$F$2288)*Sens!$F$2275/1000</f>
        <v>14.2275720800453</v>
      </c>
      <c r="G2291" s="38" t="n">
        <f aca="false">Sens!$E$2291+Sens!$F$2291</f>
        <v>22.7379250556153</v>
      </c>
      <c r="H2291" s="38" t="n">
        <f aca="false">(mw_open*rpm_open+Sens!$H$2289*Sens!$H$2288)/1000</f>
        <v>54.278998232373</v>
      </c>
      <c r="I2291" s="38" t="n">
        <f aca="false">(mw_open*rpm_open+Sens!$I$2289*Sens!$I$2288)/1000</f>
        <v>89.7299141016288</v>
      </c>
      <c r="J2291" s="38" t="n">
        <f aca="false">(mw_open*rpm_open+Sens!$J$2289*Sens!$J$2288)/1000</f>
        <v>125.364729599073</v>
      </c>
      <c r="K2291" s="38" t="n">
        <f aca="false">(mw_open*rpm_open+Sens!$K$2289*Sens!$K$2288)/1000</f>
        <v>155.761832374673</v>
      </c>
      <c r="L2291" s="38" t="n">
        <f aca="false">(mw_open*rpm_open+Sens!$L$2289*Sens!$L$2288)/1000</f>
        <v>175.738767459787</v>
      </c>
      <c r="M2291" s="38" t="n">
        <f aca="false">(mw_open*rpm_open+Sens!$M$2289*Sens!$M$2288)/1000</f>
        <v>185.265624814353</v>
      </c>
      <c r="N2291" s="38" t="n">
        <f aca="false">Sens!$N$2274*rpm_open*Sens!$N$2275/1000</f>
        <v>3.04631953102791</v>
      </c>
      <c r="O2291" s="38" t="n">
        <f aca="false">Sens!$O$2274*rpm_open*Sens!$O$2275/1000</f>
        <v>5.65745055762326</v>
      </c>
      <c r="P2291" s="5" t="s">
        <v>617</v>
      </c>
    </row>
    <row r="2292" customFormat="false" ht="17.15" hidden="false" customHeight="false" outlineLevel="0" collapsed="false">
      <c r="A2292" s="5" t="s">
        <v>618</v>
      </c>
      <c r="B2292" s="0" t="s">
        <v>173</v>
      </c>
      <c r="C2292" s="36" t="n">
        <f aca="false">Sens!$C$2291*1000/(Sens!$C$2274*Sens!$C$2275)</f>
        <v>9.67085565405685</v>
      </c>
      <c r="D2292" s="36" t="n">
        <f aca="false">Sens!$D$2291*1000/(Sens!$D$2274*Sens!$D$2275)</f>
        <v>9.67085565405685</v>
      </c>
      <c r="E2292" s="36" t="n">
        <f aca="false">Sens!$E$2291*1000/(Sens!$E$2274*Sens!$E$2275)</f>
        <v>9.67085565405685</v>
      </c>
      <c r="F2292" s="36" t="n">
        <f aca="false">Sens!$F$2291*1000/(Sens!$F$2274*Sens!$F$2275)</f>
        <v>9.52130836940365</v>
      </c>
      <c r="G2292" s="36" t="n">
        <f aca="false">Sens!$G$2291*1000/(Sens!$G$2274*Sens!$G$2275)</f>
        <v>9.57673620217235</v>
      </c>
      <c r="H2292" s="36" t="n">
        <f aca="false">Sens!$H$2291*1000/(Sens!$H$2274*Sens!$H$2275)</f>
        <v>9.49880094366291</v>
      </c>
      <c r="I2292" s="36" t="n">
        <f aca="false">Sens!$I$2291*1000/(Sens!$I$2274*Sens!$I$2275)</f>
        <v>9.59821942340338</v>
      </c>
      <c r="J2292" s="36" t="n">
        <f aca="false">Sens!$J$2291*1000/(Sens!$J$2274*Sens!$J$2275)</f>
        <v>9.65614227938853</v>
      </c>
      <c r="K2292" s="36" t="n">
        <f aca="false">Sens!$K$2291*1000/(Sens!$K$2274*Sens!$K$2275)</f>
        <v>9.68337890295462</v>
      </c>
      <c r="L2292" s="36" t="n">
        <f aca="false">Sens!$L$2291*1000/(Sens!$L$2274*Sens!$L$2275)</f>
        <v>9.69612761436973</v>
      </c>
      <c r="M2292" s="36" t="n">
        <f aca="false">Sens!$M$2291*1000/(Sens!$M$2274*Sens!$M$2275)</f>
        <v>9.69959204885097</v>
      </c>
      <c r="N2292" s="36" t="n">
        <f aca="false">Sens!$N$2291*1000/(Sens!$N$2274*Sens!$N$2275)</f>
        <v>9.67085565405685</v>
      </c>
      <c r="O2292" s="36" t="n">
        <f aca="false">Sens!$O$2291*1000/(Sens!$O$2274*Sens!$O$2275)</f>
        <v>9.67085565405685</v>
      </c>
    </row>
    <row r="2293" customFormat="false" ht="17.15" hidden="false" customHeight="false" outlineLevel="0" collapsed="false">
      <c r="A2293" s="0" t="s">
        <v>619</v>
      </c>
      <c r="B2293" s="0" t="s">
        <v>86</v>
      </c>
      <c r="C2293" s="38" t="n">
        <f aca="false">Sens!$C$2274/ext_sh*(ox_open+rent_mw)*Sens!$C$2275/1000</f>
        <v>0.642569210675032</v>
      </c>
      <c r="D2293" s="38" t="n">
        <f aca="false">Sens!$D$2274/ext_sh*(ox_open+rent_mw)*Sens!$D$2275/1000</f>
        <v>2.40963454003137</v>
      </c>
      <c r="E2293" s="38" t="n">
        <f aca="false">Sens!$E$2274/ext_sh*(ox_open+rent_mw)*Sens!$E$2275/1000</f>
        <v>2.35608710580845</v>
      </c>
      <c r="F2293" s="38" t="n">
        <f aca="false">((mw_open*ox_open+Sens!$F$2289*Sens!$F$2287)/ext_sh+Sens!$F$2274/ext_sh*rent_mw)*Sens!$F$2275/1000</f>
        <v>4.05421991106232</v>
      </c>
      <c r="G2293" s="38" t="n">
        <f aca="false">Sens!$E$2293+Sens!$F$2293</f>
        <v>6.41030701687077</v>
      </c>
      <c r="H2293" s="38" t="n">
        <f aca="false">((mw_open*ox_open+Sens!$H$2289*Sens!$H$2287)/ext_sh+Sens!$H$2274/ext_sh*rent_mw)*Sens!$H$2275/1000</f>
        <v>15.8108975546616</v>
      </c>
      <c r="I2293" s="38" t="n">
        <f aca="false">((mw_open*ox_open+Sens!$I$2289*Sens!$I$2287)/ext_sh+Sens!$I$2274/ext_sh*rent_mw)*Sens!$I$2275/1000</f>
        <v>26.1871623400817</v>
      </c>
      <c r="J2293" s="38" t="n">
        <f aca="false">((mw_open*ox_open+Sens!$J$2289*Sens!$J$2287)/ext_sh+Sens!$J$2274/ext_sh*rent_mw)*Sens!$J$2275/1000</f>
        <v>36.5826128954935</v>
      </c>
      <c r="K2293" s="38" t="n">
        <f aca="false">((mw_open*ox_open+Sens!$K$2289*Sens!$K$2287)/ext_sh+Sens!$K$2274/ext_sh*rent_mw)*Sens!$K$2275/1000</f>
        <v>45.4546361137628</v>
      </c>
      <c r="L2293" s="38" t="n">
        <f aca="false">((mw_open*ox_open+Sens!$L$2289*Sens!$L$2287)/ext_sh+Sens!$L$2274/ext_sh*rent_mw)*Sens!$L$2275/1000</f>
        <v>51.2855695554452</v>
      </c>
      <c r="M2293" s="38" t="n">
        <f aca="false">((mw_open*ox_open+Sens!$M$2289*Sens!$M$2287)/ext_sh+Sens!$M$2274/ext_sh*rent_mw)*Sens!$M$2275/1000</f>
        <v>54.0722927838398</v>
      </c>
      <c r="N2293" s="38" t="n">
        <f aca="false">Sens!$N$2274/ext_sh*(ox_open+rent_mw)*Sens!$N$2275/1000</f>
        <v>0.84337208901098</v>
      </c>
      <c r="O2293" s="38" t="n">
        <f aca="false">Sens!$O$2274/ext_sh*(ox_open+rent_mw)*Sens!$O$2275/1000</f>
        <v>1.56626245102039</v>
      </c>
    </row>
    <row r="2294" customFormat="false" ht="17.15" hidden="false" customHeight="false" outlineLevel="0" collapsed="false">
      <c r="A2294" s="0" t="s">
        <v>620</v>
      </c>
      <c r="B2294" s="0" t="s">
        <v>86</v>
      </c>
      <c r="C2294" s="38" t="n">
        <f aca="false">Q!$D$7</f>
        <v>107.556</v>
      </c>
      <c r="D2294" s="38" t="n">
        <f aca="false">Q!$E$7</f>
        <v>128.725</v>
      </c>
      <c r="E2294" s="38" t="n">
        <f aca="false">Q!$P$7</f>
        <v>79.819</v>
      </c>
      <c r="N2294" s="38" t="n">
        <f aca="false">Q!$N$7</f>
        <v>60.14</v>
      </c>
      <c r="O2294" s="38" t="n">
        <f aca="false">Q!$O$7</f>
        <v>68.585</v>
      </c>
    </row>
    <row r="2295" customFormat="false" ht="17.15" hidden="false" customHeight="false" outlineLevel="0" collapsed="false">
      <c r="A2295" s="1" t="s">
        <v>621</v>
      </c>
      <c r="B2295" s="8" t="s">
        <v>86</v>
      </c>
      <c r="C2295" s="38" t="n">
        <f aca="false">Sens!$C$2294-Sens!$C$2291</f>
        <v>105.234994643026</v>
      </c>
      <c r="D2295" s="38" t="n">
        <f aca="false">Sens!$D$2294-Sens!$D$2291</f>
        <v>120.021229911349</v>
      </c>
      <c r="E2295" s="38" t="n">
        <f aca="false">Sens!$E$2294-Sens!$E$2291</f>
        <v>71.30864702443</v>
      </c>
      <c r="F2295" s="38" t="n">
        <f aca="false">Sens!$O$2295*(1+Sens!$F$2296)</f>
        <v>71.7692997942464</v>
      </c>
      <c r="G2295" s="38" t="n">
        <f aca="false">Sens!$E$2295+Sens!$F$2295</f>
        <v>143.077946818676</v>
      </c>
      <c r="H2295" s="38" t="n">
        <f aca="false">Sens!$G$2295*(1+Sens!$H$2296)</f>
        <v>161.017077079203</v>
      </c>
      <c r="I2295" s="38" t="n">
        <f aca="false">Sens!$H$2295*(1+Sens!$I$2296)</f>
        <v>178.769759521457</v>
      </c>
      <c r="J2295" s="38" t="n">
        <f aca="false">Sens!$I$2295*(1+Sens!$J$2296)</f>
        <v>195.775538045907</v>
      </c>
      <c r="K2295" s="38" t="n">
        <f aca="false">Sens!$J$2295*(1+Sens!$K$2296)</f>
        <v>211.43758108958</v>
      </c>
      <c r="L2295" s="38" t="n">
        <f aca="false">Sens!$K$2295*(1+Sens!$L$2296)</f>
        <v>228.352587576746</v>
      </c>
      <c r="M2295" s="38" t="n">
        <f aca="false">Sens!$L$2295*(1+Sens!$M$2296)</f>
        <v>246.620794582886</v>
      </c>
      <c r="N2295" s="38" t="n">
        <f aca="false">Sens!$N$2294-Sens!$N$2291</f>
        <v>57.0936804689721</v>
      </c>
      <c r="O2295" s="38" t="n">
        <f aca="false">Sens!$O$2294-Sens!$O$2291</f>
        <v>62.9275494423768</v>
      </c>
      <c r="P2295" s="5" t="s">
        <v>622</v>
      </c>
    </row>
    <row r="2296" customFormat="false" ht="17.15" hidden="false" customHeight="false" outlineLevel="0" collapsed="false">
      <c r="A2296" s="0" t="s">
        <v>623</v>
      </c>
      <c r="B2296" s="0" t="s">
        <v>52</v>
      </c>
      <c r="D2296" s="13" t="n">
        <f aca="false">Sens!$D$2295/Sens!$C$2295-1</f>
        <v>0.140506827776062</v>
      </c>
      <c r="E2296" s="13" t="n">
        <f aca="false">Sens!$E$2295/Sens!$N$2295-1</f>
        <v>0.248976181579029</v>
      </c>
      <c r="F2296" s="13" t="n">
        <f aca="false">Sens!$D$2296</f>
        <v>0.140506827776062</v>
      </c>
      <c r="G2296" s="13" t="n">
        <f aca="false">Sens!$G$2295/Sens!$D$2295-1</f>
        <v>0.19210532106993</v>
      </c>
      <c r="H2296" s="13" t="n">
        <f aca="false">Sens!$F$2296+(g_awso_lt-Sens!$F$2296)*1/4</f>
        <v>0.125380120832046</v>
      </c>
      <c r="I2296" s="13" t="n">
        <f aca="false">Sens!$F$2296+(g_awso_lt-Sens!$F$2296)*2/4</f>
        <v>0.110253413888031</v>
      </c>
      <c r="J2296" s="13" t="n">
        <f aca="false">Sens!$F$2296+(g_awso_lt-Sens!$F$2296)*3/4</f>
        <v>0.0951267069440154</v>
      </c>
      <c r="K2296" s="13" t="n">
        <f aca="false">Sens!$F$2296+(g_awso_lt-Sens!$F$2296)*4/4</f>
        <v>0.08</v>
      </c>
      <c r="L2296" s="13" t="n">
        <f aca="false">g_awso_lt</f>
        <v>0.08</v>
      </c>
      <c r="M2296" s="13" t="n">
        <f aca="false">g_awso_lt</f>
        <v>0.08</v>
      </c>
      <c r="P2296" s="5" t="s">
        <v>624</v>
      </c>
    </row>
    <row r="2297" customFormat="false" ht="17.15" hidden="false" customHeight="false" outlineLevel="0" collapsed="false">
      <c r="A2297" s="1" t="s">
        <v>625</v>
      </c>
    </row>
    <row r="2298" customFormat="false" ht="17.15" hidden="false" customHeight="false" outlineLevel="0" collapsed="false">
      <c r="A2298" s="0" t="s">
        <v>626</v>
      </c>
      <c r="B2298" s="0" t="s">
        <v>86</v>
      </c>
      <c r="F2298" s="38" t="n">
        <f aca="false">cx_rt*Sens!$F$2263+cx_awso*Sens!$F$2295</f>
        <v>34.9734495387866</v>
      </c>
    </row>
    <row r="2299" customFormat="false" ht="17.15" hidden="false" customHeight="false" outlineLevel="0" collapsed="false">
      <c r="A2299" s="0" t="s">
        <v>627</v>
      </c>
      <c r="B2299" s="0" t="s">
        <v>52</v>
      </c>
      <c r="C2299" s="13" t="n">
        <f aca="false">tk_cx_h100/(tk_cx_h100+tk_fac*(1-colo_sh))</f>
        <v>0.730756458006641</v>
      </c>
      <c r="D2299" s="13" t="n">
        <f aca="false">tk_cx_h100/(tk_cx_h100+tk_fac*(1-colo_sh))</f>
        <v>0.730756458006641</v>
      </c>
      <c r="E2299" s="13" t="n">
        <f aca="false">Sens!$F$2299</f>
        <v>0.729977699930228</v>
      </c>
      <c r="F2299" s="13" t="n">
        <f aca="false">Sens!$F$2282/(Sens!$F$2282+tk_fac*(1-colo_sh))</f>
        <v>0.729977699930228</v>
      </c>
      <c r="G2299" s="13" t="n">
        <f aca="false">Sens!$G$2282/(Sens!$G$2282+tk_fac*(1-colo_sh))</f>
        <v>0.729977699930228</v>
      </c>
      <c r="H2299" s="13" t="n">
        <f aca="false">Sens!$H$2282/(Sens!$H$2282+tk_fac*(1-colo_sh))</f>
        <v>0.739266360567706</v>
      </c>
      <c r="I2299" s="13" t="n">
        <f aca="false">Sens!$I$2282/(Sens!$I$2282+tk_fac*(1-colo_sh))</f>
        <v>0.747937220770717</v>
      </c>
      <c r="J2299" s="13" t="n">
        <f aca="false">Sens!$J$2282/(Sens!$J$2282+tk_fac*(1-colo_sh))</f>
        <v>0.747937220770717</v>
      </c>
      <c r="K2299" s="13" t="n">
        <f aca="false">Sens!$K$2282/(Sens!$K$2282+tk_fac*(1-colo_sh))</f>
        <v>0.747937220770717</v>
      </c>
      <c r="L2299" s="13" t="n">
        <f aca="false">Sens!$L$2282/(Sens!$L$2282+tk_fac*(1-colo_sh))</f>
        <v>0.747937220770717</v>
      </c>
      <c r="M2299" s="13" t="n">
        <f aca="false">Sens!$M$2282/(Sens!$M$2282+tk_fac*(1-colo_sh))</f>
        <v>0.747937220770717</v>
      </c>
    </row>
    <row r="2300" customFormat="false" ht="17.15" hidden="false" customHeight="false" outlineLevel="0" collapsed="false">
      <c r="A2300" s="1" t="s">
        <v>628</v>
      </c>
      <c r="B2300" s="8" t="s">
        <v>86</v>
      </c>
      <c r="C2300" s="38" t="n">
        <f aca="false">Q!$D$46-cx_rt*Q!$D$16-cx_awso*Sens!$C$2295</f>
        <v>25.2781053077374</v>
      </c>
      <c r="D2300" s="38" t="n">
        <f aca="false">Q!$E$46-cx_rt*Q!$E$16-cx_awso*Sens!$D$2295</f>
        <v>69.5686316310026</v>
      </c>
      <c r="E2300" s="38" t="n">
        <f aca="false">Q!$P$46-cx_rt*Q!$P$16-cx_awso*Sens!$E$2295</f>
        <v>64.1899206485108</v>
      </c>
      <c r="F2300" s="38" t="n">
        <f aca="false">MAX(Sens!$F$2277*(Sens!$F$2282+tk_fac*(1-colo_sh))/1000,capex_g26-Q!$P$46-Sens!$F$2298)</f>
        <v>88.7165504612134</v>
      </c>
      <c r="G2300" s="38" t="n">
        <f aca="false">Sens!$E$2300+Sens!$F$2300</f>
        <v>152.906471109724</v>
      </c>
      <c r="H2300" s="38" t="n">
        <f aca="false">Sens!$H$2277*(Sens!$H$2282+tk_fac*(1-colo_sh))/1000+Sens!$H$2301</f>
        <v>176.6039130979</v>
      </c>
      <c r="I2300" s="38" t="n">
        <f aca="false">Sens!$I$2277*(Sens!$I$2282+tk_fac*(1-colo_sh))/1000+Sens!$I$2301</f>
        <v>182.67901806365</v>
      </c>
      <c r="J2300" s="38" t="n">
        <f aca="false">Sens!$J$2277*(Sens!$J$2282+tk_fac*(1-colo_sh))/1000+Sens!$J$2301</f>
        <v>187.19044872365</v>
      </c>
      <c r="K2300" s="38" t="n">
        <f aca="false">Sens!$K$2277*(Sens!$K$2282+tk_fac*(1-colo_sh))/1000+Sens!$K$2301</f>
        <v>138.248156309061</v>
      </c>
      <c r="L2300" s="38" t="n">
        <f aca="false">Sens!$L$2277*(Sens!$L$2282+tk_fac*(1-colo_sh))/1000+Sens!$L$2301</f>
        <v>116.374447854472</v>
      </c>
      <c r="M2300" s="38" t="n">
        <f aca="false">Sens!$M$2277*(Sens!$M$2282+tk_fac*(1-colo_sh))/1000+Sens!$M$2301</f>
        <v>114.695030891708</v>
      </c>
      <c r="P2300" s="5" t="s">
        <v>629</v>
      </c>
      <c r="R2300" s="38" t="n">
        <f aca="false">Q!$C$46-cx_rt*Q!$C$16-cx_awso*(Q!$C$7-mw_ye23/2*rpm_open/1000)</f>
        <v>1.50429979529945</v>
      </c>
      <c r="S2300" s="38" t="n">
        <f aca="false">Sens!$C$2300</f>
        <v>25.2781053077374</v>
      </c>
      <c r="T2300" s="38" t="n">
        <f aca="false">Sens!$D$2300</f>
        <v>69.5686316310026</v>
      </c>
      <c r="U2300" s="38" t="n">
        <f aca="false">Sens!$G$2300</f>
        <v>152.906471109724</v>
      </c>
      <c r="V2300" s="38" t="n">
        <f aca="false">Sens!$H$2300</f>
        <v>176.6039130979</v>
      </c>
      <c r="W2300" s="38" t="n">
        <f aca="false">Sens!$I$2300</f>
        <v>182.67901806365</v>
      </c>
      <c r="X2300" s="38" t="n">
        <f aca="false">Sens!$J$2300</f>
        <v>187.19044872365</v>
      </c>
      <c r="Y2300" s="38" t="n">
        <f aca="false">Sens!$K$2300</f>
        <v>138.248156309061</v>
      </c>
      <c r="Z2300" s="38" t="n">
        <f aca="false">Sens!$L$2300</f>
        <v>116.374447854472</v>
      </c>
      <c r="AA2300" s="38" t="n">
        <f aca="false">Sens!$M$2300</f>
        <v>114.695030891708</v>
      </c>
    </row>
    <row r="2301" customFormat="false" ht="17.15" hidden="false" customHeight="false" outlineLevel="0" collapsed="false">
      <c r="A2301" s="0" t="s">
        <v>630</v>
      </c>
      <c r="B2301" s="0" t="s">
        <v>86</v>
      </c>
      <c r="H2301" s="38" t="n">
        <f aca="false">SUMPRODUCT(--(Sens!$R$2270:$AA$2270=2027-tk_life),Sens!$R$2277:$AA$2277)*Sens!$H$2282/1000</f>
        <v>0</v>
      </c>
      <c r="I2301" s="38" t="n">
        <f aca="false">SUMPRODUCT(--(Sens!$R$2270:$AA$2270=2028-tk_life),Sens!$R$2277:$AA$2277)*Sens!$I$2282/1000</f>
        <v>0</v>
      </c>
      <c r="J2301" s="38" t="n">
        <f aca="false">SUMPRODUCT(--(Sens!$R$2270:$AA$2270=2029-tk_life),Sens!$R$2277:$AA$2277)*Sens!$J$2282/1000</f>
        <v>4.51143066</v>
      </c>
      <c r="K2301" s="38" t="n">
        <f aca="false">SUMPRODUCT(--(Sens!$R$2270:$AA$2270=2030-tk_life),Sens!$R$2277:$AA$2277)*Sens!$K$2282/1000</f>
        <v>9.02286132</v>
      </c>
      <c r="L2301" s="38" t="n">
        <f aca="false">SUMPRODUCT(--(Sens!$R$2270:$AA$2270=2031-tk_life),Sens!$R$2277:$AA$2277)*Sens!$L$2282/1000</f>
        <v>40.60287594</v>
      </c>
      <c r="M2301" s="38" t="n">
        <f aca="false">SUMPRODUCT(--(Sens!$R$2270:$AA$2270=2032-tk_life),Sens!$R$2277:$AA$2277)*Sens!$M$2282/1000</f>
        <v>92.377182051825</v>
      </c>
    </row>
    <row r="2302" customFormat="false" ht="17.15" hidden="false" customHeight="false" outlineLevel="0" collapsed="false">
      <c r="A2302" s="0" t="s">
        <v>631</v>
      </c>
      <c r="B2302" s="0" t="s">
        <v>86</v>
      </c>
      <c r="C2302" s="38" t="n">
        <f aca="false">MIN(Sens!$C$2300,Sens!$C$2277*(tk_cx_h100+tk_fac*(1-colo_sh))/1000)</f>
        <v>11.2938642</v>
      </c>
      <c r="D2302" s="38" t="n">
        <f aca="false">MIN(Sens!$D$2300,Sens!$D$2277*(tk_cx_h100+tk_fac*(1-colo_sh))/1000)</f>
        <v>50.8223889</v>
      </c>
      <c r="E2302" s="38" t="n">
        <f aca="false">MIN(Sens!$E$2300,Sens!$E$2277*(Sens!$F$2282+tk_fac*(1-colo_sh))/1000)</f>
        <v>30.03011232</v>
      </c>
      <c r="F2302" s="38" t="n">
        <f aca="false">Sens!$F$2300</f>
        <v>88.7165504612134</v>
      </c>
      <c r="G2302" s="38" t="n">
        <f aca="false">Sens!$E$2302+Sens!$F$2302</f>
        <v>118.746662781213</v>
      </c>
      <c r="H2302" s="38" t="n">
        <f aca="false">Sens!$H$2300</f>
        <v>176.6039130979</v>
      </c>
      <c r="I2302" s="38" t="n">
        <f aca="false">Sens!$I$2300</f>
        <v>182.67901806365</v>
      </c>
      <c r="J2302" s="38" t="n">
        <f aca="false">Sens!$J$2300</f>
        <v>187.19044872365</v>
      </c>
      <c r="K2302" s="38" t="n">
        <f aca="false">Sens!$K$2300</f>
        <v>138.248156309061</v>
      </c>
      <c r="L2302" s="38" t="n">
        <f aca="false">Sens!$L$2300</f>
        <v>116.374447854472</v>
      </c>
      <c r="M2302" s="38" t="n">
        <f aca="false">Sens!$M$2300</f>
        <v>114.695030891708</v>
      </c>
      <c r="P2302" s="5" t="s">
        <v>632</v>
      </c>
      <c r="R2302" s="38" t="n">
        <f aca="false">MIN(Sens!$R$2300,Sens!$R$2277*(tk_cx_h100+tk_fac*(1-colo_sh))/1000)</f>
        <v>1.50429979529945</v>
      </c>
      <c r="S2302" s="38" t="n">
        <f aca="false">Sens!$C$2302</f>
        <v>11.2938642</v>
      </c>
      <c r="T2302" s="38" t="n">
        <f aca="false">Sens!$D$2302</f>
        <v>50.8223889</v>
      </c>
      <c r="U2302" s="38" t="n">
        <f aca="false">Sens!$G$2302</f>
        <v>118.746662781213</v>
      </c>
      <c r="V2302" s="38" t="n">
        <f aca="false">Sens!$H$2302</f>
        <v>176.6039130979</v>
      </c>
      <c r="W2302" s="38" t="n">
        <f aca="false">Sens!$I$2302</f>
        <v>182.67901806365</v>
      </c>
      <c r="X2302" s="38" t="n">
        <f aca="false">Sens!$J$2302</f>
        <v>187.19044872365</v>
      </c>
      <c r="Y2302" s="38" t="n">
        <f aca="false">Sens!$K$2302</f>
        <v>138.248156309061</v>
      </c>
      <c r="Z2302" s="38" t="n">
        <f aca="false">Sens!$L$2302</f>
        <v>116.374447854472</v>
      </c>
      <c r="AA2302" s="38" t="n">
        <f aca="false">Sens!$M$2302</f>
        <v>114.695030891708</v>
      </c>
    </row>
    <row r="2303" customFormat="false" ht="17.15" hidden="false" customHeight="false" outlineLevel="0" collapsed="false">
      <c r="A2303" s="5" t="s">
        <v>633</v>
      </c>
      <c r="B2303" s="0" t="s">
        <v>86</v>
      </c>
      <c r="C2303" s="38" t="n">
        <f aca="false">Sens!$C$2300-Sens!$C$2302</f>
        <v>13.9842411077374</v>
      </c>
      <c r="D2303" s="38" t="n">
        <f aca="false">Sens!$D$2300-Sens!$D$2302</f>
        <v>18.7462427310026</v>
      </c>
      <c r="E2303" s="38" t="n">
        <f aca="false">Sens!$E$2300-Sens!$E$2302</f>
        <v>34.1598083285108</v>
      </c>
      <c r="F2303" s="38" t="n">
        <f aca="false">Sens!$F$2300-Sens!$F$2302</f>
        <v>0</v>
      </c>
      <c r="G2303" s="38" t="n">
        <f aca="false">Sens!$G$2300-Sens!$G$2302</f>
        <v>34.1598083285108</v>
      </c>
      <c r="H2303" s="38" t="n">
        <f aca="false">Sens!$H$2300-Sens!$H$2302</f>
        <v>0</v>
      </c>
      <c r="I2303" s="38" t="n">
        <f aca="false">Sens!$I$2300-Sens!$I$2302</f>
        <v>0</v>
      </c>
      <c r="J2303" s="38" t="n">
        <f aca="false">Sens!$J$2300-Sens!$J$2302</f>
        <v>0</v>
      </c>
      <c r="K2303" s="38" t="n">
        <f aca="false">Sens!$K$2300-Sens!$K$2302</f>
        <v>0</v>
      </c>
      <c r="L2303" s="38" t="n">
        <f aca="false">Sens!$L$2300-Sens!$L$2302</f>
        <v>0</v>
      </c>
      <c r="M2303" s="38" t="n">
        <f aca="false">Sens!$M$2300-Sens!$M$2302</f>
        <v>0</v>
      </c>
    </row>
    <row r="2304" customFormat="false" ht="17.15" hidden="false" customHeight="false" outlineLevel="0" collapsed="false">
      <c r="A2304" s="5" t="s">
        <v>634</v>
      </c>
      <c r="B2304" s="0" t="s">
        <v>86</v>
      </c>
      <c r="C2304" s="38" t="n">
        <f aca="false">Sens!$C$2302*Sens!$C$2299</f>
        <v>8.2530642</v>
      </c>
      <c r="D2304" s="38" t="n">
        <f aca="false">Sens!$D$2302*Sens!$D$2299</f>
        <v>37.1387889</v>
      </c>
      <c r="E2304" s="38" t="n">
        <f aca="false">Sens!$E$2302*Sens!$E$2299</f>
        <v>21.92131232</v>
      </c>
      <c r="F2304" s="38" t="n">
        <f aca="false">Sens!$F$2302*Sens!$F$2299</f>
        <v>64.7611034514206</v>
      </c>
      <c r="G2304" s="38" t="n">
        <f aca="false">Sens!$E$2304+Sens!$F$2304</f>
        <v>86.6824157714206</v>
      </c>
      <c r="H2304" s="38" t="n">
        <f aca="false">(Sens!$H$2302-Sens!$H$2301)*Sens!$H$2299+Sens!$H$2301</f>
        <v>130.5573320979</v>
      </c>
      <c r="I2304" s="38" t="n">
        <f aca="false">(Sens!$I$2302-Sens!$I$2301)*Sens!$I$2299+Sens!$I$2301</f>
        <v>136.63243706365</v>
      </c>
      <c r="J2304" s="38" t="n">
        <f aca="false">(Sens!$J$2302-Sens!$J$2301)*Sens!$J$2299+Sens!$J$2301</f>
        <v>141.14386772365</v>
      </c>
      <c r="K2304" s="38" t="n">
        <f aca="false">(Sens!$K$2302-Sens!$K$2301)*Sens!$K$2299+Sens!$K$2301</f>
        <v>105.675269307394</v>
      </c>
      <c r="L2304" s="38" t="n">
        <f aca="false">(Sens!$L$2302-Sens!$L$2301)*Sens!$L$2299+Sens!$L$2301</f>
        <v>97.2752548511389</v>
      </c>
      <c r="M2304" s="38" t="n">
        <f aca="false">(Sens!$M$2302-Sens!$M$2301)*Sens!$M$2299+Sens!$M$2301</f>
        <v>109.069531886708</v>
      </c>
      <c r="R2304" s="38" t="n">
        <f aca="false">Sens!$R$2302*Sens!$C$2299</f>
        <v>1.09927679019314</v>
      </c>
      <c r="S2304" s="38" t="n">
        <f aca="false">Sens!$C$2304</f>
        <v>8.2530642</v>
      </c>
      <c r="T2304" s="38" t="n">
        <f aca="false">Sens!$D$2304</f>
        <v>37.1387889</v>
      </c>
      <c r="U2304" s="38" t="n">
        <f aca="false">Sens!$G$2304</f>
        <v>86.6824157714206</v>
      </c>
      <c r="V2304" s="38" t="n">
        <f aca="false">Sens!$H$2304</f>
        <v>130.5573320979</v>
      </c>
      <c r="W2304" s="38" t="n">
        <f aca="false">Sens!$I$2304</f>
        <v>136.63243706365</v>
      </c>
      <c r="X2304" s="38" t="n">
        <f aca="false">Sens!$J$2304</f>
        <v>141.14386772365</v>
      </c>
      <c r="Y2304" s="38" t="n">
        <f aca="false">Sens!$K$2304</f>
        <v>105.675269307394</v>
      </c>
      <c r="Z2304" s="38" t="n">
        <f aca="false">Sens!$L$2304</f>
        <v>97.2752548511389</v>
      </c>
      <c r="AA2304" s="38" t="n">
        <f aca="false">Sens!$M$2304</f>
        <v>109.069531886708</v>
      </c>
    </row>
    <row r="2305" customFormat="false" ht="15" hidden="false" customHeight="false" outlineLevel="0" collapsed="false">
      <c r="A2305" s="5" t="s">
        <v>635</v>
      </c>
      <c r="B2305" s="0" t="s">
        <v>86</v>
      </c>
      <c r="C2305" s="38" t="n">
        <f aca="false">Sens!$C$2302-Sens!$C$2304</f>
        <v>3.0408</v>
      </c>
      <c r="D2305" s="38" t="n">
        <f aca="false">Sens!$D$2302-Sens!$D$2304</f>
        <v>13.6836</v>
      </c>
      <c r="E2305" s="38" t="n">
        <f aca="false">Sens!$E$2302-Sens!$E$2304</f>
        <v>8.1088</v>
      </c>
      <c r="F2305" s="38" t="n">
        <f aca="false">Sens!$F$2302-Sens!$F$2304</f>
        <v>23.9554470097929</v>
      </c>
      <c r="G2305" s="38" t="n">
        <f aca="false">Sens!$G$2302-Sens!$G$2304</f>
        <v>32.0642470097929</v>
      </c>
      <c r="H2305" s="38" t="n">
        <f aca="false">Sens!$H$2302-Sens!$H$2304</f>
        <v>46.046581</v>
      </c>
      <c r="I2305" s="38" t="n">
        <f aca="false">Sens!$I$2302-Sens!$I$2304</f>
        <v>46.046581</v>
      </c>
      <c r="J2305" s="38" t="n">
        <f aca="false">Sens!$J$2302-Sens!$J$2304</f>
        <v>46.046581</v>
      </c>
      <c r="K2305" s="38" t="n">
        <f aca="false">Sens!$K$2302-Sens!$K$2304</f>
        <v>32.5728870016667</v>
      </c>
      <c r="L2305" s="38" t="n">
        <f aca="false">Sens!$L$2302-Sens!$L$2304</f>
        <v>19.0991930033333</v>
      </c>
      <c r="M2305" s="38" t="n">
        <f aca="false">Sens!$M$2302-Sens!$M$2304</f>
        <v>5.62549900499998</v>
      </c>
      <c r="R2305" s="38" t="n">
        <f aca="false">Sens!$R$2302-Sens!$R$2304</f>
        <v>0.405023005106309</v>
      </c>
      <c r="S2305" s="38" t="n">
        <f aca="false">Sens!$S$2302-Sens!$S$2304</f>
        <v>3.0408</v>
      </c>
      <c r="T2305" s="38" t="n">
        <f aca="false">Sens!$T$2302-Sens!$T$2304</f>
        <v>13.6836</v>
      </c>
      <c r="U2305" s="38" t="n">
        <f aca="false">Sens!$U$2302-Sens!$U$2304</f>
        <v>32.0642470097929</v>
      </c>
      <c r="V2305" s="38" t="n">
        <f aca="false">Sens!$V$2302-Sens!$V$2304</f>
        <v>46.046581</v>
      </c>
      <c r="W2305" s="38" t="n">
        <f aca="false">Sens!$W$2302-Sens!$W$2304</f>
        <v>46.046581</v>
      </c>
      <c r="X2305" s="38" t="n">
        <f aca="false">Sens!$X$2302-Sens!$X$2304</f>
        <v>46.046581</v>
      </c>
      <c r="Y2305" s="38" t="n">
        <f aca="false">Sens!$Y$2302-Sens!$Y$2304</f>
        <v>32.5728870016667</v>
      </c>
      <c r="Z2305" s="38" t="n">
        <f aca="false">Sens!$Z$2302-Sens!$Z$2304</f>
        <v>19.0991930033333</v>
      </c>
      <c r="AA2305" s="38" t="n">
        <f aca="false">Sens!$AA$2302-Sens!$AA$2304</f>
        <v>5.62549900499998</v>
      </c>
    </row>
    <row r="2306" customFormat="false" ht="17.15" hidden="false" customHeight="false" outlineLevel="0" collapsed="false">
      <c r="A2306" s="0" t="s">
        <v>636</v>
      </c>
      <c r="B2306" s="0" t="s">
        <v>52</v>
      </c>
      <c r="C2306" s="13" t="n">
        <f aca="false">Sens!$C$2300/Sens!$C$2422</f>
        <v>0.325505489553393</v>
      </c>
      <c r="D2306" s="13" t="n">
        <f aca="false">Sens!$D$2300/Sens!$D$2422</f>
        <v>0.54214956071542</v>
      </c>
      <c r="E2306" s="13" t="n">
        <f aca="false">Sens!$E$2300/Sens!$E$2422</f>
        <v>0.666492790452817</v>
      </c>
      <c r="F2306" s="13" t="n">
        <f aca="false">Sens!$F$2300/Sens!$F$2422</f>
        <v>0.71724917504417</v>
      </c>
      <c r="G2306" s="13" t="n">
        <f aca="false">Sens!$G$2300/Sens!$G$2422</f>
        <v>0.69502941413511</v>
      </c>
      <c r="H2306" s="13" t="n">
        <f aca="false">Sens!$H$2300/Sens!$H$2422</f>
        <v>0.702467146412309</v>
      </c>
      <c r="I2306" s="13" t="n">
        <f aca="false">Sens!$I$2300/Sens!$I$2422</f>
        <v>0.689317430952133</v>
      </c>
      <c r="J2306" s="13" t="n">
        <f aca="false">Sens!$J$2300/Sens!$J$2422</f>
        <v>0.67669701651978</v>
      </c>
      <c r="K2306" s="13" t="n">
        <f aca="false">Sens!$K$2300/Sens!$K$2422</f>
        <v>0.590635183942374</v>
      </c>
      <c r="L2306" s="13" t="n">
        <f aca="false">Sens!$L$2300/Sens!$L$2422</f>
        <v>0.531252781967278</v>
      </c>
      <c r="M2306" s="13" t="n">
        <f aca="false">Sens!$M$2300/Sens!$M$2422</f>
        <v>0.510309673068721</v>
      </c>
    </row>
    <row r="2307" customFormat="false" ht="17.15" hidden="false" customHeight="false" outlineLevel="0" collapsed="false">
      <c r="A2307" s="0" t="s">
        <v>637</v>
      </c>
      <c r="B2307" s="0" t="s">
        <v>86</v>
      </c>
      <c r="C2307" s="38" t="n">
        <f aca="false">Sens!$S$2307</f>
        <v>0.183212798365523</v>
      </c>
      <c r="D2307" s="38" t="n">
        <f aca="false">Sens!$T$2307</f>
        <v>1.55872349836552</v>
      </c>
      <c r="E2307" s="38" t="n">
        <f aca="false">Sens!$G$2307/2</f>
        <v>3.87426082418276</v>
      </c>
      <c r="F2307" s="38" t="n">
        <f aca="false">Sens!$G$2307/2</f>
        <v>3.87426082418276</v>
      </c>
      <c r="G2307" s="38" t="n">
        <f aca="false">Sens!$U$2307</f>
        <v>7.74852164836552</v>
      </c>
      <c r="H2307" s="38" t="n">
        <f aca="false">Sens!$V$2307</f>
        <v>22.1955909436023</v>
      </c>
      <c r="I2307" s="38" t="n">
        <f aca="false">Sens!$W$2307</f>
        <v>43.9551462932523</v>
      </c>
      <c r="J2307" s="38" t="n">
        <f aca="false">Sens!$X$2307</f>
        <v>66.727219137194</v>
      </c>
      <c r="K2307" s="38" t="n">
        <f aca="false">Sens!$Y$2307</f>
        <v>90.0679842927701</v>
      </c>
      <c r="L2307" s="38" t="n">
        <f aca="false">Sens!$Z$2307</f>
        <v>106.305018477336</v>
      </c>
      <c r="M2307" s="38" t="n">
        <f aca="false">Sens!$AA$2307</f>
        <v>116.327762802526</v>
      </c>
      <c r="N2307" s="38" t="n">
        <f aca="false">Sens!$D$2307/2</f>
        <v>0.779361749182762</v>
      </c>
      <c r="O2307" s="38" t="n">
        <f aca="false">Sens!$D$2307/2</f>
        <v>0.779361749182762</v>
      </c>
      <c r="R2307" s="38" t="n">
        <f aca="false">SUMPRODUCT(--(Sens!$R$2270:$AA$2270&lt;Sens!R$2270),--(Sens!$R$2270:$AA$2270&gt;=Sens!R$2270-tk_life),Sens!$R$2304:$AA$2304)/tk_life</f>
        <v>0</v>
      </c>
      <c r="S2307" s="38" t="n">
        <f aca="false">SUMPRODUCT(--(Sens!$R$2270:$AA$2270&lt;Sens!S$2270),--(Sens!$R$2270:$AA$2270&gt;=Sens!S$2270-tk_life),Sens!$R$2304:$AA$2304)/tk_life</f>
        <v>0.183212798365523</v>
      </c>
      <c r="T2307" s="38" t="n">
        <f aca="false">SUMPRODUCT(--(Sens!$R$2270:$AA$2270&lt;Sens!T$2270),--(Sens!$R$2270:$AA$2270&gt;=Sens!T$2270-tk_life),Sens!$R$2304:$AA$2304)/tk_life</f>
        <v>1.55872349836552</v>
      </c>
      <c r="U2307" s="38" t="n">
        <f aca="false">SUMPRODUCT(--(Sens!$R$2270:$AA$2270&lt;Sens!U$2270),--(Sens!$R$2270:$AA$2270&gt;=Sens!U$2270-tk_life),Sens!$R$2304:$AA$2304)/tk_life</f>
        <v>7.74852164836552</v>
      </c>
      <c r="V2307" s="38" t="n">
        <f aca="false">SUMPRODUCT(--(Sens!$R$2270:$AA$2270&lt;Sens!V$2270),--(Sens!$R$2270:$AA$2270&gt;=Sens!V$2270-tk_life),Sens!$R$2304:$AA$2304)/tk_life</f>
        <v>22.1955909436023</v>
      </c>
      <c r="W2307" s="38" t="n">
        <f aca="false">SUMPRODUCT(--(Sens!$R$2270:$AA$2270&lt;Sens!W$2270),--(Sens!$R$2270:$AA$2270&gt;=Sens!W$2270-tk_life),Sens!$R$2304:$AA$2304)/tk_life</f>
        <v>43.9551462932523</v>
      </c>
      <c r="X2307" s="38" t="n">
        <f aca="false">SUMPRODUCT(--(Sens!$R$2270:$AA$2270&lt;Sens!X$2270),--(Sens!$R$2270:$AA$2270&gt;=Sens!X$2270-tk_life),Sens!$R$2304:$AA$2304)/tk_life</f>
        <v>66.727219137194</v>
      </c>
      <c r="Y2307" s="38" t="n">
        <f aca="false">SUMPRODUCT(--(Sens!$R$2270:$AA$2270&lt;Sens!Y$2270),--(Sens!$R$2270:$AA$2270&gt;=Sens!Y$2270-tk_life),Sens!$R$2304:$AA$2304)/tk_life</f>
        <v>90.0679842927701</v>
      </c>
      <c r="Z2307" s="38" t="n">
        <f aca="false">SUMPRODUCT(--(Sens!$R$2270:$AA$2270&lt;Sens!Z$2270),--(Sens!$R$2270:$AA$2270&gt;=Sens!Z$2270-tk_life),Sens!$R$2304:$AA$2304)/tk_life</f>
        <v>106.305018477336</v>
      </c>
      <c r="AA2307" s="38" t="n">
        <f aca="false">SUMPRODUCT(--(Sens!$R$2270:$AA$2270&lt;Sens!AA$2270),--(Sens!$R$2270:$AA$2270&gt;=Sens!AA$2270-tk_life),Sens!$R$2304:$AA$2304)/tk_life</f>
        <v>116.327762802526</v>
      </c>
    </row>
    <row r="2308" customFormat="false" ht="17.15" hidden="false" customHeight="false" outlineLevel="0" collapsed="false">
      <c r="A2308" s="0" t="s">
        <v>638</v>
      </c>
      <c r="B2308" s="0" t="s">
        <v>86</v>
      </c>
      <c r="C2308" s="38" t="n">
        <f aca="false">Sens!$S$2308</f>
        <v>0.0202511502553155</v>
      </c>
      <c r="D2308" s="38" t="n">
        <f aca="false">Sens!$T$2308</f>
        <v>0.172291150255315</v>
      </c>
      <c r="E2308" s="38" t="n">
        <f aca="false">Sens!$G$2308/2</f>
        <v>0.428235575127658</v>
      </c>
      <c r="F2308" s="38" t="n">
        <f aca="false">Sens!$G$2308/2</f>
        <v>0.428235575127658</v>
      </c>
      <c r="G2308" s="38" t="n">
        <f aca="false">Sens!$U$2308</f>
        <v>0.856471150255315</v>
      </c>
      <c r="H2308" s="38" t="n">
        <f aca="false">Sens!$V$2308</f>
        <v>2.45968350074496</v>
      </c>
      <c r="I2308" s="38" t="n">
        <f aca="false">Sens!$W$2308</f>
        <v>4.76201255074496</v>
      </c>
      <c r="J2308" s="38" t="n">
        <f aca="false">Sens!$X$2308</f>
        <v>7.06434160074496</v>
      </c>
      <c r="K2308" s="38" t="n">
        <f aca="false">Sens!$Y$2308</f>
        <v>9.36667065074496</v>
      </c>
      <c r="L2308" s="38" t="n">
        <f aca="false">Sens!$Z$2308</f>
        <v>10.9953150008283</v>
      </c>
      <c r="M2308" s="38" t="n">
        <f aca="false">Sens!$AA$2308</f>
        <v>11.950274650995</v>
      </c>
      <c r="N2308" s="38" t="n">
        <f aca="false">Sens!$D$2308/2</f>
        <v>0.0861455751276577</v>
      </c>
      <c r="O2308" s="38" t="n">
        <f aca="false">Sens!$D$2308/2</f>
        <v>0.0861455751276577</v>
      </c>
      <c r="R2308" s="38" t="n">
        <f aca="false">SUMPRODUCT(--(Sens!$R$2270:$AA$2270&lt;Sens!R$2270),Sens!$R$2305:$AA$2305)/fac_life</f>
        <v>0</v>
      </c>
      <c r="S2308" s="38" t="n">
        <f aca="false">SUMPRODUCT(--(Sens!$R$2270:$AA$2270&lt;Sens!S$2270),Sens!$R$2305:$AA$2305)/fac_life</f>
        <v>0.0202511502553155</v>
      </c>
      <c r="T2308" s="38" t="n">
        <f aca="false">SUMPRODUCT(--(Sens!$R$2270:$AA$2270&lt;Sens!T$2270),Sens!$R$2305:$AA$2305)/fac_life</f>
        <v>0.172291150255315</v>
      </c>
      <c r="U2308" s="38" t="n">
        <f aca="false">SUMPRODUCT(--(Sens!$R$2270:$AA$2270&lt;Sens!U$2270),Sens!$R$2305:$AA$2305)/fac_life</f>
        <v>0.856471150255315</v>
      </c>
      <c r="V2308" s="38" t="n">
        <f aca="false">SUMPRODUCT(--(Sens!$R$2270:$AA$2270&lt;Sens!V$2270),Sens!$R$2305:$AA$2305)/fac_life</f>
        <v>2.45968350074496</v>
      </c>
      <c r="W2308" s="38" t="n">
        <f aca="false">SUMPRODUCT(--(Sens!$R$2270:$AA$2270&lt;Sens!W$2270),Sens!$R$2305:$AA$2305)/fac_life</f>
        <v>4.76201255074496</v>
      </c>
      <c r="X2308" s="38" t="n">
        <f aca="false">SUMPRODUCT(--(Sens!$R$2270:$AA$2270&lt;Sens!X$2270),Sens!$R$2305:$AA$2305)/fac_life</f>
        <v>7.06434160074496</v>
      </c>
      <c r="Y2308" s="38" t="n">
        <f aca="false">SUMPRODUCT(--(Sens!$R$2270:$AA$2270&lt;Sens!Y$2270),Sens!$R$2305:$AA$2305)/fac_life</f>
        <v>9.36667065074496</v>
      </c>
      <c r="Z2308" s="38" t="n">
        <f aca="false">SUMPRODUCT(--(Sens!$R$2270:$AA$2270&lt;Sens!Z$2270),Sens!$R$2305:$AA$2305)/fac_life</f>
        <v>10.9953150008283</v>
      </c>
      <c r="AA2308" s="38" t="n">
        <f aca="false">SUMPRODUCT(--(Sens!$R$2270:$AA$2270&lt;Sens!AA$2270),Sens!$R$2305:$AA$2305)/fac_life</f>
        <v>11.950274650995</v>
      </c>
    </row>
    <row r="2309" customFormat="false" ht="17.15" hidden="false" customHeight="false" outlineLevel="0" collapsed="false">
      <c r="A2309" s="1" t="s">
        <v>639</v>
      </c>
      <c r="B2309" s="8" t="s">
        <v>86</v>
      </c>
      <c r="C2309" s="38" t="n">
        <f aca="false">Sens!$C$2307+Sens!$C$2308</f>
        <v>0.203463948620839</v>
      </c>
      <c r="D2309" s="38" t="n">
        <f aca="false">Sens!$D$2307+Sens!$D$2308</f>
        <v>1.73101464862084</v>
      </c>
      <c r="E2309" s="38" t="n">
        <f aca="false">Sens!$E$2307+Sens!$E$2308</f>
        <v>4.30249639931042</v>
      </c>
      <c r="F2309" s="38" t="n">
        <f aca="false">Sens!$F$2307+Sens!$F$2308</f>
        <v>4.30249639931042</v>
      </c>
      <c r="G2309" s="38" t="n">
        <f aca="false">Sens!$G$2307+Sens!$G$2308</f>
        <v>8.60499279862084</v>
      </c>
      <c r="H2309" s="38" t="n">
        <f aca="false">Sens!$H$2307+Sens!$H$2308</f>
        <v>24.6552744443472</v>
      </c>
      <c r="I2309" s="38" t="n">
        <f aca="false">Sens!$I$2307+Sens!$I$2308</f>
        <v>48.7171588439973</v>
      </c>
      <c r="J2309" s="38" t="n">
        <f aca="false">Sens!$J$2307+Sens!$J$2308</f>
        <v>73.7915607379389</v>
      </c>
      <c r="K2309" s="38" t="n">
        <f aca="false">Sens!$K$2307+Sens!$K$2308</f>
        <v>99.434654943515</v>
      </c>
      <c r="L2309" s="38" t="n">
        <f aca="false">Sens!$L$2307+Sens!$L$2308</f>
        <v>117.300333478164</v>
      </c>
      <c r="M2309" s="38" t="n">
        <f aca="false">Sens!$M$2307+Sens!$M$2308</f>
        <v>128.278037453521</v>
      </c>
      <c r="N2309" s="38" t="n">
        <f aca="false">Sens!$N$2307+Sens!$N$2308</f>
        <v>0.865507324310419</v>
      </c>
      <c r="O2309" s="38" t="n">
        <f aca="false">Sens!$O$2307+Sens!$O$2308</f>
        <v>0.865507324310419</v>
      </c>
      <c r="R2309" s="38" t="n">
        <f aca="false">Sens!$R$2307+Sens!$R$2308</f>
        <v>0</v>
      </c>
      <c r="S2309" s="38" t="n">
        <f aca="false">Sens!$S$2307+Sens!$S$2308</f>
        <v>0.203463948620839</v>
      </c>
      <c r="T2309" s="38" t="n">
        <f aca="false">Sens!$T$2307+Sens!$T$2308</f>
        <v>1.73101464862084</v>
      </c>
      <c r="U2309" s="38" t="n">
        <f aca="false">Sens!$U$2307+Sens!$U$2308</f>
        <v>8.60499279862084</v>
      </c>
      <c r="V2309" s="38" t="n">
        <f aca="false">Sens!$V$2307+Sens!$V$2308</f>
        <v>24.6552744443472</v>
      </c>
      <c r="W2309" s="38" t="n">
        <f aca="false">Sens!$W$2307+Sens!$W$2308</f>
        <v>48.7171588439973</v>
      </c>
      <c r="X2309" s="38" t="n">
        <f aca="false">Sens!$X$2307+Sens!$X$2308</f>
        <v>73.7915607379389</v>
      </c>
      <c r="Y2309" s="38" t="n">
        <f aca="false">Sens!$Y$2307+Sens!$Y$2308</f>
        <v>99.434654943515</v>
      </c>
      <c r="Z2309" s="38" t="n">
        <f aca="false">Sens!$Z$2307+Sens!$Z$2308</f>
        <v>117.300333478164</v>
      </c>
      <c r="AA2309" s="38" t="n">
        <f aca="false">Sens!$AA$2307+Sens!$AA$2308</f>
        <v>128.278037453521</v>
      </c>
    </row>
    <row r="2310" customFormat="false" ht="17.15" hidden="false" customHeight="false" outlineLevel="0" collapsed="false">
      <c r="A2310" s="0" t="s">
        <v>640</v>
      </c>
      <c r="B2310" s="0" t="s">
        <v>86</v>
      </c>
      <c r="C2310" s="38" t="n">
        <f aca="false">Sens!$S$2310</f>
        <v>12.5947000466786</v>
      </c>
      <c r="D2310" s="38" t="n">
        <f aca="false">Sens!$T$2310</f>
        <v>61.6860742980578</v>
      </c>
      <c r="G2310" s="38" t="n">
        <f aca="false">Sens!$U$2310</f>
        <v>171.82774428065</v>
      </c>
      <c r="H2310" s="38" t="n">
        <f aca="false">Sens!$V$2310</f>
        <v>323.776382934203</v>
      </c>
      <c r="I2310" s="38" t="n">
        <f aca="false">Sens!$W$2310</f>
        <v>457.738242153856</v>
      </c>
      <c r="J2310" s="38" t="n">
        <f aca="false">Sens!$X$2310</f>
        <v>571.137130139567</v>
      </c>
      <c r="K2310" s="38" t="n">
        <f aca="false">Sens!$Y$2310</f>
        <v>609.950631505113</v>
      </c>
      <c r="L2310" s="38" t="n">
        <f aca="false">Sens!$Z$2310</f>
        <v>609.024745881421</v>
      </c>
      <c r="M2310" s="38" t="n">
        <f aca="false">Sens!$AA$2310</f>
        <v>595.441739319609</v>
      </c>
      <c r="R2310" s="38" t="n">
        <f aca="false">SUM(Sens!$R$2302:$R$2302)-SUM(Sens!$R$2309:$R$2309)</f>
        <v>1.50429979529945</v>
      </c>
      <c r="S2310" s="38" t="n">
        <f aca="false">SUM(Sens!$R$2302:$S$2302)-SUM(Sens!$R$2309:$S$2309)</f>
        <v>12.5947000466786</v>
      </c>
      <c r="T2310" s="38" t="n">
        <f aca="false">SUM(Sens!$R$2302:$T$2302)-SUM(Sens!$R$2309:$T$2309)</f>
        <v>61.6860742980578</v>
      </c>
      <c r="U2310" s="38" t="n">
        <f aca="false">SUM(Sens!$R$2302:$U$2302)-SUM(Sens!$R$2309:$U$2309)</f>
        <v>171.82774428065</v>
      </c>
      <c r="V2310" s="38" t="n">
        <f aca="false">SUM(Sens!$R$2302:$V$2302)-SUM(Sens!$R$2309:$V$2309)</f>
        <v>323.776382934203</v>
      </c>
      <c r="W2310" s="38" t="n">
        <f aca="false">SUM(Sens!$R$2302:$W$2302)-SUM(Sens!$R$2309:$W$2309)</f>
        <v>457.738242153856</v>
      </c>
      <c r="X2310" s="38" t="n">
        <f aca="false">SUM(Sens!$R$2302:$X$2302)-SUM(Sens!$R$2309:$X$2309)</f>
        <v>571.137130139567</v>
      </c>
      <c r="Y2310" s="38" t="n">
        <f aca="false">SUM(Sens!$R$2302:$Y$2302)-SUM(Sens!$R$2309:$Y$2309)</f>
        <v>609.950631505113</v>
      </c>
      <c r="Z2310" s="38" t="n">
        <f aca="false">SUM(Sens!$R$2302:$Z$2302)-SUM(Sens!$R$2309:$Z$2309)</f>
        <v>609.024745881421</v>
      </c>
      <c r="AA2310" s="38" t="n">
        <f aca="false">SUM(Sens!$R$2302:$AA$2302)-SUM(Sens!$R$2309:$AA$2309)</f>
        <v>595.441739319609</v>
      </c>
    </row>
    <row r="2311" customFormat="false" ht="17.15" hidden="false" customHeight="false" outlineLevel="0" collapsed="false">
      <c r="A2311" s="1" t="s">
        <v>641</v>
      </c>
    </row>
    <row r="2312" customFormat="false" ht="17.15" hidden="false" customHeight="false" outlineLevel="0" collapsed="false">
      <c r="A2312" s="0" t="s">
        <v>642</v>
      </c>
      <c r="B2312" s="0" t="s">
        <v>86</v>
      </c>
      <c r="C2312" s="38" t="n">
        <f aca="false">Sens!$C$2291-ext_sh*Sens!$C$2293</f>
        <v>1.80694998843362</v>
      </c>
      <c r="D2312" s="38" t="n">
        <f aca="false">Sens!$D$2291-ext_sh*Sens!$D$2293</f>
        <v>6.77606245662607</v>
      </c>
      <c r="E2312" s="38" t="n">
        <f aca="false">Sens!$E$2291-ext_sh*Sens!$E$2293</f>
        <v>6.62548329092326</v>
      </c>
      <c r="F2312" s="38" t="n">
        <f aca="false">Sens!$F$2291-ext_sh*Sens!$F$2293</f>
        <v>10.9841961511954</v>
      </c>
      <c r="G2312" s="38" t="n">
        <f aca="false">Sens!$G$2291-ext_sh*Sens!$G$2293</f>
        <v>17.6096794421187</v>
      </c>
      <c r="H2312" s="38" t="n">
        <f aca="false">Sens!$H$2291-ext_sh*Sens!$H$2293</f>
        <v>41.6302801886437</v>
      </c>
      <c r="I2312" s="38" t="n">
        <f aca="false">Sens!$I$2291-ext_sh*Sens!$I$2293</f>
        <v>68.7801842295635</v>
      </c>
      <c r="J2312" s="38" t="n">
        <f aca="false">Sens!$J$2291-ext_sh*Sens!$J$2293</f>
        <v>96.0986392826786</v>
      </c>
      <c r="K2312" s="38" t="n">
        <f aca="false">Sens!$K$2291-ext_sh*Sens!$K$2293</f>
        <v>119.398123483663</v>
      </c>
      <c r="L2312" s="38" t="n">
        <f aca="false">Sens!$L$2291-ext_sh*Sens!$L$2293</f>
        <v>134.710311815431</v>
      </c>
      <c r="M2312" s="38" t="n">
        <f aca="false">Sens!$M$2291-ext_sh*Sens!$M$2293</f>
        <v>142.007790587281</v>
      </c>
      <c r="N2312" s="38" t="n">
        <f aca="false">Sens!$N$2291-ext_sh*Sens!$N$2293</f>
        <v>2.37162185981912</v>
      </c>
      <c r="O2312" s="38" t="n">
        <f aca="false">Sens!$O$2291-ext_sh*Sens!$O$2293</f>
        <v>4.40444059680694</v>
      </c>
    </row>
    <row r="2313" customFormat="false" ht="17.15" hidden="false" customHeight="false" outlineLevel="0" collapsed="false">
      <c r="A2313" s="1" t="s">
        <v>643</v>
      </c>
      <c r="B2313" s="8" t="s">
        <v>86</v>
      </c>
      <c r="C2313" s="38" t="n">
        <f aca="false">Sens!$C$2312-ext_sh*Sens!$C$2309</f>
        <v>1.64417882953695</v>
      </c>
      <c r="D2313" s="38" t="n">
        <f aca="false">Sens!$D$2312-ext_sh*Sens!$D$2309</f>
        <v>5.39125073772939</v>
      </c>
      <c r="E2313" s="38" t="n">
        <f aca="false">Sens!$E$2312-ext_sh*Sens!$E$2309</f>
        <v>3.18348617147493</v>
      </c>
      <c r="F2313" s="38" t="n">
        <f aca="false">Sens!$F$2312-ext_sh*Sens!$F$2309</f>
        <v>7.54219903174706</v>
      </c>
      <c r="G2313" s="38" t="n">
        <f aca="false">Sens!$G$2312-ext_sh*Sens!$G$2309</f>
        <v>10.725685203222</v>
      </c>
      <c r="H2313" s="38" t="n">
        <f aca="false">Sens!$H$2312-ext_sh*Sens!$H$2309</f>
        <v>21.9060606331659</v>
      </c>
      <c r="I2313" s="38" t="n">
        <f aca="false">Sens!$I$2312-ext_sh*Sens!$I$2309</f>
        <v>29.8064571543657</v>
      </c>
      <c r="J2313" s="38" t="n">
        <f aca="false">Sens!$J$2312-ext_sh*Sens!$J$2309</f>
        <v>37.0653906923274</v>
      </c>
      <c r="K2313" s="38" t="n">
        <f aca="false">Sens!$K$2312-ext_sh*Sens!$K$2309</f>
        <v>39.8503995288506</v>
      </c>
      <c r="L2313" s="38" t="n">
        <f aca="false">Sens!$L$2312-ext_sh*Sens!$L$2309</f>
        <v>40.8700450328997</v>
      </c>
      <c r="M2313" s="38" t="n">
        <f aca="false">Sens!$M$2312-ext_sh*Sens!$M$2309</f>
        <v>39.3853606244644</v>
      </c>
      <c r="N2313" s="38" t="n">
        <f aca="false">Sens!$N$2312-ext_sh*Sens!$N$2309</f>
        <v>1.67921600037079</v>
      </c>
      <c r="O2313" s="38" t="n">
        <f aca="false">Sens!$O$2312-ext_sh*Sens!$O$2309</f>
        <v>3.71203473735861</v>
      </c>
    </row>
    <row r="2314" customFormat="false" ht="17.15" hidden="false" customHeight="false" outlineLevel="0" collapsed="false">
      <c r="A2314" s="0" t="s">
        <v>644</v>
      </c>
      <c r="B2314" s="0" t="s">
        <v>52</v>
      </c>
      <c r="C2314" s="13" t="n">
        <f aca="false">Sens!$C$2313/Sens!$C$2291</f>
        <v>0.708390794789371</v>
      </c>
      <c r="D2314" s="13" t="n">
        <f aca="false">Sens!$D$2313/Sens!$D$2291</f>
        <v>0.619415573115729</v>
      </c>
      <c r="E2314" s="13" t="n">
        <f aca="false">Sens!$E$2313/Sens!$E$2291</f>
        <v>0.374072166056273</v>
      </c>
      <c r="F2314" s="13" t="n">
        <f aca="false">Sens!$F$2313/Sens!$F$2291</f>
        <v>0.530111461696637</v>
      </c>
      <c r="G2314" s="13" t="n">
        <f aca="false">Sens!$G$2313/Sens!$G$2291</f>
        <v>0.471709057752093</v>
      </c>
      <c r="H2314" s="13" t="n">
        <f aca="false">Sens!$H$2313/Sens!$H$2291</f>
        <v>0.403582625813841</v>
      </c>
      <c r="I2314" s="13" t="n">
        <f aca="false">Sens!$I$2313/Sens!$I$2291</f>
        <v>0.332179713452157</v>
      </c>
      <c r="J2314" s="13" t="n">
        <f aca="false">Sens!$J$2313/Sens!$J$2291</f>
        <v>0.295660436638483</v>
      </c>
      <c r="K2314" s="13" t="n">
        <f aca="false">Sens!$K$2313/Sens!$K$2291</f>
        <v>0.255841876801973</v>
      </c>
      <c r="L2314" s="13" t="n">
        <f aca="false">Sens!$L$2313/Sens!$L$2291</f>
        <v>0.232561350142914</v>
      </c>
      <c r="M2314" s="13" t="n">
        <f aca="false">Sens!$M$2313/Sens!$M$2291</f>
        <v>0.212588604410186</v>
      </c>
      <c r="N2314" s="13" t="n">
        <f aca="false">Sens!$N$2313/Sens!$N$2291</f>
        <v>0.551227795793364</v>
      </c>
      <c r="O2314" s="13" t="n">
        <f aca="false">Sens!$O$2313/Sens!$O$2291</f>
        <v>0.656132068597002</v>
      </c>
    </row>
    <row r="2315" customFormat="false" ht="17.15" hidden="false" customHeight="false" outlineLevel="0" collapsed="false">
      <c r="A2315" s="5" t="s">
        <v>645</v>
      </c>
      <c r="B2315" s="0" t="s">
        <v>86</v>
      </c>
      <c r="C2315" s="39" t="n">
        <v>0</v>
      </c>
      <c r="D2315" s="39" t="n">
        <v>0</v>
      </c>
      <c r="E2315" s="39" t="n">
        <v>0</v>
      </c>
      <c r="F2315" s="38" t="n">
        <f aca="false">IF(internal_ai_reading=2,1,0)*(1-ext_sh)/ext_sh*(mw_open*he_open+Sens!$F$2289*Sens!$F$2286)*Sens!$F$2275/1000</f>
        <v>3.58576196532864</v>
      </c>
      <c r="G2315" s="38" t="n">
        <f aca="false">Sens!$E$2315+Sens!$F$2315</f>
        <v>3.58576196532864</v>
      </c>
      <c r="H2315" s="38" t="n">
        <f aca="false">IF(internal_ai_reading=2,1,0)*(1-ext_sh)/ext_sh*(mw_open*he_open+Sens!$H$2289*Sens!$H$2286)*Sens!$H$2275/1000</f>
        <v>13.679886229553</v>
      </c>
      <c r="I2315" s="38" t="n">
        <f aca="false">IF(internal_ai_reading=2,1,0)*(1-ext_sh)/ext_sh*(mw_open*he_open+Sens!$I$2289*Sens!$I$2286)*Sens!$I$2275/1000</f>
        <v>22.6145480991162</v>
      </c>
      <c r="J2315" s="38" t="n">
        <f aca="false">IF(internal_ai_reading=2,1,0)*(1-ext_sh)/ext_sh*(mw_open*he_open+Sens!$J$2289*Sens!$J$2286)*Sens!$J$2275/1000</f>
        <v>31.5955580236032</v>
      </c>
      <c r="K2315" s="38" t="n">
        <f aca="false">IF(internal_ai_reading=2,1,0)*(1-ext_sh)/ext_sh*(mw_open*he_open+Sens!$K$2289*Sens!$K$2286)*Sens!$K$2275/1000</f>
        <v>39.2565120061736</v>
      </c>
      <c r="L2315" s="38" t="n">
        <f aca="false">IF(internal_ai_reading=2,1,0)*(1-ext_sh)/ext_sh*(mw_open*he_open+Sens!$L$2289*Sens!$L$2286)*Sens!$L$2275/1000</f>
        <v>44.29128066586</v>
      </c>
      <c r="M2315" s="38" t="n">
        <f aca="false">IF(internal_ai_reading=2,1,0)*(1-ext_sh)/ext_sh*(mw_open*he_open+Sens!$M$2289*Sens!$M$2286)*Sens!$M$2275/1000</f>
        <v>46.6923258026494</v>
      </c>
      <c r="N2315" s="39" t="n">
        <v>0</v>
      </c>
      <c r="O2315" s="39" t="n">
        <v>0</v>
      </c>
      <c r="P2315" s="8" t="s">
        <v>646</v>
      </c>
    </row>
    <row r="2316" customFormat="false" ht="17.15" hidden="false" customHeight="false" outlineLevel="0" collapsed="false">
      <c r="A2316" s="5" t="s">
        <v>647</v>
      </c>
      <c r="B2316" s="0" t="s">
        <v>86</v>
      </c>
      <c r="C2316" s="38" t="n">
        <f aca="false">(1-ext_sh)*(Sens!$C$2293+Sens!$C$2309)</f>
        <v>0.169206631859174</v>
      </c>
      <c r="D2316" s="38" t="n">
        <f aca="false">(1-ext_sh)*(Sens!$D$2293+Sens!$D$2309)</f>
        <v>0.828129837730442</v>
      </c>
      <c r="E2316" s="38" t="n">
        <f aca="false">(1-ext_sh)*(Sens!$E$2293+Sens!$E$2309)</f>
        <v>1.33171670102377</v>
      </c>
      <c r="F2316" s="38" t="n">
        <f aca="false">(1-ext_sh)*(Sens!$F$2293+Sens!$F$2309)</f>
        <v>1.67134326207455</v>
      </c>
      <c r="G2316" s="38" t="n">
        <f aca="false">(1-ext_sh)*(Sens!$G$2293+Sens!$G$2309)</f>
        <v>3.00305996309832</v>
      </c>
      <c r="H2316" s="38" t="n">
        <f aca="false">(1-ext_sh)*(Sens!$H$2293+Sens!$H$2309)</f>
        <v>8.09323439980176</v>
      </c>
      <c r="I2316" s="38" t="n">
        <f aca="false">(1-ext_sh)*(Sens!$I$2293+Sens!$I$2309)</f>
        <v>14.9808642368158</v>
      </c>
      <c r="J2316" s="38" t="n">
        <f aca="false">(1-ext_sh)*(Sens!$J$2293+Sens!$J$2309)</f>
        <v>22.0748347266865</v>
      </c>
      <c r="K2316" s="38" t="n">
        <f aca="false">(1-ext_sh)*(Sens!$K$2293+Sens!$K$2309)</f>
        <v>28.9778582114556</v>
      </c>
      <c r="L2316" s="38" t="n">
        <f aca="false">(1-ext_sh)*(Sens!$L$2293+Sens!$L$2309)</f>
        <v>33.7171806067219</v>
      </c>
      <c r="M2316" s="38" t="n">
        <f aca="false">(1-ext_sh)*(Sens!$M$2293+Sens!$M$2309)</f>
        <v>36.4700660474721</v>
      </c>
      <c r="N2316" s="38" t="n">
        <f aca="false">(1-ext_sh)*(Sens!$N$2293+Sens!$N$2309)</f>
        <v>0.34177588266428</v>
      </c>
      <c r="O2316" s="38" t="n">
        <f aca="false">(1-ext_sh)*(Sens!$O$2293+Sens!$O$2309)</f>
        <v>0.486353955066162</v>
      </c>
    </row>
    <row r="2317" customFormat="false" ht="17.15" hidden="false" customHeight="false" outlineLevel="0" collapsed="false">
      <c r="A2317" s="0" t="s">
        <v>648</v>
      </c>
      <c r="B2317" s="0" t="s">
        <v>86</v>
      </c>
      <c r="C2317" s="38" t="n">
        <f aca="false">Q!$D$24</f>
        <v>39.834</v>
      </c>
      <c r="D2317" s="38" t="n">
        <f aca="false">Q!$E$24</f>
        <v>45.606</v>
      </c>
      <c r="E2317" s="38" t="n">
        <f aca="false">Q!$P$24</f>
        <v>30.782</v>
      </c>
      <c r="N2317" s="38" t="n">
        <f aca="false">Q!$N$24</f>
        <v>21.707</v>
      </c>
      <c r="O2317" s="38" t="n">
        <f aca="false">Q!$O$24</f>
        <v>23.899</v>
      </c>
    </row>
    <row r="2318" customFormat="false" ht="17.15" hidden="false" customHeight="false" outlineLevel="0" collapsed="false">
      <c r="A2318" s="0" t="s">
        <v>649</v>
      </c>
      <c r="B2318" s="0" t="s">
        <v>86</v>
      </c>
      <c r="C2318" s="38" t="n">
        <f aca="false">Sens!$C$2317-Sens!$C$2313</f>
        <v>38.1898211704631</v>
      </c>
      <c r="D2318" s="38" t="n">
        <f aca="false">Sens!$D$2317-Sens!$D$2313</f>
        <v>40.2147492622706</v>
      </c>
      <c r="E2318" s="38" t="n">
        <f aca="false">Sens!$E$2317-Sens!$E$2313</f>
        <v>27.5985138285251</v>
      </c>
      <c r="F2318" s="38" t="n">
        <f aca="false">Sens!$F$2295*Sens!$F$2319</f>
        <v>25.5484769754606</v>
      </c>
      <c r="G2318" s="38" t="n">
        <f aca="false">Sens!$E$2318+Sens!$F$2318</f>
        <v>53.1469908039857</v>
      </c>
      <c r="H2318" s="38" t="n">
        <f aca="false">Sens!$H$2295*Sens!$H$2319</f>
        <v>57.3189525076539</v>
      </c>
      <c r="I2318" s="38" t="n">
        <f aca="false">Sens!$I$2295*Sens!$I$2319</f>
        <v>63.6385627021087</v>
      </c>
      <c r="J2318" s="38" t="n">
        <f aca="false">Sens!$J$2295*Sens!$J$2319</f>
        <v>69.6922896066105</v>
      </c>
      <c r="K2318" s="38" t="n">
        <f aca="false">Sens!$K$2295*Sens!$K$2319</f>
        <v>75.2676727751394</v>
      </c>
      <c r="L2318" s="38" t="n">
        <f aca="false">Sens!$L$2295*Sens!$L$2319</f>
        <v>81.2890865971505</v>
      </c>
      <c r="M2318" s="38" t="n">
        <f aca="false">Sens!$M$2295*Sens!$M$2319</f>
        <v>87.7922135249226</v>
      </c>
      <c r="N2318" s="38" t="n">
        <f aca="false">Sens!$N$2317-Sens!$N$2313</f>
        <v>20.0277839996292</v>
      </c>
      <c r="O2318" s="38" t="n">
        <f aca="false">Sens!$O$2317-Sens!$O$2313</f>
        <v>20.1869652626414</v>
      </c>
      <c r="P2318" s="5" t="s">
        <v>650</v>
      </c>
    </row>
    <row r="2319" customFormat="false" ht="17.15" hidden="false" customHeight="false" outlineLevel="0" collapsed="false">
      <c r="A2319" s="0" t="s">
        <v>651</v>
      </c>
      <c r="B2319" s="0" t="s">
        <v>52</v>
      </c>
      <c r="C2319" s="13" t="n">
        <f aca="false">Sens!$C$2318/Sens!$C$2295</f>
        <v>0.362900395443635</v>
      </c>
      <c r="D2319" s="13" t="n">
        <f aca="false">Sens!$D$2318/Sens!$D$2295</f>
        <v>0.335063632425483</v>
      </c>
      <c r="E2319" s="13" t="n">
        <f aca="false">Sens!$E$2318/Sens!$E$2295</f>
        <v>0.387028992698038</v>
      </c>
      <c r="F2319" s="13" t="n">
        <f aca="false">(Sens!$O$2318+Sens!$E$2318)/(Sens!$O$2295+Sens!$E$2295)</f>
        <v>0.355980580118587</v>
      </c>
      <c r="G2319" s="13" t="n">
        <f aca="false">Sens!$G$2318/Sens!$G$2295</f>
        <v>0.371454804780916</v>
      </c>
      <c r="H2319" s="13" t="n">
        <f aca="false">Sens!$F$2319</f>
        <v>0.355980580118587</v>
      </c>
      <c r="I2319" s="13" t="n">
        <f aca="false">Sens!$F$2319</f>
        <v>0.355980580118587</v>
      </c>
      <c r="J2319" s="13" t="n">
        <f aca="false">Sens!$F$2319</f>
        <v>0.355980580118587</v>
      </c>
      <c r="K2319" s="13" t="n">
        <f aca="false">Sens!$F$2319</f>
        <v>0.355980580118587</v>
      </c>
      <c r="L2319" s="13" t="n">
        <f aca="false">Sens!$F$2319</f>
        <v>0.355980580118587</v>
      </c>
      <c r="M2319" s="13" t="n">
        <f aca="false">Sens!$F$2319</f>
        <v>0.355980580118587</v>
      </c>
      <c r="N2319" s="13" t="n">
        <f aca="false">Sens!$N$2318/Sens!$N$2295</f>
        <v>0.35078810535806</v>
      </c>
      <c r="O2319" s="13" t="n">
        <f aca="false">Sens!$O$2318/Sens!$O$2295</f>
        <v>0.320796939361619</v>
      </c>
      <c r="P2319" s="8" t="s">
        <v>652</v>
      </c>
    </row>
    <row r="2320" customFormat="false" ht="17.15" hidden="false" customHeight="false" outlineLevel="0" collapsed="false">
      <c r="A2320" s="0" t="s">
        <v>653</v>
      </c>
      <c r="B2320" s="0" t="s">
        <v>52</v>
      </c>
      <c r="D2320" s="13" t="n">
        <f aca="false">(Q!$E$31-ext_sh*Sens!$D$2309)/Sens!$D$2295</f>
        <v>0.167180325480118</v>
      </c>
    </row>
    <row r="2321" customFormat="false" ht="17.15" hidden="false" customHeight="false" outlineLevel="0" collapsed="false">
      <c r="A2321" s="0" t="s">
        <v>654</v>
      </c>
      <c r="B2321" s="0" t="s">
        <v>86</v>
      </c>
      <c r="C2321" s="38" t="n">
        <f aca="false">Q!$D$31</f>
        <v>13.32</v>
      </c>
      <c r="D2321" s="38" t="n">
        <f aca="false">Q!$E$31</f>
        <v>21.45</v>
      </c>
      <c r="E2321" s="38" t="n">
        <f aca="false">Q!$P$31</f>
        <v>15.353</v>
      </c>
      <c r="F2321" s="38" t="n">
        <f aca="false">ext_sh*Sens!$F$2309+Sens!$D$2320*Sens!$F$2295</f>
        <v>15.4404120185306</v>
      </c>
      <c r="G2321" s="38" t="n">
        <f aca="false">Sens!$E$2321+Sens!$F$2321</f>
        <v>30.7934120185306</v>
      </c>
      <c r="H2321" s="38" t="n">
        <f aca="false">ext_sh*Sens!$H$2309+Sens!$D$2320*Sens!$H$2295</f>
        <v>46.6431069094362</v>
      </c>
      <c r="I2321" s="38" t="n">
        <f aca="false">ext_sh*Sens!$I$2309+Sens!$D$2320*Sens!$I$2295</f>
        <v>68.8605136579974</v>
      </c>
      <c r="J2321" s="38" t="n">
        <f aca="false">ext_sh*Sens!$J$2309+Sens!$D$2320*Sens!$J$2295</f>
        <v>91.7630667619111</v>
      </c>
      <c r="K2321" s="38" t="n">
        <f aca="false">ext_sh*Sens!$K$2309+Sens!$D$2320*Sens!$K$2295</f>
        <v>114.895927580097</v>
      </c>
      <c r="L2321" s="38" t="n">
        <f aca="false">ext_sh*Sens!$L$2309+Sens!$D$2320*Sens!$L$2295</f>
        <v>132.016326697839</v>
      </c>
      <c r="M2321" s="38" t="n">
        <f aca="false">ext_sh*Sens!$M$2309+Sens!$D$2320*Sens!$M$2295</f>
        <v>143.852574671349</v>
      </c>
      <c r="N2321" s="38" t="n">
        <f aca="false">Q!$N$31</f>
        <v>9.234</v>
      </c>
      <c r="O2321" s="38" t="n">
        <f aca="false">Q!$O$31</f>
        <v>12.216</v>
      </c>
    </row>
    <row r="2322" customFormat="false" ht="17.15" hidden="false" customHeight="false" outlineLevel="0" collapsed="false">
      <c r="A2322" s="1" t="s">
        <v>655</v>
      </c>
    </row>
    <row r="2323" customFormat="false" ht="17.15" hidden="false" customHeight="false" outlineLevel="0" collapsed="false">
      <c r="A2323" s="15" t="s">
        <v>656</v>
      </c>
      <c r="B2323" s="14" t="s">
        <v>52</v>
      </c>
      <c r="C2323" s="14"/>
      <c r="D2323" s="14"/>
      <c r="E2323" s="14"/>
      <c r="F2323" s="14"/>
      <c r="G2323" s="17" t="n">
        <f aca="false">Sens!$G$2313*(1-tax)/(ext_sh*(Sens!$D$2310+Sens!$G$2310)/2)</f>
        <v>0.0948966561003208</v>
      </c>
      <c r="H2323" s="17" t="n">
        <f aca="false">Sens!$H$2313*(1-tax)/(ext_sh*(Sens!$G$2310+Sens!$H$2310)/2)</f>
        <v>0.0913204030894708</v>
      </c>
      <c r="I2323" s="17" t="n">
        <f aca="false">Sens!$I$2313*(1-tax)/(ext_sh*(Sens!$H$2310+Sens!$I$2310)/2)</f>
        <v>0.0787973654242225</v>
      </c>
      <c r="J2323" s="17" t="n">
        <f aca="false">Sens!$J$2313*(1-tax)/(ext_sh*(Sens!$I$2310+Sens!$J$2310)/2)</f>
        <v>0.0744293556339511</v>
      </c>
      <c r="K2323" s="17" t="n">
        <f aca="false">Sens!$K$2313*(1-tax)/(ext_sh*(Sens!$J$2310+Sens!$K$2310)/2)</f>
        <v>0.069709017103684</v>
      </c>
      <c r="L2323" s="17" t="n">
        <f aca="false">Sens!$L$2313*(1-tax)/(ext_sh*(Sens!$K$2310+Sens!$L$2310)/2)</f>
        <v>0.0692705493471456</v>
      </c>
      <c r="M2323" s="17" t="n">
        <f aca="false">Sens!$M$2313*(1-tax)/(ext_sh*(Sens!$L$2310+Sens!$M$2310)/2)</f>
        <v>0.0675582754783664</v>
      </c>
      <c r="N2323" s="14"/>
      <c r="O2323" s="14"/>
      <c r="P2323" s="8" t="s">
        <v>657</v>
      </c>
    </row>
    <row r="2324" customFormat="false" ht="17.15" hidden="false" customHeight="false" outlineLevel="0" collapsed="false">
      <c r="A2324" s="5" t="s">
        <v>658</v>
      </c>
      <c r="B2324" s="0" t="s">
        <v>57</v>
      </c>
      <c r="H2324" s="36" t="n">
        <f aca="false">Sens!$H$2291*1000/(mw_open*he_open+Sens!$H$2289*Sens!$H$2286)</f>
        <v>0.991949006767192</v>
      </c>
      <c r="I2324" s="36" t="n">
        <f aca="false">Sens!$I$2291*1000/(mw_open*he_open+Sens!$I$2289*Sens!$I$2286)</f>
        <v>0.991949006767191</v>
      </c>
      <c r="J2324" s="36" t="n">
        <f aca="false">Sens!$J$2291*1000/(mw_open*he_open+Sens!$J$2289*Sens!$J$2286)</f>
        <v>0.991949006767191</v>
      </c>
      <c r="K2324" s="36" t="n">
        <f aca="false">Sens!$K$2291*1000/(mw_open*he_open+Sens!$K$2289*Sens!$K$2286)</f>
        <v>0.991949006767191</v>
      </c>
      <c r="L2324" s="36" t="n">
        <f aca="false">Sens!$L$2291*1000/(mw_open*he_open+Sens!$L$2289*Sens!$L$2286)</f>
        <v>0.991949006767191</v>
      </c>
      <c r="M2324" s="36" t="n">
        <f aca="false">Sens!$M$2291*1000/(mw_open*he_open+Sens!$M$2289*Sens!$M$2286)</f>
        <v>0.991949006767191</v>
      </c>
    </row>
    <row r="2325" customFormat="false" ht="17.15" hidden="false" customHeight="false" outlineLevel="0" collapsed="false">
      <c r="A2325" s="5" t="s">
        <v>659</v>
      </c>
      <c r="B2325" s="0" t="s">
        <v>57</v>
      </c>
      <c r="H2325" s="36" t="n">
        <f aca="false">Sens!$H$2324*(Sens!$H$2291+wacc*ext_sh*(Sens!$G$2310+Sens!$H$2310)/2/(1-tax)-Sens!$H$2313)/Sens!$H$2291</f>
        <v>1.08829258815354</v>
      </c>
      <c r="I2325" s="36" t="n">
        <f aca="false">Sens!$I$2324*(Sens!$I$2291+wacc*ext_sh*(Sens!$H$2310+Sens!$I$2310)/2/(1-tax)-Sens!$I$2313)/Sens!$I$2291</f>
        <v>1.13621719344432</v>
      </c>
      <c r="J2325" s="36" t="n">
        <f aca="false">Sens!$J$2324*(Sens!$J$2291+wacc*ext_sh*(Sens!$I$2310+Sens!$J$2310)/2/(1-tax)-Sens!$J$2313)/Sens!$J$2291</f>
        <v>1.14510403023959</v>
      </c>
      <c r="K2325" s="36" t="n">
        <f aca="false">Sens!$K$2324*(Sens!$K$2291+wacc*ext_sh*(Sens!$J$2310+Sens!$K$2310)/2/(1-tax)-Sens!$K$2313)/Sens!$K$2291</f>
        <v>1.1506366113156</v>
      </c>
      <c r="L2325" s="36" t="n">
        <f aca="false">Sens!$L$2324*(Sens!$L$2291+wacc*ext_sh*(Sens!$K$2310+Sens!$L$2310)/2/(1-tax)-Sens!$L$2313)/Sens!$L$2291</f>
        <v>1.13856998086484</v>
      </c>
      <c r="M2325" s="36" t="n">
        <f aca="false">Sens!$M$2324*(Sens!$M$2291+wacc*ext_sh*(Sens!$L$2310+Sens!$M$2310)/2/(1-tax)-Sens!$M$2313)/Sens!$M$2291</f>
        <v>1.13471962392574</v>
      </c>
    </row>
    <row r="2326" customFormat="false" ht="17.15" hidden="false" customHeight="false" outlineLevel="0" collapsed="false">
      <c r="A2326" s="5" t="s">
        <v>660</v>
      </c>
      <c r="B2326" s="0" t="s">
        <v>52</v>
      </c>
      <c r="C2326" s="13" t="n">
        <f aca="false">Sens!$C$2292/tk_pq</f>
        <v>0.195316432429398</v>
      </c>
      <c r="D2326" s="13" t="n">
        <f aca="false">Sens!$D$2292/tk_pq</f>
        <v>0.195316432429398</v>
      </c>
      <c r="E2326" s="13" t="n">
        <f aca="false">Sens!$E$2292/tk_pq</f>
        <v>0.195316432429398</v>
      </c>
      <c r="F2326" s="13" t="n">
        <f aca="false">Sens!$F$2292/tk_pq</f>
        <v>0.19229611621718</v>
      </c>
      <c r="G2326" s="13" t="n">
        <f aca="false">Sens!$G$2292/tk_pq</f>
        <v>0.193415558688553</v>
      </c>
      <c r="H2326" s="13" t="n">
        <f aca="false">Sens!$H$2292/tk_pq</f>
        <v>0.191841547329368</v>
      </c>
      <c r="I2326" s="13" t="n">
        <f aca="false">Sens!$I$2292/tk_pq</f>
        <v>0.193849442336292</v>
      </c>
      <c r="J2326" s="13" t="n">
        <f aca="false">Sens!$J$2292/tk_pq</f>
        <v>0.195019275285086</v>
      </c>
      <c r="K2326" s="13" t="n">
        <f aca="false">Sens!$K$2292/tk_pq</f>
        <v>0.195569356925909</v>
      </c>
      <c r="L2326" s="13" t="n">
        <f aca="false">Sens!$L$2292/tk_pq</f>
        <v>0.19582683495275</v>
      </c>
      <c r="M2326" s="13" t="n">
        <f aca="false">Sens!$M$2292/tk_pq</f>
        <v>0.195896804044159</v>
      </c>
      <c r="N2326" s="13" t="n">
        <f aca="false">Sens!$N$2292/tk_pq</f>
        <v>0.195316432429398</v>
      </c>
      <c r="O2326" s="13" t="n">
        <f aca="false">Sens!$O$2292/tk_pq</f>
        <v>0.195316432429398</v>
      </c>
      <c r="P2326" s="5" t="s">
        <v>661</v>
      </c>
    </row>
    <row r="2329" customFormat="false" ht="17.15" hidden="false" customHeight="false" outlineLevel="0" collapsed="false">
      <c r="A2329" s="1" t="s">
        <v>690</v>
      </c>
    </row>
    <row r="2330" customFormat="false" ht="17.15" hidden="false" customHeight="false" outlineLevel="0" collapsed="false">
      <c r="A2330" s="0" t="s">
        <v>691</v>
      </c>
      <c r="B2330" s="0" t="s">
        <v>86</v>
      </c>
      <c r="C2330" s="38" t="n">
        <f aca="false">Sens!$C$2291</f>
        <v>2.32100535697364</v>
      </c>
      <c r="D2330" s="38" t="n">
        <f aca="false">Sens!$D$2291</f>
        <v>8.70377008865116</v>
      </c>
      <c r="E2330" s="38" t="n">
        <f aca="false">Sens!$E$2291</f>
        <v>8.51035297557002</v>
      </c>
      <c r="F2330" s="38" t="n">
        <f aca="false">Sens!$F$2291</f>
        <v>14.2275720800453</v>
      </c>
      <c r="G2330" s="38" t="n">
        <f aca="false">Sens!$G$2291</f>
        <v>22.7379250556153</v>
      </c>
      <c r="H2330" s="38" t="n">
        <f aca="false">Sens!$H$2291</f>
        <v>54.278998232373</v>
      </c>
      <c r="I2330" s="38" t="n">
        <f aca="false">Sens!$I$2291</f>
        <v>89.7299141016288</v>
      </c>
      <c r="J2330" s="38" t="n">
        <f aca="false">Sens!$J$2291</f>
        <v>125.364729599073</v>
      </c>
      <c r="K2330" s="38" t="n">
        <f aca="false">Sens!$K$2291</f>
        <v>155.761832374673</v>
      </c>
      <c r="L2330" s="38" t="n">
        <f aca="false">Sens!$L$2291</f>
        <v>175.738767459787</v>
      </c>
      <c r="M2330" s="38" t="n">
        <f aca="false">Sens!$M$2291</f>
        <v>185.265624814353</v>
      </c>
      <c r="N2330" s="38" t="n">
        <f aca="false">Sens!$N$2291</f>
        <v>3.04631953102791</v>
      </c>
      <c r="O2330" s="38" t="n">
        <f aca="false">Sens!$O$2291</f>
        <v>5.65745055762326</v>
      </c>
      <c r="P2330" s="8" t="s">
        <v>692</v>
      </c>
    </row>
    <row r="2331" customFormat="false" ht="17.15" hidden="false" customHeight="false" outlineLevel="0" collapsed="false">
      <c r="A2331" s="0" t="s">
        <v>693</v>
      </c>
      <c r="B2331" s="0" t="s">
        <v>86</v>
      </c>
      <c r="C2331" s="38" t="n">
        <f aca="false">Sens!$C$2295</f>
        <v>105.234994643026</v>
      </c>
      <c r="D2331" s="38" t="n">
        <f aca="false">Sens!$D$2295</f>
        <v>120.021229911349</v>
      </c>
      <c r="E2331" s="38" t="n">
        <f aca="false">Sens!$E$2295</f>
        <v>71.30864702443</v>
      </c>
      <c r="F2331" s="38" t="n">
        <f aca="false">Sens!$F$2295</f>
        <v>71.7692997942464</v>
      </c>
      <c r="G2331" s="38" t="n">
        <f aca="false">Sens!$G$2295</f>
        <v>143.077946818676</v>
      </c>
      <c r="H2331" s="38" t="n">
        <f aca="false">Sens!$H$2295</f>
        <v>161.017077079203</v>
      </c>
      <c r="I2331" s="38" t="n">
        <f aca="false">Sens!$I$2295</f>
        <v>178.769759521457</v>
      </c>
      <c r="J2331" s="38" t="n">
        <f aca="false">Sens!$J$2295</f>
        <v>195.775538045907</v>
      </c>
      <c r="K2331" s="38" t="n">
        <f aca="false">Sens!$K$2295</f>
        <v>211.43758108958</v>
      </c>
      <c r="L2331" s="38" t="n">
        <f aca="false">Sens!$L$2295</f>
        <v>228.352587576746</v>
      </c>
      <c r="M2331" s="38" t="n">
        <f aca="false">Sens!$M$2295</f>
        <v>246.620794582886</v>
      </c>
      <c r="N2331" s="38" t="n">
        <f aca="false">Sens!$N$2295</f>
        <v>57.0936804689721</v>
      </c>
      <c r="O2331" s="38" t="n">
        <f aca="false">Sens!$O$2295</f>
        <v>62.9275494423768</v>
      </c>
      <c r="P2331" s="8" t="s">
        <v>692</v>
      </c>
    </row>
    <row r="2332" customFormat="false" ht="17.15" hidden="false" customHeight="false" outlineLevel="0" collapsed="false">
      <c r="A2332" s="1" t="s">
        <v>516</v>
      </c>
      <c r="B2332" s="8" t="s">
        <v>86</v>
      </c>
      <c r="C2332" s="38" t="n">
        <f aca="false">Q!$D$7</f>
        <v>107.556</v>
      </c>
      <c r="D2332" s="38" t="n">
        <f aca="false">Q!$E$7</f>
        <v>128.725</v>
      </c>
      <c r="E2332" s="38" t="n">
        <f aca="false">Q!$P$7</f>
        <v>79.819</v>
      </c>
      <c r="F2332" s="38" t="n">
        <f aca="false">Sens!$F$2330+Sens!$F$2331</f>
        <v>85.9968718742916</v>
      </c>
      <c r="G2332" s="38" t="n">
        <f aca="false">Sens!$G$2330+Sens!$G$2331</f>
        <v>165.815871874292</v>
      </c>
      <c r="H2332" s="38" t="n">
        <f aca="false">Sens!$H$2330+Sens!$H$2331</f>
        <v>215.296075311576</v>
      </c>
      <c r="I2332" s="38" t="n">
        <f aca="false">Sens!$I$2330+Sens!$I$2331</f>
        <v>268.499673623086</v>
      </c>
      <c r="J2332" s="38" t="n">
        <f aca="false">Sens!$J$2330+Sens!$J$2331</f>
        <v>321.140267644981</v>
      </c>
      <c r="K2332" s="38" t="n">
        <f aca="false">Sens!$K$2330+Sens!$K$2331</f>
        <v>367.199413464253</v>
      </c>
      <c r="L2332" s="38" t="n">
        <f aca="false">Sens!$L$2330+Sens!$L$2331</f>
        <v>404.091355036533</v>
      </c>
      <c r="M2332" s="38" t="n">
        <f aca="false">Sens!$M$2330+Sens!$M$2331</f>
        <v>431.886419397239</v>
      </c>
      <c r="N2332" s="38" t="n">
        <f aca="false">Q!$N$7</f>
        <v>60.14</v>
      </c>
      <c r="O2332" s="38" t="n">
        <f aca="false">Q!$O$7</f>
        <v>68.585</v>
      </c>
      <c r="P2332" s="5" t="s">
        <v>694</v>
      </c>
    </row>
    <row r="2333" customFormat="false" ht="15" hidden="false" customHeight="false" outlineLevel="0" collapsed="false">
      <c r="A2333" s="3" t="s">
        <v>695</v>
      </c>
      <c r="B2333" s="8" t="s">
        <v>86</v>
      </c>
      <c r="C2333" s="38" t="n">
        <f aca="false">Q!$D$8</f>
        <v>637.959</v>
      </c>
      <c r="D2333" s="38" t="n">
        <f aca="false">Q!$E$8</f>
        <v>716.924</v>
      </c>
      <c r="E2333" s="38" t="n">
        <f aca="false">Q!$P$8</f>
        <v>382.125</v>
      </c>
      <c r="F2333" s="38" t="n">
        <f aca="false">Sens!$F$2263+Sens!$F$2332</f>
        <v>435.045113519829</v>
      </c>
      <c r="G2333" s="38" t="n">
        <f aca="false">Sens!$G$2263+Sens!$G$2332</f>
        <v>817.170113519829</v>
      </c>
      <c r="H2333" s="38" t="n">
        <f aca="false">Sens!$H$2263+Sens!$H$2332</f>
        <v>936.392964832962</v>
      </c>
      <c r="I2333" s="38" t="n">
        <f aca="false">Sens!$I$2263+Sens!$I$2332</f>
        <v>1057.02906477562</v>
      </c>
      <c r="J2333" s="38" t="n">
        <f aca="false">Sens!$J$2263+Sens!$J$2332</f>
        <v>1172.24867338642</v>
      </c>
      <c r="K2333" s="38" t="n">
        <f aca="false">Sens!$K$2263+Sens!$K$2332</f>
        <v>1273.37586889534</v>
      </c>
      <c r="L2333" s="38" t="n">
        <f aca="false">Sens!$L$2263+Sens!$L$2332</f>
        <v>1369.18446151212</v>
      </c>
      <c r="M2333" s="38" t="n">
        <f aca="false">Sens!$M$2263+Sens!$M$2332</f>
        <v>1460.03432734413</v>
      </c>
      <c r="N2333" s="38" t="n">
        <f aca="false">Q!$N$8</f>
        <v>323.369</v>
      </c>
      <c r="O2333" s="38" t="n">
        <f aca="false">Q!$O$8</f>
        <v>393.555</v>
      </c>
    </row>
    <row r="2334" customFormat="false" ht="17.15" hidden="false" customHeight="false" outlineLevel="0" collapsed="false">
      <c r="A2334" s="24" t="s">
        <v>703</v>
      </c>
      <c r="B2334" s="25" t="s">
        <v>86</v>
      </c>
      <c r="C2334" s="41" t="n">
        <f aca="false">Sens!$C$2263-(Sens!$C$2265+Sens!$C$2266)</f>
        <v>0</v>
      </c>
      <c r="D2334" s="41" t="n">
        <f aca="false">Sens!$D$2263-(Sens!$D$2265+Sens!$D$2266)</f>
        <v>0</v>
      </c>
      <c r="E2334" s="41" t="n">
        <f aca="false">Sens!$E$2263-(Sens!$E$2265+Sens!$E$2266)</f>
        <v>0</v>
      </c>
      <c r="F2334" s="41" t="n">
        <f aca="false">Sens!$F$2263-(Sens!$F$2265+Sens!$F$2266)</f>
        <v>0</v>
      </c>
      <c r="G2334" s="41" t="n">
        <f aca="false">Sens!$G$2263-(Sens!$G$2265+Sens!$G$2266)</f>
        <v>0</v>
      </c>
      <c r="H2334" s="41" t="n">
        <f aca="false">Sens!$H$2263-(Sens!$H$2265+Sens!$H$2266)</f>
        <v>0</v>
      </c>
      <c r="I2334" s="41" t="n">
        <f aca="false">Sens!$I$2263-(Sens!$I$2265+Sens!$I$2266)</f>
        <v>0</v>
      </c>
      <c r="J2334" s="41" t="n">
        <f aca="false">Sens!$J$2263-(Sens!$J$2265+Sens!$J$2266)</f>
        <v>0</v>
      </c>
      <c r="K2334" s="41" t="n">
        <f aca="false">Sens!$K$2263-(Sens!$K$2265+Sens!$K$2266)</f>
        <v>0</v>
      </c>
      <c r="L2334" s="41" t="n">
        <f aca="false">Sens!$L$2263-(Sens!$L$2265+Sens!$L$2266)</f>
        <v>0</v>
      </c>
      <c r="M2334" s="41" t="n">
        <f aca="false">Sens!$M$2263-(Sens!$M$2265+Sens!$M$2266)</f>
        <v>0</v>
      </c>
      <c r="N2334" s="41" t="n">
        <f aca="false">Sens!$N$2263-(Sens!$N$2265+Sens!$N$2266)</f>
        <v>0</v>
      </c>
      <c r="O2334" s="41" t="n">
        <f aca="false">Sens!$O$2263-(Sens!$O$2265+Sens!$O$2266)</f>
        <v>0</v>
      </c>
    </row>
    <row r="2335" customFormat="false" ht="17.15" hidden="false" customHeight="false" outlineLevel="0" collapsed="false">
      <c r="A2335" s="24" t="s">
        <v>704</v>
      </c>
      <c r="B2335" s="25" t="s">
        <v>86</v>
      </c>
      <c r="C2335" s="41" t="n">
        <f aca="false">Sens!$C$2330+Sens!$C$2331-Sens!$C$2332</f>
        <v>0</v>
      </c>
      <c r="D2335" s="41" t="n">
        <f aca="false">Sens!$D$2330+Sens!$D$2331-Sens!$D$2332</f>
        <v>0</v>
      </c>
      <c r="E2335" s="41" t="n">
        <f aca="false">Sens!$E$2330+Sens!$E$2331-Sens!$E$2332</f>
        <v>0</v>
      </c>
      <c r="F2335" s="41" t="n">
        <f aca="false">Sens!$F$2330+Sens!$F$2331-Sens!$F$2332</f>
        <v>0</v>
      </c>
      <c r="G2335" s="41" t="n">
        <f aca="false">Sens!$G$2330+Sens!$G$2331-Sens!$G$2332</f>
        <v>0</v>
      </c>
      <c r="H2335" s="41" t="n">
        <f aca="false">Sens!$H$2330+Sens!$H$2331-Sens!$H$2332</f>
        <v>0</v>
      </c>
      <c r="I2335" s="41" t="n">
        <f aca="false">Sens!$I$2330+Sens!$I$2331-Sens!$I$2332</f>
        <v>0</v>
      </c>
      <c r="J2335" s="41" t="n">
        <f aca="false">Sens!$J$2330+Sens!$J$2331-Sens!$J$2332</f>
        <v>0</v>
      </c>
      <c r="K2335" s="41" t="n">
        <f aca="false">Sens!$K$2330+Sens!$K$2331-Sens!$K$2332</f>
        <v>0</v>
      </c>
      <c r="L2335" s="41" t="n">
        <f aca="false">Sens!$L$2330+Sens!$L$2331-Sens!$L$2332</f>
        <v>0</v>
      </c>
      <c r="M2335" s="41" t="n">
        <f aca="false">Sens!$M$2330+Sens!$M$2331-Sens!$M$2332</f>
        <v>0</v>
      </c>
      <c r="N2335" s="41" t="n">
        <f aca="false">Sens!$N$2330+Sens!$N$2331-Sens!$N$2332</f>
        <v>0</v>
      </c>
      <c r="O2335" s="41" t="n">
        <f aca="false">Sens!$O$2330+Sens!$O$2331-Sens!$O$2332</f>
        <v>0</v>
      </c>
    </row>
    <row r="2336" customFormat="false" ht="17.15" hidden="false" customHeight="false" outlineLevel="0" collapsed="false">
      <c r="A2336" s="24" t="s">
        <v>705</v>
      </c>
      <c r="B2336" s="25" t="s">
        <v>86</v>
      </c>
      <c r="C2336" s="41" t="n">
        <f aca="false">Sens!$C$2265+Sens!$C$2266+Sens!$C$2332-Sens!$C$2333</f>
        <v>0</v>
      </c>
      <c r="D2336" s="41" t="n">
        <f aca="false">Sens!$D$2265+Sens!$D$2266+Sens!$D$2332-Sens!$D$2333</f>
        <v>0</v>
      </c>
      <c r="E2336" s="41" t="n">
        <f aca="false">Sens!$E$2265+Sens!$E$2266+Sens!$E$2332-Sens!$E$2333</f>
        <v>0</v>
      </c>
      <c r="F2336" s="41" t="n">
        <f aca="false">Sens!$F$2265+Sens!$F$2266+Sens!$F$2332-Sens!$F$2333</f>
        <v>0</v>
      </c>
      <c r="G2336" s="41" t="n">
        <f aca="false">Sens!$G$2265+Sens!$G$2266+Sens!$G$2332-Sens!$G$2333</f>
        <v>0</v>
      </c>
      <c r="H2336" s="41" t="n">
        <f aca="false">Sens!$H$2265+Sens!$H$2266+Sens!$H$2332-Sens!$H$2333</f>
        <v>0</v>
      </c>
      <c r="I2336" s="41" t="n">
        <f aca="false">Sens!$I$2265+Sens!$I$2266+Sens!$I$2332-Sens!$I$2333</f>
        <v>0</v>
      </c>
      <c r="J2336" s="41" t="n">
        <f aca="false">Sens!$J$2265+Sens!$J$2266+Sens!$J$2332-Sens!$J$2333</f>
        <v>0</v>
      </c>
      <c r="K2336" s="41" t="n">
        <f aca="false">Sens!$K$2265+Sens!$K$2266+Sens!$K$2332-Sens!$K$2333</f>
        <v>0</v>
      </c>
      <c r="L2336" s="41" t="n">
        <f aca="false">Sens!$L$2265+Sens!$L$2266+Sens!$L$2332-Sens!$L$2333</f>
        <v>0</v>
      </c>
      <c r="M2336" s="41" t="n">
        <f aca="false">Sens!$M$2265+Sens!$M$2266+Sens!$M$2332-Sens!$M$2333</f>
        <v>0</v>
      </c>
      <c r="N2336" s="41" t="n">
        <f aca="false">Sens!$N$2265+Sens!$N$2266+Sens!$N$2332-Sens!$N$2333</f>
        <v>0</v>
      </c>
      <c r="O2336" s="41" t="n">
        <f aca="false">Sens!$O$2265+Sens!$O$2266+Sens!$O$2332-Sens!$O$2333</f>
        <v>0</v>
      </c>
    </row>
    <row r="2337" customFormat="false" ht="15" hidden="false" customHeight="false" outlineLevel="0" collapsed="false">
      <c r="A2337" s="5" t="s">
        <v>699</v>
      </c>
      <c r="B2337" s="0" t="s">
        <v>52</v>
      </c>
      <c r="G2337" s="13" t="n">
        <f aca="false">Sens!$G$2333/Sens!$D$2333-1</f>
        <v>0.139828089894924</v>
      </c>
      <c r="H2337" s="13" t="n">
        <f aca="false">Sens!$H$2333/Sens!$G$2333-1</f>
        <v>0.14589722426289</v>
      </c>
      <c r="I2337" s="13" t="n">
        <f aca="false">Sens!$I$2333/Sens!$H$2333-1</f>
        <v>0.128830634651527</v>
      </c>
      <c r="J2337" s="13" t="n">
        <f aca="false">Sens!$J$2333/Sens!$I$2333-1</f>
        <v>0.109003254924938</v>
      </c>
      <c r="K2337" s="13" t="n">
        <f aca="false">Sens!$K$2333/Sens!$J$2333-1</f>
        <v>0.086267698829446</v>
      </c>
      <c r="L2337" s="13" t="n">
        <f aca="false">Sens!$L$2333/Sens!$K$2333-1</f>
        <v>0.0752398368440079</v>
      </c>
      <c r="M2337" s="13" t="n">
        <f aca="false">Sens!$M$2333/Sens!$L$2333-1</f>
        <v>0.0663532696914106</v>
      </c>
    </row>
    <row r="2338" customFormat="false" ht="17.15" hidden="false" customHeight="false" outlineLevel="0" collapsed="false">
      <c r="A2338" s="0" t="s">
        <v>700</v>
      </c>
      <c r="B2338" s="0" t="s">
        <v>52</v>
      </c>
      <c r="C2338" s="13" t="n">
        <f aca="false">Sens!$C$2332/Sens!$C$2333</f>
        <v>0.168593906504964</v>
      </c>
      <c r="D2338" s="13" t="n">
        <f aca="false">Sens!$D$2332/Sens!$D$2333</f>
        <v>0.179551807444025</v>
      </c>
      <c r="E2338" s="13" t="n">
        <f aca="false">Sens!$E$2332/Sens!$E$2333</f>
        <v>0.208881910369643</v>
      </c>
      <c r="F2338" s="13" t="n">
        <f aca="false">Sens!$F$2332/Sens!$F$2333</f>
        <v>0.197673457767437</v>
      </c>
      <c r="G2338" s="13" t="n">
        <f aca="false">Sens!$G$2332/Sens!$G$2333</f>
        <v>0.202914753159616</v>
      </c>
      <c r="H2338" s="13" t="n">
        <f aca="false">Sens!$H$2332/Sens!$H$2333</f>
        <v>0.22992064592239</v>
      </c>
      <c r="I2338" s="13" t="n">
        <f aca="false">Sens!$I$2332/Sens!$I$2333</f>
        <v>0.254013520129726</v>
      </c>
      <c r="J2338" s="13" t="n">
        <f aca="false">Sens!$J$2332/Sens!$J$2333</f>
        <v>0.273952340434101</v>
      </c>
      <c r="K2338" s="13" t="n">
        <f aca="false">Sens!$K$2332/Sens!$K$2333</f>
        <v>0.28836686985658</v>
      </c>
      <c r="L2338" s="13" t="n">
        <f aca="false">Sens!$L$2332/Sens!$L$2333</f>
        <v>0.295132881211825</v>
      </c>
      <c r="M2338" s="13" t="n">
        <f aca="false">Sens!$M$2332/Sens!$M$2333</f>
        <v>0.295805661078436</v>
      </c>
      <c r="N2338" s="13" t="n">
        <f aca="false">Sens!$N$2332/Sens!$N$2333</f>
        <v>0.185979484737251</v>
      </c>
      <c r="O2338" s="13" t="n">
        <f aca="false">Sens!$O$2332/Sens!$O$2333</f>
        <v>0.174270432341096</v>
      </c>
    </row>
    <row r="2339" customFormat="false" ht="17.15" hidden="false" customHeight="false" outlineLevel="0" collapsed="false">
      <c r="A2339" s="0" t="s">
        <v>701</v>
      </c>
      <c r="B2339" s="0" t="s">
        <v>52</v>
      </c>
      <c r="C2339" s="13" t="n">
        <f aca="false">Sens!$C$2330/Sens!$C$2332</f>
        <v>0.0215795060896058</v>
      </c>
      <c r="D2339" s="13" t="n">
        <f aca="false">Sens!$D$2330/Sens!$D$2332</f>
        <v>0.0676152269462122</v>
      </c>
      <c r="E2339" s="13" t="n">
        <f aca="false">Sens!$E$2330/Sens!$E$2332</f>
        <v>0.106620641395783</v>
      </c>
      <c r="F2339" s="13" t="n">
        <f aca="false">Sens!$F$2330/Sens!$F$2332</f>
        <v>0.165442902398157</v>
      </c>
      <c r="G2339" s="13" t="n">
        <f aca="false">Sens!$G$2330/Sens!$G$2332</f>
        <v>0.137127554790734</v>
      </c>
      <c r="H2339" s="13" t="n">
        <f aca="false">Sens!$H$2330/Sens!$H$2332</f>
        <v>0.252113273099942</v>
      </c>
      <c r="I2339" s="13" t="n">
        <f aca="false">Sens!$I$2330/Sens!$I$2332</f>
        <v>0.334190030441488</v>
      </c>
      <c r="J2339" s="13" t="n">
        <f aca="false">Sens!$J$2330/Sens!$J$2332</f>
        <v>0.390373747018433</v>
      </c>
      <c r="K2339" s="13" t="n">
        <f aca="false">Sens!$K$2330/Sens!$K$2332</f>
        <v>0.424188674227925</v>
      </c>
      <c r="L2339" s="13" t="n">
        <f aca="false">Sens!$L$2330/Sens!$L$2332</f>
        <v>0.434898607132783</v>
      </c>
      <c r="M2339" s="13" t="n">
        <f aca="false">Sens!$M$2330/Sens!$M$2332</f>
        <v>0.428968396535641</v>
      </c>
      <c r="N2339" s="13" t="n">
        <f aca="false">Sens!$N$2330/Sens!$N$2332</f>
        <v>0.0506537999838362</v>
      </c>
      <c r="O2339" s="13" t="n">
        <f aca="false">Sens!$O$2330/Sens!$O$2332</f>
        <v>0.0824881615167056</v>
      </c>
    </row>
    <row r="2342" customFormat="false" ht="19.4" hidden="false" customHeight="false" outlineLevel="0" collapsed="false">
      <c r="A2342" s="31" t="s">
        <v>1182</v>
      </c>
    </row>
    <row r="2343" customFormat="false" ht="17.15" hidden="false" customHeight="false" outlineLevel="0" collapsed="false">
      <c r="A2343" s="6" t="s">
        <v>16</v>
      </c>
      <c r="B2343" s="6" t="s">
        <v>17</v>
      </c>
      <c r="C2343" s="20" t="s">
        <v>497</v>
      </c>
      <c r="D2343" s="20" t="s">
        <v>498</v>
      </c>
      <c r="E2343" s="20" t="s">
        <v>580</v>
      </c>
      <c r="F2343" s="20" t="s">
        <v>581</v>
      </c>
      <c r="G2343" s="20" t="s">
        <v>582</v>
      </c>
      <c r="H2343" s="20" t="s">
        <v>583</v>
      </c>
      <c r="I2343" s="20" t="s">
        <v>584</v>
      </c>
      <c r="J2343" s="20" t="s">
        <v>585</v>
      </c>
      <c r="K2343" s="20" t="s">
        <v>586</v>
      </c>
      <c r="L2343" s="20" t="s">
        <v>587</v>
      </c>
      <c r="M2343" s="20" t="s">
        <v>588</v>
      </c>
      <c r="N2343" s="20" t="s">
        <v>589</v>
      </c>
      <c r="O2343" s="20" t="s">
        <v>590</v>
      </c>
      <c r="P2343" s="6" t="s">
        <v>23</v>
      </c>
      <c r="R2343" s="20" t="n">
        <v>2023</v>
      </c>
      <c r="S2343" s="20" t="n">
        <v>2024</v>
      </c>
      <c r="T2343" s="20" t="n">
        <v>2025</v>
      </c>
      <c r="U2343" s="20" t="n">
        <v>2026</v>
      </c>
      <c r="V2343" s="20" t="n">
        <v>2027</v>
      </c>
      <c r="W2343" s="20" t="n">
        <v>2028</v>
      </c>
      <c r="X2343" s="20" t="n">
        <v>2029</v>
      </c>
      <c r="Y2343" s="20" t="n">
        <v>2030</v>
      </c>
      <c r="Z2343" s="20" t="n">
        <v>2031</v>
      </c>
      <c r="AA2343" s="20" t="n">
        <v>2032</v>
      </c>
    </row>
    <row r="2344" customFormat="false" ht="17.15" hidden="false" customHeight="false" outlineLevel="0" collapsed="false">
      <c r="A2344" s="1" t="s">
        <v>716</v>
      </c>
    </row>
    <row r="2345" customFormat="false" ht="15" hidden="false" customHeight="false" outlineLevel="0" collapsed="false">
      <c r="A2345" s="0" t="s">
        <v>519</v>
      </c>
      <c r="B2345" s="0" t="s">
        <v>86</v>
      </c>
      <c r="C2345" s="38" t="n">
        <f aca="false">Sens!$C$2250</f>
        <v>247.029</v>
      </c>
      <c r="D2345" s="38" t="n">
        <f aca="false">Sens!$D$2250</f>
        <v>269.287</v>
      </c>
      <c r="E2345" s="38" t="n">
        <f aca="false">Sens!$E$2250</f>
        <v>134.686</v>
      </c>
      <c r="F2345" s="38" t="n">
        <f aca="false">Sens!$F$2250</f>
        <v>158.293876822267</v>
      </c>
      <c r="G2345" s="38" t="n">
        <f aca="false">Sens!$G$2250</f>
        <v>292.979876822267</v>
      </c>
      <c r="H2345" s="38" t="n">
        <f aca="false">Sens!$H$2250</f>
        <v>318.184543087396</v>
      </c>
      <c r="I2345" s="38" t="n">
        <f aca="false">Sens!$I$2250</f>
        <v>341.736278761793</v>
      </c>
      <c r="J2345" s="38" t="n">
        <f aca="false">Sens!$J$2250</f>
        <v>362.927192787048</v>
      </c>
      <c r="K2345" s="38" t="n">
        <f aca="false">Sens!$K$2250</f>
        <v>381.0735524264</v>
      </c>
      <c r="L2345" s="38" t="n">
        <f aca="false">Sens!$L$2250</f>
        <v>400.12723004772</v>
      </c>
      <c r="M2345" s="38" t="n">
        <f aca="false">Sens!$M$2250</f>
        <v>420.133591550106</v>
      </c>
      <c r="N2345" s="38" t="n">
        <f aca="false">Sens!$N$2250</f>
        <v>118.892</v>
      </c>
      <c r="O2345" s="38" t="n">
        <f aca="false">Sens!$O$2250</f>
        <v>150.395</v>
      </c>
    </row>
    <row r="2346" customFormat="false" ht="15" hidden="false" customHeight="false" outlineLevel="0" collapsed="false">
      <c r="A2346" s="0" t="s">
        <v>520</v>
      </c>
      <c r="B2346" s="0" t="s">
        <v>86</v>
      </c>
      <c r="C2346" s="38" t="n">
        <f aca="false">Sens!$C$2252</f>
        <v>21.215</v>
      </c>
      <c r="D2346" s="38" t="n">
        <f aca="false">Sens!$D$2252</f>
        <v>22.561</v>
      </c>
      <c r="E2346" s="38" t="n">
        <f aca="false">Sens!$E$2252</f>
        <v>11.579</v>
      </c>
      <c r="F2346" s="38" t="n">
        <f aca="false">Sens!$F$2252</f>
        <v>11.5938724610325</v>
      </c>
      <c r="G2346" s="38" t="n">
        <f aca="false">Sens!$G$2252</f>
        <v>23.1728724610325</v>
      </c>
      <c r="H2346" s="38" t="n">
        <f aca="false">Sens!$H$2252</f>
        <v>24.353392759506</v>
      </c>
      <c r="I2346" s="38" t="n">
        <f aca="false">Sens!$I$2252</f>
        <v>25.4240338872015</v>
      </c>
      <c r="J2346" s="38" t="n">
        <f aca="false">Sens!$J$2252</f>
        <v>26.3642491017174</v>
      </c>
      <c r="K2346" s="38" t="n">
        <f aca="false">Sens!$K$2252</f>
        <v>27.155176574769</v>
      </c>
      <c r="L2346" s="38" t="n">
        <f aca="false">Sens!$L$2252</f>
        <v>27.969831872012</v>
      </c>
      <c r="M2346" s="38" t="n">
        <f aca="false">Sens!$M$2252</f>
        <v>28.8089268281724</v>
      </c>
      <c r="N2346" s="38" t="n">
        <f aca="false">Sens!$N$2252</f>
        <v>11.128</v>
      </c>
      <c r="O2346" s="38" t="n">
        <f aca="false">Sens!$O$2252</f>
        <v>11.433</v>
      </c>
    </row>
    <row r="2347" customFormat="false" ht="15" hidden="false" customHeight="false" outlineLevel="0" collapsed="false">
      <c r="A2347" s="0" t="s">
        <v>521</v>
      </c>
      <c r="B2347" s="0" t="s">
        <v>86</v>
      </c>
      <c r="C2347" s="38" t="n">
        <f aca="false">Sens!$C$2254</f>
        <v>156.146</v>
      </c>
      <c r="D2347" s="38" t="n">
        <f aca="false">Sens!$D$2254</f>
        <v>172.162</v>
      </c>
      <c r="E2347" s="38" t="n">
        <f aca="false">Sens!$E$2254</f>
        <v>88.358</v>
      </c>
      <c r="F2347" s="38" t="n">
        <f aca="false">Sens!$F$2254</f>
        <v>102.004388260171</v>
      </c>
      <c r="G2347" s="38" t="n">
        <f aca="false">Sens!$G$2254</f>
        <v>190.362388260171</v>
      </c>
      <c r="H2347" s="38" t="n">
        <f aca="false">Sens!$H$2254</f>
        <v>210.343106588311</v>
      </c>
      <c r="I2347" s="38" t="n">
        <f aca="false">Sens!$I$2254</f>
        <v>229.969728494648</v>
      </c>
      <c r="J2347" s="38" t="n">
        <f aca="false">Sens!$J$2254</f>
        <v>248.747636972598</v>
      </c>
      <c r="K2347" s="38" t="n">
        <f aca="false">Sens!$K$2254</f>
        <v>266.15997156068</v>
      </c>
      <c r="L2347" s="38" t="n">
        <f aca="false">Sens!$L$2254</f>
        <v>284.791169569927</v>
      </c>
      <c r="M2347" s="38" t="n">
        <f aca="false">Sens!$M$2254</f>
        <v>304.726551439822</v>
      </c>
      <c r="N2347" s="38" t="n">
        <f aca="false">Sens!$N$2254</f>
        <v>76.86</v>
      </c>
      <c r="O2347" s="38" t="n">
        <f aca="false">Sens!$O$2254</f>
        <v>95.302</v>
      </c>
    </row>
    <row r="2348" customFormat="false" ht="15" hidden="false" customHeight="false" outlineLevel="0" collapsed="false">
      <c r="A2348" s="0" t="s">
        <v>522</v>
      </c>
      <c r="B2348" s="0" t="s">
        <v>86</v>
      </c>
      <c r="C2348" s="38" t="n">
        <f aca="false">Sens!$C$2256</f>
        <v>56.214</v>
      </c>
      <c r="D2348" s="38" t="n">
        <f aca="false">Sens!$D$2256</f>
        <v>68.635</v>
      </c>
      <c r="E2348" s="38" t="n">
        <f aca="false">Sens!$E$2256</f>
        <v>37.052</v>
      </c>
      <c r="F2348" s="38" t="n">
        <f aca="false">Sens!$F$2256</f>
        <v>46.1572219944148</v>
      </c>
      <c r="G2348" s="38" t="n">
        <f aca="false">Sens!$G$2256</f>
        <v>83.2092219944148</v>
      </c>
      <c r="H2348" s="38" t="n">
        <f aca="false">Sens!$H$2256</f>
        <v>99.8969223878976</v>
      </c>
      <c r="I2348" s="38" t="n">
        <f aca="false">Sens!$I$2256</f>
        <v>116.583111095496</v>
      </c>
      <c r="J2348" s="38" t="n">
        <f aca="false">Sens!$J$2256</f>
        <v>132.148941941952</v>
      </c>
      <c r="K2348" s="38" t="n">
        <f aca="false">Sens!$K$2256</f>
        <v>145.363836136147</v>
      </c>
      <c r="L2348" s="38" t="n">
        <f aca="false">Sens!$L$2256</f>
        <v>159.900219749762</v>
      </c>
      <c r="M2348" s="38" t="n">
        <f aca="false">Sens!$M$2256</f>
        <v>175.890241724738</v>
      </c>
      <c r="N2348" s="38" t="n">
        <f aca="false">Sens!$N$2256</f>
        <v>29.615</v>
      </c>
      <c r="O2348" s="38" t="n">
        <f aca="false">Sens!$O$2256</f>
        <v>39.02</v>
      </c>
    </row>
    <row r="2349" customFormat="false" ht="15" hidden="false" customHeight="false" outlineLevel="0" collapsed="false">
      <c r="A2349" s="0" t="s">
        <v>523</v>
      </c>
      <c r="B2349" s="0" t="s">
        <v>86</v>
      </c>
      <c r="C2349" s="38" t="n">
        <f aca="false">Sens!$C$2258</f>
        <v>44.374</v>
      </c>
      <c r="D2349" s="38" t="n">
        <f aca="false">Sens!$D$2258</f>
        <v>49.619</v>
      </c>
      <c r="E2349" s="38" t="n">
        <f aca="false">Sens!$E$2258</f>
        <v>27.157</v>
      </c>
      <c r="F2349" s="38" t="n">
        <f aca="false">Sens!$F$2258</f>
        <v>27.7764165988154</v>
      </c>
      <c r="G2349" s="38" t="n">
        <f aca="false">Sens!$G$2258</f>
        <v>54.9334165988154</v>
      </c>
      <c r="H2349" s="38" t="n">
        <f aca="false">Sens!$H$2258</f>
        <v>61.1564112561829</v>
      </c>
      <c r="I2349" s="38" t="n">
        <f aca="false">Sens!$I$2258</f>
        <v>67.2020282103945</v>
      </c>
      <c r="J2349" s="38" t="n">
        <f aca="false">Sens!$J$2258</f>
        <v>72.8757274028885</v>
      </c>
      <c r="K2349" s="38" t="n">
        <f aca="false">Sens!$K$2258</f>
        <v>77.9770283210907</v>
      </c>
      <c r="L2349" s="38" t="n">
        <f aca="false">Sens!$L$2258</f>
        <v>83.4354203035671</v>
      </c>
      <c r="M2349" s="38" t="n">
        <f aca="false">Sens!$M$2258</f>
        <v>89.2758997248168</v>
      </c>
      <c r="N2349" s="38" t="n">
        <f aca="false">Sens!$N$2258</f>
        <v>23.923</v>
      </c>
      <c r="O2349" s="38" t="n">
        <f aca="false">Sens!$O$2258</f>
        <v>25.696</v>
      </c>
    </row>
    <row r="2350" customFormat="false" ht="15" hidden="false" customHeight="false" outlineLevel="0" collapsed="false">
      <c r="A2350" s="0" t="s">
        <v>524</v>
      </c>
      <c r="B2350" s="0" t="s">
        <v>86</v>
      </c>
      <c r="C2350" s="38" t="n">
        <f aca="false">Sens!$C$2260</f>
        <v>5.425</v>
      </c>
      <c r="D2350" s="38" t="n">
        <f aca="false">Sens!$D$2260</f>
        <v>5.935</v>
      </c>
      <c r="E2350" s="38" t="n">
        <f aca="false">Sens!$E$2260</f>
        <v>3.474</v>
      </c>
      <c r="F2350" s="38" t="n">
        <f aca="false">Sens!$F$2260</f>
        <v>3.22246550883619</v>
      </c>
      <c r="G2350" s="38" t="n">
        <f aca="false">Sens!$G$2260</f>
        <v>6.69646550883619</v>
      </c>
      <c r="H2350" s="38" t="n">
        <f aca="false">Sens!$H$2260</f>
        <v>7.16251344209196</v>
      </c>
      <c r="I2350" s="38" t="n">
        <f aca="false">Sens!$I$2260</f>
        <v>7.61421070299826</v>
      </c>
      <c r="J2350" s="38" t="n">
        <f aca="false">Sens!$J$2260</f>
        <v>8.04465753523932</v>
      </c>
      <c r="K2350" s="38" t="n">
        <f aca="false">Sens!$K$2260</f>
        <v>8.44689041200128</v>
      </c>
      <c r="L2350" s="38" t="n">
        <f aca="false">Sens!$L$2260</f>
        <v>8.86923493260135</v>
      </c>
      <c r="M2350" s="38" t="n">
        <f aca="false">Sens!$M$2260</f>
        <v>9.31269667923142</v>
      </c>
      <c r="N2350" s="38" t="n">
        <f aca="false">Sens!$N$2260</f>
        <v>2.811</v>
      </c>
      <c r="O2350" s="38" t="n">
        <f aca="false">Sens!$O$2260</f>
        <v>3.124</v>
      </c>
    </row>
    <row r="2351" customFormat="false" ht="17.15" hidden="false" customHeight="false" outlineLevel="0" collapsed="false">
      <c r="A2351" s="0" t="s">
        <v>717</v>
      </c>
      <c r="B2351" s="0" t="s">
        <v>86</v>
      </c>
      <c r="C2351" s="38" t="n">
        <f aca="false">Sens!$C$2332</f>
        <v>107.556</v>
      </c>
      <c r="D2351" s="38" t="n">
        <f aca="false">Sens!$D$2332</f>
        <v>128.725</v>
      </c>
      <c r="E2351" s="38" t="n">
        <f aca="false">Sens!$E$2332</f>
        <v>79.819</v>
      </c>
      <c r="F2351" s="38" t="n">
        <f aca="false">Sens!$F$2332</f>
        <v>85.9968718742916</v>
      </c>
      <c r="G2351" s="38" t="n">
        <f aca="false">Sens!$G$2332</f>
        <v>165.815871874292</v>
      </c>
      <c r="H2351" s="38" t="n">
        <f aca="false">Sens!$H$2332</f>
        <v>215.296075311576</v>
      </c>
      <c r="I2351" s="38" t="n">
        <f aca="false">Sens!$I$2332</f>
        <v>268.499673623086</v>
      </c>
      <c r="J2351" s="38" t="n">
        <f aca="false">Sens!$J$2332</f>
        <v>321.140267644981</v>
      </c>
      <c r="K2351" s="38" t="n">
        <f aca="false">Sens!$K$2332</f>
        <v>367.199413464253</v>
      </c>
      <c r="L2351" s="38" t="n">
        <f aca="false">Sens!$L$2332</f>
        <v>404.091355036533</v>
      </c>
      <c r="M2351" s="38" t="n">
        <f aca="false">Sens!$M$2332</f>
        <v>431.886419397239</v>
      </c>
      <c r="N2351" s="38" t="n">
        <f aca="false">Sens!$N$2332</f>
        <v>60.14</v>
      </c>
      <c r="O2351" s="38" t="n">
        <f aca="false">Sens!$O$2332</f>
        <v>68.585</v>
      </c>
    </row>
    <row r="2352" customFormat="false" ht="15" hidden="false" customHeight="false" outlineLevel="0" collapsed="false">
      <c r="A2352" s="1" t="s">
        <v>512</v>
      </c>
      <c r="B2352" s="8" t="s">
        <v>86</v>
      </c>
      <c r="C2352" s="38" t="n">
        <f aca="false">Sens!$C$2265</f>
        <v>387.497</v>
      </c>
      <c r="D2352" s="38" t="n">
        <f aca="false">Sens!$D$2265</f>
        <v>426.305</v>
      </c>
      <c r="E2352" s="38" t="n">
        <f aca="false">Sens!$E$2265</f>
        <v>220.32</v>
      </c>
      <c r="F2352" s="38" t="n">
        <f aca="false">Sens!$F$2265</f>
        <v>250.639773480586</v>
      </c>
      <c r="G2352" s="38" t="n">
        <f aca="false">Sens!$G$2265</f>
        <v>470.959773480586</v>
      </c>
      <c r="H2352" s="38" t="n">
        <f aca="false">Sens!$H$2265</f>
        <v>521.386990416437</v>
      </c>
      <c r="I2352" s="38" t="n">
        <f aca="false">Sens!$I$2265</f>
        <v>570.143862887555</v>
      </c>
      <c r="J2352" s="38" t="n">
        <f aca="false">Sens!$J$2265</f>
        <v>615.391435791933</v>
      </c>
      <c r="K2352" s="38" t="n">
        <f aca="false">Sens!$K$2265</f>
        <v>655.208227561543</v>
      </c>
      <c r="L2352" s="38" t="n">
        <f aca="false">Sens!$L$2265</f>
        <v>697.807739249767</v>
      </c>
      <c r="M2352" s="38" t="n">
        <f aca="false">Sens!$M$2265</f>
        <v>743.399328463592</v>
      </c>
      <c r="N2352" s="38" t="n">
        <f aca="false">Sens!$N$2265</f>
        <v>192.955</v>
      </c>
      <c r="O2352" s="38" t="n">
        <f aca="false">Sens!$O$2265</f>
        <v>233.35</v>
      </c>
    </row>
    <row r="2353" customFormat="false" ht="15" hidden="false" customHeight="false" outlineLevel="0" collapsed="false">
      <c r="A2353" s="1" t="s">
        <v>515</v>
      </c>
      <c r="B2353" s="8" t="s">
        <v>86</v>
      </c>
      <c r="C2353" s="38" t="n">
        <f aca="false">Sens!$C$2266</f>
        <v>142.906</v>
      </c>
      <c r="D2353" s="38" t="n">
        <f aca="false">Sens!$D$2266</f>
        <v>161.894</v>
      </c>
      <c r="E2353" s="38" t="n">
        <f aca="false">Sens!$E$2266</f>
        <v>81.986</v>
      </c>
      <c r="F2353" s="38" t="n">
        <f aca="false">Sens!$F$2266</f>
        <v>98.408468164951</v>
      </c>
      <c r="G2353" s="38" t="n">
        <f aca="false">Sens!$G$2266</f>
        <v>180.394468164951</v>
      </c>
      <c r="H2353" s="38" t="n">
        <f aca="false">Sens!$H$2266</f>
        <v>199.709899104949</v>
      </c>
      <c r="I2353" s="38" t="n">
        <f aca="false">Sens!$I$2266</f>
        <v>218.385528264976</v>
      </c>
      <c r="J2353" s="38" t="n">
        <f aca="false">Sens!$J$2266</f>
        <v>235.71696994951</v>
      </c>
      <c r="K2353" s="38" t="n">
        <f aca="false">Sens!$K$2266</f>
        <v>250.968227869545</v>
      </c>
      <c r="L2353" s="38" t="n">
        <f aca="false">Sens!$L$2266</f>
        <v>267.285367225822</v>
      </c>
      <c r="M2353" s="38" t="n">
        <f aca="false">Sens!$M$2266</f>
        <v>284.748579483295</v>
      </c>
      <c r="N2353" s="38" t="n">
        <f aca="false">Sens!$N$2266</f>
        <v>70.274</v>
      </c>
      <c r="O2353" s="38" t="n">
        <f aca="false">Sens!$O$2266</f>
        <v>91.62</v>
      </c>
    </row>
    <row r="2354" customFormat="false" ht="15" hidden="false" customHeight="false" outlineLevel="0" collapsed="false">
      <c r="A2354" s="1" t="s">
        <v>516</v>
      </c>
      <c r="B2354" s="8" t="s">
        <v>86</v>
      </c>
      <c r="C2354" s="38" t="n">
        <f aca="false">Sens!$C$2332</f>
        <v>107.556</v>
      </c>
      <c r="D2354" s="38" t="n">
        <f aca="false">Sens!$D$2332</f>
        <v>128.725</v>
      </c>
      <c r="E2354" s="38" t="n">
        <f aca="false">Sens!$E$2332</f>
        <v>79.819</v>
      </c>
      <c r="F2354" s="38" t="n">
        <f aca="false">Sens!$F$2332</f>
        <v>85.9968718742916</v>
      </c>
      <c r="G2354" s="38" t="n">
        <f aca="false">Sens!$G$2332</f>
        <v>165.815871874292</v>
      </c>
      <c r="H2354" s="38" t="n">
        <f aca="false">Sens!$H$2332</f>
        <v>215.296075311576</v>
      </c>
      <c r="I2354" s="38" t="n">
        <f aca="false">Sens!$I$2332</f>
        <v>268.499673623086</v>
      </c>
      <c r="J2354" s="38" t="n">
        <f aca="false">Sens!$J$2332</f>
        <v>321.140267644981</v>
      </c>
      <c r="K2354" s="38" t="n">
        <f aca="false">Sens!$K$2332</f>
        <v>367.199413464253</v>
      </c>
      <c r="L2354" s="38" t="n">
        <f aca="false">Sens!$L$2332</f>
        <v>404.091355036533</v>
      </c>
      <c r="M2354" s="38" t="n">
        <f aca="false">Sens!$M$2332</f>
        <v>431.886419397239</v>
      </c>
      <c r="N2354" s="38" t="n">
        <f aca="false">Sens!$N$2332</f>
        <v>60.14</v>
      </c>
      <c r="O2354" s="38" t="n">
        <f aca="false">Sens!$O$2332</f>
        <v>68.585</v>
      </c>
    </row>
    <row r="2355" customFormat="false" ht="17.15" hidden="false" customHeight="false" outlineLevel="0" collapsed="false">
      <c r="A2355" s="0" t="s">
        <v>691</v>
      </c>
      <c r="B2355" s="0" t="s">
        <v>86</v>
      </c>
      <c r="C2355" s="38" t="n">
        <f aca="false">Sens!$C$2330</f>
        <v>2.32100535697364</v>
      </c>
      <c r="D2355" s="38" t="n">
        <f aca="false">Sens!$D$2330</f>
        <v>8.70377008865116</v>
      </c>
      <c r="E2355" s="38" t="n">
        <f aca="false">Sens!$E$2330</f>
        <v>8.51035297557002</v>
      </c>
      <c r="F2355" s="38" t="n">
        <f aca="false">Sens!$F$2330</f>
        <v>14.2275720800453</v>
      </c>
      <c r="G2355" s="38" t="n">
        <f aca="false">Sens!$G$2330</f>
        <v>22.7379250556153</v>
      </c>
      <c r="H2355" s="38" t="n">
        <f aca="false">Sens!$H$2330</f>
        <v>54.278998232373</v>
      </c>
      <c r="I2355" s="38" t="n">
        <f aca="false">Sens!$I$2330</f>
        <v>89.7299141016288</v>
      </c>
      <c r="J2355" s="38" t="n">
        <f aca="false">Sens!$J$2330</f>
        <v>125.364729599073</v>
      </c>
      <c r="K2355" s="38" t="n">
        <f aca="false">Sens!$K$2330</f>
        <v>155.761832374673</v>
      </c>
      <c r="L2355" s="38" t="n">
        <f aca="false">Sens!$L$2330</f>
        <v>175.738767459787</v>
      </c>
      <c r="M2355" s="38" t="n">
        <f aca="false">Sens!$M$2330</f>
        <v>185.265624814353</v>
      </c>
      <c r="N2355" s="38" t="n">
        <f aca="false">Sens!$N$2330</f>
        <v>3.04631953102791</v>
      </c>
      <c r="O2355" s="38" t="n">
        <f aca="false">Sens!$O$2330</f>
        <v>5.65745055762326</v>
      </c>
    </row>
    <row r="2356" customFormat="false" ht="17.15" hidden="false" customHeight="false" outlineLevel="0" collapsed="false">
      <c r="A2356" s="0" t="s">
        <v>693</v>
      </c>
      <c r="B2356" s="0" t="s">
        <v>86</v>
      </c>
      <c r="C2356" s="38" t="n">
        <f aca="false">Sens!$C$2331</f>
        <v>105.234994643026</v>
      </c>
      <c r="D2356" s="38" t="n">
        <f aca="false">Sens!$D$2331</f>
        <v>120.021229911349</v>
      </c>
      <c r="E2356" s="38" t="n">
        <f aca="false">Sens!$E$2331</f>
        <v>71.30864702443</v>
      </c>
      <c r="F2356" s="38" t="n">
        <f aca="false">Sens!$F$2331</f>
        <v>71.7692997942464</v>
      </c>
      <c r="G2356" s="38" t="n">
        <f aca="false">Sens!$G$2331</f>
        <v>143.077946818676</v>
      </c>
      <c r="H2356" s="38" t="n">
        <f aca="false">Sens!$H$2331</f>
        <v>161.017077079203</v>
      </c>
      <c r="I2356" s="38" t="n">
        <f aca="false">Sens!$I$2331</f>
        <v>178.769759521457</v>
      </c>
      <c r="J2356" s="38" t="n">
        <f aca="false">Sens!$J$2331</f>
        <v>195.775538045907</v>
      </c>
      <c r="K2356" s="38" t="n">
        <f aca="false">Sens!$K$2331</f>
        <v>211.43758108958</v>
      </c>
      <c r="L2356" s="38" t="n">
        <f aca="false">Sens!$L$2331</f>
        <v>228.352587576746</v>
      </c>
      <c r="M2356" s="38" t="n">
        <f aca="false">Sens!$M$2331</f>
        <v>246.620794582886</v>
      </c>
      <c r="N2356" s="38" t="n">
        <f aca="false">Sens!$N$2331</f>
        <v>57.0936804689721</v>
      </c>
      <c r="O2356" s="38" t="n">
        <f aca="false">Sens!$O$2331</f>
        <v>62.9275494423768</v>
      </c>
    </row>
    <row r="2357" customFormat="false" ht="15" hidden="false" customHeight="false" outlineLevel="0" collapsed="false">
      <c r="A2357" s="3" t="s">
        <v>517</v>
      </c>
      <c r="B2357" s="8" t="s">
        <v>86</v>
      </c>
      <c r="C2357" s="38" t="n">
        <f aca="false">Sens!$C$2333</f>
        <v>637.959</v>
      </c>
      <c r="D2357" s="38" t="n">
        <f aca="false">Sens!$D$2333</f>
        <v>716.924</v>
      </c>
      <c r="E2357" s="38" t="n">
        <f aca="false">Sens!$E$2333</f>
        <v>382.125</v>
      </c>
      <c r="F2357" s="38" t="n">
        <f aca="false">Sens!$F$2333</f>
        <v>435.045113519829</v>
      </c>
      <c r="G2357" s="38" t="n">
        <f aca="false">Sens!$G$2333</f>
        <v>817.170113519829</v>
      </c>
      <c r="H2357" s="38" t="n">
        <f aca="false">Sens!$H$2333</f>
        <v>936.392964832962</v>
      </c>
      <c r="I2357" s="38" t="n">
        <f aca="false">Sens!$I$2333</f>
        <v>1057.02906477562</v>
      </c>
      <c r="J2357" s="38" t="n">
        <f aca="false">Sens!$J$2333</f>
        <v>1172.24867338642</v>
      </c>
      <c r="K2357" s="38" t="n">
        <f aca="false">Sens!$K$2333</f>
        <v>1273.37586889534</v>
      </c>
      <c r="L2357" s="38" t="n">
        <f aca="false">Sens!$L$2333</f>
        <v>1369.18446151212</v>
      </c>
      <c r="M2357" s="38" t="n">
        <f aca="false">Sens!$M$2333</f>
        <v>1460.03432734413</v>
      </c>
      <c r="N2357" s="38" t="n">
        <f aca="false">Sens!$N$2333</f>
        <v>323.369</v>
      </c>
      <c r="O2357" s="38" t="n">
        <f aca="false">Sens!$O$2333</f>
        <v>393.555</v>
      </c>
    </row>
    <row r="2358" customFormat="false" ht="17.15" hidden="false" customHeight="false" outlineLevel="0" collapsed="false">
      <c r="A2358" s="24" t="s">
        <v>703</v>
      </c>
      <c r="B2358" s="25" t="s">
        <v>86</v>
      </c>
      <c r="C2358" s="41" t="n">
        <f aca="false">Sens!$C$2345+Sens!$C$2346+Sens!$C$2347+Sens!$C$2348+Sens!$C$2349+Sens!$C$2350-(Sens!$C$2352+Sens!$C$2353)</f>
        <v>0</v>
      </c>
      <c r="D2358" s="41" t="n">
        <f aca="false">Sens!$D$2345+Sens!$D$2346+Sens!$D$2347+Sens!$D$2348+Sens!$D$2349+Sens!$D$2350-(Sens!$D$2352+Sens!$D$2353)</f>
        <v>0</v>
      </c>
      <c r="E2358" s="41" t="n">
        <f aca="false">Sens!$E$2345+Sens!$E$2346+Sens!$E$2347+Sens!$E$2348+Sens!$E$2349+Sens!$E$2350-(Sens!$E$2352+Sens!$E$2353)</f>
        <v>0</v>
      </c>
      <c r="F2358" s="41" t="n">
        <f aca="false">Sens!$F$2345+Sens!$F$2346+Sens!$F$2347+Sens!$F$2348+Sens!$F$2349+Sens!$F$2350-(Sens!$F$2352+Sens!$F$2353)</f>
        <v>0</v>
      </c>
      <c r="G2358" s="41" t="n">
        <f aca="false">Sens!$G$2345+Sens!$G$2346+Sens!$G$2347+Sens!$G$2348+Sens!$G$2349+Sens!$G$2350-(Sens!$G$2352+Sens!$G$2353)</f>
        <v>0</v>
      </c>
      <c r="H2358" s="41" t="n">
        <f aca="false">Sens!$H$2345+Sens!$H$2346+Sens!$H$2347+Sens!$H$2348+Sens!$H$2349+Sens!$H$2350-(Sens!$H$2352+Sens!$H$2353)</f>
        <v>0</v>
      </c>
      <c r="I2358" s="41" t="n">
        <f aca="false">Sens!$I$2345+Sens!$I$2346+Sens!$I$2347+Sens!$I$2348+Sens!$I$2349+Sens!$I$2350-(Sens!$I$2352+Sens!$I$2353)</f>
        <v>0</v>
      </c>
      <c r="J2358" s="41" t="n">
        <f aca="false">Sens!$J$2345+Sens!$J$2346+Sens!$J$2347+Sens!$J$2348+Sens!$J$2349+Sens!$J$2350-(Sens!$J$2352+Sens!$J$2353)</f>
        <v>0</v>
      </c>
      <c r="K2358" s="41" t="n">
        <f aca="false">Sens!$K$2345+Sens!$K$2346+Sens!$K$2347+Sens!$K$2348+Sens!$K$2349+Sens!$K$2350-(Sens!$K$2352+Sens!$K$2353)</f>
        <v>0</v>
      </c>
      <c r="L2358" s="41" t="n">
        <f aca="false">Sens!$L$2345+Sens!$L$2346+Sens!$L$2347+Sens!$L$2348+Sens!$L$2349+Sens!$L$2350-(Sens!$L$2352+Sens!$L$2353)</f>
        <v>0</v>
      </c>
      <c r="M2358" s="41" t="n">
        <f aca="false">Sens!$M$2345+Sens!$M$2346+Sens!$M$2347+Sens!$M$2348+Sens!$M$2349+Sens!$M$2350-(Sens!$M$2352+Sens!$M$2353)</f>
        <v>0</v>
      </c>
      <c r="N2358" s="41" t="n">
        <f aca="false">Sens!$N$2345+Sens!$N$2346+Sens!$N$2347+Sens!$N$2348+Sens!$N$2349+Sens!$N$2350-(Sens!$N$2352+Sens!$N$2353)</f>
        <v>0</v>
      </c>
      <c r="O2358" s="41" t="n">
        <f aca="false">Sens!$O$2345+Sens!$O$2346+Sens!$O$2347+Sens!$O$2348+Sens!$O$2349+Sens!$O$2350-(Sens!$O$2352+Sens!$O$2353)</f>
        <v>0</v>
      </c>
    </row>
    <row r="2359" customFormat="false" ht="17.15" hidden="false" customHeight="false" outlineLevel="0" collapsed="false">
      <c r="A2359" s="24" t="s">
        <v>704</v>
      </c>
      <c r="B2359" s="25" t="s">
        <v>86</v>
      </c>
      <c r="C2359" s="41" t="n">
        <f aca="false">Sens!$C$2355+Sens!$C$2356-Sens!$C$2354</f>
        <v>0</v>
      </c>
      <c r="D2359" s="41" t="n">
        <f aca="false">Sens!$D$2355+Sens!$D$2356-Sens!$D$2354</f>
        <v>0</v>
      </c>
      <c r="E2359" s="41" t="n">
        <f aca="false">Sens!$E$2355+Sens!$E$2356-Sens!$E$2354</f>
        <v>0</v>
      </c>
      <c r="F2359" s="41" t="n">
        <f aca="false">Sens!$F$2355+Sens!$F$2356-Sens!$F$2354</f>
        <v>0</v>
      </c>
      <c r="G2359" s="41" t="n">
        <f aca="false">Sens!$G$2355+Sens!$G$2356-Sens!$G$2354</f>
        <v>0</v>
      </c>
      <c r="H2359" s="41" t="n">
        <f aca="false">Sens!$H$2355+Sens!$H$2356-Sens!$H$2354</f>
        <v>0</v>
      </c>
      <c r="I2359" s="41" t="n">
        <f aca="false">Sens!$I$2355+Sens!$I$2356-Sens!$I$2354</f>
        <v>0</v>
      </c>
      <c r="J2359" s="41" t="n">
        <f aca="false">Sens!$J$2355+Sens!$J$2356-Sens!$J$2354</f>
        <v>0</v>
      </c>
      <c r="K2359" s="41" t="n">
        <f aca="false">Sens!$K$2355+Sens!$K$2356-Sens!$K$2354</f>
        <v>0</v>
      </c>
      <c r="L2359" s="41" t="n">
        <f aca="false">Sens!$L$2355+Sens!$L$2356-Sens!$L$2354</f>
        <v>0</v>
      </c>
      <c r="M2359" s="41" t="n">
        <f aca="false">Sens!$M$2355+Sens!$M$2356-Sens!$M$2354</f>
        <v>0</v>
      </c>
      <c r="N2359" s="41" t="n">
        <f aca="false">Sens!$N$2355+Sens!$N$2356-Sens!$N$2354</f>
        <v>0</v>
      </c>
      <c r="O2359" s="41" t="n">
        <f aca="false">Sens!$O$2355+Sens!$O$2356-Sens!$O$2354</f>
        <v>0</v>
      </c>
    </row>
    <row r="2360" customFormat="false" ht="17.15" hidden="false" customHeight="false" outlineLevel="0" collapsed="false">
      <c r="A2360" s="24" t="s">
        <v>763</v>
      </c>
      <c r="B2360" s="25" t="s">
        <v>86</v>
      </c>
      <c r="C2360" s="41" t="n">
        <f aca="false">Sens!$C$2345+Sens!$C$2346+Sens!$C$2347+Sens!$C$2348+Sens!$C$2349+Sens!$C$2350+Sens!$C$2351-Sens!$C$2357</f>
        <v>0</v>
      </c>
      <c r="D2360" s="41" t="n">
        <f aca="false">Sens!$D$2345+Sens!$D$2346+Sens!$D$2347+Sens!$D$2348+Sens!$D$2349+Sens!$D$2350+Sens!$D$2351-Sens!$D$2357</f>
        <v>0</v>
      </c>
      <c r="E2360" s="41" t="n">
        <f aca="false">Sens!$E$2345+Sens!$E$2346+Sens!$E$2347+Sens!$E$2348+Sens!$E$2349+Sens!$E$2350+Sens!$E$2351-Sens!$E$2357</f>
        <v>0</v>
      </c>
      <c r="F2360" s="41" t="n">
        <f aca="false">Sens!$F$2345+Sens!$F$2346+Sens!$F$2347+Sens!$F$2348+Sens!$F$2349+Sens!$F$2350+Sens!$F$2351-Sens!$F$2357</f>
        <v>0</v>
      </c>
      <c r="G2360" s="41" t="n">
        <f aca="false">Sens!$G$2345+Sens!$G$2346+Sens!$G$2347+Sens!$G$2348+Sens!$G$2349+Sens!$G$2350+Sens!$G$2351-Sens!$G$2357</f>
        <v>0</v>
      </c>
      <c r="H2360" s="41" t="n">
        <f aca="false">Sens!$H$2345+Sens!$H$2346+Sens!$H$2347+Sens!$H$2348+Sens!$H$2349+Sens!$H$2350+Sens!$H$2351-Sens!$H$2357</f>
        <v>0</v>
      </c>
      <c r="I2360" s="41" t="n">
        <f aca="false">Sens!$I$2345+Sens!$I$2346+Sens!$I$2347+Sens!$I$2348+Sens!$I$2349+Sens!$I$2350+Sens!$I$2351-Sens!$I$2357</f>
        <v>0</v>
      </c>
      <c r="J2360" s="41" t="n">
        <f aca="false">Sens!$J$2345+Sens!$J$2346+Sens!$J$2347+Sens!$J$2348+Sens!$J$2349+Sens!$J$2350+Sens!$J$2351-Sens!$J$2357</f>
        <v>0</v>
      </c>
      <c r="K2360" s="41" t="n">
        <f aca="false">Sens!$K$2345+Sens!$K$2346+Sens!$K$2347+Sens!$K$2348+Sens!$K$2349+Sens!$K$2350+Sens!$K$2351-Sens!$K$2357</f>
        <v>0</v>
      </c>
      <c r="L2360" s="41" t="n">
        <f aca="false">Sens!$L$2345+Sens!$L$2346+Sens!$L$2347+Sens!$L$2348+Sens!$L$2349+Sens!$L$2350+Sens!$L$2351-Sens!$L$2357</f>
        <v>0</v>
      </c>
      <c r="M2360" s="41" t="n">
        <f aca="false">Sens!$M$2345+Sens!$M$2346+Sens!$M$2347+Sens!$M$2348+Sens!$M$2349+Sens!$M$2350+Sens!$M$2351-Sens!$M$2357</f>
        <v>0</v>
      </c>
      <c r="N2360" s="41" t="n">
        <f aca="false">Sens!$N$2345+Sens!$N$2346+Sens!$N$2347+Sens!$N$2348+Sens!$N$2349+Sens!$N$2350+Sens!$N$2351-Sens!$N$2357</f>
        <v>0</v>
      </c>
      <c r="O2360" s="41" t="n">
        <f aca="false">Sens!$O$2345+Sens!$O$2346+Sens!$O$2347+Sens!$O$2348+Sens!$O$2349+Sens!$O$2350+Sens!$O$2351-Sens!$O$2357</f>
        <v>0</v>
      </c>
    </row>
    <row r="2361" customFormat="false" ht="17.15" hidden="false" customHeight="false" outlineLevel="0" collapsed="false">
      <c r="A2361" s="24" t="s">
        <v>705</v>
      </c>
      <c r="B2361" s="25" t="s">
        <v>86</v>
      </c>
      <c r="C2361" s="41" t="n">
        <f aca="false">Sens!$C$2352+Sens!$C$2353+Sens!$C$2354-Sens!$C$2357</f>
        <v>0</v>
      </c>
      <c r="D2361" s="41" t="n">
        <f aca="false">Sens!$D$2352+Sens!$D$2353+Sens!$D$2354-Sens!$D$2357</f>
        <v>0</v>
      </c>
      <c r="E2361" s="41" t="n">
        <f aca="false">Sens!$E$2352+Sens!$E$2353+Sens!$E$2354-Sens!$E$2357</f>
        <v>0</v>
      </c>
      <c r="F2361" s="41" t="n">
        <f aca="false">Sens!$F$2352+Sens!$F$2353+Sens!$F$2354-Sens!$F$2357</f>
        <v>0</v>
      </c>
      <c r="G2361" s="41" t="n">
        <f aca="false">Sens!$G$2352+Sens!$G$2353+Sens!$G$2354-Sens!$G$2357</f>
        <v>0</v>
      </c>
      <c r="H2361" s="41" t="n">
        <f aca="false">Sens!$H$2352+Sens!$H$2353+Sens!$H$2354-Sens!$H$2357</f>
        <v>0</v>
      </c>
      <c r="I2361" s="41" t="n">
        <f aca="false">Sens!$I$2352+Sens!$I$2353+Sens!$I$2354-Sens!$I$2357</f>
        <v>0</v>
      </c>
      <c r="J2361" s="41" t="n">
        <f aca="false">Sens!$J$2352+Sens!$J$2353+Sens!$J$2354-Sens!$J$2357</f>
        <v>0</v>
      </c>
      <c r="K2361" s="41" t="n">
        <f aca="false">Sens!$K$2352+Sens!$K$2353+Sens!$K$2354-Sens!$K$2357</f>
        <v>0</v>
      </c>
      <c r="L2361" s="41" t="n">
        <f aca="false">Sens!$L$2352+Sens!$L$2353+Sens!$L$2354-Sens!$L$2357</f>
        <v>0</v>
      </c>
      <c r="M2361" s="41" t="n">
        <f aca="false">Sens!$M$2352+Sens!$M$2353+Sens!$M$2354-Sens!$M$2357</f>
        <v>0</v>
      </c>
      <c r="N2361" s="41" t="n">
        <f aca="false">Sens!$N$2352+Sens!$N$2353+Sens!$N$2354-Sens!$N$2357</f>
        <v>0</v>
      </c>
      <c r="O2361" s="41" t="n">
        <f aca="false">Sens!$O$2352+Sens!$O$2353+Sens!$O$2354-Sens!$O$2357</f>
        <v>0</v>
      </c>
    </row>
    <row r="2362" customFormat="false" ht="17.15" hidden="false" customHeight="false" outlineLevel="0" collapsed="false">
      <c r="A2362" s="1" t="s">
        <v>719</v>
      </c>
    </row>
    <row r="2363" customFormat="false" ht="17.15" hidden="false" customHeight="false" outlineLevel="0" collapsed="false">
      <c r="A2363" s="0" t="s">
        <v>720</v>
      </c>
      <c r="B2363" s="0" t="s">
        <v>86</v>
      </c>
      <c r="C2363" s="38" t="n">
        <f aca="false">Sens!$C$2267*m_ad</f>
        <v>20.5341564414228</v>
      </c>
      <c r="D2363" s="38" t="n">
        <f aca="false">Sens!$D$2267*m_ad</f>
        <v>24.8720617299587</v>
      </c>
      <c r="E2363" s="38" t="n">
        <f aca="false">Sens!$E$2267*m_ad</f>
        <v>13.5017112462207</v>
      </c>
      <c r="F2363" s="38" t="n">
        <f aca="false">Sens!$F$2267*m_ad</f>
        <v>16.5719724165257</v>
      </c>
      <c r="G2363" s="38" t="n">
        <f aca="false">Sens!$G$2267*m_ad</f>
        <v>30.0820919220415</v>
      </c>
      <c r="H2363" s="38" t="n">
        <f aca="false">Sens!$H$2267*m_ad</f>
        <v>36.1150883276314</v>
      </c>
      <c r="I2363" s="38" t="n">
        <f aca="false">Sens!$I$2267*m_ad</f>
        <v>42.1475382231996</v>
      </c>
      <c r="J2363" s="38" t="n">
        <f aca="false">Sens!$J$2267*m_ad</f>
        <v>47.7749523864693</v>
      </c>
      <c r="K2363" s="38" t="n">
        <f aca="false">Sens!$K$2267*m_ad</f>
        <v>52.5524476251162</v>
      </c>
      <c r="L2363" s="38" t="n">
        <f aca="false">Sens!$L$2267*m_ad</f>
        <v>57.8076923876279</v>
      </c>
      <c r="M2363" s="38" t="n">
        <f aca="false">Sens!$M$2267*m_ad</f>
        <v>63.5884616263907</v>
      </c>
      <c r="N2363" s="38" t="n">
        <f aca="false">Sens!$N$2267*m_ad</f>
        <v>10.8543555706248</v>
      </c>
      <c r="O2363" s="38" t="n">
        <f aca="false">Sens!$O$2267*m_ad</f>
        <v>14.0094731821399</v>
      </c>
    </row>
    <row r="2364" customFormat="false" ht="17.15" hidden="false" customHeight="false" outlineLevel="0" collapsed="false">
      <c r="A2364" s="0" t="s">
        <v>721</v>
      </c>
      <c r="B2364" s="0" t="s">
        <v>86</v>
      </c>
      <c r="C2364" s="38" t="n">
        <f aca="false">Sens!$C$2265-Sens!$C$2267</f>
        <v>346.428687117154</v>
      </c>
      <c r="D2364" s="38" t="n">
        <f aca="false">Sens!$D$2265-Sens!$D$2267</f>
        <v>376.560876540083</v>
      </c>
      <c r="E2364" s="38" t="n">
        <f aca="false">Sens!$E$2265-Sens!$E$2267</f>
        <v>193.316577507559</v>
      </c>
      <c r="F2364" s="38" t="n">
        <f aca="false">Sens!$F$2265-Sens!$F$2267</f>
        <v>217.495828647535</v>
      </c>
      <c r="G2364" s="38" t="n">
        <f aca="false">Sens!$G$2265-Sens!$G$2267</f>
        <v>410.795589636503</v>
      </c>
      <c r="H2364" s="38" t="n">
        <f aca="false">Sens!$H$2265-Sens!$H$2267</f>
        <v>449.156813761174</v>
      </c>
      <c r="I2364" s="38" t="n">
        <f aca="false">Sens!$I$2265-Sens!$I$2267</f>
        <v>485.848786441156</v>
      </c>
      <c r="J2364" s="38" t="n">
        <f aca="false">Sens!$J$2265-Sens!$J$2267</f>
        <v>519.841531018994</v>
      </c>
      <c r="K2364" s="38" t="n">
        <f aca="false">Sens!$K$2265-Sens!$K$2267</f>
        <v>550.103332311311</v>
      </c>
      <c r="L2364" s="38" t="n">
        <f aca="false">Sens!$L$2265-Sens!$L$2267</f>
        <v>582.192354474511</v>
      </c>
      <c r="M2364" s="38" t="n">
        <f aca="false">Sens!$M$2265-Sens!$M$2267</f>
        <v>616.22240521081</v>
      </c>
      <c r="N2364" s="38" t="n">
        <f aca="false">Sens!$N$2265-Sens!$N$2267</f>
        <v>171.24628885875</v>
      </c>
      <c r="O2364" s="38" t="n">
        <f aca="false">Sens!$O$2265-Sens!$O$2267</f>
        <v>205.33105363572</v>
      </c>
    </row>
    <row r="2365" customFormat="false" ht="17.15" hidden="false" customHeight="false" outlineLevel="0" collapsed="false">
      <c r="A2365" s="0" t="s">
        <v>722</v>
      </c>
      <c r="B2365" s="0" t="s">
        <v>86</v>
      </c>
      <c r="C2365" s="38" t="n">
        <f aca="false">Sens!$C$2316*Sens!$C$2264</f>
        <v>0.123617442257179</v>
      </c>
      <c r="D2365" s="38" t="n">
        <f aca="false">Sens!$D$2316*Sens!$D$2264</f>
        <v>0.600198046024689</v>
      </c>
      <c r="E2365" s="38" t="n">
        <f aca="false">Sens!$E$2316*Sens!$E$2264</f>
        <v>0.970552432202993</v>
      </c>
      <c r="F2365" s="38" t="n">
        <f aca="false">Sens!$F$2316*Sens!$F$2264</f>
        <v>1.20013524388435</v>
      </c>
      <c r="G2365" s="38" t="n">
        <f aca="false">Sens!$G$2316*Sens!$G$2264</f>
        <v>2.17135369594947</v>
      </c>
      <c r="H2365" s="38" t="n">
        <f aca="false">Sens!$H$2316*Sens!$H$2264</f>
        <v>5.85178938886863</v>
      </c>
      <c r="I2365" s="38" t="n">
        <f aca="false">Sens!$I$2316*Sens!$I$2264</f>
        <v>10.8318699356128</v>
      </c>
      <c r="J2365" s="38" t="n">
        <f aca="false">Sens!$J$2316*Sens!$J$2264</f>
        <v>15.9611444860434</v>
      </c>
      <c r="K2365" s="38" t="n">
        <f aca="false">Sens!$K$2316*Sens!$K$2264</f>
        <v>20.952355364635</v>
      </c>
      <c r="L2365" s="38" t="n">
        <f aca="false">Sens!$L$2316*Sens!$L$2264</f>
        <v>24.3791085183218</v>
      </c>
      <c r="M2365" s="38" t="n">
        <f aca="false">Sens!$M$2316*Sens!$M$2264</f>
        <v>26.3695742598488</v>
      </c>
      <c r="N2365" s="38" t="n">
        <f aca="false">Sens!$N$2316*Sens!$N$2264</f>
        <v>0.25053229484398</v>
      </c>
      <c r="O2365" s="38" t="n">
        <f aca="false">Sens!$O$2316*Sens!$O$2264</f>
        <v>0.349234376756897</v>
      </c>
    </row>
    <row r="2366" customFormat="false" ht="17.15" hidden="false" customHeight="false" outlineLevel="0" collapsed="false">
      <c r="A2366" s="0" t="s">
        <v>723</v>
      </c>
      <c r="B2366" s="0" t="s">
        <v>52</v>
      </c>
      <c r="C2366" s="28" t="n">
        <f aca="false">(Sens!$C$2367-Sens!$C$2363+Sens!$C$2365)/Sens!$C$2364</f>
        <v>0.0131526665379575</v>
      </c>
      <c r="D2366" s="28" t="n">
        <f aca="false">(Sens!$D$2367-Sens!$D$2363+Sens!$D$2365)/Sens!$D$2364</f>
        <v>0.0141999252954702</v>
      </c>
      <c r="E2366" s="28" t="n">
        <f aca="false">(Sens!$E$2367-Sens!$E$2363+Sens!$E$2365)/Sens!$E$2364</f>
        <v>0.0251341154940129</v>
      </c>
      <c r="F2366" s="28" t="n">
        <f aca="false">Sens!$O$2366+(Sens!$E$2366-Sens!$N$2366)</f>
        <v>0.0217171685713677</v>
      </c>
      <c r="G2366" s="28" t="n">
        <f aca="false">(Sens!$G$2367-Sens!$G$2363+Sens!$G$2365)/Sens!$G$2364</f>
        <v>0.0233071940458981</v>
      </c>
      <c r="H2366" s="28" t="n">
        <f aca="false">Sens!$G$2366+step_na</f>
        <v>0.0263071940458981</v>
      </c>
      <c r="I2366" s="28" t="n">
        <f aca="false">Sens!$H$2366+step_na</f>
        <v>0.0293071940458981</v>
      </c>
      <c r="J2366" s="28" t="n">
        <f aca="false">Sens!$I$2366+step_na</f>
        <v>0.0323071940458981</v>
      </c>
      <c r="K2366" s="28" t="n">
        <f aca="false">Sens!$J$2366+step_na</f>
        <v>0.0353071940458981</v>
      </c>
      <c r="L2366" s="28" t="n">
        <f aca="false">Sens!$K$2366</f>
        <v>0.0353071940458981</v>
      </c>
      <c r="M2366" s="28" t="n">
        <f aca="false">Sens!$L$2366</f>
        <v>0.0353071940458981</v>
      </c>
      <c r="N2366" s="28" t="n">
        <f aca="false">(Sens!$N$2367-Sens!$N$2363+Sens!$N$2365)/Sens!$N$2364</f>
        <v>0.0160831323269779</v>
      </c>
      <c r="O2366" s="28" t="n">
        <f aca="false">(Sens!$O$2367-Sens!$O$2363+Sens!$O$2365)/Sens!$O$2364</f>
        <v>0.0126661854043327</v>
      </c>
      <c r="P2366" s="8" t="s">
        <v>724</v>
      </c>
    </row>
    <row r="2367" customFormat="false" ht="17.15" hidden="false" customHeight="false" outlineLevel="0" collapsed="false">
      <c r="A2367" s="1" t="s">
        <v>725</v>
      </c>
      <c r="B2367" s="8" t="s">
        <v>86</v>
      </c>
      <c r="C2367" s="38" t="n">
        <f aca="false">Q!$D$22</f>
        <v>24.967</v>
      </c>
      <c r="D2367" s="38" t="n">
        <f aca="false">Q!$E$22</f>
        <v>29.619</v>
      </c>
      <c r="E2367" s="38" t="n">
        <f aca="false">Q!$P$22</f>
        <v>17.39</v>
      </c>
      <c r="F2367" s="38" t="n">
        <f aca="false">Sens!$F$2363+Sens!$F$2364*Sens!$F$2366-Sens!$F$2365</f>
        <v>20.0952307469491</v>
      </c>
      <c r="G2367" s="38" t="n">
        <f aca="false">Sens!$E$2367+Sens!$F$2367</f>
        <v>37.4852307469491</v>
      </c>
      <c r="H2367" s="38" t="n">
        <f aca="false">Sens!$H$2363+Sens!$H$2364*Sens!$H$2366-Sens!$H$2365</f>
        <v>42.0793543954153</v>
      </c>
      <c r="I2367" s="38" t="n">
        <f aca="false">Sens!$I$2363+Sens!$I$2364*Sens!$I$2366-Sens!$I$2365</f>
        <v>45.5545329487818</v>
      </c>
      <c r="J2367" s="38" t="n">
        <f aca="false">Sens!$J$2363+Sens!$J$2364*Sens!$J$2366-Sens!$J$2365</f>
        <v>48.6084291161733</v>
      </c>
      <c r="K2367" s="38" t="n">
        <f aca="false">Sens!$K$2363+Sens!$K$2364*Sens!$K$2366-Sens!$K$2365</f>
        <v>51.0226973596918</v>
      </c>
      <c r="L2367" s="38" t="n">
        <f aca="false">Sens!$L$2363+Sens!$L$2364*Sens!$L$2366-Sens!$L$2365</f>
        <v>53.9841623007759</v>
      </c>
      <c r="M2367" s="38" t="n">
        <f aca="false">Sens!$M$2363+Sens!$M$2364*Sens!$M$2366-Sens!$M$2365</f>
        <v>58.97597140275</v>
      </c>
      <c r="N2367" s="38" t="n">
        <f aca="false">Q!$N$22</f>
        <v>13.358</v>
      </c>
      <c r="O2367" s="38" t="n">
        <f aca="false">Q!$O$22</f>
        <v>16.261</v>
      </c>
    </row>
    <row r="2368" customFormat="false" ht="17.15" hidden="false" customHeight="false" outlineLevel="0" collapsed="false">
      <c r="A2368" s="0" t="s">
        <v>726</v>
      </c>
      <c r="B2368" s="0" t="s">
        <v>86</v>
      </c>
      <c r="C2368" s="38" t="n">
        <f aca="false">Sens!$C$2268*m_ad</f>
        <v>7.57284355857716</v>
      </c>
      <c r="D2368" s="38" t="n">
        <f aca="false">Sens!$D$2268*m_ad</f>
        <v>9.44543827004127</v>
      </c>
      <c r="E2368" s="38" t="n">
        <f aca="false">Sens!$E$2268*m_ad</f>
        <v>5.02428875377928</v>
      </c>
      <c r="F2368" s="38" t="n">
        <f aca="false">Sens!$F$2268*m_ad</f>
        <v>6.50663858068173</v>
      </c>
      <c r="G2368" s="38" t="n">
        <f aca="false">Sens!$G$2268*m_ad</f>
        <v>11.5225190751659</v>
      </c>
      <c r="H2368" s="38" t="n">
        <f aca="false">Sens!$H$2268*m_ad</f>
        <v>13.8333728663174</v>
      </c>
      <c r="I2368" s="38" t="n">
        <f aca="false">Sens!$I$2268*m_ad</f>
        <v>16.1440173245485</v>
      </c>
      <c r="J2368" s="38" t="n">
        <f aca="false">Sens!$J$2268*m_ad</f>
        <v>18.2995185845066</v>
      </c>
      <c r="K2368" s="38" t="n">
        <f aca="false">Sens!$K$2268*m_ad</f>
        <v>20.1294704429572</v>
      </c>
      <c r="L2368" s="38" t="n">
        <f aca="false">Sens!$L$2268*m_ad</f>
        <v>22.142417487253</v>
      </c>
      <c r="M2368" s="38" t="n">
        <f aca="false">Sens!$M$2268*m_ad</f>
        <v>24.3566592359783</v>
      </c>
      <c r="N2368" s="38" t="n">
        <f aca="false">Sens!$N$2268*m_ad</f>
        <v>3.95314442937518</v>
      </c>
      <c r="O2368" s="38" t="n">
        <f aca="false">Sens!$O$2268*m_ad</f>
        <v>5.50052681786011</v>
      </c>
    </row>
    <row r="2369" customFormat="false" ht="17.15" hidden="false" customHeight="false" outlineLevel="0" collapsed="false">
      <c r="A2369" s="0" t="s">
        <v>727</v>
      </c>
      <c r="B2369" s="0" t="s">
        <v>86</v>
      </c>
      <c r="C2369" s="38" t="n">
        <f aca="false">Sens!$C$2266-Sens!$C$2268</f>
        <v>127.760312882846</v>
      </c>
      <c r="D2369" s="38" t="n">
        <f aca="false">Sens!$D$2266-Sens!$D$2268</f>
        <v>143.003123459917</v>
      </c>
      <c r="E2369" s="38" t="n">
        <f aca="false">Sens!$E$2266-Sens!$E$2268</f>
        <v>71.9374224924414</v>
      </c>
      <c r="F2369" s="38" t="n">
        <f aca="false">Sens!$F$2266-Sens!$F$2268</f>
        <v>85.3951910035875</v>
      </c>
      <c r="G2369" s="38" t="n">
        <f aca="false">Sens!$G$2266-Sens!$G$2268</f>
        <v>157.349430014619</v>
      </c>
      <c r="H2369" s="38" t="n">
        <f aca="false">Sens!$H$2266-Sens!$H$2268</f>
        <v>172.043153372315</v>
      </c>
      <c r="I2369" s="38" t="n">
        <f aca="false">Sens!$I$2266-Sens!$I$2268</f>
        <v>186.097493615879</v>
      </c>
      <c r="J2369" s="38" t="n">
        <f aca="false">Sens!$J$2266-Sens!$J$2268</f>
        <v>199.117932780497</v>
      </c>
      <c r="K2369" s="38" t="n">
        <f aca="false">Sens!$K$2266-Sens!$K$2268</f>
        <v>210.70928698363</v>
      </c>
      <c r="L2369" s="38" t="n">
        <f aca="false">Sens!$L$2266-Sens!$L$2268</f>
        <v>223.000532251316</v>
      </c>
      <c r="M2369" s="38" t="n">
        <f aca="false">Sens!$M$2266-Sens!$M$2268</f>
        <v>236.035261011339</v>
      </c>
      <c r="N2369" s="38" t="n">
        <f aca="false">Sens!$N$2266-Sens!$N$2268</f>
        <v>62.3677111412496</v>
      </c>
      <c r="O2369" s="38" t="n">
        <f aca="false">Sens!$O$2266-Sens!$O$2268</f>
        <v>80.6189463642798</v>
      </c>
    </row>
    <row r="2370" customFormat="false" ht="17.15" hidden="false" customHeight="false" outlineLevel="0" collapsed="false">
      <c r="A2370" s="0" t="s">
        <v>728</v>
      </c>
      <c r="B2370" s="0" t="s">
        <v>86</v>
      </c>
      <c r="C2370" s="38" t="n">
        <f aca="false">Sens!$C$2316*(1-Sens!$C$2264)</f>
        <v>0.0455891896019953</v>
      </c>
      <c r="D2370" s="38" t="n">
        <f aca="false">Sens!$D$2316*(1-Sens!$D$2264)</f>
        <v>0.227931791705753</v>
      </c>
      <c r="E2370" s="38" t="n">
        <f aca="false">Sens!$E$2316*(1-Sens!$E$2264)</f>
        <v>0.361164268820781</v>
      </c>
      <c r="F2370" s="38" t="n">
        <f aca="false">Sens!$F$2316*(1-Sens!$F$2264)</f>
        <v>0.471208018190203</v>
      </c>
      <c r="G2370" s="38" t="n">
        <f aca="false">Sens!$G$2316*(1-Sens!$G$2264)</f>
        <v>0.83170626714885</v>
      </c>
      <c r="H2370" s="38" t="n">
        <f aca="false">Sens!$H$2316*(1-Sens!$H$2264)</f>
        <v>2.24144501093314</v>
      </c>
      <c r="I2370" s="38" t="n">
        <f aca="false">Sens!$I$2316*(1-Sens!$I$2264)</f>
        <v>4.14899430120298</v>
      </c>
      <c r="J2370" s="38" t="n">
        <f aca="false">Sens!$J$2316*(1-Sens!$J$2264)</f>
        <v>6.11369024064309</v>
      </c>
      <c r="K2370" s="38" t="n">
        <f aca="false">Sens!$K$2316*(1-Sens!$K$2264)</f>
        <v>8.02550284682053</v>
      </c>
      <c r="L2370" s="38" t="n">
        <f aca="false">Sens!$L$2316*(1-Sens!$L$2264)</f>
        <v>9.33807208840008</v>
      </c>
      <c r="M2370" s="38" t="n">
        <f aca="false">Sens!$M$2316*(1-Sens!$M$2264)</f>
        <v>10.1004917876233</v>
      </c>
      <c r="N2370" s="38" t="n">
        <f aca="false">Sens!$N$2316*(1-Sens!$N$2264)</f>
        <v>0.0912435878202994</v>
      </c>
      <c r="O2370" s="38" t="n">
        <f aca="false">Sens!$O$2316*(1-Sens!$O$2264)</f>
        <v>0.137119578309265</v>
      </c>
    </row>
    <row r="2371" customFormat="false" ht="17.15" hidden="false" customHeight="false" outlineLevel="0" collapsed="false">
      <c r="A2371" s="0" t="s">
        <v>729</v>
      </c>
      <c r="B2371" s="0" t="s">
        <v>52</v>
      </c>
      <c r="C2371" s="28" t="n">
        <f aca="false">(Sens!$C$2372-Sens!$C$2368+Sens!$C$2370)/Sens!$C$2369</f>
        <v>-0.0292364215826579</v>
      </c>
      <c r="D2371" s="28" t="n">
        <f aca="false">(Sens!$D$2372-Sens!$D$2368+Sens!$D$2370)/Sens!$D$2369</f>
        <v>-0.0312406216748665</v>
      </c>
      <c r="E2371" s="28" t="n">
        <f aca="false">(Sens!$E$2372-Sens!$E$2368+Sens!$E$2370)/Sens!$E$2369</f>
        <v>-0.0211590078184749</v>
      </c>
      <c r="F2371" s="28" t="n">
        <f aca="false">Sens!$O$2371+(Sens!$E$2371-Sens!$N$2371)</f>
        <v>-0.0382539955245511</v>
      </c>
      <c r="G2371" s="28" t="n">
        <f aca="false">(Sens!$G$2372-Sens!$G$2368+Sens!$G$2370)/Sens!$G$2369</f>
        <v>-0.030385172031133</v>
      </c>
      <c r="H2371" s="28" t="n">
        <f aca="false">Sens!$G$2371+step_in</f>
        <v>-0.030385172031133</v>
      </c>
      <c r="I2371" s="28" t="n">
        <f aca="false">Sens!$H$2371+step_in</f>
        <v>-0.030385172031133</v>
      </c>
      <c r="J2371" s="28" t="n">
        <f aca="false">Sens!$I$2371+step_in</f>
        <v>-0.030385172031133</v>
      </c>
      <c r="K2371" s="28" t="n">
        <f aca="false">Sens!$J$2371+step_in</f>
        <v>-0.030385172031133</v>
      </c>
      <c r="L2371" s="28" t="n">
        <f aca="false">Sens!$K$2371</f>
        <v>-0.030385172031133</v>
      </c>
      <c r="M2371" s="28" t="n">
        <f aca="false">Sens!$L$2371</f>
        <v>-0.030385172031133</v>
      </c>
      <c r="N2371" s="28" t="n">
        <f aca="false">(Sens!$N$2372-Sens!$N$2368+Sens!$N$2370)/Sens!$N$2369</f>
        <v>-0.0216602600421776</v>
      </c>
      <c r="O2371" s="28" t="n">
        <f aca="false">(Sens!$O$2372-Sens!$O$2368+Sens!$O$2370)/Sens!$O$2369</f>
        <v>-0.0387552477482538</v>
      </c>
      <c r="P2371" s="8" t="s">
        <v>724</v>
      </c>
    </row>
    <row r="2372" customFormat="false" ht="17.15" hidden="false" customHeight="false" outlineLevel="0" collapsed="false">
      <c r="A2372" s="1" t="s">
        <v>730</v>
      </c>
      <c r="B2372" s="8" t="s">
        <v>86</v>
      </c>
      <c r="C2372" s="38" t="n">
        <f aca="false">Q!$D$23</f>
        <v>3.792</v>
      </c>
      <c r="D2372" s="38" t="n">
        <f aca="false">Q!$E$23</f>
        <v>4.75</v>
      </c>
      <c r="E2372" s="38" t="n">
        <f aca="false">Q!$P$23</f>
        <v>3.141</v>
      </c>
      <c r="F2372" s="38" t="n">
        <f aca="false">Sens!$F$2368+Sens!$F$2369*Sens!$F$2371-Sens!$F$2370</f>
        <v>2.7687233080221</v>
      </c>
      <c r="G2372" s="38" t="n">
        <f aca="false">Sens!$E$2372+Sens!$F$2372</f>
        <v>5.9097233080221</v>
      </c>
      <c r="H2372" s="38" t="n">
        <f aca="false">Sens!$H$2368+Sens!$H$2369*Sens!$H$2371-Sens!$H$2370</f>
        <v>6.36436704338784</v>
      </c>
      <c r="I2372" s="38" t="n">
        <f aca="false">Sens!$I$2368+Sens!$I$2369*Sens!$I$2371-Sens!$I$2370</f>
        <v>6.34041866526441</v>
      </c>
      <c r="J2372" s="38" t="n">
        <f aca="false">Sens!$J$2368+Sens!$J$2369*Sens!$J$2371-Sens!$J$2370</f>
        <v>6.13559570184452</v>
      </c>
      <c r="K2372" s="38" t="n">
        <f aca="false">Sens!$K$2368+Sens!$K$2369*Sens!$K$2371-Sens!$K$2370</f>
        <v>5.70152966258174</v>
      </c>
      <c r="L2372" s="38" t="n">
        <f aca="false">Sens!$L$2368+Sens!$L$2369*Sens!$L$2371-Sens!$L$2370</f>
        <v>6.02843586336241</v>
      </c>
      <c r="M2372" s="38" t="n">
        <f aca="false">Sens!$M$2368+Sens!$M$2369*Sens!$M$2371-Sens!$M$2370</f>
        <v>7.08419543711204</v>
      </c>
      <c r="N2372" s="38" t="n">
        <f aca="false">Q!$N$23</f>
        <v>2.511</v>
      </c>
      <c r="O2372" s="38" t="n">
        <f aca="false">Q!$O$23</f>
        <v>2.239</v>
      </c>
    </row>
    <row r="2373" customFormat="false" ht="17.15" hidden="false" customHeight="false" outlineLevel="0" collapsed="false">
      <c r="A2373" s="0" t="s">
        <v>731</v>
      </c>
      <c r="B2373" s="0" t="s">
        <v>86</v>
      </c>
      <c r="C2373" s="38" t="n">
        <f aca="false">Sens!$C$2313</f>
        <v>1.64417882953695</v>
      </c>
      <c r="D2373" s="38" t="n">
        <f aca="false">Sens!$D$2313</f>
        <v>5.39125073772939</v>
      </c>
      <c r="E2373" s="38" t="n">
        <f aca="false">Sens!$E$2313</f>
        <v>3.18348617147493</v>
      </c>
      <c r="F2373" s="38" t="n">
        <f aca="false">Sens!$F$2313</f>
        <v>7.54219903174706</v>
      </c>
      <c r="G2373" s="38" t="n">
        <f aca="false">Sens!$G$2313</f>
        <v>10.725685203222</v>
      </c>
      <c r="H2373" s="38" t="n">
        <f aca="false">Sens!$H$2313</f>
        <v>21.9060606331659</v>
      </c>
      <c r="I2373" s="38" t="n">
        <f aca="false">Sens!$I$2313</f>
        <v>29.8064571543657</v>
      </c>
      <c r="J2373" s="38" t="n">
        <f aca="false">Sens!$J$2313</f>
        <v>37.0653906923274</v>
      </c>
      <c r="K2373" s="38" t="n">
        <f aca="false">Sens!$K$2313</f>
        <v>39.8503995288506</v>
      </c>
      <c r="L2373" s="38" t="n">
        <f aca="false">Sens!$L$2313</f>
        <v>40.8700450328997</v>
      </c>
      <c r="M2373" s="38" t="n">
        <f aca="false">Sens!$M$2313</f>
        <v>39.3853606244644</v>
      </c>
      <c r="N2373" s="38" t="n">
        <f aca="false">Sens!$N$2313</f>
        <v>1.67921600037079</v>
      </c>
      <c r="O2373" s="38" t="n">
        <f aca="false">Sens!$O$2313</f>
        <v>3.71203473735861</v>
      </c>
    </row>
    <row r="2374" customFormat="false" ht="17.15" hidden="false" customHeight="false" outlineLevel="0" collapsed="false">
      <c r="A2374" s="0" t="s">
        <v>649</v>
      </c>
      <c r="B2374" s="0" t="s">
        <v>86</v>
      </c>
      <c r="C2374" s="38" t="n">
        <f aca="false">Sens!$C$2318</f>
        <v>38.1898211704631</v>
      </c>
      <c r="D2374" s="38" t="n">
        <f aca="false">Sens!$D$2318</f>
        <v>40.2147492622706</v>
      </c>
      <c r="E2374" s="38" t="n">
        <f aca="false">Sens!$E$2318</f>
        <v>27.5985138285251</v>
      </c>
      <c r="F2374" s="38" t="n">
        <f aca="false">Sens!$F$2318</f>
        <v>25.5484769754606</v>
      </c>
      <c r="G2374" s="38" t="n">
        <f aca="false">Sens!$G$2318</f>
        <v>53.1469908039857</v>
      </c>
      <c r="H2374" s="38" t="n">
        <f aca="false">Sens!$H$2318</f>
        <v>57.3189525076539</v>
      </c>
      <c r="I2374" s="38" t="n">
        <f aca="false">Sens!$I$2318</f>
        <v>63.6385627021087</v>
      </c>
      <c r="J2374" s="38" t="n">
        <f aca="false">Sens!$J$2318</f>
        <v>69.6922896066105</v>
      </c>
      <c r="K2374" s="38" t="n">
        <f aca="false">Sens!$K$2318</f>
        <v>75.2676727751394</v>
      </c>
      <c r="L2374" s="38" t="n">
        <f aca="false">Sens!$L$2318</f>
        <v>81.2890865971505</v>
      </c>
      <c r="M2374" s="38" t="n">
        <f aca="false">Sens!$M$2318</f>
        <v>87.7922135249226</v>
      </c>
      <c r="N2374" s="38" t="n">
        <f aca="false">Sens!$N$2318</f>
        <v>20.0277839996292</v>
      </c>
      <c r="O2374" s="38" t="n">
        <f aca="false">Sens!$O$2318</f>
        <v>20.1869652626414</v>
      </c>
    </row>
    <row r="2375" customFormat="false" ht="17.15" hidden="false" customHeight="false" outlineLevel="0" collapsed="false">
      <c r="A2375" s="1" t="s">
        <v>732</v>
      </c>
      <c r="B2375" s="8" t="s">
        <v>86</v>
      </c>
      <c r="C2375" s="38" t="n">
        <f aca="false">Q!$D$24</f>
        <v>39.834</v>
      </c>
      <c r="D2375" s="38" t="n">
        <f aca="false">Q!$E$24</f>
        <v>45.606</v>
      </c>
      <c r="E2375" s="38" t="n">
        <f aca="false">Q!$P$24</f>
        <v>30.782</v>
      </c>
      <c r="F2375" s="38" t="n">
        <f aca="false">Sens!$F$2373+Sens!$F$2374</f>
        <v>33.0906760072077</v>
      </c>
      <c r="G2375" s="38" t="n">
        <f aca="false">Sens!$G$2373+Sens!$G$2374</f>
        <v>63.8726760072077</v>
      </c>
      <c r="H2375" s="38" t="n">
        <f aca="false">Sens!$H$2373+Sens!$H$2374</f>
        <v>79.2250131408199</v>
      </c>
      <c r="I2375" s="38" t="n">
        <f aca="false">Sens!$I$2373+Sens!$I$2374</f>
        <v>93.4450198564744</v>
      </c>
      <c r="J2375" s="38" t="n">
        <f aca="false">Sens!$J$2373+Sens!$J$2374</f>
        <v>106.757680298938</v>
      </c>
      <c r="K2375" s="38" t="n">
        <f aca="false">Sens!$K$2373+Sens!$K$2374</f>
        <v>115.11807230399</v>
      </c>
      <c r="L2375" s="38" t="n">
        <f aca="false">Sens!$L$2373+Sens!$L$2374</f>
        <v>122.15913163005</v>
      </c>
      <c r="M2375" s="38" t="n">
        <f aca="false">Sens!$M$2373+Sens!$M$2374</f>
        <v>127.177574149387</v>
      </c>
      <c r="N2375" s="38" t="n">
        <f aca="false">Q!$N$24</f>
        <v>21.707</v>
      </c>
      <c r="O2375" s="38" t="n">
        <f aca="false">Q!$O$24</f>
        <v>23.899</v>
      </c>
    </row>
    <row r="2376" customFormat="false" ht="17.15" hidden="false" customHeight="false" outlineLevel="0" collapsed="false">
      <c r="A2376" s="5" t="s">
        <v>733</v>
      </c>
      <c r="B2376" s="0" t="s">
        <v>86</v>
      </c>
      <c r="C2376" s="38" t="n">
        <f aca="false">Q!$D$26</f>
        <v>0</v>
      </c>
      <c r="D2376" s="38" t="n">
        <f aca="false">Q!$E$26</f>
        <v>0</v>
      </c>
      <c r="E2376" s="38" t="n">
        <f aca="false">Q!$P$26</f>
        <v>0</v>
      </c>
      <c r="F2376" s="39" t="n">
        <v>0</v>
      </c>
      <c r="G2376" s="38" t="n">
        <f aca="false">Sens!$E$2376+Sens!$F$2376</f>
        <v>0</v>
      </c>
      <c r="H2376" s="39" t="n">
        <v>0</v>
      </c>
      <c r="I2376" s="39" t="n">
        <v>0</v>
      </c>
      <c r="J2376" s="39" t="n">
        <v>0</v>
      </c>
      <c r="K2376" s="39" t="n">
        <v>0</v>
      </c>
      <c r="L2376" s="39" t="n">
        <v>0</v>
      </c>
      <c r="M2376" s="39" t="n">
        <v>0</v>
      </c>
      <c r="N2376" s="38" t="n">
        <f aca="false">Q!$N$26</f>
        <v>0</v>
      </c>
      <c r="O2376" s="38" t="n">
        <f aca="false">Q!$O$26</f>
        <v>0</v>
      </c>
    </row>
    <row r="2377" customFormat="false" ht="15" hidden="false" customHeight="false" outlineLevel="0" collapsed="false">
      <c r="A2377" s="3" t="s">
        <v>534</v>
      </c>
      <c r="B2377" s="8" t="s">
        <v>86</v>
      </c>
      <c r="C2377" s="38" t="n">
        <f aca="false">Q!$D$25</f>
        <v>68.593</v>
      </c>
      <c r="D2377" s="38" t="n">
        <f aca="false">Q!$E$25</f>
        <v>79.975</v>
      </c>
      <c r="E2377" s="38" t="n">
        <f aca="false">Q!$P$25</f>
        <v>51.313</v>
      </c>
      <c r="F2377" s="38" t="n">
        <f aca="false">Sens!$F$2367+Sens!$F$2372+Sens!$F$2375+Sens!$F$2376</f>
        <v>55.9546300621789</v>
      </c>
      <c r="G2377" s="38" t="n">
        <f aca="false">Sens!$G$2367+Sens!$G$2372+Sens!$G$2375+Sens!$G$2376</f>
        <v>107.267630062179</v>
      </c>
      <c r="H2377" s="38" t="n">
        <f aca="false">Sens!$H$2367+Sens!$H$2372+Sens!$H$2375+Sens!$H$2376</f>
        <v>127.668734579623</v>
      </c>
      <c r="I2377" s="38" t="n">
        <f aca="false">Sens!$I$2367+Sens!$I$2372+Sens!$I$2375+Sens!$I$2376</f>
        <v>145.339971470521</v>
      </c>
      <c r="J2377" s="38" t="n">
        <f aca="false">Sens!$J$2367+Sens!$J$2372+Sens!$J$2375+Sens!$J$2376</f>
        <v>161.501705116956</v>
      </c>
      <c r="K2377" s="38" t="n">
        <f aca="false">Sens!$K$2367+Sens!$K$2372+Sens!$K$2375+Sens!$K$2376</f>
        <v>171.842299326264</v>
      </c>
      <c r="L2377" s="38" t="n">
        <f aca="false">Sens!$L$2367+Sens!$L$2372+Sens!$L$2375+Sens!$L$2376</f>
        <v>182.171729794189</v>
      </c>
      <c r="M2377" s="38" t="n">
        <f aca="false">Sens!$M$2367+Sens!$M$2372+Sens!$M$2375+Sens!$M$2376</f>
        <v>193.237740989249</v>
      </c>
      <c r="N2377" s="38" t="n">
        <f aca="false">Q!$N$25</f>
        <v>37.576</v>
      </c>
      <c r="O2377" s="38" t="n">
        <f aca="false">Q!$O$25</f>
        <v>42.399</v>
      </c>
    </row>
    <row r="2378" customFormat="false" ht="17.15" hidden="false" customHeight="false" outlineLevel="0" collapsed="false">
      <c r="A2378" s="24" t="s">
        <v>764</v>
      </c>
      <c r="B2378" s="25" t="s">
        <v>86</v>
      </c>
      <c r="C2378" s="41" t="n">
        <f aca="false">Sens!$C$2367+Sens!$C$2372+Sens!$C$2375+Sens!$C$2376-Sens!$C$2377</f>
        <v>0</v>
      </c>
      <c r="D2378" s="41" t="n">
        <f aca="false">Sens!$D$2367+Sens!$D$2372+Sens!$D$2375+Sens!$D$2376-Sens!$D$2377</f>
        <v>0</v>
      </c>
      <c r="E2378" s="41" t="n">
        <f aca="false">Sens!$E$2367+Sens!$E$2372+Sens!$E$2375+Sens!$E$2376-Sens!$E$2377</f>
        <v>0</v>
      </c>
      <c r="F2378" s="41" t="n">
        <f aca="false">Sens!$F$2367+Sens!$F$2372+Sens!$F$2375+Sens!$F$2376-Sens!$F$2377</f>
        <v>0</v>
      </c>
      <c r="G2378" s="41" t="n">
        <f aca="false">Sens!$G$2367+Sens!$G$2372+Sens!$G$2375+Sens!$G$2376-Sens!$G$2377</f>
        <v>0</v>
      </c>
      <c r="H2378" s="41" t="n">
        <f aca="false">Sens!$H$2367+Sens!$H$2372+Sens!$H$2375+Sens!$H$2376-Sens!$H$2377</f>
        <v>0</v>
      </c>
      <c r="I2378" s="41" t="n">
        <f aca="false">Sens!$I$2367+Sens!$I$2372+Sens!$I$2375+Sens!$I$2376-Sens!$I$2377</f>
        <v>0</v>
      </c>
      <c r="J2378" s="41" t="n">
        <f aca="false">Sens!$J$2367+Sens!$J$2372+Sens!$J$2375+Sens!$J$2376-Sens!$J$2377</f>
        <v>0</v>
      </c>
      <c r="K2378" s="41" t="n">
        <f aca="false">Sens!$K$2367+Sens!$K$2372+Sens!$K$2375+Sens!$K$2376-Sens!$K$2377</f>
        <v>0</v>
      </c>
      <c r="L2378" s="41" t="n">
        <f aca="false">Sens!$L$2367+Sens!$L$2372+Sens!$L$2375+Sens!$L$2376-Sens!$L$2377</f>
        <v>0</v>
      </c>
      <c r="M2378" s="41" t="n">
        <f aca="false">Sens!$M$2367+Sens!$M$2372+Sens!$M$2375+Sens!$M$2376-Sens!$M$2377</f>
        <v>0</v>
      </c>
      <c r="N2378" s="41" t="n">
        <f aca="false">Sens!$N$2367+Sens!$N$2372+Sens!$N$2375+Sens!$N$2376-Sens!$N$2377</f>
        <v>0</v>
      </c>
      <c r="O2378" s="41" t="n">
        <f aca="false">Sens!$O$2367+Sens!$O$2372+Sens!$O$2375+Sens!$O$2376-Sens!$O$2377</f>
        <v>0</v>
      </c>
    </row>
    <row r="2379" customFormat="false" ht="17.15" hidden="false" customHeight="false" outlineLevel="0" collapsed="false">
      <c r="A2379" s="5" t="s">
        <v>735</v>
      </c>
      <c r="B2379" s="0" t="s">
        <v>86</v>
      </c>
      <c r="C2379" s="38" t="n">
        <f aca="false">Sens!$C$2315</f>
        <v>0</v>
      </c>
      <c r="D2379" s="38" t="n">
        <f aca="false">Sens!$D$2315</f>
        <v>0</v>
      </c>
      <c r="E2379" s="38" t="n">
        <f aca="false">Sens!$E$2315</f>
        <v>0</v>
      </c>
      <c r="F2379" s="38" t="n">
        <f aca="false">Sens!$F$2315</f>
        <v>3.58576196532864</v>
      </c>
      <c r="G2379" s="38" t="n">
        <f aca="false">Sens!$G$2315</f>
        <v>3.58576196532864</v>
      </c>
      <c r="H2379" s="38" t="n">
        <f aca="false">Sens!$H$2315</f>
        <v>13.679886229553</v>
      </c>
      <c r="I2379" s="38" t="n">
        <f aca="false">Sens!$I$2315</f>
        <v>22.6145480991162</v>
      </c>
      <c r="J2379" s="38" t="n">
        <f aca="false">Sens!$J$2315</f>
        <v>31.5955580236032</v>
      </c>
      <c r="K2379" s="38" t="n">
        <f aca="false">Sens!$K$2315</f>
        <v>39.2565120061736</v>
      </c>
      <c r="L2379" s="38" t="n">
        <f aca="false">Sens!$L$2315</f>
        <v>44.29128066586</v>
      </c>
      <c r="M2379" s="38" t="n">
        <f aca="false">Sens!$M$2315</f>
        <v>46.6923258026494</v>
      </c>
      <c r="N2379" s="38" t="n">
        <f aca="false">Sens!$N$2315</f>
        <v>0</v>
      </c>
      <c r="O2379" s="38" t="n">
        <f aca="false">Sens!$O$2315</f>
        <v>0</v>
      </c>
      <c r="P2379" s="5" t="s">
        <v>736</v>
      </c>
    </row>
    <row r="2380" customFormat="false" ht="17.15" hidden="false" customHeight="false" outlineLevel="0" collapsed="false">
      <c r="A2380" s="5" t="s">
        <v>737</v>
      </c>
      <c r="B2380" s="0" t="s">
        <v>86</v>
      </c>
      <c r="C2380" s="38" t="n">
        <f aca="false">Sens!$C$2377+Sens!$C$2379</f>
        <v>68.593</v>
      </c>
      <c r="D2380" s="38" t="n">
        <f aca="false">Sens!$D$2377+Sens!$D$2379</f>
        <v>79.975</v>
      </c>
      <c r="E2380" s="38" t="n">
        <f aca="false">Sens!$E$2377+Sens!$E$2379</f>
        <v>51.313</v>
      </c>
      <c r="F2380" s="38" t="n">
        <f aca="false">Sens!$F$2377+Sens!$F$2379</f>
        <v>59.5403920275075</v>
      </c>
      <c r="G2380" s="38" t="n">
        <f aca="false">Sens!$G$2377+Sens!$G$2379</f>
        <v>110.853392027508</v>
      </c>
      <c r="H2380" s="38" t="n">
        <f aca="false">Sens!$H$2377+Sens!$H$2379</f>
        <v>141.348620809176</v>
      </c>
      <c r="I2380" s="38" t="n">
        <f aca="false">Sens!$I$2377+Sens!$I$2379</f>
        <v>167.954519569637</v>
      </c>
      <c r="J2380" s="38" t="n">
        <f aca="false">Sens!$J$2377+Sens!$J$2379</f>
        <v>193.097263140559</v>
      </c>
      <c r="K2380" s="38" t="n">
        <f aca="false">Sens!$K$2377+Sens!$K$2379</f>
        <v>211.098811332437</v>
      </c>
      <c r="L2380" s="38" t="n">
        <f aca="false">Sens!$L$2377+Sens!$L$2379</f>
        <v>226.463010460049</v>
      </c>
      <c r="M2380" s="38" t="n">
        <f aca="false">Sens!$M$2377+Sens!$M$2379</f>
        <v>239.930066791898</v>
      </c>
      <c r="N2380" s="38" t="n">
        <f aca="false">Sens!$N$2377+Sens!$N$2379</f>
        <v>37.576</v>
      </c>
      <c r="O2380" s="38" t="n">
        <f aca="false">Sens!$O$2377+Sens!$O$2379</f>
        <v>42.399</v>
      </c>
    </row>
    <row r="2381" customFormat="false" ht="17.15" hidden="false" customHeight="false" outlineLevel="0" collapsed="false">
      <c r="A2381" s="0" t="s">
        <v>738</v>
      </c>
      <c r="B2381" s="0" t="s">
        <v>52</v>
      </c>
      <c r="C2381" s="13" t="n">
        <f aca="false">Sens!$C$2367/Sens!$C$2352</f>
        <v>0.0644314665661928</v>
      </c>
      <c r="D2381" s="13" t="n">
        <f aca="false">Sens!$D$2367/Sens!$D$2352</f>
        <v>0.0694784250712518</v>
      </c>
      <c r="E2381" s="13" t="n">
        <f aca="false">Sens!$E$2367/Sens!$E$2352</f>
        <v>0.0789306463326071</v>
      </c>
      <c r="F2381" s="13" t="n">
        <f aca="false">Sens!$F$2367/Sens!$F$2352</f>
        <v>0.0801757457241943</v>
      </c>
      <c r="G2381" s="13" t="n">
        <f aca="false">Sens!$G$2367/Sens!$G$2352</f>
        <v>0.0795932749625682</v>
      </c>
      <c r="H2381" s="13" t="n">
        <f aca="false">Sens!$H$2367/Sens!$H$2352</f>
        <v>0.0807065676145968</v>
      </c>
      <c r="I2381" s="13" t="n">
        <f aca="false">Sens!$I$2367/Sens!$I$2352</f>
        <v>0.0799000671831597</v>
      </c>
      <c r="J2381" s="13" t="n">
        <f aca="false">Sens!$J$2367/Sens!$J$2352</f>
        <v>0.0789878218789644</v>
      </c>
      <c r="K2381" s="13" t="n">
        <f aca="false">Sens!$K$2367/Sens!$K$2352</f>
        <v>0.0778724918482488</v>
      </c>
      <c r="L2381" s="13" t="n">
        <f aca="false">Sens!$L$2367/Sens!$L$2352</f>
        <v>0.077362515868362</v>
      </c>
      <c r="M2381" s="13" t="n">
        <f aca="false">Sens!$M$2367/Sens!$M$2352</f>
        <v>0.0793328284606305</v>
      </c>
      <c r="N2381" s="13" t="n">
        <f aca="false">Sens!$N$2367/Sens!$N$2352</f>
        <v>0.069228576611127</v>
      </c>
      <c r="O2381" s="13" t="n">
        <f aca="false">Sens!$O$2367/Sens!$O$2352</f>
        <v>0.069685022498393</v>
      </c>
    </row>
    <row r="2382" customFormat="false" ht="17.15" hidden="false" customHeight="false" outlineLevel="0" collapsed="false">
      <c r="A2382" s="0" t="s">
        <v>739</v>
      </c>
      <c r="B2382" s="0" t="s">
        <v>52</v>
      </c>
      <c r="C2382" s="13" t="n">
        <f aca="false">Sens!$C$2372/Sens!$C$2353</f>
        <v>0.026534925055631</v>
      </c>
      <c r="D2382" s="13" t="n">
        <f aca="false">Sens!$D$2372/Sens!$D$2353</f>
        <v>0.0293401855535103</v>
      </c>
      <c r="E2382" s="13" t="n">
        <f aca="false">Sens!$E$2372/Sens!$E$2353</f>
        <v>0.03831141902276</v>
      </c>
      <c r="F2382" s="13" t="n">
        <f aca="false">Sens!$F$2372/Sens!$F$2353</f>
        <v>0.0281350107328284</v>
      </c>
      <c r="G2382" s="13" t="n">
        <f aca="false">Sens!$G$2372/Sens!$G$2353</f>
        <v>0.0327600029432073</v>
      </c>
      <c r="H2382" s="13" t="n">
        <f aca="false">Sens!$H$2372/Sens!$H$2353</f>
        <v>0.0318680599805587</v>
      </c>
      <c r="I2382" s="13" t="n">
        <f aca="false">Sens!$I$2372/Sens!$I$2353</f>
        <v>0.0290331448042258</v>
      </c>
      <c r="J2382" s="13" t="n">
        <f aca="false">Sens!$J$2372/Sens!$J$2353</f>
        <v>0.0260295035319636</v>
      </c>
      <c r="K2382" s="13" t="n">
        <f aca="false">Sens!$K$2372/Sens!$K$2353</f>
        <v>0.0227181333309866</v>
      </c>
      <c r="L2382" s="13" t="n">
        <f aca="false">Sens!$L$2372/Sens!$L$2353</f>
        <v>0.0225543056319621</v>
      </c>
      <c r="M2382" s="13" t="n">
        <f aca="false">Sens!$M$2372/Sens!$M$2353</f>
        <v>0.0248787735832327</v>
      </c>
      <c r="N2382" s="13" t="n">
        <f aca="false">Sens!$N$2372/Sens!$N$2353</f>
        <v>0.0357315650169337</v>
      </c>
      <c r="O2382" s="13" t="n">
        <f aca="false">Sens!$O$2372/Sens!$O$2353</f>
        <v>0.0244378956559703</v>
      </c>
    </row>
    <row r="2383" customFormat="false" ht="17.15" hidden="false" customHeight="false" outlineLevel="0" collapsed="false">
      <c r="A2383" s="14" t="s">
        <v>740</v>
      </c>
      <c r="B2383" s="14" t="s">
        <v>52</v>
      </c>
      <c r="C2383" s="17" t="n">
        <f aca="false">Sens!$C$2375/Sens!$C$2354</f>
        <v>0.370355907620217</v>
      </c>
      <c r="D2383" s="17" t="n">
        <f aca="false">Sens!$D$2375/Sens!$D$2354</f>
        <v>0.35429015342785</v>
      </c>
      <c r="E2383" s="17" t="n">
        <f aca="false">Sens!$E$2375/Sens!$E$2354</f>
        <v>0.385647527531039</v>
      </c>
      <c r="F2383" s="17" t="n">
        <f aca="false">Sens!$F$2375/Sens!$F$2354</f>
        <v>0.384789298564009</v>
      </c>
      <c r="G2383" s="17" t="n">
        <f aca="false">Sens!$G$2375/Sens!$G$2354</f>
        <v>0.385202425348225</v>
      </c>
      <c r="H2383" s="17" t="n">
        <f aca="false">Sens!$H$2375/Sens!$H$2354</f>
        <v>0.36798168766507</v>
      </c>
      <c r="I2383" s="17" t="n">
        <f aca="false">Sens!$I$2375/Sens!$I$2354</f>
        <v>0.348026567762799</v>
      </c>
      <c r="J2383" s="17" t="n">
        <f aca="false">Sens!$J$2375/Sens!$J$2354</f>
        <v>0.332433179687569</v>
      </c>
      <c r="K2383" s="17" t="n">
        <f aca="false">Sens!$K$2375/Sens!$K$2354</f>
        <v>0.313502876319809</v>
      </c>
      <c r="L2383" s="17" t="n">
        <f aca="false">Sens!$L$2375/Sens!$L$2354</f>
        <v>0.302305728908766</v>
      </c>
      <c r="M2383" s="17" t="n">
        <f aca="false">Sens!$M$2375/Sens!$M$2354</f>
        <v>0.294469954222877</v>
      </c>
      <c r="N2383" s="17" t="n">
        <f aca="false">Sens!$N$2375/Sens!$N$2354</f>
        <v>0.360941137346192</v>
      </c>
      <c r="O2383" s="17" t="n">
        <f aca="false">Sens!$O$2375/Sens!$O$2354</f>
        <v>0.348458117664212</v>
      </c>
    </row>
    <row r="2384" customFormat="false" ht="17.15" hidden="false" customHeight="false" outlineLevel="0" collapsed="false">
      <c r="A2384" s="0" t="s">
        <v>741</v>
      </c>
      <c r="B2384" s="0" t="s">
        <v>52</v>
      </c>
      <c r="C2384" s="13" t="n">
        <f aca="false">Sens!$C$2373/Sens!$C$2355</f>
        <v>0.708390794789371</v>
      </c>
      <c r="D2384" s="13" t="n">
        <f aca="false">Sens!$D$2373/Sens!$D$2355</f>
        <v>0.619415573115729</v>
      </c>
      <c r="E2384" s="13" t="n">
        <f aca="false">Sens!$E$2373/Sens!$E$2355</f>
        <v>0.374072166056273</v>
      </c>
      <c r="F2384" s="13" t="n">
        <f aca="false">Sens!$F$2373/Sens!$F$2355</f>
        <v>0.530111461696637</v>
      </c>
      <c r="G2384" s="13" t="n">
        <f aca="false">Sens!$G$2373/Sens!$G$2355</f>
        <v>0.471709057752093</v>
      </c>
      <c r="H2384" s="13" t="n">
        <f aca="false">Sens!$H$2373/Sens!$H$2355</f>
        <v>0.403582625813841</v>
      </c>
      <c r="I2384" s="13" t="n">
        <f aca="false">Sens!$I$2373/Sens!$I$2355</f>
        <v>0.332179713452157</v>
      </c>
      <c r="J2384" s="13" t="n">
        <f aca="false">Sens!$J$2373/Sens!$J$2355</f>
        <v>0.295660436638483</v>
      </c>
      <c r="K2384" s="13" t="n">
        <f aca="false">Sens!$K$2373/Sens!$K$2355</f>
        <v>0.255841876801973</v>
      </c>
      <c r="L2384" s="13" t="n">
        <f aca="false">Sens!$L$2373/Sens!$L$2355</f>
        <v>0.232561350142914</v>
      </c>
      <c r="M2384" s="13" t="n">
        <f aca="false">Sens!$M$2373/Sens!$M$2355</f>
        <v>0.212588604410186</v>
      </c>
      <c r="N2384" s="13" t="n">
        <f aca="false">Sens!$N$2373/Sens!$N$2355</f>
        <v>0.551227795793364</v>
      </c>
      <c r="O2384" s="13" t="n">
        <f aca="false">Sens!$O$2373/Sens!$O$2355</f>
        <v>0.656132068597002</v>
      </c>
    </row>
    <row r="2385" customFormat="false" ht="15" hidden="false" customHeight="false" outlineLevel="0" collapsed="false">
      <c r="A2385" s="5" t="s">
        <v>742</v>
      </c>
      <c r="B2385" s="0" t="s">
        <v>52</v>
      </c>
      <c r="C2385" s="13" t="n">
        <f aca="false">Sens!$C$2377/Sens!$C$2357</f>
        <v>0.107519448742004</v>
      </c>
      <c r="D2385" s="13" t="n">
        <f aca="false">Sens!$D$2377/Sens!$D$2357</f>
        <v>0.111552967957552</v>
      </c>
      <c r="E2385" s="13" t="n">
        <f aca="false">Sens!$E$2377/Sens!$E$2357</f>
        <v>0.13428328426562</v>
      </c>
      <c r="F2385" s="13" t="n">
        <f aca="false">Sens!$F$2377/Sens!$F$2357</f>
        <v>0.128617994601676</v>
      </c>
      <c r="G2385" s="13" t="n">
        <f aca="false">Sens!$G$2377/Sens!$G$2357</f>
        <v>0.131267196740885</v>
      </c>
      <c r="H2385" s="13" t="n">
        <f aca="false">Sens!$H$2377/Sens!$H$2357</f>
        <v>0.13634098009525</v>
      </c>
      <c r="I2385" s="13" t="n">
        <f aca="false">Sens!$I$2377/Sens!$I$2357</f>
        <v>0.137498557337563</v>
      </c>
      <c r="J2385" s="13" t="n">
        <f aca="false">Sens!$J$2377/Sens!$J$2357</f>
        <v>0.137770857654635</v>
      </c>
      <c r="K2385" s="13" t="n">
        <f aca="false">Sens!$K$2377/Sens!$K$2357</f>
        <v>0.134950177338713</v>
      </c>
      <c r="L2385" s="13" t="n">
        <f aca="false">Sens!$L$2377/Sens!$L$2357</f>
        <v>0.13305126877718</v>
      </c>
      <c r="M2385" s="13" t="n">
        <f aca="false">Sens!$M$2377/Sens!$M$2357</f>
        <v>0.132351505283275</v>
      </c>
      <c r="N2385" s="13" t="n">
        <f aca="false">Sens!$N$2377/Sens!$N$2357</f>
        <v>0.116201614873411</v>
      </c>
      <c r="O2385" s="13" t="n">
        <f aca="false">Sens!$O$2377/Sens!$O$2357</f>
        <v>0.107733353660861</v>
      </c>
    </row>
    <row r="2386" customFormat="false" ht="17.15" hidden="false" customHeight="false" outlineLevel="0" collapsed="false">
      <c r="A2386" s="1" t="s">
        <v>743</v>
      </c>
    </row>
    <row r="2387" customFormat="false" ht="17.15" hidden="false" customHeight="false" outlineLevel="0" collapsed="false">
      <c r="A2387" s="5" t="s">
        <v>744</v>
      </c>
      <c r="B2387" s="0" t="s">
        <v>52</v>
      </c>
      <c r="D2387" s="28" t="n">
        <f aca="false">(Q!$E$29+Q!$E$30-(1-ext_sh)*Sens!$D$2309)/Sens!$D$2263</f>
        <v>0.0341105596409988</v>
      </c>
    </row>
    <row r="2388" customFormat="false" ht="17.15" hidden="false" customHeight="false" outlineLevel="0" collapsed="false">
      <c r="A2388" s="0" t="s">
        <v>538</v>
      </c>
      <c r="B2388" s="0" t="s">
        <v>86</v>
      </c>
      <c r="C2388" s="38" t="n">
        <f aca="false">Q!$D$29</f>
        <v>14.285</v>
      </c>
      <c r="D2388" s="38" t="n">
        <f aca="false">Q!$E$29</f>
        <v>15.503</v>
      </c>
      <c r="E2388" s="38" t="n">
        <f aca="false">Q!$P$29</f>
        <v>8.78</v>
      </c>
      <c r="F2388" s="38" t="n">
        <f aca="false">(Sens!$D$2387*Sens!$F$2263+(1-ext_sh)*Sens!$F$2309)*Sens!$F$2264</f>
        <v>9.16735846116642</v>
      </c>
      <c r="G2388" s="38" t="n">
        <f aca="false">Sens!$E$2388+Sens!$F$2388</f>
        <v>17.9473584611664</v>
      </c>
      <c r="H2388" s="38" t="n">
        <f aca="false">(Sens!$D$2387*Sens!$H$2263+(1-ext_sh)*Sens!$H$2309)*Sens!$H$2264</f>
        <v>21.350186803323</v>
      </c>
      <c r="I2388" s="38" t="n">
        <f aca="false">(Sens!$D$2387*Sens!$I$2263+(1-ext_sh)*Sens!$I$2309)*Sens!$I$2264</f>
        <v>26.4928859941534</v>
      </c>
      <c r="J2388" s="38" t="n">
        <f aca="false">(Sens!$D$2387*Sens!$J$2263+(1-ext_sh)*Sens!$J$2309)*Sens!$J$2264</f>
        <v>31.6623005735598</v>
      </c>
      <c r="K2388" s="38" t="n">
        <f aca="false">(Sens!$D$2387*Sens!$K$2263+(1-ext_sh)*Sens!$K$2309)*Sens!$K$2264</f>
        <v>36.7287064306713</v>
      </c>
      <c r="L2388" s="38" t="n">
        <f aca="false">(Sens!$D$2387*Sens!$L$2263+(1-ext_sh)*Sens!$L$2309)*Sens!$L$2264</f>
        <v>40.7653449048301</v>
      </c>
      <c r="M2388" s="38" t="n">
        <f aca="false">(Sens!$D$2387*Sens!$M$2263+(1-ext_sh)*Sens!$M$2309)*Sens!$M$2264</f>
        <v>43.9079788584412</v>
      </c>
      <c r="N2388" s="38" t="n">
        <f aca="false">Q!$N$29</f>
        <v>7.272</v>
      </c>
      <c r="O2388" s="38" t="n">
        <f aca="false">Q!$O$29</f>
        <v>8.231</v>
      </c>
    </row>
    <row r="2389" customFormat="false" ht="17.15" hidden="false" customHeight="false" outlineLevel="0" collapsed="false">
      <c r="A2389" s="0" t="s">
        <v>540</v>
      </c>
      <c r="B2389" s="0" t="s">
        <v>86</v>
      </c>
      <c r="C2389" s="38" t="n">
        <f aca="false">Q!$D$30</f>
        <v>4.462</v>
      </c>
      <c r="D2389" s="38" t="n">
        <f aca="false">Q!$E$30</f>
        <v>4.907</v>
      </c>
      <c r="E2389" s="38" t="n">
        <f aca="false">Q!$P$30</f>
        <v>2.57</v>
      </c>
      <c r="F2389" s="38" t="n">
        <f aca="false">(Sens!$D$2387*Sens!$F$2263+(1-ext_sh)*Sens!$F$2309)*(1-Sens!$F$2264)</f>
        <v>3.59937168293151</v>
      </c>
      <c r="G2389" s="38" t="n">
        <f aca="false">Sens!$E$2389+Sens!$F$2389</f>
        <v>6.16937168293151</v>
      </c>
      <c r="H2389" s="38" t="n">
        <f aca="false">(Sens!$D$2387*Sens!$H$2263+(1-ext_sh)*Sens!$H$2309)*(1-Sens!$H$2264)</f>
        <v>8.17788654250441</v>
      </c>
      <c r="I2389" s="38" t="n">
        <f aca="false">(Sens!$D$2387*Sens!$I$2263+(1-ext_sh)*Sens!$I$2309)*(1-Sens!$I$2264)</f>
        <v>10.1477246002349</v>
      </c>
      <c r="J2389" s="38" t="n">
        <f aca="false">(Sens!$D$2387*Sens!$J$2263+(1-ext_sh)*Sens!$J$2309)*(1-Sens!$J$2264)</f>
        <v>12.1277956090269</v>
      </c>
      <c r="K2389" s="38" t="n">
        <f aca="false">(Sens!$D$2387*Sens!$K$2263+(1-ext_sh)*Sens!$K$2309)*(1-Sens!$K$2264)</f>
        <v>14.0684105862827</v>
      </c>
      <c r="L2389" s="38" t="n">
        <f aca="false">(Sens!$D$2387*Sens!$L$2263+(1-ext_sh)*Sens!$L$2309)*(1-Sens!$L$2264)</f>
        <v>15.6145877583551</v>
      </c>
      <c r="M2389" s="38" t="n">
        <f aca="false">(Sens!$D$2387*Sens!$M$2263+(1-ext_sh)*Sens!$M$2309)*(1-Sens!$M$2264)</f>
        <v>16.8183291660533</v>
      </c>
      <c r="N2389" s="38" t="n">
        <f aca="false">Q!$N$30</f>
        <v>2.316</v>
      </c>
      <c r="O2389" s="38" t="n">
        <f aca="false">Q!$O$30</f>
        <v>2.591</v>
      </c>
    </row>
    <row r="2390" customFormat="false" ht="17.15" hidden="false" customHeight="false" outlineLevel="0" collapsed="false">
      <c r="A2390" s="0" t="s">
        <v>541</v>
      </c>
      <c r="B2390" s="0" t="s">
        <v>86</v>
      </c>
      <c r="C2390" s="38" t="n">
        <f aca="false">Sens!$C$2321</f>
        <v>13.32</v>
      </c>
      <c r="D2390" s="38" t="n">
        <f aca="false">Sens!$D$2321</f>
        <v>21.45</v>
      </c>
      <c r="E2390" s="38" t="n">
        <f aca="false">Sens!$E$2321</f>
        <v>15.353</v>
      </c>
      <c r="F2390" s="38" t="n">
        <f aca="false">Sens!$F$2321</f>
        <v>15.4404120185306</v>
      </c>
      <c r="G2390" s="38" t="n">
        <f aca="false">Sens!$G$2321</f>
        <v>30.7934120185306</v>
      </c>
      <c r="H2390" s="38" t="n">
        <f aca="false">Sens!$H$2321</f>
        <v>46.6431069094362</v>
      </c>
      <c r="I2390" s="38" t="n">
        <f aca="false">Sens!$I$2321</f>
        <v>68.8605136579974</v>
      </c>
      <c r="J2390" s="38" t="n">
        <f aca="false">Sens!$J$2321</f>
        <v>91.7630667619111</v>
      </c>
      <c r="K2390" s="38" t="n">
        <f aca="false">Sens!$K$2321</f>
        <v>114.895927580097</v>
      </c>
      <c r="L2390" s="38" t="n">
        <f aca="false">Sens!$L$2321</f>
        <v>132.016326697839</v>
      </c>
      <c r="M2390" s="38" t="n">
        <f aca="false">Sens!$M$2321</f>
        <v>143.852574671349</v>
      </c>
      <c r="N2390" s="38" t="n">
        <f aca="false">Sens!$N$2321</f>
        <v>9.234</v>
      </c>
      <c r="O2390" s="38" t="n">
        <f aca="false">Sens!$O$2321</f>
        <v>12.216</v>
      </c>
    </row>
    <row r="2391" customFormat="false" ht="17.15" hidden="false" customHeight="false" outlineLevel="0" collapsed="false">
      <c r="A2391" s="5" t="s">
        <v>745</v>
      </c>
      <c r="B2391" s="0" t="s">
        <v>86</v>
      </c>
      <c r="C2391" s="38" t="n">
        <f aca="false">Sens!$C$2388+Sens!$C$2389+Sens!$C$2390</f>
        <v>32.067</v>
      </c>
      <c r="D2391" s="38" t="n">
        <f aca="false">Sens!$D$2388+Sens!$D$2389+Sens!$D$2390</f>
        <v>41.86</v>
      </c>
      <c r="E2391" s="38" t="n">
        <f aca="false">Sens!$E$2388+Sens!$E$2389+Sens!$E$2390</f>
        <v>26.703</v>
      </c>
      <c r="F2391" s="38" t="n">
        <f aca="false">Sens!$F$2388+Sens!$F$2389+Sens!$F$2390</f>
        <v>28.2071421626285</v>
      </c>
      <c r="G2391" s="38" t="n">
        <f aca="false">Sens!$G$2388+Sens!$G$2389+Sens!$G$2390</f>
        <v>54.9101421626285</v>
      </c>
      <c r="H2391" s="38" t="n">
        <f aca="false">Sens!$H$2388+Sens!$H$2389+Sens!$H$2390</f>
        <v>76.1711802552636</v>
      </c>
      <c r="I2391" s="38" t="n">
        <f aca="false">Sens!$I$2388+Sens!$I$2389+Sens!$I$2390</f>
        <v>105.501124252386</v>
      </c>
      <c r="J2391" s="38" t="n">
        <f aca="false">Sens!$J$2388+Sens!$J$2389+Sens!$J$2390</f>
        <v>135.553162944498</v>
      </c>
      <c r="K2391" s="38" t="n">
        <f aca="false">Sens!$K$2388+Sens!$K$2389+Sens!$K$2390</f>
        <v>165.693044597051</v>
      </c>
      <c r="L2391" s="38" t="n">
        <f aca="false">Sens!$L$2388+Sens!$L$2389+Sens!$L$2390</f>
        <v>188.396259361024</v>
      </c>
      <c r="M2391" s="38" t="n">
        <f aca="false">Sens!$M$2388+Sens!$M$2389+Sens!$M$2390</f>
        <v>204.578882695843</v>
      </c>
      <c r="N2391" s="38" t="n">
        <f aca="false">Sens!$N$2388+Sens!$N$2389+Sens!$N$2390</f>
        <v>18.822</v>
      </c>
      <c r="O2391" s="38" t="n">
        <f aca="false">Sens!$O$2388+Sens!$O$2389+Sens!$O$2390</f>
        <v>23.038</v>
      </c>
    </row>
    <row r="2392" customFormat="false" ht="17.15" hidden="false" customHeight="false" outlineLevel="0" collapsed="false">
      <c r="A2392" s="0" t="s">
        <v>746</v>
      </c>
      <c r="B2392" s="0" t="s">
        <v>86</v>
      </c>
      <c r="C2392" s="38" t="n">
        <f aca="false">Sens!$C$2363+Sens!$C$2368</f>
        <v>28.107</v>
      </c>
      <c r="D2392" s="38" t="n">
        <f aca="false">Sens!$D$2363+Sens!$D$2368</f>
        <v>34.3175</v>
      </c>
      <c r="E2392" s="38" t="n">
        <f aca="false">Sens!$E$2363+Sens!$E$2368</f>
        <v>18.526</v>
      </c>
      <c r="F2392" s="38" t="n">
        <f aca="false">Sens!$F$2363+Sens!$F$2368</f>
        <v>23.0786109972074</v>
      </c>
      <c r="G2392" s="38" t="n">
        <f aca="false">Sens!$G$2363+Sens!$G$2368</f>
        <v>41.6046109972074</v>
      </c>
      <c r="H2392" s="38" t="n">
        <f aca="false">Sens!$H$2363+Sens!$H$2368</f>
        <v>49.9484611939488</v>
      </c>
      <c r="I2392" s="38" t="n">
        <f aca="false">Sens!$I$2363+Sens!$I$2368</f>
        <v>58.2915555477481</v>
      </c>
      <c r="J2392" s="38" t="n">
        <f aca="false">Sens!$J$2363+Sens!$J$2368</f>
        <v>66.0744709709759</v>
      </c>
      <c r="K2392" s="38" t="n">
        <f aca="false">Sens!$K$2363+Sens!$K$2368</f>
        <v>72.6819180680735</v>
      </c>
      <c r="L2392" s="38" t="n">
        <f aca="false">Sens!$L$2363+Sens!$L$2368</f>
        <v>79.9501098748808</v>
      </c>
      <c r="M2392" s="38" t="n">
        <f aca="false">Sens!$M$2363+Sens!$M$2368</f>
        <v>87.9451208623689</v>
      </c>
      <c r="N2392" s="38" t="n">
        <f aca="false">Sens!$N$2363+Sens!$N$2368</f>
        <v>14.8075</v>
      </c>
      <c r="O2392" s="38" t="n">
        <f aca="false">Sens!$O$2363+Sens!$O$2368</f>
        <v>19.51</v>
      </c>
    </row>
    <row r="2393" customFormat="false" ht="17.15" hidden="false" customHeight="false" outlineLevel="0" collapsed="false">
      <c r="A2393" s="0" t="s">
        <v>747</v>
      </c>
      <c r="B2393" s="0" t="s">
        <v>86</v>
      </c>
      <c r="C2393" s="38" t="n">
        <f aca="false">Sens!$C$2367+Sens!$C$2372+Sens!$C$2388+Sens!$C$2389-Sens!$C$2392</f>
        <v>19.399</v>
      </c>
      <c r="D2393" s="38" t="n">
        <f aca="false">Sens!$D$2367+Sens!$D$2372+Sens!$D$2388+Sens!$D$2389-Sens!$D$2392</f>
        <v>20.4615</v>
      </c>
      <c r="E2393" s="38" t="n">
        <f aca="false">Sens!$E$2367+Sens!$E$2372+Sens!$E$2388+Sens!$E$2389-Sens!$E$2392</f>
        <v>13.355</v>
      </c>
      <c r="F2393" s="38" t="n">
        <f aca="false">Sens!$F$2367+Sens!$F$2372+Sens!$F$2388+Sens!$F$2389-Sens!$F$2392</f>
        <v>12.5520732018618</v>
      </c>
      <c r="G2393" s="38" t="n">
        <f aca="false">Sens!$G$2367+Sens!$G$2372+Sens!$G$2388+Sens!$G$2389-Sens!$G$2392</f>
        <v>25.9070732018618</v>
      </c>
      <c r="H2393" s="38" t="n">
        <f aca="false">Sens!$H$2367+Sens!$H$2372+Sens!$H$2388+Sens!$H$2389-Sens!$H$2392</f>
        <v>28.0233335906818</v>
      </c>
      <c r="I2393" s="38" t="n">
        <f aca="false">Sens!$I$2367+Sens!$I$2372+Sens!$I$2388+Sens!$I$2389-Sens!$I$2392</f>
        <v>30.2440066606864</v>
      </c>
      <c r="J2393" s="38" t="n">
        <f aca="false">Sens!$J$2367+Sens!$J$2372+Sens!$J$2388+Sens!$J$2389-Sens!$J$2392</f>
        <v>32.4596500296286</v>
      </c>
      <c r="K2393" s="38" t="n">
        <f aca="false">Sens!$K$2367+Sens!$K$2372+Sens!$K$2388+Sens!$K$2389-Sens!$K$2392</f>
        <v>34.839425971154</v>
      </c>
      <c r="L2393" s="38" t="n">
        <f aca="false">Sens!$L$2367+Sens!$L$2372+Sens!$L$2388+Sens!$L$2389-Sens!$L$2392</f>
        <v>36.4424209524427</v>
      </c>
      <c r="M2393" s="38" t="n">
        <f aca="false">Sens!$M$2367+Sens!$M$2372+Sens!$M$2388+Sens!$M$2389-Sens!$M$2392</f>
        <v>38.8413540019876</v>
      </c>
      <c r="N2393" s="38" t="n">
        <f aca="false">Sens!$N$2367+Sens!$N$2372+Sens!$N$2388+Sens!$N$2389-Sens!$N$2392</f>
        <v>10.6495</v>
      </c>
      <c r="O2393" s="38" t="n">
        <f aca="false">Sens!$O$2367+Sens!$O$2372+Sens!$O$2388+Sens!$O$2389-Sens!$O$2392</f>
        <v>9.81200000000001</v>
      </c>
    </row>
    <row r="2394" customFormat="false" ht="17.15" hidden="false" customHeight="false" outlineLevel="0" collapsed="false">
      <c r="A2394" s="0" t="s">
        <v>748</v>
      </c>
      <c r="B2394" s="0" t="s">
        <v>86</v>
      </c>
      <c r="C2394" s="38" t="n">
        <f aca="false">Sens!$C$2374+Sens!$C$2390-ext_sh*Sens!$C$2309</f>
        <v>51.3470500115664</v>
      </c>
      <c r="D2394" s="38" t="n">
        <f aca="false">Sens!$D$2374+Sens!$D$2390-ext_sh*Sens!$D$2309</f>
        <v>60.2799375433739</v>
      </c>
      <c r="E2394" s="38" t="n">
        <f aca="false">Sens!$E$2374+Sens!$E$2390-ext_sh*Sens!$E$2309</f>
        <v>39.5095167090767</v>
      </c>
      <c r="F2394" s="38" t="n">
        <f aca="false">Sens!$F$2374+Sens!$F$2390-ext_sh*Sens!$F$2309</f>
        <v>37.5468918745429</v>
      </c>
      <c r="G2394" s="38" t="n">
        <f aca="false">Sens!$G$2374+Sens!$G$2390-ext_sh*Sens!$G$2309</f>
        <v>77.0564085836196</v>
      </c>
      <c r="H2394" s="38" t="n">
        <f aca="false">Sens!$H$2374+Sens!$H$2390-ext_sh*Sens!$H$2309</f>
        <v>84.2378398616123</v>
      </c>
      <c r="I2394" s="38" t="n">
        <f aca="false">Sens!$I$2374+Sens!$I$2390-ext_sh*Sens!$I$2309</f>
        <v>93.5253492849083</v>
      </c>
      <c r="J2394" s="38" t="n">
        <f aca="false">Sens!$J$2374+Sens!$J$2390-ext_sh*Sens!$J$2309</f>
        <v>102.422107778171</v>
      </c>
      <c r="K2394" s="38" t="n">
        <f aca="false">Sens!$K$2374+Sens!$K$2390-ext_sh*Sens!$K$2309</f>
        <v>110.615876400424</v>
      </c>
      <c r="L2394" s="38" t="n">
        <f aca="false">Sens!$L$2374+Sens!$L$2390-ext_sh*Sens!$L$2309</f>
        <v>119.465146512458</v>
      </c>
      <c r="M2394" s="38" t="n">
        <f aca="false">Sens!$M$2374+Sens!$M$2390-ext_sh*Sens!$M$2309</f>
        <v>129.022358233455</v>
      </c>
      <c r="N2394" s="38" t="n">
        <f aca="false">Sens!$N$2374+Sens!$N$2390-ext_sh*Sens!$N$2309</f>
        <v>28.5693781401809</v>
      </c>
      <c r="O2394" s="38" t="n">
        <f aca="false">Sens!$O$2374+Sens!$O$2390-ext_sh*Sens!$O$2309</f>
        <v>31.7105594031931</v>
      </c>
    </row>
    <row r="2395" customFormat="false" ht="17.15" hidden="false" customHeight="false" outlineLevel="0" collapsed="false">
      <c r="A2395" s="0" t="s">
        <v>749</v>
      </c>
      <c r="B2395" s="0" t="s">
        <v>86</v>
      </c>
      <c r="C2395" s="38" t="n">
        <f aca="false">Sens!$C$2312</f>
        <v>1.80694998843362</v>
      </c>
      <c r="D2395" s="38" t="n">
        <f aca="false">Sens!$D$2312</f>
        <v>6.77606245662607</v>
      </c>
      <c r="E2395" s="38" t="n">
        <f aca="false">Sens!$E$2312</f>
        <v>6.62548329092326</v>
      </c>
      <c r="F2395" s="38" t="n">
        <f aca="false">Sens!$F$2312</f>
        <v>10.9841961511954</v>
      </c>
      <c r="G2395" s="38" t="n">
        <f aca="false">Sens!$G$2312</f>
        <v>17.6096794421187</v>
      </c>
      <c r="H2395" s="38" t="n">
        <f aca="false">Sens!$H$2312</f>
        <v>41.6302801886437</v>
      </c>
      <c r="I2395" s="38" t="n">
        <f aca="false">Sens!$I$2312</f>
        <v>68.7801842295635</v>
      </c>
      <c r="J2395" s="38" t="n">
        <f aca="false">Sens!$J$2312</f>
        <v>96.0986392826786</v>
      </c>
      <c r="K2395" s="38" t="n">
        <f aca="false">Sens!$K$2312</f>
        <v>119.398123483663</v>
      </c>
      <c r="L2395" s="38" t="n">
        <f aca="false">Sens!$L$2312</f>
        <v>134.710311815431</v>
      </c>
      <c r="M2395" s="38" t="n">
        <f aca="false">Sens!$M$2312</f>
        <v>142.007790587281</v>
      </c>
      <c r="N2395" s="38" t="n">
        <f aca="false">Sens!$N$2312</f>
        <v>2.37162185981912</v>
      </c>
      <c r="O2395" s="38" t="n">
        <f aca="false">Sens!$O$2312</f>
        <v>4.40444059680694</v>
      </c>
    </row>
    <row r="2396" customFormat="false" ht="17.15" hidden="false" customHeight="false" outlineLevel="0" collapsed="false">
      <c r="A2396" s="0" t="s">
        <v>750</v>
      </c>
      <c r="B2396" s="0" t="s">
        <v>86</v>
      </c>
      <c r="C2396" s="38" t="n">
        <f aca="false">Sens!$C$2377+Sens!$C$2391</f>
        <v>100.66</v>
      </c>
      <c r="D2396" s="38" t="n">
        <f aca="false">Sens!$D$2377+Sens!$D$2391</f>
        <v>121.835</v>
      </c>
      <c r="E2396" s="38" t="n">
        <f aca="false">Sens!$E$2377+Sens!$E$2391</f>
        <v>78.016</v>
      </c>
      <c r="F2396" s="38" t="n">
        <f aca="false">Sens!$F$2377+Sens!$F$2391</f>
        <v>84.1617722248074</v>
      </c>
      <c r="G2396" s="38" t="n">
        <f aca="false">Sens!$G$2377+Sens!$G$2391</f>
        <v>162.177772224807</v>
      </c>
      <c r="H2396" s="38" t="n">
        <f aca="false">Sens!$H$2377+Sens!$H$2391</f>
        <v>203.839914834887</v>
      </c>
      <c r="I2396" s="38" t="n">
        <f aca="false">Sens!$I$2377+Sens!$I$2391</f>
        <v>250.841095722906</v>
      </c>
      <c r="J2396" s="38" t="n">
        <f aca="false">Sens!$J$2377+Sens!$J$2391</f>
        <v>297.054868061454</v>
      </c>
      <c r="K2396" s="38" t="n">
        <f aca="false">Sens!$K$2377+Sens!$K$2391</f>
        <v>337.535343923314</v>
      </c>
      <c r="L2396" s="38" t="n">
        <f aca="false">Sens!$L$2377+Sens!$L$2391</f>
        <v>370.567989155213</v>
      </c>
      <c r="M2396" s="38" t="n">
        <f aca="false">Sens!$M$2377+Sens!$M$2391</f>
        <v>397.816623685092</v>
      </c>
      <c r="N2396" s="38" t="n">
        <f aca="false">Sens!$N$2377+Sens!$N$2391</f>
        <v>56.398</v>
      </c>
      <c r="O2396" s="38" t="n">
        <f aca="false">Sens!$O$2377+Sens!$O$2391</f>
        <v>65.437</v>
      </c>
    </row>
    <row r="2397" customFormat="false" ht="17.15" hidden="false" customHeight="false" outlineLevel="0" collapsed="false">
      <c r="A2397" s="1" t="s">
        <v>751</v>
      </c>
    </row>
    <row r="2398" customFormat="false" ht="15" hidden="false" customHeight="false" outlineLevel="0" collapsed="false">
      <c r="A2398" s="5" t="s">
        <v>544</v>
      </c>
      <c r="B2398" s="0" t="s">
        <v>86</v>
      </c>
      <c r="C2398" s="38" t="n">
        <f aca="false">Q!$D$34</f>
        <v>2.406</v>
      </c>
      <c r="D2398" s="38" t="n">
        <f aca="false">Q!$E$34</f>
        <v>2.274</v>
      </c>
      <c r="E2398" s="38" t="n">
        <f aca="false">Q!$P$34</f>
        <v>2.114</v>
      </c>
      <c r="F2398" s="38" t="n">
        <f aca="false">Sens!$F$2436</f>
        <v>3.24888962733561</v>
      </c>
      <c r="G2398" s="38" t="n">
        <f aca="false">Sens!$E$2398+Sens!$F$2398</f>
        <v>5.36288962733561</v>
      </c>
      <c r="H2398" s="38" t="n">
        <f aca="false">Sens!$H$2436</f>
        <v>7.42354172302123</v>
      </c>
      <c r="I2398" s="38" t="n">
        <f aca="false">Sens!$I$2436</f>
        <v>7.42354172302123</v>
      </c>
      <c r="J2398" s="38" t="n">
        <f aca="false">Sens!$J$2436</f>
        <v>7.42354172302123</v>
      </c>
      <c r="K2398" s="38" t="n">
        <f aca="false">Sens!$K$2436</f>
        <v>7.42354172302123</v>
      </c>
      <c r="L2398" s="38" t="n">
        <f aca="false">Sens!$L$2436</f>
        <v>7.42354172302123</v>
      </c>
      <c r="M2398" s="38" t="n">
        <f aca="false">Sens!$M$2436</f>
        <v>7.42354172302123</v>
      </c>
      <c r="N2398" s="38" t="n">
        <f aca="false">Q!$N$34</f>
        <v>1.057</v>
      </c>
      <c r="O2398" s="38" t="n">
        <f aca="false">Q!$O$34</f>
        <v>1.217</v>
      </c>
    </row>
    <row r="2399" customFormat="false" ht="15" hidden="false" customHeight="false" outlineLevel="0" collapsed="false">
      <c r="A2399" s="5" t="s">
        <v>752</v>
      </c>
      <c r="B2399" s="0" t="s">
        <v>86</v>
      </c>
      <c r="F2399" s="38" t="n">
        <f aca="false">Sens!$F$2437</f>
        <v>2.59</v>
      </c>
      <c r="H2399" s="38" t="n">
        <f aca="false">Sens!$H$2437</f>
        <v>4.06010997936001</v>
      </c>
      <c r="I2399" s="38" t="n">
        <f aca="false">Sens!$I$2437</f>
        <v>2.39357587585699</v>
      </c>
      <c r="J2399" s="38" t="n">
        <f aca="false">Sens!$J$2437</f>
        <v>2.13364967464076</v>
      </c>
      <c r="K2399" s="38" t="n">
        <f aca="false">Sens!$K$2437</f>
        <v>3.38297475864121</v>
      </c>
      <c r="L2399" s="38" t="n">
        <f aca="false">Sens!$L$2437</f>
        <v>8.25464213951941</v>
      </c>
      <c r="M2399" s="38" t="n">
        <f aca="false">Sens!$M$2437</f>
        <v>15.3926636852592</v>
      </c>
    </row>
    <row r="2400" customFormat="false" ht="17.15" hidden="false" customHeight="false" outlineLevel="0" collapsed="false">
      <c r="A2400" s="5" t="s">
        <v>753</v>
      </c>
      <c r="B2400" s="0" t="s">
        <v>86</v>
      </c>
      <c r="C2400" s="38" t="n">
        <f aca="false">Q!$D$39</f>
        <v>2.427</v>
      </c>
      <c r="D2400" s="38" t="n">
        <f aca="false">Q!$E$39</f>
        <v>19.61</v>
      </c>
      <c r="E2400" s="38" t="n">
        <f aca="false">Q!$P$39</f>
        <v>71.492</v>
      </c>
      <c r="F2400" s="39" t="n">
        <v>0</v>
      </c>
      <c r="G2400" s="38" t="n">
        <f aca="false">Sens!$E$2400+Sens!$F$2400</f>
        <v>71.492</v>
      </c>
      <c r="H2400" s="39" t="n">
        <v>0</v>
      </c>
      <c r="I2400" s="39" t="n">
        <v>0</v>
      </c>
      <c r="J2400" s="39" t="n">
        <v>0</v>
      </c>
      <c r="K2400" s="39" t="n">
        <v>0</v>
      </c>
      <c r="L2400" s="39" t="n">
        <v>0</v>
      </c>
      <c r="M2400" s="39" t="n">
        <v>0</v>
      </c>
      <c r="N2400" s="38" t="n">
        <f aca="false">Q!$N$39</f>
        <v>6.017</v>
      </c>
      <c r="O2400" s="38" t="n">
        <f aca="false">Q!$O$39</f>
        <v>13.593</v>
      </c>
      <c r="P2400" s="5" t="s">
        <v>754</v>
      </c>
    </row>
    <row r="2401" customFormat="false" ht="15" hidden="false" customHeight="false" outlineLevel="0" collapsed="false">
      <c r="A2401" s="5" t="s">
        <v>547</v>
      </c>
      <c r="B2401" s="0" t="s">
        <v>86</v>
      </c>
      <c r="C2401" s="38" t="n">
        <f aca="false">Q!$D$36</f>
        <v>68.614</v>
      </c>
      <c r="D2401" s="38" t="n">
        <f aca="false">Q!$E$36</f>
        <v>97.311</v>
      </c>
      <c r="E2401" s="38" t="n">
        <f aca="false">Q!$P$36</f>
        <v>120.691</v>
      </c>
      <c r="F2401" s="38" t="n">
        <f aca="false">Sens!$F$2377-Sens!$F$2398+Sens!$F$2399+Sens!$F$2400</f>
        <v>55.2957404348433</v>
      </c>
      <c r="G2401" s="38" t="n">
        <f aca="false">Sens!$E$2401+Sens!$F$2401</f>
        <v>175.986740434843</v>
      </c>
      <c r="H2401" s="38" t="n">
        <f aca="false">Sens!$H$2377-Sens!$H$2398+Sens!$H$2399+Sens!$H$2400</f>
        <v>124.305302835962</v>
      </c>
      <c r="I2401" s="38" t="n">
        <f aca="false">Sens!$I$2377-Sens!$I$2398+Sens!$I$2399+Sens!$I$2400</f>
        <v>140.310005623356</v>
      </c>
      <c r="J2401" s="38" t="n">
        <f aca="false">Sens!$J$2377-Sens!$J$2398+Sens!$J$2399+Sens!$J$2400</f>
        <v>156.211813068575</v>
      </c>
      <c r="K2401" s="38" t="n">
        <f aca="false">Sens!$K$2377-Sens!$K$2398+Sens!$K$2399+Sens!$K$2400</f>
        <v>167.801732361884</v>
      </c>
      <c r="L2401" s="38" t="n">
        <f aca="false">Sens!$L$2377-Sens!$L$2398+Sens!$L$2399+Sens!$L$2400</f>
        <v>183.002830210687</v>
      </c>
      <c r="M2401" s="38" t="n">
        <f aca="false">Sens!$M$2377-Sens!$M$2398+Sens!$M$2399+Sens!$M$2400</f>
        <v>201.206862951487</v>
      </c>
      <c r="N2401" s="38" t="n">
        <f aca="false">Q!$N$36</f>
        <v>42.536</v>
      </c>
      <c r="O2401" s="38" t="n">
        <f aca="false">Q!$O$36</f>
        <v>54.775</v>
      </c>
    </row>
    <row r="2402" customFormat="false" ht="15" hidden="false" customHeight="false" outlineLevel="0" collapsed="false">
      <c r="A2402" s="5" t="s">
        <v>548</v>
      </c>
      <c r="B2402" s="0" t="s">
        <v>86</v>
      </c>
      <c r="C2402" s="38" t="n">
        <f aca="false">Q!$D$37</f>
        <v>9.265</v>
      </c>
      <c r="D2402" s="38" t="n">
        <f aca="false">Q!$E$37</f>
        <v>19.087</v>
      </c>
      <c r="E2402" s="38" t="n">
        <f aca="false">Q!$P$37</f>
        <v>27.759</v>
      </c>
      <c r="F2402" s="38" t="n">
        <f aca="false">Sens!$F$2401*tax</f>
        <v>9.59848492754139</v>
      </c>
      <c r="G2402" s="38" t="n">
        <f aca="false">Sens!$E$2402+Sens!$F$2402</f>
        <v>37.3574849275414</v>
      </c>
      <c r="H2402" s="38" t="n">
        <f aca="false">Sens!$H$2401*tax</f>
        <v>21.5774771492637</v>
      </c>
      <c r="I2402" s="38" t="n">
        <f aca="false">Sens!$I$2401*tax</f>
        <v>24.3556459063238</v>
      </c>
      <c r="J2402" s="38" t="n">
        <f aca="false">Sens!$J$2401*tax</f>
        <v>27.1159536241208</v>
      </c>
      <c r="K2402" s="38" t="n">
        <f aca="false">Sens!$K$2401*tax</f>
        <v>29.1277842782256</v>
      </c>
      <c r="L2402" s="38" t="n">
        <f aca="false">Sens!$L$2401*tax</f>
        <v>31.76645965243</v>
      </c>
      <c r="M2402" s="38" t="n">
        <f aca="false">Sens!$M$2401*tax</f>
        <v>34.9263980583355</v>
      </c>
      <c r="N2402" s="38" t="n">
        <f aca="false">Q!$N$37</f>
        <v>7.231</v>
      </c>
      <c r="O2402" s="38" t="n">
        <f aca="false">Q!$O$37</f>
        <v>11.856</v>
      </c>
    </row>
    <row r="2403" customFormat="false" ht="15" hidden="false" customHeight="false" outlineLevel="0" collapsed="false">
      <c r="A2403" s="3" t="s">
        <v>549</v>
      </c>
      <c r="B2403" s="8" t="s">
        <v>86</v>
      </c>
      <c r="C2403" s="38" t="n">
        <f aca="false">Q!$D$38</f>
        <v>59.248</v>
      </c>
      <c r="D2403" s="38" t="n">
        <f aca="false">Q!$E$38</f>
        <v>77.67</v>
      </c>
      <c r="E2403" s="38" t="n">
        <f aca="false">Q!$P$38</f>
        <v>92.902</v>
      </c>
      <c r="F2403" s="38" t="n">
        <f aca="false">Sens!$F$2401-Sens!$F$2402</f>
        <v>45.6972555073019</v>
      </c>
      <c r="G2403" s="38" t="n">
        <f aca="false">Sens!$E$2403+Sens!$F$2403</f>
        <v>138.599255507302</v>
      </c>
      <c r="H2403" s="38" t="n">
        <f aca="false">Sens!$H$2401-Sens!$H$2402</f>
        <v>102.727825686698</v>
      </c>
      <c r="I2403" s="38" t="n">
        <f aca="false">Sens!$I$2401-Sens!$I$2402</f>
        <v>115.954359717033</v>
      </c>
      <c r="J2403" s="38" t="n">
        <f aca="false">Sens!$J$2401-Sens!$J$2402</f>
        <v>129.095859444455</v>
      </c>
      <c r="K2403" s="38" t="n">
        <f aca="false">Sens!$K$2401-Sens!$K$2402</f>
        <v>138.673948083658</v>
      </c>
      <c r="L2403" s="38" t="n">
        <f aca="false">Sens!$L$2401-Sens!$L$2402</f>
        <v>151.236370558257</v>
      </c>
      <c r="M2403" s="38" t="n">
        <f aca="false">Sens!$M$2401-Sens!$M$2402</f>
        <v>166.280464893152</v>
      </c>
      <c r="N2403" s="38" t="n">
        <f aca="false">Q!$N$38</f>
        <v>35.291</v>
      </c>
      <c r="O2403" s="38" t="n">
        <f aca="false">Q!$O$38</f>
        <v>42.379</v>
      </c>
    </row>
    <row r="2404" customFormat="false" ht="17.15" hidden="false" customHeight="false" outlineLevel="0" collapsed="false">
      <c r="A2404" s="5" t="s">
        <v>552</v>
      </c>
      <c r="B2404" s="5" t="s">
        <v>33</v>
      </c>
      <c r="C2404" s="22" t="n">
        <f aca="false">Q!$D$41</f>
        <v>10.721</v>
      </c>
      <c r="D2404" s="22" t="n">
        <f aca="false">Q!$E$41</f>
        <v>10.827</v>
      </c>
      <c r="E2404" s="22" t="n">
        <f aca="false">(Q!$L$41+Q!$M$41)/2</f>
        <v>10.8885</v>
      </c>
      <c r="F2404" s="22" t="n">
        <f aca="false">Sens!$G$2404</f>
        <v>10.924806</v>
      </c>
      <c r="G2404" s="22" t="n">
        <f aca="false">Q!$M$41*(1+sh_g*0.25)</f>
        <v>10.924806</v>
      </c>
      <c r="H2404" s="22" t="n">
        <f aca="false">Sens!$G$2404*(1+sh_g)</f>
        <v>11.012204448</v>
      </c>
      <c r="I2404" s="22" t="n">
        <f aca="false">Sens!$H$2404*(1+sh_g)</f>
        <v>11.100302083584</v>
      </c>
      <c r="J2404" s="22" t="n">
        <f aca="false">Sens!$I$2404*(1+sh_g)</f>
        <v>11.1891045002527</v>
      </c>
      <c r="K2404" s="22" t="n">
        <f aca="false">Sens!$J$2404*(1+sh_g)</f>
        <v>11.2786173362547</v>
      </c>
      <c r="L2404" s="22" t="n">
        <f aca="false">Sens!$K$2404*(1+sh_g)</f>
        <v>11.3688462749447</v>
      </c>
      <c r="M2404" s="22" t="n">
        <f aca="false">Sens!$L$2404*(1+sh_g)</f>
        <v>11.4597970451443</v>
      </c>
      <c r="P2404" s="5" t="s">
        <v>755</v>
      </c>
    </row>
    <row r="2405" customFormat="false" ht="17.15" hidden="false" customHeight="false" outlineLevel="0" collapsed="false">
      <c r="A2405" s="5" t="s">
        <v>756</v>
      </c>
      <c r="B2405" s="0" t="s">
        <v>86</v>
      </c>
      <c r="C2405" s="38" t="n">
        <f aca="false">Sens!$C$2403+Sens!$C$2379*(1-tax)</f>
        <v>59.248</v>
      </c>
      <c r="D2405" s="38" t="n">
        <f aca="false">Sens!$D$2403+Sens!$D$2379*(1-tax)</f>
        <v>77.67</v>
      </c>
      <c r="E2405" s="38" t="n">
        <f aca="false">Sens!$E$2403+Sens!$E$2379*(1-tax)</f>
        <v>92.902</v>
      </c>
      <c r="F2405" s="38" t="n">
        <f aca="false">Sens!$F$2403+Sens!$F$2379*(1-tax)</f>
        <v>48.6605846793033</v>
      </c>
      <c r="G2405" s="38" t="n">
        <f aca="false">Sens!$G$2403+Sens!$G$2379*(1-tax)</f>
        <v>141.562584679303</v>
      </c>
      <c r="H2405" s="38" t="n">
        <f aca="false">Sens!$H$2403+Sens!$H$2379*(1-tax)</f>
        <v>114.033095340865</v>
      </c>
      <c r="I2405" s="38" t="n">
        <f aca="false">Sens!$I$2403+Sens!$I$2379*(1-tax)</f>
        <v>134.643372189615</v>
      </c>
      <c r="J2405" s="38" t="n">
        <f aca="false">Sens!$J$2403+Sens!$J$2379*(1-tax)</f>
        <v>155.206917485203</v>
      </c>
      <c r="K2405" s="38" t="n">
        <f aca="false">Sens!$K$2403+Sens!$K$2379*(1-tax)</f>
        <v>171.116137036447</v>
      </c>
      <c r="L2405" s="38" t="n">
        <f aca="false">Sens!$L$2403+Sens!$L$2379*(1-tax)</f>
        <v>187.839370236294</v>
      </c>
      <c r="M2405" s="38" t="n">
        <f aca="false">Sens!$M$2403+Sens!$M$2379*(1-tax)</f>
        <v>204.867725424513</v>
      </c>
      <c r="N2405" s="38" t="n">
        <f aca="false">Sens!$N$2403+Sens!$N$2379*(1-tax)</f>
        <v>35.291</v>
      </c>
      <c r="O2405" s="38" t="n">
        <f aca="false">Sens!$O$2403+Sens!$O$2379*(1-tax)</f>
        <v>42.379</v>
      </c>
    </row>
    <row r="2406" customFormat="false" ht="17.15" hidden="false" customHeight="false" outlineLevel="0" collapsed="false">
      <c r="A2406" s="43" t="s">
        <v>757</v>
      </c>
      <c r="B2406" s="14" t="s">
        <v>27</v>
      </c>
      <c r="C2406" s="44" t="n">
        <f aca="false">Sens!$C$2405/Sens!$C$2404</f>
        <v>5.52635015390355</v>
      </c>
      <c r="D2406" s="44" t="n">
        <f aca="false">Sens!$D$2405/Sens!$D$2404</f>
        <v>7.1737323358271</v>
      </c>
      <c r="E2406" s="44" t="n">
        <f aca="false">Sens!$E$2405/Sens!$E$2404</f>
        <v>8.53212104513937</v>
      </c>
      <c r="F2406" s="14"/>
      <c r="G2406" s="44" t="n">
        <f aca="false">Sens!$G$2405/Sens!$G$2404</f>
        <v>12.9579037540166</v>
      </c>
      <c r="H2406" s="44" t="n">
        <f aca="false">Sens!$H$2405/Sens!$H$2404</f>
        <v>10.3551560343193</v>
      </c>
      <c r="I2406" s="44" t="n">
        <f aca="false">Sens!$I$2405/Sens!$I$2404</f>
        <v>12.1297034239038</v>
      </c>
      <c r="J2406" s="44" t="n">
        <f aca="false">Sens!$J$2405/Sens!$J$2404</f>
        <v>13.8712546193217</v>
      </c>
      <c r="K2406" s="44" t="n">
        <f aca="false">Sens!$K$2405/Sens!$K$2404</f>
        <v>15.1717300033224</v>
      </c>
      <c r="L2406" s="44" t="n">
        <f aca="false">Sens!$L$2405/Sens!$L$2404</f>
        <v>16.5222895704259</v>
      </c>
      <c r="M2406" s="44" t="n">
        <f aca="false">Sens!$M$2405/Sens!$M$2404</f>
        <v>17.8770814716408</v>
      </c>
      <c r="N2406" s="14"/>
      <c r="O2406" s="14"/>
    </row>
    <row r="2407" customFormat="false" ht="17.15" hidden="false" customHeight="false" outlineLevel="0" collapsed="false">
      <c r="A2407" s="0" t="s">
        <v>758</v>
      </c>
      <c r="B2407" s="0" t="s">
        <v>27</v>
      </c>
      <c r="C2407" s="30" t="n">
        <f aca="false">Sens!$C$2403/Sens!$C$2404</f>
        <v>5.52635015390355</v>
      </c>
      <c r="D2407" s="30" t="n">
        <f aca="false">Sens!$D$2403/Sens!$D$2404</f>
        <v>7.1737323358271</v>
      </c>
      <c r="E2407" s="30" t="n">
        <f aca="false">Sens!$E$2403/Sens!$E$2404</f>
        <v>8.53212104513937</v>
      </c>
      <c r="G2407" s="30" t="n">
        <f aca="false">Sens!$G$2403/Sens!$G$2404</f>
        <v>12.6866559925459</v>
      </c>
      <c r="H2407" s="30" t="n">
        <f aca="false">Sens!$H$2403/Sens!$H$2404</f>
        <v>9.32854326958625</v>
      </c>
      <c r="I2407" s="30" t="n">
        <f aca="false">Sens!$I$2403/Sens!$I$2404</f>
        <v>10.4460544266192</v>
      </c>
      <c r="J2407" s="30" t="n">
        <f aca="false">Sens!$J$2403/Sens!$J$2404</f>
        <v>11.537639981961</v>
      </c>
      <c r="K2407" s="30" t="n">
        <f aca="false">Sens!$K$2403/Sens!$K$2404</f>
        <v>12.2952968390811</v>
      </c>
      <c r="L2407" s="30" t="n">
        <f aca="false">Sens!$L$2403/Sens!$L$2404</f>
        <v>13.3027016902814</v>
      </c>
      <c r="M2407" s="30" t="n">
        <f aca="false">Sens!$M$2403/Sens!$M$2404</f>
        <v>14.5098961384842</v>
      </c>
    </row>
    <row r="2408" customFormat="false" ht="17.15" hidden="false" customHeight="false" outlineLevel="0" collapsed="false">
      <c r="A2408" s="0" t="s">
        <v>759</v>
      </c>
      <c r="B2408" s="0" t="s">
        <v>27</v>
      </c>
      <c r="C2408" s="30" t="n">
        <f aca="false">(Sens!$C$2403-Sens!$C$2400*(1-tax))/Sens!$C$2404</f>
        <v>5.33926775917445</v>
      </c>
      <c r="D2408" s="30" t="n">
        <f aca="false">(Sens!$D$2403-Sens!$D$2400*(1-tax))/Sens!$D$2404</f>
        <v>5.67691812755503</v>
      </c>
      <c r="E2408" s="30" t="n">
        <f aca="false">(Sens!$E$2403-Sens!$E$2400*(1-tax))/Sens!$E$2404</f>
        <v>3.10602057006846</v>
      </c>
      <c r="G2408" s="30" t="n">
        <f aca="false">(Sens!$G$2403-Sens!$G$2400*(1-tax))/Sens!$G$2404</f>
        <v>7.27858787464897</v>
      </c>
      <c r="H2408" s="30" t="n">
        <f aca="false">(Sens!$H$2403-Sens!$H$2400*(1-tax))/Sens!$H$2404</f>
        <v>9.32854326958625</v>
      </c>
      <c r="I2408" s="30" t="n">
        <f aca="false">(Sens!$I$2403-Sens!$I$2400*(1-tax))/Sens!$I$2404</f>
        <v>10.4460544266192</v>
      </c>
      <c r="J2408" s="30" t="n">
        <f aca="false">(Sens!$J$2403-Sens!$J$2400*(1-tax))/Sens!$J$2404</f>
        <v>11.537639981961</v>
      </c>
      <c r="K2408" s="30" t="n">
        <f aca="false">(Sens!$K$2403-Sens!$K$2400*(1-tax))/Sens!$K$2404</f>
        <v>12.2952968390811</v>
      </c>
      <c r="L2408" s="30" t="n">
        <f aca="false">(Sens!$L$2403-Sens!$L$2400*(1-tax))/Sens!$L$2404</f>
        <v>13.3027016902814</v>
      </c>
      <c r="M2408" s="30" t="n">
        <f aca="false">(Sens!$M$2403-Sens!$M$2400*(1-tax))/Sens!$M$2404</f>
        <v>14.5098961384842</v>
      </c>
      <c r="P2408" s="5" t="s">
        <v>760</v>
      </c>
    </row>
    <row r="2409" customFormat="false" ht="17.15" hidden="false" customHeight="false" outlineLevel="0" collapsed="false">
      <c r="A2409" s="0" t="s">
        <v>761</v>
      </c>
      <c r="B2409" s="0" t="s">
        <v>52</v>
      </c>
      <c r="H2409" s="13" t="n">
        <f aca="false">Sens!$H$2406/Sens!$G$2406-1</f>
        <v>-0.2008617882264</v>
      </c>
      <c r="I2409" s="13" t="n">
        <f aca="false">Sens!$I$2406/Sens!$H$2406-1</f>
        <v>0.171368483845467</v>
      </c>
      <c r="J2409" s="13" t="n">
        <f aca="false">Sens!$J$2406/Sens!$I$2406-1</f>
        <v>0.143577392995931</v>
      </c>
      <c r="K2409" s="13" t="n">
        <f aca="false">Sens!$K$2406/Sens!$J$2406-1</f>
        <v>0.093753263110691</v>
      </c>
      <c r="L2409" s="13" t="n">
        <f aca="false">Sens!$L$2406/Sens!$K$2406-1</f>
        <v>0.0890181651537263</v>
      </c>
      <c r="M2409" s="13" t="n">
        <f aca="false">Sens!$M$2406/Sens!$L$2406-1</f>
        <v>0.0819978305936464</v>
      </c>
    </row>
    <row r="2412" customFormat="false" ht="19.4" hidden="false" customHeight="false" outlineLevel="0" collapsed="false">
      <c r="A2412" s="31" t="s">
        <v>1183</v>
      </c>
    </row>
    <row r="2413" customFormat="false" ht="17.15" hidden="false" customHeight="false" outlineLevel="0" collapsed="false">
      <c r="A2413" s="6" t="s">
        <v>16</v>
      </c>
      <c r="B2413" s="6" t="s">
        <v>17</v>
      </c>
      <c r="C2413" s="20" t="s">
        <v>497</v>
      </c>
      <c r="D2413" s="20" t="s">
        <v>498</v>
      </c>
      <c r="E2413" s="20" t="s">
        <v>580</v>
      </c>
      <c r="F2413" s="20" t="s">
        <v>581</v>
      </c>
      <c r="G2413" s="20" t="s">
        <v>582</v>
      </c>
      <c r="H2413" s="20" t="s">
        <v>583</v>
      </c>
      <c r="I2413" s="20" t="s">
        <v>584</v>
      </c>
      <c r="J2413" s="20" t="s">
        <v>585</v>
      </c>
      <c r="K2413" s="20" t="s">
        <v>586</v>
      </c>
      <c r="L2413" s="20" t="s">
        <v>587</v>
      </c>
      <c r="M2413" s="20" t="s">
        <v>588</v>
      </c>
      <c r="N2413" s="20" t="s">
        <v>589</v>
      </c>
      <c r="O2413" s="20" t="s">
        <v>590</v>
      </c>
      <c r="P2413" s="6" t="s">
        <v>23</v>
      </c>
      <c r="R2413" s="20" t="n">
        <v>2023</v>
      </c>
      <c r="S2413" s="20" t="n">
        <v>2024</v>
      </c>
      <c r="T2413" s="20" t="n">
        <v>2025</v>
      </c>
      <c r="U2413" s="20" t="n">
        <v>2026</v>
      </c>
      <c r="V2413" s="20" t="n">
        <v>2027</v>
      </c>
      <c r="W2413" s="20" t="n">
        <v>2028</v>
      </c>
      <c r="X2413" s="20" t="n">
        <v>2029</v>
      </c>
      <c r="Y2413" s="20" t="n">
        <v>2030</v>
      </c>
      <c r="Z2413" s="20" t="n">
        <v>2031</v>
      </c>
      <c r="AA2413" s="20" t="n">
        <v>2032</v>
      </c>
    </row>
    <row r="2414" customFormat="false" ht="15" hidden="false" customHeight="false" outlineLevel="0" collapsed="false">
      <c r="A2414" s="5" t="s">
        <v>549</v>
      </c>
      <c r="B2414" s="0" t="s">
        <v>86</v>
      </c>
      <c r="C2414" s="38" t="n">
        <f aca="false">Sens!$C$2403</f>
        <v>59.248</v>
      </c>
      <c r="D2414" s="38" t="n">
        <f aca="false">Sens!$D$2403</f>
        <v>77.67</v>
      </c>
      <c r="E2414" s="38" t="n">
        <f aca="false">Sens!$E$2403</f>
        <v>92.902</v>
      </c>
      <c r="F2414" s="38" t="n">
        <f aca="false">Sens!$F$2403</f>
        <v>45.6972555073019</v>
      </c>
      <c r="G2414" s="38" t="n">
        <f aca="false">Sens!$G$2403</f>
        <v>138.599255507302</v>
      </c>
      <c r="H2414" s="38" t="n">
        <f aca="false">Sens!$H$2403</f>
        <v>102.727825686698</v>
      </c>
      <c r="I2414" s="38" t="n">
        <f aca="false">Sens!$I$2403</f>
        <v>115.954359717033</v>
      </c>
      <c r="J2414" s="38" t="n">
        <f aca="false">Sens!$J$2403</f>
        <v>129.095859444455</v>
      </c>
      <c r="K2414" s="38" t="n">
        <f aca="false">Sens!$K$2403</f>
        <v>138.673948083658</v>
      </c>
      <c r="L2414" s="38" t="n">
        <f aca="false">Sens!$L$2403</f>
        <v>151.236370558257</v>
      </c>
      <c r="M2414" s="38" t="n">
        <f aca="false">Sens!$M$2403</f>
        <v>166.280464893152</v>
      </c>
    </row>
    <row r="2415" customFormat="false" ht="17.15" hidden="false" customHeight="false" outlineLevel="0" collapsed="false">
      <c r="A2415" s="5" t="s">
        <v>784</v>
      </c>
      <c r="B2415" s="0" t="s">
        <v>86</v>
      </c>
      <c r="C2415" s="38" t="n">
        <f aca="false">Sens!$C$2391</f>
        <v>32.067</v>
      </c>
      <c r="D2415" s="38" t="n">
        <f aca="false">Sens!$D$2391</f>
        <v>41.86</v>
      </c>
      <c r="E2415" s="38" t="n">
        <f aca="false">Sens!$E$2391</f>
        <v>26.703</v>
      </c>
      <c r="F2415" s="38" t="n">
        <f aca="false">Sens!$F$2391</f>
        <v>28.2071421626285</v>
      </c>
      <c r="G2415" s="38" t="n">
        <f aca="false">Sens!$G$2391</f>
        <v>54.9101421626285</v>
      </c>
      <c r="H2415" s="38" t="n">
        <f aca="false">Sens!$H$2391</f>
        <v>76.1711802552636</v>
      </c>
      <c r="I2415" s="38" t="n">
        <f aca="false">Sens!$I$2391</f>
        <v>105.501124252386</v>
      </c>
      <c r="J2415" s="38" t="n">
        <f aca="false">Sens!$J$2391</f>
        <v>135.553162944498</v>
      </c>
      <c r="K2415" s="38" t="n">
        <f aca="false">Sens!$K$2391</f>
        <v>165.693044597051</v>
      </c>
      <c r="L2415" s="38" t="n">
        <f aca="false">Sens!$L$2391</f>
        <v>188.396259361024</v>
      </c>
      <c r="M2415" s="38" t="n">
        <f aca="false">Sens!$M$2391</f>
        <v>204.578882695843</v>
      </c>
    </row>
    <row r="2416" customFormat="false" ht="15" hidden="false" customHeight="false" outlineLevel="0" collapsed="false">
      <c r="A2416" s="5" t="s">
        <v>785</v>
      </c>
      <c r="B2416" s="0" t="s">
        <v>86</v>
      </c>
      <c r="C2416" s="38" t="n">
        <f aca="false">Q!$D$48</f>
        <v>22.011</v>
      </c>
      <c r="D2416" s="38" t="n">
        <f aca="false">Q!$E$48</f>
        <v>19.467</v>
      </c>
      <c r="E2416" s="38" t="n">
        <f aca="false">Q!$P$48</f>
        <v>10.07</v>
      </c>
      <c r="F2416" s="38" t="n">
        <f aca="false">sbc_r*Sens!$F$2333</f>
        <v>10.8323810366671</v>
      </c>
      <c r="G2416" s="38" t="n">
        <f aca="false">Sens!$E$2416+Sens!$F$2416</f>
        <v>20.9023810366671</v>
      </c>
      <c r="H2416" s="38" t="n">
        <f aca="false">sbc_r*Sens!$H$2333</f>
        <v>23.3156633183579</v>
      </c>
      <c r="I2416" s="38" t="n">
        <f aca="false">sbc_r*Sens!$I$2333</f>
        <v>26.3194350209832</v>
      </c>
      <c r="J2416" s="38" t="n">
        <f aca="false">sbc_r*Sens!$J$2333</f>
        <v>29.1883391060558</v>
      </c>
      <c r="K2416" s="38" t="n">
        <f aca="false">sbc_r*Sens!$K$2333</f>
        <v>31.7063499533888</v>
      </c>
      <c r="L2416" s="38" t="n">
        <f aca="false">sbc_r*Sens!$L$2333</f>
        <v>34.0919305508008</v>
      </c>
      <c r="M2416" s="38" t="n">
        <f aca="false">sbc_r*Sens!$M$2333</f>
        <v>36.3540416129389</v>
      </c>
    </row>
    <row r="2417" customFormat="false" ht="17.15" hidden="false" customHeight="false" outlineLevel="0" collapsed="false">
      <c r="A2417" s="5" t="s">
        <v>786</v>
      </c>
      <c r="B2417" s="0" t="s">
        <v>86</v>
      </c>
      <c r="C2417" s="38" t="n">
        <f aca="false">Q!$D$44-Sens!$C$2414-Sens!$C$2415-Sens!$C$2416</f>
        <v>2.551</v>
      </c>
      <c r="D2417" s="38" t="n">
        <f aca="false">Q!$E$44-Sens!$D$2414-Sens!$D$2415-Sens!$D$2416</f>
        <v>0.51700000000001</v>
      </c>
      <c r="E2417" s="38" t="n">
        <f aca="false">Q!$P$44-Sens!$E$2414-Sens!$E$2415-Sens!$E$2416</f>
        <v>-58.256</v>
      </c>
      <c r="F2417" s="38" t="n">
        <f aca="false">oth_r*Sens!$F$2333</f>
        <v>5.21383351763593</v>
      </c>
      <c r="G2417" s="38" t="n">
        <f aca="false">Sens!$E$2417+Sens!$F$2417</f>
        <v>-53.0421664823641</v>
      </c>
      <c r="H2417" s="38" t="n">
        <f aca="false">oth_r*Sens!$H$2333</f>
        <v>11.2222775845569</v>
      </c>
      <c r="I2417" s="38" t="n">
        <f aca="false">oth_r*Sens!$I$2333</f>
        <v>12.668050728011</v>
      </c>
      <c r="J2417" s="38" t="n">
        <f aca="false">oth_r*Sens!$J$2333</f>
        <v>14.0489094909184</v>
      </c>
      <c r="K2417" s="38" t="n">
        <f aca="false">oth_r*Sens!$K$2333</f>
        <v>15.2608765837631</v>
      </c>
      <c r="L2417" s="38" t="n">
        <f aca="false">oth_r*Sens!$L$2333</f>
        <v>16.4091024480219</v>
      </c>
      <c r="M2417" s="38" t="n">
        <f aca="false">oth_r*Sens!$M$2333</f>
        <v>17.4979000481495</v>
      </c>
      <c r="P2417" s="8" t="s">
        <v>787</v>
      </c>
    </row>
    <row r="2418" customFormat="false" ht="15" hidden="false" customHeight="false" outlineLevel="0" collapsed="false">
      <c r="A2418" s="3" t="s">
        <v>555</v>
      </c>
      <c r="B2418" s="8" t="s">
        <v>86</v>
      </c>
      <c r="C2418" s="38" t="n">
        <f aca="false">Q!$D$44</f>
        <v>115.877</v>
      </c>
      <c r="D2418" s="38" t="n">
        <f aca="false">Q!$E$44</f>
        <v>139.514</v>
      </c>
      <c r="E2418" s="38" t="n">
        <f aca="false">Q!$P$44</f>
        <v>71.419</v>
      </c>
      <c r="F2418" s="38" t="n">
        <f aca="false">Sens!$F$2414+Sens!$F$2415+Sens!$F$2416+Sens!$F$2417</f>
        <v>89.9506122242335</v>
      </c>
      <c r="G2418" s="38" t="n">
        <f aca="false">Sens!$E$2418+Sens!$F$2418</f>
        <v>161.369612224234</v>
      </c>
      <c r="H2418" s="38" t="n">
        <f aca="false">Sens!$H$2414+Sens!$H$2415+Sens!$H$2416+Sens!$H$2417</f>
        <v>213.436946844876</v>
      </c>
      <c r="I2418" s="38" t="n">
        <f aca="false">Sens!$I$2414+Sens!$I$2415+Sens!$I$2416+Sens!$I$2417</f>
        <v>260.442969718413</v>
      </c>
      <c r="J2418" s="38" t="n">
        <f aca="false">Sens!$J$2414+Sens!$J$2415+Sens!$J$2416+Sens!$J$2417</f>
        <v>307.886270985926</v>
      </c>
      <c r="K2418" s="38" t="n">
        <f aca="false">Sens!$K$2414+Sens!$K$2415+Sens!$K$2416+Sens!$K$2417</f>
        <v>351.334219217861</v>
      </c>
      <c r="L2418" s="38" t="n">
        <f aca="false">Sens!$L$2414+Sens!$L$2415+Sens!$L$2416+Sens!$L$2417</f>
        <v>390.133662918103</v>
      </c>
      <c r="M2418" s="38" t="n">
        <f aca="false">Sens!$M$2414+Sens!$M$2415+Sens!$M$2416+Sens!$M$2417</f>
        <v>424.711289250083</v>
      </c>
    </row>
    <row r="2419" customFormat="false" ht="17.15" hidden="false" customHeight="false" outlineLevel="0" collapsed="false">
      <c r="A2419" s="5" t="s">
        <v>788</v>
      </c>
      <c r="B2419" s="0" t="s">
        <v>86</v>
      </c>
      <c r="C2419" s="38" t="n">
        <f aca="false">Sens!$C$2300</f>
        <v>25.2781053077374</v>
      </c>
      <c r="D2419" s="38" t="n">
        <f aca="false">Sens!$D$2300</f>
        <v>69.5686316310026</v>
      </c>
      <c r="E2419" s="38" t="n">
        <f aca="false">Sens!$E$2300</f>
        <v>64.1899206485108</v>
      </c>
      <c r="F2419" s="38" t="n">
        <f aca="false">Sens!$F$2300</f>
        <v>88.7165504612134</v>
      </c>
      <c r="G2419" s="38" t="n">
        <f aca="false">Sens!$G$2300</f>
        <v>152.906471109724</v>
      </c>
      <c r="H2419" s="38" t="n">
        <f aca="false">Sens!$H$2300</f>
        <v>176.6039130979</v>
      </c>
      <c r="I2419" s="38" t="n">
        <f aca="false">Sens!$I$2300</f>
        <v>182.67901806365</v>
      </c>
      <c r="J2419" s="38" t="n">
        <f aca="false">Sens!$J$2300</f>
        <v>187.19044872365</v>
      </c>
      <c r="K2419" s="38" t="n">
        <f aca="false">Sens!$K$2300</f>
        <v>138.248156309061</v>
      </c>
      <c r="L2419" s="38" t="n">
        <f aca="false">Sens!$L$2300</f>
        <v>116.374447854472</v>
      </c>
      <c r="M2419" s="38" t="n">
        <f aca="false">Sens!$M$2300</f>
        <v>114.695030891708</v>
      </c>
    </row>
    <row r="2420" customFormat="false" ht="17.15" hidden="false" customHeight="false" outlineLevel="0" collapsed="false">
      <c r="A2420" s="5" t="s">
        <v>789</v>
      </c>
      <c r="B2420" s="0" t="s">
        <v>86</v>
      </c>
      <c r="C2420" s="38" t="n">
        <f aca="false">cx_awso*Sens!$C$2331</f>
        <v>21.0469989286053</v>
      </c>
      <c r="D2420" s="38" t="n">
        <f aca="false">cx_awso*Sens!$D$2331</f>
        <v>24.0042459822698</v>
      </c>
      <c r="E2420" s="38" t="n">
        <f aca="false">cx_awso*Sens!$E$2331</f>
        <v>14.261729404886</v>
      </c>
      <c r="F2420" s="38" t="n">
        <f aca="false">cx_awso*Sens!$F$2331</f>
        <v>14.3538599588493</v>
      </c>
      <c r="G2420" s="38" t="n">
        <f aca="false">Sens!$E$2420+Sens!$F$2420</f>
        <v>28.6155893637353</v>
      </c>
      <c r="H2420" s="38" t="n">
        <f aca="false">cx_awso*Sens!$H$2331</f>
        <v>32.2034154158406</v>
      </c>
      <c r="I2420" s="38" t="n">
        <f aca="false">cx_awso*Sens!$I$2331</f>
        <v>35.7539519042915</v>
      </c>
      <c r="J2420" s="38" t="n">
        <f aca="false">cx_awso*Sens!$J$2331</f>
        <v>39.1551076091815</v>
      </c>
      <c r="K2420" s="38" t="n">
        <f aca="false">cx_awso*Sens!$K$2331</f>
        <v>42.287516217916</v>
      </c>
      <c r="L2420" s="38" t="n">
        <f aca="false">cx_awso*Sens!$L$2331</f>
        <v>45.6705175153492</v>
      </c>
      <c r="M2420" s="38" t="n">
        <f aca="false">cx_awso*Sens!$M$2331</f>
        <v>49.3241589165772</v>
      </c>
    </row>
    <row r="2421" customFormat="false" ht="17.15" hidden="false" customHeight="false" outlineLevel="0" collapsed="false">
      <c r="A2421" s="5" t="s">
        <v>790</v>
      </c>
      <c r="B2421" s="0" t="s">
        <v>86</v>
      </c>
      <c r="C2421" s="38" t="n">
        <f aca="false">Q!$D$46-Sens!$C$2419-Sens!$C$2420</f>
        <v>31.3328957636573</v>
      </c>
      <c r="D2421" s="38" t="n">
        <f aca="false">Q!$E$46-Sens!$D$2419-Sens!$D$2420</f>
        <v>34.7471223867276</v>
      </c>
      <c r="E2421" s="38" t="n">
        <f aca="false">Q!$P$46-Sens!$E$2419-Sens!$E$2420</f>
        <v>17.8583499466032</v>
      </c>
      <c r="F2421" s="38" t="n">
        <f aca="false">cx_rt*Sens!$F$2263</f>
        <v>20.6195895799373</v>
      </c>
      <c r="G2421" s="38" t="n">
        <f aca="false">Sens!$E$2421+Sens!$F$2421</f>
        <v>38.4779395265405</v>
      </c>
      <c r="H2421" s="38" t="n">
        <f aca="false">cx_rt*Sens!$H$2263</f>
        <v>42.5978994743075</v>
      </c>
      <c r="I2421" s="38" t="n">
        <f aca="false">cx_rt*Sens!$I$2263</f>
        <v>46.5813904136335</v>
      </c>
      <c r="J2421" s="38" t="n">
        <f aca="false">cx_rt*Sens!$J$2263</f>
        <v>50.2781676586844</v>
      </c>
      <c r="K2421" s="38" t="n">
        <f aca="false">cx_rt*Sens!$K$2263</f>
        <v>53.5312440191755</v>
      </c>
      <c r="L2421" s="38" t="n">
        <f aca="false">cx_rt*Sens!$L$2263</f>
        <v>57.0116717051447</v>
      </c>
      <c r="M2421" s="38" t="n">
        <f aca="false">cx_rt*Sens!$M$2263</f>
        <v>60.7365554669226</v>
      </c>
    </row>
    <row r="2422" customFormat="false" ht="15" hidden="false" customHeight="false" outlineLevel="0" collapsed="false">
      <c r="A2422" s="3" t="s">
        <v>791</v>
      </c>
      <c r="B2422" s="8" t="s">
        <v>86</v>
      </c>
      <c r="C2422" s="38" t="n">
        <f aca="false">Q!$D$46</f>
        <v>77.658</v>
      </c>
      <c r="D2422" s="38" t="n">
        <f aca="false">Q!$E$46</f>
        <v>128.32</v>
      </c>
      <c r="E2422" s="38" t="n">
        <f aca="false">Q!$P$46</f>
        <v>96.31</v>
      </c>
      <c r="F2422" s="38" t="n">
        <f aca="false">Sens!$F$2419+Sens!$F$2420+Sens!$F$2421</f>
        <v>123.69</v>
      </c>
      <c r="G2422" s="38" t="n">
        <f aca="false">Sens!$E$2422+Sens!$F$2422</f>
        <v>220</v>
      </c>
      <c r="H2422" s="38" t="n">
        <f aca="false">Sens!$H$2419+Sens!$H$2420+Sens!$H$2421</f>
        <v>251.405227988048</v>
      </c>
      <c r="I2422" s="38" t="n">
        <f aca="false">Sens!$I$2419+Sens!$I$2420+Sens!$I$2421</f>
        <v>265.014360381575</v>
      </c>
      <c r="J2422" s="38" t="n">
        <f aca="false">Sens!$J$2419+Sens!$J$2420+Sens!$J$2421</f>
        <v>276.623723991516</v>
      </c>
      <c r="K2422" s="38" t="n">
        <f aca="false">Sens!$K$2419+Sens!$K$2420+Sens!$K$2421</f>
        <v>234.066916546153</v>
      </c>
      <c r="L2422" s="38" t="n">
        <f aca="false">Sens!$L$2419+Sens!$L$2420+Sens!$L$2421</f>
        <v>219.056637074966</v>
      </c>
      <c r="M2422" s="38" t="n">
        <f aca="false">Sens!$M$2419+Sens!$M$2420+Sens!$M$2421</f>
        <v>224.755745275208</v>
      </c>
    </row>
    <row r="2423" customFormat="false" ht="17.15" hidden="false" customHeight="false" outlineLevel="0" collapsed="false">
      <c r="A2423" s="5" t="s">
        <v>563</v>
      </c>
      <c r="B2423" s="0" t="s">
        <v>86</v>
      </c>
      <c r="C2423" s="38" t="n">
        <f aca="false">Q!$D$50</f>
        <v>2.043</v>
      </c>
      <c r="D2423" s="38" t="n">
        <f aca="false">Q!$E$50</f>
        <v>1.557</v>
      </c>
      <c r="E2423" s="38" t="n">
        <f aca="false">lease_pr/2</f>
        <v>0.8</v>
      </c>
      <c r="F2423" s="38" t="n">
        <f aca="false">lease_pr/2</f>
        <v>0.8</v>
      </c>
      <c r="G2423" s="38" t="n">
        <f aca="false">Sens!$E$2423+Sens!$F$2423</f>
        <v>1.6</v>
      </c>
      <c r="H2423" s="38" t="n">
        <f aca="false">lease_pr</f>
        <v>1.6</v>
      </c>
      <c r="I2423" s="38" t="n">
        <f aca="false">lease_pr</f>
        <v>1.6</v>
      </c>
      <c r="J2423" s="38" t="n">
        <f aca="false">lease_pr</f>
        <v>1.6</v>
      </c>
      <c r="K2423" s="38" t="n">
        <f aca="false">lease_pr</f>
        <v>1.6</v>
      </c>
      <c r="L2423" s="38" t="n">
        <f aca="false">lease_pr</f>
        <v>1.6</v>
      </c>
      <c r="M2423" s="38" t="n">
        <f aca="false">lease_pr</f>
        <v>1.6</v>
      </c>
      <c r="P2423" s="8" t="s">
        <v>792</v>
      </c>
    </row>
    <row r="2424" customFormat="false" ht="15" hidden="false" customHeight="false" outlineLevel="0" collapsed="false">
      <c r="A2424" s="47" t="s">
        <v>793</v>
      </c>
      <c r="B2424" s="14" t="s">
        <v>86</v>
      </c>
      <c r="C2424" s="48" t="n">
        <f aca="false">Sens!$C$2418-Sens!$C$2422-Sens!$C$2423</f>
        <v>36.176</v>
      </c>
      <c r="D2424" s="48" t="n">
        <f aca="false">Sens!$D$2418-Sens!$D$2422-Sens!$D$2423</f>
        <v>9.63700000000002</v>
      </c>
      <c r="E2424" s="48" t="n">
        <f aca="false">Sens!$E$2418-Sens!$E$2422-Sens!$E$2423</f>
        <v>-25.691</v>
      </c>
      <c r="F2424" s="48" t="n">
        <f aca="false">Sens!$F$2418-Sens!$F$2422-Sens!$F$2423</f>
        <v>-34.5393877757665</v>
      </c>
      <c r="G2424" s="48" t="n">
        <f aca="false">Sens!$G$2418-Sens!$G$2422-Sens!$G$2423</f>
        <v>-60.2303877757665</v>
      </c>
      <c r="H2424" s="48" t="n">
        <f aca="false">Sens!$H$2418-Sens!$H$2422-Sens!$H$2423</f>
        <v>-39.5682811431717</v>
      </c>
      <c r="I2424" s="48" t="n">
        <f aca="false">Sens!$I$2418-Sens!$I$2422-Sens!$I$2423</f>
        <v>-6.17139066316245</v>
      </c>
      <c r="J2424" s="48" t="n">
        <f aca="false">Sens!$J$2418-Sens!$J$2422-Sens!$J$2423</f>
        <v>29.6625469944106</v>
      </c>
      <c r="K2424" s="48" t="n">
        <f aca="false">Sens!$K$2418-Sens!$K$2422-Sens!$K$2423</f>
        <v>115.667302671708</v>
      </c>
      <c r="L2424" s="48" t="n">
        <f aca="false">Sens!$L$2418-Sens!$L$2422-Sens!$L$2423</f>
        <v>169.477025843137</v>
      </c>
      <c r="M2424" s="48" t="n">
        <f aca="false">Sens!$M$2418-Sens!$M$2422-Sens!$M$2423</f>
        <v>198.355543974875</v>
      </c>
      <c r="N2424" s="14"/>
      <c r="O2424" s="14"/>
    </row>
    <row r="2425" customFormat="false" ht="17.15" hidden="false" customHeight="false" outlineLevel="0" collapsed="false">
      <c r="A2425" s="5" t="s">
        <v>794</v>
      </c>
      <c r="B2425" s="0" t="s">
        <v>86</v>
      </c>
      <c r="C2425" s="38" t="n">
        <f aca="false">dps*Sens!$C$2404</f>
        <v>0</v>
      </c>
      <c r="D2425" s="38" t="n">
        <f aca="false">dps*Sens!$D$2404</f>
        <v>0</v>
      </c>
      <c r="E2425" s="38" t="n">
        <f aca="false">dps*Sens!$E$2404</f>
        <v>0</v>
      </c>
      <c r="F2425" s="38" t="n">
        <f aca="false">0</f>
        <v>0</v>
      </c>
      <c r="G2425" s="38" t="n">
        <f aca="false">dps*Sens!$G$2404</f>
        <v>0</v>
      </c>
      <c r="H2425" s="38" t="n">
        <f aca="false">dps*Sens!$H$2404</f>
        <v>0</v>
      </c>
      <c r="I2425" s="38" t="n">
        <f aca="false">dps*Sens!$I$2404</f>
        <v>0</v>
      </c>
      <c r="J2425" s="38" t="n">
        <f aca="false">dps*Sens!$J$2404</f>
        <v>0</v>
      </c>
      <c r="K2425" s="38" t="n">
        <f aca="false">dps*Sens!$K$2404</f>
        <v>0</v>
      </c>
      <c r="L2425" s="38" t="n">
        <f aca="false">dps*Sens!$L$2404</f>
        <v>0</v>
      </c>
      <c r="M2425" s="38" t="n">
        <f aca="false">dps*Sens!$M$2404</f>
        <v>0</v>
      </c>
      <c r="P2425" s="8" t="s">
        <v>795</v>
      </c>
    </row>
    <row r="2426" customFormat="false" ht="17.15" hidden="false" customHeight="false" outlineLevel="0" collapsed="false">
      <c r="A2426" s="5" t="s">
        <v>796</v>
      </c>
      <c r="B2426" s="0" t="s">
        <v>86</v>
      </c>
      <c r="C2426" s="38" t="n">
        <f aca="false">0</f>
        <v>0</v>
      </c>
      <c r="D2426" s="38" t="n">
        <f aca="false">0</f>
        <v>0</v>
      </c>
      <c r="E2426" s="38" t="n">
        <f aca="false">0</f>
        <v>0</v>
      </c>
      <c r="F2426" s="38" t="n">
        <f aca="false">0</f>
        <v>0</v>
      </c>
      <c r="G2426" s="38" t="n">
        <f aca="false">0</f>
        <v>0</v>
      </c>
      <c r="H2426" s="38" t="n">
        <f aca="false">0</f>
        <v>0</v>
      </c>
      <c r="I2426" s="38" t="n">
        <f aca="false">0</f>
        <v>0</v>
      </c>
      <c r="J2426" s="38" t="n">
        <f aca="false">0</f>
        <v>0</v>
      </c>
      <c r="K2426" s="38" t="n">
        <f aca="false">0</f>
        <v>0</v>
      </c>
      <c r="L2426" s="38" t="n">
        <f aca="false">0</f>
        <v>0</v>
      </c>
      <c r="M2426" s="38" t="n">
        <f aca="false">0</f>
        <v>0</v>
      </c>
      <c r="P2426" s="8" t="s">
        <v>797</v>
      </c>
    </row>
    <row r="2427" customFormat="false" ht="15" hidden="false" customHeight="false" outlineLevel="0" collapsed="false">
      <c r="A2427" s="3" t="s">
        <v>798</v>
      </c>
      <c r="B2427" s="8" t="s">
        <v>86</v>
      </c>
      <c r="C2427" s="38" t="n">
        <f aca="false">Sens!$C$2424-Sens!$C$2425</f>
        <v>36.176</v>
      </c>
      <c r="D2427" s="38" t="n">
        <f aca="false">Sens!$D$2424-Sens!$D$2425</f>
        <v>9.63700000000002</v>
      </c>
      <c r="E2427" s="38" t="n">
        <f aca="false">Sens!$E$2424-Sens!$E$2425</f>
        <v>-25.691</v>
      </c>
      <c r="F2427" s="38" t="n">
        <f aca="false">Sens!$F$2424-Sens!$F$2425</f>
        <v>-34.5393877757665</v>
      </c>
      <c r="G2427" s="38" t="n">
        <f aca="false">Sens!$G$2424-Sens!$G$2425</f>
        <v>-60.2303877757665</v>
      </c>
      <c r="H2427" s="38" t="n">
        <f aca="false">Sens!$H$2424-Sens!$H$2425</f>
        <v>-39.5682811431717</v>
      </c>
      <c r="I2427" s="38" t="n">
        <f aca="false">Sens!$I$2424-Sens!$I$2425</f>
        <v>-6.17139066316245</v>
      </c>
      <c r="J2427" s="38" t="n">
        <f aca="false">Sens!$J$2424-Sens!$J$2425</f>
        <v>29.6625469944106</v>
      </c>
      <c r="K2427" s="38" t="n">
        <f aca="false">Sens!$K$2424-Sens!$K$2425</f>
        <v>115.667302671708</v>
      </c>
      <c r="L2427" s="38" t="n">
        <f aca="false">Sens!$L$2424-Sens!$L$2425</f>
        <v>169.477025843137</v>
      </c>
      <c r="M2427" s="38" t="n">
        <f aca="false">Sens!$M$2424-Sens!$M$2425</f>
        <v>198.355543974875</v>
      </c>
    </row>
    <row r="2428" customFormat="false" ht="17.15" hidden="false" customHeight="false" outlineLevel="0" collapsed="false">
      <c r="A2428" s="5" t="s">
        <v>799</v>
      </c>
      <c r="B2428" s="0" t="s">
        <v>86</v>
      </c>
      <c r="E2428" s="38" t="n">
        <f aca="false">Q!$P$53</f>
        <v>39.767</v>
      </c>
      <c r="F2428" s="38" t="n">
        <f aca="false">inv_2h26</f>
        <v>21.3</v>
      </c>
      <c r="G2428" s="38" t="n">
        <f aca="false">Sens!$E$2428+Sens!$F$2428</f>
        <v>61.067</v>
      </c>
      <c r="H2428" s="39" t="n">
        <v>0</v>
      </c>
      <c r="I2428" s="39" t="n">
        <v>0</v>
      </c>
      <c r="J2428" s="39" t="n">
        <v>0</v>
      </c>
      <c r="K2428" s="39" t="n">
        <v>0</v>
      </c>
      <c r="L2428" s="39" t="n">
        <v>0</v>
      </c>
      <c r="M2428" s="39" t="n">
        <v>0</v>
      </c>
    </row>
    <row r="2429" customFormat="false" ht="17.15" hidden="false" customHeight="false" outlineLevel="0" collapsed="false">
      <c r="A2429" s="5" t="s">
        <v>800</v>
      </c>
      <c r="B2429" s="0" t="s">
        <v>86</v>
      </c>
      <c r="F2429" s="38" t="n">
        <f aca="false">iss_2h26</f>
        <v>29.249999</v>
      </c>
      <c r="G2429" s="38" t="n">
        <f aca="false">Sens!$F$2429</f>
        <v>29.249999</v>
      </c>
      <c r="H2429" s="39" t="n">
        <v>0</v>
      </c>
      <c r="I2429" s="39" t="n">
        <v>0</v>
      </c>
      <c r="J2429" s="39" t="n">
        <v>0</v>
      </c>
      <c r="K2429" s="39" t="n">
        <v>0</v>
      </c>
      <c r="L2429" s="39" t="n">
        <v>0</v>
      </c>
      <c r="M2429" s="39" t="n">
        <v>0</v>
      </c>
    </row>
    <row r="2430" customFormat="false" ht="17.15" hidden="false" customHeight="false" outlineLevel="0" collapsed="false">
      <c r="A2430" s="5" t="s">
        <v>801</v>
      </c>
      <c r="B2430" s="0" t="s">
        <v>86</v>
      </c>
      <c r="F2430" s="38" t="n">
        <f aca="false">cash_q2</f>
        <v>122.988</v>
      </c>
      <c r="G2430" s="38" t="n">
        <f aca="false">cash_q2</f>
        <v>122.988</v>
      </c>
      <c r="H2430" s="38" t="n">
        <f aca="false">Sens!$G$2433</f>
        <v>96.3986112242335</v>
      </c>
      <c r="I2430" s="38" t="n">
        <f aca="false">Sens!$H$2433</f>
        <v>56.8303300810617</v>
      </c>
      <c r="J2430" s="38" t="n">
        <f aca="false">Sens!$I$2433</f>
        <v>50.6589394178993</v>
      </c>
      <c r="K2430" s="38" t="n">
        <f aca="false">Sens!$J$2433</f>
        <v>80.3214864123099</v>
      </c>
      <c r="L2430" s="38" t="n">
        <f aca="false">Sens!$K$2433</f>
        <v>195.988789084018</v>
      </c>
      <c r="M2430" s="38" t="n">
        <f aca="false">Sens!$L$2433</f>
        <v>365.465814927155</v>
      </c>
    </row>
    <row r="2431" customFormat="false" ht="15" hidden="false" customHeight="false" outlineLevel="0" collapsed="false">
      <c r="A2431" s="5" t="s">
        <v>802</v>
      </c>
      <c r="B2431" s="0" t="s">
        <v>86</v>
      </c>
      <c r="F2431" s="38" t="n">
        <f aca="false">Sens!$F$2430+Sens!$F$2427-Sens!$F$2426-Sens!$F$2428+Sens!$F$2429</f>
        <v>96.3986112242335</v>
      </c>
      <c r="H2431" s="38" t="n">
        <f aca="false">Sens!$H$2430+Sens!$H$2427-Sens!$H$2426-Sens!$H$2428+Sens!$H$2429</f>
        <v>56.8303300810617</v>
      </c>
      <c r="I2431" s="38" t="n">
        <f aca="false">Sens!$I$2430+Sens!$I$2427-Sens!$I$2426-Sens!$I$2428+Sens!$I$2429</f>
        <v>50.6589394178993</v>
      </c>
      <c r="J2431" s="38" t="n">
        <f aca="false">Sens!$J$2430+Sens!$J$2427-Sens!$J$2426-Sens!$J$2428+Sens!$J$2429</f>
        <v>80.3214864123099</v>
      </c>
      <c r="K2431" s="38" t="n">
        <f aca="false">Sens!$K$2430+Sens!$K$2427-Sens!$K$2426-Sens!$K$2428+Sens!$K$2429</f>
        <v>195.988789084018</v>
      </c>
      <c r="L2431" s="38" t="n">
        <f aca="false">Sens!$L$2430+Sens!$L$2427-Sens!$L$2426-Sens!$L$2428+Sens!$L$2429</f>
        <v>365.465814927155</v>
      </c>
      <c r="M2431" s="38" t="n">
        <f aca="false">Sens!$M$2430+Sens!$M$2427-Sens!$M$2426-Sens!$M$2428+Sens!$M$2429</f>
        <v>563.82135890203</v>
      </c>
    </row>
    <row r="2432" customFormat="false" ht="17.15" hidden="false" customHeight="false" outlineLevel="0" collapsed="false">
      <c r="A2432" s="5" t="s">
        <v>803</v>
      </c>
      <c r="B2432" s="0" t="s">
        <v>86</v>
      </c>
      <c r="F2432" s="38" t="n">
        <f aca="false">MAX(0,min_cash-Sens!$F$2431)</f>
        <v>0</v>
      </c>
      <c r="G2432" s="38" t="n">
        <f aca="false">Sens!$F$2432</f>
        <v>0</v>
      </c>
      <c r="H2432" s="38" t="n">
        <f aca="false">MAX(0,min_cash-Sens!$H$2431)</f>
        <v>0</v>
      </c>
      <c r="I2432" s="38" t="n">
        <f aca="false">MAX(0,min_cash-Sens!$I$2431)</f>
        <v>0</v>
      </c>
      <c r="J2432" s="38" t="n">
        <f aca="false">MAX(0,min_cash-Sens!$J$2431)</f>
        <v>0</v>
      </c>
      <c r="K2432" s="38" t="n">
        <f aca="false">MAX(0,min_cash-Sens!$K$2431)</f>
        <v>0</v>
      </c>
      <c r="L2432" s="38" t="n">
        <f aca="false">MAX(0,min_cash-Sens!$L$2431)</f>
        <v>0</v>
      </c>
      <c r="M2432" s="38" t="n">
        <f aca="false">MAX(0,min_cash-Sens!$M$2431)</f>
        <v>0</v>
      </c>
      <c r="P2432" s="5" t="s">
        <v>804</v>
      </c>
    </row>
    <row r="2433" customFormat="false" ht="15" hidden="false" customHeight="false" outlineLevel="0" collapsed="false">
      <c r="A2433" s="5" t="s">
        <v>805</v>
      </c>
      <c r="B2433" s="0" t="s">
        <v>86</v>
      </c>
      <c r="D2433" s="38" t="n">
        <f aca="false">Q!$E$61</f>
        <v>123.029</v>
      </c>
      <c r="E2433" s="38" t="n">
        <f aca="false">Q!$M$61</f>
        <v>122.988</v>
      </c>
      <c r="F2433" s="38" t="n">
        <f aca="false">Sens!$F$2431+Sens!$F$2432</f>
        <v>96.3986112242335</v>
      </c>
      <c r="G2433" s="38" t="n">
        <f aca="false">Sens!$F$2433</f>
        <v>96.3986112242335</v>
      </c>
      <c r="H2433" s="38" t="n">
        <f aca="false">Sens!$H$2431+Sens!$H$2432</f>
        <v>56.8303300810617</v>
      </c>
      <c r="I2433" s="38" t="n">
        <f aca="false">Sens!$I$2431+Sens!$I$2432</f>
        <v>50.6589394178993</v>
      </c>
      <c r="J2433" s="38" t="n">
        <f aca="false">Sens!$J$2431+Sens!$J$2432</f>
        <v>80.3214864123099</v>
      </c>
      <c r="K2433" s="38" t="n">
        <f aca="false">Sens!$K$2431+Sens!$K$2432</f>
        <v>195.988789084018</v>
      </c>
      <c r="L2433" s="38" t="n">
        <f aca="false">Sens!$L$2431+Sens!$L$2432</f>
        <v>365.465814927155</v>
      </c>
      <c r="M2433" s="38" t="n">
        <f aca="false">Sens!$M$2431+Sens!$M$2432</f>
        <v>563.82135890203</v>
      </c>
    </row>
    <row r="2434" customFormat="false" ht="15" hidden="false" customHeight="false" outlineLevel="0" collapsed="false">
      <c r="A2434" s="5" t="s">
        <v>806</v>
      </c>
      <c r="B2434" s="0" t="s">
        <v>86</v>
      </c>
      <c r="D2434" s="38" t="n">
        <f aca="false">Q!$E$62</f>
        <v>68.836</v>
      </c>
      <c r="E2434" s="38" t="n">
        <f aca="false">Q!$M$62</f>
        <v>132.995</v>
      </c>
      <c r="F2434" s="38" t="n">
        <f aca="false">debt_q2+Sens!$F$2429+Sens!$F$2432</f>
        <v>162.244999</v>
      </c>
      <c r="G2434" s="38" t="n">
        <f aca="false">Sens!$F$2434</f>
        <v>162.244999</v>
      </c>
      <c r="H2434" s="38" t="n">
        <f aca="false">Sens!$G$2434+Sens!$H$2432</f>
        <v>162.244999</v>
      </c>
      <c r="I2434" s="38" t="n">
        <f aca="false">Sens!$H$2434+Sens!$I$2432</f>
        <v>162.244999</v>
      </c>
      <c r="J2434" s="38" t="n">
        <f aca="false">Sens!$I$2434+Sens!$J$2432</f>
        <v>162.244999</v>
      </c>
      <c r="K2434" s="38" t="n">
        <f aca="false">Sens!$J$2434+Sens!$K$2432</f>
        <v>162.244999</v>
      </c>
      <c r="L2434" s="38" t="n">
        <f aca="false">Sens!$K$2434+Sens!$L$2432</f>
        <v>162.244999</v>
      </c>
      <c r="M2434" s="38" t="n">
        <f aca="false">Sens!$L$2434+Sens!$M$2432</f>
        <v>162.244999</v>
      </c>
    </row>
    <row r="2435" customFormat="false" ht="15" hidden="false" customHeight="false" outlineLevel="0" collapsed="false">
      <c r="A2435" s="5" t="s">
        <v>807</v>
      </c>
      <c r="B2435" s="0" t="s">
        <v>86</v>
      </c>
      <c r="D2435" s="38" t="n">
        <f aca="false">Sens!$D$2434-Sens!$D$2433</f>
        <v>-54.193</v>
      </c>
      <c r="E2435" s="38" t="n">
        <f aca="false">Sens!$E$2434-Sens!$E$2433</f>
        <v>10.007</v>
      </c>
      <c r="F2435" s="38" t="n">
        <f aca="false">Sens!$F$2434-Sens!$F$2433</f>
        <v>65.8463877757665</v>
      </c>
      <c r="G2435" s="38" t="n">
        <f aca="false">Sens!$G$2434-Sens!$G$2433</f>
        <v>65.8463877757665</v>
      </c>
      <c r="H2435" s="38" t="n">
        <f aca="false">Sens!$H$2434-Sens!$H$2433</f>
        <v>105.414668918938</v>
      </c>
      <c r="I2435" s="38" t="n">
        <f aca="false">Sens!$I$2434-Sens!$I$2433</f>
        <v>111.586059582101</v>
      </c>
      <c r="J2435" s="38" t="n">
        <f aca="false">Sens!$J$2434-Sens!$J$2433</f>
        <v>81.9235125876901</v>
      </c>
      <c r="K2435" s="38" t="n">
        <f aca="false">Sens!$K$2434-Sens!$K$2433</f>
        <v>-33.7437900840179</v>
      </c>
      <c r="L2435" s="38" t="n">
        <f aca="false">Sens!$L$2434-Sens!$L$2433</f>
        <v>-203.220815927155</v>
      </c>
      <c r="M2435" s="38" t="n">
        <f aca="false">Sens!$M$2434-Sens!$M$2433</f>
        <v>-401.57635990203</v>
      </c>
    </row>
    <row r="2436" customFormat="false" ht="17.15" hidden="false" customHeight="false" outlineLevel="0" collapsed="false">
      <c r="A2436" s="5" t="s">
        <v>808</v>
      </c>
      <c r="B2436" s="0" t="s">
        <v>86</v>
      </c>
      <c r="F2436" s="38" t="n">
        <f aca="false">debt_q2*kd_book*0.5+iss_2h26*kd_new*iss_t</f>
        <v>3.24888962733561</v>
      </c>
      <c r="H2436" s="38" t="n">
        <f aca="false">debt_q2*kd_book+(Sens!$G$2434-debt_q2)*kd_new</f>
        <v>7.42354172302123</v>
      </c>
      <c r="I2436" s="38" t="n">
        <f aca="false">debt_q2*kd_book+(Sens!$H$2434-debt_q2)*kd_new</f>
        <v>7.42354172302123</v>
      </c>
      <c r="J2436" s="38" t="n">
        <f aca="false">debt_q2*kd_book+(Sens!$I$2434-debt_q2)*kd_new</f>
        <v>7.42354172302123</v>
      </c>
      <c r="K2436" s="38" t="n">
        <f aca="false">debt_q2*kd_book+(Sens!$J$2434-debt_q2)*kd_new</f>
        <v>7.42354172302123</v>
      </c>
      <c r="L2436" s="38" t="n">
        <f aca="false">debt_q2*kd_book+(Sens!$K$2434-debt_q2)*kd_new</f>
        <v>7.42354172302123</v>
      </c>
      <c r="M2436" s="38" t="n">
        <f aca="false">debt_q2*kd_book+(Sens!$L$2434-debt_q2)*kd_new</f>
        <v>7.42354172302123</v>
      </c>
    </row>
    <row r="2437" customFormat="false" ht="17.15" hidden="false" customHeight="false" outlineLevel="0" collapsed="false">
      <c r="A2437" s="5" t="s">
        <v>809</v>
      </c>
      <c r="B2437" s="0" t="s">
        <v>86</v>
      </c>
      <c r="F2437" s="38" t="n">
        <f aca="false">cash_q2*y_cash*0.5</f>
        <v>2.59</v>
      </c>
      <c r="H2437" s="38" t="n">
        <f aca="false">Sens!$G$2433*y_cash</f>
        <v>4.06010997936001</v>
      </c>
      <c r="I2437" s="38" t="n">
        <f aca="false">Sens!$H$2433*y_cash</f>
        <v>2.39357587585699</v>
      </c>
      <c r="J2437" s="38" t="n">
        <f aca="false">Sens!$I$2433*y_cash</f>
        <v>2.13364967464076</v>
      </c>
      <c r="K2437" s="38" t="n">
        <f aca="false">Sens!$J$2433*y_cash</f>
        <v>3.38297475864121</v>
      </c>
      <c r="L2437" s="38" t="n">
        <f aca="false">Sens!$K$2433*y_cash</f>
        <v>8.25464213951941</v>
      </c>
      <c r="M2437" s="38" t="n">
        <f aca="false">Sens!$L$2433*y_cash</f>
        <v>15.3926636852592</v>
      </c>
    </row>
    <row r="2438" customFormat="false" ht="17.15" hidden="false" customHeight="false" outlineLevel="0" collapsed="false">
      <c r="A2438" s="47" t="s">
        <v>810</v>
      </c>
      <c r="B2438" s="14" t="s">
        <v>86</v>
      </c>
      <c r="C2438" s="14"/>
      <c r="D2438" s="14"/>
      <c r="E2438" s="14"/>
      <c r="F2438" s="14"/>
      <c r="G2438" s="48" t="n">
        <f aca="false">SUM(Sens!$G$2427:$K$2427)</f>
        <v>39.3597900840179</v>
      </c>
      <c r="H2438" s="14"/>
      <c r="I2438" s="14"/>
      <c r="J2438" s="14"/>
      <c r="K2438" s="14"/>
      <c r="L2438" s="14"/>
      <c r="M2438" s="14"/>
      <c r="N2438" s="14"/>
      <c r="O2438" s="14"/>
    </row>
    <row r="2439" customFormat="false" ht="17.15" hidden="false" customHeight="false" outlineLevel="0" collapsed="false">
      <c r="A2439" s="0" t="s">
        <v>776</v>
      </c>
      <c r="B2439" s="0" t="s">
        <v>86</v>
      </c>
      <c r="G2439" s="38" t="n">
        <f aca="false">SUM(Sens!$G$2432:$K$2432)</f>
        <v>0</v>
      </c>
    </row>
    <row r="2440" customFormat="false" ht="17.15" hidden="false" customHeight="false" outlineLevel="0" collapsed="false">
      <c r="A2440" s="24" t="s">
        <v>813</v>
      </c>
      <c r="B2440" s="25" t="s">
        <v>86</v>
      </c>
      <c r="C2440" s="25"/>
      <c r="D2440" s="25"/>
      <c r="E2440" s="25"/>
      <c r="F2440" s="25"/>
      <c r="G2440" s="41" t="n">
        <f aca="false">Sens!$G$2438-(Sens!$G$2427+Sens!$H$2427+Sens!$I$2427+Sens!$J$2427+Sens!$K$2427)</f>
        <v>0</v>
      </c>
      <c r="H2440" s="25"/>
      <c r="I2440" s="25"/>
      <c r="J2440" s="25"/>
      <c r="K2440" s="25"/>
      <c r="L2440" s="25"/>
      <c r="M2440" s="25"/>
      <c r="N2440" s="25"/>
      <c r="O2440" s="25"/>
    </row>
    <row r="2443" customFormat="false" ht="19.4" hidden="false" customHeight="false" outlineLevel="0" collapsed="false">
      <c r="A2443" s="31" t="s">
        <v>1184</v>
      </c>
    </row>
    <row r="2444" customFormat="false" ht="17.15" hidden="false" customHeight="false" outlineLevel="0" collapsed="false">
      <c r="A2444" s="6" t="s">
        <v>16</v>
      </c>
      <c r="B2444" s="6" t="s">
        <v>17</v>
      </c>
      <c r="C2444" s="20" t="s">
        <v>497</v>
      </c>
      <c r="D2444" s="20" t="s">
        <v>498</v>
      </c>
      <c r="E2444" s="20" t="s">
        <v>580</v>
      </c>
      <c r="F2444" s="20" t="s">
        <v>581</v>
      </c>
      <c r="G2444" s="20" t="s">
        <v>582</v>
      </c>
      <c r="H2444" s="20" t="s">
        <v>583</v>
      </c>
      <c r="I2444" s="20" t="s">
        <v>584</v>
      </c>
      <c r="J2444" s="20" t="s">
        <v>585</v>
      </c>
      <c r="K2444" s="20" t="s">
        <v>586</v>
      </c>
      <c r="L2444" s="20" t="s">
        <v>587</v>
      </c>
      <c r="M2444" s="20" t="s">
        <v>588</v>
      </c>
      <c r="N2444" s="20" t="s">
        <v>589</v>
      </c>
      <c r="O2444" s="20" t="s">
        <v>590</v>
      </c>
      <c r="P2444" s="6" t="s">
        <v>23</v>
      </c>
      <c r="R2444" s="20" t="n">
        <v>2023</v>
      </c>
      <c r="S2444" s="20" t="n">
        <v>2024</v>
      </c>
      <c r="T2444" s="20" t="n">
        <v>2025</v>
      </c>
      <c r="U2444" s="20" t="n">
        <v>2026</v>
      </c>
      <c r="V2444" s="20" t="n">
        <v>2027</v>
      </c>
      <c r="W2444" s="20" t="n">
        <v>2028</v>
      </c>
      <c r="X2444" s="20" t="n">
        <v>2029</v>
      </c>
      <c r="Y2444" s="20" t="n">
        <v>2030</v>
      </c>
      <c r="Z2444" s="20" t="n">
        <v>2031</v>
      </c>
      <c r="AA2444" s="20" t="n">
        <v>2032</v>
      </c>
    </row>
    <row r="2445" customFormat="false" ht="17.15" hidden="false" customHeight="false" outlineLevel="0" collapsed="false">
      <c r="A2445" s="1" t="s">
        <v>915</v>
      </c>
    </row>
    <row r="2446" customFormat="false" ht="17.15" hidden="false" customHeight="false" outlineLevel="0" collapsed="false">
      <c r="A2446" s="0" t="s">
        <v>916</v>
      </c>
      <c r="B2446" s="0" t="s">
        <v>86</v>
      </c>
      <c r="H2446" s="38" t="n">
        <f aca="false">Sens!$H$2380*(1-tax)</f>
        <v>116.81268737748</v>
      </c>
      <c r="I2446" s="38" t="n">
        <f aca="false">Sens!$I$2380*(1-tax)</f>
        <v>138.80021379628</v>
      </c>
      <c r="J2446" s="38" t="n">
        <f aca="false">Sens!$J$2380*(1-tax)</f>
        <v>159.578566126489</v>
      </c>
      <c r="K2446" s="38" t="n">
        <f aca="false">Sens!$K$2380*(1-tax)</f>
        <v>174.455324097035</v>
      </c>
      <c r="L2446" s="38" t="n">
        <f aca="false">Sens!$L$2380*(1-tax)</f>
        <v>187.152535992169</v>
      </c>
      <c r="M2446" s="38" t="n">
        <f aca="false">Sens!$M$2380*(1-tax)</f>
        <v>198.281919725676</v>
      </c>
    </row>
    <row r="2447" customFormat="false" ht="15" hidden="false" customHeight="false" outlineLevel="0" collapsed="false">
      <c r="A2447" s="5" t="s">
        <v>917</v>
      </c>
      <c r="B2447" s="0" t="s">
        <v>86</v>
      </c>
      <c r="H2447" s="38" t="n">
        <f aca="false">Sens!$H$2391</f>
        <v>76.1711802552636</v>
      </c>
      <c r="I2447" s="38" t="n">
        <f aca="false">Sens!$I$2391</f>
        <v>105.501124252386</v>
      </c>
      <c r="J2447" s="38" t="n">
        <f aca="false">Sens!$J$2391</f>
        <v>135.553162944498</v>
      </c>
      <c r="K2447" s="38" t="n">
        <f aca="false">Sens!$K$2391</f>
        <v>165.693044597051</v>
      </c>
      <c r="L2447" s="38" t="n">
        <f aca="false">Sens!$L$2391</f>
        <v>188.396259361024</v>
      </c>
      <c r="M2447" s="38" t="n">
        <f aca="false">Sens!$M$2391</f>
        <v>204.578882695843</v>
      </c>
    </row>
    <row r="2448" customFormat="false" ht="15" hidden="false" customHeight="false" outlineLevel="0" collapsed="false">
      <c r="A2448" s="5" t="s">
        <v>918</v>
      </c>
      <c r="B2448" s="0" t="s">
        <v>86</v>
      </c>
      <c r="H2448" s="38" t="n">
        <f aca="false">Sens!$H$2422</f>
        <v>251.405227988048</v>
      </c>
      <c r="I2448" s="38" t="n">
        <f aca="false">Sens!$I$2422</f>
        <v>265.014360381575</v>
      </c>
      <c r="J2448" s="38" t="n">
        <f aca="false">Sens!$J$2422</f>
        <v>276.623723991516</v>
      </c>
      <c r="K2448" s="38" t="n">
        <f aca="false">Sens!$K$2422</f>
        <v>234.066916546153</v>
      </c>
      <c r="L2448" s="38" t="n">
        <f aca="false">Sens!$L$2422</f>
        <v>219.056637074966</v>
      </c>
      <c r="M2448" s="38" t="n">
        <f aca="false">Sens!$M$2422</f>
        <v>224.755745275208</v>
      </c>
    </row>
    <row r="2449" customFormat="false" ht="15" hidden="false" customHeight="false" outlineLevel="0" collapsed="false">
      <c r="A2449" s="5" t="s">
        <v>919</v>
      </c>
      <c r="B2449" s="0" t="s">
        <v>86</v>
      </c>
      <c r="H2449" s="38" t="n">
        <f aca="false">Sens!$H$2423</f>
        <v>1.6</v>
      </c>
      <c r="I2449" s="38" t="n">
        <f aca="false">Sens!$I$2423</f>
        <v>1.6</v>
      </c>
      <c r="J2449" s="38" t="n">
        <f aca="false">Sens!$J$2423</f>
        <v>1.6</v>
      </c>
      <c r="K2449" s="38" t="n">
        <f aca="false">Sens!$K$2423</f>
        <v>1.6</v>
      </c>
      <c r="L2449" s="38" t="n">
        <f aca="false">Sens!$L$2423</f>
        <v>1.6</v>
      </c>
      <c r="M2449" s="38" t="n">
        <f aca="false">Sens!$M$2423</f>
        <v>1.6</v>
      </c>
    </row>
    <row r="2450" customFormat="false" ht="15" hidden="false" customHeight="false" outlineLevel="0" collapsed="false">
      <c r="A2450" s="5" t="s">
        <v>920</v>
      </c>
      <c r="B2450" s="0" t="s">
        <v>86</v>
      </c>
      <c r="H2450" s="38" t="n">
        <f aca="false">Sens!$H$2417</f>
        <v>11.2222775845569</v>
      </c>
      <c r="I2450" s="38" t="n">
        <f aca="false">Sens!$I$2417</f>
        <v>12.668050728011</v>
      </c>
      <c r="J2450" s="38" t="n">
        <f aca="false">Sens!$J$2417</f>
        <v>14.0489094909184</v>
      </c>
      <c r="K2450" s="38" t="n">
        <f aca="false">Sens!$K$2417</f>
        <v>15.2608765837631</v>
      </c>
      <c r="L2450" s="38" t="n">
        <f aca="false">Sens!$L$2417</f>
        <v>16.4091024480219</v>
      </c>
      <c r="M2450" s="38" t="n">
        <f aca="false">Sens!$M$2417</f>
        <v>17.4979000481495</v>
      </c>
    </row>
    <row r="2451" customFormat="false" ht="17.15" hidden="false" customHeight="false" outlineLevel="0" collapsed="false">
      <c r="A2451" s="1" t="s">
        <v>921</v>
      </c>
      <c r="B2451" s="8" t="s">
        <v>86</v>
      </c>
      <c r="H2451" s="38" t="n">
        <f aca="false">Sens!$H$2446+Sens!$H$2447-Sens!$H$2448+Sens!$H$2450</f>
        <v>-47.1990827707474</v>
      </c>
      <c r="I2451" s="38" t="n">
        <f aca="false">Sens!$I$2446+Sens!$I$2447-Sens!$I$2448+Sens!$I$2450</f>
        <v>-8.04497160489869</v>
      </c>
      <c r="J2451" s="38" t="n">
        <f aca="false">Sens!$J$2446+Sens!$J$2447-Sens!$J$2448+Sens!$J$2450</f>
        <v>32.5569145703896</v>
      </c>
      <c r="K2451" s="38" t="n">
        <f aca="false">Sens!$K$2446+Sens!$K$2447-Sens!$K$2448+Sens!$K$2450</f>
        <v>121.342328731696</v>
      </c>
      <c r="L2451" s="38" t="n">
        <f aca="false">Sens!$L$2446+Sens!$L$2447-Sens!$L$2448+Sens!$L$2450</f>
        <v>172.901260726248</v>
      </c>
      <c r="M2451" s="38" t="n">
        <f aca="false">Sens!$M$2446+Sens!$M$2447-Sens!$M$2448+Sens!$M$2450</f>
        <v>195.60295719446</v>
      </c>
    </row>
    <row r="2452" customFormat="false" ht="15" hidden="false" customHeight="false" outlineLevel="0" collapsed="false">
      <c r="A2452" s="5" t="s">
        <v>922</v>
      </c>
      <c r="B2452" s="0" t="s">
        <v>57</v>
      </c>
      <c r="H2452" s="40" t="n">
        <f aca="false">1/(1+wacc)^(2027-2026-0.5)</f>
        <v>0.947751320380232</v>
      </c>
      <c r="I2452" s="40" t="n">
        <f aca="false">1/(1+wacc)^(2028-2026-0.5)</f>
        <v>0.851301099754987</v>
      </c>
      <c r="J2452" s="40" t="n">
        <f aca="false">1/(1+wacc)^(2029-2026-0.5)</f>
        <v>0.764666370660713</v>
      </c>
      <c r="K2452" s="40" t="n">
        <f aca="false">1/(1+wacc)^(2030-2026-0.5)</f>
        <v>0.686848235703811</v>
      </c>
      <c r="L2452" s="40" t="n">
        <f aca="false">1/(1+wacc)^(2031-2026-0.5)</f>
        <v>0.616949452715975</v>
      </c>
      <c r="M2452" s="40" t="n">
        <f aca="false">1/(1+wacc)^(2032-2026-0.5)</f>
        <v>0.554164089562688</v>
      </c>
    </row>
    <row r="2453" customFormat="false" ht="15" hidden="false" customHeight="false" outlineLevel="0" collapsed="false">
      <c r="A2453" s="5" t="s">
        <v>923</v>
      </c>
      <c r="B2453" s="0" t="s">
        <v>86</v>
      </c>
      <c r="H2453" s="38" t="n">
        <f aca="false">Sens!$H$2451*Sens!$H$2452</f>
        <v>-44.7329930167117</v>
      </c>
      <c r="I2453" s="38" t="n">
        <f aca="false">Sens!$I$2451*Sens!$I$2452</f>
        <v>-6.8486931747479</v>
      </c>
      <c r="J2453" s="38" t="n">
        <f aca="false">Sens!$J$2451*Sens!$J$2452</f>
        <v>24.8951777044507</v>
      </c>
      <c r="K2453" s="38" t="n">
        <f aca="false">Sens!$K$2451*Sens!$K$2452</f>
        <v>83.3437644055573</v>
      </c>
      <c r="L2453" s="38" t="n">
        <f aca="false">Sens!$L$2451*Sens!$L$2452</f>
        <v>106.671338178961</v>
      </c>
      <c r="M2453" s="38" t="n">
        <f aca="false">Sens!$M$2451*Sens!$M$2452</f>
        <v>108.396134689438</v>
      </c>
    </row>
    <row r="2454" customFormat="false" ht="15" hidden="false" customHeight="false" outlineLevel="0" collapsed="false">
      <c r="A2454" s="5" t="s">
        <v>924</v>
      </c>
      <c r="B2454" s="0" t="s">
        <v>86</v>
      </c>
      <c r="C2454" s="38" t="n">
        <f aca="false">SUM(Sens!$H$2453:$M$2453)</f>
        <v>271.724728786947</v>
      </c>
    </row>
    <row r="2455" customFormat="false" ht="17.15" hidden="false" customHeight="false" outlineLevel="0" collapsed="false">
      <c r="A2455" s="5" t="s">
        <v>925</v>
      </c>
      <c r="B2455" s="0" t="s">
        <v>86</v>
      </c>
      <c r="C2455" s="38" t="n">
        <f aca="false">Sens!$M$2446*(1+tg)*(1-tg/ronic)/(wacc-tg)</f>
        <v>1802.60390994078</v>
      </c>
    </row>
    <row r="2456" customFormat="false" ht="15" hidden="false" customHeight="false" outlineLevel="0" collapsed="false">
      <c r="A2456" s="5" t="s">
        <v>926</v>
      </c>
      <c r="B2456" s="0" t="s">
        <v>86</v>
      </c>
      <c r="C2456" s="38" t="n">
        <f aca="false">Sens!$C$2455/(1+wacc)^6</f>
        <v>946.745144545371</v>
      </c>
    </row>
    <row r="2457" customFormat="false" ht="17.15" hidden="false" customHeight="false" outlineLevel="0" collapsed="false">
      <c r="A2457" s="5" t="s">
        <v>927</v>
      </c>
      <c r="B2457" s="0" t="s">
        <v>86</v>
      </c>
      <c r="C2457" s="38" t="n">
        <f aca="false">Sens!$C$2454+Sens!$C$2456</f>
        <v>1218.46987333232</v>
      </c>
    </row>
    <row r="2458" customFormat="false" ht="17.15" hidden="false" customHeight="false" outlineLevel="0" collapsed="false">
      <c r="A2458" s="5" t="s">
        <v>928</v>
      </c>
      <c r="B2458" s="0" t="s">
        <v>52</v>
      </c>
      <c r="C2458" s="13" t="n">
        <f aca="false">Sens!$C$2456/Sens!$C$2457</f>
        <v>0.776995119260664</v>
      </c>
    </row>
    <row r="2459" customFormat="false" ht="17.15" hidden="false" customHeight="false" outlineLevel="0" collapsed="false">
      <c r="A2459" s="5" t="s">
        <v>929</v>
      </c>
      <c r="B2459" s="0" t="s">
        <v>86</v>
      </c>
      <c r="C2459" s="38" t="n">
        <f aca="false">Sens!$G$2435+fin_debt</f>
        <v>90.3673877757665</v>
      </c>
    </row>
    <row r="2460" customFormat="false" ht="17.15" hidden="false" customHeight="false" outlineLevel="0" collapsed="false">
      <c r="A2460" s="5" t="s">
        <v>930</v>
      </c>
      <c r="B2460" s="0" t="s">
        <v>86</v>
      </c>
      <c r="C2460" s="38" t="n">
        <f aca="false">(ant_val*ant_sh+oai_val*oai_sh)*(1-liq_disc)</f>
        <v>178.944</v>
      </c>
    </row>
    <row r="2461" customFormat="false" ht="15" hidden="false" customHeight="false" outlineLevel="0" collapsed="false">
      <c r="A2461" s="5" t="s">
        <v>931</v>
      </c>
      <c r="B2461" s="0" t="s">
        <v>86</v>
      </c>
      <c r="C2461" s="38" t="n">
        <f aca="false">Sens!$C$2457-Sens!$C$2459+Sens!$C$2460</f>
        <v>1307.04648555655</v>
      </c>
    </row>
    <row r="2462" customFormat="false" ht="17.15" hidden="false" customHeight="false" outlineLevel="0" collapsed="false">
      <c r="A2462" s="5" t="s">
        <v>932</v>
      </c>
      <c r="B2462" s="0" t="s">
        <v>27</v>
      </c>
      <c r="C2462" s="30" t="n">
        <f aca="false">Sens!$C$2461/sh_out</f>
        <v>121.176380138438</v>
      </c>
    </row>
    <row r="2463" customFormat="false" ht="17.15" hidden="false" customHeight="false" outlineLevel="0" collapsed="false">
      <c r="A2463" s="1" t="s">
        <v>933</v>
      </c>
      <c r="B2463" s="8" t="s">
        <v>27</v>
      </c>
      <c r="C2463" s="30" t="n">
        <f aca="false">Sens!$C$2462*(1+ke)^tp_yf-dps*tp_yf</f>
        <v>132.732831732212</v>
      </c>
    </row>
    <row r="2464" customFormat="false" ht="17.15" hidden="false" customHeight="false" outlineLevel="0" collapsed="false">
      <c r="A2464" s="3" t="s">
        <v>934</v>
      </c>
    </row>
    <row r="2465" customFormat="false" ht="17.15" hidden="false" customHeight="false" outlineLevel="0" collapsed="false">
      <c r="A2465" s="5" t="s">
        <v>935</v>
      </c>
      <c r="B2465" s="0" t="s">
        <v>86</v>
      </c>
      <c r="C2465" s="38" t="n">
        <f aca="false">(1-tp_yf)*(Sens!$H$2392+sbc_ab*Sens!$H$2416*Sens!$H$2256/Sens!$H$2333)+tp_yf*(Sens!$I$2392+sbc_ab*Sens!$I$2416*Sens!$I$2256/Sens!$I$2333)</f>
        <v>59.634664536349</v>
      </c>
    </row>
    <row r="2466" customFormat="false" ht="15" hidden="false" customHeight="false" outlineLevel="0" collapsed="false">
      <c r="A2466" s="5" t="s">
        <v>936</v>
      </c>
      <c r="B2466" s="0" t="s">
        <v>57</v>
      </c>
      <c r="C2466" s="30" t="n">
        <f aca="false">m_ads*m_x</f>
        <v>9.11</v>
      </c>
    </row>
    <row r="2467" customFormat="false" ht="17.15" hidden="false" customHeight="false" outlineLevel="0" collapsed="false">
      <c r="A2467" s="5" t="s">
        <v>937</v>
      </c>
      <c r="B2467" s="0" t="s">
        <v>86</v>
      </c>
      <c r="C2467" s="38" t="n">
        <f aca="false">Sens!$C$2465*Sens!$C$2466</f>
        <v>543.271793926139</v>
      </c>
    </row>
    <row r="2468" customFormat="false" ht="17.15" hidden="false" customHeight="false" outlineLevel="0" collapsed="false">
      <c r="A2468" s="5" t="s">
        <v>938</v>
      </c>
      <c r="B2468" s="0" t="s">
        <v>86</v>
      </c>
      <c r="C2468" s="38" t="n">
        <f aca="false">(1-tp_yf)*(Sens!$H$2393+sbc_ab*Sens!$H$2416*(Sens!$H$2263-Sens!$H$2256)/Sens!$H$2333+IF(internal_ai_reading=2,1,0)*(1-ext_sh)*Sens!$H$2293)+tp_yf*(Sens!$I$2393+sbc_ab*Sens!$I$2416*(Sens!$I$2263-Sens!$I$2256)/Sens!$I$2333+IF(internal_ai_reading=2,1,0)*(1-ext_sh)*Sens!$I$2293)</f>
        <v>51.2224827206816</v>
      </c>
    </row>
    <row r="2469" customFormat="false" ht="17.15" hidden="false" customHeight="false" outlineLevel="0" collapsed="false">
      <c r="A2469" s="5" t="s">
        <v>939</v>
      </c>
      <c r="B2469" s="0" t="s">
        <v>57</v>
      </c>
      <c r="C2469" s="30" t="n">
        <f aca="false">m_retail*m_x</f>
        <v>17.72</v>
      </c>
    </row>
    <row r="2470" customFormat="false" ht="17.15" hidden="false" customHeight="false" outlineLevel="0" collapsed="false">
      <c r="A2470" s="5" t="s">
        <v>940</v>
      </c>
      <c r="B2470" s="0" t="s">
        <v>86</v>
      </c>
      <c r="C2470" s="38" t="n">
        <f aca="false">Sens!$C$2468*Sens!$C$2469</f>
        <v>907.662393810477</v>
      </c>
    </row>
    <row r="2471" customFormat="false" ht="17.15" hidden="false" customHeight="false" outlineLevel="0" collapsed="false">
      <c r="A2471" s="0" t="s">
        <v>941</v>
      </c>
      <c r="B2471" s="0" t="s">
        <v>86</v>
      </c>
      <c r="C2471" s="38" t="n">
        <f aca="false">(1-tp_yf)*(Sens!$H$2394+sbc_ab*Sens!$H$2416*Sens!$H$2331/Sens!$H$2333)+tp_yf*(Sens!$I$2394+sbc_ab*Sens!$I$2416*Sens!$I$2331/Sens!$I$2333)</f>
        <v>96.2439586897193</v>
      </c>
    </row>
    <row r="2472" customFormat="false" ht="17.15" hidden="false" customHeight="false" outlineLevel="0" collapsed="false">
      <c r="A2472" s="0" t="s">
        <v>942</v>
      </c>
      <c r="B2472" s="0" t="s">
        <v>57</v>
      </c>
      <c r="C2472" s="30" t="n">
        <f aca="false">m_cloud*m_x</f>
        <v>13.82</v>
      </c>
    </row>
    <row r="2473" customFormat="false" ht="17.15" hidden="false" customHeight="false" outlineLevel="0" collapsed="false">
      <c r="A2473" s="0" t="s">
        <v>943</v>
      </c>
      <c r="B2473" s="0" t="s">
        <v>86</v>
      </c>
      <c r="C2473" s="38" t="n">
        <f aca="false">Sens!$C$2471*Sens!$C$2472</f>
        <v>1330.09150909192</v>
      </c>
    </row>
    <row r="2474" customFormat="false" ht="17.15" hidden="false" customHeight="false" outlineLevel="0" collapsed="false">
      <c r="A2474" s="0" t="s">
        <v>944</v>
      </c>
      <c r="B2474" s="0" t="s">
        <v>86</v>
      </c>
      <c r="H2474" s="38" t="n">
        <f aca="false">Sens!$H$2312-tax*Sens!$H$2313-ext_sh*Sens!$H$2300</f>
        <v>-103.455403454816</v>
      </c>
      <c r="I2474" s="38" t="n">
        <f aca="false">Sens!$I$2312-tax*Sens!$I$2313-ext_sh*Sens!$I$2300</f>
        <v>-82.536969976747</v>
      </c>
      <c r="J2474" s="38" t="n">
        <f aca="false">Sens!$J$2312-tax*Sens!$J$2313-ext_sh*Sens!$J$2300</f>
        <v>-60.0876979935924</v>
      </c>
      <c r="K2474" s="38" t="n">
        <f aca="false">Sens!$K$2312-tax*Sens!$K$2313-ext_sh*Sens!$K$2300</f>
        <v>1.88218569853949</v>
      </c>
      <c r="L2474" s="38" t="n">
        <f aca="false">Sens!$L$2312-tax*Sens!$L$2313-ext_sh*Sens!$L$2300</f>
        <v>34.5163461118373</v>
      </c>
      <c r="M2474" s="38" t="n">
        <f aca="false">Sens!$M$2312-tax*Sens!$M$2313-ext_sh*Sens!$M$2300</f>
        <v>43.4150766941183</v>
      </c>
    </row>
    <row r="2475" customFormat="false" ht="17.15" hidden="false" customHeight="false" outlineLevel="0" collapsed="false">
      <c r="A2475" s="5" t="s">
        <v>945</v>
      </c>
      <c r="B2475" s="0" t="s">
        <v>86</v>
      </c>
      <c r="H2475" s="38" t="n">
        <f aca="false">Sens!$H$2474*Sens!$H$2452</f>
        <v>-98.0499952247714</v>
      </c>
      <c r="I2475" s="38" t="n">
        <f aca="false">Sens!$I$2474*Sens!$I$2452</f>
        <v>-70.2638133116491</v>
      </c>
      <c r="J2475" s="38" t="n">
        <f aca="false">Sens!$J$2474*Sens!$J$2452</f>
        <v>-45.9470419461173</v>
      </c>
      <c r="K2475" s="38" t="n">
        <f aca="false">Sens!$K$2474*Sens!$K$2452</f>
        <v>1.29277592630879</v>
      </c>
      <c r="L2475" s="38" t="n">
        <f aca="false">Sens!$L$2474*Sens!$L$2452</f>
        <v>21.2948408434532</v>
      </c>
      <c r="M2475" s="38" t="n">
        <f aca="false">Sens!$M$2474*Sens!$M$2452</f>
        <v>24.0590764494904</v>
      </c>
    </row>
    <row r="2476" customFormat="false" ht="17.15" hidden="false" customHeight="false" outlineLevel="0" collapsed="false">
      <c r="A2476" s="5" t="s">
        <v>946</v>
      </c>
      <c r="B2476" s="0" t="s">
        <v>86</v>
      </c>
      <c r="C2476" s="38" t="n">
        <f aca="false">Sens!$M$2313*(1-tax)*(1+tg)*(1-tg/ronic)/(wacc-tg)</f>
        <v>295.903743975803</v>
      </c>
    </row>
    <row r="2477" customFormat="false" ht="17.15" hidden="false" customHeight="false" outlineLevel="0" collapsed="false">
      <c r="A2477" s="0" t="s">
        <v>947</v>
      </c>
      <c r="B2477" s="0" t="s">
        <v>86</v>
      </c>
      <c r="C2477" s="38" t="n">
        <f aca="false">(SUM(Sens!$I$2475:$M$2475)+Sens!$C$2476/(1+wacc)^6)*(1+wacc)^tp_yf</f>
        <v>93.7643109169007</v>
      </c>
    </row>
    <row r="2478" customFormat="false" ht="17.15" hidden="false" customHeight="false" outlineLevel="0" collapsed="false">
      <c r="A2478" s="5" t="s">
        <v>948</v>
      </c>
      <c r="B2478" s="0" t="s">
        <v>86</v>
      </c>
      <c r="C2478" s="38" t="n">
        <f aca="false">(1-tp_yf)*(Sens!$H$2395)+tp_yf*(Sens!$I$2395)</f>
        <v>63.9452698113175</v>
      </c>
    </row>
    <row r="2479" customFormat="false" ht="17.15" hidden="false" customHeight="false" outlineLevel="0" collapsed="false">
      <c r="A2479" s="5" t="s">
        <v>949</v>
      </c>
      <c r="B2479" s="0" t="s">
        <v>86</v>
      </c>
      <c r="C2479" s="38" t="n">
        <f aca="false">Sens!$C$2478*m_ai</f>
        <v>383.671618867905</v>
      </c>
    </row>
    <row r="2480" customFormat="false" ht="17.15" hidden="false" customHeight="false" outlineLevel="0" collapsed="false">
      <c r="A2480" s="0" t="s">
        <v>950</v>
      </c>
      <c r="B2480" s="0" t="s">
        <v>86</v>
      </c>
      <c r="C2480" s="38" t="n">
        <f aca="false">IF(ai_leg=1,Sens!$C$2477,Sens!$C$2479)</f>
        <v>93.7643109169007</v>
      </c>
    </row>
    <row r="2481" customFormat="false" ht="17.15" hidden="false" customHeight="false" outlineLevel="0" collapsed="false">
      <c r="A2481" s="5" t="s">
        <v>951</v>
      </c>
      <c r="B2481" s="0" t="s">
        <v>86</v>
      </c>
      <c r="C2481" s="38" t="n">
        <f aca="false">Sens!$C$2467+Sens!$C$2470+Sens!$C$2473+Sens!$C$2480</f>
        <v>2874.79000774544</v>
      </c>
    </row>
    <row r="2482" customFormat="false" ht="17.15" hidden="false" customHeight="false" outlineLevel="0" collapsed="false">
      <c r="A2482" s="5" t="s">
        <v>952</v>
      </c>
      <c r="B2482" s="0" t="s">
        <v>86</v>
      </c>
      <c r="C2482" s="38" t="n">
        <f aca="false">Sens!$H$2435+fin_debt</f>
        <v>129.935668918938</v>
      </c>
    </row>
    <row r="2483" customFormat="false" ht="15" hidden="false" customHeight="false" outlineLevel="0" collapsed="false">
      <c r="A2483" s="5" t="s">
        <v>953</v>
      </c>
      <c r="B2483" s="0" t="s">
        <v>86</v>
      </c>
      <c r="C2483" s="38" t="n">
        <f aca="false">Sens!$C$2481-Sens!$C$2482+Sens!$C$2460</f>
        <v>2923.7983388265</v>
      </c>
    </row>
    <row r="2484" customFormat="false" ht="15" hidden="false" customHeight="false" outlineLevel="0" collapsed="false">
      <c r="A2484" s="3" t="s">
        <v>954</v>
      </c>
      <c r="B2484" s="8" t="s">
        <v>27</v>
      </c>
      <c r="C2484" s="30" t="n">
        <f aca="false">Sens!$C$2483/sh_val</f>
        <v>265.069366005945</v>
      </c>
    </row>
    <row r="2485" customFormat="false" ht="17.15" hidden="false" customHeight="false" outlineLevel="0" collapsed="false">
      <c r="A2485" s="47" t="s">
        <v>955</v>
      </c>
      <c r="B2485" s="14" t="s">
        <v>27</v>
      </c>
      <c r="C2485" s="44" t="n">
        <f aca="false">w_dcf*Sens!$C$2463+(1-w_dcf)*Sens!$C$2484</f>
        <v>198.901098869079</v>
      </c>
      <c r="D2485" s="14"/>
      <c r="E2485" s="14"/>
      <c r="F2485" s="14"/>
      <c r="G2485" s="14"/>
      <c r="H2485" s="14"/>
      <c r="I2485" s="14"/>
      <c r="J2485" s="14"/>
      <c r="K2485" s="14"/>
      <c r="L2485" s="14"/>
      <c r="M2485" s="14"/>
      <c r="N2485" s="14"/>
      <c r="O2485" s="14"/>
    </row>
    <row r="2486" customFormat="false" ht="17.15" hidden="false" customHeight="false" outlineLevel="0" collapsed="false">
      <c r="A2486" s="5" t="s">
        <v>956</v>
      </c>
      <c r="B2486" s="0" t="s">
        <v>27</v>
      </c>
      <c r="C2486" s="30" t="n">
        <f aca="false">v022_wdcf*Sens!$C$2463+(1-v022_wdcf)*Sens!$C$2484</f>
        <v>205.517925582765</v>
      </c>
    </row>
    <row r="2487" customFormat="false" ht="17.15" hidden="false" customHeight="false" outlineLevel="0" collapsed="false">
      <c r="A2487" s="5" t="s">
        <v>957</v>
      </c>
      <c r="B2487" s="0" t="s">
        <v>27</v>
      </c>
      <c r="C2487" s="30" t="n">
        <f aca="false">(Sens!$C$2483-Sens!$C$2480+Sens!$C$2479)/sh_val</f>
        <v>291.352145258739</v>
      </c>
    </row>
    <row r="2490" customFormat="false" ht="19.4" hidden="false" customHeight="false" outlineLevel="0" collapsed="false">
      <c r="A2490" s="31" t="s">
        <v>1185</v>
      </c>
    </row>
    <row r="2491" customFormat="false" ht="17.15" hidden="false" customHeight="false" outlineLevel="0" collapsed="false">
      <c r="A2491" s="6" t="s">
        <v>16</v>
      </c>
      <c r="B2491" s="6" t="s">
        <v>17</v>
      </c>
      <c r="C2491" s="20" t="s">
        <v>497</v>
      </c>
      <c r="D2491" s="20" t="s">
        <v>498</v>
      </c>
      <c r="E2491" s="20" t="s">
        <v>580</v>
      </c>
      <c r="F2491" s="20" t="s">
        <v>581</v>
      </c>
      <c r="G2491" s="20" t="s">
        <v>582</v>
      </c>
      <c r="H2491" s="20" t="s">
        <v>583</v>
      </c>
      <c r="I2491" s="20" t="s">
        <v>584</v>
      </c>
      <c r="J2491" s="20" t="s">
        <v>585</v>
      </c>
      <c r="K2491" s="20" t="s">
        <v>586</v>
      </c>
      <c r="L2491" s="20" t="s">
        <v>587</v>
      </c>
      <c r="M2491" s="20" t="s">
        <v>588</v>
      </c>
      <c r="N2491" s="20" t="s">
        <v>589</v>
      </c>
      <c r="O2491" s="20" t="s">
        <v>590</v>
      </c>
      <c r="P2491" s="6" t="s">
        <v>23</v>
      </c>
      <c r="R2491" s="20" t="n">
        <v>2023</v>
      </c>
      <c r="S2491" s="20" t="n">
        <v>2024</v>
      </c>
      <c r="T2491" s="20" t="n">
        <v>2025</v>
      </c>
      <c r="U2491" s="20" t="n">
        <v>2026</v>
      </c>
      <c r="V2491" s="20" t="n">
        <v>2027</v>
      </c>
      <c r="W2491" s="20" t="n">
        <v>2028</v>
      </c>
      <c r="X2491" s="20" t="n">
        <v>2029</v>
      </c>
      <c r="Y2491" s="20" t="n">
        <v>2030</v>
      </c>
      <c r="Z2491" s="20" t="n">
        <v>2031</v>
      </c>
      <c r="AA2491" s="20" t="n">
        <v>2032</v>
      </c>
    </row>
    <row r="2492" customFormat="false" ht="17.15" hidden="false" customHeight="false" outlineLevel="0" collapsed="false">
      <c r="A2492" s="1" t="s">
        <v>666</v>
      </c>
    </row>
    <row r="2493" customFormat="false" ht="17.15" hidden="false" customHeight="false" outlineLevel="0" collapsed="false">
      <c r="A2493" s="0" t="s">
        <v>519</v>
      </c>
      <c r="B2493" s="0" t="s">
        <v>86</v>
      </c>
      <c r="C2493" s="38" t="n">
        <f aca="false">Q!$D$10</f>
        <v>247.029</v>
      </c>
      <c r="D2493" s="38" t="n">
        <f aca="false">Q!$E$10</f>
        <v>269.287</v>
      </c>
      <c r="E2493" s="38" t="n">
        <f aca="false">Q!$P$10</f>
        <v>134.686</v>
      </c>
      <c r="F2493" s="38" t="n">
        <f aca="false">Sens!$O$2493*(1+Sens!$F$2494)*Sens!$F$2505</f>
        <v>158.293876822267</v>
      </c>
      <c r="G2493" s="38" t="n">
        <f aca="false">Sens!$E$2493+Sens!$F$2493</f>
        <v>292.979876822267</v>
      </c>
      <c r="H2493" s="38" t="n">
        <f aca="false">Sens!$G$2493*(1+Sens!$H$2494)</f>
        <v>318.184543087396</v>
      </c>
      <c r="I2493" s="38" t="n">
        <f aca="false">Sens!$H$2493*(1+Sens!$I$2494)</f>
        <v>341.736278761793</v>
      </c>
      <c r="J2493" s="38" t="n">
        <f aca="false">Sens!$I$2493*(1+Sens!$J$2494)</f>
        <v>362.927192787048</v>
      </c>
      <c r="K2493" s="38" t="n">
        <f aca="false">Sens!$J$2493*(1+Sens!$K$2494)</f>
        <v>381.0735524264</v>
      </c>
      <c r="L2493" s="38" t="n">
        <f aca="false">Sens!$K$2493*(1+Sens!$L$2494)</f>
        <v>400.12723004772</v>
      </c>
      <c r="M2493" s="38" t="n">
        <f aca="false">Sens!$L$2493*(1+Sens!$M$2494)</f>
        <v>420.133591550106</v>
      </c>
      <c r="N2493" s="38" t="n">
        <f aca="false">Q!$N$10</f>
        <v>118.892</v>
      </c>
      <c r="O2493" s="38" t="n">
        <f aca="false">Q!$O$10</f>
        <v>150.395</v>
      </c>
      <c r="P2493" s="8" t="s">
        <v>667</v>
      </c>
    </row>
    <row r="2494" customFormat="false" ht="17.15" hidden="false" customHeight="false" outlineLevel="0" collapsed="false">
      <c r="A2494" s="0" t="s">
        <v>668</v>
      </c>
      <c r="B2494" s="0" t="s">
        <v>52</v>
      </c>
      <c r="E2494" s="13" t="n">
        <f aca="false">Sens!$E$2493/Sens!$N$2493-1</f>
        <v>0.132843252699929</v>
      </c>
      <c r="F2494" s="13" t="n">
        <f aca="false">Sens!$O$2493/(Q!$F$10+Q!$G$10)-1</f>
        <v>0.0980382135842941</v>
      </c>
      <c r="G2494" s="13" t="n">
        <f aca="false">Sens!$G$2493/Sens!$D$2493-1</f>
        <v>0.0879837378791657</v>
      </c>
      <c r="H2494" s="13" t="n">
        <f aca="false">Sens!$F$2494+(g_os-Sens!$F$2494)*1/4</f>
        <v>0.0860286601882206</v>
      </c>
      <c r="I2494" s="13" t="n">
        <f aca="false">Sens!$F$2494+(g_os-Sens!$F$2494)*2/4</f>
        <v>0.074019106792147</v>
      </c>
      <c r="J2494" s="13" t="n">
        <f aca="false">Sens!$F$2494+(g_os-Sens!$F$2494)*3/4</f>
        <v>0.0620095533960735</v>
      </c>
      <c r="K2494" s="13" t="n">
        <f aca="false">Sens!$F$2494+(g_os-Sens!$F$2494)*4/4</f>
        <v>0.05</v>
      </c>
      <c r="L2494" s="13" t="n">
        <f aca="false">g_os</f>
        <v>0.05</v>
      </c>
      <c r="M2494" s="13" t="n">
        <f aca="false">g_os</f>
        <v>0.05</v>
      </c>
      <c r="P2494" s="8" t="s">
        <v>669</v>
      </c>
    </row>
    <row r="2495" customFormat="false" ht="17.15" hidden="false" customHeight="false" outlineLevel="0" collapsed="false">
      <c r="A2495" s="0" t="s">
        <v>520</v>
      </c>
      <c r="B2495" s="0" t="s">
        <v>86</v>
      </c>
      <c r="C2495" s="38" t="n">
        <f aca="false">Q!$D$11</f>
        <v>21.215</v>
      </c>
      <c r="D2495" s="38" t="n">
        <f aca="false">Q!$E$11</f>
        <v>22.561</v>
      </c>
      <c r="E2495" s="38" t="n">
        <f aca="false">Q!$P$11</f>
        <v>11.579</v>
      </c>
      <c r="F2495" s="38" t="n">
        <f aca="false">Sens!$O$2495*(1+Sens!$F$2496)*Sens!$F$2505</f>
        <v>11.5938724610325</v>
      </c>
      <c r="G2495" s="38" t="n">
        <f aca="false">Sens!$E$2495+Sens!$F$2495</f>
        <v>23.1728724610325</v>
      </c>
      <c r="H2495" s="38" t="n">
        <f aca="false">Sens!$G$2495*(1+Sens!$H$2496)</f>
        <v>24.353392759506</v>
      </c>
      <c r="I2495" s="38" t="n">
        <f aca="false">Sens!$H$2495*(1+Sens!$I$2496)</f>
        <v>25.4240338872015</v>
      </c>
      <c r="J2495" s="38" t="n">
        <f aca="false">Sens!$I$2495*(1+Sens!$J$2496)</f>
        <v>26.3642491017174</v>
      </c>
      <c r="K2495" s="38" t="n">
        <f aca="false">Sens!$J$2495*(1+Sens!$K$2496)</f>
        <v>27.155176574769</v>
      </c>
      <c r="L2495" s="38" t="n">
        <f aca="false">Sens!$K$2495*(1+Sens!$L$2496)</f>
        <v>27.969831872012</v>
      </c>
      <c r="M2495" s="38" t="n">
        <f aca="false">Sens!$L$2495*(1+Sens!$M$2496)</f>
        <v>28.8089268281724</v>
      </c>
      <c r="N2495" s="38" t="n">
        <f aca="false">Q!$N$11</f>
        <v>11.128</v>
      </c>
      <c r="O2495" s="38" t="n">
        <f aca="false">Q!$O$11</f>
        <v>11.433</v>
      </c>
      <c r="P2495" s="8" t="s">
        <v>667</v>
      </c>
    </row>
    <row r="2496" customFormat="false" ht="17.15" hidden="false" customHeight="false" outlineLevel="0" collapsed="false">
      <c r="A2496" s="0" t="s">
        <v>670</v>
      </c>
      <c r="B2496" s="0" t="s">
        <v>52</v>
      </c>
      <c r="E2496" s="13" t="n">
        <f aca="false">Sens!$E$2495/Sens!$N$2495-1</f>
        <v>0.0405283968368082</v>
      </c>
      <c r="F2496" s="13" t="n">
        <f aca="false">Sens!$O$2495/(Q!$F$11+Q!$G$11)-1</f>
        <v>0.0579254187100955</v>
      </c>
      <c r="G2496" s="13" t="n">
        <f aca="false">Sens!$G$2495/Sens!$D$2495-1</f>
        <v>0.0271208040881397</v>
      </c>
      <c r="H2496" s="13" t="n">
        <f aca="false">Sens!$F$2496+(g_ps-Sens!$F$2496)*1/4</f>
        <v>0.0509440640325716</v>
      </c>
      <c r="I2496" s="13" t="n">
        <f aca="false">Sens!$F$2496+(g_ps-Sens!$F$2496)*2/4</f>
        <v>0.0439627093550477</v>
      </c>
      <c r="J2496" s="13" t="n">
        <f aca="false">Sens!$F$2496+(g_ps-Sens!$F$2496)*3/4</f>
        <v>0.0369813546775239</v>
      </c>
      <c r="K2496" s="13" t="n">
        <f aca="false">Sens!$F$2496+(g_ps-Sens!$F$2496)*4/4</f>
        <v>0.03</v>
      </c>
      <c r="L2496" s="13" t="n">
        <f aca="false">g_ps</f>
        <v>0.03</v>
      </c>
      <c r="M2496" s="13" t="n">
        <f aca="false">g_ps</f>
        <v>0.03</v>
      </c>
      <c r="P2496" s="8" t="s">
        <v>671</v>
      </c>
    </row>
    <row r="2497" customFormat="false" ht="17.15" hidden="false" customHeight="false" outlineLevel="0" collapsed="false">
      <c r="A2497" s="0" t="s">
        <v>521</v>
      </c>
      <c r="B2497" s="0" t="s">
        <v>86</v>
      </c>
      <c r="C2497" s="38" t="n">
        <f aca="false">Q!$D$12</f>
        <v>156.146</v>
      </c>
      <c r="D2497" s="38" t="n">
        <f aca="false">Q!$E$12</f>
        <v>172.162</v>
      </c>
      <c r="E2497" s="38" t="n">
        <f aca="false">Q!$P$12</f>
        <v>88.358</v>
      </c>
      <c r="F2497" s="38" t="n">
        <f aca="false">Sens!$O$2497*(1+Sens!$F$2498)*Sens!$F$2505</f>
        <v>102.004388260171</v>
      </c>
      <c r="G2497" s="38" t="n">
        <f aca="false">Sens!$E$2497+Sens!$F$2497</f>
        <v>190.362388260171</v>
      </c>
      <c r="H2497" s="38" t="n">
        <f aca="false">Sens!$G$2497*(1+Sens!$H$2498)</f>
        <v>210.343106588311</v>
      </c>
      <c r="I2497" s="38" t="n">
        <f aca="false">Sens!$H$2497*(1+Sens!$I$2498)</f>
        <v>229.969728494648</v>
      </c>
      <c r="J2497" s="38" t="n">
        <f aca="false">Sens!$I$2497*(1+Sens!$J$2498)</f>
        <v>248.747636972598</v>
      </c>
      <c r="K2497" s="38" t="n">
        <f aca="false">Sens!$J$2497*(1+Sens!$K$2498)</f>
        <v>266.15997156068</v>
      </c>
      <c r="L2497" s="38" t="n">
        <f aca="false">Sens!$K$2497*(1+Sens!$L$2498)</f>
        <v>284.791169569927</v>
      </c>
      <c r="M2497" s="38" t="n">
        <f aca="false">Sens!$L$2497*(1+Sens!$M$2498)</f>
        <v>304.726551439822</v>
      </c>
      <c r="N2497" s="38" t="n">
        <f aca="false">Q!$N$12</f>
        <v>76.86</v>
      </c>
      <c r="O2497" s="38" t="n">
        <f aca="false">Q!$O$12</f>
        <v>95.302</v>
      </c>
      <c r="P2497" s="8" t="s">
        <v>667</v>
      </c>
    </row>
    <row r="2498" customFormat="false" ht="17.15" hidden="false" customHeight="false" outlineLevel="0" collapsed="false">
      <c r="A2498" s="0" t="s">
        <v>672</v>
      </c>
      <c r="B2498" s="0" t="s">
        <v>52</v>
      </c>
      <c r="E2498" s="13" t="n">
        <f aca="false">Sens!$E$2497/Sens!$N$2497-1</f>
        <v>0.1495966692688</v>
      </c>
      <c r="F2498" s="13" t="n">
        <f aca="false">Sens!$O$2497/(Q!$F$12+Q!$G$12)-1</f>
        <v>0.11661530890813</v>
      </c>
      <c r="G2498" s="13" t="n">
        <f aca="false">Sens!$G$2497/Sens!$D$2497-1</f>
        <v>0.105716640490767</v>
      </c>
      <c r="H2498" s="13" t="n">
        <f aca="false">Sens!$F$2498+(g_sp-Sens!$F$2498)*1/4</f>
        <v>0.104961481681098</v>
      </c>
      <c r="I2498" s="13" t="n">
        <f aca="false">Sens!$F$2498+(g_sp-Sens!$F$2498)*2/4</f>
        <v>0.0933076544540651</v>
      </c>
      <c r="J2498" s="13" t="n">
        <f aca="false">Sens!$F$2498+(g_sp-Sens!$F$2498)*3/4</f>
        <v>0.0816538272270325</v>
      </c>
      <c r="K2498" s="13" t="n">
        <f aca="false">Sens!$F$2498+(g_sp-Sens!$F$2498)*4/4</f>
        <v>0.07</v>
      </c>
      <c r="L2498" s="13" t="n">
        <f aca="false">g_sp</f>
        <v>0.07</v>
      </c>
      <c r="M2498" s="13" t="n">
        <f aca="false">g_sp</f>
        <v>0.07</v>
      </c>
      <c r="P2498" s="8" t="s">
        <v>673</v>
      </c>
    </row>
    <row r="2499" customFormat="false" ht="17.15" hidden="false" customHeight="false" outlineLevel="0" collapsed="false">
      <c r="A2499" s="0" t="s">
        <v>522</v>
      </c>
      <c r="B2499" s="0" t="s">
        <v>86</v>
      </c>
      <c r="C2499" s="38" t="n">
        <f aca="false">Q!$D$13</f>
        <v>56.214</v>
      </c>
      <c r="D2499" s="38" t="n">
        <f aca="false">Q!$E$13</f>
        <v>68.635</v>
      </c>
      <c r="E2499" s="38" t="n">
        <f aca="false">Q!$P$13</f>
        <v>37.052</v>
      </c>
      <c r="F2499" s="38" t="n">
        <f aca="false">Sens!$O$2499*(1+Sens!$F$2500)*Sens!$F$2505</f>
        <v>46.1572219944148</v>
      </c>
      <c r="G2499" s="38" t="n">
        <f aca="false">Sens!$E$2499+Sens!$F$2499</f>
        <v>83.2092219944148</v>
      </c>
      <c r="H2499" s="38" t="n">
        <f aca="false">Sens!$G$2499*(1+Sens!$H$2500)</f>
        <v>99.8969223878976</v>
      </c>
      <c r="I2499" s="38" t="n">
        <f aca="false">Sens!$H$2499*(1+Sens!$I$2500)</f>
        <v>116.583111095496</v>
      </c>
      <c r="J2499" s="38" t="n">
        <f aca="false">Sens!$I$2499*(1+Sens!$J$2500)</f>
        <v>132.148941941952</v>
      </c>
      <c r="K2499" s="38" t="n">
        <f aca="false">Sens!$J$2499*(1+Sens!$K$2500)</f>
        <v>145.363836136147</v>
      </c>
      <c r="L2499" s="38" t="n">
        <f aca="false">Sens!$K$2499*(1+Sens!$L$2500)</f>
        <v>159.900219749762</v>
      </c>
      <c r="M2499" s="38" t="n">
        <f aca="false">Sens!$L$2499*(1+Sens!$M$2500)</f>
        <v>175.890241724738</v>
      </c>
      <c r="N2499" s="38" t="n">
        <f aca="false">Q!$N$13</f>
        <v>29.615</v>
      </c>
      <c r="O2499" s="38" t="n">
        <f aca="false">Q!$O$13</f>
        <v>39.02</v>
      </c>
      <c r="P2499" s="8" t="s">
        <v>667</v>
      </c>
    </row>
    <row r="2500" customFormat="false" ht="17.15" hidden="false" customHeight="false" outlineLevel="0" collapsed="false">
      <c r="A2500" s="0" t="s">
        <v>674</v>
      </c>
      <c r="B2500" s="0" t="s">
        <v>52</v>
      </c>
      <c r="E2500" s="13" t="n">
        <f aca="false">Sens!$E$2499/Sens!$N$2499-1</f>
        <v>0.25112274185379</v>
      </c>
      <c r="F2500" s="13" t="n">
        <f aca="false">Sens!$O$2499/(Q!$F$13+Q!$G$13)-1</f>
        <v>0.234068123596572</v>
      </c>
      <c r="G2500" s="13" t="n">
        <f aca="false">Sens!$G$2499/Sens!$D$2499-1</f>
        <v>0.212343876949294</v>
      </c>
      <c r="H2500" s="13" t="n">
        <f aca="false">Sens!$F$2500+(g_ad-Sens!$F$2500)*1/4</f>
        <v>0.200551092697429</v>
      </c>
      <c r="I2500" s="13" t="n">
        <f aca="false">Sens!$F$2500+(g_ad-Sens!$F$2500)*2/4</f>
        <v>0.167034061798286</v>
      </c>
      <c r="J2500" s="13" t="n">
        <f aca="false">Sens!$F$2500+(g_ad-Sens!$F$2500)*3/4</f>
        <v>0.133517030899143</v>
      </c>
      <c r="K2500" s="13" t="n">
        <f aca="false">Sens!$F$2500+(g_ad-Sens!$F$2500)*4/4</f>
        <v>0.1</v>
      </c>
      <c r="L2500" s="13" t="n">
        <f aca="false">g_ad</f>
        <v>0.1</v>
      </c>
      <c r="M2500" s="13" t="n">
        <f aca="false">g_ad</f>
        <v>0.1</v>
      </c>
      <c r="P2500" s="8" t="s">
        <v>675</v>
      </c>
    </row>
    <row r="2501" customFormat="false" ht="17.15" hidden="false" customHeight="false" outlineLevel="0" collapsed="false">
      <c r="A2501" s="0" t="s">
        <v>523</v>
      </c>
      <c r="B2501" s="0" t="s">
        <v>86</v>
      </c>
      <c r="C2501" s="38" t="n">
        <f aca="false">Q!$D$14</f>
        <v>44.374</v>
      </c>
      <c r="D2501" s="38" t="n">
        <f aca="false">Q!$E$14</f>
        <v>49.619</v>
      </c>
      <c r="E2501" s="38" t="n">
        <f aca="false">Q!$P$14</f>
        <v>27.157</v>
      </c>
      <c r="F2501" s="38" t="n">
        <f aca="false">Sens!$O$2501*(1+Sens!$F$2502)*Sens!$F$2505</f>
        <v>27.7764165988154</v>
      </c>
      <c r="G2501" s="38" t="n">
        <f aca="false">Sens!$E$2501+Sens!$F$2501</f>
        <v>54.9334165988154</v>
      </c>
      <c r="H2501" s="38" t="n">
        <f aca="false">Sens!$G$2501*(1+Sens!$H$2502)</f>
        <v>61.1564112561829</v>
      </c>
      <c r="I2501" s="38" t="n">
        <f aca="false">Sens!$H$2501*(1+Sens!$I$2502)</f>
        <v>67.2020282103945</v>
      </c>
      <c r="J2501" s="38" t="n">
        <f aca="false">Sens!$I$2501*(1+Sens!$J$2502)</f>
        <v>72.8757274028885</v>
      </c>
      <c r="K2501" s="38" t="n">
        <f aca="false">Sens!$J$2501*(1+Sens!$K$2502)</f>
        <v>77.9770283210907</v>
      </c>
      <c r="L2501" s="38" t="n">
        <f aca="false">Sens!$K$2501*(1+Sens!$L$2502)</f>
        <v>83.4354203035671</v>
      </c>
      <c r="M2501" s="38" t="n">
        <f aca="false">Sens!$L$2501*(1+Sens!$M$2502)</f>
        <v>89.2758997248168</v>
      </c>
      <c r="N2501" s="38" t="n">
        <f aca="false">Q!$N$14</f>
        <v>23.923</v>
      </c>
      <c r="O2501" s="38" t="n">
        <f aca="false">Q!$O$14</f>
        <v>25.696</v>
      </c>
      <c r="P2501" s="8" t="s">
        <v>667</v>
      </c>
    </row>
    <row r="2502" customFormat="false" ht="17.15" hidden="false" customHeight="false" outlineLevel="0" collapsed="false">
      <c r="A2502" s="0" t="s">
        <v>676</v>
      </c>
      <c r="B2502" s="0" t="s">
        <v>52</v>
      </c>
      <c r="E2502" s="13" t="n">
        <f aca="false">Sens!$E$2501/Sens!$N$2501-1</f>
        <v>0.135183714417088</v>
      </c>
      <c r="F2502" s="13" t="n">
        <f aca="false">Sens!$O$2501/(Q!$F$14+Q!$G$14)-1</f>
        <v>0.127709997366804</v>
      </c>
      <c r="G2502" s="13" t="n">
        <f aca="false">Sens!$G$2501/Sens!$D$2501-1</f>
        <v>0.107104468022641</v>
      </c>
      <c r="H2502" s="13" t="n">
        <f aca="false">Sens!$F$2502+(g_sub-Sens!$F$2502)*1/4</f>
        <v>0.113282498025103</v>
      </c>
      <c r="I2502" s="13" t="n">
        <f aca="false">Sens!$F$2502+(g_sub-Sens!$F$2502)*2/4</f>
        <v>0.0988549986834021</v>
      </c>
      <c r="J2502" s="13" t="n">
        <f aca="false">Sens!$F$2502+(g_sub-Sens!$F$2502)*3/4</f>
        <v>0.084427499341701</v>
      </c>
      <c r="K2502" s="13" t="n">
        <f aca="false">Sens!$F$2502+(g_sub-Sens!$F$2502)*4/4</f>
        <v>0.07</v>
      </c>
      <c r="L2502" s="13" t="n">
        <f aca="false">g_sub</f>
        <v>0.07</v>
      </c>
      <c r="M2502" s="13" t="n">
        <f aca="false">g_sub</f>
        <v>0.07</v>
      </c>
      <c r="P2502" s="8" t="s">
        <v>677</v>
      </c>
    </row>
    <row r="2503" customFormat="false" ht="17.15" hidden="false" customHeight="false" outlineLevel="0" collapsed="false">
      <c r="A2503" s="0" t="s">
        <v>524</v>
      </c>
      <c r="B2503" s="0" t="s">
        <v>86</v>
      </c>
      <c r="C2503" s="38" t="n">
        <f aca="false">Q!$D$15</f>
        <v>5.425</v>
      </c>
      <c r="D2503" s="38" t="n">
        <f aca="false">Q!$E$15</f>
        <v>5.935</v>
      </c>
      <c r="E2503" s="38" t="n">
        <f aca="false">Q!$P$15</f>
        <v>3.474</v>
      </c>
      <c r="F2503" s="38" t="n">
        <f aca="false">Sens!$O$2503*(1+Sens!$F$2504)*Sens!$F$2505</f>
        <v>3.22246550883619</v>
      </c>
      <c r="G2503" s="38" t="n">
        <f aca="false">Sens!$E$2503+Sens!$F$2503</f>
        <v>6.69646550883619</v>
      </c>
      <c r="H2503" s="38" t="n">
        <f aca="false">Sens!$G$2503*(1+Sens!$H$2504)</f>
        <v>7.16251344209196</v>
      </c>
      <c r="I2503" s="38" t="n">
        <f aca="false">Sens!$H$2503*(1+Sens!$I$2504)</f>
        <v>7.61421070299826</v>
      </c>
      <c r="J2503" s="38" t="n">
        <f aca="false">Sens!$I$2503*(1+Sens!$J$2504)</f>
        <v>8.04465753523932</v>
      </c>
      <c r="K2503" s="38" t="n">
        <f aca="false">Sens!$J$2503*(1+Sens!$K$2504)</f>
        <v>8.44689041200128</v>
      </c>
      <c r="L2503" s="38" t="n">
        <f aca="false">Sens!$K$2503*(1+Sens!$L$2504)</f>
        <v>8.86923493260135</v>
      </c>
      <c r="M2503" s="38" t="n">
        <f aca="false">Sens!$L$2503*(1+Sens!$M$2504)</f>
        <v>9.31269667923142</v>
      </c>
      <c r="N2503" s="38" t="n">
        <f aca="false">Q!$N$15</f>
        <v>2.811</v>
      </c>
      <c r="O2503" s="38" t="n">
        <f aca="false">Q!$O$15</f>
        <v>3.124</v>
      </c>
      <c r="P2503" s="8" t="s">
        <v>667</v>
      </c>
    </row>
    <row r="2504" customFormat="false" ht="17.15" hidden="false" customHeight="false" outlineLevel="0" collapsed="false">
      <c r="A2504" s="0" t="s">
        <v>678</v>
      </c>
      <c r="B2504" s="0" t="s">
        <v>52</v>
      </c>
      <c r="E2504" s="13" t="n">
        <f aca="false">Sens!$E$2503/Sens!$N$2503-1</f>
        <v>0.235859124866596</v>
      </c>
      <c r="F2504" s="13" t="n">
        <f aca="false">Sens!$O$2503/(Q!$F$15+Q!$G$15)-1</f>
        <v>0.0761281433000345</v>
      </c>
      <c r="G2504" s="13" t="n">
        <f aca="false">Sens!$G$2503/Sens!$D$2503-1</f>
        <v>0.128300843948811</v>
      </c>
      <c r="H2504" s="13" t="n">
        <f aca="false">Sens!$F$2504+(g_ot-Sens!$F$2504)*1/4</f>
        <v>0.0695961074750259</v>
      </c>
      <c r="I2504" s="13" t="n">
        <f aca="false">Sens!$F$2504+(g_ot-Sens!$F$2504)*2/4</f>
        <v>0.0630640716500172</v>
      </c>
      <c r="J2504" s="13" t="n">
        <f aca="false">Sens!$F$2504+(g_ot-Sens!$F$2504)*3/4</f>
        <v>0.0565320358250086</v>
      </c>
      <c r="K2504" s="13" t="n">
        <f aca="false">Sens!$F$2504+(g_ot-Sens!$F$2504)*4/4</f>
        <v>0.05</v>
      </c>
      <c r="L2504" s="13" t="n">
        <f aca="false">g_ot</f>
        <v>0.05</v>
      </c>
      <c r="M2504" s="13" t="n">
        <f aca="false">g_ot</f>
        <v>0.05</v>
      </c>
      <c r="P2504" s="8" t="s">
        <v>679</v>
      </c>
    </row>
    <row r="2505" customFormat="false" ht="17.15" hidden="false" customHeight="false" outlineLevel="0" collapsed="false">
      <c r="A2505" s="0" t="s">
        <v>680</v>
      </c>
      <c r="B2505" s="0" t="s">
        <v>57</v>
      </c>
      <c r="F2505" s="40" t="n">
        <f aca="false">(g26q3_mid*Q!$O$8/Q!$J$8-Thesis!$F$86-Thesis!$F$90)/(Sens!$O$2493*(1+Sens!$F$2494)+Sens!$O$2495*(1+Sens!$F$2496)+Sens!$O$2497*(1+Sens!$F$2498)+Sens!$O$2499*(1+Sens!$F$2500)+Sens!$O$2501*(1+Sens!$F$2502)+Sens!$O$2503*(1+Sens!$F$2504))</f>
        <v>0.958546670622329</v>
      </c>
      <c r="P2505" s="8" t="s">
        <v>681</v>
      </c>
    </row>
    <row r="2506" customFormat="false" ht="17.15" hidden="false" customHeight="false" outlineLevel="0" collapsed="false">
      <c r="A2506" s="3" t="s">
        <v>682</v>
      </c>
      <c r="B2506" s="8" t="s">
        <v>86</v>
      </c>
      <c r="C2506" s="38" t="n">
        <f aca="false">Sens!$C$2493+Sens!$C$2495+Sens!$C$2497+Sens!$C$2499+Sens!$C$2501+Sens!$C$2503</f>
        <v>530.403</v>
      </c>
      <c r="D2506" s="38" t="n">
        <f aca="false">Sens!$D$2493+Sens!$D$2495+Sens!$D$2497+Sens!$D$2499+Sens!$D$2501+Sens!$D$2503</f>
        <v>588.199</v>
      </c>
      <c r="E2506" s="38" t="n">
        <f aca="false">Sens!$E$2493+Sens!$E$2495+Sens!$E$2497+Sens!$E$2499+Sens!$E$2501+Sens!$E$2503</f>
        <v>302.306</v>
      </c>
      <c r="F2506" s="38" t="n">
        <f aca="false">Sens!$F$2493+Sens!$F$2495+Sens!$F$2497+Sens!$F$2499+Sens!$F$2501+Sens!$F$2503</f>
        <v>349.048241645537</v>
      </c>
      <c r="G2506" s="38" t="n">
        <f aca="false">Sens!$G$2493+Sens!$G$2495+Sens!$G$2497+Sens!$G$2499+Sens!$G$2501+Sens!$G$2503</f>
        <v>651.354241645537</v>
      </c>
      <c r="H2506" s="38" t="n">
        <f aca="false">Sens!$H$2493+Sens!$H$2495+Sens!$H$2497+Sens!$H$2499+Sens!$H$2501+Sens!$H$2503</f>
        <v>721.096889521386</v>
      </c>
      <c r="I2506" s="38" t="n">
        <f aca="false">Sens!$I$2493+Sens!$I$2495+Sens!$I$2497+Sens!$I$2499+Sens!$I$2501+Sens!$I$2503</f>
        <v>788.529391152531</v>
      </c>
      <c r="J2506" s="38" t="n">
        <f aca="false">Sens!$J$2493+Sens!$J$2495+Sens!$J$2497+Sens!$J$2499+Sens!$J$2501+Sens!$J$2503</f>
        <v>851.108405741443</v>
      </c>
      <c r="K2506" s="38" t="n">
        <f aca="false">Sens!$K$2493+Sens!$K$2495+Sens!$K$2497+Sens!$K$2499+Sens!$K$2501+Sens!$K$2503</f>
        <v>906.176455431088</v>
      </c>
      <c r="L2506" s="38" t="n">
        <f aca="false">Sens!$L$2493+Sens!$L$2495+Sens!$L$2497+Sens!$L$2499+Sens!$L$2501+Sens!$L$2503</f>
        <v>965.093106475589</v>
      </c>
      <c r="M2506" s="38" t="n">
        <f aca="false">Sens!$M$2493+Sens!$M$2495+Sens!$M$2497+Sens!$M$2499+Sens!$M$2501+Sens!$M$2503</f>
        <v>1028.14790794689</v>
      </c>
      <c r="N2506" s="38" t="n">
        <f aca="false">Sens!$N$2493+Sens!$N$2495+Sens!$N$2497+Sens!$N$2499+Sens!$N$2501+Sens!$N$2503</f>
        <v>263.229</v>
      </c>
      <c r="O2506" s="38" t="n">
        <f aca="false">Sens!$O$2493+Sens!$O$2495+Sens!$O$2497+Sens!$O$2499+Sens!$O$2501+Sens!$O$2503</f>
        <v>324.97</v>
      </c>
    </row>
    <row r="2507" customFormat="false" ht="17.15" hidden="false" customHeight="false" outlineLevel="0" collapsed="false">
      <c r="A2507" s="5" t="s">
        <v>683</v>
      </c>
      <c r="B2507" s="0" t="s">
        <v>52</v>
      </c>
      <c r="C2507" s="13" t="n">
        <f aca="false">Q!$D$5/(Q!$D$5+Q!$D$6)</f>
        <v>0.730570905519011</v>
      </c>
      <c r="D2507" s="13" t="n">
        <f aca="false">Q!$E$5/(Q!$E$5+Q!$E$6)</f>
        <v>0.724763217890544</v>
      </c>
      <c r="E2507" s="13" t="n">
        <f aca="false">Q!$P$5/(Q!$P$5+Q!$P$6)</f>
        <v>0.728797972914861</v>
      </c>
      <c r="F2507" s="13" t="n">
        <f aca="false">Sens!$O$2507</f>
        <v>0.718066283041511</v>
      </c>
      <c r="G2507" s="13" t="n">
        <f aca="false">Sens!$G$2508/Sens!$G$2506</f>
        <v>0.723047066202847</v>
      </c>
      <c r="H2507" s="13" t="n">
        <f aca="false">Sens!$G$2507</f>
        <v>0.723047066202847</v>
      </c>
      <c r="I2507" s="13" t="n">
        <f aca="false">Sens!$G$2507</f>
        <v>0.723047066202847</v>
      </c>
      <c r="J2507" s="13" t="n">
        <f aca="false">Sens!$G$2507</f>
        <v>0.723047066202847</v>
      </c>
      <c r="K2507" s="13" t="n">
        <f aca="false">Sens!$G$2507</f>
        <v>0.723047066202847</v>
      </c>
      <c r="L2507" s="13" t="n">
        <f aca="false">Sens!$G$2507</f>
        <v>0.723047066202847</v>
      </c>
      <c r="M2507" s="13" t="n">
        <f aca="false">Sens!$G$2507</f>
        <v>0.723047066202847</v>
      </c>
      <c r="N2507" s="13" t="n">
        <f aca="false">Q!$N$5/(Q!$N$5+Q!$N$6)</f>
        <v>0.733030935041352</v>
      </c>
      <c r="O2507" s="13" t="n">
        <f aca="false">Q!$O$5/(Q!$O$5+Q!$O$6)</f>
        <v>0.718066283041511</v>
      </c>
      <c r="P2507" s="8" t="s">
        <v>684</v>
      </c>
    </row>
    <row r="2508" customFormat="false" ht="17.15" hidden="false" customHeight="false" outlineLevel="0" collapsed="false">
      <c r="A2508" s="1" t="s">
        <v>512</v>
      </c>
      <c r="B2508" s="8" t="s">
        <v>86</v>
      </c>
      <c r="C2508" s="38" t="n">
        <f aca="false">Q!$D$5</f>
        <v>387.497</v>
      </c>
      <c r="D2508" s="38" t="n">
        <f aca="false">Q!$E$5</f>
        <v>426.305</v>
      </c>
      <c r="E2508" s="38" t="n">
        <f aca="false">Q!$P$5</f>
        <v>220.32</v>
      </c>
      <c r="F2508" s="38" t="n">
        <f aca="false">Sens!$F$2506*Sens!$F$2507</f>
        <v>250.639773480586</v>
      </c>
      <c r="G2508" s="38" t="n">
        <f aca="false">Sens!$E$2508+Sens!$F$2508</f>
        <v>470.959773480586</v>
      </c>
      <c r="H2508" s="38" t="n">
        <f aca="false">Sens!$H$2506*Sens!$H$2507</f>
        <v>521.386990416437</v>
      </c>
      <c r="I2508" s="38" t="n">
        <f aca="false">Sens!$I$2506*Sens!$I$2507</f>
        <v>570.143862887555</v>
      </c>
      <c r="J2508" s="38" t="n">
        <f aca="false">Sens!$J$2506*Sens!$J$2507</f>
        <v>615.391435791933</v>
      </c>
      <c r="K2508" s="38" t="n">
        <f aca="false">Sens!$K$2506*Sens!$K$2507</f>
        <v>655.208227561543</v>
      </c>
      <c r="L2508" s="38" t="n">
        <f aca="false">Sens!$L$2506*Sens!$L$2507</f>
        <v>697.807739249767</v>
      </c>
      <c r="M2508" s="38" t="n">
        <f aca="false">Sens!$M$2506*Sens!$M$2507</f>
        <v>743.399328463592</v>
      </c>
      <c r="N2508" s="38" t="n">
        <f aca="false">Q!$N$5</f>
        <v>192.955</v>
      </c>
      <c r="O2508" s="38" t="n">
        <f aca="false">Q!$O$5</f>
        <v>233.35</v>
      </c>
      <c r="P2508" s="5" t="s">
        <v>685</v>
      </c>
    </row>
    <row r="2509" customFormat="false" ht="17.15" hidden="false" customHeight="false" outlineLevel="0" collapsed="false">
      <c r="A2509" s="1" t="s">
        <v>515</v>
      </c>
      <c r="B2509" s="8" t="s">
        <v>86</v>
      </c>
      <c r="C2509" s="38" t="n">
        <f aca="false">Q!$D$6</f>
        <v>142.906</v>
      </c>
      <c r="D2509" s="38" t="n">
        <f aca="false">Q!$E$6</f>
        <v>161.894</v>
      </c>
      <c r="E2509" s="38" t="n">
        <f aca="false">Q!$P$6</f>
        <v>81.986</v>
      </c>
      <c r="F2509" s="38" t="n">
        <f aca="false">Sens!$F$2506*(1-Sens!$F$2507)</f>
        <v>98.408468164951</v>
      </c>
      <c r="G2509" s="38" t="n">
        <f aca="false">Sens!$E$2509+Sens!$F$2509</f>
        <v>180.394468164951</v>
      </c>
      <c r="H2509" s="38" t="n">
        <f aca="false">Sens!$H$2506*(1-Sens!$H$2507)</f>
        <v>199.709899104949</v>
      </c>
      <c r="I2509" s="38" t="n">
        <f aca="false">Sens!$I$2506*(1-Sens!$I$2507)</f>
        <v>218.385528264976</v>
      </c>
      <c r="J2509" s="38" t="n">
        <f aca="false">Sens!$J$2506*(1-Sens!$J$2507)</f>
        <v>235.71696994951</v>
      </c>
      <c r="K2509" s="38" t="n">
        <f aca="false">Sens!$K$2506*(1-Sens!$K$2507)</f>
        <v>250.968227869545</v>
      </c>
      <c r="L2509" s="38" t="n">
        <f aca="false">Sens!$L$2506*(1-Sens!$L$2507)</f>
        <v>267.285367225822</v>
      </c>
      <c r="M2509" s="38" t="n">
        <f aca="false">Sens!$M$2506*(1-Sens!$M$2507)</f>
        <v>284.748579483295</v>
      </c>
      <c r="N2509" s="38" t="n">
        <f aca="false">Q!$N$6</f>
        <v>70.274</v>
      </c>
      <c r="O2509" s="38" t="n">
        <f aca="false">Q!$O$6</f>
        <v>91.62</v>
      </c>
      <c r="P2509" s="5" t="s">
        <v>686</v>
      </c>
    </row>
    <row r="2510" customFormat="false" ht="17.15" hidden="false" customHeight="false" outlineLevel="0" collapsed="false">
      <c r="A2510" s="5" t="s">
        <v>687</v>
      </c>
      <c r="B2510" s="0" t="s">
        <v>86</v>
      </c>
      <c r="C2510" s="38" t="n">
        <f aca="false">Sens!$C$2499*Sens!$C$2507</f>
        <v>41.0683128828457</v>
      </c>
      <c r="D2510" s="38" t="n">
        <f aca="false">Sens!$D$2499*Sens!$D$2507</f>
        <v>49.7441234599175</v>
      </c>
      <c r="E2510" s="38" t="n">
        <f aca="false">Sens!$E$2499*Sens!$E$2507</f>
        <v>27.0034224924414</v>
      </c>
      <c r="F2510" s="38" t="n">
        <f aca="false">Sens!$F$2499*Sens!$F$2507</f>
        <v>33.1439448330513</v>
      </c>
      <c r="G2510" s="38" t="n">
        <f aca="false">Sens!$G$2499*Sens!$G$2507</f>
        <v>60.164183844083</v>
      </c>
      <c r="H2510" s="38" t="n">
        <f aca="false">Sens!$H$2499*Sens!$H$2507</f>
        <v>72.2301766552629</v>
      </c>
      <c r="I2510" s="38" t="n">
        <f aca="false">Sens!$I$2499*Sens!$I$2507</f>
        <v>84.2950764463991</v>
      </c>
      <c r="J2510" s="38" t="n">
        <f aca="false">Sens!$J$2499*Sens!$J$2507</f>
        <v>95.5499047729386</v>
      </c>
      <c r="K2510" s="38" t="n">
        <f aca="false">Sens!$K$2499*Sens!$K$2507</f>
        <v>105.104895250232</v>
      </c>
      <c r="L2510" s="38" t="n">
        <f aca="false">Sens!$L$2499*Sens!$L$2507</f>
        <v>115.615384775256</v>
      </c>
      <c r="M2510" s="38" t="n">
        <f aca="false">Sens!$M$2499*Sens!$M$2507</f>
        <v>127.176923252781</v>
      </c>
      <c r="N2510" s="38" t="n">
        <f aca="false">Sens!$N$2499*Sens!$N$2507</f>
        <v>21.7087111412496</v>
      </c>
      <c r="O2510" s="38" t="n">
        <f aca="false">Sens!$O$2499*Sens!$O$2507</f>
        <v>28.0189463642798</v>
      </c>
      <c r="P2510" s="5" t="s">
        <v>688</v>
      </c>
    </row>
    <row r="2511" customFormat="false" ht="15" hidden="false" customHeight="false" outlineLevel="0" collapsed="false">
      <c r="A2511" s="5" t="s">
        <v>689</v>
      </c>
      <c r="B2511" s="0" t="s">
        <v>86</v>
      </c>
      <c r="C2511" s="38" t="n">
        <f aca="false">Sens!$C$2499-Sens!$C$2510</f>
        <v>15.1456871171543</v>
      </c>
      <c r="D2511" s="38" t="n">
        <f aca="false">Sens!$D$2499-Sens!$D$2510</f>
        <v>18.8908765400825</v>
      </c>
      <c r="E2511" s="38" t="n">
        <f aca="false">Sens!$E$2499-Sens!$E$2510</f>
        <v>10.0485775075586</v>
      </c>
      <c r="F2511" s="38" t="n">
        <f aca="false">Sens!$F$2499-Sens!$F$2510</f>
        <v>13.0132771613635</v>
      </c>
      <c r="G2511" s="38" t="n">
        <f aca="false">Sens!$G$2499-Sens!$G$2510</f>
        <v>23.0450381503318</v>
      </c>
      <c r="H2511" s="38" t="n">
        <f aca="false">Sens!$H$2499-Sens!$H$2510</f>
        <v>27.6667457326347</v>
      </c>
      <c r="I2511" s="38" t="n">
        <f aca="false">Sens!$I$2499-Sens!$I$2510</f>
        <v>32.2880346490971</v>
      </c>
      <c r="J2511" s="38" t="n">
        <f aca="false">Sens!$J$2499-Sens!$J$2510</f>
        <v>36.5990371690132</v>
      </c>
      <c r="K2511" s="38" t="n">
        <f aca="false">Sens!$K$2499-Sens!$K$2510</f>
        <v>40.2589408859145</v>
      </c>
      <c r="L2511" s="38" t="n">
        <f aca="false">Sens!$L$2499-Sens!$L$2510</f>
        <v>44.2848349745059</v>
      </c>
      <c r="M2511" s="38" t="n">
        <f aca="false">Sens!$M$2499-Sens!$M$2510</f>
        <v>48.7133184719565</v>
      </c>
      <c r="N2511" s="38" t="n">
        <f aca="false">Sens!$N$2499-Sens!$N$2510</f>
        <v>7.90628885875037</v>
      </c>
      <c r="O2511" s="38" t="n">
        <f aca="false">Sens!$O$2499-Sens!$O$2510</f>
        <v>11.0010536357202</v>
      </c>
    </row>
    <row r="2512" customFormat="false" ht="19.4" hidden="false" customHeight="false" outlineLevel="0" collapsed="false">
      <c r="A2512" s="31" t="s">
        <v>1186</v>
      </c>
    </row>
    <row r="2513" customFormat="false" ht="17.15" hidden="false" customHeight="false" outlineLevel="0" collapsed="false">
      <c r="A2513" s="6" t="s">
        <v>16</v>
      </c>
      <c r="B2513" s="6" t="s">
        <v>17</v>
      </c>
      <c r="C2513" s="20" t="s">
        <v>497</v>
      </c>
      <c r="D2513" s="20" t="s">
        <v>498</v>
      </c>
      <c r="E2513" s="20" t="s">
        <v>580</v>
      </c>
      <c r="F2513" s="20" t="s">
        <v>581</v>
      </c>
      <c r="G2513" s="20" t="s">
        <v>582</v>
      </c>
      <c r="H2513" s="20" t="s">
        <v>583</v>
      </c>
      <c r="I2513" s="20" t="s">
        <v>584</v>
      </c>
      <c r="J2513" s="20" t="s">
        <v>585</v>
      </c>
      <c r="K2513" s="20" t="s">
        <v>586</v>
      </c>
      <c r="L2513" s="20" t="s">
        <v>587</v>
      </c>
      <c r="M2513" s="20" t="s">
        <v>588</v>
      </c>
      <c r="N2513" s="20" t="s">
        <v>589</v>
      </c>
      <c r="O2513" s="20" t="s">
        <v>590</v>
      </c>
      <c r="P2513" s="6" t="s">
        <v>23</v>
      </c>
      <c r="R2513" s="20" t="n">
        <v>2023</v>
      </c>
      <c r="S2513" s="20" t="n">
        <v>2024</v>
      </c>
      <c r="T2513" s="20" t="n">
        <v>2025</v>
      </c>
      <c r="U2513" s="20" t="n">
        <v>2026</v>
      </c>
      <c r="V2513" s="20" t="n">
        <v>2027</v>
      </c>
      <c r="W2513" s="20" t="n">
        <v>2028</v>
      </c>
      <c r="X2513" s="20" t="n">
        <v>2029</v>
      </c>
      <c r="Y2513" s="20" t="n">
        <v>2030</v>
      </c>
      <c r="Z2513" s="20" t="n">
        <v>2031</v>
      </c>
      <c r="AA2513" s="20" t="n">
        <v>2032</v>
      </c>
    </row>
    <row r="2514" customFormat="false" ht="17.15" hidden="false" customHeight="false" outlineLevel="0" collapsed="false">
      <c r="A2514" s="1" t="s">
        <v>591</v>
      </c>
    </row>
    <row r="2515" customFormat="false" ht="17.15" hidden="false" customHeight="false" outlineLevel="0" collapsed="false">
      <c r="A2515" s="5" t="s">
        <v>592</v>
      </c>
      <c r="B2515" s="0" t="s">
        <v>144</v>
      </c>
      <c r="H2515" s="32" t="n">
        <f aca="false">pace_B</f>
        <v>3634.3</v>
      </c>
      <c r="I2515" s="32" t="n">
        <f aca="false">pace_B</f>
        <v>3634.3</v>
      </c>
      <c r="J2515" s="32" t="n">
        <f aca="false">pace_B</f>
        <v>3634.3</v>
      </c>
      <c r="K2515" s="32" t="n">
        <f aca="false">pace_B+(Sens!$J$2516*tg-pace_B)*1/3</f>
        <v>2570.86716666667</v>
      </c>
      <c r="L2515" s="32" t="n">
        <f aca="false">pace_B+(Sens!$J$2516*tg-pace_B)*2/3</f>
        <v>1507.43433333333</v>
      </c>
      <c r="M2515" s="32" t="n">
        <f aca="false">pace_B+(Sens!$J$2516*tg-pace_B)*3/3</f>
        <v>444.0015</v>
      </c>
      <c r="P2515" s="5" t="s">
        <v>593</v>
      </c>
    </row>
    <row r="2516" customFormat="false" ht="17.15" hidden="false" customHeight="false" outlineLevel="0" collapsed="false">
      <c r="A2516" s="15" t="s">
        <v>594</v>
      </c>
      <c r="B2516" s="14" t="s">
        <v>129</v>
      </c>
      <c r="C2516" s="33" t="n">
        <f aca="false">mw_ye24</f>
        <v>360</v>
      </c>
      <c r="D2516" s="33" t="n">
        <f aca="false">mw_ye25</f>
        <v>1440</v>
      </c>
      <c r="E2516" s="33" t="n">
        <f aca="false">mw_open</f>
        <v>2080</v>
      </c>
      <c r="F2516" s="33" t="n">
        <f aca="false">Sens!$E$2516+pace_B*0.5</f>
        <v>3897.15</v>
      </c>
      <c r="G2516" s="33" t="n">
        <f aca="false">Sens!$F$2516</f>
        <v>3897.15</v>
      </c>
      <c r="H2516" s="33" t="n">
        <f aca="false">Sens!$G$2516+Sens!$H$2515</f>
        <v>7531.45</v>
      </c>
      <c r="I2516" s="33" t="n">
        <f aca="false">Sens!$H$2516+Sens!$I$2515</f>
        <v>11165.75</v>
      </c>
      <c r="J2516" s="33" t="n">
        <f aca="false">Sens!$I$2516+Sens!$J$2515</f>
        <v>14800.05</v>
      </c>
      <c r="K2516" s="33" t="n">
        <f aca="false">Sens!$J$2516+Sens!$K$2515</f>
        <v>17370.9171666667</v>
      </c>
      <c r="L2516" s="33" t="n">
        <f aca="false">Sens!$K$2516+Sens!$L$2515</f>
        <v>18878.3515</v>
      </c>
      <c r="M2516" s="33" t="n">
        <f aca="false">Sens!$L$2516+Sens!$M$2515</f>
        <v>19322.353</v>
      </c>
      <c r="N2516" s="33" t="n">
        <f aca="false">(mw_ye24+mw_ye25)/2</f>
        <v>900</v>
      </c>
      <c r="O2516" s="33" t="n">
        <f aca="false">mw_ye25</f>
        <v>1440</v>
      </c>
      <c r="P2516" s="5" t="s">
        <v>595</v>
      </c>
    </row>
    <row r="2517" customFormat="false" ht="17.15" hidden="false" customHeight="false" outlineLevel="0" collapsed="false">
      <c r="A2517" s="5" t="s">
        <v>596</v>
      </c>
      <c r="B2517" s="0" t="s">
        <v>129</v>
      </c>
      <c r="C2517" s="32" t="n">
        <f aca="false">(mw_ye23+mw_ye24)/2</f>
        <v>240</v>
      </c>
      <c r="D2517" s="32" t="n">
        <f aca="false">(Sens!$C$2516+Sens!$D$2516)/2</f>
        <v>900</v>
      </c>
      <c r="E2517" s="32" t="n">
        <f aca="false">(Sens!$D$2516+Sens!$E$2516)/2</f>
        <v>1760</v>
      </c>
      <c r="F2517" s="32" t="n">
        <f aca="false">(Sens!$E$2516+Sens!$F$2516)/2</f>
        <v>2988.575</v>
      </c>
      <c r="G2517" s="32" t="n">
        <f aca="false">(Sens!$E$2517+Sens!$F$2517)/2</f>
        <v>2374.2875</v>
      </c>
      <c r="H2517" s="32" t="n">
        <f aca="false">(Sens!$G$2516+Sens!$H$2516)/2</f>
        <v>5714.3</v>
      </c>
      <c r="I2517" s="32" t="n">
        <f aca="false">(Sens!$H$2516+Sens!$I$2516)/2</f>
        <v>9348.6</v>
      </c>
      <c r="J2517" s="32" t="n">
        <f aca="false">(Sens!$I$2516+Sens!$J$2516)/2</f>
        <v>12982.9</v>
      </c>
      <c r="K2517" s="32" t="n">
        <f aca="false">(Sens!$J$2516+Sens!$K$2516)/2</f>
        <v>16085.4835833333</v>
      </c>
      <c r="L2517" s="32" t="n">
        <f aca="false">(Sens!$K$2516+Sens!$L$2516)/2</f>
        <v>18124.6343333333</v>
      </c>
      <c r="M2517" s="32" t="n">
        <f aca="false">(Sens!$L$2516+Sens!$M$2516)/2</f>
        <v>19100.35225</v>
      </c>
      <c r="N2517" s="32" t="n">
        <f aca="false">(Sens!$C$2516+Sens!$N$2516)/2</f>
        <v>630</v>
      </c>
      <c r="O2517" s="32" t="n">
        <f aca="false">(Sens!$N$2516+Sens!$O$2516)/2</f>
        <v>1170</v>
      </c>
    </row>
    <row r="2518" customFormat="false" ht="15" hidden="false" customHeight="false" outlineLevel="0" collapsed="false">
      <c r="A2518" s="5" t="s">
        <v>597</v>
      </c>
      <c r="B2518" s="5" t="s">
        <v>123</v>
      </c>
      <c r="C2518" s="34" t="n">
        <v>1</v>
      </c>
      <c r="D2518" s="34" t="n">
        <v>1</v>
      </c>
      <c r="E2518" s="34" t="n">
        <v>0.5</v>
      </c>
      <c r="F2518" s="34" t="n">
        <v>0.5</v>
      </c>
      <c r="G2518" s="34" t="n">
        <v>1</v>
      </c>
      <c r="H2518" s="34" t="n">
        <v>1</v>
      </c>
      <c r="I2518" s="34" t="n">
        <v>1</v>
      </c>
      <c r="J2518" s="34" t="n">
        <v>1</v>
      </c>
      <c r="K2518" s="34" t="n">
        <v>1</v>
      </c>
      <c r="L2518" s="34" t="n">
        <v>1</v>
      </c>
      <c r="M2518" s="34" t="n">
        <v>1</v>
      </c>
      <c r="N2518" s="34" t="n">
        <v>0.5</v>
      </c>
      <c r="O2518" s="34" t="n">
        <v>0.5</v>
      </c>
    </row>
    <row r="2519" customFormat="false" ht="17.15" hidden="false" customHeight="false" outlineLevel="0" collapsed="false">
      <c r="A2519" s="5" t="s">
        <v>598</v>
      </c>
      <c r="B2519" s="0" t="s">
        <v>129</v>
      </c>
      <c r="C2519" s="32" t="n">
        <f aca="false">Sens!$C$2516-mw_ye23</f>
        <v>240</v>
      </c>
      <c r="D2519" s="32" t="n">
        <f aca="false">Sens!$D$2516-Sens!$C$2516</f>
        <v>1080</v>
      </c>
      <c r="E2519" s="32" t="n">
        <f aca="false">Sens!$E$2516-Sens!$D$2516</f>
        <v>640</v>
      </c>
      <c r="F2519" s="32" t="n">
        <f aca="false">Sens!$F$2516-Sens!$E$2516</f>
        <v>1817.15</v>
      </c>
      <c r="G2519" s="32" t="n">
        <f aca="false">Sens!$E$2519+Sens!$F$2519</f>
        <v>2457.15</v>
      </c>
      <c r="H2519" s="32" t="n">
        <f aca="false">Sens!$H$2516-Sens!$G$2516</f>
        <v>3634.3</v>
      </c>
      <c r="I2519" s="32" t="n">
        <f aca="false">Sens!$I$2516-Sens!$H$2516</f>
        <v>3634.3</v>
      </c>
      <c r="J2519" s="32" t="n">
        <f aca="false">Sens!$J$2516-Sens!$I$2516</f>
        <v>3634.3</v>
      </c>
      <c r="K2519" s="32" t="n">
        <f aca="false">Sens!$K$2516-Sens!$J$2516</f>
        <v>2570.86716666667</v>
      </c>
      <c r="L2519" s="32" t="n">
        <f aca="false">Sens!$L$2516-Sens!$K$2516</f>
        <v>1507.43433333333</v>
      </c>
      <c r="M2519" s="32" t="n">
        <f aca="false">Sens!$M$2516-Sens!$L$2516</f>
        <v>444.001499999999</v>
      </c>
      <c r="N2519" s="32" t="n">
        <f aca="false">Sens!$N$2516-Sens!$C$2516</f>
        <v>540</v>
      </c>
      <c r="O2519" s="32" t="n">
        <f aca="false">Sens!$O$2516-Sens!$N$2516</f>
        <v>540</v>
      </c>
    </row>
    <row r="2520" customFormat="false" ht="17.15" hidden="false" customHeight="false" outlineLevel="0" collapsed="false">
      <c r="A2520" s="5" t="s">
        <v>599</v>
      </c>
      <c r="B2520" s="0" t="s">
        <v>129</v>
      </c>
      <c r="C2520" s="32" t="n">
        <f aca="false">Sens!$C$2519/ext_sh</f>
        <v>300</v>
      </c>
      <c r="D2520" s="32" t="n">
        <f aca="false">Sens!$D$2519/ext_sh</f>
        <v>1350</v>
      </c>
      <c r="E2520" s="32" t="n">
        <f aca="false">Sens!$E$2519/ext_sh</f>
        <v>800</v>
      </c>
      <c r="F2520" s="32" t="n">
        <f aca="false">Sens!$F$2519/ext_sh</f>
        <v>2271.4375</v>
      </c>
      <c r="G2520" s="32" t="n">
        <f aca="false">Sens!$G$2519/ext_sh</f>
        <v>3071.4375</v>
      </c>
      <c r="H2520" s="32" t="n">
        <f aca="false">Sens!$H$2519/ext_sh</f>
        <v>4542.875</v>
      </c>
      <c r="I2520" s="32" t="n">
        <f aca="false">Sens!$I$2519/ext_sh</f>
        <v>4542.875</v>
      </c>
      <c r="J2520" s="32" t="n">
        <f aca="false">Sens!$J$2519/ext_sh</f>
        <v>4542.875</v>
      </c>
      <c r="K2520" s="32" t="n">
        <f aca="false">Sens!$K$2519/ext_sh</f>
        <v>3213.58395833333</v>
      </c>
      <c r="L2520" s="32" t="n">
        <f aca="false">Sens!$L$2519/ext_sh</f>
        <v>1884.29291666667</v>
      </c>
      <c r="M2520" s="32" t="n">
        <f aca="false">Sens!$M$2519/ext_sh</f>
        <v>555.001874999998</v>
      </c>
      <c r="N2520" s="32" t="n">
        <f aca="false">Sens!$N$2519/ext_sh</f>
        <v>675</v>
      </c>
      <c r="O2520" s="32" t="n">
        <f aca="false">Sens!$O$2519/ext_sh</f>
        <v>675</v>
      </c>
      <c r="P2520" s="8" t="s">
        <v>600</v>
      </c>
      <c r="R2520" s="32" t="n">
        <f aca="false">mw_ye23/ext_sh</f>
        <v>150</v>
      </c>
      <c r="S2520" s="32" t="n">
        <f aca="false">Sens!$C$2520</f>
        <v>300</v>
      </c>
      <c r="T2520" s="32" t="n">
        <f aca="false">Sens!$D$2520</f>
        <v>1350</v>
      </c>
      <c r="U2520" s="32" t="n">
        <f aca="false">Sens!$G$2520</f>
        <v>3071.4375</v>
      </c>
      <c r="V2520" s="32" t="n">
        <f aca="false">Sens!$H$2520</f>
        <v>4542.875</v>
      </c>
      <c r="W2520" s="32" t="n">
        <f aca="false">Sens!$I$2520</f>
        <v>4542.875</v>
      </c>
      <c r="X2520" s="32" t="n">
        <f aca="false">Sens!$J$2520</f>
        <v>4542.875</v>
      </c>
      <c r="Y2520" s="32" t="n">
        <f aca="false">Sens!$K$2520</f>
        <v>3213.58395833333</v>
      </c>
      <c r="Z2520" s="32" t="n">
        <f aca="false">Sens!$L$2520</f>
        <v>1884.29291666667</v>
      </c>
      <c r="AA2520" s="32" t="n">
        <f aca="false">Sens!$M$2520</f>
        <v>555.001874999998</v>
      </c>
    </row>
    <row r="2521" customFormat="false" ht="17.15" hidden="false" customHeight="false" outlineLevel="0" collapsed="false">
      <c r="A2521" s="1" t="s">
        <v>601</v>
      </c>
    </row>
    <row r="2522" customFormat="false" ht="17.15" hidden="false" customHeight="false" outlineLevel="0" collapsed="false">
      <c r="A2522" s="0" t="s">
        <v>602</v>
      </c>
      <c r="B2522" s="0" t="s">
        <v>52</v>
      </c>
      <c r="F2522" s="35" t="n">
        <f aca="false">na_vr26</f>
        <v>0</v>
      </c>
      <c r="G2522" s="35" t="n">
        <f aca="false">na_vr26</f>
        <v>0</v>
      </c>
      <c r="H2522" s="35" t="n">
        <f aca="false">na_vr27</f>
        <v>0.5</v>
      </c>
      <c r="I2522" s="35" t="n">
        <f aca="false">na_vr28</f>
        <v>1</v>
      </c>
      <c r="J2522" s="35" t="n">
        <f aca="false">na_vr28</f>
        <v>1</v>
      </c>
      <c r="K2522" s="35" t="n">
        <f aca="false">na_vr28</f>
        <v>1</v>
      </c>
      <c r="L2522" s="35" t="n">
        <f aca="false">na_vr28</f>
        <v>1</v>
      </c>
      <c r="M2522" s="35" t="n">
        <f aca="false">na_vr28</f>
        <v>1</v>
      </c>
    </row>
    <row r="2523" customFormat="false" ht="17.15" hidden="false" customHeight="false" outlineLevel="0" collapsed="false">
      <c r="A2523" s="5" t="s">
        <v>603</v>
      </c>
      <c r="B2523" s="0" t="s">
        <v>173</v>
      </c>
      <c r="F2523" s="36" t="n">
        <f aca="false">cust_sh*tk_he_gb300*cf_chip+(1-cust_sh)*((1-Sens!$F$2522)*tk_he_gb300+Sens!$F$2522*tk_he_vr200)</f>
        <v>10.8864110021101</v>
      </c>
      <c r="G2523" s="36" t="n">
        <f aca="false">cust_sh*tk_he_gb300*cf_chip+(1-cust_sh)*((1-Sens!$G$2522)*tk_he_gb300+Sens!$G$2522*tk_he_vr200)</f>
        <v>10.8864110021101</v>
      </c>
      <c r="H2523" s="36" t="n">
        <f aca="false">cust_sh*tk_he_gb300*cf_chip+(1-cust_sh)*((1-Sens!$H$2522)*tk_he_gb300+Sens!$H$2522*tk_he_vr200)</f>
        <v>11.2211760027286</v>
      </c>
      <c r="I2523" s="36" t="n">
        <f aca="false">cust_sh*tk_he_gb300*cf_chip+(1-cust_sh)*((1-Sens!$I$2522)*tk_he_gb300+Sens!$I$2522*tk_he_vr200)</f>
        <v>11.5559410033471</v>
      </c>
      <c r="J2523" s="36" t="n">
        <f aca="false">cust_sh*tk_he_gb300*cf_chip+(1-cust_sh)*((1-Sens!$J$2522)*tk_he_gb300+Sens!$J$2522*tk_he_vr200)</f>
        <v>11.5559410033471</v>
      </c>
      <c r="K2523" s="36" t="n">
        <f aca="false">cust_sh*tk_he_gb300*cf_chip+(1-cust_sh)*((1-Sens!$K$2522)*tk_he_gb300+Sens!$K$2522*tk_he_vr200)</f>
        <v>11.5559410033471</v>
      </c>
      <c r="L2523" s="36" t="n">
        <f aca="false">cust_sh*tk_he_gb300*cf_chip+(1-cust_sh)*((1-Sens!$L$2522)*tk_he_gb300+Sens!$L$2522*tk_he_vr200)</f>
        <v>11.5559410033471</v>
      </c>
      <c r="M2523" s="36" t="n">
        <f aca="false">cust_sh*tk_he_gb300*cf_chip+(1-cust_sh)*((1-Sens!$M$2522)*tk_he_gb300+Sens!$M$2522*tk_he_vr200)</f>
        <v>11.5559410033471</v>
      </c>
    </row>
    <row r="2524" customFormat="false" ht="17.15" hidden="false" customHeight="false" outlineLevel="0" collapsed="false">
      <c r="A2524" s="5" t="s">
        <v>604</v>
      </c>
      <c r="B2524" s="0" t="s">
        <v>173</v>
      </c>
      <c r="F2524" s="36" t="n">
        <f aca="false">cust_sh*tk_ox_gb300+(1-cust_sh)*((1-Sens!$F$2522)*tk_ox_gb300+Sens!$F$2522*tk_ox_vr200)</f>
        <v>1.98263481314457</v>
      </c>
      <c r="G2524" s="36" t="n">
        <f aca="false">cust_sh*tk_ox_gb300+(1-cust_sh)*((1-Sens!$G$2522)*tk_ox_gb300+Sens!$G$2522*tk_ox_vr200)</f>
        <v>1.98263481314457</v>
      </c>
      <c r="H2524" s="36" t="n">
        <f aca="false">cust_sh*tk_ox_gb300+(1-cust_sh)*((1-Sens!$H$2522)*tk_ox_gb300+Sens!$H$2522*tk_ox_vr200)</f>
        <v>2.01034999693694</v>
      </c>
      <c r="I2524" s="36" t="n">
        <f aca="false">cust_sh*tk_ox_gb300+(1-cust_sh)*((1-Sens!$I$2522)*tk_ox_gb300+Sens!$I$2522*tk_ox_vr200)</f>
        <v>2.0380651807293</v>
      </c>
      <c r="J2524" s="36" t="n">
        <f aca="false">cust_sh*tk_ox_gb300+(1-cust_sh)*((1-Sens!$J$2522)*tk_ox_gb300+Sens!$J$2522*tk_ox_vr200)</f>
        <v>2.0380651807293</v>
      </c>
      <c r="K2524" s="36" t="n">
        <f aca="false">cust_sh*tk_ox_gb300+(1-cust_sh)*((1-Sens!$K$2522)*tk_ox_gb300+Sens!$K$2522*tk_ox_vr200)</f>
        <v>2.0380651807293</v>
      </c>
      <c r="L2524" s="36" t="n">
        <f aca="false">cust_sh*tk_ox_gb300+(1-cust_sh)*((1-Sens!$L$2522)*tk_ox_gb300+Sens!$L$2522*tk_ox_vr200)</f>
        <v>2.0380651807293</v>
      </c>
      <c r="M2524" s="36" t="n">
        <f aca="false">cust_sh*tk_ox_gb300+(1-cust_sh)*((1-Sens!$M$2522)*tk_ox_gb300+Sens!$M$2522*tk_ox_vr200)</f>
        <v>2.0380651807293</v>
      </c>
    </row>
    <row r="2525" customFormat="false" ht="17.15" hidden="false" customHeight="false" outlineLevel="0" collapsed="false">
      <c r="A2525" s="5" t="s">
        <v>605</v>
      </c>
      <c r="B2525" s="0" t="s">
        <v>192</v>
      </c>
      <c r="F2525" s="36" t="n">
        <f aca="false">cust_sh*tk_cx_gb300*cf_cx+(1-cust_sh)*((1-Sens!$F$2522)*tk_cx_gb300+Sens!$F$2522*tk_cx_vr200)</f>
        <v>32.237224</v>
      </c>
      <c r="G2525" s="36" t="n">
        <f aca="false">cust_sh*tk_cx_gb300*cf_cx+(1-cust_sh)*((1-Sens!$G$2522)*tk_cx_gb300+Sens!$G$2522*tk_cx_vr200)</f>
        <v>32.237224</v>
      </c>
      <c r="H2525" s="36" t="n">
        <f aca="false">cust_sh*tk_cx_gb300*cf_cx+(1-cust_sh)*((1-Sens!$H$2522)*tk_cx_gb300+Sens!$H$2522*tk_cx_vr200)</f>
        <v>33.574506</v>
      </c>
      <c r="I2525" s="36" t="n">
        <f aca="false">cust_sh*tk_cx_gb300*cf_cx+(1-cust_sh)*((1-Sens!$I$2522)*tk_cx_gb300+Sens!$I$2522*tk_cx_vr200)</f>
        <v>34.911788</v>
      </c>
      <c r="J2525" s="36" t="n">
        <f aca="false">cust_sh*tk_cx_gb300*cf_cx+(1-cust_sh)*((1-Sens!$J$2522)*tk_cx_gb300+Sens!$J$2522*tk_cx_vr200)</f>
        <v>34.911788</v>
      </c>
      <c r="K2525" s="36" t="n">
        <f aca="false">cust_sh*tk_cx_gb300*cf_cx+(1-cust_sh)*((1-Sens!$K$2522)*tk_cx_gb300+Sens!$K$2522*tk_cx_vr200)</f>
        <v>34.911788</v>
      </c>
      <c r="L2525" s="36" t="n">
        <f aca="false">cust_sh*tk_cx_gb300*cf_cx+(1-cust_sh)*((1-Sens!$L$2522)*tk_cx_gb300+Sens!$L$2522*tk_cx_vr200)</f>
        <v>34.911788</v>
      </c>
      <c r="M2525" s="36" t="n">
        <f aca="false">cust_sh*tk_cx_gb300*cf_cx+(1-cust_sh)*((1-Sens!$M$2522)*tk_cx_gb300+Sens!$M$2522*tk_cx_vr200)</f>
        <v>34.911788</v>
      </c>
    </row>
    <row r="2526" customFormat="false" ht="17.15" hidden="false" customHeight="false" outlineLevel="0" collapsed="false">
      <c r="A2526" s="5" t="s">
        <v>606</v>
      </c>
      <c r="B2526" s="0" t="s">
        <v>129</v>
      </c>
      <c r="F2526" s="32" t="n">
        <f aca="false">Sens!$F$2516-mw_open</f>
        <v>1817.15</v>
      </c>
      <c r="G2526" s="32" t="n">
        <f aca="false">Sens!$F$2526</f>
        <v>1817.15</v>
      </c>
      <c r="H2526" s="32" t="n">
        <f aca="false">Sens!$H$2516-mw_open</f>
        <v>5451.45</v>
      </c>
      <c r="I2526" s="32" t="n">
        <f aca="false">Sens!$I$2516-mw_open</f>
        <v>9085.75</v>
      </c>
      <c r="J2526" s="32" t="n">
        <f aca="false">Sens!$J$2516-mw_open</f>
        <v>12720.05</v>
      </c>
      <c r="K2526" s="32" t="n">
        <f aca="false">Sens!$K$2516-mw_open</f>
        <v>15290.9171666667</v>
      </c>
      <c r="L2526" s="32" t="n">
        <f aca="false">Sens!$L$2516-mw_open</f>
        <v>16798.3515</v>
      </c>
      <c r="M2526" s="32" t="n">
        <f aca="false">Sens!$M$2516-mw_open</f>
        <v>17242.353</v>
      </c>
    </row>
    <row r="2527" customFormat="false" ht="17.15" hidden="false" customHeight="false" outlineLevel="0" collapsed="false">
      <c r="A2527" s="0" t="s">
        <v>607</v>
      </c>
      <c r="B2527" s="0" t="s">
        <v>608</v>
      </c>
      <c r="F2527" s="32" t="n">
        <f aca="false">Sens!$F$2519*Sens!$F$2523</f>
        <v>19782.2417524844</v>
      </c>
      <c r="G2527" s="32" t="n">
        <f aca="false">Sens!$F$2527</f>
        <v>19782.2417524844</v>
      </c>
      <c r="H2527" s="32" t="n">
        <f aca="false">Sens!$G$2527+Sens!$H$2519*Sens!$H$2523</f>
        <v>60563.3616992009</v>
      </c>
      <c r="I2527" s="32" t="n">
        <f aca="false">Sens!$H$2527+Sens!$I$2519*Sens!$I$2523</f>
        <v>102561.118087665</v>
      </c>
      <c r="J2527" s="32" t="n">
        <f aca="false">Sens!$I$2527+Sens!$J$2519*Sens!$J$2523</f>
        <v>144558.87447613</v>
      </c>
      <c r="K2527" s="32" t="n">
        <f aca="false">Sens!$J$2527+Sens!$K$2519*Sens!$K$2523</f>
        <v>174267.663781572</v>
      </c>
      <c r="L2527" s="32" t="n">
        <f aca="false">Sens!$K$2527+Sens!$L$2519*Sens!$L$2523</f>
        <v>191687.486003992</v>
      </c>
      <c r="M2527" s="32" t="n">
        <f aca="false">Sens!$L$2527+Sens!$M$2519*Sens!$M$2523</f>
        <v>196818.341143389</v>
      </c>
    </row>
    <row r="2528" customFormat="false" ht="17.15" hidden="false" customHeight="false" outlineLevel="0" collapsed="false">
      <c r="A2528" s="0" t="s">
        <v>609</v>
      </c>
      <c r="B2528" s="0" t="s">
        <v>608</v>
      </c>
      <c r="F2528" s="32" t="n">
        <f aca="false">Sens!$F$2519*Sens!$F$2524</f>
        <v>3602.74485070566</v>
      </c>
      <c r="G2528" s="32" t="n">
        <f aca="false">Sens!$F$2528</f>
        <v>3602.74485070566</v>
      </c>
      <c r="H2528" s="32" t="n">
        <f aca="false">Sens!$G$2528+Sens!$H$2519*Sens!$H$2524</f>
        <v>10908.9598445736</v>
      </c>
      <c r="I2528" s="32" t="n">
        <f aca="false">Sens!$H$2528+Sens!$I$2519*Sens!$I$2524</f>
        <v>18315.9001308981</v>
      </c>
      <c r="J2528" s="32" t="n">
        <f aca="false">Sens!$I$2528+Sens!$J$2519*Sens!$J$2524</f>
        <v>25722.8404172225</v>
      </c>
      <c r="K2528" s="32" t="n">
        <f aca="false">Sens!$J$2528+Sens!$K$2519*Sens!$K$2524</f>
        <v>30962.4352738861</v>
      </c>
      <c r="L2528" s="32" t="n">
        <f aca="false">Sens!$K$2528+Sens!$L$2519*Sens!$L$2524</f>
        <v>34034.6847008886</v>
      </c>
      <c r="M2528" s="32" t="n">
        <f aca="false">Sens!$L$2528+Sens!$M$2519*Sens!$M$2524</f>
        <v>34939.5886982302</v>
      </c>
    </row>
    <row r="2529" customFormat="false" ht="17.15" hidden="false" customHeight="false" outlineLevel="0" collapsed="false">
      <c r="A2529" s="5" t="s">
        <v>610</v>
      </c>
      <c r="B2529" s="0" t="s">
        <v>173</v>
      </c>
      <c r="F2529" s="36" t="n">
        <f aca="false">IF(Sens!$F$2526&gt;0,Sens!$F$2527/Sens!$F$2526,Sens!$F$2523)</f>
        <v>10.8864110021101</v>
      </c>
      <c r="G2529" s="36" t="n">
        <f aca="false">IF(Sens!$G$2526&gt;0,Sens!$G$2527/Sens!$G$2526,Sens!$G$2523)</f>
        <v>10.8864110021101</v>
      </c>
      <c r="H2529" s="36" t="n">
        <f aca="false">IF(Sens!$H$2526&gt;0,Sens!$H$2527/Sens!$H$2526,Sens!$H$2523)</f>
        <v>11.1095876691891</v>
      </c>
      <c r="I2529" s="36" t="n">
        <f aca="false">IF(Sens!$I$2526&gt;0,Sens!$I$2527/Sens!$I$2526,Sens!$I$2523)</f>
        <v>11.2881290028523</v>
      </c>
      <c r="J2529" s="36" t="n">
        <f aca="false">IF(Sens!$J$2526&gt;0,Sens!$J$2527/Sens!$J$2526,Sens!$J$2523)</f>
        <v>11.3646467172794</v>
      </c>
      <c r="K2529" s="36" t="n">
        <f aca="false">IF(Sens!$K$2526&gt;0,Sens!$K$2527/Sens!$K$2526,Sens!$K$2523)</f>
        <v>11.3968090914432</v>
      </c>
      <c r="L2529" s="36" t="n">
        <f aca="false">IF(Sens!$L$2526&gt;0,Sens!$L$2527/Sens!$L$2526,Sens!$L$2523)</f>
        <v>11.4110891181192</v>
      </c>
      <c r="M2529" s="36" t="n">
        <f aca="false">IF(Sens!$M$2526&gt;0,Sens!$M$2527/Sens!$M$2526,Sens!$M$2523)</f>
        <v>11.4148191458201</v>
      </c>
    </row>
    <row r="2530" customFormat="false" ht="17.15" hidden="false" customHeight="false" outlineLevel="0" collapsed="false">
      <c r="A2530" s="5" t="s">
        <v>611</v>
      </c>
      <c r="B2530" s="0" t="s">
        <v>173</v>
      </c>
      <c r="F2530" s="36" t="n">
        <f aca="false">IF(Sens!$F$2526&gt;0,Sens!$F$2528/Sens!$F$2526,Sens!$F$2524)</f>
        <v>1.98263481314457</v>
      </c>
      <c r="G2530" s="36" t="n">
        <f aca="false">IF(Sens!$G$2526&gt;0,Sens!$G$2528/Sens!$G$2526,Sens!$G$2524)</f>
        <v>1.98263481314457</v>
      </c>
      <c r="H2530" s="36" t="n">
        <f aca="false">IF(Sens!$H$2526&gt;0,Sens!$H$2528/Sens!$H$2526,Sens!$H$2524)</f>
        <v>2.00111160233948</v>
      </c>
      <c r="I2530" s="36" t="n">
        <f aca="false">IF(Sens!$I$2526&gt;0,Sens!$I$2528/Sens!$I$2526,Sens!$I$2524)</f>
        <v>2.01589303369541</v>
      </c>
      <c r="J2530" s="36" t="n">
        <f aca="false">IF(Sens!$J$2526&gt;0,Sens!$J$2528/Sens!$J$2526,Sens!$J$2524)</f>
        <v>2.02222793284795</v>
      </c>
      <c r="K2530" s="36" t="n">
        <f aca="false">IF(Sens!$K$2526&gt;0,Sens!$K$2528/Sens!$K$2526,Sens!$K$2524)</f>
        <v>2.02489065478573</v>
      </c>
      <c r="L2530" s="36" t="n">
        <f aca="false">IF(Sens!$L$2526&gt;0,Sens!$L$2528/Sens!$L$2526,Sens!$L$2524)</f>
        <v>2.0260728977417</v>
      </c>
      <c r="M2530" s="36" t="n">
        <f aca="false">IF(Sens!$M$2526&gt;0,Sens!$M$2528/Sens!$M$2526,Sens!$M$2524)</f>
        <v>2.02638170661685</v>
      </c>
    </row>
    <row r="2531" customFormat="false" ht="17.15" hidden="false" customHeight="false" outlineLevel="0" collapsed="false">
      <c r="A2531" s="15" t="s">
        <v>612</v>
      </c>
      <c r="B2531" s="14" t="s">
        <v>173</v>
      </c>
      <c r="C2531" s="14"/>
      <c r="D2531" s="14"/>
      <c r="E2531" s="14"/>
      <c r="F2531" s="37" t="n">
        <f aca="false">Sens!$F$2529*k_B</f>
        <v>10.7987645808025</v>
      </c>
      <c r="G2531" s="37" t="n">
        <f aca="false">Sens!$G$2529*k_B</f>
        <v>10.7987645808025</v>
      </c>
      <c r="H2531" s="37" t="n">
        <f aca="false">Sens!$H$2529*k_B</f>
        <v>11.0201444540452</v>
      </c>
      <c r="I2531" s="37" t="n">
        <f aca="false">Sens!$I$2529*k_B</f>
        <v>11.1972483526393</v>
      </c>
      <c r="J2531" s="37" t="n">
        <f aca="false">Sens!$J$2529*k_B</f>
        <v>11.2731500234653</v>
      </c>
      <c r="K2531" s="37" t="n">
        <f aca="false">Sens!$K$2529*k_B</f>
        <v>11.3050534585724</v>
      </c>
      <c r="L2531" s="37" t="n">
        <f aca="false">Sens!$L$2529*k_B</f>
        <v>11.3192185168503</v>
      </c>
      <c r="M2531" s="37" t="n">
        <f aca="false">Sens!$M$2529*k_B</f>
        <v>11.3229185141234</v>
      </c>
      <c r="N2531" s="14"/>
      <c r="O2531" s="14"/>
      <c r="P2531" s="5" t="s">
        <v>613</v>
      </c>
    </row>
    <row r="2532" customFormat="false" ht="17.15" hidden="false" customHeight="false" outlineLevel="0" collapsed="false">
      <c r="A2532" s="5" t="s">
        <v>614</v>
      </c>
      <c r="B2532" s="0" t="s">
        <v>129</v>
      </c>
      <c r="F2532" s="32" t="n">
        <f aca="false">Sens!$F$2526/2</f>
        <v>908.575</v>
      </c>
      <c r="H2532" s="32" t="n">
        <f aca="false">(Sens!$G$2526+Sens!$H$2526)/2</f>
        <v>3634.3</v>
      </c>
      <c r="I2532" s="32" t="n">
        <f aca="false">(Sens!$H$2526+Sens!$I$2526)/2</f>
        <v>7268.6</v>
      </c>
      <c r="J2532" s="32" t="n">
        <f aca="false">(Sens!$I$2526+Sens!$J$2526)/2</f>
        <v>10902.9</v>
      </c>
      <c r="K2532" s="32" t="n">
        <f aca="false">(Sens!$J$2526+Sens!$K$2526)/2</f>
        <v>14005.4835833333</v>
      </c>
      <c r="L2532" s="32" t="n">
        <f aca="false">(Sens!$K$2526+Sens!$L$2526)/2</f>
        <v>16044.6343333333</v>
      </c>
      <c r="M2532" s="32" t="n">
        <f aca="false">(Sens!$L$2526+Sens!$M$2526)/2</f>
        <v>17020.35225</v>
      </c>
    </row>
    <row r="2533" customFormat="false" ht="17.15" hidden="false" customHeight="false" outlineLevel="0" collapsed="false">
      <c r="A2533" s="1" t="s">
        <v>615</v>
      </c>
    </row>
    <row r="2534" customFormat="false" ht="17.15" hidden="false" customHeight="false" outlineLevel="0" collapsed="false">
      <c r="A2534" s="1" t="s">
        <v>616</v>
      </c>
      <c r="B2534" s="8" t="s">
        <v>86</v>
      </c>
      <c r="C2534" s="38" t="n">
        <f aca="false">Sens!$C$2517*rpm_open*Sens!$C$2518/1000</f>
        <v>2.32100535697364</v>
      </c>
      <c r="D2534" s="38" t="n">
        <f aca="false">Sens!$D$2517*rpm_open*Sens!$D$2518/1000</f>
        <v>8.70377008865116</v>
      </c>
      <c r="E2534" s="38" t="n">
        <f aca="false">Sens!$E$2517*rpm_open*Sens!$E$2518/1000</f>
        <v>8.51035297557002</v>
      </c>
      <c r="F2534" s="38" t="n">
        <f aca="false">(mw_open*rpm_open+Sens!$F$2532*Sens!$F$2531)*Sens!$F$2518/1000</f>
        <v>14.9634336447205</v>
      </c>
      <c r="G2534" s="38" t="n">
        <f aca="false">Sens!$E$2534+Sens!$F$2534</f>
        <v>23.4737866202905</v>
      </c>
      <c r="H2534" s="38" t="n">
        <f aca="false">(mw_open*rpm_open+Sens!$H$2532*Sens!$H$2531)/1000</f>
        <v>60.1658907497746</v>
      </c>
      <c r="I2534" s="38" t="n">
        <f aca="false">(mw_open*rpm_open+Sens!$I$2532*Sens!$I$2531)/1000</f>
        <v>101.503699136432</v>
      </c>
      <c r="J2534" s="38" t="n">
        <f aca="false">(mw_open*rpm_open+Sens!$J$2532*Sens!$J$2531)/1000</f>
        <v>143.025407151278</v>
      </c>
      <c r="K2534" s="38" t="n">
        <f aca="false">(mw_open*rpm_open+Sens!$K$2532*Sens!$K$2531)/1000</f>
        <v>178.44812038318</v>
      </c>
      <c r="L2534" s="38" t="n">
        <f aca="false">(mw_open*rpm_open+Sens!$L$2532*Sens!$L$2531)/1000</f>
        <v>201.728101802396</v>
      </c>
      <c r="M2534" s="38" t="n">
        <f aca="false">(mw_open*rpm_open+Sens!$M$2532*Sens!$M$2531)/1000</f>
        <v>212.835441368865</v>
      </c>
      <c r="N2534" s="38" t="n">
        <f aca="false">Sens!$N$2517*rpm_open*Sens!$N$2518/1000</f>
        <v>3.04631953102791</v>
      </c>
      <c r="O2534" s="38" t="n">
        <f aca="false">Sens!$O$2517*rpm_open*Sens!$O$2518/1000</f>
        <v>5.65745055762326</v>
      </c>
      <c r="P2534" s="5" t="s">
        <v>617</v>
      </c>
    </row>
    <row r="2535" customFormat="false" ht="17.15" hidden="false" customHeight="false" outlineLevel="0" collapsed="false">
      <c r="A2535" s="5" t="s">
        <v>618</v>
      </c>
      <c r="B2535" s="0" t="s">
        <v>173</v>
      </c>
      <c r="C2535" s="36" t="n">
        <f aca="false">Sens!$C$2534*1000/(Sens!$C$2517*Sens!$C$2518)</f>
        <v>9.67085565405685</v>
      </c>
      <c r="D2535" s="36" t="n">
        <f aca="false">Sens!$D$2534*1000/(Sens!$D$2517*Sens!$D$2518)</f>
        <v>9.67085565405685</v>
      </c>
      <c r="E2535" s="36" t="n">
        <f aca="false">Sens!$E$2534*1000/(Sens!$E$2517*Sens!$E$2518)</f>
        <v>9.67085565405685</v>
      </c>
      <c r="F2535" s="36" t="n">
        <f aca="false">Sens!$F$2534*1000/(Sens!$F$2517*Sens!$F$2518)</f>
        <v>10.0137581588017</v>
      </c>
      <c r="G2535" s="36" t="n">
        <f aca="false">Sens!$G$2534*1000/(Sens!$G$2517*Sens!$G$2518)</f>
        <v>9.88666562928478</v>
      </c>
      <c r="H2535" s="36" t="n">
        <f aca="false">Sens!$H$2534*1000/(Sens!$H$2517*Sens!$H$2518)</f>
        <v>10.5290045586992</v>
      </c>
      <c r="I2535" s="36" t="n">
        <f aca="false">Sens!$I$2534*1000/(Sens!$I$2517*Sens!$I$2518)</f>
        <v>10.8576363451674</v>
      </c>
      <c r="J2535" s="36" t="n">
        <f aca="false">Sens!$J$2534*1000/(Sens!$J$2517*Sens!$J$2518)</f>
        <v>11.0164452588619</v>
      </c>
      <c r="K2535" s="36" t="n">
        <f aca="false">Sens!$K$2534*1000/(Sens!$K$2517*Sens!$K$2518)</f>
        <v>11.0937367508227</v>
      </c>
      <c r="L2535" s="36" t="n">
        <f aca="false">Sens!$L$2534*1000/(Sens!$L$2517*Sens!$L$2518)</f>
        <v>11.1300508519168</v>
      </c>
      <c r="M2535" s="36" t="n">
        <f aca="false">Sens!$M$2534*1000/(Sens!$M$2517*Sens!$M$2518)</f>
        <v>11.1430113216297</v>
      </c>
      <c r="N2535" s="36" t="n">
        <f aca="false">Sens!$N$2534*1000/(Sens!$N$2517*Sens!$N$2518)</f>
        <v>9.67085565405685</v>
      </c>
      <c r="O2535" s="36" t="n">
        <f aca="false">Sens!$O$2534*1000/(Sens!$O$2517*Sens!$O$2518)</f>
        <v>9.67085565405685</v>
      </c>
    </row>
    <row r="2536" customFormat="false" ht="17.15" hidden="false" customHeight="false" outlineLevel="0" collapsed="false">
      <c r="A2536" s="0" t="s">
        <v>619</v>
      </c>
      <c r="B2536" s="0" t="s">
        <v>86</v>
      </c>
      <c r="C2536" s="38" t="n">
        <f aca="false">Sens!$C$2517/ext_sh*(ox_open+rent_mw)*Sens!$C$2518/1000</f>
        <v>0.642569210675032</v>
      </c>
      <c r="D2536" s="38" t="n">
        <f aca="false">Sens!$D$2517/ext_sh*(ox_open+rent_mw)*Sens!$D$2518/1000</f>
        <v>2.40963454003137</v>
      </c>
      <c r="E2536" s="38" t="n">
        <f aca="false">Sens!$E$2517/ext_sh*(ox_open+rent_mw)*Sens!$E$2518/1000</f>
        <v>2.35608710580845</v>
      </c>
      <c r="F2536" s="38" t="n">
        <f aca="false">((mw_open*ox_open+Sens!$F$2532*Sens!$F$2530)/ext_sh+Sens!$F$2517/ext_sh*rent_mw)*Sens!$F$2518/1000</f>
        <v>4.05421991106232</v>
      </c>
      <c r="G2536" s="38" t="n">
        <f aca="false">Sens!$E$2536+Sens!$F$2536</f>
        <v>6.41030701687077</v>
      </c>
      <c r="H2536" s="38" t="n">
        <f aca="false">((mw_open*ox_open+Sens!$H$2532*Sens!$H$2530)/ext_sh+Sens!$H$2517/ext_sh*rent_mw)*Sens!$H$2518/1000</f>
        <v>15.8108975546616</v>
      </c>
      <c r="I2536" s="38" t="n">
        <f aca="false">((mw_open*ox_open+Sens!$I$2532*Sens!$I$2530)/ext_sh+Sens!$I$2517/ext_sh*rent_mw)*Sens!$I$2518/1000</f>
        <v>26.1871623400817</v>
      </c>
      <c r="J2536" s="38" t="n">
        <f aca="false">((mw_open*ox_open+Sens!$J$2532*Sens!$J$2530)/ext_sh+Sens!$J$2517/ext_sh*rent_mw)*Sens!$J$2518/1000</f>
        <v>36.5826128954935</v>
      </c>
      <c r="K2536" s="38" t="n">
        <f aca="false">((mw_open*ox_open+Sens!$K$2532*Sens!$K$2530)/ext_sh+Sens!$K$2517/ext_sh*rent_mw)*Sens!$K$2518/1000</f>
        <v>45.4546361137628</v>
      </c>
      <c r="L2536" s="38" t="n">
        <f aca="false">((mw_open*ox_open+Sens!$L$2532*Sens!$L$2530)/ext_sh+Sens!$L$2517/ext_sh*rent_mw)*Sens!$L$2518/1000</f>
        <v>51.2855695554452</v>
      </c>
      <c r="M2536" s="38" t="n">
        <f aca="false">((mw_open*ox_open+Sens!$M$2532*Sens!$M$2530)/ext_sh+Sens!$M$2517/ext_sh*rent_mw)*Sens!$M$2518/1000</f>
        <v>54.0722927838398</v>
      </c>
      <c r="N2536" s="38" t="n">
        <f aca="false">Sens!$N$2517/ext_sh*(ox_open+rent_mw)*Sens!$N$2518/1000</f>
        <v>0.84337208901098</v>
      </c>
      <c r="O2536" s="38" t="n">
        <f aca="false">Sens!$O$2517/ext_sh*(ox_open+rent_mw)*Sens!$O$2518/1000</f>
        <v>1.56626245102039</v>
      </c>
    </row>
    <row r="2537" customFormat="false" ht="17.15" hidden="false" customHeight="false" outlineLevel="0" collapsed="false">
      <c r="A2537" s="0" t="s">
        <v>620</v>
      </c>
      <c r="B2537" s="0" t="s">
        <v>86</v>
      </c>
      <c r="C2537" s="38" t="n">
        <f aca="false">Q!$D$7</f>
        <v>107.556</v>
      </c>
      <c r="D2537" s="38" t="n">
        <f aca="false">Q!$E$7</f>
        <v>128.725</v>
      </c>
      <c r="E2537" s="38" t="n">
        <f aca="false">Q!$P$7</f>
        <v>79.819</v>
      </c>
      <c r="N2537" s="38" t="n">
        <f aca="false">Q!$N$7</f>
        <v>60.14</v>
      </c>
      <c r="O2537" s="38" t="n">
        <f aca="false">Q!$O$7</f>
        <v>68.585</v>
      </c>
    </row>
    <row r="2538" customFormat="false" ht="17.15" hidden="false" customHeight="false" outlineLevel="0" collapsed="false">
      <c r="A2538" s="1" t="s">
        <v>621</v>
      </c>
      <c r="B2538" s="8" t="s">
        <v>86</v>
      </c>
      <c r="C2538" s="38" t="n">
        <f aca="false">Sens!$C$2537-Sens!$C$2534</f>
        <v>105.234994643026</v>
      </c>
      <c r="D2538" s="38" t="n">
        <f aca="false">Sens!$D$2537-Sens!$D$2534</f>
        <v>120.021229911349</v>
      </c>
      <c r="E2538" s="38" t="n">
        <f aca="false">Sens!$E$2537-Sens!$E$2534</f>
        <v>71.30864702443</v>
      </c>
      <c r="F2538" s="38" t="n">
        <f aca="false">Sens!$O$2538*(1+Sens!$F$2539)</f>
        <v>71.7692997942464</v>
      </c>
      <c r="G2538" s="38" t="n">
        <f aca="false">Sens!$E$2538+Sens!$F$2538</f>
        <v>143.077946818676</v>
      </c>
      <c r="H2538" s="38" t="n">
        <f aca="false">Sens!$G$2538*(1+Sens!$H$2539)</f>
        <v>161.017077079203</v>
      </c>
      <c r="I2538" s="38" t="n">
        <f aca="false">Sens!$H$2538*(1+Sens!$I$2539)</f>
        <v>178.769759521457</v>
      </c>
      <c r="J2538" s="38" t="n">
        <f aca="false">Sens!$I$2538*(1+Sens!$J$2539)</f>
        <v>195.775538045907</v>
      </c>
      <c r="K2538" s="38" t="n">
        <f aca="false">Sens!$J$2538*(1+Sens!$K$2539)</f>
        <v>211.43758108958</v>
      </c>
      <c r="L2538" s="38" t="n">
        <f aca="false">Sens!$K$2538*(1+Sens!$L$2539)</f>
        <v>228.352587576746</v>
      </c>
      <c r="M2538" s="38" t="n">
        <f aca="false">Sens!$L$2538*(1+Sens!$M$2539)</f>
        <v>246.620794582886</v>
      </c>
      <c r="N2538" s="38" t="n">
        <f aca="false">Sens!$N$2537-Sens!$N$2534</f>
        <v>57.0936804689721</v>
      </c>
      <c r="O2538" s="38" t="n">
        <f aca="false">Sens!$O$2537-Sens!$O$2534</f>
        <v>62.9275494423768</v>
      </c>
      <c r="P2538" s="5" t="s">
        <v>622</v>
      </c>
    </row>
    <row r="2539" customFormat="false" ht="17.15" hidden="false" customHeight="false" outlineLevel="0" collapsed="false">
      <c r="A2539" s="0" t="s">
        <v>623</v>
      </c>
      <c r="B2539" s="0" t="s">
        <v>52</v>
      </c>
      <c r="D2539" s="13" t="n">
        <f aca="false">Sens!$D$2538/Sens!$C$2538-1</f>
        <v>0.140506827776062</v>
      </c>
      <c r="E2539" s="13" t="n">
        <f aca="false">Sens!$E$2538/Sens!$N$2538-1</f>
        <v>0.248976181579029</v>
      </c>
      <c r="F2539" s="13" t="n">
        <f aca="false">Sens!$D$2539</f>
        <v>0.140506827776062</v>
      </c>
      <c r="G2539" s="13" t="n">
        <f aca="false">Sens!$G$2538/Sens!$D$2538-1</f>
        <v>0.19210532106993</v>
      </c>
      <c r="H2539" s="13" t="n">
        <f aca="false">Sens!$F$2539+(g_awso_lt-Sens!$F$2539)*1/4</f>
        <v>0.125380120832046</v>
      </c>
      <c r="I2539" s="13" t="n">
        <f aca="false">Sens!$F$2539+(g_awso_lt-Sens!$F$2539)*2/4</f>
        <v>0.110253413888031</v>
      </c>
      <c r="J2539" s="13" t="n">
        <f aca="false">Sens!$F$2539+(g_awso_lt-Sens!$F$2539)*3/4</f>
        <v>0.0951267069440154</v>
      </c>
      <c r="K2539" s="13" t="n">
        <f aca="false">Sens!$F$2539+(g_awso_lt-Sens!$F$2539)*4/4</f>
        <v>0.08</v>
      </c>
      <c r="L2539" s="13" t="n">
        <f aca="false">g_awso_lt</f>
        <v>0.08</v>
      </c>
      <c r="M2539" s="13" t="n">
        <f aca="false">g_awso_lt</f>
        <v>0.08</v>
      </c>
      <c r="P2539" s="5" t="s">
        <v>624</v>
      </c>
    </row>
    <row r="2540" customFormat="false" ht="17.15" hidden="false" customHeight="false" outlineLevel="0" collapsed="false">
      <c r="A2540" s="1" t="s">
        <v>625</v>
      </c>
    </row>
    <row r="2541" customFormat="false" ht="17.15" hidden="false" customHeight="false" outlineLevel="0" collapsed="false">
      <c r="A2541" s="0" t="s">
        <v>626</v>
      </c>
      <c r="B2541" s="0" t="s">
        <v>86</v>
      </c>
      <c r="F2541" s="38" t="n">
        <f aca="false">cx_rt*Sens!$F$2506+cx_awso*Sens!$F$2538</f>
        <v>34.9734495387866</v>
      </c>
    </row>
    <row r="2542" customFormat="false" ht="17.15" hidden="false" customHeight="false" outlineLevel="0" collapsed="false">
      <c r="A2542" s="0" t="s">
        <v>627</v>
      </c>
      <c r="B2542" s="0" t="s">
        <v>52</v>
      </c>
      <c r="C2542" s="13" t="n">
        <f aca="false">tk_cx_h100/(tk_cx_h100+tk_fac*(1-colo_sh))</f>
        <v>0.730756458006641</v>
      </c>
      <c r="D2542" s="13" t="n">
        <f aca="false">tk_cx_h100/(tk_cx_h100+tk_fac*(1-colo_sh))</f>
        <v>0.730756458006641</v>
      </c>
      <c r="E2542" s="13" t="n">
        <f aca="false">Sens!$F$2542</f>
        <v>0.760792334328868</v>
      </c>
      <c r="F2542" s="13" t="n">
        <f aca="false">Sens!$F$2525/(Sens!$F$2525+tk_fac*(1-colo_sh))</f>
        <v>0.760792334328868</v>
      </c>
      <c r="G2542" s="13" t="n">
        <f aca="false">Sens!$G$2525/(Sens!$G$2525+tk_fac*(1-colo_sh))</f>
        <v>0.760792334328868</v>
      </c>
      <c r="H2542" s="13" t="n">
        <f aca="false">Sens!$H$2525/(Sens!$H$2525+tk_fac*(1-colo_sh))</f>
        <v>0.768110668862996</v>
      </c>
      <c r="I2542" s="13" t="n">
        <f aca="false">Sens!$I$2525/(Sens!$I$2525+tk_fac*(1-colo_sh))</f>
        <v>0.77499450139483</v>
      </c>
      <c r="J2542" s="13" t="n">
        <f aca="false">Sens!$J$2525/(Sens!$J$2525+tk_fac*(1-colo_sh))</f>
        <v>0.77499450139483</v>
      </c>
      <c r="K2542" s="13" t="n">
        <f aca="false">Sens!$K$2525/(Sens!$K$2525+tk_fac*(1-colo_sh))</f>
        <v>0.77499450139483</v>
      </c>
      <c r="L2542" s="13" t="n">
        <f aca="false">Sens!$L$2525/(Sens!$L$2525+tk_fac*(1-colo_sh))</f>
        <v>0.77499450139483</v>
      </c>
      <c r="M2542" s="13" t="n">
        <f aca="false">Sens!$M$2525/(Sens!$M$2525+tk_fac*(1-colo_sh))</f>
        <v>0.77499450139483</v>
      </c>
    </row>
    <row r="2543" customFormat="false" ht="17.15" hidden="false" customHeight="false" outlineLevel="0" collapsed="false">
      <c r="A2543" s="1" t="s">
        <v>628</v>
      </c>
      <c r="B2543" s="8" t="s">
        <v>86</v>
      </c>
      <c r="C2543" s="38" t="n">
        <f aca="false">Q!$D$46-cx_rt*Q!$D$16-cx_awso*Sens!$C$2538</f>
        <v>25.2781053077374</v>
      </c>
      <c r="D2543" s="38" t="n">
        <f aca="false">Q!$E$46-cx_rt*Q!$E$16-cx_awso*Sens!$D$2538</f>
        <v>69.5686316310026</v>
      </c>
      <c r="E2543" s="38" t="n">
        <f aca="false">Q!$P$46-cx_rt*Q!$P$16-cx_awso*Sens!$E$2538</f>
        <v>64.1899206485108</v>
      </c>
      <c r="F2543" s="38" t="n">
        <f aca="false">MAX(Sens!$F$2520*(Sens!$F$2525+tk_fac*(1-colo_sh))/1000,capex_g26-Q!$P$46-Sens!$F$2541)</f>
        <v>96.2481299895</v>
      </c>
      <c r="G2543" s="38" t="n">
        <f aca="false">Sens!$E$2543+Sens!$F$2543</f>
        <v>160.438050638011</v>
      </c>
      <c r="H2543" s="38" t="n">
        <f aca="false">Sens!$H$2520*(Sens!$H$2525+tk_fac*(1-colo_sh))/1000+Sens!$H$2544</f>
        <v>198.57136494475</v>
      </c>
      <c r="I2543" s="38" t="n">
        <f aca="false">Sens!$I$2520*(Sens!$I$2525+tk_fac*(1-colo_sh))/1000+Sens!$I$2544</f>
        <v>204.6464699105</v>
      </c>
      <c r="J2543" s="38" t="n">
        <f aca="false">Sens!$J$2520*(Sens!$J$2525+tk_fac*(1-colo_sh))/1000+Sens!$J$2544</f>
        <v>209.8832381105</v>
      </c>
      <c r="K2543" s="38" t="n">
        <f aca="false">Sens!$K$2520*(Sens!$K$2525+tk_fac*(1-colo_sh))/1000+Sens!$K$2544</f>
        <v>155.238385275201</v>
      </c>
      <c r="L2543" s="38" t="n">
        <f aca="false">Sens!$L$2520*(Sens!$L$2525+tk_fac*(1-colo_sh))/1000+Sens!$L$2544</f>
        <v>132.014141639902</v>
      </c>
      <c r="M2543" s="38" t="n">
        <f aca="false">Sens!$M$2520*(Sens!$M$2525+tk_fac*(1-colo_sh))/1000+Sens!$M$2544</f>
        <v>132.230981659852</v>
      </c>
      <c r="P2543" s="5" t="s">
        <v>629</v>
      </c>
      <c r="R2543" s="38" t="n">
        <f aca="false">Q!$C$46-cx_rt*Q!$C$16-cx_awso*(Q!$C$7-mw_ye23/2*rpm_open/1000)</f>
        <v>1.50429979529945</v>
      </c>
      <c r="S2543" s="38" t="n">
        <f aca="false">Sens!$C$2543</f>
        <v>25.2781053077374</v>
      </c>
      <c r="T2543" s="38" t="n">
        <f aca="false">Sens!$D$2543</f>
        <v>69.5686316310026</v>
      </c>
      <c r="U2543" s="38" t="n">
        <f aca="false">Sens!$G$2543</f>
        <v>160.438050638011</v>
      </c>
      <c r="V2543" s="38" t="n">
        <f aca="false">Sens!$H$2543</f>
        <v>198.57136494475</v>
      </c>
      <c r="W2543" s="38" t="n">
        <f aca="false">Sens!$I$2543</f>
        <v>204.6464699105</v>
      </c>
      <c r="X2543" s="38" t="n">
        <f aca="false">Sens!$J$2543</f>
        <v>209.8832381105</v>
      </c>
      <c r="Y2543" s="38" t="n">
        <f aca="false">Sens!$K$2543</f>
        <v>155.238385275201</v>
      </c>
      <c r="Z2543" s="38" t="n">
        <f aca="false">Sens!$L$2543</f>
        <v>132.014141639902</v>
      </c>
      <c r="AA2543" s="38" t="n">
        <f aca="false">Sens!$M$2543</f>
        <v>132.230981659852</v>
      </c>
    </row>
    <row r="2544" customFormat="false" ht="17.15" hidden="false" customHeight="false" outlineLevel="0" collapsed="false">
      <c r="A2544" s="0" t="s">
        <v>630</v>
      </c>
      <c r="B2544" s="0" t="s">
        <v>86</v>
      </c>
      <c r="H2544" s="38" t="n">
        <f aca="false">SUMPRODUCT(--(Sens!$R$2513:$AA$2513=2027-tk_life),Sens!$R$2520:$AA$2520)*Sens!$H$2525/1000</f>
        <v>0</v>
      </c>
      <c r="I2544" s="38" t="n">
        <f aca="false">SUMPRODUCT(--(Sens!$R$2513:$AA$2513=2028-tk_life),Sens!$R$2520:$AA$2520)*Sens!$I$2525/1000</f>
        <v>0</v>
      </c>
      <c r="J2544" s="38" t="n">
        <f aca="false">SUMPRODUCT(--(Sens!$R$2513:$AA$2513=2029-tk_life),Sens!$R$2520:$AA$2520)*Sens!$J$2525/1000</f>
        <v>5.2367682</v>
      </c>
      <c r="K2544" s="38" t="n">
        <f aca="false">SUMPRODUCT(--(Sens!$R$2513:$AA$2513=2030-tk_life),Sens!$R$2520:$AA$2520)*Sens!$K$2525/1000</f>
        <v>10.4735364</v>
      </c>
      <c r="L2544" s="38" t="n">
        <f aca="false">SUMPRODUCT(--(Sens!$R$2513:$AA$2513=2031-tk_life),Sens!$R$2520:$AA$2520)*Sens!$L$2525/1000</f>
        <v>47.1309138</v>
      </c>
      <c r="M2544" s="38" t="n">
        <f aca="false">SUMPRODUCT(--(Sens!$R$2513:$AA$2513=2032-tk_life),Sens!$R$2520:$AA$2520)*Sens!$M$2525/1000</f>
        <v>107.22937485525</v>
      </c>
    </row>
    <row r="2545" customFormat="false" ht="17.15" hidden="false" customHeight="false" outlineLevel="0" collapsed="false">
      <c r="A2545" s="0" t="s">
        <v>631</v>
      </c>
      <c r="B2545" s="0" t="s">
        <v>86</v>
      </c>
      <c r="C2545" s="38" t="n">
        <f aca="false">MIN(Sens!$C$2543,Sens!$C$2520*(tk_cx_h100+tk_fac*(1-colo_sh))/1000)</f>
        <v>11.2938642</v>
      </c>
      <c r="D2545" s="38" t="n">
        <f aca="false">MIN(Sens!$D$2543,Sens!$D$2520*(tk_cx_h100+tk_fac*(1-colo_sh))/1000)</f>
        <v>50.8223889</v>
      </c>
      <c r="E2545" s="38" t="n">
        <f aca="false">MIN(Sens!$E$2543,Sens!$E$2520*(Sens!$F$2525+tk_fac*(1-colo_sh))/1000)</f>
        <v>33.8985792</v>
      </c>
      <c r="F2545" s="38" t="n">
        <f aca="false">Sens!$F$2543</f>
        <v>96.2481299895</v>
      </c>
      <c r="G2545" s="38" t="n">
        <f aca="false">Sens!$E$2545+Sens!$F$2545</f>
        <v>130.1467091895</v>
      </c>
      <c r="H2545" s="38" t="n">
        <f aca="false">Sens!$H$2543</f>
        <v>198.57136494475</v>
      </c>
      <c r="I2545" s="38" t="n">
        <f aca="false">Sens!$I$2543</f>
        <v>204.6464699105</v>
      </c>
      <c r="J2545" s="38" t="n">
        <f aca="false">Sens!$J$2543</f>
        <v>209.8832381105</v>
      </c>
      <c r="K2545" s="38" t="n">
        <f aca="false">Sens!$K$2543</f>
        <v>155.238385275201</v>
      </c>
      <c r="L2545" s="38" t="n">
        <f aca="false">Sens!$L$2543</f>
        <v>132.014141639902</v>
      </c>
      <c r="M2545" s="38" t="n">
        <f aca="false">Sens!$M$2543</f>
        <v>132.230981659852</v>
      </c>
      <c r="P2545" s="5" t="s">
        <v>632</v>
      </c>
      <c r="R2545" s="38" t="n">
        <f aca="false">MIN(Sens!$R$2543,Sens!$R$2520*(tk_cx_h100+tk_fac*(1-colo_sh))/1000)</f>
        <v>1.50429979529945</v>
      </c>
      <c r="S2545" s="38" t="n">
        <f aca="false">Sens!$C$2545</f>
        <v>11.2938642</v>
      </c>
      <c r="T2545" s="38" t="n">
        <f aca="false">Sens!$D$2545</f>
        <v>50.8223889</v>
      </c>
      <c r="U2545" s="38" t="n">
        <f aca="false">Sens!$G$2545</f>
        <v>130.1467091895</v>
      </c>
      <c r="V2545" s="38" t="n">
        <f aca="false">Sens!$H$2545</f>
        <v>198.57136494475</v>
      </c>
      <c r="W2545" s="38" t="n">
        <f aca="false">Sens!$I$2545</f>
        <v>204.6464699105</v>
      </c>
      <c r="X2545" s="38" t="n">
        <f aca="false">Sens!$J$2545</f>
        <v>209.8832381105</v>
      </c>
      <c r="Y2545" s="38" t="n">
        <f aca="false">Sens!$K$2545</f>
        <v>155.238385275201</v>
      </c>
      <c r="Z2545" s="38" t="n">
        <f aca="false">Sens!$L$2545</f>
        <v>132.014141639902</v>
      </c>
      <c r="AA2545" s="38" t="n">
        <f aca="false">Sens!$M$2545</f>
        <v>132.230981659852</v>
      </c>
    </row>
    <row r="2546" customFormat="false" ht="17.15" hidden="false" customHeight="false" outlineLevel="0" collapsed="false">
      <c r="A2546" s="5" t="s">
        <v>633</v>
      </c>
      <c r="B2546" s="0" t="s">
        <v>86</v>
      </c>
      <c r="C2546" s="38" t="n">
        <f aca="false">Sens!$C$2543-Sens!$C$2545</f>
        <v>13.9842411077374</v>
      </c>
      <c r="D2546" s="38" t="n">
        <f aca="false">Sens!$D$2543-Sens!$D$2545</f>
        <v>18.7462427310026</v>
      </c>
      <c r="E2546" s="38" t="n">
        <f aca="false">Sens!$E$2543-Sens!$E$2545</f>
        <v>30.2913414485108</v>
      </c>
      <c r="F2546" s="38" t="n">
        <f aca="false">Sens!$F$2543-Sens!$F$2545</f>
        <v>0</v>
      </c>
      <c r="G2546" s="38" t="n">
        <f aca="false">Sens!$G$2543-Sens!$G$2545</f>
        <v>30.2913414485108</v>
      </c>
      <c r="H2546" s="38" t="n">
        <f aca="false">Sens!$H$2543-Sens!$H$2545</f>
        <v>0</v>
      </c>
      <c r="I2546" s="38" t="n">
        <f aca="false">Sens!$I$2543-Sens!$I$2545</f>
        <v>0</v>
      </c>
      <c r="J2546" s="38" t="n">
        <f aca="false">Sens!$J$2543-Sens!$J$2545</f>
        <v>0</v>
      </c>
      <c r="K2546" s="38" t="n">
        <f aca="false">Sens!$K$2543-Sens!$K$2545</f>
        <v>0</v>
      </c>
      <c r="L2546" s="38" t="n">
        <f aca="false">Sens!$L$2543-Sens!$L$2545</f>
        <v>0</v>
      </c>
      <c r="M2546" s="38" t="n">
        <f aca="false">Sens!$M$2543-Sens!$M$2545</f>
        <v>0</v>
      </c>
    </row>
    <row r="2547" customFormat="false" ht="17.15" hidden="false" customHeight="false" outlineLevel="0" collapsed="false">
      <c r="A2547" s="5" t="s">
        <v>634</v>
      </c>
      <c r="B2547" s="0" t="s">
        <v>86</v>
      </c>
      <c r="C2547" s="38" t="n">
        <f aca="false">Sens!$C$2545*Sens!$C$2542</f>
        <v>8.2530642</v>
      </c>
      <c r="D2547" s="38" t="n">
        <f aca="false">Sens!$D$2545*Sens!$D$2542</f>
        <v>37.1387889</v>
      </c>
      <c r="E2547" s="38" t="n">
        <f aca="false">Sens!$E$2545*Sens!$E$2542</f>
        <v>25.7897792</v>
      </c>
      <c r="F2547" s="38" t="n">
        <f aca="false">Sens!$F$2545*Sens!$F$2542</f>
        <v>73.2248394895</v>
      </c>
      <c r="G2547" s="38" t="n">
        <f aca="false">Sens!$E$2547+Sens!$F$2547</f>
        <v>99.0146186895</v>
      </c>
      <c r="H2547" s="38" t="n">
        <f aca="false">(Sens!$H$2545-Sens!$H$2544)*Sens!$H$2542+Sens!$H$2544</f>
        <v>152.52478394475</v>
      </c>
      <c r="I2547" s="38" t="n">
        <f aca="false">(Sens!$I$2545-Sens!$I$2544)*Sens!$I$2542+Sens!$I$2544</f>
        <v>158.5998889105</v>
      </c>
      <c r="J2547" s="38" t="n">
        <f aca="false">(Sens!$J$2545-Sens!$J$2544)*Sens!$J$2542+Sens!$J$2544</f>
        <v>163.8366571105</v>
      </c>
      <c r="K2547" s="38" t="n">
        <f aca="false">(Sens!$K$2545-Sens!$K$2544)*Sens!$K$2542+Sens!$K$2544</f>
        <v>122.665498273534</v>
      </c>
      <c r="L2547" s="38" t="n">
        <f aca="false">(Sens!$L$2545-Sens!$L$2544)*Sens!$L$2542+Sens!$L$2544</f>
        <v>112.914948636568</v>
      </c>
      <c r="M2547" s="38" t="n">
        <f aca="false">(Sens!$M$2545-Sens!$M$2544)*Sens!$M$2542+Sens!$M$2544</f>
        <v>126.605482654852</v>
      </c>
      <c r="R2547" s="38" t="n">
        <f aca="false">Sens!$R$2545*Sens!$C$2542</f>
        <v>1.09927679019314</v>
      </c>
      <c r="S2547" s="38" t="n">
        <f aca="false">Sens!$C$2547</f>
        <v>8.2530642</v>
      </c>
      <c r="T2547" s="38" t="n">
        <f aca="false">Sens!$D$2547</f>
        <v>37.1387889</v>
      </c>
      <c r="U2547" s="38" t="n">
        <f aca="false">Sens!$G$2547</f>
        <v>99.0146186895</v>
      </c>
      <c r="V2547" s="38" t="n">
        <f aca="false">Sens!$H$2547</f>
        <v>152.52478394475</v>
      </c>
      <c r="W2547" s="38" t="n">
        <f aca="false">Sens!$I$2547</f>
        <v>158.5998889105</v>
      </c>
      <c r="X2547" s="38" t="n">
        <f aca="false">Sens!$J$2547</f>
        <v>163.8366571105</v>
      </c>
      <c r="Y2547" s="38" t="n">
        <f aca="false">Sens!$K$2547</f>
        <v>122.665498273534</v>
      </c>
      <c r="Z2547" s="38" t="n">
        <f aca="false">Sens!$L$2547</f>
        <v>112.914948636568</v>
      </c>
      <c r="AA2547" s="38" t="n">
        <f aca="false">Sens!$M$2547</f>
        <v>126.605482654852</v>
      </c>
    </row>
    <row r="2548" customFormat="false" ht="15" hidden="false" customHeight="false" outlineLevel="0" collapsed="false">
      <c r="A2548" s="5" t="s">
        <v>635</v>
      </c>
      <c r="B2548" s="0" t="s">
        <v>86</v>
      </c>
      <c r="C2548" s="38" t="n">
        <f aca="false">Sens!$C$2545-Sens!$C$2547</f>
        <v>3.0408</v>
      </c>
      <c r="D2548" s="38" t="n">
        <f aca="false">Sens!$D$2545-Sens!$D$2547</f>
        <v>13.6836</v>
      </c>
      <c r="E2548" s="38" t="n">
        <f aca="false">Sens!$E$2545-Sens!$E$2547</f>
        <v>8.1088</v>
      </c>
      <c r="F2548" s="38" t="n">
        <f aca="false">Sens!$F$2545-Sens!$F$2547</f>
        <v>23.0232905</v>
      </c>
      <c r="G2548" s="38" t="n">
        <f aca="false">Sens!$G$2545-Sens!$G$2547</f>
        <v>31.1320905</v>
      </c>
      <c r="H2548" s="38" t="n">
        <f aca="false">Sens!$H$2545-Sens!$H$2547</f>
        <v>46.046581</v>
      </c>
      <c r="I2548" s="38" t="n">
        <f aca="false">Sens!$I$2545-Sens!$I$2547</f>
        <v>46.046581</v>
      </c>
      <c r="J2548" s="38" t="n">
        <f aca="false">Sens!$J$2545-Sens!$J$2547</f>
        <v>46.046581</v>
      </c>
      <c r="K2548" s="38" t="n">
        <f aca="false">Sens!$K$2545-Sens!$K$2547</f>
        <v>32.5728870016667</v>
      </c>
      <c r="L2548" s="38" t="n">
        <f aca="false">Sens!$L$2545-Sens!$L$2547</f>
        <v>19.0991930033334</v>
      </c>
      <c r="M2548" s="38" t="n">
        <f aca="false">Sens!$M$2545-Sens!$M$2547</f>
        <v>5.62549900499998</v>
      </c>
      <c r="R2548" s="38" t="n">
        <f aca="false">Sens!$R$2545-Sens!$R$2547</f>
        <v>0.405023005106309</v>
      </c>
      <c r="S2548" s="38" t="n">
        <f aca="false">Sens!$S$2545-Sens!$S$2547</f>
        <v>3.0408</v>
      </c>
      <c r="T2548" s="38" t="n">
        <f aca="false">Sens!$T$2545-Sens!$T$2547</f>
        <v>13.6836</v>
      </c>
      <c r="U2548" s="38" t="n">
        <f aca="false">Sens!$U$2545-Sens!$U$2547</f>
        <v>31.1320905</v>
      </c>
      <c r="V2548" s="38" t="n">
        <f aca="false">Sens!$V$2545-Sens!$V$2547</f>
        <v>46.046581</v>
      </c>
      <c r="W2548" s="38" t="n">
        <f aca="false">Sens!$W$2545-Sens!$W$2547</f>
        <v>46.046581</v>
      </c>
      <c r="X2548" s="38" t="n">
        <f aca="false">Sens!$X$2545-Sens!$X$2547</f>
        <v>46.046581</v>
      </c>
      <c r="Y2548" s="38" t="n">
        <f aca="false">Sens!$Y$2545-Sens!$Y$2547</f>
        <v>32.5728870016667</v>
      </c>
      <c r="Z2548" s="38" t="n">
        <f aca="false">Sens!$Z$2545-Sens!$Z$2547</f>
        <v>19.0991930033334</v>
      </c>
      <c r="AA2548" s="38" t="n">
        <f aca="false">Sens!$AA$2545-Sens!$AA$2547</f>
        <v>5.62549900499998</v>
      </c>
    </row>
    <row r="2549" customFormat="false" ht="17.15" hidden="false" customHeight="false" outlineLevel="0" collapsed="false">
      <c r="A2549" s="0" t="s">
        <v>636</v>
      </c>
      <c r="B2549" s="0" t="s">
        <v>52</v>
      </c>
      <c r="C2549" s="13" t="n">
        <f aca="false">Sens!$C$2543/Sens!$C$2665</f>
        <v>0.325505489553393</v>
      </c>
      <c r="D2549" s="13" t="n">
        <f aca="false">Sens!$D$2543/Sens!$D$2665</f>
        <v>0.54214956071542</v>
      </c>
      <c r="E2549" s="13" t="n">
        <f aca="false">Sens!$E$2543/Sens!$E$2665</f>
        <v>0.666492790452817</v>
      </c>
      <c r="F2549" s="13" t="n">
        <f aca="false">Sens!$F$2543/Sens!$F$2665</f>
        <v>0.733477910687338</v>
      </c>
      <c r="G2549" s="13" t="n">
        <f aca="false">Sens!$G$2543/Sens!$G$2665</f>
        <v>0.705124321514523</v>
      </c>
      <c r="H2549" s="13" t="n">
        <f aca="false">Sens!$H$2543/Sens!$H$2665</f>
        <v>0.726376041178204</v>
      </c>
      <c r="I2549" s="13" t="n">
        <f aca="false">Sens!$I$2543/Sens!$I$2665</f>
        <v>0.713099092661699</v>
      </c>
      <c r="J2549" s="13" t="n">
        <f aca="false">Sens!$J$2543/Sens!$J$2665</f>
        <v>0.701208348786245</v>
      </c>
      <c r="K2549" s="13" t="n">
        <f aca="false">Sens!$K$2543/Sens!$K$2665</f>
        <v>0.618338844562383</v>
      </c>
      <c r="L2549" s="13" t="n">
        <f aca="false">Sens!$L$2543/Sens!$L$2665</f>
        <v>0.562489158462506</v>
      </c>
      <c r="M2549" s="13" t="n">
        <f aca="false">Sens!$M$2543/Sens!$M$2665</f>
        <v>0.545751190895923</v>
      </c>
    </row>
    <row r="2550" customFormat="false" ht="17.15" hidden="false" customHeight="false" outlineLevel="0" collapsed="false">
      <c r="A2550" s="0" t="s">
        <v>637</v>
      </c>
      <c r="B2550" s="0" t="s">
        <v>86</v>
      </c>
      <c r="C2550" s="38" t="n">
        <f aca="false">Sens!$S$2550</f>
        <v>0.183212798365523</v>
      </c>
      <c r="D2550" s="38" t="n">
        <f aca="false">Sens!$T$2550</f>
        <v>1.55872349836552</v>
      </c>
      <c r="E2550" s="38" t="n">
        <f aca="false">Sens!$G$2550/2</f>
        <v>3.87426082418276</v>
      </c>
      <c r="F2550" s="38" t="n">
        <f aca="false">Sens!$G$2550/2</f>
        <v>3.87426082418276</v>
      </c>
      <c r="G2550" s="38" t="n">
        <f aca="false">Sens!$U$2550</f>
        <v>7.74852164836552</v>
      </c>
      <c r="H2550" s="38" t="n">
        <f aca="false">Sens!$V$2550</f>
        <v>24.2509580966155</v>
      </c>
      <c r="I2550" s="38" t="n">
        <f aca="false">Sens!$W$2550</f>
        <v>49.6717554207405</v>
      </c>
      <c r="J2550" s="38" t="n">
        <f aca="false">Sens!$X$2550</f>
        <v>76.1050702391572</v>
      </c>
      <c r="K2550" s="38" t="n">
        <f aca="false">Sens!$Y$2550</f>
        <v>103.227966959208</v>
      </c>
      <c r="L2550" s="38" t="n">
        <f aca="false">Sens!$Z$2550</f>
        <v>122.296705971464</v>
      </c>
      <c r="M2550" s="38" t="n">
        <f aca="false">Sens!$AA$2550</f>
        <v>134.926065927559</v>
      </c>
      <c r="N2550" s="38" t="n">
        <f aca="false">Sens!$D$2550/2</f>
        <v>0.779361749182762</v>
      </c>
      <c r="O2550" s="38" t="n">
        <f aca="false">Sens!$D$2550/2</f>
        <v>0.779361749182762</v>
      </c>
      <c r="R2550" s="38" t="n">
        <f aca="false">SUMPRODUCT(--(Sens!$R$2513:$AA$2513&lt;Sens!R$2513),--(Sens!$R$2513:$AA$2513&gt;=Sens!R$2513-tk_life),Sens!$R$2547:$AA$2547)/tk_life</f>
        <v>0</v>
      </c>
      <c r="S2550" s="38" t="n">
        <f aca="false">SUMPRODUCT(--(Sens!$R$2513:$AA$2513&lt;Sens!S$2513),--(Sens!$R$2513:$AA$2513&gt;=Sens!S$2513-tk_life),Sens!$R$2547:$AA$2547)/tk_life</f>
        <v>0.183212798365523</v>
      </c>
      <c r="T2550" s="38" t="n">
        <f aca="false">SUMPRODUCT(--(Sens!$R$2513:$AA$2513&lt;Sens!T$2513),--(Sens!$R$2513:$AA$2513&gt;=Sens!T$2513-tk_life),Sens!$R$2547:$AA$2547)/tk_life</f>
        <v>1.55872349836552</v>
      </c>
      <c r="U2550" s="38" t="n">
        <f aca="false">SUMPRODUCT(--(Sens!$R$2513:$AA$2513&lt;Sens!U$2513),--(Sens!$R$2513:$AA$2513&gt;=Sens!U$2513-tk_life),Sens!$R$2547:$AA$2547)/tk_life</f>
        <v>7.74852164836552</v>
      </c>
      <c r="V2550" s="38" t="n">
        <f aca="false">SUMPRODUCT(--(Sens!$R$2513:$AA$2513&lt;Sens!V$2513),--(Sens!$R$2513:$AA$2513&gt;=Sens!V$2513-tk_life),Sens!$R$2547:$AA$2547)/tk_life</f>
        <v>24.2509580966155</v>
      </c>
      <c r="W2550" s="38" t="n">
        <f aca="false">SUMPRODUCT(--(Sens!$R$2513:$AA$2513&lt;Sens!W$2513),--(Sens!$R$2513:$AA$2513&gt;=Sens!W$2513-tk_life),Sens!$R$2547:$AA$2547)/tk_life</f>
        <v>49.6717554207405</v>
      </c>
      <c r="X2550" s="38" t="n">
        <f aca="false">SUMPRODUCT(--(Sens!$R$2513:$AA$2513&lt;Sens!X$2513),--(Sens!$R$2513:$AA$2513&gt;=Sens!X$2513-tk_life),Sens!$R$2547:$AA$2547)/tk_life</f>
        <v>76.1050702391572</v>
      </c>
      <c r="Y2550" s="38" t="n">
        <f aca="false">SUMPRODUCT(--(Sens!$R$2513:$AA$2513&lt;Sens!Y$2513),--(Sens!$R$2513:$AA$2513&gt;=Sens!Y$2513-tk_life),Sens!$R$2547:$AA$2547)/tk_life</f>
        <v>103.227966959208</v>
      </c>
      <c r="Z2550" s="38" t="n">
        <f aca="false">SUMPRODUCT(--(Sens!$R$2513:$AA$2513&lt;Sens!Z$2513),--(Sens!$R$2513:$AA$2513&gt;=Sens!Z$2513-tk_life),Sens!$R$2547:$AA$2547)/tk_life</f>
        <v>122.296705971464</v>
      </c>
      <c r="AA2550" s="38" t="n">
        <f aca="false">SUMPRODUCT(--(Sens!$R$2513:$AA$2513&lt;Sens!AA$2513),--(Sens!$R$2513:$AA$2513&gt;=Sens!AA$2513-tk_life),Sens!$R$2547:$AA$2547)/tk_life</f>
        <v>134.926065927559</v>
      </c>
    </row>
    <row r="2551" customFormat="false" ht="17.15" hidden="false" customHeight="false" outlineLevel="0" collapsed="false">
      <c r="A2551" s="0" t="s">
        <v>638</v>
      </c>
      <c r="B2551" s="0" t="s">
        <v>86</v>
      </c>
      <c r="C2551" s="38" t="n">
        <f aca="false">Sens!$S$2551</f>
        <v>0.0202511502553155</v>
      </c>
      <c r="D2551" s="38" t="n">
        <f aca="false">Sens!$T$2551</f>
        <v>0.172291150255315</v>
      </c>
      <c r="E2551" s="38" t="n">
        <f aca="false">Sens!$G$2551/2</f>
        <v>0.428235575127658</v>
      </c>
      <c r="F2551" s="38" t="n">
        <f aca="false">Sens!$G$2551/2</f>
        <v>0.428235575127658</v>
      </c>
      <c r="G2551" s="38" t="n">
        <f aca="false">Sens!$U$2551</f>
        <v>0.856471150255315</v>
      </c>
      <c r="H2551" s="38" t="n">
        <f aca="false">Sens!$V$2551</f>
        <v>2.41307567525532</v>
      </c>
      <c r="I2551" s="38" t="n">
        <f aca="false">Sens!$W$2551</f>
        <v>4.71540472525532</v>
      </c>
      <c r="J2551" s="38" t="n">
        <f aca="false">Sens!$X$2551</f>
        <v>7.01773377525532</v>
      </c>
      <c r="K2551" s="38" t="n">
        <f aca="false">Sens!$Y$2551</f>
        <v>9.32006282525532</v>
      </c>
      <c r="L2551" s="38" t="n">
        <f aca="false">Sens!$Z$2551</f>
        <v>10.9487071753387</v>
      </c>
      <c r="M2551" s="38" t="n">
        <f aca="false">Sens!$AA$2551</f>
        <v>11.9036668255053</v>
      </c>
      <c r="N2551" s="38" t="n">
        <f aca="false">Sens!$D$2551/2</f>
        <v>0.0861455751276577</v>
      </c>
      <c r="O2551" s="38" t="n">
        <f aca="false">Sens!$D$2551/2</f>
        <v>0.0861455751276577</v>
      </c>
      <c r="R2551" s="38" t="n">
        <f aca="false">SUMPRODUCT(--(Sens!$R$2513:$AA$2513&lt;Sens!R$2513),Sens!$R$2548:$AA$2548)/fac_life</f>
        <v>0</v>
      </c>
      <c r="S2551" s="38" t="n">
        <f aca="false">SUMPRODUCT(--(Sens!$R$2513:$AA$2513&lt;Sens!S$2513),Sens!$R$2548:$AA$2548)/fac_life</f>
        <v>0.0202511502553155</v>
      </c>
      <c r="T2551" s="38" t="n">
        <f aca="false">SUMPRODUCT(--(Sens!$R$2513:$AA$2513&lt;Sens!T$2513),Sens!$R$2548:$AA$2548)/fac_life</f>
        <v>0.172291150255315</v>
      </c>
      <c r="U2551" s="38" t="n">
        <f aca="false">SUMPRODUCT(--(Sens!$R$2513:$AA$2513&lt;Sens!U$2513),Sens!$R$2548:$AA$2548)/fac_life</f>
        <v>0.856471150255315</v>
      </c>
      <c r="V2551" s="38" t="n">
        <f aca="false">SUMPRODUCT(--(Sens!$R$2513:$AA$2513&lt;Sens!V$2513),Sens!$R$2548:$AA$2548)/fac_life</f>
        <v>2.41307567525532</v>
      </c>
      <c r="W2551" s="38" t="n">
        <f aca="false">SUMPRODUCT(--(Sens!$R$2513:$AA$2513&lt;Sens!W$2513),Sens!$R$2548:$AA$2548)/fac_life</f>
        <v>4.71540472525532</v>
      </c>
      <c r="X2551" s="38" t="n">
        <f aca="false">SUMPRODUCT(--(Sens!$R$2513:$AA$2513&lt;Sens!X$2513),Sens!$R$2548:$AA$2548)/fac_life</f>
        <v>7.01773377525532</v>
      </c>
      <c r="Y2551" s="38" t="n">
        <f aca="false">SUMPRODUCT(--(Sens!$R$2513:$AA$2513&lt;Sens!Y$2513),Sens!$R$2548:$AA$2548)/fac_life</f>
        <v>9.32006282525532</v>
      </c>
      <c r="Z2551" s="38" t="n">
        <f aca="false">SUMPRODUCT(--(Sens!$R$2513:$AA$2513&lt;Sens!Z$2513),Sens!$R$2548:$AA$2548)/fac_life</f>
        <v>10.9487071753387</v>
      </c>
      <c r="AA2551" s="38" t="n">
        <f aca="false">SUMPRODUCT(--(Sens!$R$2513:$AA$2513&lt;Sens!AA$2513),Sens!$R$2548:$AA$2548)/fac_life</f>
        <v>11.9036668255053</v>
      </c>
    </row>
    <row r="2552" customFormat="false" ht="17.15" hidden="false" customHeight="false" outlineLevel="0" collapsed="false">
      <c r="A2552" s="1" t="s">
        <v>639</v>
      </c>
      <c r="B2552" s="8" t="s">
        <v>86</v>
      </c>
      <c r="C2552" s="38" t="n">
        <f aca="false">Sens!$C$2550+Sens!$C$2551</f>
        <v>0.203463948620839</v>
      </c>
      <c r="D2552" s="38" t="n">
        <f aca="false">Sens!$D$2550+Sens!$D$2551</f>
        <v>1.73101464862084</v>
      </c>
      <c r="E2552" s="38" t="n">
        <f aca="false">Sens!$E$2550+Sens!$E$2551</f>
        <v>4.30249639931042</v>
      </c>
      <c r="F2552" s="38" t="n">
        <f aca="false">Sens!$F$2550+Sens!$F$2551</f>
        <v>4.30249639931042</v>
      </c>
      <c r="G2552" s="38" t="n">
        <f aca="false">Sens!$G$2550+Sens!$G$2551</f>
        <v>8.60499279862084</v>
      </c>
      <c r="H2552" s="38" t="n">
        <f aca="false">Sens!$H$2550+Sens!$H$2551</f>
        <v>26.6640337718708</v>
      </c>
      <c r="I2552" s="38" t="n">
        <f aca="false">Sens!$I$2550+Sens!$I$2551</f>
        <v>54.3871601459959</v>
      </c>
      <c r="J2552" s="38" t="n">
        <f aca="false">Sens!$J$2550+Sens!$J$2551</f>
        <v>83.1228040144125</v>
      </c>
      <c r="K2552" s="38" t="n">
        <f aca="false">Sens!$K$2550+Sens!$K$2551</f>
        <v>112.548029784464</v>
      </c>
      <c r="L2552" s="38" t="n">
        <f aca="false">Sens!$L$2550+Sens!$L$2551</f>
        <v>133.245413146803</v>
      </c>
      <c r="M2552" s="38" t="n">
        <f aca="false">Sens!$M$2550+Sens!$M$2551</f>
        <v>146.829732753064</v>
      </c>
      <c r="N2552" s="38" t="n">
        <f aca="false">Sens!$N$2550+Sens!$N$2551</f>
        <v>0.865507324310419</v>
      </c>
      <c r="O2552" s="38" t="n">
        <f aca="false">Sens!$O$2550+Sens!$O$2551</f>
        <v>0.865507324310419</v>
      </c>
      <c r="R2552" s="38" t="n">
        <f aca="false">Sens!$R$2550+Sens!$R$2551</f>
        <v>0</v>
      </c>
      <c r="S2552" s="38" t="n">
        <f aca="false">Sens!$S$2550+Sens!$S$2551</f>
        <v>0.203463948620839</v>
      </c>
      <c r="T2552" s="38" t="n">
        <f aca="false">Sens!$T$2550+Sens!$T$2551</f>
        <v>1.73101464862084</v>
      </c>
      <c r="U2552" s="38" t="n">
        <f aca="false">Sens!$U$2550+Sens!$U$2551</f>
        <v>8.60499279862084</v>
      </c>
      <c r="V2552" s="38" t="n">
        <f aca="false">Sens!$V$2550+Sens!$V$2551</f>
        <v>26.6640337718708</v>
      </c>
      <c r="W2552" s="38" t="n">
        <f aca="false">Sens!$W$2550+Sens!$W$2551</f>
        <v>54.3871601459959</v>
      </c>
      <c r="X2552" s="38" t="n">
        <f aca="false">Sens!$X$2550+Sens!$X$2551</f>
        <v>83.1228040144125</v>
      </c>
      <c r="Y2552" s="38" t="n">
        <f aca="false">Sens!$Y$2550+Sens!$Y$2551</f>
        <v>112.548029784464</v>
      </c>
      <c r="Z2552" s="38" t="n">
        <f aca="false">Sens!$Z$2550+Sens!$Z$2551</f>
        <v>133.245413146803</v>
      </c>
      <c r="AA2552" s="38" t="n">
        <f aca="false">Sens!$AA$2550+Sens!$AA$2551</f>
        <v>146.829732753064</v>
      </c>
    </row>
    <row r="2553" customFormat="false" ht="17.15" hidden="false" customHeight="false" outlineLevel="0" collapsed="false">
      <c r="A2553" s="0" t="s">
        <v>640</v>
      </c>
      <c r="B2553" s="0" t="s">
        <v>86</v>
      </c>
      <c r="C2553" s="38" t="n">
        <f aca="false">Sens!$S$2553</f>
        <v>12.5947000466786</v>
      </c>
      <c r="D2553" s="38" t="n">
        <f aca="false">Sens!$T$2553</f>
        <v>61.6860742980578</v>
      </c>
      <c r="G2553" s="38" t="n">
        <f aca="false">Sens!$U$2553</f>
        <v>183.227790688937</v>
      </c>
      <c r="H2553" s="38" t="n">
        <f aca="false">Sens!$V$2553</f>
        <v>355.135121861816</v>
      </c>
      <c r="I2553" s="38" t="n">
        <f aca="false">Sens!$W$2553</f>
        <v>505.39443162632</v>
      </c>
      <c r="J2553" s="38" t="n">
        <f aca="false">Sens!$X$2553</f>
        <v>632.154865722408</v>
      </c>
      <c r="K2553" s="38" t="n">
        <f aca="false">Sens!$Y$2553</f>
        <v>674.845221213145</v>
      </c>
      <c r="L2553" s="38" t="n">
        <f aca="false">Sens!$Z$2553</f>
        <v>673.613949706244</v>
      </c>
      <c r="M2553" s="38" t="n">
        <f aca="false">Sens!$AA$2553</f>
        <v>659.015198613032</v>
      </c>
      <c r="R2553" s="38" t="n">
        <f aca="false">SUM(Sens!$R$2545:$R$2545)-SUM(Sens!$R$2552:$R$2552)</f>
        <v>1.50429979529945</v>
      </c>
      <c r="S2553" s="38" t="n">
        <f aca="false">SUM(Sens!$R$2545:$S$2545)-SUM(Sens!$R$2552:$S$2552)</f>
        <v>12.5947000466786</v>
      </c>
      <c r="T2553" s="38" t="n">
        <f aca="false">SUM(Sens!$R$2545:$T$2545)-SUM(Sens!$R$2552:$T$2552)</f>
        <v>61.6860742980578</v>
      </c>
      <c r="U2553" s="38" t="n">
        <f aca="false">SUM(Sens!$R$2545:$U$2545)-SUM(Sens!$R$2552:$U$2552)</f>
        <v>183.227790688937</v>
      </c>
      <c r="V2553" s="38" t="n">
        <f aca="false">SUM(Sens!$R$2545:$V$2545)-SUM(Sens!$R$2552:$V$2552)</f>
        <v>355.135121861816</v>
      </c>
      <c r="W2553" s="38" t="n">
        <f aca="false">SUM(Sens!$R$2545:$W$2545)-SUM(Sens!$R$2552:$W$2552)</f>
        <v>505.39443162632</v>
      </c>
      <c r="X2553" s="38" t="n">
        <f aca="false">SUM(Sens!$R$2545:$X$2545)-SUM(Sens!$R$2552:$X$2552)</f>
        <v>632.154865722408</v>
      </c>
      <c r="Y2553" s="38" t="n">
        <f aca="false">SUM(Sens!$R$2545:$Y$2545)-SUM(Sens!$R$2552:$Y$2552)</f>
        <v>674.845221213145</v>
      </c>
      <c r="Z2553" s="38" t="n">
        <f aca="false">SUM(Sens!$R$2545:$Z$2545)-SUM(Sens!$R$2552:$Z$2552)</f>
        <v>673.613949706244</v>
      </c>
      <c r="AA2553" s="38" t="n">
        <f aca="false">SUM(Sens!$R$2545:$AA$2545)-SUM(Sens!$R$2552:$AA$2552)</f>
        <v>659.015198613032</v>
      </c>
    </row>
    <row r="2554" customFormat="false" ht="17.15" hidden="false" customHeight="false" outlineLevel="0" collapsed="false">
      <c r="A2554" s="1" t="s">
        <v>641</v>
      </c>
    </row>
    <row r="2555" customFormat="false" ht="17.15" hidden="false" customHeight="false" outlineLevel="0" collapsed="false">
      <c r="A2555" s="0" t="s">
        <v>642</v>
      </c>
      <c r="B2555" s="0" t="s">
        <v>86</v>
      </c>
      <c r="C2555" s="38" t="n">
        <f aca="false">Sens!$C$2534-ext_sh*Sens!$C$2536</f>
        <v>1.80694998843362</v>
      </c>
      <c r="D2555" s="38" t="n">
        <f aca="false">Sens!$D$2534-ext_sh*Sens!$D$2536</f>
        <v>6.77606245662607</v>
      </c>
      <c r="E2555" s="38" t="n">
        <f aca="false">Sens!$E$2534-ext_sh*Sens!$E$2536</f>
        <v>6.62548329092326</v>
      </c>
      <c r="F2555" s="38" t="n">
        <f aca="false">Sens!$F$2534-ext_sh*Sens!$F$2536</f>
        <v>11.7200577158706</v>
      </c>
      <c r="G2555" s="38" t="n">
        <f aca="false">Sens!$G$2534-ext_sh*Sens!$G$2536</f>
        <v>18.3455410067939</v>
      </c>
      <c r="H2555" s="38" t="n">
        <f aca="false">Sens!$H$2534-ext_sh*Sens!$H$2536</f>
        <v>47.5171727060453</v>
      </c>
      <c r="I2555" s="38" t="n">
        <f aca="false">Sens!$I$2534-ext_sh*Sens!$I$2536</f>
        <v>80.5539692643667</v>
      </c>
      <c r="J2555" s="38" t="n">
        <f aca="false">Sens!$J$2534-ext_sh*Sens!$J$2536</f>
        <v>113.759316834883</v>
      </c>
      <c r="K2555" s="38" t="n">
        <f aca="false">Sens!$K$2534-ext_sh*Sens!$K$2536</f>
        <v>142.084411492169</v>
      </c>
      <c r="L2555" s="38" t="n">
        <f aca="false">Sens!$L$2534-ext_sh*Sens!$L$2536</f>
        <v>160.69964615804</v>
      </c>
      <c r="M2555" s="38" t="n">
        <f aca="false">Sens!$M$2534-ext_sh*Sens!$M$2536</f>
        <v>169.577607141793</v>
      </c>
      <c r="N2555" s="38" t="n">
        <f aca="false">Sens!$N$2534-ext_sh*Sens!$N$2536</f>
        <v>2.37162185981912</v>
      </c>
      <c r="O2555" s="38" t="n">
        <f aca="false">Sens!$O$2534-ext_sh*Sens!$O$2536</f>
        <v>4.40444059680694</v>
      </c>
    </row>
    <row r="2556" customFormat="false" ht="17.15" hidden="false" customHeight="false" outlineLevel="0" collapsed="false">
      <c r="A2556" s="1" t="s">
        <v>643</v>
      </c>
      <c r="B2556" s="8" t="s">
        <v>86</v>
      </c>
      <c r="C2556" s="38" t="n">
        <f aca="false">Sens!$C$2555-ext_sh*Sens!$C$2552</f>
        <v>1.64417882953695</v>
      </c>
      <c r="D2556" s="38" t="n">
        <f aca="false">Sens!$D$2555-ext_sh*Sens!$D$2552</f>
        <v>5.39125073772939</v>
      </c>
      <c r="E2556" s="38" t="n">
        <f aca="false">Sens!$E$2555-ext_sh*Sens!$E$2552</f>
        <v>3.18348617147493</v>
      </c>
      <c r="F2556" s="38" t="n">
        <f aca="false">Sens!$F$2555-ext_sh*Sens!$F$2552</f>
        <v>8.27806059642226</v>
      </c>
      <c r="G2556" s="38" t="n">
        <f aca="false">Sens!$G$2555-ext_sh*Sens!$G$2552</f>
        <v>11.4615467678972</v>
      </c>
      <c r="H2556" s="38" t="n">
        <f aca="false">Sens!$H$2555-ext_sh*Sens!$H$2552</f>
        <v>26.1859456885487</v>
      </c>
      <c r="I2556" s="38" t="n">
        <f aca="false">Sens!$I$2555-ext_sh*Sens!$I$2552</f>
        <v>37.04424114757</v>
      </c>
      <c r="J2556" s="38" t="n">
        <f aca="false">Sens!$J$2555-ext_sh*Sens!$J$2552</f>
        <v>47.2610736233534</v>
      </c>
      <c r="K2556" s="38" t="n">
        <f aca="false">Sens!$K$2555-ext_sh*Sens!$K$2552</f>
        <v>52.0459876645985</v>
      </c>
      <c r="L2556" s="38" t="n">
        <f aca="false">Sens!$L$2555-ext_sh*Sens!$L$2552</f>
        <v>54.1033156405981</v>
      </c>
      <c r="M2556" s="38" t="n">
        <f aca="false">Sens!$M$2555-ext_sh*Sens!$M$2552</f>
        <v>52.1138209393421</v>
      </c>
      <c r="N2556" s="38" t="n">
        <f aca="false">Sens!$N$2555-ext_sh*Sens!$N$2552</f>
        <v>1.67921600037079</v>
      </c>
      <c r="O2556" s="38" t="n">
        <f aca="false">Sens!$O$2555-ext_sh*Sens!$O$2552</f>
        <v>3.71203473735861</v>
      </c>
    </row>
    <row r="2557" customFormat="false" ht="17.15" hidden="false" customHeight="false" outlineLevel="0" collapsed="false">
      <c r="A2557" s="0" t="s">
        <v>644</v>
      </c>
      <c r="B2557" s="0" t="s">
        <v>52</v>
      </c>
      <c r="C2557" s="13" t="n">
        <f aca="false">Sens!$C$2556/Sens!$C$2534</f>
        <v>0.708390794789371</v>
      </c>
      <c r="D2557" s="13" t="n">
        <f aca="false">Sens!$D$2556/Sens!$D$2534</f>
        <v>0.619415573115729</v>
      </c>
      <c r="E2557" s="13" t="n">
        <f aca="false">Sens!$E$2556/Sens!$E$2534</f>
        <v>0.374072166056273</v>
      </c>
      <c r="F2557" s="13" t="n">
        <f aca="false">Sens!$F$2556/Sens!$F$2534</f>
        <v>0.553219320710057</v>
      </c>
      <c r="G2557" s="13" t="n">
        <f aca="false">Sens!$G$2556/Sens!$G$2534</f>
        <v>0.488270041527512</v>
      </c>
      <c r="H2557" s="13" t="n">
        <f aca="false">Sens!$H$2556/Sens!$H$2534</f>
        <v>0.435229086816882</v>
      </c>
      <c r="I2557" s="13" t="n">
        <f aca="false">Sens!$I$2556/Sens!$I$2534</f>
        <v>0.364954592421095</v>
      </c>
      <c r="J2557" s="13" t="n">
        <f aca="false">Sens!$J$2556/Sens!$J$2534</f>
        <v>0.330438308582232</v>
      </c>
      <c r="K2557" s="13" t="n">
        <f aca="false">Sens!$K$2556/Sens!$K$2534</f>
        <v>0.2916589289528</v>
      </c>
      <c r="L2557" s="13" t="n">
        <f aca="false">Sens!$L$2556/Sens!$L$2534</f>
        <v>0.268199200593258</v>
      </c>
      <c r="M2557" s="13" t="n">
        <f aca="false">Sens!$M$2556/Sens!$M$2534</f>
        <v>0.244854995033574</v>
      </c>
      <c r="N2557" s="13" t="n">
        <f aca="false">Sens!$N$2556/Sens!$N$2534</f>
        <v>0.551227795793364</v>
      </c>
      <c r="O2557" s="13" t="n">
        <f aca="false">Sens!$O$2556/Sens!$O$2534</f>
        <v>0.656132068597002</v>
      </c>
    </row>
    <row r="2558" customFormat="false" ht="17.15" hidden="false" customHeight="false" outlineLevel="0" collapsed="false">
      <c r="A2558" s="5" t="s">
        <v>645</v>
      </c>
      <c r="B2558" s="0" t="s">
        <v>86</v>
      </c>
      <c r="C2558" s="39" t="n">
        <v>0</v>
      </c>
      <c r="D2558" s="39" t="n">
        <v>0</v>
      </c>
      <c r="E2558" s="39" t="n">
        <v>0</v>
      </c>
      <c r="F2558" s="38" t="n">
        <f aca="false">IF(1=2,1,0)*(1-ext_sh)/ext_sh*(mw_open*he_open+Sens!$F$2532*Sens!$F$2529)*Sens!$F$2518/1000</f>
        <v>0</v>
      </c>
      <c r="G2558" s="38" t="n">
        <f aca="false">Sens!$E$2558+Sens!$F$2558</f>
        <v>0</v>
      </c>
      <c r="H2558" s="38" t="n">
        <f aca="false">IF(1=2,1,0)*(1-ext_sh)/ext_sh*(mw_open*he_open+Sens!$H$2532*Sens!$H$2529)*Sens!$H$2518/1000</f>
        <v>0</v>
      </c>
      <c r="I2558" s="38" t="n">
        <f aca="false">IF(1=2,1,0)*(1-ext_sh)/ext_sh*(mw_open*he_open+Sens!$I$2532*Sens!$I$2529)*Sens!$I$2518/1000</f>
        <v>0</v>
      </c>
      <c r="J2558" s="38" t="n">
        <f aca="false">IF(1=2,1,0)*(1-ext_sh)/ext_sh*(mw_open*he_open+Sens!$J$2532*Sens!$J$2529)*Sens!$J$2518/1000</f>
        <v>0</v>
      </c>
      <c r="K2558" s="38" t="n">
        <f aca="false">IF(1=2,1,0)*(1-ext_sh)/ext_sh*(mw_open*he_open+Sens!$K$2532*Sens!$K$2529)*Sens!$K$2518/1000</f>
        <v>0</v>
      </c>
      <c r="L2558" s="38" t="n">
        <f aca="false">IF(1=2,1,0)*(1-ext_sh)/ext_sh*(mw_open*he_open+Sens!$L$2532*Sens!$L$2529)*Sens!$L$2518/1000</f>
        <v>0</v>
      </c>
      <c r="M2558" s="38" t="n">
        <f aca="false">IF(1=2,1,0)*(1-ext_sh)/ext_sh*(mw_open*he_open+Sens!$M$2532*Sens!$M$2529)*Sens!$M$2518/1000</f>
        <v>0</v>
      </c>
      <c r="N2558" s="39" t="n">
        <v>0</v>
      </c>
      <c r="O2558" s="39" t="n">
        <v>0</v>
      </c>
      <c r="P2558" s="8" t="s">
        <v>646</v>
      </c>
    </row>
    <row r="2559" customFormat="false" ht="17.15" hidden="false" customHeight="false" outlineLevel="0" collapsed="false">
      <c r="A2559" s="5" t="s">
        <v>647</v>
      </c>
      <c r="B2559" s="0" t="s">
        <v>86</v>
      </c>
      <c r="C2559" s="38" t="n">
        <f aca="false">(1-ext_sh)*(Sens!$C$2536+Sens!$C$2552)</f>
        <v>0.169206631859174</v>
      </c>
      <c r="D2559" s="38" t="n">
        <f aca="false">(1-ext_sh)*(Sens!$D$2536+Sens!$D$2552)</f>
        <v>0.828129837730442</v>
      </c>
      <c r="E2559" s="38" t="n">
        <f aca="false">(1-ext_sh)*(Sens!$E$2536+Sens!$E$2552)</f>
        <v>1.33171670102377</v>
      </c>
      <c r="F2559" s="38" t="n">
        <f aca="false">(1-ext_sh)*(Sens!$F$2536+Sens!$F$2552)</f>
        <v>1.67134326207455</v>
      </c>
      <c r="G2559" s="38" t="n">
        <f aca="false">(1-ext_sh)*(Sens!$G$2536+Sens!$G$2552)</f>
        <v>3.00305996309832</v>
      </c>
      <c r="H2559" s="38" t="n">
        <f aca="false">(1-ext_sh)*(Sens!$H$2536+Sens!$H$2552)</f>
        <v>8.49498626530648</v>
      </c>
      <c r="I2559" s="38" t="n">
        <f aca="false">(1-ext_sh)*(Sens!$I$2536+Sens!$I$2552)</f>
        <v>16.1148644972155</v>
      </c>
      <c r="J2559" s="38" t="n">
        <f aca="false">(1-ext_sh)*(Sens!$J$2536+Sens!$J$2552)</f>
        <v>23.9410833819812</v>
      </c>
      <c r="K2559" s="38" t="n">
        <f aca="false">(1-ext_sh)*(Sens!$K$2536+Sens!$K$2552)</f>
        <v>31.6005331796453</v>
      </c>
      <c r="L2559" s="38" t="n">
        <f aca="false">(1-ext_sh)*(Sens!$L$2536+Sens!$L$2552)</f>
        <v>36.9061965404496</v>
      </c>
      <c r="M2559" s="38" t="n">
        <f aca="false">(1-ext_sh)*(Sens!$M$2536+Sens!$M$2552)</f>
        <v>40.1804051073808</v>
      </c>
      <c r="N2559" s="38" t="n">
        <f aca="false">(1-ext_sh)*(Sens!$N$2536+Sens!$N$2552)</f>
        <v>0.34177588266428</v>
      </c>
      <c r="O2559" s="38" t="n">
        <f aca="false">(1-ext_sh)*(Sens!$O$2536+Sens!$O$2552)</f>
        <v>0.486353955066162</v>
      </c>
    </row>
    <row r="2560" customFormat="false" ht="17.15" hidden="false" customHeight="false" outlineLevel="0" collapsed="false">
      <c r="A2560" s="0" t="s">
        <v>648</v>
      </c>
      <c r="B2560" s="0" t="s">
        <v>86</v>
      </c>
      <c r="C2560" s="38" t="n">
        <f aca="false">Q!$D$24</f>
        <v>39.834</v>
      </c>
      <c r="D2560" s="38" t="n">
        <f aca="false">Q!$E$24</f>
        <v>45.606</v>
      </c>
      <c r="E2560" s="38" t="n">
        <f aca="false">Q!$P$24</f>
        <v>30.782</v>
      </c>
      <c r="N2560" s="38" t="n">
        <f aca="false">Q!$N$24</f>
        <v>21.707</v>
      </c>
      <c r="O2560" s="38" t="n">
        <f aca="false">Q!$O$24</f>
        <v>23.899</v>
      </c>
    </row>
    <row r="2561" customFormat="false" ht="17.15" hidden="false" customHeight="false" outlineLevel="0" collapsed="false">
      <c r="A2561" s="0" t="s">
        <v>649</v>
      </c>
      <c r="B2561" s="0" t="s">
        <v>86</v>
      </c>
      <c r="C2561" s="38" t="n">
        <f aca="false">Sens!$C$2560-Sens!$C$2556</f>
        <v>38.1898211704631</v>
      </c>
      <c r="D2561" s="38" t="n">
        <f aca="false">Sens!$D$2560-Sens!$D$2556</f>
        <v>40.2147492622706</v>
      </c>
      <c r="E2561" s="38" t="n">
        <f aca="false">Sens!$E$2560-Sens!$E$2556</f>
        <v>27.5985138285251</v>
      </c>
      <c r="F2561" s="38" t="n">
        <f aca="false">Sens!$F$2538*Sens!$F$2562</f>
        <v>25.5484769754606</v>
      </c>
      <c r="G2561" s="38" t="n">
        <f aca="false">Sens!$E$2561+Sens!$F$2561</f>
        <v>53.1469908039857</v>
      </c>
      <c r="H2561" s="38" t="n">
        <f aca="false">Sens!$H$2538*Sens!$H$2562</f>
        <v>57.3189525076539</v>
      </c>
      <c r="I2561" s="38" t="n">
        <f aca="false">Sens!$I$2538*Sens!$I$2562</f>
        <v>63.6385627021087</v>
      </c>
      <c r="J2561" s="38" t="n">
        <f aca="false">Sens!$J$2538*Sens!$J$2562</f>
        <v>69.6922896066105</v>
      </c>
      <c r="K2561" s="38" t="n">
        <f aca="false">Sens!$K$2538*Sens!$K$2562</f>
        <v>75.2676727751394</v>
      </c>
      <c r="L2561" s="38" t="n">
        <f aca="false">Sens!$L$2538*Sens!$L$2562</f>
        <v>81.2890865971505</v>
      </c>
      <c r="M2561" s="38" t="n">
        <f aca="false">Sens!$M$2538*Sens!$M$2562</f>
        <v>87.7922135249226</v>
      </c>
      <c r="N2561" s="38" t="n">
        <f aca="false">Sens!$N$2560-Sens!$N$2556</f>
        <v>20.0277839996292</v>
      </c>
      <c r="O2561" s="38" t="n">
        <f aca="false">Sens!$O$2560-Sens!$O$2556</f>
        <v>20.1869652626414</v>
      </c>
      <c r="P2561" s="5" t="s">
        <v>650</v>
      </c>
    </row>
    <row r="2562" customFormat="false" ht="17.15" hidden="false" customHeight="false" outlineLevel="0" collapsed="false">
      <c r="A2562" s="0" t="s">
        <v>651</v>
      </c>
      <c r="B2562" s="0" t="s">
        <v>52</v>
      </c>
      <c r="C2562" s="13" t="n">
        <f aca="false">Sens!$C$2561/Sens!$C$2538</f>
        <v>0.362900395443635</v>
      </c>
      <c r="D2562" s="13" t="n">
        <f aca="false">Sens!$D$2561/Sens!$D$2538</f>
        <v>0.335063632425483</v>
      </c>
      <c r="E2562" s="13" t="n">
        <f aca="false">Sens!$E$2561/Sens!$E$2538</f>
        <v>0.387028992698038</v>
      </c>
      <c r="F2562" s="13" t="n">
        <f aca="false">(Sens!$O$2561+Sens!$E$2561)/(Sens!$O$2538+Sens!$E$2538)</f>
        <v>0.355980580118587</v>
      </c>
      <c r="G2562" s="13" t="n">
        <f aca="false">Sens!$G$2561/Sens!$G$2538</f>
        <v>0.371454804780916</v>
      </c>
      <c r="H2562" s="13" t="n">
        <f aca="false">Sens!$F$2562</f>
        <v>0.355980580118587</v>
      </c>
      <c r="I2562" s="13" t="n">
        <f aca="false">Sens!$F$2562</f>
        <v>0.355980580118587</v>
      </c>
      <c r="J2562" s="13" t="n">
        <f aca="false">Sens!$F$2562</f>
        <v>0.355980580118587</v>
      </c>
      <c r="K2562" s="13" t="n">
        <f aca="false">Sens!$F$2562</f>
        <v>0.355980580118587</v>
      </c>
      <c r="L2562" s="13" t="n">
        <f aca="false">Sens!$F$2562</f>
        <v>0.355980580118587</v>
      </c>
      <c r="M2562" s="13" t="n">
        <f aca="false">Sens!$F$2562</f>
        <v>0.355980580118587</v>
      </c>
      <c r="N2562" s="13" t="n">
        <f aca="false">Sens!$N$2561/Sens!$N$2538</f>
        <v>0.35078810535806</v>
      </c>
      <c r="O2562" s="13" t="n">
        <f aca="false">Sens!$O$2561/Sens!$O$2538</f>
        <v>0.320796939361619</v>
      </c>
      <c r="P2562" s="8" t="s">
        <v>652</v>
      </c>
    </row>
    <row r="2563" customFormat="false" ht="17.15" hidden="false" customHeight="false" outlineLevel="0" collapsed="false">
      <c r="A2563" s="0" t="s">
        <v>653</v>
      </c>
      <c r="B2563" s="0" t="s">
        <v>52</v>
      </c>
      <c r="D2563" s="13" t="n">
        <f aca="false">(Q!$E$31-ext_sh*Sens!$D$2552)/Sens!$D$2538</f>
        <v>0.167180325480118</v>
      </c>
    </row>
    <row r="2564" customFormat="false" ht="17.15" hidden="false" customHeight="false" outlineLevel="0" collapsed="false">
      <c r="A2564" s="0" t="s">
        <v>654</v>
      </c>
      <c r="B2564" s="0" t="s">
        <v>86</v>
      </c>
      <c r="C2564" s="38" t="n">
        <f aca="false">Q!$D$31</f>
        <v>13.32</v>
      </c>
      <c r="D2564" s="38" t="n">
        <f aca="false">Q!$E$31</f>
        <v>21.45</v>
      </c>
      <c r="E2564" s="38" t="n">
        <f aca="false">Q!$P$31</f>
        <v>15.353</v>
      </c>
      <c r="F2564" s="38" t="n">
        <f aca="false">ext_sh*Sens!$F$2552+Sens!$D$2563*Sens!$F$2538</f>
        <v>15.4404120185306</v>
      </c>
      <c r="G2564" s="38" t="n">
        <f aca="false">Sens!$E$2564+Sens!$F$2564</f>
        <v>30.7934120185306</v>
      </c>
      <c r="H2564" s="38" t="n">
        <f aca="false">ext_sh*Sens!$H$2552+Sens!$D$2563*Sens!$H$2538</f>
        <v>48.250114371455</v>
      </c>
      <c r="I2564" s="38" t="n">
        <f aca="false">ext_sh*Sens!$I$2552+Sens!$D$2563*Sens!$I$2538</f>
        <v>73.3965146995963</v>
      </c>
      <c r="J2564" s="38" t="n">
        <f aca="false">ext_sh*Sens!$J$2552+Sens!$D$2563*Sens!$J$2538</f>
        <v>99.22806138309</v>
      </c>
      <c r="K2564" s="38" t="n">
        <f aca="false">ext_sh*Sens!$K$2552+Sens!$D$2563*Sens!$K$2538</f>
        <v>125.386627452856</v>
      </c>
      <c r="L2564" s="38" t="n">
        <f aca="false">ext_sh*Sens!$L$2552+Sens!$D$2563*Sens!$L$2538</f>
        <v>144.77239043275</v>
      </c>
      <c r="M2564" s="38" t="n">
        <f aca="false">ext_sh*Sens!$M$2552+Sens!$D$2563*Sens!$M$2538</f>
        <v>158.693930910983</v>
      </c>
      <c r="N2564" s="38" t="n">
        <f aca="false">Q!$N$31</f>
        <v>9.234</v>
      </c>
      <c r="O2564" s="38" t="n">
        <f aca="false">Q!$O$31</f>
        <v>12.216</v>
      </c>
    </row>
    <row r="2565" customFormat="false" ht="17.15" hidden="false" customHeight="false" outlineLevel="0" collapsed="false">
      <c r="A2565" s="1" t="s">
        <v>655</v>
      </c>
    </row>
    <row r="2566" customFormat="false" ht="17.15" hidden="false" customHeight="false" outlineLevel="0" collapsed="false">
      <c r="A2566" s="15" t="s">
        <v>656</v>
      </c>
      <c r="B2566" s="14" t="s">
        <v>52</v>
      </c>
      <c r="C2566" s="14"/>
      <c r="D2566" s="14"/>
      <c r="E2566" s="14"/>
      <c r="F2566" s="14"/>
      <c r="G2566" s="17" t="n">
        <f aca="false">Sens!$G$2556*(1-tax)/(ext_sh*(Sens!$D$2553+Sens!$G$2553)/2)</f>
        <v>0.0966870495301478</v>
      </c>
      <c r="H2566" s="17" t="n">
        <f aca="false">Sens!$H$2556*(1-tax)/(ext_sh*(Sens!$G$2553+Sens!$H$2553)/2)</f>
        <v>0.100492020334136</v>
      </c>
      <c r="I2566" s="17" t="n">
        <f aca="false">Sens!$I$2556*(1-tax)/(ext_sh*(Sens!$H$2553+Sens!$I$2553)/2)</f>
        <v>0.0889392292218236</v>
      </c>
      <c r="J2566" s="17" t="n">
        <f aca="false">Sens!$J$2556*(1-tax)/(ext_sh*(Sens!$I$2553+Sens!$J$2553)/2)</f>
        <v>0.0858364613777012</v>
      </c>
      <c r="K2566" s="17" t="n">
        <f aca="false">Sens!$K$2556*(1-tax)/(ext_sh*(Sens!$J$2553+Sens!$K$2553)/2)</f>
        <v>0.08227162714687</v>
      </c>
      <c r="L2566" s="17" t="n">
        <f aca="false">Sens!$L$2556*(1-tax)/(ext_sh*(Sens!$K$2553+Sens!$L$2553)/2)</f>
        <v>0.0828942732763872</v>
      </c>
      <c r="M2566" s="17" t="n">
        <f aca="false">Sens!$M$2556*(1-tax)/(ext_sh*(Sens!$L$2553+Sens!$M$2553)/2)</f>
        <v>0.0807945482347635</v>
      </c>
      <c r="N2566" s="14"/>
      <c r="O2566" s="14"/>
      <c r="P2566" s="8" t="s">
        <v>657</v>
      </c>
    </row>
    <row r="2567" customFormat="false" ht="17.15" hidden="false" customHeight="false" outlineLevel="0" collapsed="false">
      <c r="A2567" s="5" t="s">
        <v>658</v>
      </c>
      <c r="B2567" s="0" t="s">
        <v>57</v>
      </c>
      <c r="H2567" s="36" t="n">
        <f aca="false">Sens!$H$2534*1000/(mw_open*he_open+Sens!$H$2532*Sens!$H$2529)</f>
        <v>0.991949006767191</v>
      </c>
      <c r="I2567" s="36" t="n">
        <f aca="false">Sens!$I$2534*1000/(mw_open*he_open+Sens!$I$2532*Sens!$I$2529)</f>
        <v>0.991949006767191</v>
      </c>
      <c r="J2567" s="36" t="n">
        <f aca="false">Sens!$J$2534*1000/(mw_open*he_open+Sens!$J$2532*Sens!$J$2529)</f>
        <v>0.991949006767191</v>
      </c>
      <c r="K2567" s="36" t="n">
        <f aca="false">Sens!$K$2534*1000/(mw_open*he_open+Sens!$K$2532*Sens!$K$2529)</f>
        <v>0.991949006767191</v>
      </c>
      <c r="L2567" s="36" t="n">
        <f aca="false">Sens!$L$2534*1000/(mw_open*he_open+Sens!$L$2532*Sens!$L$2529)</f>
        <v>0.991949006767191</v>
      </c>
      <c r="M2567" s="36" t="n">
        <f aca="false">Sens!$M$2534*1000/(mw_open*he_open+Sens!$M$2532*Sens!$M$2529)</f>
        <v>0.991949006767191</v>
      </c>
    </row>
    <row r="2568" customFormat="false" ht="17.15" hidden="false" customHeight="false" outlineLevel="0" collapsed="false">
      <c r="A2568" s="5" t="s">
        <v>659</v>
      </c>
      <c r="B2568" s="0" t="s">
        <v>57</v>
      </c>
      <c r="H2568" s="36" t="n">
        <f aca="false">Sens!$H$2567*(Sens!$H$2534+wacc*ext_sh*(Sens!$G$2553+Sens!$H$2553)/2/(1-tax)-Sens!$H$2556)/Sens!$H$2534</f>
        <v>1.04696246089529</v>
      </c>
      <c r="I2568" s="36" t="n">
        <f aca="false">Sens!$I$2567*(Sens!$I$2534+wacc*ext_sh*(Sens!$H$2553+Sens!$I$2553)/2/(1-tax)-Sens!$I$2556)/Sens!$I$2534</f>
        <v>1.09109607940198</v>
      </c>
      <c r="J2568" s="36" t="n">
        <f aca="false">Sens!$J$2567*(Sens!$J$2534+wacc*ext_sh*(Sens!$I$2553+Sens!$J$2553)/2/(1-tax)-Sens!$J$2556)/Sens!$J$2534</f>
        <v>1.09681234280071</v>
      </c>
      <c r="K2568" s="36" t="n">
        <f aca="false">Sens!$K$2567*(Sens!$K$2534+wacc*ext_sh*(Sens!$J$2553+Sens!$K$2553)/2/(1-tax)-Sens!$K$2556)/Sens!$K$2534</f>
        <v>1.10105220068984</v>
      </c>
      <c r="L2568" s="36" t="n">
        <f aca="false">Sens!$L$2567*(Sens!$L$2534+wacc*ext_sh*(Sens!$K$2553+Sens!$L$2553)/2/(1-tax)-Sens!$L$2556)/Sens!$L$2534</f>
        <v>1.08952452639895</v>
      </c>
      <c r="M2568" s="36" t="n">
        <f aca="false">Sens!$M$2567*(Sens!$M$2534+wacc*ext_sh*(Sens!$L$2553+Sens!$M$2553)/2/(1-tax)-Sens!$M$2556)/Sens!$M$2534</f>
        <v>1.08965878549519</v>
      </c>
    </row>
    <row r="2569" customFormat="false" ht="17.15" hidden="false" customHeight="false" outlineLevel="0" collapsed="false">
      <c r="A2569" s="5" t="s">
        <v>660</v>
      </c>
      <c r="B2569" s="0" t="s">
        <v>52</v>
      </c>
      <c r="C2569" s="13" t="n">
        <f aca="false">Sens!$C$2535/tk_pq</f>
        <v>0.195316432429398</v>
      </c>
      <c r="D2569" s="13" t="n">
        <f aca="false">Sens!$D$2535/tk_pq</f>
        <v>0.195316432429398</v>
      </c>
      <c r="E2569" s="13" t="n">
        <f aca="false">Sens!$E$2535/tk_pq</f>
        <v>0.195316432429398</v>
      </c>
      <c r="F2569" s="13" t="n">
        <f aca="false">Sens!$F$2535/tk_pq</f>
        <v>0.202241827274866</v>
      </c>
      <c r="G2569" s="13" t="n">
        <f aca="false">Sens!$G$2535/tk_pq</f>
        <v>0.199675016194063</v>
      </c>
      <c r="H2569" s="13" t="n">
        <f aca="false">Sens!$H$2535/tk_pq</f>
        <v>0.212647947710325</v>
      </c>
      <c r="I2569" s="13" t="n">
        <f aca="false">Sens!$I$2535/tk_pq</f>
        <v>0.219285125475351</v>
      </c>
      <c r="J2569" s="13" t="n">
        <f aca="false">Sens!$J$2535/tk_pq</f>
        <v>0.222492493217189</v>
      </c>
      <c r="K2569" s="13" t="n">
        <f aca="false">Sens!$K$2535/tk_pq</f>
        <v>0.224053502812094</v>
      </c>
      <c r="L2569" s="13" t="n">
        <f aca="false">Sens!$L$2535/tk_pq</f>
        <v>0.224786916785614</v>
      </c>
      <c r="M2569" s="13" t="n">
        <f aca="false">Sens!$M$2535/tk_pq</f>
        <v>0.225048671566937</v>
      </c>
      <c r="N2569" s="13" t="n">
        <f aca="false">Sens!$N$2535/tk_pq</f>
        <v>0.195316432429398</v>
      </c>
      <c r="O2569" s="13" t="n">
        <f aca="false">Sens!$O$2535/tk_pq</f>
        <v>0.195316432429398</v>
      </c>
      <c r="P2569" s="5" t="s">
        <v>661</v>
      </c>
    </row>
    <row r="2572" customFormat="false" ht="17.15" hidden="false" customHeight="false" outlineLevel="0" collapsed="false">
      <c r="A2572" s="1" t="s">
        <v>690</v>
      </c>
    </row>
    <row r="2573" customFormat="false" ht="17.15" hidden="false" customHeight="false" outlineLevel="0" collapsed="false">
      <c r="A2573" s="0" t="s">
        <v>691</v>
      </c>
      <c r="B2573" s="0" t="s">
        <v>86</v>
      </c>
      <c r="C2573" s="38" t="n">
        <f aca="false">Sens!$C$2534</f>
        <v>2.32100535697364</v>
      </c>
      <c r="D2573" s="38" t="n">
        <f aca="false">Sens!$D$2534</f>
        <v>8.70377008865116</v>
      </c>
      <c r="E2573" s="38" t="n">
        <f aca="false">Sens!$E$2534</f>
        <v>8.51035297557002</v>
      </c>
      <c r="F2573" s="38" t="n">
        <f aca="false">Sens!$F$2534</f>
        <v>14.9634336447205</v>
      </c>
      <c r="G2573" s="38" t="n">
        <f aca="false">Sens!$G$2534</f>
        <v>23.4737866202905</v>
      </c>
      <c r="H2573" s="38" t="n">
        <f aca="false">Sens!$H$2534</f>
        <v>60.1658907497746</v>
      </c>
      <c r="I2573" s="38" t="n">
        <f aca="false">Sens!$I$2534</f>
        <v>101.503699136432</v>
      </c>
      <c r="J2573" s="38" t="n">
        <f aca="false">Sens!$J$2534</f>
        <v>143.025407151278</v>
      </c>
      <c r="K2573" s="38" t="n">
        <f aca="false">Sens!$K$2534</f>
        <v>178.44812038318</v>
      </c>
      <c r="L2573" s="38" t="n">
        <f aca="false">Sens!$L$2534</f>
        <v>201.728101802396</v>
      </c>
      <c r="M2573" s="38" t="n">
        <f aca="false">Sens!$M$2534</f>
        <v>212.835441368865</v>
      </c>
      <c r="N2573" s="38" t="n">
        <f aca="false">Sens!$N$2534</f>
        <v>3.04631953102791</v>
      </c>
      <c r="O2573" s="38" t="n">
        <f aca="false">Sens!$O$2534</f>
        <v>5.65745055762326</v>
      </c>
      <c r="P2573" s="8" t="s">
        <v>692</v>
      </c>
    </row>
    <row r="2574" customFormat="false" ht="17.15" hidden="false" customHeight="false" outlineLevel="0" collapsed="false">
      <c r="A2574" s="0" t="s">
        <v>693</v>
      </c>
      <c r="B2574" s="0" t="s">
        <v>86</v>
      </c>
      <c r="C2574" s="38" t="n">
        <f aca="false">Sens!$C$2538</f>
        <v>105.234994643026</v>
      </c>
      <c r="D2574" s="38" t="n">
        <f aca="false">Sens!$D$2538</f>
        <v>120.021229911349</v>
      </c>
      <c r="E2574" s="38" t="n">
        <f aca="false">Sens!$E$2538</f>
        <v>71.30864702443</v>
      </c>
      <c r="F2574" s="38" t="n">
        <f aca="false">Sens!$F$2538</f>
        <v>71.7692997942464</v>
      </c>
      <c r="G2574" s="38" t="n">
        <f aca="false">Sens!$G$2538</f>
        <v>143.077946818676</v>
      </c>
      <c r="H2574" s="38" t="n">
        <f aca="false">Sens!$H$2538</f>
        <v>161.017077079203</v>
      </c>
      <c r="I2574" s="38" t="n">
        <f aca="false">Sens!$I$2538</f>
        <v>178.769759521457</v>
      </c>
      <c r="J2574" s="38" t="n">
        <f aca="false">Sens!$J$2538</f>
        <v>195.775538045907</v>
      </c>
      <c r="K2574" s="38" t="n">
        <f aca="false">Sens!$K$2538</f>
        <v>211.43758108958</v>
      </c>
      <c r="L2574" s="38" t="n">
        <f aca="false">Sens!$L$2538</f>
        <v>228.352587576746</v>
      </c>
      <c r="M2574" s="38" t="n">
        <f aca="false">Sens!$M$2538</f>
        <v>246.620794582886</v>
      </c>
      <c r="N2574" s="38" t="n">
        <f aca="false">Sens!$N$2538</f>
        <v>57.0936804689721</v>
      </c>
      <c r="O2574" s="38" t="n">
        <f aca="false">Sens!$O$2538</f>
        <v>62.9275494423768</v>
      </c>
      <c r="P2574" s="8" t="s">
        <v>692</v>
      </c>
    </row>
    <row r="2575" customFormat="false" ht="17.15" hidden="false" customHeight="false" outlineLevel="0" collapsed="false">
      <c r="A2575" s="1" t="s">
        <v>516</v>
      </c>
      <c r="B2575" s="8" t="s">
        <v>86</v>
      </c>
      <c r="C2575" s="38" t="n">
        <f aca="false">Q!$D$7</f>
        <v>107.556</v>
      </c>
      <c r="D2575" s="38" t="n">
        <f aca="false">Q!$E$7</f>
        <v>128.725</v>
      </c>
      <c r="E2575" s="38" t="n">
        <f aca="false">Q!$P$7</f>
        <v>79.819</v>
      </c>
      <c r="F2575" s="38" t="n">
        <f aca="false">Sens!$F$2573+Sens!$F$2574</f>
        <v>86.7327334389669</v>
      </c>
      <c r="G2575" s="38" t="n">
        <f aca="false">Sens!$G$2573+Sens!$G$2574</f>
        <v>166.551733438967</v>
      </c>
      <c r="H2575" s="38" t="n">
        <f aca="false">Sens!$H$2573+Sens!$H$2574</f>
        <v>221.182967828978</v>
      </c>
      <c r="I2575" s="38" t="n">
        <f aca="false">Sens!$I$2573+Sens!$I$2574</f>
        <v>280.27345865789</v>
      </c>
      <c r="J2575" s="38" t="n">
        <f aca="false">Sens!$J$2573+Sens!$J$2574</f>
        <v>338.800945197185</v>
      </c>
      <c r="K2575" s="38" t="n">
        <f aca="false">Sens!$K$2573+Sens!$K$2574</f>
        <v>389.88570147276</v>
      </c>
      <c r="L2575" s="38" t="n">
        <f aca="false">Sens!$L$2573+Sens!$L$2574</f>
        <v>430.080689379143</v>
      </c>
      <c r="M2575" s="38" t="n">
        <f aca="false">Sens!$M$2573+Sens!$M$2574</f>
        <v>459.456235951751</v>
      </c>
      <c r="N2575" s="38" t="n">
        <f aca="false">Q!$N$7</f>
        <v>60.14</v>
      </c>
      <c r="O2575" s="38" t="n">
        <f aca="false">Q!$O$7</f>
        <v>68.585</v>
      </c>
      <c r="P2575" s="5" t="s">
        <v>694</v>
      </c>
    </row>
    <row r="2576" customFormat="false" ht="15" hidden="false" customHeight="false" outlineLevel="0" collapsed="false">
      <c r="A2576" s="3" t="s">
        <v>695</v>
      </c>
      <c r="B2576" s="8" t="s">
        <v>86</v>
      </c>
      <c r="C2576" s="38" t="n">
        <f aca="false">Q!$D$8</f>
        <v>637.959</v>
      </c>
      <c r="D2576" s="38" t="n">
        <f aca="false">Q!$E$8</f>
        <v>716.924</v>
      </c>
      <c r="E2576" s="38" t="n">
        <f aca="false">Q!$P$8</f>
        <v>382.125</v>
      </c>
      <c r="F2576" s="38" t="n">
        <f aca="false">Sens!$F$2506+Sens!$F$2575</f>
        <v>435.780975084504</v>
      </c>
      <c r="G2576" s="38" t="n">
        <f aca="false">Sens!$G$2506+Sens!$G$2575</f>
        <v>817.905975084504</v>
      </c>
      <c r="H2576" s="38" t="n">
        <f aca="false">Sens!$H$2506+Sens!$H$2575</f>
        <v>942.279857350364</v>
      </c>
      <c r="I2576" s="38" t="n">
        <f aca="false">Sens!$I$2506+Sens!$I$2575</f>
        <v>1068.80284981042</v>
      </c>
      <c r="J2576" s="38" t="n">
        <f aca="false">Sens!$J$2506+Sens!$J$2575</f>
        <v>1189.90935093863</v>
      </c>
      <c r="K2576" s="38" t="n">
        <f aca="false">Sens!$K$2506+Sens!$K$2575</f>
        <v>1296.06215690385</v>
      </c>
      <c r="L2576" s="38" t="n">
        <f aca="false">Sens!$L$2506+Sens!$L$2575</f>
        <v>1395.17379585473</v>
      </c>
      <c r="M2576" s="38" t="n">
        <f aca="false">Sens!$M$2506+Sens!$M$2575</f>
        <v>1487.60414389864</v>
      </c>
      <c r="N2576" s="38" t="n">
        <f aca="false">Q!$N$8</f>
        <v>323.369</v>
      </c>
      <c r="O2576" s="38" t="n">
        <f aca="false">Q!$O$8</f>
        <v>393.555</v>
      </c>
    </row>
    <row r="2577" customFormat="false" ht="17.15" hidden="false" customHeight="false" outlineLevel="0" collapsed="false">
      <c r="A2577" s="24" t="s">
        <v>703</v>
      </c>
      <c r="B2577" s="25" t="s">
        <v>86</v>
      </c>
      <c r="C2577" s="41" t="n">
        <f aca="false">Sens!$C$2506-(Sens!$C$2508+Sens!$C$2509)</f>
        <v>0</v>
      </c>
      <c r="D2577" s="41" t="n">
        <f aca="false">Sens!$D$2506-(Sens!$D$2508+Sens!$D$2509)</f>
        <v>0</v>
      </c>
      <c r="E2577" s="41" t="n">
        <f aca="false">Sens!$E$2506-(Sens!$E$2508+Sens!$E$2509)</f>
        <v>0</v>
      </c>
      <c r="F2577" s="41" t="n">
        <f aca="false">Sens!$F$2506-(Sens!$F$2508+Sens!$F$2509)</f>
        <v>0</v>
      </c>
      <c r="G2577" s="41" t="n">
        <f aca="false">Sens!$G$2506-(Sens!$G$2508+Sens!$G$2509)</f>
        <v>0</v>
      </c>
      <c r="H2577" s="41" t="n">
        <f aca="false">Sens!$H$2506-(Sens!$H$2508+Sens!$H$2509)</f>
        <v>0</v>
      </c>
      <c r="I2577" s="41" t="n">
        <f aca="false">Sens!$I$2506-(Sens!$I$2508+Sens!$I$2509)</f>
        <v>0</v>
      </c>
      <c r="J2577" s="41" t="n">
        <f aca="false">Sens!$J$2506-(Sens!$J$2508+Sens!$J$2509)</f>
        <v>0</v>
      </c>
      <c r="K2577" s="41" t="n">
        <f aca="false">Sens!$K$2506-(Sens!$K$2508+Sens!$K$2509)</f>
        <v>0</v>
      </c>
      <c r="L2577" s="41" t="n">
        <f aca="false">Sens!$L$2506-(Sens!$L$2508+Sens!$L$2509)</f>
        <v>0</v>
      </c>
      <c r="M2577" s="41" t="n">
        <f aca="false">Sens!$M$2506-(Sens!$M$2508+Sens!$M$2509)</f>
        <v>0</v>
      </c>
      <c r="N2577" s="41" t="n">
        <f aca="false">Sens!$N$2506-(Sens!$N$2508+Sens!$N$2509)</f>
        <v>0</v>
      </c>
      <c r="O2577" s="41" t="n">
        <f aca="false">Sens!$O$2506-(Sens!$O$2508+Sens!$O$2509)</f>
        <v>0</v>
      </c>
    </row>
    <row r="2578" customFormat="false" ht="17.15" hidden="false" customHeight="false" outlineLevel="0" collapsed="false">
      <c r="A2578" s="24" t="s">
        <v>704</v>
      </c>
      <c r="B2578" s="25" t="s">
        <v>86</v>
      </c>
      <c r="C2578" s="41" t="n">
        <f aca="false">Sens!$C$2573+Sens!$C$2574-Sens!$C$2575</f>
        <v>0</v>
      </c>
      <c r="D2578" s="41" t="n">
        <f aca="false">Sens!$D$2573+Sens!$D$2574-Sens!$D$2575</f>
        <v>0</v>
      </c>
      <c r="E2578" s="41" t="n">
        <f aca="false">Sens!$E$2573+Sens!$E$2574-Sens!$E$2575</f>
        <v>0</v>
      </c>
      <c r="F2578" s="41" t="n">
        <f aca="false">Sens!$F$2573+Sens!$F$2574-Sens!$F$2575</f>
        <v>0</v>
      </c>
      <c r="G2578" s="41" t="n">
        <f aca="false">Sens!$G$2573+Sens!$G$2574-Sens!$G$2575</f>
        <v>0</v>
      </c>
      <c r="H2578" s="41" t="n">
        <f aca="false">Sens!$H$2573+Sens!$H$2574-Sens!$H$2575</f>
        <v>0</v>
      </c>
      <c r="I2578" s="41" t="n">
        <f aca="false">Sens!$I$2573+Sens!$I$2574-Sens!$I$2575</f>
        <v>0</v>
      </c>
      <c r="J2578" s="41" t="n">
        <f aca="false">Sens!$J$2573+Sens!$J$2574-Sens!$J$2575</f>
        <v>0</v>
      </c>
      <c r="K2578" s="41" t="n">
        <f aca="false">Sens!$K$2573+Sens!$K$2574-Sens!$K$2575</f>
        <v>0</v>
      </c>
      <c r="L2578" s="41" t="n">
        <f aca="false">Sens!$L$2573+Sens!$L$2574-Sens!$L$2575</f>
        <v>0</v>
      </c>
      <c r="M2578" s="41" t="n">
        <f aca="false">Sens!$M$2573+Sens!$M$2574-Sens!$M$2575</f>
        <v>0</v>
      </c>
      <c r="N2578" s="41" t="n">
        <f aca="false">Sens!$N$2573+Sens!$N$2574-Sens!$N$2575</f>
        <v>0</v>
      </c>
      <c r="O2578" s="41" t="n">
        <f aca="false">Sens!$O$2573+Sens!$O$2574-Sens!$O$2575</f>
        <v>0</v>
      </c>
    </row>
    <row r="2579" customFormat="false" ht="17.15" hidden="false" customHeight="false" outlineLevel="0" collapsed="false">
      <c r="A2579" s="24" t="s">
        <v>705</v>
      </c>
      <c r="B2579" s="25" t="s">
        <v>86</v>
      </c>
      <c r="C2579" s="41" t="n">
        <f aca="false">Sens!$C$2508+Sens!$C$2509+Sens!$C$2575-Sens!$C$2576</f>
        <v>0</v>
      </c>
      <c r="D2579" s="41" t="n">
        <f aca="false">Sens!$D$2508+Sens!$D$2509+Sens!$D$2575-Sens!$D$2576</f>
        <v>0</v>
      </c>
      <c r="E2579" s="41" t="n">
        <f aca="false">Sens!$E$2508+Sens!$E$2509+Sens!$E$2575-Sens!$E$2576</f>
        <v>0</v>
      </c>
      <c r="F2579" s="41" t="n">
        <f aca="false">Sens!$F$2508+Sens!$F$2509+Sens!$F$2575-Sens!$F$2576</f>
        <v>0</v>
      </c>
      <c r="G2579" s="41" t="n">
        <f aca="false">Sens!$G$2508+Sens!$G$2509+Sens!$G$2575-Sens!$G$2576</f>
        <v>0</v>
      </c>
      <c r="H2579" s="41" t="n">
        <f aca="false">Sens!$H$2508+Sens!$H$2509+Sens!$H$2575-Sens!$H$2576</f>
        <v>0</v>
      </c>
      <c r="I2579" s="41" t="n">
        <f aca="false">Sens!$I$2508+Sens!$I$2509+Sens!$I$2575-Sens!$I$2576</f>
        <v>0</v>
      </c>
      <c r="J2579" s="41" t="n">
        <f aca="false">Sens!$J$2508+Sens!$J$2509+Sens!$J$2575-Sens!$J$2576</f>
        <v>0</v>
      </c>
      <c r="K2579" s="41" t="n">
        <f aca="false">Sens!$K$2508+Sens!$K$2509+Sens!$K$2575-Sens!$K$2576</f>
        <v>0</v>
      </c>
      <c r="L2579" s="41" t="n">
        <f aca="false">Sens!$L$2508+Sens!$L$2509+Sens!$L$2575-Sens!$L$2576</f>
        <v>0</v>
      </c>
      <c r="M2579" s="41" t="n">
        <f aca="false">Sens!$M$2508+Sens!$M$2509+Sens!$M$2575-Sens!$M$2576</f>
        <v>0</v>
      </c>
      <c r="N2579" s="41" t="n">
        <f aca="false">Sens!$N$2508+Sens!$N$2509+Sens!$N$2575-Sens!$N$2576</f>
        <v>0</v>
      </c>
      <c r="O2579" s="41" t="n">
        <f aca="false">Sens!$O$2508+Sens!$O$2509+Sens!$O$2575-Sens!$O$2576</f>
        <v>0</v>
      </c>
    </row>
    <row r="2580" customFormat="false" ht="15" hidden="false" customHeight="false" outlineLevel="0" collapsed="false">
      <c r="A2580" s="5" t="s">
        <v>699</v>
      </c>
      <c r="B2580" s="0" t="s">
        <v>52</v>
      </c>
      <c r="G2580" s="13" t="n">
        <f aca="false">Sens!$G$2576/Sens!$D$2576-1</f>
        <v>0.140854504918937</v>
      </c>
      <c r="H2580" s="13" t="n">
        <f aca="false">Sens!$H$2576/Sens!$G$2576-1</f>
        <v>0.152063789793209</v>
      </c>
      <c r="I2580" s="13" t="n">
        <f aca="false">Sens!$I$2576/Sens!$H$2576-1</f>
        <v>0.134273264437417</v>
      </c>
      <c r="J2580" s="13" t="n">
        <f aca="false">Sens!$J$2576/Sens!$I$2576-1</f>
        <v>0.113310421234083</v>
      </c>
      <c r="K2580" s="13" t="n">
        <f aca="false">Sens!$K$2576/Sens!$J$2576-1</f>
        <v>0.0892108343223652</v>
      </c>
      <c r="L2580" s="13" t="n">
        <f aca="false">Sens!$L$2576/Sens!$K$2576-1</f>
        <v>0.076471362444261</v>
      </c>
      <c r="M2580" s="13" t="n">
        <f aca="false">Sens!$M$2576/Sens!$L$2576-1</f>
        <v>0.066250060256672</v>
      </c>
    </row>
    <row r="2581" customFormat="false" ht="17.15" hidden="false" customHeight="false" outlineLevel="0" collapsed="false">
      <c r="A2581" s="0" t="s">
        <v>700</v>
      </c>
      <c r="B2581" s="0" t="s">
        <v>52</v>
      </c>
      <c r="C2581" s="13" t="n">
        <f aca="false">Sens!$C$2575/Sens!$C$2576</f>
        <v>0.168593906504964</v>
      </c>
      <c r="D2581" s="13" t="n">
        <f aca="false">Sens!$D$2575/Sens!$D$2576</f>
        <v>0.179551807444025</v>
      </c>
      <c r="E2581" s="13" t="n">
        <f aca="false">Sens!$E$2575/Sens!$E$2576</f>
        <v>0.208881910369643</v>
      </c>
      <c r="F2581" s="13" t="n">
        <f aca="false">Sens!$F$2575/Sens!$F$2576</f>
        <v>0.199028269699356</v>
      </c>
      <c r="G2581" s="13" t="n">
        <f aca="false">Sens!$G$2575/Sens!$G$2576</f>
        <v>0.203631882529968</v>
      </c>
      <c r="H2581" s="13" t="n">
        <f aca="false">Sens!$H$2575/Sens!$H$2576</f>
        <v>0.234731715958496</v>
      </c>
      <c r="I2581" s="13" t="n">
        <f aca="false">Sens!$I$2575/Sens!$I$2576</f>
        <v>0.262231204480418</v>
      </c>
      <c r="J2581" s="13" t="n">
        <f aca="false">Sens!$J$2575/Sens!$J$2576</f>
        <v>0.284728366013706</v>
      </c>
      <c r="K2581" s="13" t="n">
        <f aca="false">Sens!$K$2575/Sens!$K$2576</f>
        <v>0.300823304959505</v>
      </c>
      <c r="L2581" s="13" t="n">
        <f aca="false">Sens!$L$2575/Sens!$L$2576</f>
        <v>0.308263164529735</v>
      </c>
      <c r="M2581" s="13" t="n">
        <f aca="false">Sens!$M$2575/Sens!$M$2576</f>
        <v>0.308856517936036</v>
      </c>
      <c r="N2581" s="13" t="n">
        <f aca="false">Sens!$N$2575/Sens!$N$2576</f>
        <v>0.185979484737251</v>
      </c>
      <c r="O2581" s="13" t="n">
        <f aca="false">Sens!$O$2575/Sens!$O$2576</f>
        <v>0.174270432341096</v>
      </c>
    </row>
    <row r="2582" customFormat="false" ht="17.15" hidden="false" customHeight="false" outlineLevel="0" collapsed="false">
      <c r="A2582" s="0" t="s">
        <v>701</v>
      </c>
      <c r="B2582" s="0" t="s">
        <v>52</v>
      </c>
      <c r="C2582" s="13" t="n">
        <f aca="false">Sens!$C$2573/Sens!$C$2575</f>
        <v>0.0215795060896058</v>
      </c>
      <c r="D2582" s="13" t="n">
        <f aca="false">Sens!$D$2573/Sens!$D$2575</f>
        <v>0.0676152269462122</v>
      </c>
      <c r="E2582" s="13" t="n">
        <f aca="false">Sens!$E$2573/Sens!$E$2575</f>
        <v>0.106620641395783</v>
      </c>
      <c r="F2582" s="13" t="n">
        <f aca="false">Sens!$F$2573/Sens!$F$2575</f>
        <v>0.172523487401099</v>
      </c>
      <c r="G2582" s="13" t="n">
        <f aca="false">Sens!$G$2573/Sens!$G$2575</f>
        <v>0.140939911795589</v>
      </c>
      <c r="H2582" s="13" t="n">
        <f aca="false">Sens!$H$2573/Sens!$H$2575</f>
        <v>0.272018642937714</v>
      </c>
      <c r="I2582" s="13" t="n">
        <f aca="false">Sens!$I$2573/Sens!$I$2575</f>
        <v>0.362159512436497</v>
      </c>
      <c r="J2582" s="13" t="n">
        <f aca="false">Sens!$J$2573/Sens!$J$2575</f>
        <v>0.422151735934609</v>
      </c>
      <c r="K2582" s="13" t="n">
        <f aca="false">Sens!$K$2573/Sens!$K$2575</f>
        <v>0.45769342068485</v>
      </c>
      <c r="L2582" s="13" t="n">
        <f aca="false">Sens!$L$2573/Sens!$L$2575</f>
        <v>0.469047103913472</v>
      </c>
      <c r="M2582" s="13" t="n">
        <f aca="false">Sens!$M$2573/Sens!$M$2575</f>
        <v>0.463233328258093</v>
      </c>
      <c r="N2582" s="13" t="n">
        <f aca="false">Sens!$N$2573/Sens!$N$2575</f>
        <v>0.0506537999838362</v>
      </c>
      <c r="O2582" s="13" t="n">
        <f aca="false">Sens!$O$2573/Sens!$O$2575</f>
        <v>0.0824881615167056</v>
      </c>
    </row>
    <row r="2585" customFormat="false" ht="19.4" hidden="false" customHeight="false" outlineLevel="0" collapsed="false">
      <c r="A2585" s="31" t="s">
        <v>1187</v>
      </c>
    </row>
    <row r="2586" customFormat="false" ht="17.15" hidden="false" customHeight="false" outlineLevel="0" collapsed="false">
      <c r="A2586" s="6" t="s">
        <v>16</v>
      </c>
      <c r="B2586" s="6" t="s">
        <v>17</v>
      </c>
      <c r="C2586" s="20" t="s">
        <v>497</v>
      </c>
      <c r="D2586" s="20" t="s">
        <v>498</v>
      </c>
      <c r="E2586" s="20" t="s">
        <v>580</v>
      </c>
      <c r="F2586" s="20" t="s">
        <v>581</v>
      </c>
      <c r="G2586" s="20" t="s">
        <v>582</v>
      </c>
      <c r="H2586" s="20" t="s">
        <v>583</v>
      </c>
      <c r="I2586" s="20" t="s">
        <v>584</v>
      </c>
      <c r="J2586" s="20" t="s">
        <v>585</v>
      </c>
      <c r="K2586" s="20" t="s">
        <v>586</v>
      </c>
      <c r="L2586" s="20" t="s">
        <v>587</v>
      </c>
      <c r="M2586" s="20" t="s">
        <v>588</v>
      </c>
      <c r="N2586" s="20" t="s">
        <v>589</v>
      </c>
      <c r="O2586" s="20" t="s">
        <v>590</v>
      </c>
      <c r="P2586" s="6" t="s">
        <v>23</v>
      </c>
      <c r="R2586" s="20" t="n">
        <v>2023</v>
      </c>
      <c r="S2586" s="20" t="n">
        <v>2024</v>
      </c>
      <c r="T2586" s="20" t="n">
        <v>2025</v>
      </c>
      <c r="U2586" s="20" t="n">
        <v>2026</v>
      </c>
      <c r="V2586" s="20" t="n">
        <v>2027</v>
      </c>
      <c r="W2586" s="20" t="n">
        <v>2028</v>
      </c>
      <c r="X2586" s="20" t="n">
        <v>2029</v>
      </c>
      <c r="Y2586" s="20" t="n">
        <v>2030</v>
      </c>
      <c r="Z2586" s="20" t="n">
        <v>2031</v>
      </c>
      <c r="AA2586" s="20" t="n">
        <v>2032</v>
      </c>
    </row>
    <row r="2587" customFormat="false" ht="17.15" hidden="false" customHeight="false" outlineLevel="0" collapsed="false">
      <c r="A2587" s="1" t="s">
        <v>716</v>
      </c>
    </row>
    <row r="2588" customFormat="false" ht="15" hidden="false" customHeight="false" outlineLevel="0" collapsed="false">
      <c r="A2588" s="0" t="s">
        <v>519</v>
      </c>
      <c r="B2588" s="0" t="s">
        <v>86</v>
      </c>
      <c r="C2588" s="38" t="n">
        <f aca="false">Sens!$C$2493</f>
        <v>247.029</v>
      </c>
      <c r="D2588" s="38" t="n">
        <f aca="false">Sens!$D$2493</f>
        <v>269.287</v>
      </c>
      <c r="E2588" s="38" t="n">
        <f aca="false">Sens!$E$2493</f>
        <v>134.686</v>
      </c>
      <c r="F2588" s="38" t="n">
        <f aca="false">Sens!$F$2493</f>
        <v>158.293876822267</v>
      </c>
      <c r="G2588" s="38" t="n">
        <f aca="false">Sens!$G$2493</f>
        <v>292.979876822267</v>
      </c>
      <c r="H2588" s="38" t="n">
        <f aca="false">Sens!$H$2493</f>
        <v>318.184543087396</v>
      </c>
      <c r="I2588" s="38" t="n">
        <f aca="false">Sens!$I$2493</f>
        <v>341.736278761793</v>
      </c>
      <c r="J2588" s="38" t="n">
        <f aca="false">Sens!$J$2493</f>
        <v>362.927192787048</v>
      </c>
      <c r="K2588" s="38" t="n">
        <f aca="false">Sens!$K$2493</f>
        <v>381.0735524264</v>
      </c>
      <c r="L2588" s="38" t="n">
        <f aca="false">Sens!$L$2493</f>
        <v>400.12723004772</v>
      </c>
      <c r="M2588" s="38" t="n">
        <f aca="false">Sens!$M$2493</f>
        <v>420.133591550106</v>
      </c>
      <c r="N2588" s="38" t="n">
        <f aca="false">Sens!$N$2493</f>
        <v>118.892</v>
      </c>
      <c r="O2588" s="38" t="n">
        <f aca="false">Sens!$O$2493</f>
        <v>150.395</v>
      </c>
    </row>
    <row r="2589" customFormat="false" ht="15" hidden="false" customHeight="false" outlineLevel="0" collapsed="false">
      <c r="A2589" s="0" t="s">
        <v>520</v>
      </c>
      <c r="B2589" s="0" t="s">
        <v>86</v>
      </c>
      <c r="C2589" s="38" t="n">
        <f aca="false">Sens!$C$2495</f>
        <v>21.215</v>
      </c>
      <c r="D2589" s="38" t="n">
        <f aca="false">Sens!$D$2495</f>
        <v>22.561</v>
      </c>
      <c r="E2589" s="38" t="n">
        <f aca="false">Sens!$E$2495</f>
        <v>11.579</v>
      </c>
      <c r="F2589" s="38" t="n">
        <f aca="false">Sens!$F$2495</f>
        <v>11.5938724610325</v>
      </c>
      <c r="G2589" s="38" t="n">
        <f aca="false">Sens!$G$2495</f>
        <v>23.1728724610325</v>
      </c>
      <c r="H2589" s="38" t="n">
        <f aca="false">Sens!$H$2495</f>
        <v>24.353392759506</v>
      </c>
      <c r="I2589" s="38" t="n">
        <f aca="false">Sens!$I$2495</f>
        <v>25.4240338872015</v>
      </c>
      <c r="J2589" s="38" t="n">
        <f aca="false">Sens!$J$2495</f>
        <v>26.3642491017174</v>
      </c>
      <c r="K2589" s="38" t="n">
        <f aca="false">Sens!$K$2495</f>
        <v>27.155176574769</v>
      </c>
      <c r="L2589" s="38" t="n">
        <f aca="false">Sens!$L$2495</f>
        <v>27.969831872012</v>
      </c>
      <c r="M2589" s="38" t="n">
        <f aca="false">Sens!$M$2495</f>
        <v>28.8089268281724</v>
      </c>
      <c r="N2589" s="38" t="n">
        <f aca="false">Sens!$N$2495</f>
        <v>11.128</v>
      </c>
      <c r="O2589" s="38" t="n">
        <f aca="false">Sens!$O$2495</f>
        <v>11.433</v>
      </c>
    </row>
    <row r="2590" customFormat="false" ht="15" hidden="false" customHeight="false" outlineLevel="0" collapsed="false">
      <c r="A2590" s="0" t="s">
        <v>521</v>
      </c>
      <c r="B2590" s="0" t="s">
        <v>86</v>
      </c>
      <c r="C2590" s="38" t="n">
        <f aca="false">Sens!$C$2497</f>
        <v>156.146</v>
      </c>
      <c r="D2590" s="38" t="n">
        <f aca="false">Sens!$D$2497</f>
        <v>172.162</v>
      </c>
      <c r="E2590" s="38" t="n">
        <f aca="false">Sens!$E$2497</f>
        <v>88.358</v>
      </c>
      <c r="F2590" s="38" t="n">
        <f aca="false">Sens!$F$2497</f>
        <v>102.004388260171</v>
      </c>
      <c r="G2590" s="38" t="n">
        <f aca="false">Sens!$G$2497</f>
        <v>190.362388260171</v>
      </c>
      <c r="H2590" s="38" t="n">
        <f aca="false">Sens!$H$2497</f>
        <v>210.343106588311</v>
      </c>
      <c r="I2590" s="38" t="n">
        <f aca="false">Sens!$I$2497</f>
        <v>229.969728494648</v>
      </c>
      <c r="J2590" s="38" t="n">
        <f aca="false">Sens!$J$2497</f>
        <v>248.747636972598</v>
      </c>
      <c r="K2590" s="38" t="n">
        <f aca="false">Sens!$K$2497</f>
        <v>266.15997156068</v>
      </c>
      <c r="L2590" s="38" t="n">
        <f aca="false">Sens!$L$2497</f>
        <v>284.791169569927</v>
      </c>
      <c r="M2590" s="38" t="n">
        <f aca="false">Sens!$M$2497</f>
        <v>304.726551439822</v>
      </c>
      <c r="N2590" s="38" t="n">
        <f aca="false">Sens!$N$2497</f>
        <v>76.86</v>
      </c>
      <c r="O2590" s="38" t="n">
        <f aca="false">Sens!$O$2497</f>
        <v>95.302</v>
      </c>
    </row>
    <row r="2591" customFormat="false" ht="15" hidden="false" customHeight="false" outlineLevel="0" collapsed="false">
      <c r="A2591" s="0" t="s">
        <v>522</v>
      </c>
      <c r="B2591" s="0" t="s">
        <v>86</v>
      </c>
      <c r="C2591" s="38" t="n">
        <f aca="false">Sens!$C$2499</f>
        <v>56.214</v>
      </c>
      <c r="D2591" s="38" t="n">
        <f aca="false">Sens!$D$2499</f>
        <v>68.635</v>
      </c>
      <c r="E2591" s="38" t="n">
        <f aca="false">Sens!$E$2499</f>
        <v>37.052</v>
      </c>
      <c r="F2591" s="38" t="n">
        <f aca="false">Sens!$F$2499</f>
        <v>46.1572219944148</v>
      </c>
      <c r="G2591" s="38" t="n">
        <f aca="false">Sens!$G$2499</f>
        <v>83.2092219944148</v>
      </c>
      <c r="H2591" s="38" t="n">
        <f aca="false">Sens!$H$2499</f>
        <v>99.8969223878976</v>
      </c>
      <c r="I2591" s="38" t="n">
        <f aca="false">Sens!$I$2499</f>
        <v>116.583111095496</v>
      </c>
      <c r="J2591" s="38" t="n">
        <f aca="false">Sens!$J$2499</f>
        <v>132.148941941952</v>
      </c>
      <c r="K2591" s="38" t="n">
        <f aca="false">Sens!$K$2499</f>
        <v>145.363836136147</v>
      </c>
      <c r="L2591" s="38" t="n">
        <f aca="false">Sens!$L$2499</f>
        <v>159.900219749762</v>
      </c>
      <c r="M2591" s="38" t="n">
        <f aca="false">Sens!$M$2499</f>
        <v>175.890241724738</v>
      </c>
      <c r="N2591" s="38" t="n">
        <f aca="false">Sens!$N$2499</f>
        <v>29.615</v>
      </c>
      <c r="O2591" s="38" t="n">
        <f aca="false">Sens!$O$2499</f>
        <v>39.02</v>
      </c>
    </row>
    <row r="2592" customFormat="false" ht="15" hidden="false" customHeight="false" outlineLevel="0" collapsed="false">
      <c r="A2592" s="0" t="s">
        <v>523</v>
      </c>
      <c r="B2592" s="0" t="s">
        <v>86</v>
      </c>
      <c r="C2592" s="38" t="n">
        <f aca="false">Sens!$C$2501</f>
        <v>44.374</v>
      </c>
      <c r="D2592" s="38" t="n">
        <f aca="false">Sens!$D$2501</f>
        <v>49.619</v>
      </c>
      <c r="E2592" s="38" t="n">
        <f aca="false">Sens!$E$2501</f>
        <v>27.157</v>
      </c>
      <c r="F2592" s="38" t="n">
        <f aca="false">Sens!$F$2501</f>
        <v>27.7764165988154</v>
      </c>
      <c r="G2592" s="38" t="n">
        <f aca="false">Sens!$G$2501</f>
        <v>54.9334165988154</v>
      </c>
      <c r="H2592" s="38" t="n">
        <f aca="false">Sens!$H$2501</f>
        <v>61.1564112561829</v>
      </c>
      <c r="I2592" s="38" t="n">
        <f aca="false">Sens!$I$2501</f>
        <v>67.2020282103945</v>
      </c>
      <c r="J2592" s="38" t="n">
        <f aca="false">Sens!$J$2501</f>
        <v>72.8757274028885</v>
      </c>
      <c r="K2592" s="38" t="n">
        <f aca="false">Sens!$K$2501</f>
        <v>77.9770283210907</v>
      </c>
      <c r="L2592" s="38" t="n">
        <f aca="false">Sens!$L$2501</f>
        <v>83.4354203035671</v>
      </c>
      <c r="M2592" s="38" t="n">
        <f aca="false">Sens!$M$2501</f>
        <v>89.2758997248168</v>
      </c>
      <c r="N2592" s="38" t="n">
        <f aca="false">Sens!$N$2501</f>
        <v>23.923</v>
      </c>
      <c r="O2592" s="38" t="n">
        <f aca="false">Sens!$O$2501</f>
        <v>25.696</v>
      </c>
    </row>
    <row r="2593" customFormat="false" ht="15" hidden="false" customHeight="false" outlineLevel="0" collapsed="false">
      <c r="A2593" s="0" t="s">
        <v>524</v>
      </c>
      <c r="B2593" s="0" t="s">
        <v>86</v>
      </c>
      <c r="C2593" s="38" t="n">
        <f aca="false">Sens!$C$2503</f>
        <v>5.425</v>
      </c>
      <c r="D2593" s="38" t="n">
        <f aca="false">Sens!$D$2503</f>
        <v>5.935</v>
      </c>
      <c r="E2593" s="38" t="n">
        <f aca="false">Sens!$E$2503</f>
        <v>3.474</v>
      </c>
      <c r="F2593" s="38" t="n">
        <f aca="false">Sens!$F$2503</f>
        <v>3.22246550883619</v>
      </c>
      <c r="G2593" s="38" t="n">
        <f aca="false">Sens!$G$2503</f>
        <v>6.69646550883619</v>
      </c>
      <c r="H2593" s="38" t="n">
        <f aca="false">Sens!$H$2503</f>
        <v>7.16251344209196</v>
      </c>
      <c r="I2593" s="38" t="n">
        <f aca="false">Sens!$I$2503</f>
        <v>7.61421070299826</v>
      </c>
      <c r="J2593" s="38" t="n">
        <f aca="false">Sens!$J$2503</f>
        <v>8.04465753523932</v>
      </c>
      <c r="K2593" s="38" t="n">
        <f aca="false">Sens!$K$2503</f>
        <v>8.44689041200128</v>
      </c>
      <c r="L2593" s="38" t="n">
        <f aca="false">Sens!$L$2503</f>
        <v>8.86923493260135</v>
      </c>
      <c r="M2593" s="38" t="n">
        <f aca="false">Sens!$M$2503</f>
        <v>9.31269667923142</v>
      </c>
      <c r="N2593" s="38" t="n">
        <f aca="false">Sens!$N$2503</f>
        <v>2.811</v>
      </c>
      <c r="O2593" s="38" t="n">
        <f aca="false">Sens!$O$2503</f>
        <v>3.124</v>
      </c>
    </row>
    <row r="2594" customFormat="false" ht="17.15" hidden="false" customHeight="false" outlineLevel="0" collapsed="false">
      <c r="A2594" s="0" t="s">
        <v>717</v>
      </c>
      <c r="B2594" s="0" t="s">
        <v>86</v>
      </c>
      <c r="C2594" s="38" t="n">
        <f aca="false">Sens!$C$2575</f>
        <v>107.556</v>
      </c>
      <c r="D2594" s="38" t="n">
        <f aca="false">Sens!$D$2575</f>
        <v>128.725</v>
      </c>
      <c r="E2594" s="38" t="n">
        <f aca="false">Sens!$E$2575</f>
        <v>79.819</v>
      </c>
      <c r="F2594" s="38" t="n">
        <f aca="false">Sens!$F$2575</f>
        <v>86.7327334389669</v>
      </c>
      <c r="G2594" s="38" t="n">
        <f aca="false">Sens!$G$2575</f>
        <v>166.551733438967</v>
      </c>
      <c r="H2594" s="38" t="n">
        <f aca="false">Sens!$H$2575</f>
        <v>221.182967828978</v>
      </c>
      <c r="I2594" s="38" t="n">
        <f aca="false">Sens!$I$2575</f>
        <v>280.27345865789</v>
      </c>
      <c r="J2594" s="38" t="n">
        <f aca="false">Sens!$J$2575</f>
        <v>338.800945197185</v>
      </c>
      <c r="K2594" s="38" t="n">
        <f aca="false">Sens!$K$2575</f>
        <v>389.88570147276</v>
      </c>
      <c r="L2594" s="38" t="n">
        <f aca="false">Sens!$L$2575</f>
        <v>430.080689379143</v>
      </c>
      <c r="M2594" s="38" t="n">
        <f aca="false">Sens!$M$2575</f>
        <v>459.456235951751</v>
      </c>
      <c r="N2594" s="38" t="n">
        <f aca="false">Sens!$N$2575</f>
        <v>60.14</v>
      </c>
      <c r="O2594" s="38" t="n">
        <f aca="false">Sens!$O$2575</f>
        <v>68.585</v>
      </c>
    </row>
    <row r="2595" customFormat="false" ht="15" hidden="false" customHeight="false" outlineLevel="0" collapsed="false">
      <c r="A2595" s="1" t="s">
        <v>512</v>
      </c>
      <c r="B2595" s="8" t="s">
        <v>86</v>
      </c>
      <c r="C2595" s="38" t="n">
        <f aca="false">Sens!$C$2508</f>
        <v>387.497</v>
      </c>
      <c r="D2595" s="38" t="n">
        <f aca="false">Sens!$D$2508</f>
        <v>426.305</v>
      </c>
      <c r="E2595" s="38" t="n">
        <f aca="false">Sens!$E$2508</f>
        <v>220.32</v>
      </c>
      <c r="F2595" s="38" t="n">
        <f aca="false">Sens!$F$2508</f>
        <v>250.639773480586</v>
      </c>
      <c r="G2595" s="38" t="n">
        <f aca="false">Sens!$G$2508</f>
        <v>470.959773480586</v>
      </c>
      <c r="H2595" s="38" t="n">
        <f aca="false">Sens!$H$2508</f>
        <v>521.386990416437</v>
      </c>
      <c r="I2595" s="38" t="n">
        <f aca="false">Sens!$I$2508</f>
        <v>570.143862887555</v>
      </c>
      <c r="J2595" s="38" t="n">
        <f aca="false">Sens!$J$2508</f>
        <v>615.391435791933</v>
      </c>
      <c r="K2595" s="38" t="n">
        <f aca="false">Sens!$K$2508</f>
        <v>655.208227561543</v>
      </c>
      <c r="L2595" s="38" t="n">
        <f aca="false">Sens!$L$2508</f>
        <v>697.807739249767</v>
      </c>
      <c r="M2595" s="38" t="n">
        <f aca="false">Sens!$M$2508</f>
        <v>743.399328463592</v>
      </c>
      <c r="N2595" s="38" t="n">
        <f aca="false">Sens!$N$2508</f>
        <v>192.955</v>
      </c>
      <c r="O2595" s="38" t="n">
        <f aca="false">Sens!$O$2508</f>
        <v>233.35</v>
      </c>
    </row>
    <row r="2596" customFormat="false" ht="15" hidden="false" customHeight="false" outlineLevel="0" collapsed="false">
      <c r="A2596" s="1" t="s">
        <v>515</v>
      </c>
      <c r="B2596" s="8" t="s">
        <v>86</v>
      </c>
      <c r="C2596" s="38" t="n">
        <f aca="false">Sens!$C$2509</f>
        <v>142.906</v>
      </c>
      <c r="D2596" s="38" t="n">
        <f aca="false">Sens!$D$2509</f>
        <v>161.894</v>
      </c>
      <c r="E2596" s="38" t="n">
        <f aca="false">Sens!$E$2509</f>
        <v>81.986</v>
      </c>
      <c r="F2596" s="38" t="n">
        <f aca="false">Sens!$F$2509</f>
        <v>98.408468164951</v>
      </c>
      <c r="G2596" s="38" t="n">
        <f aca="false">Sens!$G$2509</f>
        <v>180.394468164951</v>
      </c>
      <c r="H2596" s="38" t="n">
        <f aca="false">Sens!$H$2509</f>
        <v>199.709899104949</v>
      </c>
      <c r="I2596" s="38" t="n">
        <f aca="false">Sens!$I$2509</f>
        <v>218.385528264976</v>
      </c>
      <c r="J2596" s="38" t="n">
        <f aca="false">Sens!$J$2509</f>
        <v>235.71696994951</v>
      </c>
      <c r="K2596" s="38" t="n">
        <f aca="false">Sens!$K$2509</f>
        <v>250.968227869545</v>
      </c>
      <c r="L2596" s="38" t="n">
        <f aca="false">Sens!$L$2509</f>
        <v>267.285367225822</v>
      </c>
      <c r="M2596" s="38" t="n">
        <f aca="false">Sens!$M$2509</f>
        <v>284.748579483295</v>
      </c>
      <c r="N2596" s="38" t="n">
        <f aca="false">Sens!$N$2509</f>
        <v>70.274</v>
      </c>
      <c r="O2596" s="38" t="n">
        <f aca="false">Sens!$O$2509</f>
        <v>91.62</v>
      </c>
    </row>
    <row r="2597" customFormat="false" ht="15" hidden="false" customHeight="false" outlineLevel="0" collapsed="false">
      <c r="A2597" s="1" t="s">
        <v>516</v>
      </c>
      <c r="B2597" s="8" t="s">
        <v>86</v>
      </c>
      <c r="C2597" s="38" t="n">
        <f aca="false">Sens!$C$2575</f>
        <v>107.556</v>
      </c>
      <c r="D2597" s="38" t="n">
        <f aca="false">Sens!$D$2575</f>
        <v>128.725</v>
      </c>
      <c r="E2597" s="38" t="n">
        <f aca="false">Sens!$E$2575</f>
        <v>79.819</v>
      </c>
      <c r="F2597" s="38" t="n">
        <f aca="false">Sens!$F$2575</f>
        <v>86.7327334389669</v>
      </c>
      <c r="G2597" s="38" t="n">
        <f aca="false">Sens!$G$2575</f>
        <v>166.551733438967</v>
      </c>
      <c r="H2597" s="38" t="n">
        <f aca="false">Sens!$H$2575</f>
        <v>221.182967828978</v>
      </c>
      <c r="I2597" s="38" t="n">
        <f aca="false">Sens!$I$2575</f>
        <v>280.27345865789</v>
      </c>
      <c r="J2597" s="38" t="n">
        <f aca="false">Sens!$J$2575</f>
        <v>338.800945197185</v>
      </c>
      <c r="K2597" s="38" t="n">
        <f aca="false">Sens!$K$2575</f>
        <v>389.88570147276</v>
      </c>
      <c r="L2597" s="38" t="n">
        <f aca="false">Sens!$L$2575</f>
        <v>430.080689379143</v>
      </c>
      <c r="M2597" s="38" t="n">
        <f aca="false">Sens!$M$2575</f>
        <v>459.456235951751</v>
      </c>
      <c r="N2597" s="38" t="n">
        <f aca="false">Sens!$N$2575</f>
        <v>60.14</v>
      </c>
      <c r="O2597" s="38" t="n">
        <f aca="false">Sens!$O$2575</f>
        <v>68.585</v>
      </c>
    </row>
    <row r="2598" customFormat="false" ht="17.15" hidden="false" customHeight="false" outlineLevel="0" collapsed="false">
      <c r="A2598" s="0" t="s">
        <v>691</v>
      </c>
      <c r="B2598" s="0" t="s">
        <v>86</v>
      </c>
      <c r="C2598" s="38" t="n">
        <f aca="false">Sens!$C$2573</f>
        <v>2.32100535697364</v>
      </c>
      <c r="D2598" s="38" t="n">
        <f aca="false">Sens!$D$2573</f>
        <v>8.70377008865116</v>
      </c>
      <c r="E2598" s="38" t="n">
        <f aca="false">Sens!$E$2573</f>
        <v>8.51035297557002</v>
      </c>
      <c r="F2598" s="38" t="n">
        <f aca="false">Sens!$F$2573</f>
        <v>14.9634336447205</v>
      </c>
      <c r="G2598" s="38" t="n">
        <f aca="false">Sens!$G$2573</f>
        <v>23.4737866202905</v>
      </c>
      <c r="H2598" s="38" t="n">
        <f aca="false">Sens!$H$2573</f>
        <v>60.1658907497746</v>
      </c>
      <c r="I2598" s="38" t="n">
        <f aca="false">Sens!$I$2573</f>
        <v>101.503699136432</v>
      </c>
      <c r="J2598" s="38" t="n">
        <f aca="false">Sens!$J$2573</f>
        <v>143.025407151278</v>
      </c>
      <c r="K2598" s="38" t="n">
        <f aca="false">Sens!$K$2573</f>
        <v>178.44812038318</v>
      </c>
      <c r="L2598" s="38" t="n">
        <f aca="false">Sens!$L$2573</f>
        <v>201.728101802396</v>
      </c>
      <c r="M2598" s="38" t="n">
        <f aca="false">Sens!$M$2573</f>
        <v>212.835441368865</v>
      </c>
      <c r="N2598" s="38" t="n">
        <f aca="false">Sens!$N$2573</f>
        <v>3.04631953102791</v>
      </c>
      <c r="O2598" s="38" t="n">
        <f aca="false">Sens!$O$2573</f>
        <v>5.65745055762326</v>
      </c>
    </row>
    <row r="2599" customFormat="false" ht="17.15" hidden="false" customHeight="false" outlineLevel="0" collapsed="false">
      <c r="A2599" s="0" t="s">
        <v>693</v>
      </c>
      <c r="B2599" s="0" t="s">
        <v>86</v>
      </c>
      <c r="C2599" s="38" t="n">
        <f aca="false">Sens!$C$2574</f>
        <v>105.234994643026</v>
      </c>
      <c r="D2599" s="38" t="n">
        <f aca="false">Sens!$D$2574</f>
        <v>120.021229911349</v>
      </c>
      <c r="E2599" s="38" t="n">
        <f aca="false">Sens!$E$2574</f>
        <v>71.30864702443</v>
      </c>
      <c r="F2599" s="38" t="n">
        <f aca="false">Sens!$F$2574</f>
        <v>71.7692997942464</v>
      </c>
      <c r="G2599" s="38" t="n">
        <f aca="false">Sens!$G$2574</f>
        <v>143.077946818676</v>
      </c>
      <c r="H2599" s="38" t="n">
        <f aca="false">Sens!$H$2574</f>
        <v>161.017077079203</v>
      </c>
      <c r="I2599" s="38" t="n">
        <f aca="false">Sens!$I$2574</f>
        <v>178.769759521457</v>
      </c>
      <c r="J2599" s="38" t="n">
        <f aca="false">Sens!$J$2574</f>
        <v>195.775538045907</v>
      </c>
      <c r="K2599" s="38" t="n">
        <f aca="false">Sens!$K$2574</f>
        <v>211.43758108958</v>
      </c>
      <c r="L2599" s="38" t="n">
        <f aca="false">Sens!$L$2574</f>
        <v>228.352587576746</v>
      </c>
      <c r="M2599" s="38" t="n">
        <f aca="false">Sens!$M$2574</f>
        <v>246.620794582886</v>
      </c>
      <c r="N2599" s="38" t="n">
        <f aca="false">Sens!$N$2574</f>
        <v>57.0936804689721</v>
      </c>
      <c r="O2599" s="38" t="n">
        <f aca="false">Sens!$O$2574</f>
        <v>62.9275494423768</v>
      </c>
    </row>
    <row r="2600" customFormat="false" ht="15" hidden="false" customHeight="false" outlineLevel="0" collapsed="false">
      <c r="A2600" s="3" t="s">
        <v>517</v>
      </c>
      <c r="B2600" s="8" t="s">
        <v>86</v>
      </c>
      <c r="C2600" s="38" t="n">
        <f aca="false">Sens!$C$2576</f>
        <v>637.959</v>
      </c>
      <c r="D2600" s="38" t="n">
        <f aca="false">Sens!$D$2576</f>
        <v>716.924</v>
      </c>
      <c r="E2600" s="38" t="n">
        <f aca="false">Sens!$E$2576</f>
        <v>382.125</v>
      </c>
      <c r="F2600" s="38" t="n">
        <f aca="false">Sens!$F$2576</f>
        <v>435.780975084504</v>
      </c>
      <c r="G2600" s="38" t="n">
        <f aca="false">Sens!$G$2576</f>
        <v>817.905975084504</v>
      </c>
      <c r="H2600" s="38" t="n">
        <f aca="false">Sens!$H$2576</f>
        <v>942.279857350364</v>
      </c>
      <c r="I2600" s="38" t="n">
        <f aca="false">Sens!$I$2576</f>
        <v>1068.80284981042</v>
      </c>
      <c r="J2600" s="38" t="n">
        <f aca="false">Sens!$J$2576</f>
        <v>1189.90935093863</v>
      </c>
      <c r="K2600" s="38" t="n">
        <f aca="false">Sens!$K$2576</f>
        <v>1296.06215690385</v>
      </c>
      <c r="L2600" s="38" t="n">
        <f aca="false">Sens!$L$2576</f>
        <v>1395.17379585473</v>
      </c>
      <c r="M2600" s="38" t="n">
        <f aca="false">Sens!$M$2576</f>
        <v>1487.60414389864</v>
      </c>
      <c r="N2600" s="38" t="n">
        <f aca="false">Sens!$N$2576</f>
        <v>323.369</v>
      </c>
      <c r="O2600" s="38" t="n">
        <f aca="false">Sens!$O$2576</f>
        <v>393.555</v>
      </c>
    </row>
    <row r="2601" customFormat="false" ht="17.15" hidden="false" customHeight="false" outlineLevel="0" collapsed="false">
      <c r="A2601" s="24" t="s">
        <v>703</v>
      </c>
      <c r="B2601" s="25" t="s">
        <v>86</v>
      </c>
      <c r="C2601" s="41" t="n">
        <f aca="false">Sens!$C$2588+Sens!$C$2589+Sens!$C$2590+Sens!$C$2591+Sens!$C$2592+Sens!$C$2593-(Sens!$C$2595+Sens!$C$2596)</f>
        <v>0</v>
      </c>
      <c r="D2601" s="41" t="n">
        <f aca="false">Sens!$D$2588+Sens!$D$2589+Sens!$D$2590+Sens!$D$2591+Sens!$D$2592+Sens!$D$2593-(Sens!$D$2595+Sens!$D$2596)</f>
        <v>0</v>
      </c>
      <c r="E2601" s="41" t="n">
        <f aca="false">Sens!$E$2588+Sens!$E$2589+Sens!$E$2590+Sens!$E$2591+Sens!$E$2592+Sens!$E$2593-(Sens!$E$2595+Sens!$E$2596)</f>
        <v>0</v>
      </c>
      <c r="F2601" s="41" t="n">
        <f aca="false">Sens!$F$2588+Sens!$F$2589+Sens!$F$2590+Sens!$F$2591+Sens!$F$2592+Sens!$F$2593-(Sens!$F$2595+Sens!$F$2596)</f>
        <v>0</v>
      </c>
      <c r="G2601" s="41" t="n">
        <f aca="false">Sens!$G$2588+Sens!$G$2589+Sens!$G$2590+Sens!$G$2591+Sens!$G$2592+Sens!$G$2593-(Sens!$G$2595+Sens!$G$2596)</f>
        <v>0</v>
      </c>
      <c r="H2601" s="41" t="n">
        <f aca="false">Sens!$H$2588+Sens!$H$2589+Sens!$H$2590+Sens!$H$2591+Sens!$H$2592+Sens!$H$2593-(Sens!$H$2595+Sens!$H$2596)</f>
        <v>0</v>
      </c>
      <c r="I2601" s="41" t="n">
        <f aca="false">Sens!$I$2588+Sens!$I$2589+Sens!$I$2590+Sens!$I$2591+Sens!$I$2592+Sens!$I$2593-(Sens!$I$2595+Sens!$I$2596)</f>
        <v>0</v>
      </c>
      <c r="J2601" s="41" t="n">
        <f aca="false">Sens!$J$2588+Sens!$J$2589+Sens!$J$2590+Sens!$J$2591+Sens!$J$2592+Sens!$J$2593-(Sens!$J$2595+Sens!$J$2596)</f>
        <v>0</v>
      </c>
      <c r="K2601" s="41" t="n">
        <f aca="false">Sens!$K$2588+Sens!$K$2589+Sens!$K$2590+Sens!$K$2591+Sens!$K$2592+Sens!$K$2593-(Sens!$K$2595+Sens!$K$2596)</f>
        <v>0</v>
      </c>
      <c r="L2601" s="41" t="n">
        <f aca="false">Sens!$L$2588+Sens!$L$2589+Sens!$L$2590+Sens!$L$2591+Sens!$L$2592+Sens!$L$2593-(Sens!$L$2595+Sens!$L$2596)</f>
        <v>0</v>
      </c>
      <c r="M2601" s="41" t="n">
        <f aca="false">Sens!$M$2588+Sens!$M$2589+Sens!$M$2590+Sens!$M$2591+Sens!$M$2592+Sens!$M$2593-(Sens!$M$2595+Sens!$M$2596)</f>
        <v>0</v>
      </c>
      <c r="N2601" s="41" t="n">
        <f aca="false">Sens!$N$2588+Sens!$N$2589+Sens!$N$2590+Sens!$N$2591+Sens!$N$2592+Sens!$N$2593-(Sens!$N$2595+Sens!$N$2596)</f>
        <v>0</v>
      </c>
      <c r="O2601" s="41" t="n">
        <f aca="false">Sens!$O$2588+Sens!$O$2589+Sens!$O$2590+Sens!$O$2591+Sens!$O$2592+Sens!$O$2593-(Sens!$O$2595+Sens!$O$2596)</f>
        <v>0</v>
      </c>
    </row>
    <row r="2602" customFormat="false" ht="17.15" hidden="false" customHeight="false" outlineLevel="0" collapsed="false">
      <c r="A2602" s="24" t="s">
        <v>704</v>
      </c>
      <c r="B2602" s="25" t="s">
        <v>86</v>
      </c>
      <c r="C2602" s="41" t="n">
        <f aca="false">Sens!$C$2598+Sens!$C$2599-Sens!$C$2597</f>
        <v>0</v>
      </c>
      <c r="D2602" s="41" t="n">
        <f aca="false">Sens!$D$2598+Sens!$D$2599-Sens!$D$2597</f>
        <v>0</v>
      </c>
      <c r="E2602" s="41" t="n">
        <f aca="false">Sens!$E$2598+Sens!$E$2599-Sens!$E$2597</f>
        <v>0</v>
      </c>
      <c r="F2602" s="41" t="n">
        <f aca="false">Sens!$F$2598+Sens!$F$2599-Sens!$F$2597</f>
        <v>0</v>
      </c>
      <c r="G2602" s="41" t="n">
        <f aca="false">Sens!$G$2598+Sens!$G$2599-Sens!$G$2597</f>
        <v>0</v>
      </c>
      <c r="H2602" s="41" t="n">
        <f aca="false">Sens!$H$2598+Sens!$H$2599-Sens!$H$2597</f>
        <v>0</v>
      </c>
      <c r="I2602" s="41" t="n">
        <f aca="false">Sens!$I$2598+Sens!$I$2599-Sens!$I$2597</f>
        <v>0</v>
      </c>
      <c r="J2602" s="41" t="n">
        <f aca="false">Sens!$J$2598+Sens!$J$2599-Sens!$J$2597</f>
        <v>0</v>
      </c>
      <c r="K2602" s="41" t="n">
        <f aca="false">Sens!$K$2598+Sens!$K$2599-Sens!$K$2597</f>
        <v>0</v>
      </c>
      <c r="L2602" s="41" t="n">
        <f aca="false">Sens!$L$2598+Sens!$L$2599-Sens!$L$2597</f>
        <v>0</v>
      </c>
      <c r="M2602" s="41" t="n">
        <f aca="false">Sens!$M$2598+Sens!$M$2599-Sens!$M$2597</f>
        <v>0</v>
      </c>
      <c r="N2602" s="41" t="n">
        <f aca="false">Sens!$N$2598+Sens!$N$2599-Sens!$N$2597</f>
        <v>0</v>
      </c>
      <c r="O2602" s="41" t="n">
        <f aca="false">Sens!$O$2598+Sens!$O$2599-Sens!$O$2597</f>
        <v>0</v>
      </c>
    </row>
    <row r="2603" customFormat="false" ht="17.15" hidden="false" customHeight="false" outlineLevel="0" collapsed="false">
      <c r="A2603" s="24" t="s">
        <v>763</v>
      </c>
      <c r="B2603" s="25" t="s">
        <v>86</v>
      </c>
      <c r="C2603" s="41" t="n">
        <f aca="false">Sens!$C$2588+Sens!$C$2589+Sens!$C$2590+Sens!$C$2591+Sens!$C$2592+Sens!$C$2593+Sens!$C$2594-Sens!$C$2600</f>
        <v>0</v>
      </c>
      <c r="D2603" s="41" t="n">
        <f aca="false">Sens!$D$2588+Sens!$D$2589+Sens!$D$2590+Sens!$D$2591+Sens!$D$2592+Sens!$D$2593+Sens!$D$2594-Sens!$D$2600</f>
        <v>0</v>
      </c>
      <c r="E2603" s="41" t="n">
        <f aca="false">Sens!$E$2588+Sens!$E$2589+Sens!$E$2590+Sens!$E$2591+Sens!$E$2592+Sens!$E$2593+Sens!$E$2594-Sens!$E$2600</f>
        <v>0</v>
      </c>
      <c r="F2603" s="41" t="n">
        <f aca="false">Sens!$F$2588+Sens!$F$2589+Sens!$F$2590+Sens!$F$2591+Sens!$F$2592+Sens!$F$2593+Sens!$F$2594-Sens!$F$2600</f>
        <v>0</v>
      </c>
      <c r="G2603" s="41" t="n">
        <f aca="false">Sens!$G$2588+Sens!$G$2589+Sens!$G$2590+Sens!$G$2591+Sens!$G$2592+Sens!$G$2593+Sens!$G$2594-Sens!$G$2600</f>
        <v>0</v>
      </c>
      <c r="H2603" s="41" t="n">
        <f aca="false">Sens!$H$2588+Sens!$H$2589+Sens!$H$2590+Sens!$H$2591+Sens!$H$2592+Sens!$H$2593+Sens!$H$2594-Sens!$H$2600</f>
        <v>0</v>
      </c>
      <c r="I2603" s="41" t="n">
        <f aca="false">Sens!$I$2588+Sens!$I$2589+Sens!$I$2590+Sens!$I$2591+Sens!$I$2592+Sens!$I$2593+Sens!$I$2594-Sens!$I$2600</f>
        <v>0</v>
      </c>
      <c r="J2603" s="41" t="n">
        <f aca="false">Sens!$J$2588+Sens!$J$2589+Sens!$J$2590+Sens!$J$2591+Sens!$J$2592+Sens!$J$2593+Sens!$J$2594-Sens!$J$2600</f>
        <v>0</v>
      </c>
      <c r="K2603" s="41" t="n">
        <f aca="false">Sens!$K$2588+Sens!$K$2589+Sens!$K$2590+Sens!$K$2591+Sens!$K$2592+Sens!$K$2593+Sens!$K$2594-Sens!$K$2600</f>
        <v>0</v>
      </c>
      <c r="L2603" s="41" t="n">
        <f aca="false">Sens!$L$2588+Sens!$L$2589+Sens!$L$2590+Sens!$L$2591+Sens!$L$2592+Sens!$L$2593+Sens!$L$2594-Sens!$L$2600</f>
        <v>0</v>
      </c>
      <c r="M2603" s="41" t="n">
        <f aca="false">Sens!$M$2588+Sens!$M$2589+Sens!$M$2590+Sens!$M$2591+Sens!$M$2592+Sens!$M$2593+Sens!$M$2594-Sens!$M$2600</f>
        <v>0</v>
      </c>
      <c r="N2603" s="41" t="n">
        <f aca="false">Sens!$N$2588+Sens!$N$2589+Sens!$N$2590+Sens!$N$2591+Sens!$N$2592+Sens!$N$2593+Sens!$N$2594-Sens!$N$2600</f>
        <v>0</v>
      </c>
      <c r="O2603" s="41" t="n">
        <f aca="false">Sens!$O$2588+Sens!$O$2589+Sens!$O$2590+Sens!$O$2591+Sens!$O$2592+Sens!$O$2593+Sens!$O$2594-Sens!$O$2600</f>
        <v>0</v>
      </c>
    </row>
    <row r="2604" customFormat="false" ht="17.15" hidden="false" customHeight="false" outlineLevel="0" collapsed="false">
      <c r="A2604" s="24" t="s">
        <v>705</v>
      </c>
      <c r="B2604" s="25" t="s">
        <v>86</v>
      </c>
      <c r="C2604" s="41" t="n">
        <f aca="false">Sens!$C$2595+Sens!$C$2596+Sens!$C$2597-Sens!$C$2600</f>
        <v>0</v>
      </c>
      <c r="D2604" s="41" t="n">
        <f aca="false">Sens!$D$2595+Sens!$D$2596+Sens!$D$2597-Sens!$D$2600</f>
        <v>0</v>
      </c>
      <c r="E2604" s="41" t="n">
        <f aca="false">Sens!$E$2595+Sens!$E$2596+Sens!$E$2597-Sens!$E$2600</f>
        <v>0</v>
      </c>
      <c r="F2604" s="41" t="n">
        <f aca="false">Sens!$F$2595+Sens!$F$2596+Sens!$F$2597-Sens!$F$2600</f>
        <v>0</v>
      </c>
      <c r="G2604" s="41" t="n">
        <f aca="false">Sens!$G$2595+Sens!$G$2596+Sens!$G$2597-Sens!$G$2600</f>
        <v>0</v>
      </c>
      <c r="H2604" s="41" t="n">
        <f aca="false">Sens!$H$2595+Sens!$H$2596+Sens!$H$2597-Sens!$H$2600</f>
        <v>0</v>
      </c>
      <c r="I2604" s="41" t="n">
        <f aca="false">Sens!$I$2595+Sens!$I$2596+Sens!$I$2597-Sens!$I$2600</f>
        <v>0</v>
      </c>
      <c r="J2604" s="41" t="n">
        <f aca="false">Sens!$J$2595+Sens!$J$2596+Sens!$J$2597-Sens!$J$2600</f>
        <v>0</v>
      </c>
      <c r="K2604" s="41" t="n">
        <f aca="false">Sens!$K$2595+Sens!$K$2596+Sens!$K$2597-Sens!$K$2600</f>
        <v>0</v>
      </c>
      <c r="L2604" s="41" t="n">
        <f aca="false">Sens!$L$2595+Sens!$L$2596+Sens!$L$2597-Sens!$L$2600</f>
        <v>0</v>
      </c>
      <c r="M2604" s="41" t="n">
        <f aca="false">Sens!$M$2595+Sens!$M$2596+Sens!$M$2597-Sens!$M$2600</f>
        <v>0</v>
      </c>
      <c r="N2604" s="41" t="n">
        <f aca="false">Sens!$N$2595+Sens!$N$2596+Sens!$N$2597-Sens!$N$2600</f>
        <v>0</v>
      </c>
      <c r="O2604" s="41" t="n">
        <f aca="false">Sens!$O$2595+Sens!$O$2596+Sens!$O$2597-Sens!$O$2600</f>
        <v>0</v>
      </c>
    </row>
    <row r="2605" customFormat="false" ht="17.15" hidden="false" customHeight="false" outlineLevel="0" collapsed="false">
      <c r="A2605" s="1" t="s">
        <v>719</v>
      </c>
    </row>
    <row r="2606" customFormat="false" ht="17.15" hidden="false" customHeight="false" outlineLevel="0" collapsed="false">
      <c r="A2606" s="0" t="s">
        <v>720</v>
      </c>
      <c r="B2606" s="0" t="s">
        <v>86</v>
      </c>
      <c r="C2606" s="38" t="n">
        <f aca="false">Sens!$C$2510*m_ad</f>
        <v>20.5341564414228</v>
      </c>
      <c r="D2606" s="38" t="n">
        <f aca="false">Sens!$D$2510*m_ad</f>
        <v>24.8720617299587</v>
      </c>
      <c r="E2606" s="38" t="n">
        <f aca="false">Sens!$E$2510*m_ad</f>
        <v>13.5017112462207</v>
      </c>
      <c r="F2606" s="38" t="n">
        <f aca="false">Sens!$F$2510*m_ad</f>
        <v>16.5719724165257</v>
      </c>
      <c r="G2606" s="38" t="n">
        <f aca="false">Sens!$G$2510*m_ad</f>
        <v>30.0820919220415</v>
      </c>
      <c r="H2606" s="38" t="n">
        <f aca="false">Sens!$H$2510*m_ad</f>
        <v>36.1150883276314</v>
      </c>
      <c r="I2606" s="38" t="n">
        <f aca="false">Sens!$I$2510*m_ad</f>
        <v>42.1475382231996</v>
      </c>
      <c r="J2606" s="38" t="n">
        <f aca="false">Sens!$J$2510*m_ad</f>
        <v>47.7749523864693</v>
      </c>
      <c r="K2606" s="38" t="n">
        <f aca="false">Sens!$K$2510*m_ad</f>
        <v>52.5524476251162</v>
      </c>
      <c r="L2606" s="38" t="n">
        <f aca="false">Sens!$L$2510*m_ad</f>
        <v>57.8076923876279</v>
      </c>
      <c r="M2606" s="38" t="n">
        <f aca="false">Sens!$M$2510*m_ad</f>
        <v>63.5884616263907</v>
      </c>
      <c r="N2606" s="38" t="n">
        <f aca="false">Sens!$N$2510*m_ad</f>
        <v>10.8543555706248</v>
      </c>
      <c r="O2606" s="38" t="n">
        <f aca="false">Sens!$O$2510*m_ad</f>
        <v>14.0094731821399</v>
      </c>
    </row>
    <row r="2607" customFormat="false" ht="17.15" hidden="false" customHeight="false" outlineLevel="0" collapsed="false">
      <c r="A2607" s="0" t="s">
        <v>721</v>
      </c>
      <c r="B2607" s="0" t="s">
        <v>86</v>
      </c>
      <c r="C2607" s="38" t="n">
        <f aca="false">Sens!$C$2508-Sens!$C$2510</f>
        <v>346.428687117154</v>
      </c>
      <c r="D2607" s="38" t="n">
        <f aca="false">Sens!$D$2508-Sens!$D$2510</f>
        <v>376.560876540083</v>
      </c>
      <c r="E2607" s="38" t="n">
        <f aca="false">Sens!$E$2508-Sens!$E$2510</f>
        <v>193.316577507559</v>
      </c>
      <c r="F2607" s="38" t="n">
        <f aca="false">Sens!$F$2508-Sens!$F$2510</f>
        <v>217.495828647535</v>
      </c>
      <c r="G2607" s="38" t="n">
        <f aca="false">Sens!$G$2508-Sens!$G$2510</f>
        <v>410.795589636503</v>
      </c>
      <c r="H2607" s="38" t="n">
        <f aca="false">Sens!$H$2508-Sens!$H$2510</f>
        <v>449.156813761174</v>
      </c>
      <c r="I2607" s="38" t="n">
        <f aca="false">Sens!$I$2508-Sens!$I$2510</f>
        <v>485.848786441156</v>
      </c>
      <c r="J2607" s="38" t="n">
        <f aca="false">Sens!$J$2508-Sens!$J$2510</f>
        <v>519.841531018994</v>
      </c>
      <c r="K2607" s="38" t="n">
        <f aca="false">Sens!$K$2508-Sens!$K$2510</f>
        <v>550.103332311311</v>
      </c>
      <c r="L2607" s="38" t="n">
        <f aca="false">Sens!$L$2508-Sens!$L$2510</f>
        <v>582.192354474511</v>
      </c>
      <c r="M2607" s="38" t="n">
        <f aca="false">Sens!$M$2508-Sens!$M$2510</f>
        <v>616.22240521081</v>
      </c>
      <c r="N2607" s="38" t="n">
        <f aca="false">Sens!$N$2508-Sens!$N$2510</f>
        <v>171.24628885875</v>
      </c>
      <c r="O2607" s="38" t="n">
        <f aca="false">Sens!$O$2508-Sens!$O$2510</f>
        <v>205.33105363572</v>
      </c>
    </row>
    <row r="2608" customFormat="false" ht="17.15" hidden="false" customHeight="false" outlineLevel="0" collapsed="false">
      <c r="A2608" s="0" t="s">
        <v>722</v>
      </c>
      <c r="B2608" s="0" t="s">
        <v>86</v>
      </c>
      <c r="C2608" s="38" t="n">
        <f aca="false">Sens!$C$2559*Sens!$C$2507</f>
        <v>0.123617442257179</v>
      </c>
      <c r="D2608" s="38" t="n">
        <f aca="false">Sens!$D$2559*Sens!$D$2507</f>
        <v>0.600198046024689</v>
      </c>
      <c r="E2608" s="38" t="n">
        <f aca="false">Sens!$E$2559*Sens!$E$2507</f>
        <v>0.970552432202993</v>
      </c>
      <c r="F2608" s="38" t="n">
        <f aca="false">Sens!$F$2559*Sens!$F$2507</f>
        <v>1.20013524388435</v>
      </c>
      <c r="G2608" s="38" t="n">
        <f aca="false">Sens!$G$2559*Sens!$G$2507</f>
        <v>2.17135369594947</v>
      </c>
      <c r="H2608" s="38" t="n">
        <f aca="false">Sens!$H$2559*Sens!$H$2507</f>
        <v>6.14227489656333</v>
      </c>
      <c r="I2608" s="38" t="n">
        <f aca="false">Sens!$I$2559*Sens!$I$2507</f>
        <v>11.6518054969681</v>
      </c>
      <c r="J2608" s="38" t="n">
        <f aca="false">Sens!$J$2559*Sens!$J$2507</f>
        <v>17.3105301010592</v>
      </c>
      <c r="K2608" s="38" t="n">
        <f aca="false">Sens!$K$2559*Sens!$K$2507</f>
        <v>22.8486728059883</v>
      </c>
      <c r="L2608" s="38" t="n">
        <f aca="false">Sens!$L$2559*Sens!$L$2507</f>
        <v>26.6849171332777</v>
      </c>
      <c r="M2608" s="38" t="n">
        <f aca="false">Sens!$M$2559*Sens!$M$2507</f>
        <v>29.0523240317336</v>
      </c>
      <c r="N2608" s="38" t="n">
        <f aca="false">Sens!$N$2559*Sens!$N$2507</f>
        <v>0.25053229484398</v>
      </c>
      <c r="O2608" s="38" t="n">
        <f aca="false">Sens!$O$2559*Sens!$O$2507</f>
        <v>0.349234376756897</v>
      </c>
    </row>
    <row r="2609" customFormat="false" ht="17.15" hidden="false" customHeight="false" outlineLevel="0" collapsed="false">
      <c r="A2609" s="0" t="s">
        <v>723</v>
      </c>
      <c r="B2609" s="0" t="s">
        <v>52</v>
      </c>
      <c r="C2609" s="28" t="n">
        <f aca="false">(Sens!$C$2610-Sens!$C$2606+Sens!$C$2608)/Sens!$C$2607</f>
        <v>0.0131526665379575</v>
      </c>
      <c r="D2609" s="28" t="n">
        <f aca="false">(Sens!$D$2610-Sens!$D$2606+Sens!$D$2608)/Sens!$D$2607</f>
        <v>0.0141999252954702</v>
      </c>
      <c r="E2609" s="28" t="n">
        <f aca="false">(Sens!$E$2610-Sens!$E$2606+Sens!$E$2608)/Sens!$E$2607</f>
        <v>0.0251341154940129</v>
      </c>
      <c r="F2609" s="28" t="n">
        <f aca="false">Sens!$O$2609+(Sens!$E$2609-Sens!$N$2609)</f>
        <v>0.0217171685713677</v>
      </c>
      <c r="G2609" s="28" t="n">
        <f aca="false">(Sens!$G$2610-Sens!$G$2606+Sens!$G$2608)/Sens!$G$2607</f>
        <v>0.0233071940458981</v>
      </c>
      <c r="H2609" s="28" t="n">
        <f aca="false">Sens!$G$2609+step_na</f>
        <v>0.0263071940458981</v>
      </c>
      <c r="I2609" s="28" t="n">
        <f aca="false">Sens!$H$2609+step_na</f>
        <v>0.0293071940458981</v>
      </c>
      <c r="J2609" s="28" t="n">
        <f aca="false">Sens!$I$2609+step_na</f>
        <v>0.0323071940458981</v>
      </c>
      <c r="K2609" s="28" t="n">
        <f aca="false">Sens!$J$2609+step_na</f>
        <v>0.0353071940458981</v>
      </c>
      <c r="L2609" s="28" t="n">
        <f aca="false">Sens!$K$2609</f>
        <v>0.0353071940458981</v>
      </c>
      <c r="M2609" s="28" t="n">
        <f aca="false">Sens!$L$2609</f>
        <v>0.0353071940458981</v>
      </c>
      <c r="N2609" s="28" t="n">
        <f aca="false">(Sens!$N$2610-Sens!$N$2606+Sens!$N$2608)/Sens!$N$2607</f>
        <v>0.0160831323269779</v>
      </c>
      <c r="O2609" s="28" t="n">
        <f aca="false">(Sens!$O$2610-Sens!$O$2606+Sens!$O$2608)/Sens!$O$2607</f>
        <v>0.0126661854043327</v>
      </c>
      <c r="P2609" s="8" t="s">
        <v>724</v>
      </c>
    </row>
    <row r="2610" customFormat="false" ht="17.15" hidden="false" customHeight="false" outlineLevel="0" collapsed="false">
      <c r="A2610" s="1" t="s">
        <v>725</v>
      </c>
      <c r="B2610" s="8" t="s">
        <v>86</v>
      </c>
      <c r="C2610" s="38" t="n">
        <f aca="false">Q!$D$22</f>
        <v>24.967</v>
      </c>
      <c r="D2610" s="38" t="n">
        <f aca="false">Q!$E$22</f>
        <v>29.619</v>
      </c>
      <c r="E2610" s="38" t="n">
        <f aca="false">Q!$P$22</f>
        <v>17.39</v>
      </c>
      <c r="F2610" s="38" t="n">
        <f aca="false">Sens!$F$2606+Sens!$F$2607*Sens!$F$2609-Sens!$F$2608</f>
        <v>20.0952307469491</v>
      </c>
      <c r="G2610" s="38" t="n">
        <f aca="false">Sens!$E$2610+Sens!$F$2610</f>
        <v>37.4852307469491</v>
      </c>
      <c r="H2610" s="38" t="n">
        <f aca="false">Sens!$H$2606+Sens!$H$2607*Sens!$H$2609-Sens!$H$2608</f>
        <v>41.7888688877206</v>
      </c>
      <c r="I2610" s="38" t="n">
        <f aca="false">Sens!$I$2606+Sens!$I$2607*Sens!$I$2609-Sens!$I$2608</f>
        <v>44.7345973874265</v>
      </c>
      <c r="J2610" s="38" t="n">
        <f aca="false">Sens!$J$2606+Sens!$J$2607*Sens!$J$2609-Sens!$J$2608</f>
        <v>47.2590435011574</v>
      </c>
      <c r="K2610" s="38" t="n">
        <f aca="false">Sens!$K$2606+Sens!$K$2607*Sens!$K$2609-Sens!$K$2608</f>
        <v>49.1263799183386</v>
      </c>
      <c r="L2610" s="38" t="n">
        <f aca="false">Sens!$L$2606+Sens!$L$2607*Sens!$L$2609-Sens!$L$2608</f>
        <v>51.67835368582</v>
      </c>
      <c r="M2610" s="38" t="n">
        <f aca="false">Sens!$M$2606+Sens!$M$2607*Sens!$M$2609-Sens!$M$2608</f>
        <v>56.2932216308652</v>
      </c>
      <c r="N2610" s="38" t="n">
        <f aca="false">Q!$N$22</f>
        <v>13.358</v>
      </c>
      <c r="O2610" s="38" t="n">
        <f aca="false">Q!$O$22</f>
        <v>16.261</v>
      </c>
    </row>
    <row r="2611" customFormat="false" ht="17.15" hidden="false" customHeight="false" outlineLevel="0" collapsed="false">
      <c r="A2611" s="0" t="s">
        <v>726</v>
      </c>
      <c r="B2611" s="0" t="s">
        <v>86</v>
      </c>
      <c r="C2611" s="38" t="n">
        <f aca="false">Sens!$C$2511*m_ad</f>
        <v>7.57284355857716</v>
      </c>
      <c r="D2611" s="38" t="n">
        <f aca="false">Sens!$D$2511*m_ad</f>
        <v>9.44543827004127</v>
      </c>
      <c r="E2611" s="38" t="n">
        <f aca="false">Sens!$E$2511*m_ad</f>
        <v>5.02428875377928</v>
      </c>
      <c r="F2611" s="38" t="n">
        <f aca="false">Sens!$F$2511*m_ad</f>
        <v>6.50663858068173</v>
      </c>
      <c r="G2611" s="38" t="n">
        <f aca="false">Sens!$G$2511*m_ad</f>
        <v>11.5225190751659</v>
      </c>
      <c r="H2611" s="38" t="n">
        <f aca="false">Sens!$H$2511*m_ad</f>
        <v>13.8333728663174</v>
      </c>
      <c r="I2611" s="38" t="n">
        <f aca="false">Sens!$I$2511*m_ad</f>
        <v>16.1440173245485</v>
      </c>
      <c r="J2611" s="38" t="n">
        <f aca="false">Sens!$J$2511*m_ad</f>
        <v>18.2995185845066</v>
      </c>
      <c r="K2611" s="38" t="n">
        <f aca="false">Sens!$K$2511*m_ad</f>
        <v>20.1294704429572</v>
      </c>
      <c r="L2611" s="38" t="n">
        <f aca="false">Sens!$L$2511*m_ad</f>
        <v>22.142417487253</v>
      </c>
      <c r="M2611" s="38" t="n">
        <f aca="false">Sens!$M$2511*m_ad</f>
        <v>24.3566592359783</v>
      </c>
      <c r="N2611" s="38" t="n">
        <f aca="false">Sens!$N$2511*m_ad</f>
        <v>3.95314442937518</v>
      </c>
      <c r="O2611" s="38" t="n">
        <f aca="false">Sens!$O$2511*m_ad</f>
        <v>5.50052681786011</v>
      </c>
    </row>
    <row r="2612" customFormat="false" ht="17.15" hidden="false" customHeight="false" outlineLevel="0" collapsed="false">
      <c r="A2612" s="0" t="s">
        <v>727</v>
      </c>
      <c r="B2612" s="0" t="s">
        <v>86</v>
      </c>
      <c r="C2612" s="38" t="n">
        <f aca="false">Sens!$C$2509-Sens!$C$2511</f>
        <v>127.760312882846</v>
      </c>
      <c r="D2612" s="38" t="n">
        <f aca="false">Sens!$D$2509-Sens!$D$2511</f>
        <v>143.003123459917</v>
      </c>
      <c r="E2612" s="38" t="n">
        <f aca="false">Sens!$E$2509-Sens!$E$2511</f>
        <v>71.9374224924414</v>
      </c>
      <c r="F2612" s="38" t="n">
        <f aca="false">Sens!$F$2509-Sens!$F$2511</f>
        <v>85.3951910035875</v>
      </c>
      <c r="G2612" s="38" t="n">
        <f aca="false">Sens!$G$2509-Sens!$G$2511</f>
        <v>157.349430014619</v>
      </c>
      <c r="H2612" s="38" t="n">
        <f aca="false">Sens!$H$2509-Sens!$H$2511</f>
        <v>172.043153372315</v>
      </c>
      <c r="I2612" s="38" t="n">
        <f aca="false">Sens!$I$2509-Sens!$I$2511</f>
        <v>186.097493615879</v>
      </c>
      <c r="J2612" s="38" t="n">
        <f aca="false">Sens!$J$2509-Sens!$J$2511</f>
        <v>199.117932780497</v>
      </c>
      <c r="K2612" s="38" t="n">
        <f aca="false">Sens!$K$2509-Sens!$K$2511</f>
        <v>210.70928698363</v>
      </c>
      <c r="L2612" s="38" t="n">
        <f aca="false">Sens!$L$2509-Sens!$L$2511</f>
        <v>223.000532251316</v>
      </c>
      <c r="M2612" s="38" t="n">
        <f aca="false">Sens!$M$2509-Sens!$M$2511</f>
        <v>236.035261011339</v>
      </c>
      <c r="N2612" s="38" t="n">
        <f aca="false">Sens!$N$2509-Sens!$N$2511</f>
        <v>62.3677111412496</v>
      </c>
      <c r="O2612" s="38" t="n">
        <f aca="false">Sens!$O$2509-Sens!$O$2511</f>
        <v>80.6189463642798</v>
      </c>
    </row>
    <row r="2613" customFormat="false" ht="17.15" hidden="false" customHeight="false" outlineLevel="0" collapsed="false">
      <c r="A2613" s="0" t="s">
        <v>728</v>
      </c>
      <c r="B2613" s="0" t="s">
        <v>86</v>
      </c>
      <c r="C2613" s="38" t="n">
        <f aca="false">Sens!$C$2559*(1-Sens!$C$2507)</f>
        <v>0.0455891896019953</v>
      </c>
      <c r="D2613" s="38" t="n">
        <f aca="false">Sens!$D$2559*(1-Sens!$D$2507)</f>
        <v>0.227931791705753</v>
      </c>
      <c r="E2613" s="38" t="n">
        <f aca="false">Sens!$E$2559*(1-Sens!$E$2507)</f>
        <v>0.361164268820781</v>
      </c>
      <c r="F2613" s="38" t="n">
        <f aca="false">Sens!$F$2559*(1-Sens!$F$2507)</f>
        <v>0.471208018190203</v>
      </c>
      <c r="G2613" s="38" t="n">
        <f aca="false">Sens!$G$2559*(1-Sens!$G$2507)</f>
        <v>0.83170626714885</v>
      </c>
      <c r="H2613" s="38" t="n">
        <f aca="false">Sens!$H$2559*(1-Sens!$H$2507)</f>
        <v>2.35271136874315</v>
      </c>
      <c r="I2613" s="38" t="n">
        <f aca="false">Sens!$I$2559*(1-Sens!$I$2507)</f>
        <v>4.46305900024741</v>
      </c>
      <c r="J2613" s="38" t="n">
        <f aca="false">Sens!$J$2559*(1-Sens!$J$2507)</f>
        <v>6.63055328092195</v>
      </c>
      <c r="K2613" s="38" t="n">
        <f aca="false">Sens!$K$2559*(1-Sens!$K$2507)</f>
        <v>8.75186037365703</v>
      </c>
      <c r="L2613" s="38" t="n">
        <f aca="false">Sens!$L$2559*(1-Sens!$L$2507)</f>
        <v>10.2212794071718</v>
      </c>
      <c r="M2613" s="38" t="n">
        <f aca="false">Sens!$M$2559*(1-Sens!$M$2507)</f>
        <v>11.1280810756472</v>
      </c>
      <c r="N2613" s="38" t="n">
        <f aca="false">Sens!$N$2559*(1-Sens!$N$2507)</f>
        <v>0.0912435878202994</v>
      </c>
      <c r="O2613" s="38" t="n">
        <f aca="false">Sens!$O$2559*(1-Sens!$O$2507)</f>
        <v>0.137119578309265</v>
      </c>
    </row>
    <row r="2614" customFormat="false" ht="17.15" hidden="false" customHeight="false" outlineLevel="0" collapsed="false">
      <c r="A2614" s="0" t="s">
        <v>729</v>
      </c>
      <c r="B2614" s="0" t="s">
        <v>52</v>
      </c>
      <c r="C2614" s="28" t="n">
        <f aca="false">(Sens!$C$2615-Sens!$C$2611+Sens!$C$2613)/Sens!$C$2612</f>
        <v>-0.0292364215826579</v>
      </c>
      <c r="D2614" s="28" t="n">
        <f aca="false">(Sens!$D$2615-Sens!$D$2611+Sens!$D$2613)/Sens!$D$2612</f>
        <v>-0.0312406216748665</v>
      </c>
      <c r="E2614" s="28" t="n">
        <f aca="false">(Sens!$E$2615-Sens!$E$2611+Sens!$E$2613)/Sens!$E$2612</f>
        <v>-0.0211590078184749</v>
      </c>
      <c r="F2614" s="28" t="n">
        <f aca="false">Sens!$O$2614+(Sens!$E$2614-Sens!$N$2614)</f>
        <v>-0.0382539955245511</v>
      </c>
      <c r="G2614" s="28" t="n">
        <f aca="false">(Sens!$G$2615-Sens!$G$2611+Sens!$G$2613)/Sens!$G$2612</f>
        <v>-0.030385172031133</v>
      </c>
      <c r="H2614" s="28" t="n">
        <f aca="false">Sens!$G$2614+step_in</f>
        <v>-0.030385172031133</v>
      </c>
      <c r="I2614" s="28" t="n">
        <f aca="false">Sens!$H$2614+step_in</f>
        <v>-0.030385172031133</v>
      </c>
      <c r="J2614" s="28" t="n">
        <f aca="false">Sens!$I$2614+step_in</f>
        <v>-0.030385172031133</v>
      </c>
      <c r="K2614" s="28" t="n">
        <f aca="false">Sens!$J$2614+step_in</f>
        <v>-0.030385172031133</v>
      </c>
      <c r="L2614" s="28" t="n">
        <f aca="false">Sens!$K$2614</f>
        <v>-0.030385172031133</v>
      </c>
      <c r="M2614" s="28" t="n">
        <f aca="false">Sens!$L$2614</f>
        <v>-0.030385172031133</v>
      </c>
      <c r="N2614" s="28" t="n">
        <f aca="false">(Sens!$N$2615-Sens!$N$2611+Sens!$N$2613)/Sens!$N$2612</f>
        <v>-0.0216602600421776</v>
      </c>
      <c r="O2614" s="28" t="n">
        <f aca="false">(Sens!$O$2615-Sens!$O$2611+Sens!$O$2613)/Sens!$O$2612</f>
        <v>-0.0387552477482538</v>
      </c>
      <c r="P2614" s="8" t="s">
        <v>724</v>
      </c>
    </row>
    <row r="2615" customFormat="false" ht="17.15" hidden="false" customHeight="false" outlineLevel="0" collapsed="false">
      <c r="A2615" s="1" t="s">
        <v>730</v>
      </c>
      <c r="B2615" s="8" t="s">
        <v>86</v>
      </c>
      <c r="C2615" s="38" t="n">
        <f aca="false">Q!$D$23</f>
        <v>3.792</v>
      </c>
      <c r="D2615" s="38" t="n">
        <f aca="false">Q!$E$23</f>
        <v>4.75</v>
      </c>
      <c r="E2615" s="38" t="n">
        <f aca="false">Q!$P$23</f>
        <v>3.141</v>
      </c>
      <c r="F2615" s="38" t="n">
        <f aca="false">Sens!$F$2611+Sens!$F$2612*Sens!$F$2614-Sens!$F$2613</f>
        <v>2.7687233080221</v>
      </c>
      <c r="G2615" s="38" t="n">
        <f aca="false">Sens!$E$2615+Sens!$F$2615</f>
        <v>5.9097233080221</v>
      </c>
      <c r="H2615" s="38" t="n">
        <f aca="false">Sens!$H$2611+Sens!$H$2612*Sens!$H$2614-Sens!$H$2613</f>
        <v>6.25310068557783</v>
      </c>
      <c r="I2615" s="38" t="n">
        <f aca="false">Sens!$I$2611+Sens!$I$2612*Sens!$I$2614-Sens!$I$2613</f>
        <v>6.02635396621997</v>
      </c>
      <c r="J2615" s="38" t="n">
        <f aca="false">Sens!$J$2611+Sens!$J$2612*Sens!$J$2614-Sens!$J$2613</f>
        <v>5.61873266156566</v>
      </c>
      <c r="K2615" s="38" t="n">
        <f aca="false">Sens!$K$2611+Sens!$K$2612*Sens!$K$2614-Sens!$K$2613</f>
        <v>4.97517213574524</v>
      </c>
      <c r="L2615" s="38" t="n">
        <f aca="false">Sens!$L$2611+Sens!$L$2612*Sens!$L$2614-Sens!$L$2613</f>
        <v>5.14522854459066</v>
      </c>
      <c r="M2615" s="38" t="n">
        <f aca="false">Sens!$M$2611+Sens!$M$2612*Sens!$M$2614-Sens!$M$2613</f>
        <v>6.05660614908815</v>
      </c>
      <c r="N2615" s="38" t="n">
        <f aca="false">Q!$N$23</f>
        <v>2.511</v>
      </c>
      <c r="O2615" s="38" t="n">
        <f aca="false">Q!$O$23</f>
        <v>2.239</v>
      </c>
    </row>
    <row r="2616" customFormat="false" ht="17.15" hidden="false" customHeight="false" outlineLevel="0" collapsed="false">
      <c r="A2616" s="0" t="s">
        <v>731</v>
      </c>
      <c r="B2616" s="0" t="s">
        <v>86</v>
      </c>
      <c r="C2616" s="38" t="n">
        <f aca="false">Sens!$C$2556</f>
        <v>1.64417882953695</v>
      </c>
      <c r="D2616" s="38" t="n">
        <f aca="false">Sens!$D$2556</f>
        <v>5.39125073772939</v>
      </c>
      <c r="E2616" s="38" t="n">
        <f aca="false">Sens!$E$2556</f>
        <v>3.18348617147493</v>
      </c>
      <c r="F2616" s="38" t="n">
        <f aca="false">Sens!$F$2556</f>
        <v>8.27806059642226</v>
      </c>
      <c r="G2616" s="38" t="n">
        <f aca="false">Sens!$G$2556</f>
        <v>11.4615467678972</v>
      </c>
      <c r="H2616" s="38" t="n">
        <f aca="false">Sens!$H$2556</f>
        <v>26.1859456885487</v>
      </c>
      <c r="I2616" s="38" t="n">
        <f aca="false">Sens!$I$2556</f>
        <v>37.04424114757</v>
      </c>
      <c r="J2616" s="38" t="n">
        <f aca="false">Sens!$J$2556</f>
        <v>47.2610736233534</v>
      </c>
      <c r="K2616" s="38" t="n">
        <f aca="false">Sens!$K$2556</f>
        <v>52.0459876645985</v>
      </c>
      <c r="L2616" s="38" t="n">
        <f aca="false">Sens!$L$2556</f>
        <v>54.1033156405981</v>
      </c>
      <c r="M2616" s="38" t="n">
        <f aca="false">Sens!$M$2556</f>
        <v>52.1138209393421</v>
      </c>
      <c r="N2616" s="38" t="n">
        <f aca="false">Sens!$N$2556</f>
        <v>1.67921600037079</v>
      </c>
      <c r="O2616" s="38" t="n">
        <f aca="false">Sens!$O$2556</f>
        <v>3.71203473735861</v>
      </c>
    </row>
    <row r="2617" customFormat="false" ht="17.15" hidden="false" customHeight="false" outlineLevel="0" collapsed="false">
      <c r="A2617" s="0" t="s">
        <v>649</v>
      </c>
      <c r="B2617" s="0" t="s">
        <v>86</v>
      </c>
      <c r="C2617" s="38" t="n">
        <f aca="false">Sens!$C$2561</f>
        <v>38.1898211704631</v>
      </c>
      <c r="D2617" s="38" t="n">
        <f aca="false">Sens!$D$2561</f>
        <v>40.2147492622706</v>
      </c>
      <c r="E2617" s="38" t="n">
        <f aca="false">Sens!$E$2561</f>
        <v>27.5985138285251</v>
      </c>
      <c r="F2617" s="38" t="n">
        <f aca="false">Sens!$F$2561</f>
        <v>25.5484769754606</v>
      </c>
      <c r="G2617" s="38" t="n">
        <f aca="false">Sens!$G$2561</f>
        <v>53.1469908039857</v>
      </c>
      <c r="H2617" s="38" t="n">
        <f aca="false">Sens!$H$2561</f>
        <v>57.3189525076539</v>
      </c>
      <c r="I2617" s="38" t="n">
        <f aca="false">Sens!$I$2561</f>
        <v>63.6385627021087</v>
      </c>
      <c r="J2617" s="38" t="n">
        <f aca="false">Sens!$J$2561</f>
        <v>69.6922896066105</v>
      </c>
      <c r="K2617" s="38" t="n">
        <f aca="false">Sens!$K$2561</f>
        <v>75.2676727751394</v>
      </c>
      <c r="L2617" s="38" t="n">
        <f aca="false">Sens!$L$2561</f>
        <v>81.2890865971505</v>
      </c>
      <c r="M2617" s="38" t="n">
        <f aca="false">Sens!$M$2561</f>
        <v>87.7922135249226</v>
      </c>
      <c r="N2617" s="38" t="n">
        <f aca="false">Sens!$N$2561</f>
        <v>20.0277839996292</v>
      </c>
      <c r="O2617" s="38" t="n">
        <f aca="false">Sens!$O$2561</f>
        <v>20.1869652626414</v>
      </c>
    </row>
    <row r="2618" customFormat="false" ht="17.15" hidden="false" customHeight="false" outlineLevel="0" collapsed="false">
      <c r="A2618" s="1" t="s">
        <v>732</v>
      </c>
      <c r="B2618" s="8" t="s">
        <v>86</v>
      </c>
      <c r="C2618" s="38" t="n">
        <f aca="false">Q!$D$24</f>
        <v>39.834</v>
      </c>
      <c r="D2618" s="38" t="n">
        <f aca="false">Q!$E$24</f>
        <v>45.606</v>
      </c>
      <c r="E2618" s="38" t="n">
        <f aca="false">Q!$P$24</f>
        <v>30.782</v>
      </c>
      <c r="F2618" s="38" t="n">
        <f aca="false">Sens!$F$2616+Sens!$F$2617</f>
        <v>33.8265375718829</v>
      </c>
      <c r="G2618" s="38" t="n">
        <f aca="false">Sens!$G$2616+Sens!$G$2617</f>
        <v>64.6085375718829</v>
      </c>
      <c r="H2618" s="38" t="n">
        <f aca="false">Sens!$H$2616+Sens!$H$2617</f>
        <v>83.5048981962026</v>
      </c>
      <c r="I2618" s="38" t="n">
        <f aca="false">Sens!$I$2616+Sens!$I$2617</f>
        <v>100.682803849679</v>
      </c>
      <c r="J2618" s="38" t="n">
        <f aca="false">Sens!$J$2616+Sens!$J$2617</f>
        <v>116.953363229964</v>
      </c>
      <c r="K2618" s="38" t="n">
        <f aca="false">Sens!$K$2616+Sens!$K$2617</f>
        <v>127.313660439738</v>
      </c>
      <c r="L2618" s="38" t="n">
        <f aca="false">Sens!$L$2616+Sens!$L$2617</f>
        <v>135.392402237749</v>
      </c>
      <c r="M2618" s="38" t="n">
        <f aca="false">Sens!$M$2616+Sens!$M$2617</f>
        <v>139.906034464265</v>
      </c>
      <c r="N2618" s="38" t="n">
        <f aca="false">Q!$N$24</f>
        <v>21.707</v>
      </c>
      <c r="O2618" s="38" t="n">
        <f aca="false">Q!$O$24</f>
        <v>23.899</v>
      </c>
    </row>
    <row r="2619" customFormat="false" ht="17.15" hidden="false" customHeight="false" outlineLevel="0" collapsed="false">
      <c r="A2619" s="5" t="s">
        <v>733</v>
      </c>
      <c r="B2619" s="0" t="s">
        <v>86</v>
      </c>
      <c r="C2619" s="38" t="n">
        <f aca="false">Q!$D$26</f>
        <v>0</v>
      </c>
      <c r="D2619" s="38" t="n">
        <f aca="false">Q!$E$26</f>
        <v>0</v>
      </c>
      <c r="E2619" s="38" t="n">
        <f aca="false">Q!$P$26</f>
        <v>0</v>
      </c>
      <c r="F2619" s="39" t="n">
        <v>0</v>
      </c>
      <c r="G2619" s="38" t="n">
        <f aca="false">Sens!$E$2619+Sens!$F$2619</f>
        <v>0</v>
      </c>
      <c r="H2619" s="39" t="n">
        <v>0</v>
      </c>
      <c r="I2619" s="39" t="n">
        <v>0</v>
      </c>
      <c r="J2619" s="39" t="n">
        <v>0</v>
      </c>
      <c r="K2619" s="39" t="n">
        <v>0</v>
      </c>
      <c r="L2619" s="39" t="n">
        <v>0</v>
      </c>
      <c r="M2619" s="39" t="n">
        <v>0</v>
      </c>
      <c r="N2619" s="38" t="n">
        <f aca="false">Q!$N$26</f>
        <v>0</v>
      </c>
      <c r="O2619" s="38" t="n">
        <f aca="false">Q!$O$26</f>
        <v>0</v>
      </c>
    </row>
    <row r="2620" customFormat="false" ht="15" hidden="false" customHeight="false" outlineLevel="0" collapsed="false">
      <c r="A2620" s="3" t="s">
        <v>534</v>
      </c>
      <c r="B2620" s="8" t="s">
        <v>86</v>
      </c>
      <c r="C2620" s="38" t="n">
        <f aca="false">Q!$D$25</f>
        <v>68.593</v>
      </c>
      <c r="D2620" s="38" t="n">
        <f aca="false">Q!$E$25</f>
        <v>79.975</v>
      </c>
      <c r="E2620" s="38" t="n">
        <f aca="false">Q!$P$25</f>
        <v>51.313</v>
      </c>
      <c r="F2620" s="38" t="n">
        <f aca="false">Sens!$F$2610+Sens!$F$2615+Sens!$F$2618+Sens!$F$2619</f>
        <v>56.6904916268541</v>
      </c>
      <c r="G2620" s="38" t="n">
        <f aca="false">Sens!$G$2610+Sens!$G$2615+Sens!$G$2618+Sens!$G$2619</f>
        <v>108.003491626854</v>
      </c>
      <c r="H2620" s="38" t="n">
        <f aca="false">Sens!$H$2610+Sens!$H$2615+Sens!$H$2618+Sens!$H$2619</f>
        <v>131.546867769501</v>
      </c>
      <c r="I2620" s="38" t="n">
        <f aca="false">Sens!$I$2610+Sens!$I$2615+Sens!$I$2618+Sens!$I$2619</f>
        <v>151.443755203325</v>
      </c>
      <c r="J2620" s="38" t="n">
        <f aca="false">Sens!$J$2610+Sens!$J$2615+Sens!$J$2618+Sens!$J$2619</f>
        <v>169.831139392687</v>
      </c>
      <c r="K2620" s="38" t="n">
        <f aca="false">Sens!$K$2610+Sens!$K$2615+Sens!$K$2618+Sens!$K$2619</f>
        <v>181.415212493822</v>
      </c>
      <c r="L2620" s="38" t="n">
        <f aca="false">Sens!$L$2610+Sens!$L$2615+Sens!$L$2618+Sens!$L$2619</f>
        <v>192.215984468159</v>
      </c>
      <c r="M2620" s="38" t="n">
        <f aca="false">Sens!$M$2610+Sens!$M$2615+Sens!$M$2618+Sens!$M$2619</f>
        <v>202.255862244218</v>
      </c>
      <c r="N2620" s="38" t="n">
        <f aca="false">Q!$N$25</f>
        <v>37.576</v>
      </c>
      <c r="O2620" s="38" t="n">
        <f aca="false">Q!$O$25</f>
        <v>42.399</v>
      </c>
    </row>
    <row r="2621" customFormat="false" ht="17.15" hidden="false" customHeight="false" outlineLevel="0" collapsed="false">
      <c r="A2621" s="24" t="s">
        <v>764</v>
      </c>
      <c r="B2621" s="25" t="s">
        <v>86</v>
      </c>
      <c r="C2621" s="41" t="n">
        <f aca="false">Sens!$C$2610+Sens!$C$2615+Sens!$C$2618+Sens!$C$2619-Sens!$C$2620</f>
        <v>0</v>
      </c>
      <c r="D2621" s="41" t="n">
        <f aca="false">Sens!$D$2610+Sens!$D$2615+Sens!$D$2618+Sens!$D$2619-Sens!$D$2620</f>
        <v>0</v>
      </c>
      <c r="E2621" s="41" t="n">
        <f aca="false">Sens!$E$2610+Sens!$E$2615+Sens!$E$2618+Sens!$E$2619-Sens!$E$2620</f>
        <v>0</v>
      </c>
      <c r="F2621" s="41" t="n">
        <f aca="false">Sens!$F$2610+Sens!$F$2615+Sens!$F$2618+Sens!$F$2619-Sens!$F$2620</f>
        <v>0</v>
      </c>
      <c r="G2621" s="41" t="n">
        <f aca="false">Sens!$G$2610+Sens!$G$2615+Sens!$G$2618+Sens!$G$2619-Sens!$G$2620</f>
        <v>0</v>
      </c>
      <c r="H2621" s="41" t="n">
        <f aca="false">Sens!$H$2610+Sens!$H$2615+Sens!$H$2618+Sens!$H$2619-Sens!$H$2620</f>
        <v>0</v>
      </c>
      <c r="I2621" s="41" t="n">
        <f aca="false">Sens!$I$2610+Sens!$I$2615+Sens!$I$2618+Sens!$I$2619-Sens!$I$2620</f>
        <v>0</v>
      </c>
      <c r="J2621" s="41" t="n">
        <f aca="false">Sens!$J$2610+Sens!$J$2615+Sens!$J$2618+Sens!$J$2619-Sens!$J$2620</f>
        <v>0</v>
      </c>
      <c r="K2621" s="41" t="n">
        <f aca="false">Sens!$K$2610+Sens!$K$2615+Sens!$K$2618+Sens!$K$2619-Sens!$K$2620</f>
        <v>0</v>
      </c>
      <c r="L2621" s="41" t="n">
        <f aca="false">Sens!$L$2610+Sens!$L$2615+Sens!$L$2618+Sens!$L$2619-Sens!$L$2620</f>
        <v>0</v>
      </c>
      <c r="M2621" s="41" t="n">
        <f aca="false">Sens!$M$2610+Sens!$M$2615+Sens!$M$2618+Sens!$M$2619-Sens!$M$2620</f>
        <v>0</v>
      </c>
      <c r="N2621" s="41" t="n">
        <f aca="false">Sens!$N$2610+Sens!$N$2615+Sens!$N$2618+Sens!$N$2619-Sens!$N$2620</f>
        <v>0</v>
      </c>
      <c r="O2621" s="41" t="n">
        <f aca="false">Sens!$O$2610+Sens!$O$2615+Sens!$O$2618+Sens!$O$2619-Sens!$O$2620</f>
        <v>0</v>
      </c>
    </row>
    <row r="2622" customFormat="false" ht="17.15" hidden="false" customHeight="false" outlineLevel="0" collapsed="false">
      <c r="A2622" s="5" t="s">
        <v>735</v>
      </c>
      <c r="B2622" s="0" t="s">
        <v>86</v>
      </c>
      <c r="C2622" s="38" t="n">
        <f aca="false">Sens!$C$2558</f>
        <v>0</v>
      </c>
      <c r="D2622" s="38" t="n">
        <f aca="false">Sens!$D$2558</f>
        <v>0</v>
      </c>
      <c r="E2622" s="38" t="n">
        <f aca="false">Sens!$E$2558</f>
        <v>0</v>
      </c>
      <c r="F2622" s="38" t="n">
        <f aca="false">Sens!$F$2558</f>
        <v>0</v>
      </c>
      <c r="G2622" s="38" t="n">
        <f aca="false">Sens!$G$2558</f>
        <v>0</v>
      </c>
      <c r="H2622" s="38" t="n">
        <f aca="false">Sens!$H$2558</f>
        <v>0</v>
      </c>
      <c r="I2622" s="38" t="n">
        <f aca="false">Sens!$I$2558</f>
        <v>0</v>
      </c>
      <c r="J2622" s="38" t="n">
        <f aca="false">Sens!$J$2558</f>
        <v>0</v>
      </c>
      <c r="K2622" s="38" t="n">
        <f aca="false">Sens!$K$2558</f>
        <v>0</v>
      </c>
      <c r="L2622" s="38" t="n">
        <f aca="false">Sens!$L$2558</f>
        <v>0</v>
      </c>
      <c r="M2622" s="38" t="n">
        <f aca="false">Sens!$M$2558</f>
        <v>0</v>
      </c>
      <c r="N2622" s="38" t="n">
        <f aca="false">Sens!$N$2558</f>
        <v>0</v>
      </c>
      <c r="O2622" s="38" t="n">
        <f aca="false">Sens!$O$2558</f>
        <v>0</v>
      </c>
      <c r="P2622" s="5" t="s">
        <v>736</v>
      </c>
    </row>
    <row r="2623" customFormat="false" ht="17.15" hidden="false" customHeight="false" outlineLevel="0" collapsed="false">
      <c r="A2623" s="5" t="s">
        <v>737</v>
      </c>
      <c r="B2623" s="0" t="s">
        <v>86</v>
      </c>
      <c r="C2623" s="38" t="n">
        <f aca="false">Sens!$C$2620+Sens!$C$2622</f>
        <v>68.593</v>
      </c>
      <c r="D2623" s="38" t="n">
        <f aca="false">Sens!$D$2620+Sens!$D$2622</f>
        <v>79.975</v>
      </c>
      <c r="E2623" s="38" t="n">
        <f aca="false">Sens!$E$2620+Sens!$E$2622</f>
        <v>51.313</v>
      </c>
      <c r="F2623" s="38" t="n">
        <f aca="false">Sens!$F$2620+Sens!$F$2622</f>
        <v>56.6904916268541</v>
      </c>
      <c r="G2623" s="38" t="n">
        <f aca="false">Sens!$G$2620+Sens!$G$2622</f>
        <v>108.003491626854</v>
      </c>
      <c r="H2623" s="38" t="n">
        <f aca="false">Sens!$H$2620+Sens!$H$2622</f>
        <v>131.546867769501</v>
      </c>
      <c r="I2623" s="38" t="n">
        <f aca="false">Sens!$I$2620+Sens!$I$2622</f>
        <v>151.443755203325</v>
      </c>
      <c r="J2623" s="38" t="n">
        <f aca="false">Sens!$J$2620+Sens!$J$2622</f>
        <v>169.831139392687</v>
      </c>
      <c r="K2623" s="38" t="n">
        <f aca="false">Sens!$K$2620+Sens!$K$2622</f>
        <v>181.415212493822</v>
      </c>
      <c r="L2623" s="38" t="n">
        <f aca="false">Sens!$L$2620+Sens!$L$2622</f>
        <v>192.215984468159</v>
      </c>
      <c r="M2623" s="38" t="n">
        <f aca="false">Sens!$M$2620+Sens!$M$2622</f>
        <v>202.255862244218</v>
      </c>
      <c r="N2623" s="38" t="n">
        <f aca="false">Sens!$N$2620+Sens!$N$2622</f>
        <v>37.576</v>
      </c>
      <c r="O2623" s="38" t="n">
        <f aca="false">Sens!$O$2620+Sens!$O$2622</f>
        <v>42.399</v>
      </c>
    </row>
    <row r="2624" customFormat="false" ht="17.15" hidden="false" customHeight="false" outlineLevel="0" collapsed="false">
      <c r="A2624" s="0" t="s">
        <v>738</v>
      </c>
      <c r="B2624" s="0" t="s">
        <v>52</v>
      </c>
      <c r="C2624" s="13" t="n">
        <f aca="false">Sens!$C$2610/Sens!$C$2595</f>
        <v>0.0644314665661928</v>
      </c>
      <c r="D2624" s="13" t="n">
        <f aca="false">Sens!$D$2610/Sens!$D$2595</f>
        <v>0.0694784250712518</v>
      </c>
      <c r="E2624" s="13" t="n">
        <f aca="false">Sens!$E$2610/Sens!$E$2595</f>
        <v>0.0789306463326071</v>
      </c>
      <c r="F2624" s="13" t="n">
        <f aca="false">Sens!$F$2610/Sens!$F$2595</f>
        <v>0.0801757457241943</v>
      </c>
      <c r="G2624" s="13" t="n">
        <f aca="false">Sens!$G$2610/Sens!$G$2595</f>
        <v>0.0795932749625682</v>
      </c>
      <c r="H2624" s="13" t="n">
        <f aca="false">Sens!$H$2610/Sens!$H$2595</f>
        <v>0.0801494276915951</v>
      </c>
      <c r="I2624" s="13" t="n">
        <f aca="false">Sens!$I$2610/Sens!$I$2595</f>
        <v>0.0784619467108939</v>
      </c>
      <c r="J2624" s="13" t="n">
        <f aca="false">Sens!$J$2610/Sens!$J$2595</f>
        <v>0.0767950945569155</v>
      </c>
      <c r="K2624" s="13" t="n">
        <f aca="false">Sens!$K$2610/Sens!$K$2595</f>
        <v>0.0749782708028101</v>
      </c>
      <c r="L2624" s="13" t="n">
        <f aca="false">Sens!$L$2610/Sens!$L$2595</f>
        <v>0.0740581549602486</v>
      </c>
      <c r="M2624" s="13" t="n">
        <f aca="false">Sens!$M$2610/Sens!$M$2595</f>
        <v>0.075724068445432</v>
      </c>
      <c r="N2624" s="13" t="n">
        <f aca="false">Sens!$N$2610/Sens!$N$2595</f>
        <v>0.069228576611127</v>
      </c>
      <c r="O2624" s="13" t="n">
        <f aca="false">Sens!$O$2610/Sens!$O$2595</f>
        <v>0.069685022498393</v>
      </c>
    </row>
    <row r="2625" customFormat="false" ht="17.15" hidden="false" customHeight="false" outlineLevel="0" collapsed="false">
      <c r="A2625" s="0" t="s">
        <v>739</v>
      </c>
      <c r="B2625" s="0" t="s">
        <v>52</v>
      </c>
      <c r="C2625" s="13" t="n">
        <f aca="false">Sens!$C$2615/Sens!$C$2596</f>
        <v>0.026534925055631</v>
      </c>
      <c r="D2625" s="13" t="n">
        <f aca="false">Sens!$D$2615/Sens!$D$2596</f>
        <v>0.0293401855535103</v>
      </c>
      <c r="E2625" s="13" t="n">
        <f aca="false">Sens!$E$2615/Sens!$E$2596</f>
        <v>0.03831141902276</v>
      </c>
      <c r="F2625" s="13" t="n">
        <f aca="false">Sens!$F$2615/Sens!$F$2596</f>
        <v>0.0281350107328284</v>
      </c>
      <c r="G2625" s="13" t="n">
        <f aca="false">Sens!$G$2615/Sens!$G$2596</f>
        <v>0.0327600029432073</v>
      </c>
      <c r="H2625" s="13" t="n">
        <f aca="false">Sens!$H$2615/Sens!$H$2596</f>
        <v>0.031310920057557</v>
      </c>
      <c r="I2625" s="13" t="n">
        <f aca="false">Sens!$I$2615/Sens!$I$2596</f>
        <v>0.0275950243319601</v>
      </c>
      <c r="J2625" s="13" t="n">
        <f aca="false">Sens!$J$2615/Sens!$J$2596</f>
        <v>0.0238367762099147</v>
      </c>
      <c r="K2625" s="13" t="n">
        <f aca="false">Sens!$K$2615/Sens!$K$2596</f>
        <v>0.0198239122855479</v>
      </c>
      <c r="L2625" s="13" t="n">
        <f aca="false">Sens!$L$2615/Sens!$L$2596</f>
        <v>0.0192499447238486</v>
      </c>
      <c r="M2625" s="13" t="n">
        <f aca="false">Sens!$M$2615/Sens!$M$2596</f>
        <v>0.0212700135680342</v>
      </c>
      <c r="N2625" s="13" t="n">
        <f aca="false">Sens!$N$2615/Sens!$N$2596</f>
        <v>0.0357315650169337</v>
      </c>
      <c r="O2625" s="13" t="n">
        <f aca="false">Sens!$O$2615/Sens!$O$2596</f>
        <v>0.0244378956559703</v>
      </c>
    </row>
    <row r="2626" customFormat="false" ht="17.15" hidden="false" customHeight="false" outlineLevel="0" collapsed="false">
      <c r="A2626" s="14" t="s">
        <v>740</v>
      </c>
      <c r="B2626" s="14" t="s">
        <v>52</v>
      </c>
      <c r="C2626" s="17" t="n">
        <f aca="false">Sens!$C$2618/Sens!$C$2597</f>
        <v>0.370355907620217</v>
      </c>
      <c r="D2626" s="17" t="n">
        <f aca="false">Sens!$D$2618/Sens!$D$2597</f>
        <v>0.35429015342785</v>
      </c>
      <c r="E2626" s="17" t="n">
        <f aca="false">Sens!$E$2618/Sens!$E$2597</f>
        <v>0.385647527531039</v>
      </c>
      <c r="F2626" s="17" t="n">
        <f aca="false">Sens!$F$2618/Sens!$F$2597</f>
        <v>0.390008895496028</v>
      </c>
      <c r="G2626" s="17" t="n">
        <f aca="false">Sens!$G$2618/Sens!$G$2597</f>
        <v>0.387918733944362</v>
      </c>
      <c r="H2626" s="17" t="n">
        <f aca="false">Sens!$H$2618/Sens!$H$2597</f>
        <v>0.377537651365497</v>
      </c>
      <c r="I2626" s="17" t="n">
        <f aca="false">Sens!$I$2618/Sens!$I$2597</f>
        <v>0.359230604038662</v>
      </c>
      <c r="J2626" s="17" t="n">
        <f aca="false">Sens!$J$2618/Sens!$J$2597</f>
        <v>0.345197865849801</v>
      </c>
      <c r="K2626" s="17" t="n">
        <f aca="false">Sens!$K$2618/Sens!$K$2597</f>
        <v>0.32654098357242</v>
      </c>
      <c r="L2626" s="17" t="n">
        <f aca="false">Sens!$L$2618/Sens!$L$2597</f>
        <v>0.314806978274702</v>
      </c>
      <c r="M2626" s="17" t="n">
        <f aca="false">Sens!$M$2618/Sens!$M$2597</f>
        <v>0.304503505485029</v>
      </c>
      <c r="N2626" s="17" t="n">
        <f aca="false">Sens!$N$2618/Sens!$N$2597</f>
        <v>0.360941137346192</v>
      </c>
      <c r="O2626" s="17" t="n">
        <f aca="false">Sens!$O$2618/Sens!$O$2597</f>
        <v>0.348458117664212</v>
      </c>
    </row>
    <row r="2627" customFormat="false" ht="17.15" hidden="false" customHeight="false" outlineLevel="0" collapsed="false">
      <c r="A2627" s="0" t="s">
        <v>741</v>
      </c>
      <c r="B2627" s="0" t="s">
        <v>52</v>
      </c>
      <c r="C2627" s="13" t="n">
        <f aca="false">Sens!$C$2616/Sens!$C$2598</f>
        <v>0.708390794789371</v>
      </c>
      <c r="D2627" s="13" t="n">
        <f aca="false">Sens!$D$2616/Sens!$D$2598</f>
        <v>0.619415573115729</v>
      </c>
      <c r="E2627" s="13" t="n">
        <f aca="false">Sens!$E$2616/Sens!$E$2598</f>
        <v>0.374072166056273</v>
      </c>
      <c r="F2627" s="13" t="n">
        <f aca="false">Sens!$F$2616/Sens!$F$2598</f>
        <v>0.553219320710057</v>
      </c>
      <c r="G2627" s="13" t="n">
        <f aca="false">Sens!$G$2616/Sens!$G$2598</f>
        <v>0.488270041527512</v>
      </c>
      <c r="H2627" s="13" t="n">
        <f aca="false">Sens!$H$2616/Sens!$H$2598</f>
        <v>0.435229086816882</v>
      </c>
      <c r="I2627" s="13" t="n">
        <f aca="false">Sens!$I$2616/Sens!$I$2598</f>
        <v>0.364954592421095</v>
      </c>
      <c r="J2627" s="13" t="n">
        <f aca="false">Sens!$J$2616/Sens!$J$2598</f>
        <v>0.330438308582232</v>
      </c>
      <c r="K2627" s="13" t="n">
        <f aca="false">Sens!$K$2616/Sens!$K$2598</f>
        <v>0.2916589289528</v>
      </c>
      <c r="L2627" s="13" t="n">
        <f aca="false">Sens!$L$2616/Sens!$L$2598</f>
        <v>0.268199200593258</v>
      </c>
      <c r="M2627" s="13" t="n">
        <f aca="false">Sens!$M$2616/Sens!$M$2598</f>
        <v>0.244854995033574</v>
      </c>
      <c r="N2627" s="13" t="n">
        <f aca="false">Sens!$N$2616/Sens!$N$2598</f>
        <v>0.551227795793364</v>
      </c>
      <c r="O2627" s="13" t="n">
        <f aca="false">Sens!$O$2616/Sens!$O$2598</f>
        <v>0.656132068597002</v>
      </c>
    </row>
    <row r="2628" customFormat="false" ht="15" hidden="false" customHeight="false" outlineLevel="0" collapsed="false">
      <c r="A2628" s="5" t="s">
        <v>742</v>
      </c>
      <c r="B2628" s="0" t="s">
        <v>52</v>
      </c>
      <c r="C2628" s="13" t="n">
        <f aca="false">Sens!$C$2620/Sens!$C$2600</f>
        <v>0.107519448742004</v>
      </c>
      <c r="D2628" s="13" t="n">
        <f aca="false">Sens!$D$2620/Sens!$D$2600</f>
        <v>0.111552967957552</v>
      </c>
      <c r="E2628" s="13" t="n">
        <f aca="false">Sens!$E$2620/Sens!$E$2600</f>
        <v>0.13428328426562</v>
      </c>
      <c r="F2628" s="13" t="n">
        <f aca="false">Sens!$F$2620/Sens!$F$2600</f>
        <v>0.130089413875539</v>
      </c>
      <c r="G2628" s="13" t="n">
        <f aca="false">Sens!$G$2620/Sens!$G$2600</f>
        <v>0.132048786678316</v>
      </c>
      <c r="H2628" s="13" t="n">
        <f aca="false">Sens!$H$2620/Sens!$H$2600</f>
        <v>0.139604881440853</v>
      </c>
      <c r="I2628" s="13" t="n">
        <f aca="false">Sens!$I$2620/Sens!$I$2600</f>
        <v>0.141694752432769</v>
      </c>
      <c r="J2628" s="13" t="n">
        <f aca="false">Sens!$J$2620/Sens!$J$2600</f>
        <v>0.14272611544629</v>
      </c>
      <c r="K2628" s="13" t="n">
        <f aca="false">Sens!$K$2620/Sens!$K$2600</f>
        <v>0.139974160596744</v>
      </c>
      <c r="L2628" s="13" t="n">
        <f aca="false">Sens!$L$2620/Sens!$L$2600</f>
        <v>0.137772071866073</v>
      </c>
      <c r="M2628" s="13" t="n">
        <f aca="false">Sens!$M$2620/Sens!$M$2600</f>
        <v>0.13596080857516</v>
      </c>
      <c r="N2628" s="13" t="n">
        <f aca="false">Sens!$N$2620/Sens!$N$2600</f>
        <v>0.116201614873411</v>
      </c>
      <c r="O2628" s="13" t="n">
        <f aca="false">Sens!$O$2620/Sens!$O$2600</f>
        <v>0.107733353660861</v>
      </c>
    </row>
    <row r="2629" customFormat="false" ht="17.15" hidden="false" customHeight="false" outlineLevel="0" collapsed="false">
      <c r="A2629" s="1" t="s">
        <v>743</v>
      </c>
    </row>
    <row r="2630" customFormat="false" ht="17.15" hidden="false" customHeight="false" outlineLevel="0" collapsed="false">
      <c r="A2630" s="5" t="s">
        <v>744</v>
      </c>
      <c r="B2630" s="0" t="s">
        <v>52</v>
      </c>
      <c r="D2630" s="28" t="n">
        <f aca="false">(Q!$E$29+Q!$E$30-(1-ext_sh)*Sens!$D$2552)/Sens!$D$2506</f>
        <v>0.0341105596409988</v>
      </c>
    </row>
    <row r="2631" customFormat="false" ht="17.15" hidden="false" customHeight="false" outlineLevel="0" collapsed="false">
      <c r="A2631" s="0" t="s">
        <v>538</v>
      </c>
      <c r="B2631" s="0" t="s">
        <v>86</v>
      </c>
      <c r="C2631" s="38" t="n">
        <f aca="false">Q!$D$29</f>
        <v>14.285</v>
      </c>
      <c r="D2631" s="38" t="n">
        <f aca="false">Q!$E$29</f>
        <v>15.503</v>
      </c>
      <c r="E2631" s="38" t="n">
        <f aca="false">Q!$P$29</f>
        <v>8.78</v>
      </c>
      <c r="F2631" s="38" t="n">
        <f aca="false">(Sens!$D$2630*Sens!$F$2506+(1-ext_sh)*Sens!$F$2552)*Sens!$F$2507</f>
        <v>9.16735846116642</v>
      </c>
      <c r="G2631" s="38" t="n">
        <f aca="false">Sens!$E$2631+Sens!$F$2631</f>
        <v>17.9473584611664</v>
      </c>
      <c r="H2631" s="38" t="n">
        <f aca="false">(Sens!$D$2630*Sens!$H$2506+(1-ext_sh)*Sens!$H$2552)*Sens!$H$2507</f>
        <v>21.6406723110177</v>
      </c>
      <c r="I2631" s="38" t="n">
        <f aca="false">(Sens!$D$2630*Sens!$I$2506+(1-ext_sh)*Sens!$I$2552)*Sens!$I$2507</f>
        <v>27.3128215555087</v>
      </c>
      <c r="J2631" s="38" t="n">
        <f aca="false">(Sens!$D$2630*Sens!$J$2506+(1-ext_sh)*Sens!$J$2552)*Sens!$J$2507</f>
        <v>33.0116861885756</v>
      </c>
      <c r="K2631" s="38" t="n">
        <f aca="false">(Sens!$D$2630*Sens!$K$2506+(1-ext_sh)*Sens!$K$2552)*Sens!$K$2507</f>
        <v>38.6250238720245</v>
      </c>
      <c r="L2631" s="38" t="n">
        <f aca="false">(Sens!$D$2630*Sens!$L$2506+(1-ext_sh)*Sens!$L$2552)*Sens!$L$2507</f>
        <v>43.0711535197861</v>
      </c>
      <c r="M2631" s="38" t="n">
        <f aca="false">(Sens!$D$2630*Sens!$M$2506+(1-ext_sh)*Sens!$M$2552)*Sens!$M$2507</f>
        <v>46.590728630326</v>
      </c>
      <c r="N2631" s="38" t="n">
        <f aca="false">Q!$N$29</f>
        <v>7.272</v>
      </c>
      <c r="O2631" s="38" t="n">
        <f aca="false">Q!$O$29</f>
        <v>8.231</v>
      </c>
    </row>
    <row r="2632" customFormat="false" ht="17.15" hidden="false" customHeight="false" outlineLevel="0" collapsed="false">
      <c r="A2632" s="0" t="s">
        <v>540</v>
      </c>
      <c r="B2632" s="0" t="s">
        <v>86</v>
      </c>
      <c r="C2632" s="38" t="n">
        <f aca="false">Q!$D$30</f>
        <v>4.462</v>
      </c>
      <c r="D2632" s="38" t="n">
        <f aca="false">Q!$E$30</f>
        <v>4.907</v>
      </c>
      <c r="E2632" s="38" t="n">
        <f aca="false">Q!$P$30</f>
        <v>2.57</v>
      </c>
      <c r="F2632" s="38" t="n">
        <f aca="false">(Sens!$D$2630*Sens!$F$2506+(1-ext_sh)*Sens!$F$2552)*(1-Sens!$F$2507)</f>
        <v>3.59937168293151</v>
      </c>
      <c r="G2632" s="38" t="n">
        <f aca="false">Sens!$E$2632+Sens!$F$2632</f>
        <v>6.16937168293151</v>
      </c>
      <c r="H2632" s="38" t="n">
        <f aca="false">(Sens!$D$2630*Sens!$H$2506+(1-ext_sh)*Sens!$H$2552)*(1-Sens!$H$2507)</f>
        <v>8.28915290031442</v>
      </c>
      <c r="I2632" s="38" t="n">
        <f aca="false">(Sens!$D$2630*Sens!$I$2506+(1-ext_sh)*Sens!$I$2552)*(1-Sens!$I$2507)</f>
        <v>10.4617892992793</v>
      </c>
      <c r="J2632" s="38" t="n">
        <f aca="false">(Sens!$D$2630*Sens!$J$2506+(1-ext_sh)*Sens!$J$2552)*(1-Sens!$J$2507)</f>
        <v>12.6446586493057</v>
      </c>
      <c r="K2632" s="38" t="n">
        <f aca="false">(Sens!$D$2630*Sens!$K$2506+(1-ext_sh)*Sens!$K$2552)*(1-Sens!$K$2507)</f>
        <v>14.7947681131192</v>
      </c>
      <c r="L2632" s="38" t="n">
        <f aca="false">(Sens!$D$2630*Sens!$L$2506+(1-ext_sh)*Sens!$L$2552)*(1-Sens!$L$2507)</f>
        <v>16.4977950771268</v>
      </c>
      <c r="M2632" s="38" t="n">
        <f aca="false">(Sens!$D$2630*Sens!$M$2506+(1-ext_sh)*Sens!$M$2552)*(1-Sens!$M$2507)</f>
        <v>17.8459184540772</v>
      </c>
      <c r="N2632" s="38" t="n">
        <f aca="false">Q!$N$30</f>
        <v>2.316</v>
      </c>
      <c r="O2632" s="38" t="n">
        <f aca="false">Q!$O$30</f>
        <v>2.591</v>
      </c>
    </row>
    <row r="2633" customFormat="false" ht="17.15" hidden="false" customHeight="false" outlineLevel="0" collapsed="false">
      <c r="A2633" s="0" t="s">
        <v>541</v>
      </c>
      <c r="B2633" s="0" t="s">
        <v>86</v>
      </c>
      <c r="C2633" s="38" t="n">
        <f aca="false">Sens!$C$2564</f>
        <v>13.32</v>
      </c>
      <c r="D2633" s="38" t="n">
        <f aca="false">Sens!$D$2564</f>
        <v>21.45</v>
      </c>
      <c r="E2633" s="38" t="n">
        <f aca="false">Sens!$E$2564</f>
        <v>15.353</v>
      </c>
      <c r="F2633" s="38" t="n">
        <f aca="false">Sens!$F$2564</f>
        <v>15.4404120185306</v>
      </c>
      <c r="G2633" s="38" t="n">
        <f aca="false">Sens!$G$2564</f>
        <v>30.7934120185306</v>
      </c>
      <c r="H2633" s="38" t="n">
        <f aca="false">Sens!$H$2564</f>
        <v>48.250114371455</v>
      </c>
      <c r="I2633" s="38" t="n">
        <f aca="false">Sens!$I$2564</f>
        <v>73.3965146995963</v>
      </c>
      <c r="J2633" s="38" t="n">
        <f aca="false">Sens!$J$2564</f>
        <v>99.22806138309</v>
      </c>
      <c r="K2633" s="38" t="n">
        <f aca="false">Sens!$K$2564</f>
        <v>125.386627452856</v>
      </c>
      <c r="L2633" s="38" t="n">
        <f aca="false">Sens!$L$2564</f>
        <v>144.77239043275</v>
      </c>
      <c r="M2633" s="38" t="n">
        <f aca="false">Sens!$M$2564</f>
        <v>158.693930910983</v>
      </c>
      <c r="N2633" s="38" t="n">
        <f aca="false">Sens!$N$2564</f>
        <v>9.234</v>
      </c>
      <c r="O2633" s="38" t="n">
        <f aca="false">Sens!$O$2564</f>
        <v>12.216</v>
      </c>
    </row>
    <row r="2634" customFormat="false" ht="17.15" hidden="false" customHeight="false" outlineLevel="0" collapsed="false">
      <c r="A2634" s="5" t="s">
        <v>745</v>
      </c>
      <c r="B2634" s="0" t="s">
        <v>86</v>
      </c>
      <c r="C2634" s="38" t="n">
        <f aca="false">Sens!$C$2631+Sens!$C$2632+Sens!$C$2633</f>
        <v>32.067</v>
      </c>
      <c r="D2634" s="38" t="n">
        <f aca="false">Sens!$D$2631+Sens!$D$2632+Sens!$D$2633</f>
        <v>41.86</v>
      </c>
      <c r="E2634" s="38" t="n">
        <f aca="false">Sens!$E$2631+Sens!$E$2632+Sens!$E$2633</f>
        <v>26.703</v>
      </c>
      <c r="F2634" s="38" t="n">
        <f aca="false">Sens!$F$2631+Sens!$F$2632+Sens!$F$2633</f>
        <v>28.2071421626285</v>
      </c>
      <c r="G2634" s="38" t="n">
        <f aca="false">Sens!$G$2631+Sens!$G$2632+Sens!$G$2633</f>
        <v>54.9101421626285</v>
      </c>
      <c r="H2634" s="38" t="n">
        <f aca="false">Sens!$H$2631+Sens!$H$2632+Sens!$H$2633</f>
        <v>78.1799395827871</v>
      </c>
      <c r="I2634" s="38" t="n">
        <f aca="false">Sens!$I$2631+Sens!$I$2632+Sens!$I$2633</f>
        <v>111.171125554384</v>
      </c>
      <c r="J2634" s="38" t="n">
        <f aca="false">Sens!$J$2631+Sens!$J$2632+Sens!$J$2633</f>
        <v>144.884406220971</v>
      </c>
      <c r="K2634" s="38" t="n">
        <f aca="false">Sens!$K$2631+Sens!$K$2632+Sens!$K$2633</f>
        <v>178.806419437999</v>
      </c>
      <c r="L2634" s="38" t="n">
        <f aca="false">Sens!$L$2631+Sens!$L$2632+Sens!$L$2633</f>
        <v>204.341339029663</v>
      </c>
      <c r="M2634" s="38" t="n">
        <f aca="false">Sens!$M$2631+Sens!$M$2632+Sens!$M$2633</f>
        <v>223.130577995387</v>
      </c>
      <c r="N2634" s="38" t="n">
        <f aca="false">Sens!$N$2631+Sens!$N$2632+Sens!$N$2633</f>
        <v>18.822</v>
      </c>
      <c r="O2634" s="38" t="n">
        <f aca="false">Sens!$O$2631+Sens!$O$2632+Sens!$O$2633</f>
        <v>23.038</v>
      </c>
    </row>
    <row r="2635" customFormat="false" ht="17.15" hidden="false" customHeight="false" outlineLevel="0" collapsed="false">
      <c r="A2635" s="0" t="s">
        <v>746</v>
      </c>
      <c r="B2635" s="0" t="s">
        <v>86</v>
      </c>
      <c r="C2635" s="38" t="n">
        <f aca="false">Sens!$C$2606+Sens!$C$2611</f>
        <v>28.107</v>
      </c>
      <c r="D2635" s="38" t="n">
        <f aca="false">Sens!$D$2606+Sens!$D$2611</f>
        <v>34.3175</v>
      </c>
      <c r="E2635" s="38" t="n">
        <f aca="false">Sens!$E$2606+Sens!$E$2611</f>
        <v>18.526</v>
      </c>
      <c r="F2635" s="38" t="n">
        <f aca="false">Sens!$F$2606+Sens!$F$2611</f>
        <v>23.0786109972074</v>
      </c>
      <c r="G2635" s="38" t="n">
        <f aca="false">Sens!$G$2606+Sens!$G$2611</f>
        <v>41.6046109972074</v>
      </c>
      <c r="H2635" s="38" t="n">
        <f aca="false">Sens!$H$2606+Sens!$H$2611</f>
        <v>49.9484611939488</v>
      </c>
      <c r="I2635" s="38" t="n">
        <f aca="false">Sens!$I$2606+Sens!$I$2611</f>
        <v>58.2915555477481</v>
      </c>
      <c r="J2635" s="38" t="n">
        <f aca="false">Sens!$J$2606+Sens!$J$2611</f>
        <v>66.0744709709759</v>
      </c>
      <c r="K2635" s="38" t="n">
        <f aca="false">Sens!$K$2606+Sens!$K$2611</f>
        <v>72.6819180680735</v>
      </c>
      <c r="L2635" s="38" t="n">
        <f aca="false">Sens!$L$2606+Sens!$L$2611</f>
        <v>79.9501098748808</v>
      </c>
      <c r="M2635" s="38" t="n">
        <f aca="false">Sens!$M$2606+Sens!$M$2611</f>
        <v>87.9451208623689</v>
      </c>
      <c r="N2635" s="38" t="n">
        <f aca="false">Sens!$N$2606+Sens!$N$2611</f>
        <v>14.8075</v>
      </c>
      <c r="O2635" s="38" t="n">
        <f aca="false">Sens!$O$2606+Sens!$O$2611</f>
        <v>19.51</v>
      </c>
    </row>
    <row r="2636" customFormat="false" ht="17.15" hidden="false" customHeight="false" outlineLevel="0" collapsed="false">
      <c r="A2636" s="0" t="s">
        <v>747</v>
      </c>
      <c r="B2636" s="0" t="s">
        <v>86</v>
      </c>
      <c r="C2636" s="38" t="n">
        <f aca="false">Sens!$C$2610+Sens!$C$2615+Sens!$C$2631+Sens!$C$2632-Sens!$C$2635</f>
        <v>19.399</v>
      </c>
      <c r="D2636" s="38" t="n">
        <f aca="false">Sens!$D$2610+Sens!$D$2615+Sens!$D$2631+Sens!$D$2632-Sens!$D$2635</f>
        <v>20.4615</v>
      </c>
      <c r="E2636" s="38" t="n">
        <f aca="false">Sens!$E$2610+Sens!$E$2615+Sens!$E$2631+Sens!$E$2632-Sens!$E$2635</f>
        <v>13.355</v>
      </c>
      <c r="F2636" s="38" t="n">
        <f aca="false">Sens!$F$2610+Sens!$F$2615+Sens!$F$2631+Sens!$F$2632-Sens!$F$2635</f>
        <v>12.5520732018618</v>
      </c>
      <c r="G2636" s="38" t="n">
        <f aca="false">Sens!$G$2610+Sens!$G$2615+Sens!$G$2631+Sens!$G$2632-Sens!$G$2635</f>
        <v>25.9070732018618</v>
      </c>
      <c r="H2636" s="38" t="n">
        <f aca="false">Sens!$H$2610+Sens!$H$2615+Sens!$H$2631+Sens!$H$2632-Sens!$H$2635</f>
        <v>28.0233335906818</v>
      </c>
      <c r="I2636" s="38" t="n">
        <f aca="false">Sens!$I$2610+Sens!$I$2615+Sens!$I$2631+Sens!$I$2632-Sens!$I$2635</f>
        <v>30.2440066606864</v>
      </c>
      <c r="J2636" s="38" t="n">
        <f aca="false">Sens!$J$2610+Sens!$J$2615+Sens!$J$2631+Sens!$J$2632-Sens!$J$2635</f>
        <v>32.4596500296286</v>
      </c>
      <c r="K2636" s="38" t="n">
        <f aca="false">Sens!$K$2610+Sens!$K$2615+Sens!$K$2631+Sens!$K$2632-Sens!$K$2635</f>
        <v>34.839425971154</v>
      </c>
      <c r="L2636" s="38" t="n">
        <f aca="false">Sens!$L$2610+Sens!$L$2615+Sens!$L$2631+Sens!$L$2632-Sens!$L$2635</f>
        <v>36.4424209524427</v>
      </c>
      <c r="M2636" s="38" t="n">
        <f aca="false">Sens!$M$2610+Sens!$M$2615+Sens!$M$2631+Sens!$M$2632-Sens!$M$2635</f>
        <v>38.8413540019876</v>
      </c>
      <c r="N2636" s="38" t="n">
        <f aca="false">Sens!$N$2610+Sens!$N$2615+Sens!$N$2631+Sens!$N$2632-Sens!$N$2635</f>
        <v>10.6495</v>
      </c>
      <c r="O2636" s="38" t="n">
        <f aca="false">Sens!$O$2610+Sens!$O$2615+Sens!$O$2631+Sens!$O$2632-Sens!$O$2635</f>
        <v>9.81200000000001</v>
      </c>
    </row>
    <row r="2637" customFormat="false" ht="17.15" hidden="false" customHeight="false" outlineLevel="0" collapsed="false">
      <c r="A2637" s="0" t="s">
        <v>748</v>
      </c>
      <c r="B2637" s="0" t="s">
        <v>86</v>
      </c>
      <c r="C2637" s="38" t="n">
        <f aca="false">Sens!$C$2617+Sens!$C$2633-ext_sh*Sens!$C$2552</f>
        <v>51.3470500115664</v>
      </c>
      <c r="D2637" s="38" t="n">
        <f aca="false">Sens!$D$2617+Sens!$D$2633-ext_sh*Sens!$D$2552</f>
        <v>60.2799375433739</v>
      </c>
      <c r="E2637" s="38" t="n">
        <f aca="false">Sens!$E$2617+Sens!$E$2633-ext_sh*Sens!$E$2552</f>
        <v>39.5095167090767</v>
      </c>
      <c r="F2637" s="38" t="n">
        <f aca="false">Sens!$F$2617+Sens!$F$2633-ext_sh*Sens!$F$2552</f>
        <v>37.5468918745429</v>
      </c>
      <c r="G2637" s="38" t="n">
        <f aca="false">Sens!$G$2617+Sens!$G$2633-ext_sh*Sens!$G$2552</f>
        <v>77.0564085836196</v>
      </c>
      <c r="H2637" s="38" t="n">
        <f aca="false">Sens!$H$2617+Sens!$H$2633-ext_sh*Sens!$H$2552</f>
        <v>84.2378398616123</v>
      </c>
      <c r="I2637" s="38" t="n">
        <f aca="false">Sens!$I$2617+Sens!$I$2633-ext_sh*Sens!$I$2552</f>
        <v>93.5253492849083</v>
      </c>
      <c r="J2637" s="38" t="n">
        <f aca="false">Sens!$J$2617+Sens!$J$2633-ext_sh*Sens!$J$2552</f>
        <v>102.42210777817</v>
      </c>
      <c r="K2637" s="38" t="n">
        <f aca="false">Sens!$K$2617+Sens!$K$2633-ext_sh*Sens!$K$2552</f>
        <v>110.615876400424</v>
      </c>
      <c r="L2637" s="38" t="n">
        <f aca="false">Sens!$L$2617+Sens!$L$2633-ext_sh*Sens!$L$2552</f>
        <v>119.465146512458</v>
      </c>
      <c r="M2637" s="38" t="n">
        <f aca="false">Sens!$M$2617+Sens!$M$2633-ext_sh*Sens!$M$2552</f>
        <v>129.022358233455</v>
      </c>
      <c r="N2637" s="38" t="n">
        <f aca="false">Sens!$N$2617+Sens!$N$2633-ext_sh*Sens!$N$2552</f>
        <v>28.5693781401809</v>
      </c>
      <c r="O2637" s="38" t="n">
        <f aca="false">Sens!$O$2617+Sens!$O$2633-ext_sh*Sens!$O$2552</f>
        <v>31.7105594031931</v>
      </c>
    </row>
    <row r="2638" customFormat="false" ht="17.15" hidden="false" customHeight="false" outlineLevel="0" collapsed="false">
      <c r="A2638" s="0" t="s">
        <v>749</v>
      </c>
      <c r="B2638" s="0" t="s">
        <v>86</v>
      </c>
      <c r="C2638" s="38" t="n">
        <f aca="false">Sens!$C$2555</f>
        <v>1.80694998843362</v>
      </c>
      <c r="D2638" s="38" t="n">
        <f aca="false">Sens!$D$2555</f>
        <v>6.77606245662607</v>
      </c>
      <c r="E2638" s="38" t="n">
        <f aca="false">Sens!$E$2555</f>
        <v>6.62548329092326</v>
      </c>
      <c r="F2638" s="38" t="n">
        <f aca="false">Sens!$F$2555</f>
        <v>11.7200577158706</v>
      </c>
      <c r="G2638" s="38" t="n">
        <f aca="false">Sens!$G$2555</f>
        <v>18.3455410067939</v>
      </c>
      <c r="H2638" s="38" t="n">
        <f aca="false">Sens!$H$2555</f>
        <v>47.5171727060453</v>
      </c>
      <c r="I2638" s="38" t="n">
        <f aca="false">Sens!$I$2555</f>
        <v>80.5539692643667</v>
      </c>
      <c r="J2638" s="38" t="n">
        <f aca="false">Sens!$J$2555</f>
        <v>113.759316834883</v>
      </c>
      <c r="K2638" s="38" t="n">
        <f aca="false">Sens!$K$2555</f>
        <v>142.084411492169</v>
      </c>
      <c r="L2638" s="38" t="n">
        <f aca="false">Sens!$L$2555</f>
        <v>160.69964615804</v>
      </c>
      <c r="M2638" s="38" t="n">
        <f aca="false">Sens!$M$2555</f>
        <v>169.577607141793</v>
      </c>
      <c r="N2638" s="38" t="n">
        <f aca="false">Sens!$N$2555</f>
        <v>2.37162185981912</v>
      </c>
      <c r="O2638" s="38" t="n">
        <f aca="false">Sens!$O$2555</f>
        <v>4.40444059680694</v>
      </c>
    </row>
    <row r="2639" customFormat="false" ht="17.15" hidden="false" customHeight="false" outlineLevel="0" collapsed="false">
      <c r="A2639" s="0" t="s">
        <v>750</v>
      </c>
      <c r="B2639" s="0" t="s">
        <v>86</v>
      </c>
      <c r="C2639" s="38" t="n">
        <f aca="false">Sens!$C$2620+Sens!$C$2634</f>
        <v>100.66</v>
      </c>
      <c r="D2639" s="38" t="n">
        <f aca="false">Sens!$D$2620+Sens!$D$2634</f>
        <v>121.835</v>
      </c>
      <c r="E2639" s="38" t="n">
        <f aca="false">Sens!$E$2620+Sens!$E$2634</f>
        <v>78.016</v>
      </c>
      <c r="F2639" s="38" t="n">
        <f aca="false">Sens!$F$2620+Sens!$F$2634</f>
        <v>84.8976337894826</v>
      </c>
      <c r="G2639" s="38" t="n">
        <f aca="false">Sens!$G$2620+Sens!$G$2634</f>
        <v>162.913633789483</v>
      </c>
      <c r="H2639" s="38" t="n">
        <f aca="false">Sens!$H$2620+Sens!$H$2634</f>
        <v>209.726807352288</v>
      </c>
      <c r="I2639" s="38" t="n">
        <f aca="false">Sens!$I$2620+Sens!$I$2634</f>
        <v>262.61488075771</v>
      </c>
      <c r="J2639" s="38" t="n">
        <f aca="false">Sens!$J$2620+Sens!$J$2634</f>
        <v>314.715545613658</v>
      </c>
      <c r="K2639" s="38" t="n">
        <f aca="false">Sens!$K$2620+Sens!$K$2634</f>
        <v>360.221631931821</v>
      </c>
      <c r="L2639" s="38" t="n">
        <f aca="false">Sens!$L$2620+Sens!$L$2634</f>
        <v>396.557323497822</v>
      </c>
      <c r="M2639" s="38" t="n">
        <f aca="false">Sens!$M$2620+Sens!$M$2634</f>
        <v>425.386440239605</v>
      </c>
      <c r="N2639" s="38" t="n">
        <f aca="false">Sens!$N$2620+Sens!$N$2634</f>
        <v>56.398</v>
      </c>
      <c r="O2639" s="38" t="n">
        <f aca="false">Sens!$O$2620+Sens!$O$2634</f>
        <v>65.437</v>
      </c>
    </row>
    <row r="2640" customFormat="false" ht="17.15" hidden="false" customHeight="false" outlineLevel="0" collapsed="false">
      <c r="A2640" s="1" t="s">
        <v>751</v>
      </c>
    </row>
    <row r="2641" customFormat="false" ht="15" hidden="false" customHeight="false" outlineLevel="0" collapsed="false">
      <c r="A2641" s="5" t="s">
        <v>544</v>
      </c>
      <c r="B2641" s="0" t="s">
        <v>86</v>
      </c>
      <c r="C2641" s="38" t="n">
        <f aca="false">Q!$D$34</f>
        <v>2.406</v>
      </c>
      <c r="D2641" s="38" t="n">
        <f aca="false">Q!$E$34</f>
        <v>2.274</v>
      </c>
      <c r="E2641" s="38" t="n">
        <f aca="false">Q!$P$34</f>
        <v>2.114</v>
      </c>
      <c r="F2641" s="38" t="n">
        <f aca="false">Sens!$F$2679</f>
        <v>3.24888962733561</v>
      </c>
      <c r="G2641" s="38" t="n">
        <f aca="false">Sens!$E$2641+Sens!$F$2641</f>
        <v>5.36288962733561</v>
      </c>
      <c r="H2641" s="38" t="n">
        <f aca="false">Sens!$H$2679</f>
        <v>7.42354172302123</v>
      </c>
      <c r="I2641" s="38" t="n">
        <f aca="false">Sens!$I$2679</f>
        <v>8.48968024898619</v>
      </c>
      <c r="J2641" s="38" t="n">
        <f aca="false">Sens!$J$2679</f>
        <v>9.63598826439483</v>
      </c>
      <c r="K2641" s="38" t="n">
        <f aca="false">Sens!$K$2679</f>
        <v>9.63598826439483</v>
      </c>
      <c r="L2641" s="38" t="n">
        <f aca="false">Sens!$L$2679</f>
        <v>9.63598826439483</v>
      </c>
      <c r="M2641" s="38" t="n">
        <f aca="false">Sens!$M$2679</f>
        <v>9.63598826439483</v>
      </c>
      <c r="N2641" s="38" t="n">
        <f aca="false">Q!$N$34</f>
        <v>1.057</v>
      </c>
      <c r="O2641" s="38" t="n">
        <f aca="false">Q!$O$34</f>
        <v>1.217</v>
      </c>
    </row>
    <row r="2642" customFormat="false" ht="15" hidden="false" customHeight="false" outlineLevel="0" collapsed="false">
      <c r="A2642" s="5" t="s">
        <v>752</v>
      </c>
      <c r="B2642" s="0" t="s">
        <v>86</v>
      </c>
      <c r="F2642" s="38" t="n">
        <f aca="false">Sens!$F$2680</f>
        <v>2.59</v>
      </c>
      <c r="H2642" s="38" t="n">
        <f aca="false">Sens!$H$2680</f>
        <v>3.76965165045626</v>
      </c>
      <c r="I2642" s="38" t="n">
        <f aca="false">Sens!$I$2680</f>
        <v>2.10589651022864</v>
      </c>
      <c r="J2642" s="38" t="n">
        <f aca="false">Sens!$J$2680</f>
        <v>2.10589651022864</v>
      </c>
      <c r="K2642" s="38" t="n">
        <f aca="false">Sens!$K$2680</f>
        <v>3.03184385018094</v>
      </c>
      <c r="L2642" s="38" t="n">
        <f aca="false">Sens!$L$2680</f>
        <v>8.01944213829919</v>
      </c>
      <c r="M2642" s="38" t="n">
        <f aca="false">Sens!$M$2680</f>
        <v>15.4751142339777</v>
      </c>
    </row>
    <row r="2643" customFormat="false" ht="17.15" hidden="false" customHeight="false" outlineLevel="0" collapsed="false">
      <c r="A2643" s="5" t="s">
        <v>753</v>
      </c>
      <c r="B2643" s="0" t="s">
        <v>86</v>
      </c>
      <c r="C2643" s="38" t="n">
        <f aca="false">Q!$D$39</f>
        <v>2.427</v>
      </c>
      <c r="D2643" s="38" t="n">
        <f aca="false">Q!$E$39</f>
        <v>19.61</v>
      </c>
      <c r="E2643" s="38" t="n">
        <f aca="false">Q!$P$39</f>
        <v>71.492</v>
      </c>
      <c r="F2643" s="39" t="n">
        <v>0</v>
      </c>
      <c r="G2643" s="38" t="n">
        <f aca="false">Sens!$E$2643+Sens!$F$2643</f>
        <v>71.492</v>
      </c>
      <c r="H2643" s="39" t="n">
        <v>0</v>
      </c>
      <c r="I2643" s="39" t="n">
        <v>0</v>
      </c>
      <c r="J2643" s="39" t="n">
        <v>0</v>
      </c>
      <c r="K2643" s="39" t="n">
        <v>0</v>
      </c>
      <c r="L2643" s="39" t="n">
        <v>0</v>
      </c>
      <c r="M2643" s="39" t="n">
        <v>0</v>
      </c>
      <c r="N2643" s="38" t="n">
        <f aca="false">Q!$N$39</f>
        <v>6.017</v>
      </c>
      <c r="O2643" s="38" t="n">
        <f aca="false">Q!$O$39</f>
        <v>13.593</v>
      </c>
      <c r="P2643" s="5" t="s">
        <v>754</v>
      </c>
    </row>
    <row r="2644" customFormat="false" ht="15" hidden="false" customHeight="false" outlineLevel="0" collapsed="false">
      <c r="A2644" s="5" t="s">
        <v>547</v>
      </c>
      <c r="B2644" s="0" t="s">
        <v>86</v>
      </c>
      <c r="C2644" s="38" t="n">
        <f aca="false">Q!$D$36</f>
        <v>68.614</v>
      </c>
      <c r="D2644" s="38" t="n">
        <f aca="false">Q!$E$36</f>
        <v>97.311</v>
      </c>
      <c r="E2644" s="38" t="n">
        <f aca="false">Q!$P$36</f>
        <v>120.691</v>
      </c>
      <c r="F2644" s="38" t="n">
        <f aca="false">Sens!$F$2620-Sens!$F$2641+Sens!$F$2642+Sens!$F$2643</f>
        <v>56.0316019995185</v>
      </c>
      <c r="G2644" s="38" t="n">
        <f aca="false">Sens!$E$2644+Sens!$F$2644</f>
        <v>176.722601999518</v>
      </c>
      <c r="H2644" s="38" t="n">
        <f aca="false">Sens!$H$2620-Sens!$H$2641+Sens!$H$2642+Sens!$H$2643</f>
        <v>127.892977696936</v>
      </c>
      <c r="I2644" s="38" t="n">
        <f aca="false">Sens!$I$2620-Sens!$I$2641+Sens!$I$2642+Sens!$I$2643</f>
        <v>145.059971464568</v>
      </c>
      <c r="J2644" s="38" t="n">
        <f aca="false">Sens!$J$2620-Sens!$J$2641+Sens!$J$2642+Sens!$J$2643</f>
        <v>162.301047638521</v>
      </c>
      <c r="K2644" s="38" t="n">
        <f aca="false">Sens!$K$2620-Sens!$K$2641+Sens!$K$2642+Sens!$K$2643</f>
        <v>174.811068079608</v>
      </c>
      <c r="L2644" s="38" t="n">
        <f aca="false">Sens!$L$2620-Sens!$L$2641+Sens!$L$2642+Sens!$L$2643</f>
        <v>190.599438342064</v>
      </c>
      <c r="M2644" s="38" t="n">
        <f aca="false">Sens!$M$2620-Sens!$M$2641+Sens!$M$2642+Sens!$M$2643</f>
        <v>208.094988213801</v>
      </c>
      <c r="N2644" s="38" t="n">
        <f aca="false">Q!$N$36</f>
        <v>42.536</v>
      </c>
      <c r="O2644" s="38" t="n">
        <f aca="false">Q!$O$36</f>
        <v>54.775</v>
      </c>
    </row>
    <row r="2645" customFormat="false" ht="15" hidden="false" customHeight="false" outlineLevel="0" collapsed="false">
      <c r="A2645" s="5" t="s">
        <v>548</v>
      </c>
      <c r="B2645" s="0" t="s">
        <v>86</v>
      </c>
      <c r="C2645" s="38" t="n">
        <f aca="false">Q!$D$37</f>
        <v>9.265</v>
      </c>
      <c r="D2645" s="38" t="n">
        <f aca="false">Q!$E$37</f>
        <v>19.087</v>
      </c>
      <c r="E2645" s="38" t="n">
        <f aca="false">Q!$P$37</f>
        <v>27.759</v>
      </c>
      <c r="F2645" s="38" t="n">
        <f aca="false">Sens!$F$2644*tax</f>
        <v>9.72621910890414</v>
      </c>
      <c r="G2645" s="38" t="n">
        <f aca="false">Sens!$E$2645+Sens!$F$2645</f>
        <v>37.4852191089041</v>
      </c>
      <c r="H2645" s="38" t="n">
        <f aca="false">Sens!$H$2644*tax</f>
        <v>22.2002419916761</v>
      </c>
      <c r="I2645" s="38" t="n">
        <f aca="false">Sens!$I$2644*tax</f>
        <v>25.1801664783365</v>
      </c>
      <c r="J2645" s="38" t="n">
        <f aca="false">Sens!$J$2644*tax</f>
        <v>28.1729505244292</v>
      </c>
      <c r="K2645" s="38" t="n">
        <f aca="false">Sens!$K$2644*tax</f>
        <v>30.3444965007146</v>
      </c>
      <c r="L2645" s="38" t="n">
        <f aca="false">Sens!$L$2644*tax</f>
        <v>33.0851132788405</v>
      </c>
      <c r="M2645" s="38" t="n">
        <f aca="false">Sens!$M$2644*tax</f>
        <v>36.1220700213006</v>
      </c>
      <c r="N2645" s="38" t="n">
        <f aca="false">Q!$N$37</f>
        <v>7.231</v>
      </c>
      <c r="O2645" s="38" t="n">
        <f aca="false">Q!$O$37</f>
        <v>11.856</v>
      </c>
    </row>
    <row r="2646" customFormat="false" ht="15" hidden="false" customHeight="false" outlineLevel="0" collapsed="false">
      <c r="A2646" s="3" t="s">
        <v>549</v>
      </c>
      <c r="B2646" s="8" t="s">
        <v>86</v>
      </c>
      <c r="C2646" s="38" t="n">
        <f aca="false">Q!$D$38</f>
        <v>59.248</v>
      </c>
      <c r="D2646" s="38" t="n">
        <f aca="false">Q!$E$38</f>
        <v>77.67</v>
      </c>
      <c r="E2646" s="38" t="n">
        <f aca="false">Q!$P$38</f>
        <v>92.902</v>
      </c>
      <c r="F2646" s="38" t="n">
        <f aca="false">Sens!$F$2644-Sens!$F$2645</f>
        <v>46.3053828906144</v>
      </c>
      <c r="G2646" s="38" t="n">
        <f aca="false">Sens!$E$2646+Sens!$F$2646</f>
        <v>139.207382890614</v>
      </c>
      <c r="H2646" s="38" t="n">
        <f aca="false">Sens!$H$2644-Sens!$H$2645</f>
        <v>105.69273570526</v>
      </c>
      <c r="I2646" s="38" t="n">
        <f aca="false">Sens!$I$2644-Sens!$I$2645</f>
        <v>119.879804986231</v>
      </c>
      <c r="J2646" s="38" t="n">
        <f aca="false">Sens!$J$2644-Sens!$J$2645</f>
        <v>134.128097114092</v>
      </c>
      <c r="K2646" s="38" t="n">
        <f aca="false">Sens!$K$2644-Sens!$K$2645</f>
        <v>144.466571578893</v>
      </c>
      <c r="L2646" s="38" t="n">
        <f aca="false">Sens!$L$2644-Sens!$L$2645</f>
        <v>157.514325063223</v>
      </c>
      <c r="M2646" s="38" t="n">
        <f aca="false">Sens!$M$2644-Sens!$M$2645</f>
        <v>171.9729181925</v>
      </c>
      <c r="N2646" s="38" t="n">
        <f aca="false">Q!$N$38</f>
        <v>35.291</v>
      </c>
      <c r="O2646" s="38" t="n">
        <f aca="false">Q!$O$38</f>
        <v>42.379</v>
      </c>
    </row>
    <row r="2647" customFormat="false" ht="17.15" hidden="false" customHeight="false" outlineLevel="0" collapsed="false">
      <c r="A2647" s="5" t="s">
        <v>552</v>
      </c>
      <c r="B2647" s="5" t="s">
        <v>33</v>
      </c>
      <c r="C2647" s="22" t="n">
        <f aca="false">Q!$D$41</f>
        <v>10.721</v>
      </c>
      <c r="D2647" s="22" t="n">
        <f aca="false">Q!$E$41</f>
        <v>10.827</v>
      </c>
      <c r="E2647" s="22" t="n">
        <f aca="false">(Q!$L$41+Q!$M$41)/2</f>
        <v>10.8885</v>
      </c>
      <c r="F2647" s="22" t="n">
        <f aca="false">Sens!$G$2647</f>
        <v>10.924806</v>
      </c>
      <c r="G2647" s="22" t="n">
        <f aca="false">Q!$M$41*(1+sh_g*0.25)</f>
        <v>10.924806</v>
      </c>
      <c r="H2647" s="22" t="n">
        <f aca="false">Sens!$G$2647*(1+sh_g)</f>
        <v>11.012204448</v>
      </c>
      <c r="I2647" s="22" t="n">
        <f aca="false">Sens!$H$2647*(1+sh_g)</f>
        <v>11.100302083584</v>
      </c>
      <c r="J2647" s="22" t="n">
        <f aca="false">Sens!$I$2647*(1+sh_g)</f>
        <v>11.1891045002527</v>
      </c>
      <c r="K2647" s="22" t="n">
        <f aca="false">Sens!$J$2647*(1+sh_g)</f>
        <v>11.2786173362547</v>
      </c>
      <c r="L2647" s="22" t="n">
        <f aca="false">Sens!$K$2647*(1+sh_g)</f>
        <v>11.3688462749447</v>
      </c>
      <c r="M2647" s="22" t="n">
        <f aca="false">Sens!$L$2647*(1+sh_g)</f>
        <v>11.4597970451443</v>
      </c>
      <c r="P2647" s="5" t="s">
        <v>755</v>
      </c>
    </row>
    <row r="2648" customFormat="false" ht="17.15" hidden="false" customHeight="false" outlineLevel="0" collapsed="false">
      <c r="A2648" s="5" t="s">
        <v>756</v>
      </c>
      <c r="B2648" s="0" t="s">
        <v>86</v>
      </c>
      <c r="C2648" s="38" t="n">
        <f aca="false">Sens!$C$2646+Sens!$C$2622*(1-tax)</f>
        <v>59.248</v>
      </c>
      <c r="D2648" s="38" t="n">
        <f aca="false">Sens!$D$2646+Sens!$D$2622*(1-tax)</f>
        <v>77.67</v>
      </c>
      <c r="E2648" s="38" t="n">
        <f aca="false">Sens!$E$2646+Sens!$E$2622*(1-tax)</f>
        <v>92.902</v>
      </c>
      <c r="F2648" s="38" t="n">
        <f aca="false">Sens!$F$2646+Sens!$F$2622*(1-tax)</f>
        <v>46.3053828906144</v>
      </c>
      <c r="G2648" s="38" t="n">
        <f aca="false">Sens!$G$2646+Sens!$G$2622*(1-tax)</f>
        <v>139.207382890614</v>
      </c>
      <c r="H2648" s="38" t="n">
        <f aca="false">Sens!$H$2646+Sens!$H$2622*(1-tax)</f>
        <v>105.69273570526</v>
      </c>
      <c r="I2648" s="38" t="n">
        <f aca="false">Sens!$I$2646+Sens!$I$2622*(1-tax)</f>
        <v>119.879804986231</v>
      </c>
      <c r="J2648" s="38" t="n">
        <f aca="false">Sens!$J$2646+Sens!$J$2622*(1-tax)</f>
        <v>134.128097114092</v>
      </c>
      <c r="K2648" s="38" t="n">
        <f aca="false">Sens!$K$2646+Sens!$K$2622*(1-tax)</f>
        <v>144.466571578893</v>
      </c>
      <c r="L2648" s="38" t="n">
        <f aca="false">Sens!$L$2646+Sens!$L$2622*(1-tax)</f>
        <v>157.514325063223</v>
      </c>
      <c r="M2648" s="38" t="n">
        <f aca="false">Sens!$M$2646+Sens!$M$2622*(1-tax)</f>
        <v>171.9729181925</v>
      </c>
      <c r="N2648" s="38" t="n">
        <f aca="false">Sens!$N$2646+Sens!$N$2622*(1-tax)</f>
        <v>35.291</v>
      </c>
      <c r="O2648" s="38" t="n">
        <f aca="false">Sens!$O$2646+Sens!$O$2622*(1-tax)</f>
        <v>42.379</v>
      </c>
    </row>
    <row r="2649" customFormat="false" ht="17.15" hidden="false" customHeight="false" outlineLevel="0" collapsed="false">
      <c r="A2649" s="43" t="s">
        <v>757</v>
      </c>
      <c r="B2649" s="14" t="s">
        <v>27</v>
      </c>
      <c r="C2649" s="44" t="n">
        <f aca="false">Sens!$C$2648/Sens!$C$2647</f>
        <v>5.52635015390355</v>
      </c>
      <c r="D2649" s="44" t="n">
        <f aca="false">Sens!$D$2648/Sens!$D$2647</f>
        <v>7.1737323358271</v>
      </c>
      <c r="E2649" s="44" t="n">
        <f aca="false">Sens!$E$2648/Sens!$E$2647</f>
        <v>8.53212104513937</v>
      </c>
      <c r="F2649" s="14"/>
      <c r="G2649" s="44" t="n">
        <f aca="false">Sens!$G$2648/Sens!$G$2647</f>
        <v>12.7423208147233</v>
      </c>
      <c r="H2649" s="44" t="n">
        <f aca="false">Sens!$H$2648/Sens!$H$2647</f>
        <v>9.59778182509639</v>
      </c>
      <c r="I2649" s="44" t="n">
        <f aca="false">Sens!$I$2648/Sens!$I$2647</f>
        <v>10.799688520506</v>
      </c>
      <c r="J2649" s="44" t="n">
        <f aca="false">Sens!$J$2648/Sens!$J$2647</f>
        <v>11.9873844337644</v>
      </c>
      <c r="K2649" s="44" t="n">
        <f aca="false">Sens!$K$2648/Sens!$K$2647</f>
        <v>12.8088902453061</v>
      </c>
      <c r="L2649" s="44" t="n">
        <f aca="false">Sens!$L$2648/Sens!$L$2647</f>
        <v>13.8549085152432</v>
      </c>
      <c r="M2649" s="44" t="n">
        <f aca="false">Sens!$M$2648/Sens!$M$2647</f>
        <v>15.0066286091313</v>
      </c>
      <c r="N2649" s="14"/>
      <c r="O2649" s="14"/>
    </row>
    <row r="2650" customFormat="false" ht="17.15" hidden="false" customHeight="false" outlineLevel="0" collapsed="false">
      <c r="A2650" s="0" t="s">
        <v>758</v>
      </c>
      <c r="B2650" s="0" t="s">
        <v>27</v>
      </c>
      <c r="C2650" s="30" t="n">
        <f aca="false">Sens!$C$2646/Sens!$C$2647</f>
        <v>5.52635015390355</v>
      </c>
      <c r="D2650" s="30" t="n">
        <f aca="false">Sens!$D$2646/Sens!$D$2647</f>
        <v>7.1737323358271</v>
      </c>
      <c r="E2650" s="30" t="n">
        <f aca="false">Sens!$E$2646/Sens!$E$2647</f>
        <v>8.53212104513937</v>
      </c>
      <c r="G2650" s="30" t="n">
        <f aca="false">Sens!$G$2646/Sens!$G$2647</f>
        <v>12.7423208147233</v>
      </c>
      <c r="H2650" s="30" t="n">
        <f aca="false">Sens!$H$2646/Sens!$H$2647</f>
        <v>9.59778182509639</v>
      </c>
      <c r="I2650" s="30" t="n">
        <f aca="false">Sens!$I$2646/Sens!$I$2647</f>
        <v>10.799688520506</v>
      </c>
      <c r="J2650" s="30" t="n">
        <f aca="false">Sens!$J$2646/Sens!$J$2647</f>
        <v>11.9873844337644</v>
      </c>
      <c r="K2650" s="30" t="n">
        <f aca="false">Sens!$K$2646/Sens!$K$2647</f>
        <v>12.8088902453061</v>
      </c>
      <c r="L2650" s="30" t="n">
        <f aca="false">Sens!$L$2646/Sens!$L$2647</f>
        <v>13.8549085152432</v>
      </c>
      <c r="M2650" s="30" t="n">
        <f aca="false">Sens!$M$2646/Sens!$M$2647</f>
        <v>15.0066286091313</v>
      </c>
    </row>
    <row r="2651" customFormat="false" ht="17.15" hidden="false" customHeight="false" outlineLevel="0" collapsed="false">
      <c r="A2651" s="0" t="s">
        <v>759</v>
      </c>
      <c r="B2651" s="0" t="s">
        <v>27</v>
      </c>
      <c r="C2651" s="30" t="n">
        <f aca="false">(Sens!$C$2646-Sens!$C$2643*(1-tax))/Sens!$C$2647</f>
        <v>5.33926775917445</v>
      </c>
      <c r="D2651" s="30" t="n">
        <f aca="false">(Sens!$D$2646-Sens!$D$2643*(1-tax))/Sens!$D$2647</f>
        <v>5.67691812755503</v>
      </c>
      <c r="E2651" s="30" t="n">
        <f aca="false">(Sens!$E$2646-Sens!$E$2643*(1-tax))/Sens!$E$2647</f>
        <v>3.10602057006846</v>
      </c>
      <c r="G2651" s="30" t="n">
        <f aca="false">(Sens!$G$2646-Sens!$G$2643*(1-tax))/Sens!$G$2647</f>
        <v>7.33425269682635</v>
      </c>
      <c r="H2651" s="30" t="n">
        <f aca="false">(Sens!$H$2646-Sens!$H$2643*(1-tax))/Sens!$H$2647</f>
        <v>9.59778182509639</v>
      </c>
      <c r="I2651" s="30" t="n">
        <f aca="false">(Sens!$I$2646-Sens!$I$2643*(1-tax))/Sens!$I$2647</f>
        <v>10.799688520506</v>
      </c>
      <c r="J2651" s="30" t="n">
        <f aca="false">(Sens!$J$2646-Sens!$J$2643*(1-tax))/Sens!$J$2647</f>
        <v>11.9873844337644</v>
      </c>
      <c r="K2651" s="30" t="n">
        <f aca="false">(Sens!$K$2646-Sens!$K$2643*(1-tax))/Sens!$K$2647</f>
        <v>12.8088902453061</v>
      </c>
      <c r="L2651" s="30" t="n">
        <f aca="false">(Sens!$L$2646-Sens!$L$2643*(1-tax))/Sens!$L$2647</f>
        <v>13.8549085152432</v>
      </c>
      <c r="M2651" s="30" t="n">
        <f aca="false">(Sens!$M$2646-Sens!$M$2643*(1-tax))/Sens!$M$2647</f>
        <v>15.0066286091313</v>
      </c>
      <c r="P2651" s="5" t="s">
        <v>760</v>
      </c>
    </row>
    <row r="2652" customFormat="false" ht="17.15" hidden="false" customHeight="false" outlineLevel="0" collapsed="false">
      <c r="A2652" s="0" t="s">
        <v>761</v>
      </c>
      <c r="B2652" s="0" t="s">
        <v>52</v>
      </c>
      <c r="H2652" s="13" t="n">
        <f aca="false">Sens!$H$2649/Sens!$G$2649-1</f>
        <v>-0.246779141362815</v>
      </c>
      <c r="I2652" s="13" t="n">
        <f aca="false">Sens!$I$2649/Sens!$H$2649-1</f>
        <v>0.125227549168379</v>
      </c>
      <c r="J2652" s="13" t="n">
        <f aca="false">Sens!$J$2649/Sens!$I$2649-1</f>
        <v>0.109975015575976</v>
      </c>
      <c r="K2652" s="13" t="n">
        <f aca="false">Sens!$K$2649/Sens!$J$2649-1</f>
        <v>0.0685308639329072</v>
      </c>
      <c r="L2652" s="13" t="n">
        <f aca="false">Sens!$L$2649/Sens!$K$2649-1</f>
        <v>0.0816634579502658</v>
      </c>
      <c r="M2652" s="13" t="n">
        <f aca="false">Sens!$M$2649/Sens!$L$2649-1</f>
        <v>0.083127224739225</v>
      </c>
    </row>
    <row r="2655" customFormat="false" ht="19.4" hidden="false" customHeight="false" outlineLevel="0" collapsed="false">
      <c r="A2655" s="31" t="s">
        <v>1188</v>
      </c>
    </row>
    <row r="2656" customFormat="false" ht="17.15" hidden="false" customHeight="false" outlineLevel="0" collapsed="false">
      <c r="A2656" s="6" t="s">
        <v>16</v>
      </c>
      <c r="B2656" s="6" t="s">
        <v>17</v>
      </c>
      <c r="C2656" s="20" t="s">
        <v>497</v>
      </c>
      <c r="D2656" s="20" t="s">
        <v>498</v>
      </c>
      <c r="E2656" s="20" t="s">
        <v>580</v>
      </c>
      <c r="F2656" s="20" t="s">
        <v>581</v>
      </c>
      <c r="G2656" s="20" t="s">
        <v>582</v>
      </c>
      <c r="H2656" s="20" t="s">
        <v>583</v>
      </c>
      <c r="I2656" s="20" t="s">
        <v>584</v>
      </c>
      <c r="J2656" s="20" t="s">
        <v>585</v>
      </c>
      <c r="K2656" s="20" t="s">
        <v>586</v>
      </c>
      <c r="L2656" s="20" t="s">
        <v>587</v>
      </c>
      <c r="M2656" s="20" t="s">
        <v>588</v>
      </c>
      <c r="N2656" s="20" t="s">
        <v>589</v>
      </c>
      <c r="O2656" s="20" t="s">
        <v>590</v>
      </c>
      <c r="P2656" s="6" t="s">
        <v>23</v>
      </c>
      <c r="R2656" s="20" t="n">
        <v>2023</v>
      </c>
      <c r="S2656" s="20" t="n">
        <v>2024</v>
      </c>
      <c r="T2656" s="20" t="n">
        <v>2025</v>
      </c>
      <c r="U2656" s="20" t="n">
        <v>2026</v>
      </c>
      <c r="V2656" s="20" t="n">
        <v>2027</v>
      </c>
      <c r="W2656" s="20" t="n">
        <v>2028</v>
      </c>
      <c r="X2656" s="20" t="n">
        <v>2029</v>
      </c>
      <c r="Y2656" s="20" t="n">
        <v>2030</v>
      </c>
      <c r="Z2656" s="20" t="n">
        <v>2031</v>
      </c>
      <c r="AA2656" s="20" t="n">
        <v>2032</v>
      </c>
    </row>
    <row r="2657" customFormat="false" ht="15" hidden="false" customHeight="false" outlineLevel="0" collapsed="false">
      <c r="A2657" s="5" t="s">
        <v>549</v>
      </c>
      <c r="B2657" s="0" t="s">
        <v>86</v>
      </c>
      <c r="C2657" s="38" t="n">
        <f aca="false">Sens!$C$2646</f>
        <v>59.248</v>
      </c>
      <c r="D2657" s="38" t="n">
        <f aca="false">Sens!$D$2646</f>
        <v>77.67</v>
      </c>
      <c r="E2657" s="38" t="n">
        <f aca="false">Sens!$E$2646</f>
        <v>92.902</v>
      </c>
      <c r="F2657" s="38" t="n">
        <f aca="false">Sens!$F$2646</f>
        <v>46.3053828906144</v>
      </c>
      <c r="G2657" s="38" t="n">
        <f aca="false">Sens!$G$2646</f>
        <v>139.207382890614</v>
      </c>
      <c r="H2657" s="38" t="n">
        <f aca="false">Sens!$H$2646</f>
        <v>105.69273570526</v>
      </c>
      <c r="I2657" s="38" t="n">
        <f aca="false">Sens!$I$2646</f>
        <v>119.879804986231</v>
      </c>
      <c r="J2657" s="38" t="n">
        <f aca="false">Sens!$J$2646</f>
        <v>134.128097114092</v>
      </c>
      <c r="K2657" s="38" t="n">
        <f aca="false">Sens!$K$2646</f>
        <v>144.466571578893</v>
      </c>
      <c r="L2657" s="38" t="n">
        <f aca="false">Sens!$L$2646</f>
        <v>157.514325063223</v>
      </c>
      <c r="M2657" s="38" t="n">
        <f aca="false">Sens!$M$2646</f>
        <v>171.9729181925</v>
      </c>
    </row>
    <row r="2658" customFormat="false" ht="17.15" hidden="false" customHeight="false" outlineLevel="0" collapsed="false">
      <c r="A2658" s="5" t="s">
        <v>784</v>
      </c>
      <c r="B2658" s="0" t="s">
        <v>86</v>
      </c>
      <c r="C2658" s="38" t="n">
        <f aca="false">Sens!$C$2634</f>
        <v>32.067</v>
      </c>
      <c r="D2658" s="38" t="n">
        <f aca="false">Sens!$D$2634</f>
        <v>41.86</v>
      </c>
      <c r="E2658" s="38" t="n">
        <f aca="false">Sens!$E$2634</f>
        <v>26.703</v>
      </c>
      <c r="F2658" s="38" t="n">
        <f aca="false">Sens!$F$2634</f>
        <v>28.2071421626285</v>
      </c>
      <c r="G2658" s="38" t="n">
        <f aca="false">Sens!$G$2634</f>
        <v>54.9101421626285</v>
      </c>
      <c r="H2658" s="38" t="n">
        <f aca="false">Sens!$H$2634</f>
        <v>78.1799395827871</v>
      </c>
      <c r="I2658" s="38" t="n">
        <f aca="false">Sens!$I$2634</f>
        <v>111.171125554384</v>
      </c>
      <c r="J2658" s="38" t="n">
        <f aca="false">Sens!$J$2634</f>
        <v>144.884406220971</v>
      </c>
      <c r="K2658" s="38" t="n">
        <f aca="false">Sens!$K$2634</f>
        <v>178.806419437999</v>
      </c>
      <c r="L2658" s="38" t="n">
        <f aca="false">Sens!$L$2634</f>
        <v>204.341339029663</v>
      </c>
      <c r="M2658" s="38" t="n">
        <f aca="false">Sens!$M$2634</f>
        <v>223.130577995387</v>
      </c>
    </row>
    <row r="2659" customFormat="false" ht="15" hidden="false" customHeight="false" outlineLevel="0" collapsed="false">
      <c r="A2659" s="5" t="s">
        <v>785</v>
      </c>
      <c r="B2659" s="0" t="s">
        <v>86</v>
      </c>
      <c r="C2659" s="38" t="n">
        <f aca="false">Q!$D$48</f>
        <v>22.011</v>
      </c>
      <c r="D2659" s="38" t="n">
        <f aca="false">Q!$E$48</f>
        <v>19.467</v>
      </c>
      <c r="E2659" s="38" t="n">
        <f aca="false">Q!$P$48</f>
        <v>10.07</v>
      </c>
      <c r="F2659" s="38" t="n">
        <f aca="false">sbc_r*Sens!$F$2576</f>
        <v>10.8507035798037</v>
      </c>
      <c r="G2659" s="38" t="n">
        <f aca="false">Sens!$E$2659+Sens!$F$2659</f>
        <v>20.9207035798037</v>
      </c>
      <c r="H2659" s="38" t="n">
        <f aca="false">sbc_r*Sens!$H$2576</f>
        <v>23.46224366345</v>
      </c>
      <c r="I2659" s="38" t="n">
        <f aca="false">sbc_r*Sens!$I$2576</f>
        <v>26.6125957111676</v>
      </c>
      <c r="J2659" s="38" t="n">
        <f aca="false">sbc_r*Sens!$J$2576</f>
        <v>29.6280801413323</v>
      </c>
      <c r="K2659" s="38" t="n">
        <f aca="false">sbc_r*Sens!$K$2576</f>
        <v>32.2712258901105</v>
      </c>
      <c r="L2659" s="38" t="n">
        <f aca="false">sbc_r*Sens!$L$2576</f>
        <v>34.7390505016737</v>
      </c>
      <c r="M2659" s="38" t="n">
        <f aca="false">sbc_r*Sens!$M$2576</f>
        <v>37.0405146906692</v>
      </c>
    </row>
    <row r="2660" customFormat="false" ht="17.15" hidden="false" customHeight="false" outlineLevel="0" collapsed="false">
      <c r="A2660" s="5" t="s">
        <v>786</v>
      </c>
      <c r="B2660" s="0" t="s">
        <v>86</v>
      </c>
      <c r="C2660" s="38" t="n">
        <f aca="false">Q!$D$44-Sens!$C$2657-Sens!$C$2658-Sens!$C$2659</f>
        <v>2.551</v>
      </c>
      <c r="D2660" s="38" t="n">
        <f aca="false">Q!$E$44-Sens!$D$2657-Sens!$D$2658-Sens!$D$2659</f>
        <v>0.51700000000001</v>
      </c>
      <c r="E2660" s="38" t="n">
        <f aca="false">Q!$P$44-Sens!$E$2657-Sens!$E$2658-Sens!$E$2659</f>
        <v>-58.256</v>
      </c>
      <c r="F2660" s="38" t="n">
        <f aca="false">oth_r*Sens!$F$2576</f>
        <v>5.22265251035878</v>
      </c>
      <c r="G2660" s="38" t="n">
        <f aca="false">Sens!$E$2660+Sens!$F$2660</f>
        <v>-53.0333474896412</v>
      </c>
      <c r="H2660" s="38" t="n">
        <f aca="false">oth_r*Sens!$H$2576</f>
        <v>11.2928295263397</v>
      </c>
      <c r="I2660" s="38" t="n">
        <f aca="false">oth_r*Sens!$I$2576</f>
        <v>12.8091546115766</v>
      </c>
      <c r="J2660" s="38" t="n">
        <f aca="false">oth_r*Sens!$J$2576</f>
        <v>14.2605653162668</v>
      </c>
      <c r="K2660" s="38" t="n">
        <f aca="false">oth_r*Sens!$K$2576</f>
        <v>15.5327622460396</v>
      </c>
      <c r="L2660" s="38" t="n">
        <f aca="false">oth_r*Sens!$L$2576</f>
        <v>16.720573737517</v>
      </c>
      <c r="M2660" s="38" t="n">
        <f aca="false">oth_r*Sens!$M$2576</f>
        <v>17.8283127551536</v>
      </c>
      <c r="P2660" s="8" t="s">
        <v>787</v>
      </c>
    </row>
    <row r="2661" customFormat="false" ht="15" hidden="false" customHeight="false" outlineLevel="0" collapsed="false">
      <c r="A2661" s="3" t="s">
        <v>555</v>
      </c>
      <c r="B2661" s="8" t="s">
        <v>86</v>
      </c>
      <c r="C2661" s="38" t="n">
        <f aca="false">Q!$D$44</f>
        <v>115.877</v>
      </c>
      <c r="D2661" s="38" t="n">
        <f aca="false">Q!$E$44</f>
        <v>139.514</v>
      </c>
      <c r="E2661" s="38" t="n">
        <f aca="false">Q!$P$44</f>
        <v>71.419</v>
      </c>
      <c r="F2661" s="38" t="n">
        <f aca="false">Sens!$F$2657+Sens!$F$2658+Sens!$F$2659+Sens!$F$2660</f>
        <v>90.5858811434053</v>
      </c>
      <c r="G2661" s="38" t="n">
        <f aca="false">Sens!$E$2661+Sens!$F$2661</f>
        <v>162.004881143405</v>
      </c>
      <c r="H2661" s="38" t="n">
        <f aca="false">Sens!$H$2657+Sens!$H$2658+Sens!$H$2659+Sens!$H$2660</f>
        <v>218.627748477837</v>
      </c>
      <c r="I2661" s="38" t="n">
        <f aca="false">Sens!$I$2657+Sens!$I$2658+Sens!$I$2659+Sens!$I$2660</f>
        <v>270.47268086336</v>
      </c>
      <c r="J2661" s="38" t="n">
        <f aca="false">Sens!$J$2657+Sens!$J$2658+Sens!$J$2659+Sens!$J$2660</f>
        <v>322.901148792662</v>
      </c>
      <c r="K2661" s="38" t="n">
        <f aca="false">Sens!$K$2657+Sens!$K$2658+Sens!$K$2659+Sens!$K$2660</f>
        <v>371.076979153043</v>
      </c>
      <c r="L2661" s="38" t="n">
        <f aca="false">Sens!$L$2657+Sens!$L$2658+Sens!$L$2659+Sens!$L$2660</f>
        <v>413.315288332076</v>
      </c>
      <c r="M2661" s="38" t="n">
        <f aca="false">Sens!$M$2657+Sens!$M$2658+Sens!$M$2659+Sens!$M$2660</f>
        <v>449.97232363371</v>
      </c>
    </row>
    <row r="2662" customFormat="false" ht="17.15" hidden="false" customHeight="false" outlineLevel="0" collapsed="false">
      <c r="A2662" s="5" t="s">
        <v>788</v>
      </c>
      <c r="B2662" s="0" t="s">
        <v>86</v>
      </c>
      <c r="C2662" s="38" t="n">
        <f aca="false">Sens!$C$2543</f>
        <v>25.2781053077374</v>
      </c>
      <c r="D2662" s="38" t="n">
        <f aca="false">Sens!$D$2543</f>
        <v>69.5686316310026</v>
      </c>
      <c r="E2662" s="38" t="n">
        <f aca="false">Sens!$E$2543</f>
        <v>64.1899206485108</v>
      </c>
      <c r="F2662" s="38" t="n">
        <f aca="false">Sens!$F$2543</f>
        <v>96.2481299895</v>
      </c>
      <c r="G2662" s="38" t="n">
        <f aca="false">Sens!$G$2543</f>
        <v>160.438050638011</v>
      </c>
      <c r="H2662" s="38" t="n">
        <f aca="false">Sens!$H$2543</f>
        <v>198.57136494475</v>
      </c>
      <c r="I2662" s="38" t="n">
        <f aca="false">Sens!$I$2543</f>
        <v>204.6464699105</v>
      </c>
      <c r="J2662" s="38" t="n">
        <f aca="false">Sens!$J$2543</f>
        <v>209.8832381105</v>
      </c>
      <c r="K2662" s="38" t="n">
        <f aca="false">Sens!$K$2543</f>
        <v>155.238385275201</v>
      </c>
      <c r="L2662" s="38" t="n">
        <f aca="false">Sens!$L$2543</f>
        <v>132.014141639902</v>
      </c>
      <c r="M2662" s="38" t="n">
        <f aca="false">Sens!$M$2543</f>
        <v>132.230981659852</v>
      </c>
    </row>
    <row r="2663" customFormat="false" ht="17.15" hidden="false" customHeight="false" outlineLevel="0" collapsed="false">
      <c r="A2663" s="5" t="s">
        <v>789</v>
      </c>
      <c r="B2663" s="0" t="s">
        <v>86</v>
      </c>
      <c r="C2663" s="38" t="n">
        <f aca="false">cx_awso*Sens!$C$2574</f>
        <v>21.0469989286053</v>
      </c>
      <c r="D2663" s="38" t="n">
        <f aca="false">cx_awso*Sens!$D$2574</f>
        <v>24.0042459822698</v>
      </c>
      <c r="E2663" s="38" t="n">
        <f aca="false">cx_awso*Sens!$E$2574</f>
        <v>14.261729404886</v>
      </c>
      <c r="F2663" s="38" t="n">
        <f aca="false">cx_awso*Sens!$F$2574</f>
        <v>14.3538599588493</v>
      </c>
      <c r="G2663" s="38" t="n">
        <f aca="false">Sens!$E$2663+Sens!$F$2663</f>
        <v>28.6155893637353</v>
      </c>
      <c r="H2663" s="38" t="n">
        <f aca="false">cx_awso*Sens!$H$2574</f>
        <v>32.2034154158406</v>
      </c>
      <c r="I2663" s="38" t="n">
        <f aca="false">cx_awso*Sens!$I$2574</f>
        <v>35.7539519042915</v>
      </c>
      <c r="J2663" s="38" t="n">
        <f aca="false">cx_awso*Sens!$J$2574</f>
        <v>39.1551076091815</v>
      </c>
      <c r="K2663" s="38" t="n">
        <f aca="false">cx_awso*Sens!$K$2574</f>
        <v>42.287516217916</v>
      </c>
      <c r="L2663" s="38" t="n">
        <f aca="false">cx_awso*Sens!$L$2574</f>
        <v>45.6705175153492</v>
      </c>
      <c r="M2663" s="38" t="n">
        <f aca="false">cx_awso*Sens!$M$2574</f>
        <v>49.3241589165772</v>
      </c>
    </row>
    <row r="2664" customFormat="false" ht="17.15" hidden="false" customHeight="false" outlineLevel="0" collapsed="false">
      <c r="A2664" s="5" t="s">
        <v>790</v>
      </c>
      <c r="B2664" s="0" t="s">
        <v>86</v>
      </c>
      <c r="C2664" s="38" t="n">
        <f aca="false">Q!$D$46-Sens!$C$2662-Sens!$C$2663</f>
        <v>31.3328957636573</v>
      </c>
      <c r="D2664" s="38" t="n">
        <f aca="false">Q!$E$46-Sens!$D$2662-Sens!$D$2663</f>
        <v>34.7471223867276</v>
      </c>
      <c r="E2664" s="38" t="n">
        <f aca="false">Q!$P$46-Sens!$E$2662-Sens!$E$2663</f>
        <v>17.8583499466032</v>
      </c>
      <c r="F2664" s="38" t="n">
        <f aca="false">cx_rt*Sens!$F$2506</f>
        <v>20.6195895799373</v>
      </c>
      <c r="G2664" s="38" t="n">
        <f aca="false">Sens!$E$2664+Sens!$F$2664</f>
        <v>38.4779395265405</v>
      </c>
      <c r="H2664" s="38" t="n">
        <f aca="false">cx_rt*Sens!$H$2506</f>
        <v>42.5978994743075</v>
      </c>
      <c r="I2664" s="38" t="n">
        <f aca="false">cx_rt*Sens!$I$2506</f>
        <v>46.5813904136335</v>
      </c>
      <c r="J2664" s="38" t="n">
        <f aca="false">cx_rt*Sens!$J$2506</f>
        <v>50.2781676586844</v>
      </c>
      <c r="K2664" s="38" t="n">
        <f aca="false">cx_rt*Sens!$K$2506</f>
        <v>53.5312440191755</v>
      </c>
      <c r="L2664" s="38" t="n">
        <f aca="false">cx_rt*Sens!$L$2506</f>
        <v>57.0116717051447</v>
      </c>
      <c r="M2664" s="38" t="n">
        <f aca="false">cx_rt*Sens!$M$2506</f>
        <v>60.7365554669226</v>
      </c>
    </row>
    <row r="2665" customFormat="false" ht="15" hidden="false" customHeight="false" outlineLevel="0" collapsed="false">
      <c r="A2665" s="3" t="s">
        <v>791</v>
      </c>
      <c r="B2665" s="8" t="s">
        <v>86</v>
      </c>
      <c r="C2665" s="38" t="n">
        <f aca="false">Q!$D$46</f>
        <v>77.658</v>
      </c>
      <c r="D2665" s="38" t="n">
        <f aca="false">Q!$E$46</f>
        <v>128.32</v>
      </c>
      <c r="E2665" s="38" t="n">
        <f aca="false">Q!$P$46</f>
        <v>96.31</v>
      </c>
      <c r="F2665" s="38" t="n">
        <f aca="false">Sens!$F$2662+Sens!$F$2663+Sens!$F$2664</f>
        <v>131.221579528287</v>
      </c>
      <c r="G2665" s="38" t="n">
        <f aca="false">Sens!$E$2665+Sens!$F$2665</f>
        <v>227.531579528287</v>
      </c>
      <c r="H2665" s="38" t="n">
        <f aca="false">Sens!$H$2662+Sens!$H$2663+Sens!$H$2664</f>
        <v>273.372679834898</v>
      </c>
      <c r="I2665" s="38" t="n">
        <f aca="false">Sens!$I$2662+Sens!$I$2663+Sens!$I$2664</f>
        <v>286.981812228425</v>
      </c>
      <c r="J2665" s="38" t="n">
        <f aca="false">Sens!$J$2662+Sens!$J$2663+Sens!$J$2664</f>
        <v>299.316513378366</v>
      </c>
      <c r="K2665" s="38" t="n">
        <f aca="false">Sens!$K$2662+Sens!$K$2663+Sens!$K$2664</f>
        <v>251.057145512292</v>
      </c>
      <c r="L2665" s="38" t="n">
        <f aca="false">Sens!$L$2662+Sens!$L$2663+Sens!$L$2664</f>
        <v>234.696330860396</v>
      </c>
      <c r="M2665" s="38" t="n">
        <f aca="false">Sens!$M$2662+Sens!$M$2663+Sens!$M$2664</f>
        <v>242.291696043352</v>
      </c>
    </row>
    <row r="2666" customFormat="false" ht="17.15" hidden="false" customHeight="false" outlineLevel="0" collapsed="false">
      <c r="A2666" s="5" t="s">
        <v>563</v>
      </c>
      <c r="B2666" s="0" t="s">
        <v>86</v>
      </c>
      <c r="C2666" s="38" t="n">
        <f aca="false">Q!$D$50</f>
        <v>2.043</v>
      </c>
      <c r="D2666" s="38" t="n">
        <f aca="false">Q!$E$50</f>
        <v>1.557</v>
      </c>
      <c r="E2666" s="38" t="n">
        <f aca="false">lease_pr/2</f>
        <v>0.8</v>
      </c>
      <c r="F2666" s="38" t="n">
        <f aca="false">lease_pr/2</f>
        <v>0.8</v>
      </c>
      <c r="G2666" s="38" t="n">
        <f aca="false">Sens!$E$2666+Sens!$F$2666</f>
        <v>1.6</v>
      </c>
      <c r="H2666" s="38" t="n">
        <f aca="false">lease_pr</f>
        <v>1.6</v>
      </c>
      <c r="I2666" s="38" t="n">
        <f aca="false">lease_pr</f>
        <v>1.6</v>
      </c>
      <c r="J2666" s="38" t="n">
        <f aca="false">lease_pr</f>
        <v>1.6</v>
      </c>
      <c r="K2666" s="38" t="n">
        <f aca="false">lease_pr</f>
        <v>1.6</v>
      </c>
      <c r="L2666" s="38" t="n">
        <f aca="false">lease_pr</f>
        <v>1.6</v>
      </c>
      <c r="M2666" s="38" t="n">
        <f aca="false">lease_pr</f>
        <v>1.6</v>
      </c>
      <c r="P2666" s="8" t="s">
        <v>792</v>
      </c>
    </row>
    <row r="2667" customFormat="false" ht="15" hidden="false" customHeight="false" outlineLevel="0" collapsed="false">
      <c r="A2667" s="47" t="s">
        <v>793</v>
      </c>
      <c r="B2667" s="14" t="s">
        <v>86</v>
      </c>
      <c r="C2667" s="48" t="n">
        <f aca="false">Sens!$C$2661-Sens!$C$2665-Sens!$C$2666</f>
        <v>36.176</v>
      </c>
      <c r="D2667" s="48" t="n">
        <f aca="false">Sens!$D$2661-Sens!$D$2665-Sens!$D$2666</f>
        <v>9.63700000000002</v>
      </c>
      <c r="E2667" s="48" t="n">
        <f aca="false">Sens!$E$2661-Sens!$E$2665-Sens!$E$2666</f>
        <v>-25.691</v>
      </c>
      <c r="F2667" s="48" t="n">
        <f aca="false">Sens!$F$2661-Sens!$F$2665-Sens!$F$2666</f>
        <v>-41.4356983848813</v>
      </c>
      <c r="G2667" s="48" t="n">
        <f aca="false">Sens!$G$2661-Sens!$G$2665-Sens!$G$2666</f>
        <v>-67.1266983848813</v>
      </c>
      <c r="H2667" s="48" t="n">
        <f aca="false">Sens!$H$2661-Sens!$H$2665-Sens!$H$2666</f>
        <v>-56.3449313570613</v>
      </c>
      <c r="I2667" s="48" t="n">
        <f aca="false">Sens!$I$2661-Sens!$I$2665-Sens!$I$2666</f>
        <v>-18.1091313650653</v>
      </c>
      <c r="J2667" s="48" t="n">
        <f aca="false">Sens!$J$2661-Sens!$J$2665-Sens!$J$2666</f>
        <v>21.9846354142961</v>
      </c>
      <c r="K2667" s="48" t="n">
        <f aca="false">Sens!$K$2661-Sens!$K$2665-Sens!$K$2666</f>
        <v>118.41983364075</v>
      </c>
      <c r="L2667" s="48" t="n">
        <f aca="false">Sens!$L$2661-Sens!$L$2665-Sens!$L$2666</f>
        <v>177.018957471681</v>
      </c>
      <c r="M2667" s="48" t="n">
        <f aca="false">Sens!$M$2661-Sens!$M$2665-Sens!$M$2666</f>
        <v>206.080627590357</v>
      </c>
      <c r="N2667" s="14"/>
      <c r="O2667" s="14"/>
    </row>
    <row r="2668" customFormat="false" ht="17.15" hidden="false" customHeight="false" outlineLevel="0" collapsed="false">
      <c r="A2668" s="5" t="s">
        <v>794</v>
      </c>
      <c r="B2668" s="0" t="s">
        <v>86</v>
      </c>
      <c r="C2668" s="38" t="n">
        <f aca="false">dps*Sens!$C$2647</f>
        <v>0</v>
      </c>
      <c r="D2668" s="38" t="n">
        <f aca="false">dps*Sens!$D$2647</f>
        <v>0</v>
      </c>
      <c r="E2668" s="38" t="n">
        <f aca="false">dps*Sens!$E$2647</f>
        <v>0</v>
      </c>
      <c r="F2668" s="38" t="n">
        <f aca="false">0</f>
        <v>0</v>
      </c>
      <c r="G2668" s="38" t="n">
        <f aca="false">dps*Sens!$G$2647</f>
        <v>0</v>
      </c>
      <c r="H2668" s="38" t="n">
        <f aca="false">dps*Sens!$H$2647</f>
        <v>0</v>
      </c>
      <c r="I2668" s="38" t="n">
        <f aca="false">dps*Sens!$I$2647</f>
        <v>0</v>
      </c>
      <c r="J2668" s="38" t="n">
        <f aca="false">dps*Sens!$J$2647</f>
        <v>0</v>
      </c>
      <c r="K2668" s="38" t="n">
        <f aca="false">dps*Sens!$K$2647</f>
        <v>0</v>
      </c>
      <c r="L2668" s="38" t="n">
        <f aca="false">dps*Sens!$L$2647</f>
        <v>0</v>
      </c>
      <c r="M2668" s="38" t="n">
        <f aca="false">dps*Sens!$M$2647</f>
        <v>0</v>
      </c>
      <c r="P2668" s="8" t="s">
        <v>795</v>
      </c>
    </row>
    <row r="2669" customFormat="false" ht="17.15" hidden="false" customHeight="false" outlineLevel="0" collapsed="false">
      <c r="A2669" s="5" t="s">
        <v>796</v>
      </c>
      <c r="B2669" s="0" t="s">
        <v>86</v>
      </c>
      <c r="C2669" s="38" t="n">
        <f aca="false">0</f>
        <v>0</v>
      </c>
      <c r="D2669" s="38" t="n">
        <f aca="false">0</f>
        <v>0</v>
      </c>
      <c r="E2669" s="38" t="n">
        <f aca="false">0</f>
        <v>0</v>
      </c>
      <c r="F2669" s="38" t="n">
        <f aca="false">0</f>
        <v>0</v>
      </c>
      <c r="G2669" s="38" t="n">
        <f aca="false">0</f>
        <v>0</v>
      </c>
      <c r="H2669" s="38" t="n">
        <f aca="false">0</f>
        <v>0</v>
      </c>
      <c r="I2669" s="38" t="n">
        <f aca="false">0</f>
        <v>0</v>
      </c>
      <c r="J2669" s="38" t="n">
        <f aca="false">0</f>
        <v>0</v>
      </c>
      <c r="K2669" s="38" t="n">
        <f aca="false">0</f>
        <v>0</v>
      </c>
      <c r="L2669" s="38" t="n">
        <f aca="false">0</f>
        <v>0</v>
      </c>
      <c r="M2669" s="38" t="n">
        <f aca="false">0</f>
        <v>0</v>
      </c>
      <c r="P2669" s="8" t="s">
        <v>797</v>
      </c>
    </row>
    <row r="2670" customFormat="false" ht="15" hidden="false" customHeight="false" outlineLevel="0" collapsed="false">
      <c r="A2670" s="3" t="s">
        <v>798</v>
      </c>
      <c r="B2670" s="8" t="s">
        <v>86</v>
      </c>
      <c r="C2670" s="38" t="n">
        <f aca="false">Sens!$C$2667-Sens!$C$2668</f>
        <v>36.176</v>
      </c>
      <c r="D2670" s="38" t="n">
        <f aca="false">Sens!$D$2667-Sens!$D$2668</f>
        <v>9.63700000000002</v>
      </c>
      <c r="E2670" s="38" t="n">
        <f aca="false">Sens!$E$2667-Sens!$E$2668</f>
        <v>-25.691</v>
      </c>
      <c r="F2670" s="38" t="n">
        <f aca="false">Sens!$F$2667-Sens!$F$2668</f>
        <v>-41.4356983848813</v>
      </c>
      <c r="G2670" s="38" t="n">
        <f aca="false">Sens!$G$2667-Sens!$G$2668</f>
        <v>-67.1266983848813</v>
      </c>
      <c r="H2670" s="38" t="n">
        <f aca="false">Sens!$H$2667-Sens!$H$2668</f>
        <v>-56.3449313570613</v>
      </c>
      <c r="I2670" s="38" t="n">
        <f aca="false">Sens!$I$2667-Sens!$I$2668</f>
        <v>-18.1091313650653</v>
      </c>
      <c r="J2670" s="38" t="n">
        <f aca="false">Sens!$J$2667-Sens!$J$2668</f>
        <v>21.9846354142961</v>
      </c>
      <c r="K2670" s="38" t="n">
        <f aca="false">Sens!$K$2667-Sens!$K$2668</f>
        <v>118.41983364075</v>
      </c>
      <c r="L2670" s="38" t="n">
        <f aca="false">Sens!$L$2667-Sens!$L$2668</f>
        <v>177.018957471681</v>
      </c>
      <c r="M2670" s="38" t="n">
        <f aca="false">Sens!$M$2667-Sens!$M$2668</f>
        <v>206.080627590357</v>
      </c>
    </row>
    <row r="2671" customFormat="false" ht="17.15" hidden="false" customHeight="false" outlineLevel="0" collapsed="false">
      <c r="A2671" s="5" t="s">
        <v>799</v>
      </c>
      <c r="B2671" s="0" t="s">
        <v>86</v>
      </c>
      <c r="E2671" s="38" t="n">
        <f aca="false">Q!$P$53</f>
        <v>39.767</v>
      </c>
      <c r="F2671" s="38" t="n">
        <f aca="false">inv_2h26</f>
        <v>21.3</v>
      </c>
      <c r="G2671" s="38" t="n">
        <f aca="false">Sens!$E$2671+Sens!$F$2671</f>
        <v>61.067</v>
      </c>
      <c r="H2671" s="39" t="n">
        <v>0</v>
      </c>
      <c r="I2671" s="39" t="n">
        <v>0</v>
      </c>
      <c r="J2671" s="39" t="n">
        <v>0</v>
      </c>
      <c r="K2671" s="39" t="n">
        <v>0</v>
      </c>
      <c r="L2671" s="39" t="n">
        <v>0</v>
      </c>
      <c r="M2671" s="39" t="n">
        <v>0</v>
      </c>
    </row>
    <row r="2672" customFormat="false" ht="17.15" hidden="false" customHeight="false" outlineLevel="0" collapsed="false">
      <c r="A2672" s="5" t="s">
        <v>800</v>
      </c>
      <c r="B2672" s="0" t="s">
        <v>86</v>
      </c>
      <c r="F2672" s="38" t="n">
        <f aca="false">iss_2h26</f>
        <v>29.249999</v>
      </c>
      <c r="G2672" s="38" t="n">
        <f aca="false">Sens!$F$2672</f>
        <v>29.249999</v>
      </c>
      <c r="H2672" s="39" t="n">
        <v>0</v>
      </c>
      <c r="I2672" s="39" t="n">
        <v>0</v>
      </c>
      <c r="J2672" s="39" t="n">
        <v>0</v>
      </c>
      <c r="K2672" s="39" t="n">
        <v>0</v>
      </c>
      <c r="L2672" s="39" t="n">
        <v>0</v>
      </c>
      <c r="M2672" s="39" t="n">
        <v>0</v>
      </c>
    </row>
    <row r="2673" customFormat="false" ht="17.15" hidden="false" customHeight="false" outlineLevel="0" collapsed="false">
      <c r="A2673" s="5" t="s">
        <v>801</v>
      </c>
      <c r="B2673" s="0" t="s">
        <v>86</v>
      </c>
      <c r="F2673" s="38" t="n">
        <f aca="false">cash_q2</f>
        <v>122.988</v>
      </c>
      <c r="G2673" s="38" t="n">
        <f aca="false">cash_q2</f>
        <v>122.988</v>
      </c>
      <c r="H2673" s="38" t="n">
        <f aca="false">Sens!$G$2676</f>
        <v>89.5023006151187</v>
      </c>
      <c r="I2673" s="38" t="n">
        <f aca="false">Sens!$H$2676</f>
        <v>50</v>
      </c>
      <c r="J2673" s="38" t="n">
        <f aca="false">Sens!$I$2676</f>
        <v>50</v>
      </c>
      <c r="K2673" s="38" t="n">
        <f aca="false">Sens!$J$2676</f>
        <v>71.9846354142962</v>
      </c>
      <c r="L2673" s="38" t="n">
        <f aca="false">Sens!$K$2676</f>
        <v>190.404469055046</v>
      </c>
      <c r="M2673" s="38" t="n">
        <f aca="false">Sens!$L$2676</f>
        <v>367.423426526727</v>
      </c>
    </row>
    <row r="2674" customFormat="false" ht="15" hidden="false" customHeight="false" outlineLevel="0" collapsed="false">
      <c r="A2674" s="5" t="s">
        <v>802</v>
      </c>
      <c r="B2674" s="0" t="s">
        <v>86</v>
      </c>
      <c r="F2674" s="38" t="n">
        <f aca="false">Sens!$F$2673+Sens!$F$2670-Sens!$F$2669-Sens!$F$2671+Sens!$F$2672</f>
        <v>89.5023006151187</v>
      </c>
      <c r="H2674" s="38" t="n">
        <f aca="false">Sens!$H$2673+Sens!$H$2670-Sens!$H$2669-Sens!$H$2671+Sens!$H$2672</f>
        <v>33.1573692580575</v>
      </c>
      <c r="I2674" s="38" t="n">
        <f aca="false">Sens!$I$2673+Sens!$I$2670-Sens!$I$2669-Sens!$I$2671+Sens!$I$2672</f>
        <v>31.8908686349347</v>
      </c>
      <c r="J2674" s="38" t="n">
        <f aca="false">Sens!$J$2673+Sens!$J$2670-Sens!$J$2669-Sens!$J$2671+Sens!$J$2672</f>
        <v>71.9846354142962</v>
      </c>
      <c r="K2674" s="38" t="n">
        <f aca="false">Sens!$K$2673+Sens!$K$2670-Sens!$K$2669-Sens!$K$2671+Sens!$K$2672</f>
        <v>190.404469055046</v>
      </c>
      <c r="L2674" s="38" t="n">
        <f aca="false">Sens!$L$2673+Sens!$L$2670-Sens!$L$2669-Sens!$L$2671+Sens!$L$2672</f>
        <v>367.423426526727</v>
      </c>
      <c r="M2674" s="38" t="n">
        <f aca="false">Sens!$M$2673+Sens!$M$2670-Sens!$M$2669-Sens!$M$2671+Sens!$M$2672</f>
        <v>573.504054117085</v>
      </c>
    </row>
    <row r="2675" customFormat="false" ht="17.15" hidden="false" customHeight="false" outlineLevel="0" collapsed="false">
      <c r="A2675" s="5" t="s">
        <v>803</v>
      </c>
      <c r="B2675" s="0" t="s">
        <v>86</v>
      </c>
      <c r="F2675" s="38" t="n">
        <f aca="false">MAX(0,min_cash-Sens!$F$2674)</f>
        <v>0</v>
      </c>
      <c r="G2675" s="38" t="n">
        <f aca="false">Sens!$F$2675</f>
        <v>0</v>
      </c>
      <c r="H2675" s="38" t="n">
        <f aca="false">MAX(0,min_cash-Sens!$H$2674)</f>
        <v>16.8426307419426</v>
      </c>
      <c r="I2675" s="38" t="n">
        <f aca="false">MAX(0,min_cash-Sens!$I$2674)</f>
        <v>18.1091313650653</v>
      </c>
      <c r="J2675" s="38" t="n">
        <f aca="false">MAX(0,min_cash-Sens!$J$2674)</f>
        <v>0</v>
      </c>
      <c r="K2675" s="38" t="n">
        <f aca="false">MAX(0,min_cash-Sens!$K$2674)</f>
        <v>0</v>
      </c>
      <c r="L2675" s="38" t="n">
        <f aca="false">MAX(0,min_cash-Sens!$L$2674)</f>
        <v>0</v>
      </c>
      <c r="M2675" s="38" t="n">
        <f aca="false">MAX(0,min_cash-Sens!$M$2674)</f>
        <v>0</v>
      </c>
      <c r="P2675" s="5" t="s">
        <v>804</v>
      </c>
    </row>
    <row r="2676" customFormat="false" ht="15" hidden="false" customHeight="false" outlineLevel="0" collapsed="false">
      <c r="A2676" s="5" t="s">
        <v>805</v>
      </c>
      <c r="B2676" s="0" t="s">
        <v>86</v>
      </c>
      <c r="D2676" s="38" t="n">
        <f aca="false">Q!$E$61</f>
        <v>123.029</v>
      </c>
      <c r="E2676" s="38" t="n">
        <f aca="false">Q!$M$61</f>
        <v>122.988</v>
      </c>
      <c r="F2676" s="38" t="n">
        <f aca="false">Sens!$F$2674+Sens!$F$2675</f>
        <v>89.5023006151187</v>
      </c>
      <c r="G2676" s="38" t="n">
        <f aca="false">Sens!$F$2676</f>
        <v>89.5023006151187</v>
      </c>
      <c r="H2676" s="38" t="n">
        <f aca="false">Sens!$H$2674+Sens!$H$2675</f>
        <v>50</v>
      </c>
      <c r="I2676" s="38" t="n">
        <f aca="false">Sens!$I$2674+Sens!$I$2675</f>
        <v>50</v>
      </c>
      <c r="J2676" s="38" t="n">
        <f aca="false">Sens!$J$2674+Sens!$J$2675</f>
        <v>71.9846354142962</v>
      </c>
      <c r="K2676" s="38" t="n">
        <f aca="false">Sens!$K$2674+Sens!$K$2675</f>
        <v>190.404469055046</v>
      </c>
      <c r="L2676" s="38" t="n">
        <f aca="false">Sens!$L$2674+Sens!$L$2675</f>
        <v>367.423426526727</v>
      </c>
      <c r="M2676" s="38" t="n">
        <f aca="false">Sens!$M$2674+Sens!$M$2675</f>
        <v>573.504054117085</v>
      </c>
    </row>
    <row r="2677" customFormat="false" ht="15" hidden="false" customHeight="false" outlineLevel="0" collapsed="false">
      <c r="A2677" s="5" t="s">
        <v>806</v>
      </c>
      <c r="B2677" s="0" t="s">
        <v>86</v>
      </c>
      <c r="D2677" s="38" t="n">
        <f aca="false">Q!$E$62</f>
        <v>68.836</v>
      </c>
      <c r="E2677" s="38" t="n">
        <f aca="false">Q!$M$62</f>
        <v>132.995</v>
      </c>
      <c r="F2677" s="38" t="n">
        <f aca="false">debt_q2+Sens!$F$2672+Sens!$F$2675</f>
        <v>162.244999</v>
      </c>
      <c r="G2677" s="38" t="n">
        <f aca="false">Sens!$F$2677</f>
        <v>162.244999</v>
      </c>
      <c r="H2677" s="38" t="n">
        <f aca="false">Sens!$G$2677+Sens!$H$2675</f>
        <v>179.087629741943</v>
      </c>
      <c r="I2677" s="38" t="n">
        <f aca="false">Sens!$H$2677+Sens!$I$2675</f>
        <v>197.196761107008</v>
      </c>
      <c r="J2677" s="38" t="n">
        <f aca="false">Sens!$I$2677+Sens!$J$2675</f>
        <v>197.196761107008</v>
      </c>
      <c r="K2677" s="38" t="n">
        <f aca="false">Sens!$J$2677+Sens!$K$2675</f>
        <v>197.196761107008</v>
      </c>
      <c r="L2677" s="38" t="n">
        <f aca="false">Sens!$K$2677+Sens!$L$2675</f>
        <v>197.196761107008</v>
      </c>
      <c r="M2677" s="38" t="n">
        <f aca="false">Sens!$L$2677+Sens!$M$2675</f>
        <v>197.196761107008</v>
      </c>
    </row>
    <row r="2678" customFormat="false" ht="15" hidden="false" customHeight="false" outlineLevel="0" collapsed="false">
      <c r="A2678" s="5" t="s">
        <v>807</v>
      </c>
      <c r="B2678" s="0" t="s">
        <v>86</v>
      </c>
      <c r="D2678" s="38" t="n">
        <f aca="false">Sens!$D$2677-Sens!$D$2676</f>
        <v>-54.193</v>
      </c>
      <c r="E2678" s="38" t="n">
        <f aca="false">Sens!$E$2677-Sens!$E$2676</f>
        <v>10.007</v>
      </c>
      <c r="F2678" s="38" t="n">
        <f aca="false">Sens!$F$2677-Sens!$F$2676</f>
        <v>72.7426983848813</v>
      </c>
      <c r="G2678" s="38" t="n">
        <f aca="false">Sens!$G$2677-Sens!$G$2676</f>
        <v>72.7426983848813</v>
      </c>
      <c r="H2678" s="38" t="n">
        <f aca="false">Sens!$H$2677-Sens!$H$2676</f>
        <v>129.087629741943</v>
      </c>
      <c r="I2678" s="38" t="n">
        <f aca="false">Sens!$I$2677-Sens!$I$2676</f>
        <v>147.196761107008</v>
      </c>
      <c r="J2678" s="38" t="n">
        <f aca="false">Sens!$J$2677-Sens!$J$2676</f>
        <v>125.212125692712</v>
      </c>
      <c r="K2678" s="38" t="n">
        <f aca="false">Sens!$K$2677-Sens!$K$2676</f>
        <v>6.79229205196145</v>
      </c>
      <c r="L2678" s="38" t="n">
        <f aca="false">Sens!$L$2677-Sens!$L$2676</f>
        <v>-170.226665419719</v>
      </c>
      <c r="M2678" s="38" t="n">
        <f aca="false">Sens!$M$2677-Sens!$M$2676</f>
        <v>-376.307293010077</v>
      </c>
    </row>
    <row r="2679" customFormat="false" ht="17.15" hidden="false" customHeight="false" outlineLevel="0" collapsed="false">
      <c r="A2679" s="5" t="s">
        <v>808</v>
      </c>
      <c r="B2679" s="0" t="s">
        <v>86</v>
      </c>
      <c r="F2679" s="38" t="n">
        <f aca="false">debt_q2*kd_book*0.5+iss_2h26*kd_new*iss_t</f>
        <v>3.24888962733561</v>
      </c>
      <c r="H2679" s="38" t="n">
        <f aca="false">debt_q2*kd_book+(Sens!$G$2677-debt_q2)*kd_new</f>
        <v>7.42354172302123</v>
      </c>
      <c r="I2679" s="38" t="n">
        <f aca="false">debt_q2*kd_book+(Sens!$H$2677-debt_q2)*kd_new</f>
        <v>8.48968024898619</v>
      </c>
      <c r="J2679" s="38" t="n">
        <f aca="false">debt_q2*kd_book+(Sens!$I$2677-debt_q2)*kd_new</f>
        <v>9.63598826439483</v>
      </c>
      <c r="K2679" s="38" t="n">
        <f aca="false">debt_q2*kd_book+(Sens!$J$2677-debt_q2)*kd_new</f>
        <v>9.63598826439483</v>
      </c>
      <c r="L2679" s="38" t="n">
        <f aca="false">debt_q2*kd_book+(Sens!$K$2677-debt_q2)*kd_new</f>
        <v>9.63598826439483</v>
      </c>
      <c r="M2679" s="38" t="n">
        <f aca="false">debt_q2*kd_book+(Sens!$L$2677-debt_q2)*kd_new</f>
        <v>9.63598826439483</v>
      </c>
    </row>
    <row r="2680" customFormat="false" ht="17.15" hidden="false" customHeight="false" outlineLevel="0" collapsed="false">
      <c r="A2680" s="5" t="s">
        <v>809</v>
      </c>
      <c r="B2680" s="0" t="s">
        <v>86</v>
      </c>
      <c r="F2680" s="38" t="n">
        <f aca="false">cash_q2*y_cash*0.5</f>
        <v>2.59</v>
      </c>
      <c r="H2680" s="38" t="n">
        <f aca="false">Sens!$G$2676*y_cash</f>
        <v>3.76965165045626</v>
      </c>
      <c r="I2680" s="38" t="n">
        <f aca="false">Sens!$H$2676*y_cash</f>
        <v>2.10589651022864</v>
      </c>
      <c r="J2680" s="38" t="n">
        <f aca="false">Sens!$I$2676*y_cash</f>
        <v>2.10589651022864</v>
      </c>
      <c r="K2680" s="38" t="n">
        <f aca="false">Sens!$J$2676*y_cash</f>
        <v>3.03184385018094</v>
      </c>
      <c r="L2680" s="38" t="n">
        <f aca="false">Sens!$K$2676*y_cash</f>
        <v>8.01944213829919</v>
      </c>
      <c r="M2680" s="38" t="n">
        <f aca="false">Sens!$L$2676*y_cash</f>
        <v>15.4751142339777</v>
      </c>
    </row>
    <row r="2681" customFormat="false" ht="17.15" hidden="false" customHeight="false" outlineLevel="0" collapsed="false">
      <c r="A2681" s="47" t="s">
        <v>810</v>
      </c>
      <c r="B2681" s="14" t="s">
        <v>86</v>
      </c>
      <c r="C2681" s="14"/>
      <c r="D2681" s="14"/>
      <c r="E2681" s="14"/>
      <c r="F2681" s="14"/>
      <c r="G2681" s="48" t="n">
        <f aca="false">SUM(Sens!$G$2670:$K$2670)</f>
        <v>-1.17629205196147</v>
      </c>
      <c r="H2681" s="14"/>
      <c r="I2681" s="14"/>
      <c r="J2681" s="14"/>
      <c r="K2681" s="14"/>
      <c r="L2681" s="14"/>
      <c r="M2681" s="14"/>
      <c r="N2681" s="14"/>
      <c r="O2681" s="14"/>
    </row>
    <row r="2682" customFormat="false" ht="17.15" hidden="false" customHeight="false" outlineLevel="0" collapsed="false">
      <c r="A2682" s="0" t="s">
        <v>776</v>
      </c>
      <c r="B2682" s="0" t="s">
        <v>86</v>
      </c>
      <c r="G2682" s="38" t="n">
        <f aca="false">SUM(Sens!$G$2675:$K$2675)</f>
        <v>34.9517621070079</v>
      </c>
    </row>
    <row r="2683" customFormat="false" ht="17.15" hidden="false" customHeight="false" outlineLevel="0" collapsed="false">
      <c r="A2683" s="24" t="s">
        <v>813</v>
      </c>
      <c r="B2683" s="25" t="s">
        <v>86</v>
      </c>
      <c r="C2683" s="25"/>
      <c r="D2683" s="25"/>
      <c r="E2683" s="25"/>
      <c r="F2683" s="25"/>
      <c r="G2683" s="41" t="n">
        <f aca="false">Sens!$G$2681-(Sens!$G$2670+Sens!$H$2670+Sens!$I$2670+Sens!$J$2670+Sens!$K$2670)</f>
        <v>-2.8421709430404E-014</v>
      </c>
      <c r="H2683" s="25"/>
      <c r="I2683" s="25"/>
      <c r="J2683" s="25"/>
      <c r="K2683" s="25"/>
      <c r="L2683" s="25"/>
      <c r="M2683" s="25"/>
      <c r="N2683" s="25"/>
      <c r="O2683" s="25"/>
    </row>
    <row r="2686" customFormat="false" ht="19.4" hidden="false" customHeight="false" outlineLevel="0" collapsed="false">
      <c r="A2686" s="31" t="s">
        <v>1189</v>
      </c>
    </row>
    <row r="2687" customFormat="false" ht="17.15" hidden="false" customHeight="false" outlineLevel="0" collapsed="false">
      <c r="A2687" s="6" t="s">
        <v>16</v>
      </c>
      <c r="B2687" s="6" t="s">
        <v>17</v>
      </c>
      <c r="C2687" s="20" t="s">
        <v>497</v>
      </c>
      <c r="D2687" s="20" t="s">
        <v>498</v>
      </c>
      <c r="E2687" s="20" t="s">
        <v>580</v>
      </c>
      <c r="F2687" s="20" t="s">
        <v>581</v>
      </c>
      <c r="G2687" s="20" t="s">
        <v>582</v>
      </c>
      <c r="H2687" s="20" t="s">
        <v>583</v>
      </c>
      <c r="I2687" s="20" t="s">
        <v>584</v>
      </c>
      <c r="J2687" s="20" t="s">
        <v>585</v>
      </c>
      <c r="K2687" s="20" t="s">
        <v>586</v>
      </c>
      <c r="L2687" s="20" t="s">
        <v>587</v>
      </c>
      <c r="M2687" s="20" t="s">
        <v>588</v>
      </c>
      <c r="N2687" s="20" t="s">
        <v>589</v>
      </c>
      <c r="O2687" s="20" t="s">
        <v>590</v>
      </c>
      <c r="P2687" s="6" t="s">
        <v>23</v>
      </c>
      <c r="R2687" s="20" t="n">
        <v>2023</v>
      </c>
      <c r="S2687" s="20" t="n">
        <v>2024</v>
      </c>
      <c r="T2687" s="20" t="n">
        <v>2025</v>
      </c>
      <c r="U2687" s="20" t="n">
        <v>2026</v>
      </c>
      <c r="V2687" s="20" t="n">
        <v>2027</v>
      </c>
      <c r="W2687" s="20" t="n">
        <v>2028</v>
      </c>
      <c r="X2687" s="20" t="n">
        <v>2029</v>
      </c>
      <c r="Y2687" s="20" t="n">
        <v>2030</v>
      </c>
      <c r="Z2687" s="20" t="n">
        <v>2031</v>
      </c>
      <c r="AA2687" s="20" t="n">
        <v>2032</v>
      </c>
    </row>
    <row r="2688" customFormat="false" ht="17.15" hidden="false" customHeight="false" outlineLevel="0" collapsed="false">
      <c r="A2688" s="1" t="s">
        <v>915</v>
      </c>
    </row>
    <row r="2689" customFormat="false" ht="17.15" hidden="false" customHeight="false" outlineLevel="0" collapsed="false">
      <c r="A2689" s="0" t="s">
        <v>916</v>
      </c>
      <c r="B2689" s="0" t="s">
        <v>86</v>
      </c>
      <c r="H2689" s="38" t="n">
        <f aca="false">Sens!$H$2623*(1-tax)</f>
        <v>108.712366999254</v>
      </c>
      <c r="I2689" s="38" t="n">
        <f aca="false">Sens!$I$2623*(1-tax)</f>
        <v>125.155462646645</v>
      </c>
      <c r="J2689" s="38" t="n">
        <f aca="false">Sens!$J$2623*(1-tax)</f>
        <v>140.351081455698</v>
      </c>
      <c r="K2689" s="38" t="n">
        <f aca="false">Sens!$K$2623*(1-tax)</f>
        <v>149.924338711229</v>
      </c>
      <c r="L2689" s="38" t="n">
        <f aca="false">Sens!$L$2623*(1-tax)</f>
        <v>158.850263795259</v>
      </c>
      <c r="M2689" s="38" t="n">
        <f aca="false">Sens!$M$2623*(1-tax)</f>
        <v>167.147374140228</v>
      </c>
    </row>
    <row r="2690" customFormat="false" ht="15" hidden="false" customHeight="false" outlineLevel="0" collapsed="false">
      <c r="A2690" s="5" t="s">
        <v>917</v>
      </c>
      <c r="B2690" s="0" t="s">
        <v>86</v>
      </c>
      <c r="H2690" s="38" t="n">
        <f aca="false">Sens!$H$2634</f>
        <v>78.1799395827871</v>
      </c>
      <c r="I2690" s="38" t="n">
        <f aca="false">Sens!$I$2634</f>
        <v>111.171125554384</v>
      </c>
      <c r="J2690" s="38" t="n">
        <f aca="false">Sens!$J$2634</f>
        <v>144.884406220971</v>
      </c>
      <c r="K2690" s="38" t="n">
        <f aca="false">Sens!$K$2634</f>
        <v>178.806419437999</v>
      </c>
      <c r="L2690" s="38" t="n">
        <f aca="false">Sens!$L$2634</f>
        <v>204.341339029663</v>
      </c>
      <c r="M2690" s="38" t="n">
        <f aca="false">Sens!$M$2634</f>
        <v>223.130577995387</v>
      </c>
    </row>
    <row r="2691" customFormat="false" ht="15" hidden="false" customHeight="false" outlineLevel="0" collapsed="false">
      <c r="A2691" s="5" t="s">
        <v>918</v>
      </c>
      <c r="B2691" s="0" t="s">
        <v>86</v>
      </c>
      <c r="H2691" s="38" t="n">
        <f aca="false">Sens!$H$2665</f>
        <v>273.372679834898</v>
      </c>
      <c r="I2691" s="38" t="n">
        <f aca="false">Sens!$I$2665</f>
        <v>286.981812228425</v>
      </c>
      <c r="J2691" s="38" t="n">
        <f aca="false">Sens!$J$2665</f>
        <v>299.316513378366</v>
      </c>
      <c r="K2691" s="38" t="n">
        <f aca="false">Sens!$K$2665</f>
        <v>251.057145512292</v>
      </c>
      <c r="L2691" s="38" t="n">
        <f aca="false">Sens!$L$2665</f>
        <v>234.696330860396</v>
      </c>
      <c r="M2691" s="38" t="n">
        <f aca="false">Sens!$M$2665</f>
        <v>242.291696043352</v>
      </c>
    </row>
    <row r="2692" customFormat="false" ht="15" hidden="false" customHeight="false" outlineLevel="0" collapsed="false">
      <c r="A2692" s="5" t="s">
        <v>919</v>
      </c>
      <c r="B2692" s="0" t="s">
        <v>86</v>
      </c>
      <c r="H2692" s="38" t="n">
        <f aca="false">Sens!$H$2666</f>
        <v>1.6</v>
      </c>
      <c r="I2692" s="38" t="n">
        <f aca="false">Sens!$I$2666</f>
        <v>1.6</v>
      </c>
      <c r="J2692" s="38" t="n">
        <f aca="false">Sens!$J$2666</f>
        <v>1.6</v>
      </c>
      <c r="K2692" s="38" t="n">
        <f aca="false">Sens!$K$2666</f>
        <v>1.6</v>
      </c>
      <c r="L2692" s="38" t="n">
        <f aca="false">Sens!$L$2666</f>
        <v>1.6</v>
      </c>
      <c r="M2692" s="38" t="n">
        <f aca="false">Sens!$M$2666</f>
        <v>1.6</v>
      </c>
    </row>
    <row r="2693" customFormat="false" ht="15" hidden="false" customHeight="false" outlineLevel="0" collapsed="false">
      <c r="A2693" s="5" t="s">
        <v>920</v>
      </c>
      <c r="B2693" s="0" t="s">
        <v>86</v>
      </c>
      <c r="H2693" s="38" t="n">
        <f aca="false">Sens!$H$2660</f>
        <v>11.2928295263397</v>
      </c>
      <c r="I2693" s="38" t="n">
        <f aca="false">Sens!$I$2660</f>
        <v>12.8091546115766</v>
      </c>
      <c r="J2693" s="38" t="n">
        <f aca="false">Sens!$J$2660</f>
        <v>14.2605653162668</v>
      </c>
      <c r="K2693" s="38" t="n">
        <f aca="false">Sens!$K$2660</f>
        <v>15.5327622460396</v>
      </c>
      <c r="L2693" s="38" t="n">
        <f aca="false">Sens!$L$2660</f>
        <v>16.720573737517</v>
      </c>
      <c r="M2693" s="38" t="n">
        <f aca="false">Sens!$M$2660</f>
        <v>17.8283127551536</v>
      </c>
    </row>
    <row r="2694" customFormat="false" ht="17.15" hidden="false" customHeight="false" outlineLevel="0" collapsed="false">
      <c r="A2694" s="1" t="s">
        <v>921</v>
      </c>
      <c r="B2694" s="8" t="s">
        <v>86</v>
      </c>
      <c r="H2694" s="38" t="n">
        <f aca="false">Sens!$H$2689+Sens!$H$2690-Sens!$H$2691+Sens!$H$2693</f>
        <v>-75.1875437265178</v>
      </c>
      <c r="I2694" s="38" t="n">
        <f aca="false">Sens!$I$2689+Sens!$I$2690-Sens!$I$2691+Sens!$I$2693</f>
        <v>-37.8460694158186</v>
      </c>
      <c r="J2694" s="38" t="n">
        <f aca="false">Sens!$J$2689+Sens!$J$2690-Sens!$J$2691+Sens!$J$2693</f>
        <v>0.179539614570221</v>
      </c>
      <c r="K2694" s="38" t="n">
        <f aca="false">Sens!$K$2689+Sens!$K$2690-Sens!$K$2691+Sens!$K$2693</f>
        <v>93.2063748829755</v>
      </c>
      <c r="L2694" s="38" t="n">
        <f aca="false">Sens!$L$2689+Sens!$L$2690-Sens!$L$2691+Sens!$L$2693</f>
        <v>145.215845702043</v>
      </c>
      <c r="M2694" s="38" t="n">
        <f aca="false">Sens!$M$2689+Sens!$M$2690-Sens!$M$2691+Sens!$M$2693</f>
        <v>165.814568847416</v>
      </c>
    </row>
    <row r="2695" customFormat="false" ht="15" hidden="false" customHeight="false" outlineLevel="0" collapsed="false">
      <c r="A2695" s="5" t="s">
        <v>922</v>
      </c>
      <c r="B2695" s="0" t="s">
        <v>57</v>
      </c>
      <c r="H2695" s="40" t="n">
        <f aca="false">1/(1+wacc)^(2027-2026-0.5)</f>
        <v>0.947751320380232</v>
      </c>
      <c r="I2695" s="40" t="n">
        <f aca="false">1/(1+wacc)^(2028-2026-0.5)</f>
        <v>0.851301099754987</v>
      </c>
      <c r="J2695" s="40" t="n">
        <f aca="false">1/(1+wacc)^(2029-2026-0.5)</f>
        <v>0.764666370660713</v>
      </c>
      <c r="K2695" s="40" t="n">
        <f aca="false">1/(1+wacc)^(2030-2026-0.5)</f>
        <v>0.686848235703811</v>
      </c>
      <c r="L2695" s="40" t="n">
        <f aca="false">1/(1+wacc)^(2031-2026-0.5)</f>
        <v>0.616949452715975</v>
      </c>
      <c r="M2695" s="40" t="n">
        <f aca="false">1/(1+wacc)^(2032-2026-0.5)</f>
        <v>0.554164089562688</v>
      </c>
    </row>
    <row r="2696" customFormat="false" ht="15" hidden="false" customHeight="false" outlineLevel="0" collapsed="false">
      <c r="A2696" s="5" t="s">
        <v>923</v>
      </c>
      <c r="B2696" s="0" t="s">
        <v>86</v>
      </c>
      <c r="H2696" s="38" t="n">
        <f aca="false">Sens!$H$2694*Sens!$H$2695</f>
        <v>-71.2590938429537</v>
      </c>
      <c r="I2696" s="38" t="n">
        <f aca="false">Sens!$I$2694*Sens!$I$2695</f>
        <v>-32.2184005150899</v>
      </c>
      <c r="J2696" s="38" t="n">
        <f aca="false">Sens!$J$2694*Sens!$J$2695</f>
        <v>0.137287905463234</v>
      </c>
      <c r="K2696" s="38" t="n">
        <f aca="false">Sens!$K$2694*Sens!$K$2695</f>
        <v>64.0186341447197</v>
      </c>
      <c r="L2696" s="38" t="n">
        <f aca="false">Sens!$L$2694*Sens!$L$2695</f>
        <v>89.590836531563</v>
      </c>
      <c r="M2696" s="38" t="n">
        <f aca="false">Sens!$M$2694*Sens!$M$2695</f>
        <v>91.888479581558</v>
      </c>
    </row>
    <row r="2697" customFormat="false" ht="15" hidden="false" customHeight="false" outlineLevel="0" collapsed="false">
      <c r="A2697" s="5" t="s">
        <v>924</v>
      </c>
      <c r="B2697" s="0" t="s">
        <v>86</v>
      </c>
      <c r="C2697" s="38" t="n">
        <f aca="false">SUM(Sens!$H$2696:$M$2696)</f>
        <v>142.15774380526</v>
      </c>
    </row>
    <row r="2698" customFormat="false" ht="17.15" hidden="false" customHeight="false" outlineLevel="0" collapsed="false">
      <c r="A2698" s="5" t="s">
        <v>925</v>
      </c>
      <c r="B2698" s="0" t="s">
        <v>86</v>
      </c>
      <c r="C2698" s="38" t="n">
        <f aca="false">Sens!$M$2689*(1+tg)*(1-tg/ronic)/(wacc-tg)</f>
        <v>1519.55614802581</v>
      </c>
    </row>
    <row r="2699" customFormat="false" ht="15" hidden="false" customHeight="false" outlineLevel="0" collapsed="false">
      <c r="A2699" s="5" t="s">
        <v>926</v>
      </c>
      <c r="B2699" s="0" t="s">
        <v>86</v>
      </c>
      <c r="C2699" s="38" t="n">
        <f aca="false">Sens!$C$2698/(1+wacc)^6</f>
        <v>798.085700953994</v>
      </c>
    </row>
    <row r="2700" customFormat="false" ht="17.15" hidden="false" customHeight="false" outlineLevel="0" collapsed="false">
      <c r="A2700" s="5" t="s">
        <v>927</v>
      </c>
      <c r="B2700" s="0" t="s">
        <v>86</v>
      </c>
      <c r="C2700" s="38" t="n">
        <f aca="false">Sens!$C$2697+Sens!$C$2699</f>
        <v>940.243444759254</v>
      </c>
    </row>
    <row r="2701" customFormat="false" ht="17.15" hidden="false" customHeight="false" outlineLevel="0" collapsed="false">
      <c r="A2701" s="5" t="s">
        <v>928</v>
      </c>
      <c r="B2701" s="0" t="s">
        <v>52</v>
      </c>
      <c r="C2701" s="13" t="n">
        <f aca="false">Sens!$C$2699/Sens!$C$2700</f>
        <v>0.84880751405647</v>
      </c>
    </row>
    <row r="2702" customFormat="false" ht="17.15" hidden="false" customHeight="false" outlineLevel="0" collapsed="false">
      <c r="A2702" s="5" t="s">
        <v>929</v>
      </c>
      <c r="B2702" s="0" t="s">
        <v>86</v>
      </c>
      <c r="C2702" s="38" t="n">
        <f aca="false">Sens!$G$2678+fin_debt</f>
        <v>97.2636983848813</v>
      </c>
    </row>
    <row r="2703" customFormat="false" ht="17.15" hidden="false" customHeight="false" outlineLevel="0" collapsed="false">
      <c r="A2703" s="5" t="s">
        <v>930</v>
      </c>
      <c r="B2703" s="0" t="s">
        <v>86</v>
      </c>
      <c r="C2703" s="38" t="n">
        <f aca="false">(ant_val*ant_sh+oai_val*oai_sh)*(1-liq_disc)</f>
        <v>178.944</v>
      </c>
    </row>
    <row r="2704" customFormat="false" ht="15" hidden="false" customHeight="false" outlineLevel="0" collapsed="false">
      <c r="A2704" s="5" t="s">
        <v>931</v>
      </c>
      <c r="B2704" s="0" t="s">
        <v>86</v>
      </c>
      <c r="C2704" s="38" t="n">
        <f aca="false">Sens!$C$2700-Sens!$C$2702+Sens!$C$2703</f>
        <v>1021.92374637437</v>
      </c>
    </row>
    <row r="2705" customFormat="false" ht="17.15" hidden="false" customHeight="false" outlineLevel="0" collapsed="false">
      <c r="A2705" s="5" t="s">
        <v>932</v>
      </c>
      <c r="B2705" s="0" t="s">
        <v>27</v>
      </c>
      <c r="C2705" s="30" t="n">
        <f aca="false">Sens!$C$2704/sh_out</f>
        <v>94.7426290736921</v>
      </c>
    </row>
    <row r="2706" customFormat="false" ht="17.15" hidden="false" customHeight="false" outlineLevel="0" collapsed="false">
      <c r="A2706" s="1" t="s">
        <v>933</v>
      </c>
      <c r="B2706" s="8" t="s">
        <v>27</v>
      </c>
      <c r="C2706" s="30" t="n">
        <f aca="false">Sens!$C$2705*(1+ke)^tp_yf-dps*tp_yf</f>
        <v>103.778124320424</v>
      </c>
    </row>
    <row r="2707" customFormat="false" ht="17.15" hidden="false" customHeight="false" outlineLevel="0" collapsed="false">
      <c r="A2707" s="3" t="s">
        <v>934</v>
      </c>
    </row>
    <row r="2708" customFormat="false" ht="17.15" hidden="false" customHeight="false" outlineLevel="0" collapsed="false">
      <c r="A2708" s="5" t="s">
        <v>935</v>
      </c>
      <c r="B2708" s="0" t="s">
        <v>86</v>
      </c>
      <c r="C2708" s="38" t="n">
        <f aca="false">(1-tp_yf)*(Sens!$H$2635+sbc_ab*Sens!$H$2659*Sens!$H$2499/Sens!$H$2576)+tp_yf*(Sens!$I$2635+sbc_ab*Sens!$I$2659*Sens!$I$2499/Sens!$I$2576)</f>
        <v>59.634664536349</v>
      </c>
    </row>
    <row r="2709" customFormat="false" ht="15" hidden="false" customHeight="false" outlineLevel="0" collapsed="false">
      <c r="A2709" s="5" t="s">
        <v>936</v>
      </c>
      <c r="B2709" s="0" t="s">
        <v>57</v>
      </c>
      <c r="C2709" s="30" t="n">
        <f aca="false">m_ads*m_x</f>
        <v>9.11</v>
      </c>
    </row>
    <row r="2710" customFormat="false" ht="17.15" hidden="false" customHeight="false" outlineLevel="0" collapsed="false">
      <c r="A2710" s="5" t="s">
        <v>937</v>
      </c>
      <c r="B2710" s="0" t="s">
        <v>86</v>
      </c>
      <c r="C2710" s="38" t="n">
        <f aca="false">Sens!$C$2708*Sens!$C$2709</f>
        <v>543.271793926139</v>
      </c>
    </row>
    <row r="2711" customFormat="false" ht="17.15" hidden="false" customHeight="false" outlineLevel="0" collapsed="false">
      <c r="A2711" s="5" t="s">
        <v>938</v>
      </c>
      <c r="B2711" s="0" t="s">
        <v>86</v>
      </c>
      <c r="C2711" s="38" t="n">
        <f aca="false">(1-tp_yf)*(Sens!$H$2636+sbc_ab*Sens!$H$2659*(Sens!$H$2506-Sens!$H$2499)/Sens!$H$2576+IF(1=2,1,0)*(1-ext_sh)*Sens!$H$2536)+tp_yf*(Sens!$I$2636+sbc_ab*Sens!$I$2659*(Sens!$I$2506-Sens!$I$2499)/Sens!$I$2576+IF(1=2,1,0)*(1-ext_sh)*Sens!$I$2536)</f>
        <v>46.3546158477624</v>
      </c>
    </row>
    <row r="2712" customFormat="false" ht="17.15" hidden="false" customHeight="false" outlineLevel="0" collapsed="false">
      <c r="A2712" s="5" t="s">
        <v>939</v>
      </c>
      <c r="B2712" s="0" t="s">
        <v>57</v>
      </c>
      <c r="C2712" s="30" t="n">
        <f aca="false">m_retail*m_x</f>
        <v>17.72</v>
      </c>
    </row>
    <row r="2713" customFormat="false" ht="17.15" hidden="false" customHeight="false" outlineLevel="0" collapsed="false">
      <c r="A2713" s="5" t="s">
        <v>940</v>
      </c>
      <c r="B2713" s="0" t="s">
        <v>86</v>
      </c>
      <c r="C2713" s="38" t="n">
        <f aca="false">Sens!$C$2711*Sens!$C$2712</f>
        <v>821.40379282235</v>
      </c>
    </row>
    <row r="2714" customFormat="false" ht="17.15" hidden="false" customHeight="false" outlineLevel="0" collapsed="false">
      <c r="A2714" s="0" t="s">
        <v>941</v>
      </c>
      <c r="B2714" s="0" t="s">
        <v>86</v>
      </c>
      <c r="C2714" s="38" t="n">
        <f aca="false">(1-tp_yf)*(Sens!$H$2637+sbc_ab*Sens!$H$2659*Sens!$H$2574/Sens!$H$2576)+tp_yf*(Sens!$I$2637+sbc_ab*Sens!$I$2659*Sens!$I$2574/Sens!$I$2576)</f>
        <v>96.2439586897193</v>
      </c>
    </row>
    <row r="2715" customFormat="false" ht="17.15" hidden="false" customHeight="false" outlineLevel="0" collapsed="false">
      <c r="A2715" s="0" t="s">
        <v>942</v>
      </c>
      <c r="B2715" s="0" t="s">
        <v>57</v>
      </c>
      <c r="C2715" s="30" t="n">
        <f aca="false">m_cloud*m_x</f>
        <v>13.82</v>
      </c>
    </row>
    <row r="2716" customFormat="false" ht="17.15" hidden="false" customHeight="false" outlineLevel="0" collapsed="false">
      <c r="A2716" s="0" t="s">
        <v>943</v>
      </c>
      <c r="B2716" s="0" t="s">
        <v>86</v>
      </c>
      <c r="C2716" s="38" t="n">
        <f aca="false">Sens!$C$2714*Sens!$C$2715</f>
        <v>1330.09150909192</v>
      </c>
    </row>
    <row r="2717" customFormat="false" ht="17.15" hidden="false" customHeight="false" outlineLevel="0" collapsed="false">
      <c r="A2717" s="0" t="s">
        <v>944</v>
      </c>
      <c r="B2717" s="0" t="s">
        <v>86</v>
      </c>
      <c r="H2717" s="38" t="n">
        <f aca="false">Sens!$H$2555-tax*Sens!$H$2556-ext_sh*Sens!$H$2543</f>
        <v>-115.885394236225</v>
      </c>
      <c r="I2717" s="38" t="n">
        <f aca="false">Sens!$I$2555-tax*Sens!$I$2556-ext_sh*Sens!$I$2543</f>
        <v>-89.5935137276694</v>
      </c>
      <c r="J2717" s="38" t="n">
        <f aca="false">Sens!$J$2555-tax*Sens!$J$2556-ext_sh*Sens!$J$2543</f>
        <v>-62.3510647460279</v>
      </c>
      <c r="K2717" s="38" t="n">
        <f aca="false">Sens!$K$2555-tax*Sens!$K$2556-ext_sh*Sens!$K$2543</f>
        <v>8.85932514072565</v>
      </c>
      <c r="L2717" s="38" t="n">
        <f aca="false">Sens!$L$2555-tax*Sens!$L$2556-ext_sh*Sens!$L$2543</f>
        <v>45.6968344120177</v>
      </c>
      <c r="M2717" s="38" t="n">
        <f aca="false">Sens!$M$2555-tax*Sens!$M$2556-ext_sh*Sens!$M$2543</f>
        <v>54.7466688757428</v>
      </c>
    </row>
    <row r="2718" customFormat="false" ht="17.15" hidden="false" customHeight="false" outlineLevel="0" collapsed="false">
      <c r="A2718" s="5" t="s">
        <v>945</v>
      </c>
      <c r="B2718" s="0" t="s">
        <v>86</v>
      </c>
      <c r="H2718" s="38" t="n">
        <f aca="false">Sens!$H$2717*Sens!$H$2695</f>
        <v>-109.830535400166</v>
      </c>
      <c r="I2718" s="38" t="n">
        <f aca="false">Sens!$I$2717*Sens!$I$2695</f>
        <v>-76.2710567672785</v>
      </c>
      <c r="J2718" s="38" t="n">
        <f aca="false">Sens!$J$2717*Sens!$J$2695</f>
        <v>-47.6777623861763</v>
      </c>
      <c r="K2718" s="38" t="n">
        <f aca="false">Sens!$K$2717*Sens!$K$2695</f>
        <v>6.08501184243383</v>
      </c>
      <c r="L2718" s="38" t="n">
        <f aca="false">Sens!$L$2717*Sens!$L$2695</f>
        <v>28.1926369813469</v>
      </c>
      <c r="M2718" s="38" t="n">
        <f aca="false">Sens!$M$2717*Sens!$M$2695</f>
        <v>30.338637914116</v>
      </c>
    </row>
    <row r="2719" customFormat="false" ht="17.15" hidden="false" customHeight="false" outlineLevel="0" collapsed="false">
      <c r="A2719" s="5" t="s">
        <v>946</v>
      </c>
      <c r="B2719" s="0" t="s">
        <v>86</v>
      </c>
      <c r="C2719" s="38" t="n">
        <f aca="false">Sens!$M$2556*(1-tax)*(1+tg)*(1-tg/ronic)/(wacc-tg)</f>
        <v>391.533160655061</v>
      </c>
    </row>
    <row r="2720" customFormat="false" ht="17.15" hidden="false" customHeight="false" outlineLevel="0" collapsed="false">
      <c r="A2720" s="0" t="s">
        <v>947</v>
      </c>
      <c r="B2720" s="0" t="s">
        <v>86</v>
      </c>
      <c r="C2720" s="38" t="n">
        <f aca="false">(SUM(Sens!$I$2718:$M$2718)+Sens!$C$2719/(1+wacc)^6)*(1+wacc)^tp_yf</f>
        <v>159.796867964901</v>
      </c>
    </row>
    <row r="2721" customFormat="false" ht="17.15" hidden="false" customHeight="false" outlineLevel="0" collapsed="false">
      <c r="A2721" s="5" t="s">
        <v>948</v>
      </c>
      <c r="B2721" s="0" t="s">
        <v>86</v>
      </c>
      <c r="C2721" s="38" t="n">
        <f aca="false">(1-tp_yf)*(Sens!$H$2638)+tp_yf*(Sens!$I$2638)</f>
        <v>74.6707041238437</v>
      </c>
    </row>
    <row r="2722" customFormat="false" ht="17.15" hidden="false" customHeight="false" outlineLevel="0" collapsed="false">
      <c r="A2722" s="5" t="s">
        <v>949</v>
      </c>
      <c r="B2722" s="0" t="s">
        <v>86</v>
      </c>
      <c r="C2722" s="38" t="n">
        <f aca="false">Sens!$C$2721*m_ai</f>
        <v>448.024224743062</v>
      </c>
    </row>
    <row r="2723" customFormat="false" ht="17.15" hidden="false" customHeight="false" outlineLevel="0" collapsed="false">
      <c r="A2723" s="0" t="s">
        <v>950</v>
      </c>
      <c r="B2723" s="0" t="s">
        <v>86</v>
      </c>
      <c r="C2723" s="38" t="n">
        <f aca="false">IF(ai_leg=1,Sens!$C$2720,Sens!$C$2722)</f>
        <v>159.796867964901</v>
      </c>
    </row>
    <row r="2724" customFormat="false" ht="17.15" hidden="false" customHeight="false" outlineLevel="0" collapsed="false">
      <c r="A2724" s="5" t="s">
        <v>951</v>
      </c>
      <c r="B2724" s="0" t="s">
        <v>86</v>
      </c>
      <c r="C2724" s="38" t="n">
        <f aca="false">Sens!$C$2710+Sens!$C$2713+Sens!$C$2716+Sens!$C$2723</f>
        <v>2854.56396380531</v>
      </c>
    </row>
    <row r="2725" customFormat="false" ht="17.15" hidden="false" customHeight="false" outlineLevel="0" collapsed="false">
      <c r="A2725" s="5" t="s">
        <v>952</v>
      </c>
      <c r="B2725" s="0" t="s">
        <v>86</v>
      </c>
      <c r="C2725" s="38" t="n">
        <f aca="false">Sens!$H$2678+fin_debt</f>
        <v>153.608629741943</v>
      </c>
    </row>
    <row r="2726" customFormat="false" ht="15" hidden="false" customHeight="false" outlineLevel="0" collapsed="false">
      <c r="A2726" s="5" t="s">
        <v>953</v>
      </c>
      <c r="B2726" s="0" t="s">
        <v>86</v>
      </c>
      <c r="C2726" s="38" t="n">
        <f aca="false">Sens!$C$2724-Sens!$C$2725+Sens!$C$2703</f>
        <v>2879.89933406337</v>
      </c>
    </row>
    <row r="2727" customFormat="false" ht="15" hidden="false" customHeight="false" outlineLevel="0" collapsed="false">
      <c r="A2727" s="3" t="s">
        <v>954</v>
      </c>
      <c r="B2727" s="8" t="s">
        <v>27</v>
      </c>
      <c r="C2727" s="30" t="n">
        <f aca="false">Sens!$C$2726/sh_val</f>
        <v>261.089515136502</v>
      </c>
    </row>
    <row r="2728" customFormat="false" ht="17.15" hidden="false" customHeight="false" outlineLevel="0" collapsed="false">
      <c r="A2728" s="47" t="s">
        <v>955</v>
      </c>
      <c r="B2728" s="14" t="s">
        <v>27</v>
      </c>
      <c r="C2728" s="44" t="n">
        <f aca="false">w_dcf*Sens!$C$2706+(1-w_dcf)*Sens!$C$2727</f>
        <v>182.433819728463</v>
      </c>
      <c r="D2728" s="14"/>
      <c r="E2728" s="14"/>
      <c r="F2728" s="14"/>
      <c r="G2728" s="14"/>
      <c r="H2728" s="14"/>
      <c r="I2728" s="14"/>
      <c r="J2728" s="14"/>
      <c r="K2728" s="14"/>
      <c r="L2728" s="14"/>
      <c r="M2728" s="14"/>
      <c r="N2728" s="14"/>
      <c r="O2728" s="14"/>
    </row>
    <row r="2729" customFormat="false" ht="17.15" hidden="false" customHeight="false" outlineLevel="0" collapsed="false">
      <c r="A2729" s="5" t="s">
        <v>956</v>
      </c>
      <c r="B2729" s="0" t="s">
        <v>27</v>
      </c>
      <c r="C2729" s="30" t="n">
        <f aca="false">v022_wdcf*Sens!$C$2706+(1-v022_wdcf)*Sens!$C$2727</f>
        <v>190.299389269267</v>
      </c>
    </row>
    <row r="2730" customFormat="false" ht="17.15" hidden="false" customHeight="false" outlineLevel="0" collapsed="false">
      <c r="A2730" s="5" t="s">
        <v>957</v>
      </c>
      <c r="B2730" s="0" t="s">
        <v>27</v>
      </c>
      <c r="C2730" s="30" t="n">
        <f aca="false">(Sens!$C$2726-Sens!$C$2723+Sens!$C$2722)/sh_val</f>
        <v>287.219991275092</v>
      </c>
    </row>
    <row r="2733" customFormat="false" ht="19.4" hidden="false" customHeight="false" outlineLevel="0" collapsed="false">
      <c r="A2733" s="31" t="s">
        <v>1190</v>
      </c>
    </row>
    <row r="2734" customFormat="false" ht="17.15" hidden="false" customHeight="false" outlineLevel="0" collapsed="false">
      <c r="A2734" s="6" t="s">
        <v>16</v>
      </c>
      <c r="B2734" s="6" t="s">
        <v>17</v>
      </c>
      <c r="C2734" s="20" t="s">
        <v>497</v>
      </c>
      <c r="D2734" s="20" t="s">
        <v>498</v>
      </c>
      <c r="E2734" s="20" t="s">
        <v>580</v>
      </c>
      <c r="F2734" s="20" t="s">
        <v>581</v>
      </c>
      <c r="G2734" s="20" t="s">
        <v>582</v>
      </c>
      <c r="H2734" s="20" t="s">
        <v>583</v>
      </c>
      <c r="I2734" s="20" t="s">
        <v>584</v>
      </c>
      <c r="J2734" s="20" t="s">
        <v>585</v>
      </c>
      <c r="K2734" s="20" t="s">
        <v>586</v>
      </c>
      <c r="L2734" s="20" t="s">
        <v>587</v>
      </c>
      <c r="M2734" s="20" t="s">
        <v>588</v>
      </c>
      <c r="N2734" s="20" t="s">
        <v>589</v>
      </c>
      <c r="O2734" s="20" t="s">
        <v>590</v>
      </c>
      <c r="P2734" s="6" t="s">
        <v>23</v>
      </c>
      <c r="R2734" s="20" t="n">
        <v>2023</v>
      </c>
      <c r="S2734" s="20" t="n">
        <v>2024</v>
      </c>
      <c r="T2734" s="20" t="n">
        <v>2025</v>
      </c>
      <c r="U2734" s="20" t="n">
        <v>2026</v>
      </c>
      <c r="V2734" s="20" t="n">
        <v>2027</v>
      </c>
      <c r="W2734" s="20" t="n">
        <v>2028</v>
      </c>
      <c r="X2734" s="20" t="n">
        <v>2029</v>
      </c>
      <c r="Y2734" s="20" t="n">
        <v>2030</v>
      </c>
      <c r="Z2734" s="20" t="n">
        <v>2031</v>
      </c>
      <c r="AA2734" s="20" t="n">
        <v>2032</v>
      </c>
    </row>
    <row r="2735" customFormat="false" ht="17.15" hidden="false" customHeight="false" outlineLevel="0" collapsed="false">
      <c r="A2735" s="1" t="s">
        <v>666</v>
      </c>
    </row>
    <row r="2736" customFormat="false" ht="17.15" hidden="false" customHeight="false" outlineLevel="0" collapsed="false">
      <c r="A2736" s="0" t="s">
        <v>519</v>
      </c>
      <c r="B2736" s="0" t="s">
        <v>86</v>
      </c>
      <c r="C2736" s="38" t="n">
        <f aca="false">Q!$D$10</f>
        <v>247.029</v>
      </c>
      <c r="D2736" s="38" t="n">
        <f aca="false">Q!$E$10</f>
        <v>269.287</v>
      </c>
      <c r="E2736" s="38" t="n">
        <f aca="false">Q!$P$10</f>
        <v>134.686</v>
      </c>
      <c r="F2736" s="38" t="n">
        <f aca="false">Sens!$O$2736*(1+Sens!$F$2737)*Sens!$F$2748</f>
        <v>158.293876822267</v>
      </c>
      <c r="G2736" s="38" t="n">
        <f aca="false">Sens!$E$2736+Sens!$F$2736</f>
        <v>292.979876822267</v>
      </c>
      <c r="H2736" s="38" t="n">
        <f aca="false">Sens!$G$2736*(1+Sens!$H$2737)</f>
        <v>318.184543087396</v>
      </c>
      <c r="I2736" s="38" t="n">
        <f aca="false">Sens!$H$2736*(1+Sens!$I$2737)</f>
        <v>341.736278761793</v>
      </c>
      <c r="J2736" s="38" t="n">
        <f aca="false">Sens!$I$2736*(1+Sens!$J$2737)</f>
        <v>362.927192787048</v>
      </c>
      <c r="K2736" s="38" t="n">
        <f aca="false">Sens!$J$2736*(1+Sens!$K$2737)</f>
        <v>381.0735524264</v>
      </c>
      <c r="L2736" s="38" t="n">
        <f aca="false">Sens!$K$2736*(1+Sens!$L$2737)</f>
        <v>400.12723004772</v>
      </c>
      <c r="M2736" s="38" t="n">
        <f aca="false">Sens!$L$2736*(1+Sens!$M$2737)</f>
        <v>420.133591550106</v>
      </c>
      <c r="N2736" s="38" t="n">
        <f aca="false">Q!$N$10</f>
        <v>118.892</v>
      </c>
      <c r="O2736" s="38" t="n">
        <f aca="false">Q!$O$10</f>
        <v>150.395</v>
      </c>
      <c r="P2736" s="8" t="s">
        <v>667</v>
      </c>
    </row>
    <row r="2737" customFormat="false" ht="17.15" hidden="false" customHeight="false" outlineLevel="0" collapsed="false">
      <c r="A2737" s="0" t="s">
        <v>668</v>
      </c>
      <c r="B2737" s="0" t="s">
        <v>52</v>
      </c>
      <c r="E2737" s="13" t="n">
        <f aca="false">Sens!$E$2736/Sens!$N$2736-1</f>
        <v>0.132843252699929</v>
      </c>
      <c r="F2737" s="13" t="n">
        <f aca="false">Sens!$O$2736/(Q!$F$10+Q!$G$10)-1</f>
        <v>0.0980382135842941</v>
      </c>
      <c r="G2737" s="13" t="n">
        <f aca="false">Sens!$G$2736/Sens!$D$2736-1</f>
        <v>0.0879837378791657</v>
      </c>
      <c r="H2737" s="13" t="n">
        <f aca="false">Sens!$F$2737+(g_os-Sens!$F$2737)*1/4</f>
        <v>0.0860286601882206</v>
      </c>
      <c r="I2737" s="13" t="n">
        <f aca="false">Sens!$F$2737+(g_os-Sens!$F$2737)*2/4</f>
        <v>0.074019106792147</v>
      </c>
      <c r="J2737" s="13" t="n">
        <f aca="false">Sens!$F$2737+(g_os-Sens!$F$2737)*3/4</f>
        <v>0.0620095533960735</v>
      </c>
      <c r="K2737" s="13" t="n">
        <f aca="false">Sens!$F$2737+(g_os-Sens!$F$2737)*4/4</f>
        <v>0.05</v>
      </c>
      <c r="L2737" s="13" t="n">
        <f aca="false">g_os</f>
        <v>0.05</v>
      </c>
      <c r="M2737" s="13" t="n">
        <f aca="false">g_os</f>
        <v>0.05</v>
      </c>
      <c r="P2737" s="8" t="s">
        <v>669</v>
      </c>
    </row>
    <row r="2738" customFormat="false" ht="17.15" hidden="false" customHeight="false" outlineLevel="0" collapsed="false">
      <c r="A2738" s="0" t="s">
        <v>520</v>
      </c>
      <c r="B2738" s="0" t="s">
        <v>86</v>
      </c>
      <c r="C2738" s="38" t="n">
        <f aca="false">Q!$D$11</f>
        <v>21.215</v>
      </c>
      <c r="D2738" s="38" t="n">
        <f aca="false">Q!$E$11</f>
        <v>22.561</v>
      </c>
      <c r="E2738" s="38" t="n">
        <f aca="false">Q!$P$11</f>
        <v>11.579</v>
      </c>
      <c r="F2738" s="38" t="n">
        <f aca="false">Sens!$O$2738*(1+Sens!$F$2739)*Sens!$F$2748</f>
        <v>11.5938724610325</v>
      </c>
      <c r="G2738" s="38" t="n">
        <f aca="false">Sens!$E$2738+Sens!$F$2738</f>
        <v>23.1728724610325</v>
      </c>
      <c r="H2738" s="38" t="n">
        <f aca="false">Sens!$G$2738*(1+Sens!$H$2739)</f>
        <v>24.353392759506</v>
      </c>
      <c r="I2738" s="38" t="n">
        <f aca="false">Sens!$H$2738*(1+Sens!$I$2739)</f>
        <v>25.4240338872015</v>
      </c>
      <c r="J2738" s="38" t="n">
        <f aca="false">Sens!$I$2738*(1+Sens!$J$2739)</f>
        <v>26.3642491017174</v>
      </c>
      <c r="K2738" s="38" t="n">
        <f aca="false">Sens!$J$2738*(1+Sens!$K$2739)</f>
        <v>27.155176574769</v>
      </c>
      <c r="L2738" s="38" t="n">
        <f aca="false">Sens!$K$2738*(1+Sens!$L$2739)</f>
        <v>27.969831872012</v>
      </c>
      <c r="M2738" s="38" t="n">
        <f aca="false">Sens!$L$2738*(1+Sens!$M$2739)</f>
        <v>28.8089268281724</v>
      </c>
      <c r="N2738" s="38" t="n">
        <f aca="false">Q!$N$11</f>
        <v>11.128</v>
      </c>
      <c r="O2738" s="38" t="n">
        <f aca="false">Q!$O$11</f>
        <v>11.433</v>
      </c>
      <c r="P2738" s="8" t="s">
        <v>667</v>
      </c>
    </row>
    <row r="2739" customFormat="false" ht="17.15" hidden="false" customHeight="false" outlineLevel="0" collapsed="false">
      <c r="A2739" s="0" t="s">
        <v>670</v>
      </c>
      <c r="B2739" s="0" t="s">
        <v>52</v>
      </c>
      <c r="E2739" s="13" t="n">
        <f aca="false">Sens!$E$2738/Sens!$N$2738-1</f>
        <v>0.0405283968368082</v>
      </c>
      <c r="F2739" s="13" t="n">
        <f aca="false">Sens!$O$2738/(Q!$F$11+Q!$G$11)-1</f>
        <v>0.0579254187100955</v>
      </c>
      <c r="G2739" s="13" t="n">
        <f aca="false">Sens!$G$2738/Sens!$D$2738-1</f>
        <v>0.0271208040881397</v>
      </c>
      <c r="H2739" s="13" t="n">
        <f aca="false">Sens!$F$2739+(g_ps-Sens!$F$2739)*1/4</f>
        <v>0.0509440640325716</v>
      </c>
      <c r="I2739" s="13" t="n">
        <f aca="false">Sens!$F$2739+(g_ps-Sens!$F$2739)*2/4</f>
        <v>0.0439627093550477</v>
      </c>
      <c r="J2739" s="13" t="n">
        <f aca="false">Sens!$F$2739+(g_ps-Sens!$F$2739)*3/4</f>
        <v>0.0369813546775239</v>
      </c>
      <c r="K2739" s="13" t="n">
        <f aca="false">Sens!$F$2739+(g_ps-Sens!$F$2739)*4/4</f>
        <v>0.03</v>
      </c>
      <c r="L2739" s="13" t="n">
        <f aca="false">g_ps</f>
        <v>0.03</v>
      </c>
      <c r="M2739" s="13" t="n">
        <f aca="false">g_ps</f>
        <v>0.03</v>
      </c>
      <c r="P2739" s="8" t="s">
        <v>671</v>
      </c>
    </row>
    <row r="2740" customFormat="false" ht="17.15" hidden="false" customHeight="false" outlineLevel="0" collapsed="false">
      <c r="A2740" s="0" t="s">
        <v>521</v>
      </c>
      <c r="B2740" s="0" t="s">
        <v>86</v>
      </c>
      <c r="C2740" s="38" t="n">
        <f aca="false">Q!$D$12</f>
        <v>156.146</v>
      </c>
      <c r="D2740" s="38" t="n">
        <f aca="false">Q!$E$12</f>
        <v>172.162</v>
      </c>
      <c r="E2740" s="38" t="n">
        <f aca="false">Q!$P$12</f>
        <v>88.358</v>
      </c>
      <c r="F2740" s="38" t="n">
        <f aca="false">Sens!$O$2740*(1+Sens!$F$2741)*Sens!$F$2748</f>
        <v>102.004388260171</v>
      </c>
      <c r="G2740" s="38" t="n">
        <f aca="false">Sens!$E$2740+Sens!$F$2740</f>
        <v>190.362388260171</v>
      </c>
      <c r="H2740" s="38" t="n">
        <f aca="false">Sens!$G$2740*(1+Sens!$H$2741)</f>
        <v>210.343106588311</v>
      </c>
      <c r="I2740" s="38" t="n">
        <f aca="false">Sens!$H$2740*(1+Sens!$I$2741)</f>
        <v>229.969728494648</v>
      </c>
      <c r="J2740" s="38" t="n">
        <f aca="false">Sens!$I$2740*(1+Sens!$J$2741)</f>
        <v>248.747636972598</v>
      </c>
      <c r="K2740" s="38" t="n">
        <f aca="false">Sens!$J$2740*(1+Sens!$K$2741)</f>
        <v>266.15997156068</v>
      </c>
      <c r="L2740" s="38" t="n">
        <f aca="false">Sens!$K$2740*(1+Sens!$L$2741)</f>
        <v>284.791169569927</v>
      </c>
      <c r="M2740" s="38" t="n">
        <f aca="false">Sens!$L$2740*(1+Sens!$M$2741)</f>
        <v>304.726551439822</v>
      </c>
      <c r="N2740" s="38" t="n">
        <f aca="false">Q!$N$12</f>
        <v>76.86</v>
      </c>
      <c r="O2740" s="38" t="n">
        <f aca="false">Q!$O$12</f>
        <v>95.302</v>
      </c>
      <c r="P2740" s="8" t="s">
        <v>667</v>
      </c>
    </row>
    <row r="2741" customFormat="false" ht="17.15" hidden="false" customHeight="false" outlineLevel="0" collapsed="false">
      <c r="A2741" s="0" t="s">
        <v>672</v>
      </c>
      <c r="B2741" s="0" t="s">
        <v>52</v>
      </c>
      <c r="E2741" s="13" t="n">
        <f aca="false">Sens!$E$2740/Sens!$N$2740-1</f>
        <v>0.1495966692688</v>
      </c>
      <c r="F2741" s="13" t="n">
        <f aca="false">Sens!$O$2740/(Q!$F$12+Q!$G$12)-1</f>
        <v>0.11661530890813</v>
      </c>
      <c r="G2741" s="13" t="n">
        <f aca="false">Sens!$G$2740/Sens!$D$2740-1</f>
        <v>0.105716640490767</v>
      </c>
      <c r="H2741" s="13" t="n">
        <f aca="false">Sens!$F$2741+(g_sp-Sens!$F$2741)*1/4</f>
        <v>0.104961481681098</v>
      </c>
      <c r="I2741" s="13" t="n">
        <f aca="false">Sens!$F$2741+(g_sp-Sens!$F$2741)*2/4</f>
        <v>0.0933076544540651</v>
      </c>
      <c r="J2741" s="13" t="n">
        <f aca="false">Sens!$F$2741+(g_sp-Sens!$F$2741)*3/4</f>
        <v>0.0816538272270325</v>
      </c>
      <c r="K2741" s="13" t="n">
        <f aca="false">Sens!$F$2741+(g_sp-Sens!$F$2741)*4/4</f>
        <v>0.07</v>
      </c>
      <c r="L2741" s="13" t="n">
        <f aca="false">g_sp</f>
        <v>0.07</v>
      </c>
      <c r="M2741" s="13" t="n">
        <f aca="false">g_sp</f>
        <v>0.07</v>
      </c>
      <c r="P2741" s="8" t="s">
        <v>673</v>
      </c>
    </row>
    <row r="2742" customFormat="false" ht="17.15" hidden="false" customHeight="false" outlineLevel="0" collapsed="false">
      <c r="A2742" s="0" t="s">
        <v>522</v>
      </c>
      <c r="B2742" s="0" t="s">
        <v>86</v>
      </c>
      <c r="C2742" s="38" t="n">
        <f aca="false">Q!$D$13</f>
        <v>56.214</v>
      </c>
      <c r="D2742" s="38" t="n">
        <f aca="false">Q!$E$13</f>
        <v>68.635</v>
      </c>
      <c r="E2742" s="38" t="n">
        <f aca="false">Q!$P$13</f>
        <v>37.052</v>
      </c>
      <c r="F2742" s="38" t="n">
        <f aca="false">Sens!$O$2742*(1+Sens!$F$2743)*Sens!$F$2748</f>
        <v>46.1572219944148</v>
      </c>
      <c r="G2742" s="38" t="n">
        <f aca="false">Sens!$E$2742+Sens!$F$2742</f>
        <v>83.2092219944148</v>
      </c>
      <c r="H2742" s="38" t="n">
        <f aca="false">Sens!$G$2742*(1+Sens!$H$2743)</f>
        <v>99.8969223878976</v>
      </c>
      <c r="I2742" s="38" t="n">
        <f aca="false">Sens!$H$2742*(1+Sens!$I$2743)</f>
        <v>116.583111095496</v>
      </c>
      <c r="J2742" s="38" t="n">
        <f aca="false">Sens!$I$2742*(1+Sens!$J$2743)</f>
        <v>132.148941941952</v>
      </c>
      <c r="K2742" s="38" t="n">
        <f aca="false">Sens!$J$2742*(1+Sens!$K$2743)</f>
        <v>145.363836136147</v>
      </c>
      <c r="L2742" s="38" t="n">
        <f aca="false">Sens!$K$2742*(1+Sens!$L$2743)</f>
        <v>159.900219749762</v>
      </c>
      <c r="M2742" s="38" t="n">
        <f aca="false">Sens!$L$2742*(1+Sens!$M$2743)</f>
        <v>175.890241724738</v>
      </c>
      <c r="N2742" s="38" t="n">
        <f aca="false">Q!$N$13</f>
        <v>29.615</v>
      </c>
      <c r="O2742" s="38" t="n">
        <f aca="false">Q!$O$13</f>
        <v>39.02</v>
      </c>
      <c r="P2742" s="8" t="s">
        <v>667</v>
      </c>
    </row>
    <row r="2743" customFormat="false" ht="17.15" hidden="false" customHeight="false" outlineLevel="0" collapsed="false">
      <c r="A2743" s="0" t="s">
        <v>674</v>
      </c>
      <c r="B2743" s="0" t="s">
        <v>52</v>
      </c>
      <c r="E2743" s="13" t="n">
        <f aca="false">Sens!$E$2742/Sens!$N$2742-1</f>
        <v>0.25112274185379</v>
      </c>
      <c r="F2743" s="13" t="n">
        <f aca="false">Sens!$O$2742/(Q!$F$13+Q!$G$13)-1</f>
        <v>0.234068123596572</v>
      </c>
      <c r="G2743" s="13" t="n">
        <f aca="false">Sens!$G$2742/Sens!$D$2742-1</f>
        <v>0.212343876949294</v>
      </c>
      <c r="H2743" s="13" t="n">
        <f aca="false">Sens!$F$2743+(g_ad-Sens!$F$2743)*1/4</f>
        <v>0.200551092697429</v>
      </c>
      <c r="I2743" s="13" t="n">
        <f aca="false">Sens!$F$2743+(g_ad-Sens!$F$2743)*2/4</f>
        <v>0.167034061798286</v>
      </c>
      <c r="J2743" s="13" t="n">
        <f aca="false">Sens!$F$2743+(g_ad-Sens!$F$2743)*3/4</f>
        <v>0.133517030899143</v>
      </c>
      <c r="K2743" s="13" t="n">
        <f aca="false">Sens!$F$2743+(g_ad-Sens!$F$2743)*4/4</f>
        <v>0.1</v>
      </c>
      <c r="L2743" s="13" t="n">
        <f aca="false">g_ad</f>
        <v>0.1</v>
      </c>
      <c r="M2743" s="13" t="n">
        <f aca="false">g_ad</f>
        <v>0.1</v>
      </c>
      <c r="P2743" s="8" t="s">
        <v>675</v>
      </c>
    </row>
    <row r="2744" customFormat="false" ht="17.15" hidden="false" customHeight="false" outlineLevel="0" collapsed="false">
      <c r="A2744" s="0" t="s">
        <v>523</v>
      </c>
      <c r="B2744" s="0" t="s">
        <v>86</v>
      </c>
      <c r="C2744" s="38" t="n">
        <f aca="false">Q!$D$14</f>
        <v>44.374</v>
      </c>
      <c r="D2744" s="38" t="n">
        <f aca="false">Q!$E$14</f>
        <v>49.619</v>
      </c>
      <c r="E2744" s="38" t="n">
        <f aca="false">Q!$P$14</f>
        <v>27.157</v>
      </c>
      <c r="F2744" s="38" t="n">
        <f aca="false">Sens!$O$2744*(1+Sens!$F$2745)*Sens!$F$2748</f>
        <v>27.7764165988154</v>
      </c>
      <c r="G2744" s="38" t="n">
        <f aca="false">Sens!$E$2744+Sens!$F$2744</f>
        <v>54.9334165988154</v>
      </c>
      <c r="H2744" s="38" t="n">
        <f aca="false">Sens!$G$2744*(1+Sens!$H$2745)</f>
        <v>61.1564112561829</v>
      </c>
      <c r="I2744" s="38" t="n">
        <f aca="false">Sens!$H$2744*(1+Sens!$I$2745)</f>
        <v>67.2020282103945</v>
      </c>
      <c r="J2744" s="38" t="n">
        <f aca="false">Sens!$I$2744*(1+Sens!$J$2745)</f>
        <v>72.8757274028885</v>
      </c>
      <c r="K2744" s="38" t="n">
        <f aca="false">Sens!$J$2744*(1+Sens!$K$2745)</f>
        <v>77.9770283210907</v>
      </c>
      <c r="L2744" s="38" t="n">
        <f aca="false">Sens!$K$2744*(1+Sens!$L$2745)</f>
        <v>83.4354203035671</v>
      </c>
      <c r="M2744" s="38" t="n">
        <f aca="false">Sens!$L$2744*(1+Sens!$M$2745)</f>
        <v>89.2758997248168</v>
      </c>
      <c r="N2744" s="38" t="n">
        <f aca="false">Q!$N$14</f>
        <v>23.923</v>
      </c>
      <c r="O2744" s="38" t="n">
        <f aca="false">Q!$O$14</f>
        <v>25.696</v>
      </c>
      <c r="P2744" s="8" t="s">
        <v>667</v>
      </c>
    </row>
    <row r="2745" customFormat="false" ht="17.15" hidden="false" customHeight="false" outlineLevel="0" collapsed="false">
      <c r="A2745" s="0" t="s">
        <v>676</v>
      </c>
      <c r="B2745" s="0" t="s">
        <v>52</v>
      </c>
      <c r="E2745" s="13" t="n">
        <f aca="false">Sens!$E$2744/Sens!$N$2744-1</f>
        <v>0.135183714417088</v>
      </c>
      <c r="F2745" s="13" t="n">
        <f aca="false">Sens!$O$2744/(Q!$F$14+Q!$G$14)-1</f>
        <v>0.127709997366804</v>
      </c>
      <c r="G2745" s="13" t="n">
        <f aca="false">Sens!$G$2744/Sens!$D$2744-1</f>
        <v>0.107104468022641</v>
      </c>
      <c r="H2745" s="13" t="n">
        <f aca="false">Sens!$F$2745+(g_sub-Sens!$F$2745)*1/4</f>
        <v>0.113282498025103</v>
      </c>
      <c r="I2745" s="13" t="n">
        <f aca="false">Sens!$F$2745+(g_sub-Sens!$F$2745)*2/4</f>
        <v>0.0988549986834021</v>
      </c>
      <c r="J2745" s="13" t="n">
        <f aca="false">Sens!$F$2745+(g_sub-Sens!$F$2745)*3/4</f>
        <v>0.084427499341701</v>
      </c>
      <c r="K2745" s="13" t="n">
        <f aca="false">Sens!$F$2745+(g_sub-Sens!$F$2745)*4/4</f>
        <v>0.07</v>
      </c>
      <c r="L2745" s="13" t="n">
        <f aca="false">g_sub</f>
        <v>0.07</v>
      </c>
      <c r="M2745" s="13" t="n">
        <f aca="false">g_sub</f>
        <v>0.07</v>
      </c>
      <c r="P2745" s="8" t="s">
        <v>677</v>
      </c>
    </row>
    <row r="2746" customFormat="false" ht="17.15" hidden="false" customHeight="false" outlineLevel="0" collapsed="false">
      <c r="A2746" s="0" t="s">
        <v>524</v>
      </c>
      <c r="B2746" s="0" t="s">
        <v>86</v>
      </c>
      <c r="C2746" s="38" t="n">
        <f aca="false">Q!$D$15</f>
        <v>5.425</v>
      </c>
      <c r="D2746" s="38" t="n">
        <f aca="false">Q!$E$15</f>
        <v>5.935</v>
      </c>
      <c r="E2746" s="38" t="n">
        <f aca="false">Q!$P$15</f>
        <v>3.474</v>
      </c>
      <c r="F2746" s="38" t="n">
        <f aca="false">Sens!$O$2746*(1+Sens!$F$2747)*Sens!$F$2748</f>
        <v>3.22246550883619</v>
      </c>
      <c r="G2746" s="38" t="n">
        <f aca="false">Sens!$E$2746+Sens!$F$2746</f>
        <v>6.69646550883619</v>
      </c>
      <c r="H2746" s="38" t="n">
        <f aca="false">Sens!$G$2746*(1+Sens!$H$2747)</f>
        <v>7.16251344209196</v>
      </c>
      <c r="I2746" s="38" t="n">
        <f aca="false">Sens!$H$2746*(1+Sens!$I$2747)</f>
        <v>7.61421070299826</v>
      </c>
      <c r="J2746" s="38" t="n">
        <f aca="false">Sens!$I$2746*(1+Sens!$J$2747)</f>
        <v>8.04465753523932</v>
      </c>
      <c r="K2746" s="38" t="n">
        <f aca="false">Sens!$J$2746*(1+Sens!$K$2747)</f>
        <v>8.44689041200128</v>
      </c>
      <c r="L2746" s="38" t="n">
        <f aca="false">Sens!$K$2746*(1+Sens!$L$2747)</f>
        <v>8.86923493260135</v>
      </c>
      <c r="M2746" s="38" t="n">
        <f aca="false">Sens!$L$2746*(1+Sens!$M$2747)</f>
        <v>9.31269667923142</v>
      </c>
      <c r="N2746" s="38" t="n">
        <f aca="false">Q!$N$15</f>
        <v>2.811</v>
      </c>
      <c r="O2746" s="38" t="n">
        <f aca="false">Q!$O$15</f>
        <v>3.124</v>
      </c>
      <c r="P2746" s="8" t="s">
        <v>667</v>
      </c>
    </row>
    <row r="2747" customFormat="false" ht="17.15" hidden="false" customHeight="false" outlineLevel="0" collapsed="false">
      <c r="A2747" s="0" t="s">
        <v>678</v>
      </c>
      <c r="B2747" s="0" t="s">
        <v>52</v>
      </c>
      <c r="E2747" s="13" t="n">
        <f aca="false">Sens!$E$2746/Sens!$N$2746-1</f>
        <v>0.235859124866596</v>
      </c>
      <c r="F2747" s="13" t="n">
        <f aca="false">Sens!$O$2746/(Q!$F$15+Q!$G$15)-1</f>
        <v>0.0761281433000345</v>
      </c>
      <c r="G2747" s="13" t="n">
        <f aca="false">Sens!$G$2746/Sens!$D$2746-1</f>
        <v>0.128300843948811</v>
      </c>
      <c r="H2747" s="13" t="n">
        <f aca="false">Sens!$F$2747+(g_ot-Sens!$F$2747)*1/4</f>
        <v>0.0695961074750259</v>
      </c>
      <c r="I2747" s="13" t="n">
        <f aca="false">Sens!$F$2747+(g_ot-Sens!$F$2747)*2/4</f>
        <v>0.0630640716500172</v>
      </c>
      <c r="J2747" s="13" t="n">
        <f aca="false">Sens!$F$2747+(g_ot-Sens!$F$2747)*3/4</f>
        <v>0.0565320358250086</v>
      </c>
      <c r="K2747" s="13" t="n">
        <f aca="false">Sens!$F$2747+(g_ot-Sens!$F$2747)*4/4</f>
        <v>0.05</v>
      </c>
      <c r="L2747" s="13" t="n">
        <f aca="false">g_ot</f>
        <v>0.05</v>
      </c>
      <c r="M2747" s="13" t="n">
        <f aca="false">g_ot</f>
        <v>0.05</v>
      </c>
      <c r="P2747" s="8" t="s">
        <v>679</v>
      </c>
    </row>
    <row r="2748" customFormat="false" ht="17.15" hidden="false" customHeight="false" outlineLevel="0" collapsed="false">
      <c r="A2748" s="0" t="s">
        <v>680</v>
      </c>
      <c r="B2748" s="0" t="s">
        <v>57</v>
      </c>
      <c r="F2748" s="40" t="n">
        <f aca="false">(g26q3_mid*Q!$O$8/Q!$J$8-Thesis!$F$86-Thesis!$F$90)/(Sens!$O$2736*(1+Sens!$F$2737)+Sens!$O$2738*(1+Sens!$F$2739)+Sens!$O$2740*(1+Sens!$F$2741)+Sens!$O$2742*(1+Sens!$F$2743)+Sens!$O$2744*(1+Sens!$F$2745)+Sens!$O$2746*(1+Sens!$F$2747))</f>
        <v>0.958546670622329</v>
      </c>
      <c r="P2748" s="8" t="s">
        <v>681</v>
      </c>
    </row>
    <row r="2749" customFormat="false" ht="17.15" hidden="false" customHeight="false" outlineLevel="0" collapsed="false">
      <c r="A2749" s="3" t="s">
        <v>682</v>
      </c>
      <c r="B2749" s="8" t="s">
        <v>86</v>
      </c>
      <c r="C2749" s="38" t="n">
        <f aca="false">Sens!$C$2736+Sens!$C$2738+Sens!$C$2740+Sens!$C$2742+Sens!$C$2744+Sens!$C$2746</f>
        <v>530.403</v>
      </c>
      <c r="D2749" s="38" t="n">
        <f aca="false">Sens!$D$2736+Sens!$D$2738+Sens!$D$2740+Sens!$D$2742+Sens!$D$2744+Sens!$D$2746</f>
        <v>588.199</v>
      </c>
      <c r="E2749" s="38" t="n">
        <f aca="false">Sens!$E$2736+Sens!$E$2738+Sens!$E$2740+Sens!$E$2742+Sens!$E$2744+Sens!$E$2746</f>
        <v>302.306</v>
      </c>
      <c r="F2749" s="38" t="n">
        <f aca="false">Sens!$F$2736+Sens!$F$2738+Sens!$F$2740+Sens!$F$2742+Sens!$F$2744+Sens!$F$2746</f>
        <v>349.048241645537</v>
      </c>
      <c r="G2749" s="38" t="n">
        <f aca="false">Sens!$G$2736+Sens!$G$2738+Sens!$G$2740+Sens!$G$2742+Sens!$G$2744+Sens!$G$2746</f>
        <v>651.354241645537</v>
      </c>
      <c r="H2749" s="38" t="n">
        <f aca="false">Sens!$H$2736+Sens!$H$2738+Sens!$H$2740+Sens!$H$2742+Sens!$H$2744+Sens!$H$2746</f>
        <v>721.096889521386</v>
      </c>
      <c r="I2749" s="38" t="n">
        <f aca="false">Sens!$I$2736+Sens!$I$2738+Sens!$I$2740+Sens!$I$2742+Sens!$I$2744+Sens!$I$2746</f>
        <v>788.529391152531</v>
      </c>
      <c r="J2749" s="38" t="n">
        <f aca="false">Sens!$J$2736+Sens!$J$2738+Sens!$J$2740+Sens!$J$2742+Sens!$J$2744+Sens!$J$2746</f>
        <v>851.108405741443</v>
      </c>
      <c r="K2749" s="38" t="n">
        <f aca="false">Sens!$K$2736+Sens!$K$2738+Sens!$K$2740+Sens!$K$2742+Sens!$K$2744+Sens!$K$2746</f>
        <v>906.176455431088</v>
      </c>
      <c r="L2749" s="38" t="n">
        <f aca="false">Sens!$L$2736+Sens!$L$2738+Sens!$L$2740+Sens!$L$2742+Sens!$L$2744+Sens!$L$2746</f>
        <v>965.093106475589</v>
      </c>
      <c r="M2749" s="38" t="n">
        <f aca="false">Sens!$M$2736+Sens!$M$2738+Sens!$M$2740+Sens!$M$2742+Sens!$M$2744+Sens!$M$2746</f>
        <v>1028.14790794689</v>
      </c>
      <c r="N2749" s="38" t="n">
        <f aca="false">Sens!$N$2736+Sens!$N$2738+Sens!$N$2740+Sens!$N$2742+Sens!$N$2744+Sens!$N$2746</f>
        <v>263.229</v>
      </c>
      <c r="O2749" s="38" t="n">
        <f aca="false">Sens!$O$2736+Sens!$O$2738+Sens!$O$2740+Sens!$O$2742+Sens!$O$2744+Sens!$O$2746</f>
        <v>324.97</v>
      </c>
    </row>
    <row r="2750" customFormat="false" ht="17.15" hidden="false" customHeight="false" outlineLevel="0" collapsed="false">
      <c r="A2750" s="5" t="s">
        <v>683</v>
      </c>
      <c r="B2750" s="0" t="s">
        <v>52</v>
      </c>
      <c r="C2750" s="13" t="n">
        <f aca="false">Q!$D$5/(Q!$D$5+Q!$D$6)</f>
        <v>0.730570905519011</v>
      </c>
      <c r="D2750" s="13" t="n">
        <f aca="false">Q!$E$5/(Q!$E$5+Q!$E$6)</f>
        <v>0.724763217890544</v>
      </c>
      <c r="E2750" s="13" t="n">
        <f aca="false">Q!$P$5/(Q!$P$5+Q!$P$6)</f>
        <v>0.728797972914861</v>
      </c>
      <c r="F2750" s="13" t="n">
        <f aca="false">Sens!$O$2750</f>
        <v>0.718066283041511</v>
      </c>
      <c r="G2750" s="13" t="n">
        <f aca="false">Sens!$G$2751/Sens!$G$2749</f>
        <v>0.723047066202847</v>
      </c>
      <c r="H2750" s="13" t="n">
        <f aca="false">Sens!$G$2750</f>
        <v>0.723047066202847</v>
      </c>
      <c r="I2750" s="13" t="n">
        <f aca="false">Sens!$G$2750</f>
        <v>0.723047066202847</v>
      </c>
      <c r="J2750" s="13" t="n">
        <f aca="false">Sens!$G$2750</f>
        <v>0.723047066202847</v>
      </c>
      <c r="K2750" s="13" t="n">
        <f aca="false">Sens!$G$2750</f>
        <v>0.723047066202847</v>
      </c>
      <c r="L2750" s="13" t="n">
        <f aca="false">Sens!$G$2750</f>
        <v>0.723047066202847</v>
      </c>
      <c r="M2750" s="13" t="n">
        <f aca="false">Sens!$G$2750</f>
        <v>0.723047066202847</v>
      </c>
      <c r="N2750" s="13" t="n">
        <f aca="false">Q!$N$5/(Q!$N$5+Q!$N$6)</f>
        <v>0.733030935041352</v>
      </c>
      <c r="O2750" s="13" t="n">
        <f aca="false">Q!$O$5/(Q!$O$5+Q!$O$6)</f>
        <v>0.718066283041511</v>
      </c>
      <c r="P2750" s="8" t="s">
        <v>684</v>
      </c>
    </row>
    <row r="2751" customFormat="false" ht="17.15" hidden="false" customHeight="false" outlineLevel="0" collapsed="false">
      <c r="A2751" s="1" t="s">
        <v>512</v>
      </c>
      <c r="B2751" s="8" t="s">
        <v>86</v>
      </c>
      <c r="C2751" s="38" t="n">
        <f aca="false">Q!$D$5</f>
        <v>387.497</v>
      </c>
      <c r="D2751" s="38" t="n">
        <f aca="false">Q!$E$5</f>
        <v>426.305</v>
      </c>
      <c r="E2751" s="38" t="n">
        <f aca="false">Q!$P$5</f>
        <v>220.32</v>
      </c>
      <c r="F2751" s="38" t="n">
        <f aca="false">Sens!$F$2749*Sens!$F$2750</f>
        <v>250.639773480586</v>
      </c>
      <c r="G2751" s="38" t="n">
        <f aca="false">Sens!$E$2751+Sens!$F$2751</f>
        <v>470.959773480586</v>
      </c>
      <c r="H2751" s="38" t="n">
        <f aca="false">Sens!$H$2749*Sens!$H$2750</f>
        <v>521.386990416437</v>
      </c>
      <c r="I2751" s="38" t="n">
        <f aca="false">Sens!$I$2749*Sens!$I$2750</f>
        <v>570.143862887555</v>
      </c>
      <c r="J2751" s="38" t="n">
        <f aca="false">Sens!$J$2749*Sens!$J$2750</f>
        <v>615.391435791933</v>
      </c>
      <c r="K2751" s="38" t="n">
        <f aca="false">Sens!$K$2749*Sens!$K$2750</f>
        <v>655.208227561543</v>
      </c>
      <c r="L2751" s="38" t="n">
        <f aca="false">Sens!$L$2749*Sens!$L$2750</f>
        <v>697.807739249767</v>
      </c>
      <c r="M2751" s="38" t="n">
        <f aca="false">Sens!$M$2749*Sens!$M$2750</f>
        <v>743.399328463592</v>
      </c>
      <c r="N2751" s="38" t="n">
        <f aca="false">Q!$N$5</f>
        <v>192.955</v>
      </c>
      <c r="O2751" s="38" t="n">
        <f aca="false">Q!$O$5</f>
        <v>233.35</v>
      </c>
      <c r="P2751" s="5" t="s">
        <v>685</v>
      </c>
    </row>
    <row r="2752" customFormat="false" ht="17.15" hidden="false" customHeight="false" outlineLevel="0" collapsed="false">
      <c r="A2752" s="1" t="s">
        <v>515</v>
      </c>
      <c r="B2752" s="8" t="s">
        <v>86</v>
      </c>
      <c r="C2752" s="38" t="n">
        <f aca="false">Q!$D$6</f>
        <v>142.906</v>
      </c>
      <c r="D2752" s="38" t="n">
        <f aca="false">Q!$E$6</f>
        <v>161.894</v>
      </c>
      <c r="E2752" s="38" t="n">
        <f aca="false">Q!$P$6</f>
        <v>81.986</v>
      </c>
      <c r="F2752" s="38" t="n">
        <f aca="false">Sens!$F$2749*(1-Sens!$F$2750)</f>
        <v>98.408468164951</v>
      </c>
      <c r="G2752" s="38" t="n">
        <f aca="false">Sens!$E$2752+Sens!$F$2752</f>
        <v>180.394468164951</v>
      </c>
      <c r="H2752" s="38" t="n">
        <f aca="false">Sens!$H$2749*(1-Sens!$H$2750)</f>
        <v>199.709899104949</v>
      </c>
      <c r="I2752" s="38" t="n">
        <f aca="false">Sens!$I$2749*(1-Sens!$I$2750)</f>
        <v>218.385528264976</v>
      </c>
      <c r="J2752" s="38" t="n">
        <f aca="false">Sens!$J$2749*(1-Sens!$J$2750)</f>
        <v>235.71696994951</v>
      </c>
      <c r="K2752" s="38" t="n">
        <f aca="false">Sens!$K$2749*(1-Sens!$K$2750)</f>
        <v>250.968227869545</v>
      </c>
      <c r="L2752" s="38" t="n">
        <f aca="false">Sens!$L$2749*(1-Sens!$L$2750)</f>
        <v>267.285367225822</v>
      </c>
      <c r="M2752" s="38" t="n">
        <f aca="false">Sens!$M$2749*(1-Sens!$M$2750)</f>
        <v>284.748579483295</v>
      </c>
      <c r="N2752" s="38" t="n">
        <f aca="false">Q!$N$6</f>
        <v>70.274</v>
      </c>
      <c r="O2752" s="38" t="n">
        <f aca="false">Q!$O$6</f>
        <v>91.62</v>
      </c>
      <c r="P2752" s="5" t="s">
        <v>686</v>
      </c>
    </row>
    <row r="2753" customFormat="false" ht="17.15" hidden="false" customHeight="false" outlineLevel="0" collapsed="false">
      <c r="A2753" s="5" t="s">
        <v>687</v>
      </c>
      <c r="B2753" s="0" t="s">
        <v>86</v>
      </c>
      <c r="C2753" s="38" t="n">
        <f aca="false">Sens!$C$2742*Sens!$C$2750</f>
        <v>41.0683128828457</v>
      </c>
      <c r="D2753" s="38" t="n">
        <f aca="false">Sens!$D$2742*Sens!$D$2750</f>
        <v>49.7441234599175</v>
      </c>
      <c r="E2753" s="38" t="n">
        <f aca="false">Sens!$E$2742*Sens!$E$2750</f>
        <v>27.0034224924414</v>
      </c>
      <c r="F2753" s="38" t="n">
        <f aca="false">Sens!$F$2742*Sens!$F$2750</f>
        <v>33.1439448330513</v>
      </c>
      <c r="G2753" s="38" t="n">
        <f aca="false">Sens!$G$2742*Sens!$G$2750</f>
        <v>60.164183844083</v>
      </c>
      <c r="H2753" s="38" t="n">
        <f aca="false">Sens!$H$2742*Sens!$H$2750</f>
        <v>72.2301766552629</v>
      </c>
      <c r="I2753" s="38" t="n">
        <f aca="false">Sens!$I$2742*Sens!$I$2750</f>
        <v>84.2950764463991</v>
      </c>
      <c r="J2753" s="38" t="n">
        <f aca="false">Sens!$J$2742*Sens!$J$2750</f>
        <v>95.5499047729386</v>
      </c>
      <c r="K2753" s="38" t="n">
        <f aca="false">Sens!$K$2742*Sens!$K$2750</f>
        <v>105.104895250232</v>
      </c>
      <c r="L2753" s="38" t="n">
        <f aca="false">Sens!$L$2742*Sens!$L$2750</f>
        <v>115.615384775256</v>
      </c>
      <c r="M2753" s="38" t="n">
        <f aca="false">Sens!$M$2742*Sens!$M$2750</f>
        <v>127.176923252781</v>
      </c>
      <c r="N2753" s="38" t="n">
        <f aca="false">Sens!$N$2742*Sens!$N$2750</f>
        <v>21.7087111412496</v>
      </c>
      <c r="O2753" s="38" t="n">
        <f aca="false">Sens!$O$2742*Sens!$O$2750</f>
        <v>28.0189463642798</v>
      </c>
      <c r="P2753" s="5" t="s">
        <v>688</v>
      </c>
    </row>
    <row r="2754" customFormat="false" ht="15" hidden="false" customHeight="false" outlineLevel="0" collapsed="false">
      <c r="A2754" s="5" t="s">
        <v>689</v>
      </c>
      <c r="B2754" s="0" t="s">
        <v>86</v>
      </c>
      <c r="C2754" s="38" t="n">
        <f aca="false">Sens!$C$2742-Sens!$C$2753</f>
        <v>15.1456871171543</v>
      </c>
      <c r="D2754" s="38" t="n">
        <f aca="false">Sens!$D$2742-Sens!$D$2753</f>
        <v>18.8908765400825</v>
      </c>
      <c r="E2754" s="38" t="n">
        <f aca="false">Sens!$E$2742-Sens!$E$2753</f>
        <v>10.0485775075586</v>
      </c>
      <c r="F2754" s="38" t="n">
        <f aca="false">Sens!$F$2742-Sens!$F$2753</f>
        <v>13.0132771613635</v>
      </c>
      <c r="G2754" s="38" t="n">
        <f aca="false">Sens!$G$2742-Sens!$G$2753</f>
        <v>23.0450381503318</v>
      </c>
      <c r="H2754" s="38" t="n">
        <f aca="false">Sens!$H$2742-Sens!$H$2753</f>
        <v>27.6667457326347</v>
      </c>
      <c r="I2754" s="38" t="n">
        <f aca="false">Sens!$I$2742-Sens!$I$2753</f>
        <v>32.2880346490971</v>
      </c>
      <c r="J2754" s="38" t="n">
        <f aca="false">Sens!$J$2742-Sens!$J$2753</f>
        <v>36.5990371690132</v>
      </c>
      <c r="K2754" s="38" t="n">
        <f aca="false">Sens!$K$2742-Sens!$K$2753</f>
        <v>40.2589408859145</v>
      </c>
      <c r="L2754" s="38" t="n">
        <f aca="false">Sens!$L$2742-Sens!$L$2753</f>
        <v>44.2848349745059</v>
      </c>
      <c r="M2754" s="38" t="n">
        <f aca="false">Sens!$M$2742-Sens!$M$2753</f>
        <v>48.7133184719565</v>
      </c>
      <c r="N2754" s="38" t="n">
        <f aca="false">Sens!$N$2742-Sens!$N$2753</f>
        <v>7.90628885875037</v>
      </c>
      <c r="O2754" s="38" t="n">
        <f aca="false">Sens!$O$2742-Sens!$O$2753</f>
        <v>11.0010536357202</v>
      </c>
    </row>
    <row r="2755" customFormat="false" ht="19.4" hidden="false" customHeight="false" outlineLevel="0" collapsed="false">
      <c r="A2755" s="31" t="s">
        <v>1191</v>
      </c>
    </row>
    <row r="2756" customFormat="false" ht="17.15" hidden="false" customHeight="false" outlineLevel="0" collapsed="false">
      <c r="A2756" s="6" t="s">
        <v>16</v>
      </c>
      <c r="B2756" s="6" t="s">
        <v>17</v>
      </c>
      <c r="C2756" s="20" t="s">
        <v>497</v>
      </c>
      <c r="D2756" s="20" t="s">
        <v>498</v>
      </c>
      <c r="E2756" s="20" t="s">
        <v>580</v>
      </c>
      <c r="F2756" s="20" t="s">
        <v>581</v>
      </c>
      <c r="G2756" s="20" t="s">
        <v>582</v>
      </c>
      <c r="H2756" s="20" t="s">
        <v>583</v>
      </c>
      <c r="I2756" s="20" t="s">
        <v>584</v>
      </c>
      <c r="J2756" s="20" t="s">
        <v>585</v>
      </c>
      <c r="K2756" s="20" t="s">
        <v>586</v>
      </c>
      <c r="L2756" s="20" t="s">
        <v>587</v>
      </c>
      <c r="M2756" s="20" t="s">
        <v>588</v>
      </c>
      <c r="N2756" s="20" t="s">
        <v>589</v>
      </c>
      <c r="O2756" s="20" t="s">
        <v>590</v>
      </c>
      <c r="P2756" s="6" t="s">
        <v>23</v>
      </c>
      <c r="R2756" s="20" t="n">
        <v>2023</v>
      </c>
      <c r="S2756" s="20" t="n">
        <v>2024</v>
      </c>
      <c r="T2756" s="20" t="n">
        <v>2025</v>
      </c>
      <c r="U2756" s="20" t="n">
        <v>2026</v>
      </c>
      <c r="V2756" s="20" t="n">
        <v>2027</v>
      </c>
      <c r="W2756" s="20" t="n">
        <v>2028</v>
      </c>
      <c r="X2756" s="20" t="n">
        <v>2029</v>
      </c>
      <c r="Y2756" s="20" t="n">
        <v>2030</v>
      </c>
      <c r="Z2756" s="20" t="n">
        <v>2031</v>
      </c>
      <c r="AA2756" s="20" t="n">
        <v>2032</v>
      </c>
    </row>
    <row r="2757" customFormat="false" ht="17.15" hidden="false" customHeight="false" outlineLevel="0" collapsed="false">
      <c r="A2757" s="1" t="s">
        <v>591</v>
      </c>
    </row>
    <row r="2758" customFormat="false" ht="17.15" hidden="false" customHeight="false" outlineLevel="0" collapsed="false">
      <c r="A2758" s="5" t="s">
        <v>592</v>
      </c>
      <c r="B2758" s="0" t="s">
        <v>144</v>
      </c>
      <c r="H2758" s="32" t="n">
        <f aca="false">pace_B</f>
        <v>3634.3</v>
      </c>
      <c r="I2758" s="32" t="n">
        <f aca="false">pace_B</f>
        <v>3634.3</v>
      </c>
      <c r="J2758" s="32" t="n">
        <f aca="false">pace_B</f>
        <v>3634.3</v>
      </c>
      <c r="K2758" s="32" t="n">
        <f aca="false">pace_B+(Sens!$J$2759*tg-pace_B)*1/3</f>
        <v>2570.86716666667</v>
      </c>
      <c r="L2758" s="32" t="n">
        <f aca="false">pace_B+(Sens!$J$2759*tg-pace_B)*2/3</f>
        <v>1507.43433333333</v>
      </c>
      <c r="M2758" s="32" t="n">
        <f aca="false">pace_B+(Sens!$J$2759*tg-pace_B)*3/3</f>
        <v>444.0015</v>
      </c>
      <c r="P2758" s="5" t="s">
        <v>593</v>
      </c>
    </row>
    <row r="2759" customFormat="false" ht="17.15" hidden="false" customHeight="false" outlineLevel="0" collapsed="false">
      <c r="A2759" s="15" t="s">
        <v>594</v>
      </c>
      <c r="B2759" s="14" t="s">
        <v>129</v>
      </c>
      <c r="C2759" s="33" t="n">
        <f aca="false">mw_ye24</f>
        <v>360</v>
      </c>
      <c r="D2759" s="33" t="n">
        <f aca="false">mw_ye25</f>
        <v>1440</v>
      </c>
      <c r="E2759" s="33" t="n">
        <f aca="false">mw_open</f>
        <v>2080</v>
      </c>
      <c r="F2759" s="33" t="n">
        <f aca="false">Sens!$E$2759+pace_B*0.5</f>
        <v>3897.15</v>
      </c>
      <c r="G2759" s="33" t="n">
        <f aca="false">Sens!$F$2759</f>
        <v>3897.15</v>
      </c>
      <c r="H2759" s="33" t="n">
        <f aca="false">Sens!$G$2759+Sens!$H$2758</f>
        <v>7531.45</v>
      </c>
      <c r="I2759" s="33" t="n">
        <f aca="false">Sens!$H$2759+Sens!$I$2758</f>
        <v>11165.75</v>
      </c>
      <c r="J2759" s="33" t="n">
        <f aca="false">Sens!$I$2759+Sens!$J$2758</f>
        <v>14800.05</v>
      </c>
      <c r="K2759" s="33" t="n">
        <f aca="false">Sens!$J$2759+Sens!$K$2758</f>
        <v>17370.9171666667</v>
      </c>
      <c r="L2759" s="33" t="n">
        <f aca="false">Sens!$K$2759+Sens!$L$2758</f>
        <v>18878.3515</v>
      </c>
      <c r="M2759" s="33" t="n">
        <f aca="false">Sens!$L$2759+Sens!$M$2758</f>
        <v>19322.353</v>
      </c>
      <c r="N2759" s="33" t="n">
        <f aca="false">(mw_ye24+mw_ye25)/2</f>
        <v>900</v>
      </c>
      <c r="O2759" s="33" t="n">
        <f aca="false">mw_ye25</f>
        <v>1440</v>
      </c>
      <c r="P2759" s="5" t="s">
        <v>595</v>
      </c>
    </row>
    <row r="2760" customFormat="false" ht="17.15" hidden="false" customHeight="false" outlineLevel="0" collapsed="false">
      <c r="A2760" s="5" t="s">
        <v>596</v>
      </c>
      <c r="B2760" s="0" t="s">
        <v>129</v>
      </c>
      <c r="C2760" s="32" t="n">
        <f aca="false">(mw_ye23+mw_ye24)/2</f>
        <v>240</v>
      </c>
      <c r="D2760" s="32" t="n">
        <f aca="false">(Sens!$C$2759+Sens!$D$2759)/2</f>
        <v>900</v>
      </c>
      <c r="E2760" s="32" t="n">
        <f aca="false">(Sens!$D$2759+Sens!$E$2759)/2</f>
        <v>1760</v>
      </c>
      <c r="F2760" s="32" t="n">
        <f aca="false">(Sens!$E$2759+Sens!$F$2759)/2</f>
        <v>2988.575</v>
      </c>
      <c r="G2760" s="32" t="n">
        <f aca="false">(Sens!$E$2760+Sens!$F$2760)/2</f>
        <v>2374.2875</v>
      </c>
      <c r="H2760" s="32" t="n">
        <f aca="false">(Sens!$G$2759+Sens!$H$2759)/2</f>
        <v>5714.3</v>
      </c>
      <c r="I2760" s="32" t="n">
        <f aca="false">(Sens!$H$2759+Sens!$I$2759)/2</f>
        <v>9348.6</v>
      </c>
      <c r="J2760" s="32" t="n">
        <f aca="false">(Sens!$I$2759+Sens!$J$2759)/2</f>
        <v>12982.9</v>
      </c>
      <c r="K2760" s="32" t="n">
        <f aca="false">(Sens!$J$2759+Sens!$K$2759)/2</f>
        <v>16085.4835833333</v>
      </c>
      <c r="L2760" s="32" t="n">
        <f aca="false">(Sens!$K$2759+Sens!$L$2759)/2</f>
        <v>18124.6343333333</v>
      </c>
      <c r="M2760" s="32" t="n">
        <f aca="false">(Sens!$L$2759+Sens!$M$2759)/2</f>
        <v>19100.35225</v>
      </c>
      <c r="N2760" s="32" t="n">
        <f aca="false">(Sens!$C$2759+Sens!$N$2759)/2</f>
        <v>630</v>
      </c>
      <c r="O2760" s="32" t="n">
        <f aca="false">(Sens!$N$2759+Sens!$O$2759)/2</f>
        <v>1170</v>
      </c>
    </row>
    <row r="2761" customFormat="false" ht="15" hidden="false" customHeight="false" outlineLevel="0" collapsed="false">
      <c r="A2761" s="5" t="s">
        <v>597</v>
      </c>
      <c r="B2761" s="5" t="s">
        <v>123</v>
      </c>
      <c r="C2761" s="34" t="n">
        <v>1</v>
      </c>
      <c r="D2761" s="34" t="n">
        <v>1</v>
      </c>
      <c r="E2761" s="34" t="n">
        <v>0.5</v>
      </c>
      <c r="F2761" s="34" t="n">
        <v>0.5</v>
      </c>
      <c r="G2761" s="34" t="n">
        <v>1</v>
      </c>
      <c r="H2761" s="34" t="n">
        <v>1</v>
      </c>
      <c r="I2761" s="34" t="n">
        <v>1</v>
      </c>
      <c r="J2761" s="34" t="n">
        <v>1</v>
      </c>
      <c r="K2761" s="34" t="n">
        <v>1</v>
      </c>
      <c r="L2761" s="34" t="n">
        <v>1</v>
      </c>
      <c r="M2761" s="34" t="n">
        <v>1</v>
      </c>
      <c r="N2761" s="34" t="n">
        <v>0.5</v>
      </c>
      <c r="O2761" s="34" t="n">
        <v>0.5</v>
      </c>
    </row>
    <row r="2762" customFormat="false" ht="17.15" hidden="false" customHeight="false" outlineLevel="0" collapsed="false">
      <c r="A2762" s="5" t="s">
        <v>598</v>
      </c>
      <c r="B2762" s="0" t="s">
        <v>129</v>
      </c>
      <c r="C2762" s="32" t="n">
        <f aca="false">Sens!$C$2759-mw_ye23</f>
        <v>240</v>
      </c>
      <c r="D2762" s="32" t="n">
        <f aca="false">Sens!$D$2759-Sens!$C$2759</f>
        <v>1080</v>
      </c>
      <c r="E2762" s="32" t="n">
        <f aca="false">Sens!$E$2759-Sens!$D$2759</f>
        <v>640</v>
      </c>
      <c r="F2762" s="32" t="n">
        <f aca="false">Sens!$F$2759-Sens!$E$2759</f>
        <v>1817.15</v>
      </c>
      <c r="G2762" s="32" t="n">
        <f aca="false">Sens!$E$2762+Sens!$F$2762</f>
        <v>2457.15</v>
      </c>
      <c r="H2762" s="32" t="n">
        <f aca="false">Sens!$H$2759-Sens!$G$2759</f>
        <v>3634.3</v>
      </c>
      <c r="I2762" s="32" t="n">
        <f aca="false">Sens!$I$2759-Sens!$H$2759</f>
        <v>3634.3</v>
      </c>
      <c r="J2762" s="32" t="n">
        <f aca="false">Sens!$J$2759-Sens!$I$2759</f>
        <v>3634.3</v>
      </c>
      <c r="K2762" s="32" t="n">
        <f aca="false">Sens!$K$2759-Sens!$J$2759</f>
        <v>2570.86716666667</v>
      </c>
      <c r="L2762" s="32" t="n">
        <f aca="false">Sens!$L$2759-Sens!$K$2759</f>
        <v>1507.43433333333</v>
      </c>
      <c r="M2762" s="32" t="n">
        <f aca="false">Sens!$M$2759-Sens!$L$2759</f>
        <v>444.001499999999</v>
      </c>
      <c r="N2762" s="32" t="n">
        <f aca="false">Sens!$N$2759-Sens!$C$2759</f>
        <v>540</v>
      </c>
      <c r="O2762" s="32" t="n">
        <f aca="false">Sens!$O$2759-Sens!$N$2759</f>
        <v>540</v>
      </c>
    </row>
    <row r="2763" customFormat="false" ht="17.15" hidden="false" customHeight="false" outlineLevel="0" collapsed="false">
      <c r="A2763" s="5" t="s">
        <v>599</v>
      </c>
      <c r="B2763" s="0" t="s">
        <v>129</v>
      </c>
      <c r="C2763" s="32" t="n">
        <f aca="false">Sens!$C$2762/ext_sh</f>
        <v>300</v>
      </c>
      <c r="D2763" s="32" t="n">
        <f aca="false">Sens!$D$2762/ext_sh</f>
        <v>1350</v>
      </c>
      <c r="E2763" s="32" t="n">
        <f aca="false">Sens!$E$2762/ext_sh</f>
        <v>800</v>
      </c>
      <c r="F2763" s="32" t="n">
        <f aca="false">Sens!$F$2762/ext_sh</f>
        <v>2271.4375</v>
      </c>
      <c r="G2763" s="32" t="n">
        <f aca="false">Sens!$G$2762/ext_sh</f>
        <v>3071.4375</v>
      </c>
      <c r="H2763" s="32" t="n">
        <f aca="false">Sens!$H$2762/ext_sh</f>
        <v>4542.875</v>
      </c>
      <c r="I2763" s="32" t="n">
        <f aca="false">Sens!$I$2762/ext_sh</f>
        <v>4542.875</v>
      </c>
      <c r="J2763" s="32" t="n">
        <f aca="false">Sens!$J$2762/ext_sh</f>
        <v>4542.875</v>
      </c>
      <c r="K2763" s="32" t="n">
        <f aca="false">Sens!$K$2762/ext_sh</f>
        <v>3213.58395833333</v>
      </c>
      <c r="L2763" s="32" t="n">
        <f aca="false">Sens!$L$2762/ext_sh</f>
        <v>1884.29291666667</v>
      </c>
      <c r="M2763" s="32" t="n">
        <f aca="false">Sens!$M$2762/ext_sh</f>
        <v>555.001874999998</v>
      </c>
      <c r="N2763" s="32" t="n">
        <f aca="false">Sens!$N$2762/ext_sh</f>
        <v>675</v>
      </c>
      <c r="O2763" s="32" t="n">
        <f aca="false">Sens!$O$2762/ext_sh</f>
        <v>675</v>
      </c>
      <c r="P2763" s="8" t="s">
        <v>600</v>
      </c>
      <c r="R2763" s="32" t="n">
        <f aca="false">mw_ye23/ext_sh</f>
        <v>150</v>
      </c>
      <c r="S2763" s="32" t="n">
        <f aca="false">Sens!$C$2763</f>
        <v>300</v>
      </c>
      <c r="T2763" s="32" t="n">
        <f aca="false">Sens!$D$2763</f>
        <v>1350</v>
      </c>
      <c r="U2763" s="32" t="n">
        <f aca="false">Sens!$G$2763</f>
        <v>3071.4375</v>
      </c>
      <c r="V2763" s="32" t="n">
        <f aca="false">Sens!$H$2763</f>
        <v>4542.875</v>
      </c>
      <c r="W2763" s="32" t="n">
        <f aca="false">Sens!$I$2763</f>
        <v>4542.875</v>
      </c>
      <c r="X2763" s="32" t="n">
        <f aca="false">Sens!$J$2763</f>
        <v>4542.875</v>
      </c>
      <c r="Y2763" s="32" t="n">
        <f aca="false">Sens!$K$2763</f>
        <v>3213.58395833333</v>
      </c>
      <c r="Z2763" s="32" t="n">
        <f aca="false">Sens!$L$2763</f>
        <v>1884.29291666667</v>
      </c>
      <c r="AA2763" s="32" t="n">
        <f aca="false">Sens!$M$2763</f>
        <v>555.001874999998</v>
      </c>
    </row>
    <row r="2764" customFormat="false" ht="17.15" hidden="false" customHeight="false" outlineLevel="0" collapsed="false">
      <c r="A2764" s="1" t="s">
        <v>601</v>
      </c>
    </row>
    <row r="2765" customFormat="false" ht="17.15" hidden="false" customHeight="false" outlineLevel="0" collapsed="false">
      <c r="A2765" s="0" t="s">
        <v>602</v>
      </c>
      <c r="B2765" s="0" t="s">
        <v>52</v>
      </c>
      <c r="F2765" s="35" t="n">
        <f aca="false">na_vr26</f>
        <v>0</v>
      </c>
      <c r="G2765" s="35" t="n">
        <f aca="false">na_vr26</f>
        <v>0</v>
      </c>
      <c r="H2765" s="35" t="n">
        <f aca="false">na_vr27</f>
        <v>0.5</v>
      </c>
      <c r="I2765" s="35" t="n">
        <f aca="false">na_vr28</f>
        <v>1</v>
      </c>
      <c r="J2765" s="35" t="n">
        <f aca="false">na_vr28</f>
        <v>1</v>
      </c>
      <c r="K2765" s="35" t="n">
        <f aca="false">na_vr28</f>
        <v>1</v>
      </c>
      <c r="L2765" s="35" t="n">
        <f aca="false">na_vr28</f>
        <v>1</v>
      </c>
      <c r="M2765" s="35" t="n">
        <f aca="false">na_vr28</f>
        <v>1</v>
      </c>
    </row>
    <row r="2766" customFormat="false" ht="17.15" hidden="false" customHeight="false" outlineLevel="0" collapsed="false">
      <c r="A2766" s="5" t="s">
        <v>603</v>
      </c>
      <c r="B2766" s="0" t="s">
        <v>173</v>
      </c>
      <c r="F2766" s="36" t="n">
        <f aca="false">cust_sh*tk_he_gb300*cf_chip+(1-cust_sh)*((1-Sens!$F$2765)*tk_he_gb300+Sens!$F$2765*tk_he_vr200)</f>
        <v>10.8864110021101</v>
      </c>
      <c r="G2766" s="36" t="n">
        <f aca="false">cust_sh*tk_he_gb300*cf_chip+(1-cust_sh)*((1-Sens!$G$2765)*tk_he_gb300+Sens!$G$2765*tk_he_vr200)</f>
        <v>10.8864110021101</v>
      </c>
      <c r="H2766" s="36" t="n">
        <f aca="false">cust_sh*tk_he_gb300*cf_chip+(1-cust_sh)*((1-Sens!$H$2765)*tk_he_gb300+Sens!$H$2765*tk_he_vr200)</f>
        <v>11.2211760027286</v>
      </c>
      <c r="I2766" s="36" t="n">
        <f aca="false">cust_sh*tk_he_gb300*cf_chip+(1-cust_sh)*((1-Sens!$I$2765)*tk_he_gb300+Sens!$I$2765*tk_he_vr200)</f>
        <v>11.5559410033471</v>
      </c>
      <c r="J2766" s="36" t="n">
        <f aca="false">cust_sh*tk_he_gb300*cf_chip+(1-cust_sh)*((1-Sens!$J$2765)*tk_he_gb300+Sens!$J$2765*tk_he_vr200)</f>
        <v>11.5559410033471</v>
      </c>
      <c r="K2766" s="36" t="n">
        <f aca="false">cust_sh*tk_he_gb300*cf_chip+(1-cust_sh)*((1-Sens!$K$2765)*tk_he_gb300+Sens!$K$2765*tk_he_vr200)</f>
        <v>11.5559410033471</v>
      </c>
      <c r="L2766" s="36" t="n">
        <f aca="false">cust_sh*tk_he_gb300*cf_chip+(1-cust_sh)*((1-Sens!$L$2765)*tk_he_gb300+Sens!$L$2765*tk_he_vr200)</f>
        <v>11.5559410033471</v>
      </c>
      <c r="M2766" s="36" t="n">
        <f aca="false">cust_sh*tk_he_gb300*cf_chip+(1-cust_sh)*((1-Sens!$M$2765)*tk_he_gb300+Sens!$M$2765*tk_he_vr200)</f>
        <v>11.5559410033471</v>
      </c>
    </row>
    <row r="2767" customFormat="false" ht="17.15" hidden="false" customHeight="false" outlineLevel="0" collapsed="false">
      <c r="A2767" s="5" t="s">
        <v>604</v>
      </c>
      <c r="B2767" s="0" t="s">
        <v>173</v>
      </c>
      <c r="F2767" s="36" t="n">
        <f aca="false">cust_sh*tk_ox_gb300+(1-cust_sh)*((1-Sens!$F$2765)*tk_ox_gb300+Sens!$F$2765*tk_ox_vr200)</f>
        <v>1.98263481314457</v>
      </c>
      <c r="G2767" s="36" t="n">
        <f aca="false">cust_sh*tk_ox_gb300+(1-cust_sh)*((1-Sens!$G$2765)*tk_ox_gb300+Sens!$G$2765*tk_ox_vr200)</f>
        <v>1.98263481314457</v>
      </c>
      <c r="H2767" s="36" t="n">
        <f aca="false">cust_sh*tk_ox_gb300+(1-cust_sh)*((1-Sens!$H$2765)*tk_ox_gb300+Sens!$H$2765*tk_ox_vr200)</f>
        <v>2.01034999693694</v>
      </c>
      <c r="I2767" s="36" t="n">
        <f aca="false">cust_sh*tk_ox_gb300+(1-cust_sh)*((1-Sens!$I$2765)*tk_ox_gb300+Sens!$I$2765*tk_ox_vr200)</f>
        <v>2.0380651807293</v>
      </c>
      <c r="J2767" s="36" t="n">
        <f aca="false">cust_sh*tk_ox_gb300+(1-cust_sh)*((1-Sens!$J$2765)*tk_ox_gb300+Sens!$J$2765*tk_ox_vr200)</f>
        <v>2.0380651807293</v>
      </c>
      <c r="K2767" s="36" t="n">
        <f aca="false">cust_sh*tk_ox_gb300+(1-cust_sh)*((1-Sens!$K$2765)*tk_ox_gb300+Sens!$K$2765*tk_ox_vr200)</f>
        <v>2.0380651807293</v>
      </c>
      <c r="L2767" s="36" t="n">
        <f aca="false">cust_sh*tk_ox_gb300+(1-cust_sh)*((1-Sens!$L$2765)*tk_ox_gb300+Sens!$L$2765*tk_ox_vr200)</f>
        <v>2.0380651807293</v>
      </c>
      <c r="M2767" s="36" t="n">
        <f aca="false">cust_sh*tk_ox_gb300+(1-cust_sh)*((1-Sens!$M$2765)*tk_ox_gb300+Sens!$M$2765*tk_ox_vr200)</f>
        <v>2.0380651807293</v>
      </c>
    </row>
    <row r="2768" customFormat="false" ht="17.15" hidden="false" customHeight="false" outlineLevel="0" collapsed="false">
      <c r="A2768" s="5" t="s">
        <v>605</v>
      </c>
      <c r="B2768" s="0" t="s">
        <v>192</v>
      </c>
      <c r="F2768" s="36" t="n">
        <f aca="false">cust_sh*tk_cx_gb300*cf_cx+(1-cust_sh)*((1-Sens!$F$2765)*tk_cx_gb300+Sens!$F$2765*tk_cx_vr200)</f>
        <v>32.237224</v>
      </c>
      <c r="G2768" s="36" t="n">
        <f aca="false">cust_sh*tk_cx_gb300*cf_cx+(1-cust_sh)*((1-Sens!$G$2765)*tk_cx_gb300+Sens!$G$2765*tk_cx_vr200)</f>
        <v>32.237224</v>
      </c>
      <c r="H2768" s="36" t="n">
        <f aca="false">cust_sh*tk_cx_gb300*cf_cx+(1-cust_sh)*((1-Sens!$H$2765)*tk_cx_gb300+Sens!$H$2765*tk_cx_vr200)</f>
        <v>33.574506</v>
      </c>
      <c r="I2768" s="36" t="n">
        <f aca="false">cust_sh*tk_cx_gb300*cf_cx+(1-cust_sh)*((1-Sens!$I$2765)*tk_cx_gb300+Sens!$I$2765*tk_cx_vr200)</f>
        <v>34.911788</v>
      </c>
      <c r="J2768" s="36" t="n">
        <f aca="false">cust_sh*tk_cx_gb300*cf_cx+(1-cust_sh)*((1-Sens!$J$2765)*tk_cx_gb300+Sens!$J$2765*tk_cx_vr200)</f>
        <v>34.911788</v>
      </c>
      <c r="K2768" s="36" t="n">
        <f aca="false">cust_sh*tk_cx_gb300*cf_cx+(1-cust_sh)*((1-Sens!$K$2765)*tk_cx_gb300+Sens!$K$2765*tk_cx_vr200)</f>
        <v>34.911788</v>
      </c>
      <c r="L2768" s="36" t="n">
        <f aca="false">cust_sh*tk_cx_gb300*cf_cx+(1-cust_sh)*((1-Sens!$L$2765)*tk_cx_gb300+Sens!$L$2765*tk_cx_vr200)</f>
        <v>34.911788</v>
      </c>
      <c r="M2768" s="36" t="n">
        <f aca="false">cust_sh*tk_cx_gb300*cf_cx+(1-cust_sh)*((1-Sens!$M$2765)*tk_cx_gb300+Sens!$M$2765*tk_cx_vr200)</f>
        <v>34.911788</v>
      </c>
    </row>
    <row r="2769" customFormat="false" ht="17.15" hidden="false" customHeight="false" outlineLevel="0" collapsed="false">
      <c r="A2769" s="5" t="s">
        <v>606</v>
      </c>
      <c r="B2769" s="0" t="s">
        <v>129</v>
      </c>
      <c r="F2769" s="32" t="n">
        <f aca="false">Sens!$F$2759-mw_open</f>
        <v>1817.15</v>
      </c>
      <c r="G2769" s="32" t="n">
        <f aca="false">Sens!$F$2769</f>
        <v>1817.15</v>
      </c>
      <c r="H2769" s="32" t="n">
        <f aca="false">Sens!$H$2759-mw_open</f>
        <v>5451.45</v>
      </c>
      <c r="I2769" s="32" t="n">
        <f aca="false">Sens!$I$2759-mw_open</f>
        <v>9085.75</v>
      </c>
      <c r="J2769" s="32" t="n">
        <f aca="false">Sens!$J$2759-mw_open</f>
        <v>12720.05</v>
      </c>
      <c r="K2769" s="32" t="n">
        <f aca="false">Sens!$K$2759-mw_open</f>
        <v>15290.9171666667</v>
      </c>
      <c r="L2769" s="32" t="n">
        <f aca="false">Sens!$L$2759-mw_open</f>
        <v>16798.3515</v>
      </c>
      <c r="M2769" s="32" t="n">
        <f aca="false">Sens!$M$2759-mw_open</f>
        <v>17242.353</v>
      </c>
    </row>
    <row r="2770" customFormat="false" ht="17.15" hidden="false" customHeight="false" outlineLevel="0" collapsed="false">
      <c r="A2770" s="0" t="s">
        <v>607</v>
      </c>
      <c r="B2770" s="0" t="s">
        <v>608</v>
      </c>
      <c r="F2770" s="32" t="n">
        <f aca="false">Sens!$F$2762*Sens!$F$2766</f>
        <v>19782.2417524844</v>
      </c>
      <c r="G2770" s="32" t="n">
        <f aca="false">Sens!$F$2770</f>
        <v>19782.2417524844</v>
      </c>
      <c r="H2770" s="32" t="n">
        <f aca="false">Sens!$G$2770+Sens!$H$2762*Sens!$H$2766</f>
        <v>60563.3616992009</v>
      </c>
      <c r="I2770" s="32" t="n">
        <f aca="false">Sens!$H$2770+Sens!$I$2762*Sens!$I$2766</f>
        <v>102561.118087665</v>
      </c>
      <c r="J2770" s="32" t="n">
        <f aca="false">Sens!$I$2770+Sens!$J$2762*Sens!$J$2766</f>
        <v>144558.87447613</v>
      </c>
      <c r="K2770" s="32" t="n">
        <f aca="false">Sens!$J$2770+Sens!$K$2762*Sens!$K$2766</f>
        <v>174267.663781572</v>
      </c>
      <c r="L2770" s="32" t="n">
        <f aca="false">Sens!$K$2770+Sens!$L$2762*Sens!$L$2766</f>
        <v>191687.486003992</v>
      </c>
      <c r="M2770" s="32" t="n">
        <f aca="false">Sens!$L$2770+Sens!$M$2762*Sens!$M$2766</f>
        <v>196818.341143389</v>
      </c>
    </row>
    <row r="2771" customFormat="false" ht="17.15" hidden="false" customHeight="false" outlineLevel="0" collapsed="false">
      <c r="A2771" s="0" t="s">
        <v>609</v>
      </c>
      <c r="B2771" s="0" t="s">
        <v>608</v>
      </c>
      <c r="F2771" s="32" t="n">
        <f aca="false">Sens!$F$2762*Sens!$F$2767</f>
        <v>3602.74485070566</v>
      </c>
      <c r="G2771" s="32" t="n">
        <f aca="false">Sens!$F$2771</f>
        <v>3602.74485070566</v>
      </c>
      <c r="H2771" s="32" t="n">
        <f aca="false">Sens!$G$2771+Sens!$H$2762*Sens!$H$2767</f>
        <v>10908.9598445736</v>
      </c>
      <c r="I2771" s="32" t="n">
        <f aca="false">Sens!$H$2771+Sens!$I$2762*Sens!$I$2767</f>
        <v>18315.9001308981</v>
      </c>
      <c r="J2771" s="32" t="n">
        <f aca="false">Sens!$I$2771+Sens!$J$2762*Sens!$J$2767</f>
        <v>25722.8404172225</v>
      </c>
      <c r="K2771" s="32" t="n">
        <f aca="false">Sens!$J$2771+Sens!$K$2762*Sens!$K$2767</f>
        <v>30962.4352738861</v>
      </c>
      <c r="L2771" s="32" t="n">
        <f aca="false">Sens!$K$2771+Sens!$L$2762*Sens!$L$2767</f>
        <v>34034.6847008886</v>
      </c>
      <c r="M2771" s="32" t="n">
        <f aca="false">Sens!$L$2771+Sens!$M$2762*Sens!$M$2767</f>
        <v>34939.5886982302</v>
      </c>
    </row>
    <row r="2772" customFormat="false" ht="17.15" hidden="false" customHeight="false" outlineLevel="0" collapsed="false">
      <c r="A2772" s="5" t="s">
        <v>610</v>
      </c>
      <c r="B2772" s="0" t="s">
        <v>173</v>
      </c>
      <c r="F2772" s="36" t="n">
        <f aca="false">IF(Sens!$F$2769&gt;0,Sens!$F$2770/Sens!$F$2769,Sens!$F$2766)</f>
        <v>10.8864110021101</v>
      </c>
      <c r="G2772" s="36" t="n">
        <f aca="false">IF(Sens!$G$2769&gt;0,Sens!$G$2770/Sens!$G$2769,Sens!$G$2766)</f>
        <v>10.8864110021101</v>
      </c>
      <c r="H2772" s="36" t="n">
        <f aca="false">IF(Sens!$H$2769&gt;0,Sens!$H$2770/Sens!$H$2769,Sens!$H$2766)</f>
        <v>11.1095876691891</v>
      </c>
      <c r="I2772" s="36" t="n">
        <f aca="false">IF(Sens!$I$2769&gt;0,Sens!$I$2770/Sens!$I$2769,Sens!$I$2766)</f>
        <v>11.2881290028523</v>
      </c>
      <c r="J2772" s="36" t="n">
        <f aca="false">IF(Sens!$J$2769&gt;0,Sens!$J$2770/Sens!$J$2769,Sens!$J$2766)</f>
        <v>11.3646467172794</v>
      </c>
      <c r="K2772" s="36" t="n">
        <f aca="false">IF(Sens!$K$2769&gt;0,Sens!$K$2770/Sens!$K$2769,Sens!$K$2766)</f>
        <v>11.3968090914432</v>
      </c>
      <c r="L2772" s="36" t="n">
        <f aca="false">IF(Sens!$L$2769&gt;0,Sens!$L$2770/Sens!$L$2769,Sens!$L$2766)</f>
        <v>11.4110891181192</v>
      </c>
      <c r="M2772" s="36" t="n">
        <f aca="false">IF(Sens!$M$2769&gt;0,Sens!$M$2770/Sens!$M$2769,Sens!$M$2766)</f>
        <v>11.4148191458201</v>
      </c>
    </row>
    <row r="2773" customFormat="false" ht="17.15" hidden="false" customHeight="false" outlineLevel="0" collapsed="false">
      <c r="A2773" s="5" t="s">
        <v>611</v>
      </c>
      <c r="B2773" s="0" t="s">
        <v>173</v>
      </c>
      <c r="F2773" s="36" t="n">
        <f aca="false">IF(Sens!$F$2769&gt;0,Sens!$F$2771/Sens!$F$2769,Sens!$F$2767)</f>
        <v>1.98263481314457</v>
      </c>
      <c r="G2773" s="36" t="n">
        <f aca="false">IF(Sens!$G$2769&gt;0,Sens!$G$2771/Sens!$G$2769,Sens!$G$2767)</f>
        <v>1.98263481314457</v>
      </c>
      <c r="H2773" s="36" t="n">
        <f aca="false">IF(Sens!$H$2769&gt;0,Sens!$H$2771/Sens!$H$2769,Sens!$H$2767)</f>
        <v>2.00111160233948</v>
      </c>
      <c r="I2773" s="36" t="n">
        <f aca="false">IF(Sens!$I$2769&gt;0,Sens!$I$2771/Sens!$I$2769,Sens!$I$2767)</f>
        <v>2.01589303369541</v>
      </c>
      <c r="J2773" s="36" t="n">
        <f aca="false">IF(Sens!$J$2769&gt;0,Sens!$J$2771/Sens!$J$2769,Sens!$J$2767)</f>
        <v>2.02222793284795</v>
      </c>
      <c r="K2773" s="36" t="n">
        <f aca="false">IF(Sens!$K$2769&gt;0,Sens!$K$2771/Sens!$K$2769,Sens!$K$2767)</f>
        <v>2.02489065478573</v>
      </c>
      <c r="L2773" s="36" t="n">
        <f aca="false">IF(Sens!$L$2769&gt;0,Sens!$L$2771/Sens!$L$2769,Sens!$L$2767)</f>
        <v>2.0260728977417</v>
      </c>
      <c r="M2773" s="36" t="n">
        <f aca="false">IF(Sens!$M$2769&gt;0,Sens!$M$2771/Sens!$M$2769,Sens!$M$2767)</f>
        <v>2.02638170661685</v>
      </c>
    </row>
    <row r="2774" customFormat="false" ht="17.15" hidden="false" customHeight="false" outlineLevel="0" collapsed="false">
      <c r="A2774" s="15" t="s">
        <v>612</v>
      </c>
      <c r="B2774" s="14" t="s">
        <v>173</v>
      </c>
      <c r="C2774" s="14"/>
      <c r="D2774" s="14"/>
      <c r="E2774" s="14"/>
      <c r="F2774" s="37" t="n">
        <f aca="false">Sens!$F$2772*k_B</f>
        <v>10.7987645808025</v>
      </c>
      <c r="G2774" s="37" t="n">
        <f aca="false">Sens!$G$2772*k_B</f>
        <v>10.7987645808025</v>
      </c>
      <c r="H2774" s="37" t="n">
        <f aca="false">Sens!$H$2772*k_B</f>
        <v>11.0201444540452</v>
      </c>
      <c r="I2774" s="37" t="n">
        <f aca="false">Sens!$I$2772*k_B</f>
        <v>11.1972483526393</v>
      </c>
      <c r="J2774" s="37" t="n">
        <f aca="false">Sens!$J$2772*k_B</f>
        <v>11.2731500234653</v>
      </c>
      <c r="K2774" s="37" t="n">
        <f aca="false">Sens!$K$2772*k_B</f>
        <v>11.3050534585724</v>
      </c>
      <c r="L2774" s="37" t="n">
        <f aca="false">Sens!$L$2772*k_B</f>
        <v>11.3192185168503</v>
      </c>
      <c r="M2774" s="37" t="n">
        <f aca="false">Sens!$M$2772*k_B</f>
        <v>11.3229185141234</v>
      </c>
      <c r="N2774" s="14"/>
      <c r="O2774" s="14"/>
      <c r="P2774" s="5" t="s">
        <v>613</v>
      </c>
    </row>
    <row r="2775" customFormat="false" ht="17.15" hidden="false" customHeight="false" outlineLevel="0" collapsed="false">
      <c r="A2775" s="5" t="s">
        <v>614</v>
      </c>
      <c r="B2775" s="0" t="s">
        <v>129</v>
      </c>
      <c r="F2775" s="32" t="n">
        <f aca="false">Sens!$F$2769/2</f>
        <v>908.575</v>
      </c>
      <c r="H2775" s="32" t="n">
        <f aca="false">(Sens!$G$2769+Sens!$H$2769)/2</f>
        <v>3634.3</v>
      </c>
      <c r="I2775" s="32" t="n">
        <f aca="false">(Sens!$H$2769+Sens!$I$2769)/2</f>
        <v>7268.6</v>
      </c>
      <c r="J2775" s="32" t="n">
        <f aca="false">(Sens!$I$2769+Sens!$J$2769)/2</f>
        <v>10902.9</v>
      </c>
      <c r="K2775" s="32" t="n">
        <f aca="false">(Sens!$J$2769+Sens!$K$2769)/2</f>
        <v>14005.4835833333</v>
      </c>
      <c r="L2775" s="32" t="n">
        <f aca="false">(Sens!$K$2769+Sens!$L$2769)/2</f>
        <v>16044.6343333333</v>
      </c>
      <c r="M2775" s="32" t="n">
        <f aca="false">(Sens!$L$2769+Sens!$M$2769)/2</f>
        <v>17020.35225</v>
      </c>
    </row>
    <row r="2776" customFormat="false" ht="17.15" hidden="false" customHeight="false" outlineLevel="0" collapsed="false">
      <c r="A2776" s="1" t="s">
        <v>615</v>
      </c>
    </row>
    <row r="2777" customFormat="false" ht="17.15" hidden="false" customHeight="false" outlineLevel="0" collapsed="false">
      <c r="A2777" s="1" t="s">
        <v>616</v>
      </c>
      <c r="B2777" s="8" t="s">
        <v>86</v>
      </c>
      <c r="C2777" s="38" t="n">
        <f aca="false">Sens!$C$2760*(ai_rr*1000/mw_open)*Sens!$C$2761/1000</f>
        <v>2.88461538461538</v>
      </c>
      <c r="D2777" s="38" t="n">
        <f aca="false">Sens!$D$2760*(ai_rr*1000/mw_open)*Sens!$D$2761/1000</f>
        <v>10.8173076923077</v>
      </c>
      <c r="E2777" s="38" t="n">
        <f aca="false">Sens!$E$2760*(ai_rr*1000/mw_open)*Sens!$E$2761/1000</f>
        <v>10.5769230769231</v>
      </c>
      <c r="F2777" s="38" t="n">
        <f aca="false">(mw_open*(ai_rr*1000/mw_open)+Sens!$F$2775*Sens!$F$2774)*Sens!$F$2761/1000</f>
        <v>17.4057437645013</v>
      </c>
      <c r="G2777" s="38" t="n">
        <f aca="false">Sens!$E$2777+Sens!$F$2777</f>
        <v>27.9826668414244</v>
      </c>
      <c r="H2777" s="38" t="n">
        <f aca="false">(mw_open*(ai_rr*1000/mw_open)+Sens!$H$2775*Sens!$H$2774)/1000</f>
        <v>65.0505109893364</v>
      </c>
      <c r="I2777" s="38" t="n">
        <f aca="false">(mw_open*(ai_rr*1000/mw_open)+Sens!$I$2775*Sens!$I$2774)/1000</f>
        <v>106.388319375994</v>
      </c>
      <c r="J2777" s="38" t="n">
        <f aca="false">(mw_open*(ai_rr*1000/mw_open)+Sens!$J$2775*Sens!$J$2774)/1000</f>
        <v>147.91002739084</v>
      </c>
      <c r="K2777" s="38" t="n">
        <f aca="false">(mw_open*(ai_rr*1000/mw_open)+Sens!$K$2775*Sens!$K$2774)/1000</f>
        <v>183.332740622741</v>
      </c>
      <c r="L2777" s="38" t="n">
        <f aca="false">(mw_open*(ai_rr*1000/mw_open)+Sens!$L$2775*Sens!$L$2774)/1000</f>
        <v>206.612722041958</v>
      </c>
      <c r="M2777" s="38" t="n">
        <f aca="false">(mw_open*(ai_rr*1000/mw_open)+Sens!$M$2775*Sens!$M$2774)/1000</f>
        <v>217.720061608427</v>
      </c>
      <c r="N2777" s="38" t="n">
        <f aca="false">Sens!$N$2760*(ai_rr*1000/mw_open)*Sens!$N$2761/1000</f>
        <v>3.78605769230769</v>
      </c>
      <c r="O2777" s="38" t="n">
        <f aca="false">Sens!$O$2760*(ai_rr*1000/mw_open)*Sens!$O$2761/1000</f>
        <v>7.03125</v>
      </c>
      <c r="P2777" s="5" t="s">
        <v>617</v>
      </c>
    </row>
    <row r="2778" customFormat="false" ht="17.15" hidden="false" customHeight="false" outlineLevel="0" collapsed="false">
      <c r="A2778" s="5" t="s">
        <v>618</v>
      </c>
      <c r="B2778" s="0" t="s">
        <v>173</v>
      </c>
      <c r="C2778" s="36" t="n">
        <f aca="false">Sens!$C$2777*1000/(Sens!$C$2760*Sens!$C$2761)</f>
        <v>12.0192307692308</v>
      </c>
      <c r="D2778" s="36" t="n">
        <f aca="false">Sens!$D$2777*1000/(Sens!$D$2760*Sens!$D$2761)</f>
        <v>12.0192307692308</v>
      </c>
      <c r="E2778" s="36" t="n">
        <f aca="false">Sens!$E$2777*1000/(Sens!$E$2760*Sens!$E$2761)</f>
        <v>12.0192307692308</v>
      </c>
      <c r="F2778" s="36" t="n">
        <f aca="false">Sens!$F$2777*1000/(Sens!$F$2760*Sens!$F$2761)</f>
        <v>11.6481893641627</v>
      </c>
      <c r="G2778" s="36" t="n">
        <f aca="false">Sens!$G$2777*1000/(Sens!$G$2760*Sens!$G$2761)</f>
        <v>11.7857112255464</v>
      </c>
      <c r="H2778" s="36" t="n">
        <f aca="false">Sens!$H$2777*1000/(Sens!$H$2760*Sens!$H$2761)</f>
        <v>11.3838109636065</v>
      </c>
      <c r="I2778" s="36" t="n">
        <f aca="false">Sens!$I$2777*1000/(Sens!$I$2760*Sens!$I$2761)</f>
        <v>11.3801338570474</v>
      </c>
      <c r="J2778" s="36" t="n">
        <f aca="false">Sens!$J$2777*1000/(Sens!$J$2760*Sens!$J$2761)</f>
        <v>11.3926801709048</v>
      </c>
      <c r="K2778" s="36" t="n">
        <f aca="false">Sens!$K$2777*1000/(Sens!$K$2760*Sens!$K$2761)</f>
        <v>11.3974031102614</v>
      </c>
      <c r="L2778" s="36" t="n">
        <f aca="false">Sens!$L$2777*1000/(Sens!$L$2760*Sens!$L$2761)</f>
        <v>11.3995525781159</v>
      </c>
      <c r="M2778" s="36" t="n">
        <f aca="false">Sens!$M$2777*1000/(Sens!$M$2760*Sens!$M$2761)</f>
        <v>11.3987458848267</v>
      </c>
      <c r="N2778" s="36" t="n">
        <f aca="false">Sens!$N$2777*1000/(Sens!$N$2760*Sens!$N$2761)</f>
        <v>12.0192307692308</v>
      </c>
      <c r="O2778" s="36" t="n">
        <f aca="false">Sens!$O$2777*1000/(Sens!$O$2760*Sens!$O$2761)</f>
        <v>12.0192307692308</v>
      </c>
    </row>
    <row r="2779" customFormat="false" ht="17.15" hidden="false" customHeight="false" outlineLevel="0" collapsed="false">
      <c r="A2779" s="0" t="s">
        <v>619</v>
      </c>
      <c r="B2779" s="0" t="s">
        <v>86</v>
      </c>
      <c r="C2779" s="38" t="n">
        <f aca="false">Sens!$C$2760/ext_sh*(ox_open+rent_mw)*Sens!$C$2761/1000</f>
        <v>0.642569210675032</v>
      </c>
      <c r="D2779" s="38" t="n">
        <f aca="false">Sens!$D$2760/ext_sh*(ox_open+rent_mw)*Sens!$D$2761/1000</f>
        <v>2.40963454003137</v>
      </c>
      <c r="E2779" s="38" t="n">
        <f aca="false">Sens!$E$2760/ext_sh*(ox_open+rent_mw)*Sens!$E$2761/1000</f>
        <v>2.35608710580845</v>
      </c>
      <c r="F2779" s="38" t="n">
        <f aca="false">((mw_open*ox_open+Sens!$F$2775*Sens!$F$2773)/ext_sh+Sens!$F$2760/ext_sh*rent_mw)*Sens!$F$2761/1000</f>
        <v>4.05421991106232</v>
      </c>
      <c r="G2779" s="38" t="n">
        <f aca="false">Sens!$E$2779+Sens!$F$2779</f>
        <v>6.41030701687077</v>
      </c>
      <c r="H2779" s="38" t="n">
        <f aca="false">((mw_open*ox_open+Sens!$H$2775*Sens!$H$2773)/ext_sh+Sens!$H$2760/ext_sh*rent_mw)*Sens!$H$2761/1000</f>
        <v>15.8108975546616</v>
      </c>
      <c r="I2779" s="38" t="n">
        <f aca="false">((mw_open*ox_open+Sens!$I$2775*Sens!$I$2773)/ext_sh+Sens!$I$2760/ext_sh*rent_mw)*Sens!$I$2761/1000</f>
        <v>26.1871623400817</v>
      </c>
      <c r="J2779" s="38" t="n">
        <f aca="false">((mw_open*ox_open+Sens!$J$2775*Sens!$J$2773)/ext_sh+Sens!$J$2760/ext_sh*rent_mw)*Sens!$J$2761/1000</f>
        <v>36.5826128954935</v>
      </c>
      <c r="K2779" s="38" t="n">
        <f aca="false">((mw_open*ox_open+Sens!$K$2775*Sens!$K$2773)/ext_sh+Sens!$K$2760/ext_sh*rent_mw)*Sens!$K$2761/1000</f>
        <v>45.4546361137628</v>
      </c>
      <c r="L2779" s="38" t="n">
        <f aca="false">((mw_open*ox_open+Sens!$L$2775*Sens!$L$2773)/ext_sh+Sens!$L$2760/ext_sh*rent_mw)*Sens!$L$2761/1000</f>
        <v>51.2855695554452</v>
      </c>
      <c r="M2779" s="38" t="n">
        <f aca="false">((mw_open*ox_open+Sens!$M$2775*Sens!$M$2773)/ext_sh+Sens!$M$2760/ext_sh*rent_mw)*Sens!$M$2761/1000</f>
        <v>54.0722927838398</v>
      </c>
      <c r="N2779" s="38" t="n">
        <f aca="false">Sens!$N$2760/ext_sh*(ox_open+rent_mw)*Sens!$N$2761/1000</f>
        <v>0.84337208901098</v>
      </c>
      <c r="O2779" s="38" t="n">
        <f aca="false">Sens!$O$2760/ext_sh*(ox_open+rent_mw)*Sens!$O$2761/1000</f>
        <v>1.56626245102039</v>
      </c>
    </row>
    <row r="2780" customFormat="false" ht="17.15" hidden="false" customHeight="false" outlineLevel="0" collapsed="false">
      <c r="A2780" s="0" t="s">
        <v>620</v>
      </c>
      <c r="B2780" s="0" t="s">
        <v>86</v>
      </c>
      <c r="C2780" s="38" t="n">
        <f aca="false">Q!$D$7</f>
        <v>107.556</v>
      </c>
      <c r="D2780" s="38" t="n">
        <f aca="false">Q!$E$7</f>
        <v>128.725</v>
      </c>
      <c r="E2780" s="38" t="n">
        <f aca="false">Q!$P$7</f>
        <v>79.819</v>
      </c>
      <c r="N2780" s="38" t="n">
        <f aca="false">Q!$N$7</f>
        <v>60.14</v>
      </c>
      <c r="O2780" s="38" t="n">
        <f aca="false">Q!$O$7</f>
        <v>68.585</v>
      </c>
    </row>
    <row r="2781" customFormat="false" ht="17.15" hidden="false" customHeight="false" outlineLevel="0" collapsed="false">
      <c r="A2781" s="1" t="s">
        <v>621</v>
      </c>
      <c r="B2781" s="8" t="s">
        <v>86</v>
      </c>
      <c r="C2781" s="38" t="n">
        <f aca="false">Sens!$C$2780-Sens!$C$2777</f>
        <v>104.671384615385</v>
      </c>
      <c r="D2781" s="38" t="n">
        <f aca="false">Sens!$D$2780-Sens!$D$2777</f>
        <v>117.907692307692</v>
      </c>
      <c r="E2781" s="38" t="n">
        <f aca="false">Sens!$E$2780-Sens!$E$2777</f>
        <v>69.2420769230769</v>
      </c>
      <c r="F2781" s="38" t="n">
        <f aca="false">Sens!$O$2781*(1+Sens!$F$2782)</f>
        <v>69.3375810595505</v>
      </c>
      <c r="G2781" s="38" t="n">
        <f aca="false">Sens!$E$2781+Sens!$F$2781</f>
        <v>138.579657982627</v>
      </c>
      <c r="H2781" s="38" t="n">
        <f aca="false">Sens!$G$2781*(1+Sens!$H$2782)</f>
        <v>154.494406263134</v>
      </c>
      <c r="I2781" s="38" t="n">
        <f aca="false">Sens!$H$2781*(1+Sens!$I$2782)</f>
        <v>170.442542345496</v>
      </c>
      <c r="J2781" s="38" t="n">
        <f aca="false">Sens!$I$2781*(1+Sens!$J$2782)</f>
        <v>186.057458531729</v>
      </c>
      <c r="K2781" s="38" t="n">
        <f aca="false">Sens!$J$2781*(1+Sens!$K$2782)</f>
        <v>200.942055214268</v>
      </c>
      <c r="L2781" s="38" t="n">
        <f aca="false">Sens!$K$2781*(1+Sens!$L$2782)</f>
        <v>217.017419631409</v>
      </c>
      <c r="M2781" s="38" t="n">
        <f aca="false">Sens!$L$2781*(1+Sens!$M$2782)</f>
        <v>234.378813201922</v>
      </c>
      <c r="N2781" s="38" t="n">
        <f aca="false">Sens!$N$2780-Sens!$N$2777</f>
        <v>56.3539423076923</v>
      </c>
      <c r="O2781" s="38" t="n">
        <f aca="false">Sens!$O$2780-Sens!$O$2777</f>
        <v>61.55375</v>
      </c>
      <c r="P2781" s="5" t="s">
        <v>622</v>
      </c>
    </row>
    <row r="2782" customFormat="false" ht="17.15" hidden="false" customHeight="false" outlineLevel="0" collapsed="false">
      <c r="A2782" s="0" t="s">
        <v>623</v>
      </c>
      <c r="B2782" s="0" t="s">
        <v>52</v>
      </c>
      <c r="D2782" s="13" t="n">
        <f aca="false">Sens!$D$2781/Sens!$C$2781-1</f>
        <v>0.126455838345356</v>
      </c>
      <c r="E2782" s="13" t="n">
        <f aca="false">Sens!$E$2781/Sens!$N$2781-1</f>
        <v>0.228699787230775</v>
      </c>
      <c r="F2782" s="13" t="n">
        <f aca="false">Sens!$D$2782</f>
        <v>0.126455838345356</v>
      </c>
      <c r="G2782" s="13" t="n">
        <f aca="false">Sens!$G$2781/Sens!$D$2781-1</f>
        <v>0.175323299696083</v>
      </c>
      <c r="H2782" s="13" t="n">
        <f aca="false">Sens!$F$2782+(g_awso_lt-Sens!$F$2782)*1/4</f>
        <v>0.114841878759017</v>
      </c>
      <c r="I2782" s="13" t="n">
        <f aca="false">Sens!$F$2782+(g_awso_lt-Sens!$F$2782)*2/4</f>
        <v>0.103227919172678</v>
      </c>
      <c r="J2782" s="13" t="n">
        <f aca="false">Sens!$F$2782+(g_awso_lt-Sens!$F$2782)*3/4</f>
        <v>0.0916139595863391</v>
      </c>
      <c r="K2782" s="13" t="n">
        <f aca="false">Sens!$F$2782+(g_awso_lt-Sens!$F$2782)*4/4</f>
        <v>0.08</v>
      </c>
      <c r="L2782" s="13" t="n">
        <f aca="false">g_awso_lt</f>
        <v>0.08</v>
      </c>
      <c r="M2782" s="13" t="n">
        <f aca="false">g_awso_lt</f>
        <v>0.08</v>
      </c>
      <c r="P2782" s="5" t="s">
        <v>624</v>
      </c>
    </row>
    <row r="2783" customFormat="false" ht="17.15" hidden="false" customHeight="false" outlineLevel="0" collapsed="false">
      <c r="A2783" s="1" t="s">
        <v>625</v>
      </c>
    </row>
    <row r="2784" customFormat="false" ht="17.15" hidden="false" customHeight="false" outlineLevel="0" collapsed="false">
      <c r="A2784" s="0" t="s">
        <v>626</v>
      </c>
      <c r="B2784" s="0" t="s">
        <v>86</v>
      </c>
      <c r="F2784" s="38" t="n">
        <f aca="false">cx_rt*Sens!$F$2749+cx_awso*Sens!$F$2781</f>
        <v>34.4871057918474</v>
      </c>
    </row>
    <row r="2785" customFormat="false" ht="17.15" hidden="false" customHeight="false" outlineLevel="0" collapsed="false">
      <c r="A2785" s="0" t="s">
        <v>627</v>
      </c>
      <c r="B2785" s="0" t="s">
        <v>52</v>
      </c>
      <c r="C2785" s="13" t="n">
        <f aca="false">tk_cx_h100/(tk_cx_h100+tk_fac*(1-colo_sh))</f>
        <v>0.730756458006641</v>
      </c>
      <c r="D2785" s="13" t="n">
        <f aca="false">tk_cx_h100/(tk_cx_h100+tk_fac*(1-colo_sh))</f>
        <v>0.730756458006641</v>
      </c>
      <c r="E2785" s="13" t="n">
        <f aca="false">Sens!$F$2785</f>
        <v>0.760792334328868</v>
      </c>
      <c r="F2785" s="13" t="n">
        <f aca="false">Sens!$F$2768/(Sens!$F$2768+tk_fac*(1-colo_sh))</f>
        <v>0.760792334328868</v>
      </c>
      <c r="G2785" s="13" t="n">
        <f aca="false">Sens!$G$2768/(Sens!$G$2768+tk_fac*(1-colo_sh))</f>
        <v>0.760792334328868</v>
      </c>
      <c r="H2785" s="13" t="n">
        <f aca="false">Sens!$H$2768/(Sens!$H$2768+tk_fac*(1-colo_sh))</f>
        <v>0.768110668862996</v>
      </c>
      <c r="I2785" s="13" t="n">
        <f aca="false">Sens!$I$2768/(Sens!$I$2768+tk_fac*(1-colo_sh))</f>
        <v>0.77499450139483</v>
      </c>
      <c r="J2785" s="13" t="n">
        <f aca="false">Sens!$J$2768/(Sens!$J$2768+tk_fac*(1-colo_sh))</f>
        <v>0.77499450139483</v>
      </c>
      <c r="K2785" s="13" t="n">
        <f aca="false">Sens!$K$2768/(Sens!$K$2768+tk_fac*(1-colo_sh))</f>
        <v>0.77499450139483</v>
      </c>
      <c r="L2785" s="13" t="n">
        <f aca="false">Sens!$L$2768/(Sens!$L$2768+tk_fac*(1-colo_sh))</f>
        <v>0.77499450139483</v>
      </c>
      <c r="M2785" s="13" t="n">
        <f aca="false">Sens!$M$2768/(Sens!$M$2768+tk_fac*(1-colo_sh))</f>
        <v>0.77499450139483</v>
      </c>
    </row>
    <row r="2786" customFormat="false" ht="17.15" hidden="false" customHeight="false" outlineLevel="0" collapsed="false">
      <c r="A2786" s="1" t="s">
        <v>628</v>
      </c>
      <c r="B2786" s="8" t="s">
        <v>86</v>
      </c>
      <c r="C2786" s="38" t="n">
        <f aca="false">Q!$D$46-cx_rt*Q!$D$16-cx_awso*Sens!$C$2781</f>
        <v>25.3908273132658</v>
      </c>
      <c r="D2786" s="38" t="n">
        <f aca="false">Q!$E$46-cx_rt*Q!$E$16-cx_awso*Sens!$D$2781</f>
        <v>69.9913391517339</v>
      </c>
      <c r="E2786" s="38" t="n">
        <f aca="false">Q!$P$46-cx_rt*Q!$P$16-cx_awso*Sens!$E$2781</f>
        <v>64.6032346687814</v>
      </c>
      <c r="F2786" s="38" t="n">
        <f aca="false">MAX(Sens!$F$2763*(Sens!$F$2768+tk_fac*(1-colo_sh))/1000,capex_g26-Q!$P$46-Sens!$F$2784)</f>
        <v>96.2481299895</v>
      </c>
      <c r="G2786" s="38" t="n">
        <f aca="false">Sens!$E$2786+Sens!$F$2786</f>
        <v>160.851364658281</v>
      </c>
      <c r="H2786" s="38" t="n">
        <f aca="false">Sens!$H$2763*(Sens!$H$2768+tk_fac*(1-colo_sh))/1000+Sens!$H$2787</f>
        <v>198.57136494475</v>
      </c>
      <c r="I2786" s="38" t="n">
        <f aca="false">Sens!$I$2763*(Sens!$I$2768+tk_fac*(1-colo_sh))/1000+Sens!$I$2787</f>
        <v>204.6464699105</v>
      </c>
      <c r="J2786" s="38" t="n">
        <f aca="false">Sens!$J$2763*(Sens!$J$2768+tk_fac*(1-colo_sh))/1000+Sens!$J$2787</f>
        <v>209.8832381105</v>
      </c>
      <c r="K2786" s="38" t="n">
        <f aca="false">Sens!$K$2763*(Sens!$K$2768+tk_fac*(1-colo_sh))/1000+Sens!$K$2787</f>
        <v>155.238385275201</v>
      </c>
      <c r="L2786" s="38" t="n">
        <f aca="false">Sens!$L$2763*(Sens!$L$2768+tk_fac*(1-colo_sh))/1000+Sens!$L$2787</f>
        <v>132.014141639902</v>
      </c>
      <c r="M2786" s="38" t="n">
        <f aca="false">Sens!$M$2763*(Sens!$M$2768+tk_fac*(1-colo_sh))/1000+Sens!$M$2787</f>
        <v>132.230981659852</v>
      </c>
      <c r="P2786" s="5" t="s">
        <v>629</v>
      </c>
      <c r="R2786" s="38" t="n">
        <f aca="false">Q!$C$46-cx_rt*Q!$C$16-cx_awso*(Q!$C$7-mw_ye23/2*(ai_rr*1000/mw_open)/1000)</f>
        <v>1.53248029668154</v>
      </c>
      <c r="S2786" s="38" t="n">
        <f aca="false">Sens!$C$2786</f>
        <v>25.3908273132658</v>
      </c>
      <c r="T2786" s="38" t="n">
        <f aca="false">Sens!$D$2786</f>
        <v>69.9913391517339</v>
      </c>
      <c r="U2786" s="38" t="n">
        <f aca="false">Sens!$G$2786</f>
        <v>160.851364658281</v>
      </c>
      <c r="V2786" s="38" t="n">
        <f aca="false">Sens!$H$2786</f>
        <v>198.57136494475</v>
      </c>
      <c r="W2786" s="38" t="n">
        <f aca="false">Sens!$I$2786</f>
        <v>204.6464699105</v>
      </c>
      <c r="X2786" s="38" t="n">
        <f aca="false">Sens!$J$2786</f>
        <v>209.8832381105</v>
      </c>
      <c r="Y2786" s="38" t="n">
        <f aca="false">Sens!$K$2786</f>
        <v>155.238385275201</v>
      </c>
      <c r="Z2786" s="38" t="n">
        <f aca="false">Sens!$L$2786</f>
        <v>132.014141639902</v>
      </c>
      <c r="AA2786" s="38" t="n">
        <f aca="false">Sens!$M$2786</f>
        <v>132.230981659852</v>
      </c>
    </row>
    <row r="2787" customFormat="false" ht="17.15" hidden="false" customHeight="false" outlineLevel="0" collapsed="false">
      <c r="A2787" s="0" t="s">
        <v>630</v>
      </c>
      <c r="B2787" s="0" t="s">
        <v>86</v>
      </c>
      <c r="H2787" s="38" t="n">
        <f aca="false">SUMPRODUCT(--(Sens!$R$2756:$AA$2756=2027-tk_life),Sens!$R$2763:$AA$2763)*Sens!$H$2768/1000</f>
        <v>0</v>
      </c>
      <c r="I2787" s="38" t="n">
        <f aca="false">SUMPRODUCT(--(Sens!$R$2756:$AA$2756=2028-tk_life),Sens!$R$2763:$AA$2763)*Sens!$I$2768/1000</f>
        <v>0</v>
      </c>
      <c r="J2787" s="38" t="n">
        <f aca="false">SUMPRODUCT(--(Sens!$R$2756:$AA$2756=2029-tk_life),Sens!$R$2763:$AA$2763)*Sens!$J$2768/1000</f>
        <v>5.2367682</v>
      </c>
      <c r="K2787" s="38" t="n">
        <f aca="false">SUMPRODUCT(--(Sens!$R$2756:$AA$2756=2030-tk_life),Sens!$R$2763:$AA$2763)*Sens!$K$2768/1000</f>
        <v>10.4735364</v>
      </c>
      <c r="L2787" s="38" t="n">
        <f aca="false">SUMPRODUCT(--(Sens!$R$2756:$AA$2756=2031-tk_life),Sens!$R$2763:$AA$2763)*Sens!$L$2768/1000</f>
        <v>47.1309138</v>
      </c>
      <c r="M2787" s="38" t="n">
        <f aca="false">SUMPRODUCT(--(Sens!$R$2756:$AA$2756=2032-tk_life),Sens!$R$2763:$AA$2763)*Sens!$M$2768/1000</f>
        <v>107.22937485525</v>
      </c>
    </row>
    <row r="2788" customFormat="false" ht="17.15" hidden="false" customHeight="false" outlineLevel="0" collapsed="false">
      <c r="A2788" s="0" t="s">
        <v>631</v>
      </c>
      <c r="B2788" s="0" t="s">
        <v>86</v>
      </c>
      <c r="C2788" s="38" t="n">
        <f aca="false">MIN(Sens!$C$2786,Sens!$C$2763*(tk_cx_h100+tk_fac*(1-colo_sh))/1000)</f>
        <v>11.2938642</v>
      </c>
      <c r="D2788" s="38" t="n">
        <f aca="false">MIN(Sens!$D$2786,Sens!$D$2763*(tk_cx_h100+tk_fac*(1-colo_sh))/1000)</f>
        <v>50.8223889</v>
      </c>
      <c r="E2788" s="38" t="n">
        <f aca="false">MIN(Sens!$E$2786,Sens!$E$2763*(Sens!$F$2768+tk_fac*(1-colo_sh))/1000)</f>
        <v>33.8985792</v>
      </c>
      <c r="F2788" s="38" t="n">
        <f aca="false">Sens!$F$2786</f>
        <v>96.2481299895</v>
      </c>
      <c r="G2788" s="38" t="n">
        <f aca="false">Sens!$E$2788+Sens!$F$2788</f>
        <v>130.1467091895</v>
      </c>
      <c r="H2788" s="38" t="n">
        <f aca="false">Sens!$H$2786</f>
        <v>198.57136494475</v>
      </c>
      <c r="I2788" s="38" t="n">
        <f aca="false">Sens!$I$2786</f>
        <v>204.6464699105</v>
      </c>
      <c r="J2788" s="38" t="n">
        <f aca="false">Sens!$J$2786</f>
        <v>209.8832381105</v>
      </c>
      <c r="K2788" s="38" t="n">
        <f aca="false">Sens!$K$2786</f>
        <v>155.238385275201</v>
      </c>
      <c r="L2788" s="38" t="n">
        <f aca="false">Sens!$L$2786</f>
        <v>132.014141639902</v>
      </c>
      <c r="M2788" s="38" t="n">
        <f aca="false">Sens!$M$2786</f>
        <v>132.230981659852</v>
      </c>
      <c r="P2788" s="5" t="s">
        <v>632</v>
      </c>
      <c r="R2788" s="38" t="n">
        <f aca="false">MIN(Sens!$R$2786,Sens!$R$2763*(tk_cx_h100+tk_fac*(1-colo_sh))/1000)</f>
        <v>1.53248029668154</v>
      </c>
      <c r="S2788" s="38" t="n">
        <f aca="false">Sens!$C$2788</f>
        <v>11.2938642</v>
      </c>
      <c r="T2788" s="38" t="n">
        <f aca="false">Sens!$D$2788</f>
        <v>50.8223889</v>
      </c>
      <c r="U2788" s="38" t="n">
        <f aca="false">Sens!$G$2788</f>
        <v>130.1467091895</v>
      </c>
      <c r="V2788" s="38" t="n">
        <f aca="false">Sens!$H$2788</f>
        <v>198.57136494475</v>
      </c>
      <c r="W2788" s="38" t="n">
        <f aca="false">Sens!$I$2788</f>
        <v>204.6464699105</v>
      </c>
      <c r="X2788" s="38" t="n">
        <f aca="false">Sens!$J$2788</f>
        <v>209.8832381105</v>
      </c>
      <c r="Y2788" s="38" t="n">
        <f aca="false">Sens!$K$2788</f>
        <v>155.238385275201</v>
      </c>
      <c r="Z2788" s="38" t="n">
        <f aca="false">Sens!$L$2788</f>
        <v>132.014141639902</v>
      </c>
      <c r="AA2788" s="38" t="n">
        <f aca="false">Sens!$M$2788</f>
        <v>132.230981659852</v>
      </c>
    </row>
    <row r="2789" customFormat="false" ht="17.15" hidden="false" customHeight="false" outlineLevel="0" collapsed="false">
      <c r="A2789" s="5" t="s">
        <v>633</v>
      </c>
      <c r="B2789" s="0" t="s">
        <v>86</v>
      </c>
      <c r="C2789" s="38" t="n">
        <f aca="false">Sens!$C$2786-Sens!$C$2788</f>
        <v>14.0969631132658</v>
      </c>
      <c r="D2789" s="38" t="n">
        <f aca="false">Sens!$D$2786-Sens!$D$2788</f>
        <v>19.1689502517339</v>
      </c>
      <c r="E2789" s="38" t="n">
        <f aca="false">Sens!$E$2786-Sens!$E$2788</f>
        <v>30.7046554687814</v>
      </c>
      <c r="F2789" s="38" t="n">
        <f aca="false">Sens!$F$2786-Sens!$F$2788</f>
        <v>0</v>
      </c>
      <c r="G2789" s="38" t="n">
        <f aca="false">Sens!$G$2786-Sens!$G$2788</f>
        <v>30.7046554687814</v>
      </c>
      <c r="H2789" s="38" t="n">
        <f aca="false">Sens!$H$2786-Sens!$H$2788</f>
        <v>0</v>
      </c>
      <c r="I2789" s="38" t="n">
        <f aca="false">Sens!$I$2786-Sens!$I$2788</f>
        <v>0</v>
      </c>
      <c r="J2789" s="38" t="n">
        <f aca="false">Sens!$J$2786-Sens!$J$2788</f>
        <v>0</v>
      </c>
      <c r="K2789" s="38" t="n">
        <f aca="false">Sens!$K$2786-Sens!$K$2788</f>
        <v>0</v>
      </c>
      <c r="L2789" s="38" t="n">
        <f aca="false">Sens!$L$2786-Sens!$L$2788</f>
        <v>0</v>
      </c>
      <c r="M2789" s="38" t="n">
        <f aca="false">Sens!$M$2786-Sens!$M$2788</f>
        <v>0</v>
      </c>
    </row>
    <row r="2790" customFormat="false" ht="17.15" hidden="false" customHeight="false" outlineLevel="0" collapsed="false">
      <c r="A2790" s="5" t="s">
        <v>634</v>
      </c>
      <c r="B2790" s="0" t="s">
        <v>86</v>
      </c>
      <c r="C2790" s="38" t="n">
        <f aca="false">Sens!$C$2788*Sens!$C$2785</f>
        <v>8.2530642</v>
      </c>
      <c r="D2790" s="38" t="n">
        <f aca="false">Sens!$D$2788*Sens!$D$2785</f>
        <v>37.1387889</v>
      </c>
      <c r="E2790" s="38" t="n">
        <f aca="false">Sens!$E$2788*Sens!$E$2785</f>
        <v>25.7897792</v>
      </c>
      <c r="F2790" s="38" t="n">
        <f aca="false">Sens!$F$2788*Sens!$F$2785</f>
        <v>73.2248394895</v>
      </c>
      <c r="G2790" s="38" t="n">
        <f aca="false">Sens!$E$2790+Sens!$F$2790</f>
        <v>99.0146186895</v>
      </c>
      <c r="H2790" s="38" t="n">
        <f aca="false">(Sens!$H$2788-Sens!$H$2787)*Sens!$H$2785+Sens!$H$2787</f>
        <v>152.52478394475</v>
      </c>
      <c r="I2790" s="38" t="n">
        <f aca="false">(Sens!$I$2788-Sens!$I$2787)*Sens!$I$2785+Sens!$I$2787</f>
        <v>158.5998889105</v>
      </c>
      <c r="J2790" s="38" t="n">
        <f aca="false">(Sens!$J$2788-Sens!$J$2787)*Sens!$J$2785+Sens!$J$2787</f>
        <v>163.8366571105</v>
      </c>
      <c r="K2790" s="38" t="n">
        <f aca="false">(Sens!$K$2788-Sens!$K$2787)*Sens!$K$2785+Sens!$K$2787</f>
        <v>122.665498273534</v>
      </c>
      <c r="L2790" s="38" t="n">
        <f aca="false">(Sens!$L$2788-Sens!$L$2787)*Sens!$L$2785+Sens!$L$2787</f>
        <v>112.914948636568</v>
      </c>
      <c r="M2790" s="38" t="n">
        <f aca="false">(Sens!$M$2788-Sens!$M$2787)*Sens!$M$2785+Sens!$M$2787</f>
        <v>126.605482654852</v>
      </c>
      <c r="R2790" s="38" t="n">
        <f aca="false">Sens!$R$2788*Sens!$C$2785</f>
        <v>1.11986987356797</v>
      </c>
      <c r="S2790" s="38" t="n">
        <f aca="false">Sens!$C$2790</f>
        <v>8.2530642</v>
      </c>
      <c r="T2790" s="38" t="n">
        <f aca="false">Sens!$D$2790</f>
        <v>37.1387889</v>
      </c>
      <c r="U2790" s="38" t="n">
        <f aca="false">Sens!$G$2790</f>
        <v>99.0146186895</v>
      </c>
      <c r="V2790" s="38" t="n">
        <f aca="false">Sens!$H$2790</f>
        <v>152.52478394475</v>
      </c>
      <c r="W2790" s="38" t="n">
        <f aca="false">Sens!$I$2790</f>
        <v>158.5998889105</v>
      </c>
      <c r="X2790" s="38" t="n">
        <f aca="false">Sens!$J$2790</f>
        <v>163.8366571105</v>
      </c>
      <c r="Y2790" s="38" t="n">
        <f aca="false">Sens!$K$2790</f>
        <v>122.665498273534</v>
      </c>
      <c r="Z2790" s="38" t="n">
        <f aca="false">Sens!$L$2790</f>
        <v>112.914948636568</v>
      </c>
      <c r="AA2790" s="38" t="n">
        <f aca="false">Sens!$M$2790</f>
        <v>126.605482654852</v>
      </c>
    </row>
    <row r="2791" customFormat="false" ht="15" hidden="false" customHeight="false" outlineLevel="0" collapsed="false">
      <c r="A2791" s="5" t="s">
        <v>635</v>
      </c>
      <c r="B2791" s="0" t="s">
        <v>86</v>
      </c>
      <c r="C2791" s="38" t="n">
        <f aca="false">Sens!$C$2788-Sens!$C$2790</f>
        <v>3.0408</v>
      </c>
      <c r="D2791" s="38" t="n">
        <f aca="false">Sens!$D$2788-Sens!$D$2790</f>
        <v>13.6836</v>
      </c>
      <c r="E2791" s="38" t="n">
        <f aca="false">Sens!$E$2788-Sens!$E$2790</f>
        <v>8.1088</v>
      </c>
      <c r="F2791" s="38" t="n">
        <f aca="false">Sens!$F$2788-Sens!$F$2790</f>
        <v>23.0232905</v>
      </c>
      <c r="G2791" s="38" t="n">
        <f aca="false">Sens!$G$2788-Sens!$G$2790</f>
        <v>31.1320905</v>
      </c>
      <c r="H2791" s="38" t="n">
        <f aca="false">Sens!$H$2788-Sens!$H$2790</f>
        <v>46.046581</v>
      </c>
      <c r="I2791" s="38" t="n">
        <f aca="false">Sens!$I$2788-Sens!$I$2790</f>
        <v>46.046581</v>
      </c>
      <c r="J2791" s="38" t="n">
        <f aca="false">Sens!$J$2788-Sens!$J$2790</f>
        <v>46.046581</v>
      </c>
      <c r="K2791" s="38" t="n">
        <f aca="false">Sens!$K$2788-Sens!$K$2790</f>
        <v>32.5728870016667</v>
      </c>
      <c r="L2791" s="38" t="n">
        <f aca="false">Sens!$L$2788-Sens!$L$2790</f>
        <v>19.0991930033334</v>
      </c>
      <c r="M2791" s="38" t="n">
        <f aca="false">Sens!$M$2788-Sens!$M$2790</f>
        <v>5.62549900499998</v>
      </c>
      <c r="R2791" s="38" t="n">
        <f aca="false">Sens!$R$2788-Sens!$R$2790</f>
        <v>0.412610423113572</v>
      </c>
      <c r="S2791" s="38" t="n">
        <f aca="false">Sens!$S$2788-Sens!$S$2790</f>
        <v>3.0408</v>
      </c>
      <c r="T2791" s="38" t="n">
        <f aca="false">Sens!$T$2788-Sens!$T$2790</f>
        <v>13.6836</v>
      </c>
      <c r="U2791" s="38" t="n">
        <f aca="false">Sens!$U$2788-Sens!$U$2790</f>
        <v>31.1320905</v>
      </c>
      <c r="V2791" s="38" t="n">
        <f aca="false">Sens!$V$2788-Sens!$V$2790</f>
        <v>46.046581</v>
      </c>
      <c r="W2791" s="38" t="n">
        <f aca="false">Sens!$W$2788-Sens!$W$2790</f>
        <v>46.046581</v>
      </c>
      <c r="X2791" s="38" t="n">
        <f aca="false">Sens!$X$2788-Sens!$X$2790</f>
        <v>46.046581</v>
      </c>
      <c r="Y2791" s="38" t="n">
        <f aca="false">Sens!$Y$2788-Sens!$Y$2790</f>
        <v>32.5728870016667</v>
      </c>
      <c r="Z2791" s="38" t="n">
        <f aca="false">Sens!$Z$2788-Sens!$Z$2790</f>
        <v>19.0991930033334</v>
      </c>
      <c r="AA2791" s="38" t="n">
        <f aca="false">Sens!$AA$2788-Sens!$AA$2790</f>
        <v>5.62549900499998</v>
      </c>
    </row>
    <row r="2792" customFormat="false" ht="17.15" hidden="false" customHeight="false" outlineLevel="0" collapsed="false">
      <c r="A2792" s="0" t="s">
        <v>636</v>
      </c>
      <c r="B2792" s="0" t="s">
        <v>52</v>
      </c>
      <c r="C2792" s="13" t="n">
        <f aca="false">Sens!$C$2786/Sens!$C$2908</f>
        <v>0.326957007819745</v>
      </c>
      <c r="D2792" s="13" t="n">
        <f aca="false">Sens!$D$2786/Sens!$D$2908</f>
        <v>0.545443727803413</v>
      </c>
      <c r="E2792" s="13" t="n">
        <f aca="false">Sens!$E$2786/Sens!$E$2908</f>
        <v>0.670784286873444</v>
      </c>
      <c r="F2792" s="13" t="n">
        <f aca="false">Sens!$F$2786/Sens!$F$2908</f>
        <v>0.736206497156386</v>
      </c>
      <c r="G2792" s="13" t="n">
        <f aca="false">Sens!$G$2786/Sens!$G$2908</f>
        <v>0.708455141570057</v>
      </c>
      <c r="H2792" s="13" t="n">
        <f aca="false">Sens!$H$2786/Sens!$H$2908</f>
        <v>0.729858927271751</v>
      </c>
      <c r="I2792" s="13" t="n">
        <f aca="false">Sens!$I$2786/Sens!$I$2908</f>
        <v>0.71726158150711</v>
      </c>
      <c r="J2792" s="13" t="n">
        <f aca="false">Sens!$J$2786/Sens!$J$2908</f>
        <v>0.705791415062533</v>
      </c>
      <c r="K2792" s="13" t="n">
        <f aca="false">Sens!$K$2786/Sens!$K$2908</f>
        <v>0.623552406923353</v>
      </c>
      <c r="L2792" s="13" t="n">
        <f aca="false">Sens!$L$2786/Sens!$L$2908</f>
        <v>0.567975479811368</v>
      </c>
      <c r="M2792" s="13" t="n">
        <f aca="false">Sens!$M$2786/Sens!$M$2908</f>
        <v>0.551322391695839</v>
      </c>
    </row>
    <row r="2793" customFormat="false" ht="17.15" hidden="false" customHeight="false" outlineLevel="0" collapsed="false">
      <c r="A2793" s="0" t="s">
        <v>637</v>
      </c>
      <c r="B2793" s="0" t="s">
        <v>86</v>
      </c>
      <c r="C2793" s="38" t="n">
        <f aca="false">Sens!$S$2793</f>
        <v>0.186644978927994</v>
      </c>
      <c r="D2793" s="38" t="n">
        <f aca="false">Sens!$T$2793</f>
        <v>1.56215567892799</v>
      </c>
      <c r="E2793" s="38" t="n">
        <f aca="false">Sens!$G$2793/2</f>
        <v>3.875976914464</v>
      </c>
      <c r="F2793" s="38" t="n">
        <f aca="false">Sens!$G$2793/2</f>
        <v>3.875976914464</v>
      </c>
      <c r="G2793" s="38" t="n">
        <f aca="false">Sens!$U$2793</f>
        <v>7.751953828928</v>
      </c>
      <c r="H2793" s="38" t="n">
        <f aca="false">Sens!$V$2793</f>
        <v>24.254390277178</v>
      </c>
      <c r="I2793" s="38" t="n">
        <f aca="false">Sens!$W$2793</f>
        <v>49.675187601303</v>
      </c>
      <c r="J2793" s="38" t="n">
        <f aca="false">Sens!$X$2793</f>
        <v>76.1085024197197</v>
      </c>
      <c r="K2793" s="38" t="n">
        <f aca="false">Sens!$Y$2793</f>
        <v>103.227966959208</v>
      </c>
      <c r="L2793" s="38" t="n">
        <f aca="false">Sens!$Z$2793</f>
        <v>122.296705971464</v>
      </c>
      <c r="M2793" s="38" t="n">
        <f aca="false">Sens!$AA$2793</f>
        <v>134.926065927559</v>
      </c>
      <c r="N2793" s="38" t="n">
        <f aca="false">Sens!$D$2793/2</f>
        <v>0.781077839463997</v>
      </c>
      <c r="O2793" s="38" t="n">
        <f aca="false">Sens!$D$2793/2</f>
        <v>0.781077839463997</v>
      </c>
      <c r="R2793" s="38" t="n">
        <f aca="false">SUMPRODUCT(--(Sens!$R$2756:$AA$2756&lt;Sens!R$2756),--(Sens!$R$2756:$AA$2756&gt;=Sens!R$2756-tk_life),Sens!$R$2790:$AA$2790)/tk_life</f>
        <v>0</v>
      </c>
      <c r="S2793" s="38" t="n">
        <f aca="false">SUMPRODUCT(--(Sens!$R$2756:$AA$2756&lt;Sens!S$2756),--(Sens!$R$2756:$AA$2756&gt;=Sens!S$2756-tk_life),Sens!$R$2790:$AA$2790)/tk_life</f>
        <v>0.186644978927994</v>
      </c>
      <c r="T2793" s="38" t="n">
        <f aca="false">SUMPRODUCT(--(Sens!$R$2756:$AA$2756&lt;Sens!T$2756),--(Sens!$R$2756:$AA$2756&gt;=Sens!T$2756-tk_life),Sens!$R$2790:$AA$2790)/tk_life</f>
        <v>1.56215567892799</v>
      </c>
      <c r="U2793" s="38" t="n">
        <f aca="false">SUMPRODUCT(--(Sens!$R$2756:$AA$2756&lt;Sens!U$2756),--(Sens!$R$2756:$AA$2756&gt;=Sens!U$2756-tk_life),Sens!$R$2790:$AA$2790)/tk_life</f>
        <v>7.751953828928</v>
      </c>
      <c r="V2793" s="38" t="n">
        <f aca="false">SUMPRODUCT(--(Sens!$R$2756:$AA$2756&lt;Sens!V$2756),--(Sens!$R$2756:$AA$2756&gt;=Sens!V$2756-tk_life),Sens!$R$2790:$AA$2790)/tk_life</f>
        <v>24.254390277178</v>
      </c>
      <c r="W2793" s="38" t="n">
        <f aca="false">SUMPRODUCT(--(Sens!$R$2756:$AA$2756&lt;Sens!W$2756),--(Sens!$R$2756:$AA$2756&gt;=Sens!W$2756-tk_life),Sens!$R$2790:$AA$2790)/tk_life</f>
        <v>49.675187601303</v>
      </c>
      <c r="X2793" s="38" t="n">
        <f aca="false">SUMPRODUCT(--(Sens!$R$2756:$AA$2756&lt;Sens!X$2756),--(Sens!$R$2756:$AA$2756&gt;=Sens!X$2756-tk_life),Sens!$R$2790:$AA$2790)/tk_life</f>
        <v>76.1085024197197</v>
      </c>
      <c r="Y2793" s="38" t="n">
        <f aca="false">SUMPRODUCT(--(Sens!$R$2756:$AA$2756&lt;Sens!Y$2756),--(Sens!$R$2756:$AA$2756&gt;=Sens!Y$2756-tk_life),Sens!$R$2790:$AA$2790)/tk_life</f>
        <v>103.227966959208</v>
      </c>
      <c r="Z2793" s="38" t="n">
        <f aca="false">SUMPRODUCT(--(Sens!$R$2756:$AA$2756&lt;Sens!Z$2756),--(Sens!$R$2756:$AA$2756&gt;=Sens!Z$2756-tk_life),Sens!$R$2790:$AA$2790)/tk_life</f>
        <v>122.296705971464</v>
      </c>
      <c r="AA2793" s="38" t="n">
        <f aca="false">SUMPRODUCT(--(Sens!$R$2756:$AA$2756&lt;Sens!AA$2756),--(Sens!$R$2756:$AA$2756&gt;=Sens!AA$2756-tk_life),Sens!$R$2790:$AA$2790)/tk_life</f>
        <v>134.926065927559</v>
      </c>
    </row>
    <row r="2794" customFormat="false" ht="17.15" hidden="false" customHeight="false" outlineLevel="0" collapsed="false">
      <c r="A2794" s="0" t="s">
        <v>638</v>
      </c>
      <c r="B2794" s="0" t="s">
        <v>86</v>
      </c>
      <c r="C2794" s="38" t="n">
        <f aca="false">Sens!$S$2794</f>
        <v>0.0206305211556786</v>
      </c>
      <c r="D2794" s="38" t="n">
        <f aca="false">Sens!$T$2794</f>
        <v>0.172670521155679</v>
      </c>
      <c r="E2794" s="38" t="n">
        <f aca="false">Sens!$G$2794/2</f>
        <v>0.428425260577839</v>
      </c>
      <c r="F2794" s="38" t="n">
        <f aca="false">Sens!$G$2794/2</f>
        <v>0.428425260577839</v>
      </c>
      <c r="G2794" s="38" t="n">
        <f aca="false">Sens!$U$2794</f>
        <v>0.856850521155679</v>
      </c>
      <c r="H2794" s="38" t="n">
        <f aca="false">Sens!$V$2794</f>
        <v>2.41345504615568</v>
      </c>
      <c r="I2794" s="38" t="n">
        <f aca="false">Sens!$W$2794</f>
        <v>4.71578409615568</v>
      </c>
      <c r="J2794" s="38" t="n">
        <f aca="false">Sens!$X$2794</f>
        <v>7.01811314615568</v>
      </c>
      <c r="K2794" s="38" t="n">
        <f aca="false">Sens!$Y$2794</f>
        <v>9.32044219615568</v>
      </c>
      <c r="L2794" s="38" t="n">
        <f aca="false">Sens!$Z$2794</f>
        <v>10.949086546239</v>
      </c>
      <c r="M2794" s="38" t="n">
        <f aca="false">Sens!$AA$2794</f>
        <v>11.9040461964057</v>
      </c>
      <c r="N2794" s="38" t="n">
        <f aca="false">Sens!$D$2794/2</f>
        <v>0.0863352605778393</v>
      </c>
      <c r="O2794" s="38" t="n">
        <f aca="false">Sens!$D$2794/2</f>
        <v>0.0863352605778393</v>
      </c>
      <c r="R2794" s="38" t="n">
        <f aca="false">SUMPRODUCT(--(Sens!$R$2756:$AA$2756&lt;Sens!R$2756),Sens!$R$2791:$AA$2791)/fac_life</f>
        <v>0</v>
      </c>
      <c r="S2794" s="38" t="n">
        <f aca="false">SUMPRODUCT(--(Sens!$R$2756:$AA$2756&lt;Sens!S$2756),Sens!$R$2791:$AA$2791)/fac_life</f>
        <v>0.0206305211556786</v>
      </c>
      <c r="T2794" s="38" t="n">
        <f aca="false">SUMPRODUCT(--(Sens!$R$2756:$AA$2756&lt;Sens!T$2756),Sens!$R$2791:$AA$2791)/fac_life</f>
        <v>0.172670521155679</v>
      </c>
      <c r="U2794" s="38" t="n">
        <f aca="false">SUMPRODUCT(--(Sens!$R$2756:$AA$2756&lt;Sens!U$2756),Sens!$R$2791:$AA$2791)/fac_life</f>
        <v>0.856850521155679</v>
      </c>
      <c r="V2794" s="38" t="n">
        <f aca="false">SUMPRODUCT(--(Sens!$R$2756:$AA$2756&lt;Sens!V$2756),Sens!$R$2791:$AA$2791)/fac_life</f>
        <v>2.41345504615568</v>
      </c>
      <c r="W2794" s="38" t="n">
        <f aca="false">SUMPRODUCT(--(Sens!$R$2756:$AA$2756&lt;Sens!W$2756),Sens!$R$2791:$AA$2791)/fac_life</f>
        <v>4.71578409615568</v>
      </c>
      <c r="X2794" s="38" t="n">
        <f aca="false">SUMPRODUCT(--(Sens!$R$2756:$AA$2756&lt;Sens!X$2756),Sens!$R$2791:$AA$2791)/fac_life</f>
        <v>7.01811314615568</v>
      </c>
      <c r="Y2794" s="38" t="n">
        <f aca="false">SUMPRODUCT(--(Sens!$R$2756:$AA$2756&lt;Sens!Y$2756),Sens!$R$2791:$AA$2791)/fac_life</f>
        <v>9.32044219615568</v>
      </c>
      <c r="Z2794" s="38" t="n">
        <f aca="false">SUMPRODUCT(--(Sens!$R$2756:$AA$2756&lt;Sens!Z$2756),Sens!$R$2791:$AA$2791)/fac_life</f>
        <v>10.949086546239</v>
      </c>
      <c r="AA2794" s="38" t="n">
        <f aca="false">SUMPRODUCT(--(Sens!$R$2756:$AA$2756&lt;Sens!AA$2756),Sens!$R$2791:$AA$2791)/fac_life</f>
        <v>11.9040461964057</v>
      </c>
    </row>
    <row r="2795" customFormat="false" ht="17.15" hidden="false" customHeight="false" outlineLevel="0" collapsed="false">
      <c r="A2795" s="1" t="s">
        <v>639</v>
      </c>
      <c r="B2795" s="8" t="s">
        <v>86</v>
      </c>
      <c r="C2795" s="38" t="n">
        <f aca="false">Sens!$C$2793+Sens!$C$2794</f>
        <v>0.207275500083673</v>
      </c>
      <c r="D2795" s="38" t="n">
        <f aca="false">Sens!$D$2793+Sens!$D$2794</f>
        <v>1.73482620008367</v>
      </c>
      <c r="E2795" s="38" t="n">
        <f aca="false">Sens!$E$2793+Sens!$E$2794</f>
        <v>4.30440217504184</v>
      </c>
      <c r="F2795" s="38" t="n">
        <f aca="false">Sens!$F$2793+Sens!$F$2794</f>
        <v>4.30440217504184</v>
      </c>
      <c r="G2795" s="38" t="n">
        <f aca="false">Sens!$G$2793+Sens!$G$2794</f>
        <v>8.60880435008367</v>
      </c>
      <c r="H2795" s="38" t="n">
        <f aca="false">Sens!$H$2793+Sens!$H$2794</f>
        <v>26.6678453233337</v>
      </c>
      <c r="I2795" s="38" t="n">
        <f aca="false">Sens!$I$2793+Sens!$I$2794</f>
        <v>54.3909716974587</v>
      </c>
      <c r="J2795" s="38" t="n">
        <f aca="false">Sens!$J$2793+Sens!$J$2794</f>
        <v>83.1266155658754</v>
      </c>
      <c r="K2795" s="38" t="n">
        <f aca="false">Sens!$K$2793+Sens!$K$2794</f>
        <v>112.548409155364</v>
      </c>
      <c r="L2795" s="38" t="n">
        <f aca="false">Sens!$L$2793+Sens!$L$2794</f>
        <v>133.245792517703</v>
      </c>
      <c r="M2795" s="38" t="n">
        <f aca="false">Sens!$M$2793+Sens!$M$2794</f>
        <v>146.830112123964</v>
      </c>
      <c r="N2795" s="38" t="n">
        <f aca="false">Sens!$N$2793+Sens!$N$2794</f>
        <v>0.867413100041837</v>
      </c>
      <c r="O2795" s="38" t="n">
        <f aca="false">Sens!$O$2793+Sens!$O$2794</f>
        <v>0.867413100041837</v>
      </c>
      <c r="R2795" s="38" t="n">
        <f aca="false">Sens!$R$2793+Sens!$R$2794</f>
        <v>0</v>
      </c>
      <c r="S2795" s="38" t="n">
        <f aca="false">Sens!$S$2793+Sens!$S$2794</f>
        <v>0.207275500083673</v>
      </c>
      <c r="T2795" s="38" t="n">
        <f aca="false">Sens!$T$2793+Sens!$T$2794</f>
        <v>1.73482620008367</v>
      </c>
      <c r="U2795" s="38" t="n">
        <f aca="false">Sens!$U$2793+Sens!$U$2794</f>
        <v>8.60880435008367</v>
      </c>
      <c r="V2795" s="38" t="n">
        <f aca="false">Sens!$V$2793+Sens!$V$2794</f>
        <v>26.6678453233337</v>
      </c>
      <c r="W2795" s="38" t="n">
        <f aca="false">Sens!$W$2793+Sens!$W$2794</f>
        <v>54.3909716974587</v>
      </c>
      <c r="X2795" s="38" t="n">
        <f aca="false">Sens!$X$2793+Sens!$X$2794</f>
        <v>83.1266155658754</v>
      </c>
      <c r="Y2795" s="38" t="n">
        <f aca="false">Sens!$Y$2793+Sens!$Y$2794</f>
        <v>112.548409155364</v>
      </c>
      <c r="Z2795" s="38" t="n">
        <f aca="false">Sens!$Z$2793+Sens!$Z$2794</f>
        <v>133.245792517703</v>
      </c>
      <c r="AA2795" s="38" t="n">
        <f aca="false">Sens!$AA$2793+Sens!$AA$2794</f>
        <v>146.830112123964</v>
      </c>
    </row>
    <row r="2796" customFormat="false" ht="17.15" hidden="false" customHeight="false" outlineLevel="0" collapsed="false">
      <c r="A2796" s="0" t="s">
        <v>640</v>
      </c>
      <c r="B2796" s="0" t="s">
        <v>86</v>
      </c>
      <c r="C2796" s="38" t="n">
        <f aca="false">Sens!$S$2796</f>
        <v>12.6190689965979</v>
      </c>
      <c r="D2796" s="38" t="n">
        <f aca="false">Sens!$T$2796</f>
        <v>61.7066316965142</v>
      </c>
      <c r="G2796" s="38" t="n">
        <f aca="false">Sens!$U$2796</f>
        <v>183.244536535931</v>
      </c>
      <c r="H2796" s="38" t="n">
        <f aca="false">Sens!$V$2796</f>
        <v>355.148056157347</v>
      </c>
      <c r="I2796" s="38" t="n">
        <f aca="false">Sens!$W$2796</f>
        <v>505.403554370388</v>
      </c>
      <c r="J2796" s="38" t="n">
        <f aca="false">Sens!$X$2796</f>
        <v>632.160176915013</v>
      </c>
      <c r="K2796" s="38" t="n">
        <f aca="false">Sens!$Y$2796</f>
        <v>674.85015303485</v>
      </c>
      <c r="L2796" s="38" t="n">
        <f aca="false">Sens!$Z$2796</f>
        <v>673.618502157048</v>
      </c>
      <c r="M2796" s="38" t="n">
        <f aca="false">Sens!$AA$2796</f>
        <v>659.019371692936</v>
      </c>
      <c r="R2796" s="38" t="n">
        <f aca="false">SUM(Sens!$R$2788:$R$2788)-SUM(Sens!$R$2795:$R$2795)</f>
        <v>1.53248029668154</v>
      </c>
      <c r="S2796" s="38" t="n">
        <f aca="false">SUM(Sens!$R$2788:$S$2788)-SUM(Sens!$R$2795:$S$2795)</f>
        <v>12.6190689965979</v>
      </c>
      <c r="T2796" s="38" t="n">
        <f aca="false">SUM(Sens!$R$2788:$T$2788)-SUM(Sens!$R$2795:$T$2795)</f>
        <v>61.7066316965142</v>
      </c>
      <c r="U2796" s="38" t="n">
        <f aca="false">SUM(Sens!$R$2788:$U$2788)-SUM(Sens!$R$2795:$U$2795)</f>
        <v>183.244536535931</v>
      </c>
      <c r="V2796" s="38" t="n">
        <f aca="false">SUM(Sens!$R$2788:$V$2788)-SUM(Sens!$R$2795:$V$2795)</f>
        <v>355.148056157347</v>
      </c>
      <c r="W2796" s="38" t="n">
        <f aca="false">SUM(Sens!$R$2788:$W$2788)-SUM(Sens!$R$2795:$W$2795)</f>
        <v>505.403554370388</v>
      </c>
      <c r="X2796" s="38" t="n">
        <f aca="false">SUM(Sens!$R$2788:$X$2788)-SUM(Sens!$R$2795:$X$2795)</f>
        <v>632.160176915013</v>
      </c>
      <c r="Y2796" s="38" t="n">
        <f aca="false">SUM(Sens!$R$2788:$Y$2788)-SUM(Sens!$R$2795:$Y$2795)</f>
        <v>674.85015303485</v>
      </c>
      <c r="Z2796" s="38" t="n">
        <f aca="false">SUM(Sens!$R$2788:$Z$2788)-SUM(Sens!$R$2795:$Z$2795)</f>
        <v>673.618502157048</v>
      </c>
      <c r="AA2796" s="38" t="n">
        <f aca="false">SUM(Sens!$R$2788:$AA$2788)-SUM(Sens!$R$2795:$AA$2795)</f>
        <v>659.019371692936</v>
      </c>
    </row>
    <row r="2797" customFormat="false" ht="17.15" hidden="false" customHeight="false" outlineLevel="0" collapsed="false">
      <c r="A2797" s="1" t="s">
        <v>641</v>
      </c>
    </row>
    <row r="2798" customFormat="false" ht="17.15" hidden="false" customHeight="false" outlineLevel="0" collapsed="false">
      <c r="A2798" s="0" t="s">
        <v>642</v>
      </c>
      <c r="B2798" s="0" t="s">
        <v>86</v>
      </c>
      <c r="C2798" s="38" t="n">
        <f aca="false">Sens!$C$2777-ext_sh*Sens!$C$2779</f>
        <v>2.37056001607536</v>
      </c>
      <c r="D2798" s="38" t="n">
        <f aca="false">Sens!$D$2777-ext_sh*Sens!$D$2779</f>
        <v>8.8896000602826</v>
      </c>
      <c r="E2798" s="38" t="n">
        <f aca="false">Sens!$E$2777-ext_sh*Sens!$E$2779</f>
        <v>8.69205339227632</v>
      </c>
      <c r="F2798" s="38" t="n">
        <f aca="false">Sens!$F$2777-ext_sh*Sens!$F$2779</f>
        <v>14.1623678356515</v>
      </c>
      <c r="G2798" s="38" t="n">
        <f aca="false">Sens!$G$2777-ext_sh*Sens!$G$2779</f>
        <v>22.8544212279278</v>
      </c>
      <c r="H2798" s="38" t="n">
        <f aca="false">Sens!$H$2777-ext_sh*Sens!$H$2779</f>
        <v>52.4017929456071</v>
      </c>
      <c r="I2798" s="38" t="n">
        <f aca="false">Sens!$I$2777-ext_sh*Sens!$I$2779</f>
        <v>85.4385895039285</v>
      </c>
      <c r="J2798" s="38" t="n">
        <f aca="false">Sens!$J$2777-ext_sh*Sens!$J$2779</f>
        <v>118.643937074445</v>
      </c>
      <c r="K2798" s="38" t="n">
        <f aca="false">Sens!$K$2777-ext_sh*Sens!$K$2779</f>
        <v>146.969031731731</v>
      </c>
      <c r="L2798" s="38" t="n">
        <f aca="false">Sens!$L$2777-ext_sh*Sens!$L$2779</f>
        <v>165.584266397602</v>
      </c>
      <c r="M2798" s="38" t="n">
        <f aca="false">Sens!$M$2777-ext_sh*Sens!$M$2779</f>
        <v>174.462227381355</v>
      </c>
      <c r="N2798" s="38" t="n">
        <f aca="false">Sens!$N$2777-ext_sh*Sens!$N$2779</f>
        <v>3.11136002109891</v>
      </c>
      <c r="O2798" s="38" t="n">
        <f aca="false">Sens!$O$2777-ext_sh*Sens!$O$2779</f>
        <v>5.77824003918369</v>
      </c>
    </row>
    <row r="2799" customFormat="false" ht="17.15" hidden="false" customHeight="false" outlineLevel="0" collapsed="false">
      <c r="A2799" s="1" t="s">
        <v>643</v>
      </c>
      <c r="B2799" s="8" t="s">
        <v>86</v>
      </c>
      <c r="C2799" s="38" t="n">
        <f aca="false">Sens!$C$2798-ext_sh*Sens!$C$2795</f>
        <v>2.20473961600842</v>
      </c>
      <c r="D2799" s="38" t="n">
        <f aca="false">Sens!$D$2798-ext_sh*Sens!$D$2795</f>
        <v>7.50173910021566</v>
      </c>
      <c r="E2799" s="38" t="n">
        <f aca="false">Sens!$E$2798-ext_sh*Sens!$E$2795</f>
        <v>5.24853165224285</v>
      </c>
      <c r="F2799" s="38" t="n">
        <f aca="false">Sens!$F$2798-ext_sh*Sens!$F$2795</f>
        <v>10.718846095618</v>
      </c>
      <c r="G2799" s="38" t="n">
        <f aca="false">Sens!$G$2798-ext_sh*Sens!$G$2795</f>
        <v>15.9673777478609</v>
      </c>
      <c r="H2799" s="38" t="n">
        <f aca="false">Sens!$H$2798-ext_sh*Sens!$H$2795</f>
        <v>31.0675166869401</v>
      </c>
      <c r="I2799" s="38" t="n">
        <f aca="false">Sens!$I$2798-ext_sh*Sens!$I$2795</f>
        <v>41.9258121459615</v>
      </c>
      <c r="J2799" s="38" t="n">
        <f aca="false">Sens!$J$2798-ext_sh*Sens!$J$2795</f>
        <v>52.1426446217449</v>
      </c>
      <c r="K2799" s="38" t="n">
        <f aca="false">Sens!$K$2798-ext_sh*Sens!$K$2795</f>
        <v>56.93030440744</v>
      </c>
      <c r="L2799" s="38" t="n">
        <f aca="false">Sens!$L$2798-ext_sh*Sens!$L$2795</f>
        <v>58.9876323834396</v>
      </c>
      <c r="M2799" s="38" t="n">
        <f aca="false">Sens!$M$2798-ext_sh*Sens!$M$2795</f>
        <v>56.9981376821835</v>
      </c>
      <c r="N2799" s="38" t="n">
        <f aca="false">Sens!$N$2798-ext_sh*Sens!$N$2795</f>
        <v>2.41742954106544</v>
      </c>
      <c r="O2799" s="38" t="n">
        <f aca="false">Sens!$O$2798-ext_sh*Sens!$O$2795</f>
        <v>5.08430955915022</v>
      </c>
    </row>
    <row r="2800" customFormat="false" ht="17.15" hidden="false" customHeight="false" outlineLevel="0" collapsed="false">
      <c r="A2800" s="0" t="s">
        <v>644</v>
      </c>
      <c r="B2800" s="0" t="s">
        <v>52</v>
      </c>
      <c r="C2800" s="13" t="n">
        <f aca="false">Sens!$C$2799/Sens!$C$2777</f>
        <v>0.764309733549586</v>
      </c>
      <c r="D2800" s="13" t="n">
        <f aca="false">Sens!$D$2799/Sens!$D$2777</f>
        <v>0.693494103486603</v>
      </c>
      <c r="E2800" s="13" t="n">
        <f aca="false">Sens!$E$2799/Sens!$E$2777</f>
        <v>0.496224810757506</v>
      </c>
      <c r="F2800" s="13" t="n">
        <f aca="false">Sens!$F$2799/Sens!$F$2777</f>
        <v>0.615822353853036</v>
      </c>
      <c r="G2800" s="13" t="n">
        <f aca="false">Sens!$G$2799/Sens!$G$2777</f>
        <v>0.570616726359454</v>
      </c>
      <c r="H2800" s="13" t="n">
        <f aca="false">Sens!$H$2799/Sens!$H$2777</f>
        <v>0.477590663231423</v>
      </c>
      <c r="I2800" s="13" t="n">
        <f aca="false">Sens!$I$2799/Sens!$I$2777</f>
        <v>0.394082850371842</v>
      </c>
      <c r="J2800" s="13" t="n">
        <f aca="false">Sens!$J$2799/Sens!$J$2777</f>
        <v>0.352529477152771</v>
      </c>
      <c r="K2800" s="13" t="n">
        <f aca="false">Sens!$K$2799/Sens!$K$2777</f>
        <v>0.310529937064488</v>
      </c>
      <c r="L2800" s="13" t="n">
        <f aca="false">Sens!$L$2799/Sens!$L$2777</f>
        <v>0.285498549171917</v>
      </c>
      <c r="M2800" s="13" t="n">
        <f aca="false">Sens!$M$2799/Sens!$M$2777</f>
        <v>0.261795524312755</v>
      </c>
      <c r="N2800" s="13" t="n">
        <f aca="false">Sens!$N$2799/Sens!$N$2777</f>
        <v>0.638508374021094</v>
      </c>
      <c r="O2800" s="13" t="n">
        <f aca="false">Sens!$O$2799/Sens!$O$2777</f>
        <v>0.723101803968031</v>
      </c>
    </row>
    <row r="2801" customFormat="false" ht="17.15" hidden="false" customHeight="false" outlineLevel="0" collapsed="false">
      <c r="A2801" s="5" t="s">
        <v>645</v>
      </c>
      <c r="B2801" s="0" t="s">
        <v>86</v>
      </c>
      <c r="C2801" s="39" t="n">
        <v>0</v>
      </c>
      <c r="D2801" s="39" t="n">
        <v>0</v>
      </c>
      <c r="E2801" s="39" t="n">
        <v>0</v>
      </c>
      <c r="F2801" s="38" t="n">
        <f aca="false">IF(internal_ai_reading=2,1,0)*(1-ext_sh)/ext_sh*(mw_open*he_open+Sens!$F$2775*Sens!$F$2772)*Sens!$F$2761/1000</f>
        <v>3.77122048175818</v>
      </c>
      <c r="G2801" s="38" t="n">
        <f aca="false">Sens!$E$2801+Sens!$F$2801</f>
        <v>3.77122048175818</v>
      </c>
      <c r="H2801" s="38" t="n">
        <f aca="false">IF(internal_ai_reading=2,1,0)*(1-ext_sh)/ext_sh*(mw_open*he_open+Sens!$H$2775*Sens!$H$2772)*Sens!$H$2761/1000</f>
        <v>15.1635543609893</v>
      </c>
      <c r="I2801" s="38" t="n">
        <f aca="false">IF(internal_ai_reading=2,1,0)*(1-ext_sh)/ext_sh*(mw_open*he_open+Sens!$I$2775*Sens!$I$2772)*Sens!$I$2761/1000</f>
        <v>25.5818843619889</v>
      </c>
      <c r="J2801" s="38" t="n">
        <f aca="false">IF(internal_ai_reading=2,1,0)*(1-ext_sh)/ext_sh*(mw_open*he_open+Sens!$J$2775*Sens!$J$2772)*Sens!$J$2761/1000</f>
        <v>36.0465624179122</v>
      </c>
      <c r="K2801" s="38" t="n">
        <f aca="false">IF(internal_ai_reading=2,1,0)*(1-ext_sh)/ext_sh*(mw_open*he_open+Sens!$K$2775*Sens!$K$2772)*Sens!$K$2761/1000</f>
        <v>44.9741164026038</v>
      </c>
      <c r="L2801" s="38" t="n">
        <f aca="false">IF(internal_ai_reading=2,1,0)*(1-ext_sh)/ext_sh*(mw_open*he_open+Sens!$L$2775*Sens!$L$2772)*Sens!$L$2761/1000</f>
        <v>50.8413488057813</v>
      </c>
      <c r="M2801" s="38" t="n">
        <f aca="false">IF(internal_ai_reading=2,1,0)*(1-ext_sh)/ext_sh*(mw_open*he_open+Sens!$M$2775*Sens!$M$2772)*Sens!$M$2761/1000</f>
        <v>53.6407214274315</v>
      </c>
      <c r="N2801" s="39" t="n">
        <v>0</v>
      </c>
      <c r="O2801" s="39" t="n">
        <v>0</v>
      </c>
      <c r="P2801" s="8" t="s">
        <v>646</v>
      </c>
    </row>
    <row r="2802" customFormat="false" ht="17.15" hidden="false" customHeight="false" outlineLevel="0" collapsed="false">
      <c r="A2802" s="5" t="s">
        <v>647</v>
      </c>
      <c r="B2802" s="0" t="s">
        <v>86</v>
      </c>
      <c r="C2802" s="38" t="n">
        <f aca="false">(1-ext_sh)*(Sens!$C$2779+Sens!$C$2795)</f>
        <v>0.169968942151741</v>
      </c>
      <c r="D2802" s="38" t="n">
        <f aca="false">(1-ext_sh)*(Sens!$D$2779+Sens!$D$2795)</f>
        <v>0.828892148023009</v>
      </c>
      <c r="E2802" s="38" t="n">
        <f aca="false">(1-ext_sh)*(Sens!$E$2779+Sens!$E$2795)</f>
        <v>1.33209785617006</v>
      </c>
      <c r="F2802" s="38" t="n">
        <f aca="false">(1-ext_sh)*(Sens!$F$2779+Sens!$F$2795)</f>
        <v>1.67172441722083</v>
      </c>
      <c r="G2802" s="38" t="n">
        <f aca="false">(1-ext_sh)*(Sens!$G$2779+Sens!$G$2795)</f>
        <v>3.00382227339089</v>
      </c>
      <c r="H2802" s="38" t="n">
        <f aca="false">(1-ext_sh)*(Sens!$H$2779+Sens!$H$2795)</f>
        <v>8.49574857559905</v>
      </c>
      <c r="I2802" s="38" t="n">
        <f aca="false">(1-ext_sh)*(Sens!$I$2779+Sens!$I$2795)</f>
        <v>16.1156268075081</v>
      </c>
      <c r="J2802" s="38" t="n">
        <f aca="false">(1-ext_sh)*(Sens!$J$2779+Sens!$J$2795)</f>
        <v>23.9418456922738</v>
      </c>
      <c r="K2802" s="38" t="n">
        <f aca="false">(1-ext_sh)*(Sens!$K$2779+Sens!$K$2795)</f>
        <v>31.6006090538254</v>
      </c>
      <c r="L2802" s="38" t="n">
        <f aca="false">(1-ext_sh)*(Sens!$L$2779+Sens!$L$2795)</f>
        <v>36.9062724146297</v>
      </c>
      <c r="M2802" s="38" t="n">
        <f aca="false">(1-ext_sh)*(Sens!$M$2779+Sens!$M$2795)</f>
        <v>40.1804809815609</v>
      </c>
      <c r="N2802" s="38" t="n">
        <f aca="false">(1-ext_sh)*(Sens!$N$2779+Sens!$N$2795)</f>
        <v>0.342157037810563</v>
      </c>
      <c r="O2802" s="38" t="n">
        <f aca="false">(1-ext_sh)*(Sens!$O$2779+Sens!$O$2795)</f>
        <v>0.486735110212445</v>
      </c>
    </row>
    <row r="2803" customFormat="false" ht="17.15" hidden="false" customHeight="false" outlineLevel="0" collapsed="false">
      <c r="A2803" s="0" t="s">
        <v>648</v>
      </c>
      <c r="B2803" s="0" t="s">
        <v>86</v>
      </c>
      <c r="C2803" s="38" t="n">
        <f aca="false">Q!$D$24</f>
        <v>39.834</v>
      </c>
      <c r="D2803" s="38" t="n">
        <f aca="false">Q!$E$24</f>
        <v>45.606</v>
      </c>
      <c r="E2803" s="38" t="n">
        <f aca="false">Q!$P$24</f>
        <v>30.782</v>
      </c>
      <c r="N2803" s="38" t="n">
        <f aca="false">Q!$N$24</f>
        <v>21.707</v>
      </c>
      <c r="O2803" s="38" t="n">
        <f aca="false">Q!$O$24</f>
        <v>23.899</v>
      </c>
    </row>
    <row r="2804" customFormat="false" ht="17.15" hidden="false" customHeight="false" outlineLevel="0" collapsed="false">
      <c r="A2804" s="0" t="s">
        <v>649</v>
      </c>
      <c r="B2804" s="0" t="s">
        <v>86</v>
      </c>
      <c r="C2804" s="38" t="n">
        <f aca="false">Sens!$C$2803-Sens!$C$2799</f>
        <v>37.6292603839916</v>
      </c>
      <c r="D2804" s="38" t="n">
        <f aca="false">Sens!$D$2803-Sens!$D$2799</f>
        <v>38.1042608997843</v>
      </c>
      <c r="E2804" s="38" t="n">
        <f aca="false">Sens!$E$2803-Sens!$E$2799</f>
        <v>25.5334683477572</v>
      </c>
      <c r="F2804" s="38" t="n">
        <f aca="false">Sens!$F$2781*Sens!$F$2805</f>
        <v>23.509878924924</v>
      </c>
      <c r="G2804" s="38" t="n">
        <f aca="false">Sens!$E$2804+Sens!$F$2804</f>
        <v>49.0433472726811</v>
      </c>
      <c r="H2804" s="38" t="n">
        <f aca="false">Sens!$H$2781*Sens!$H$2805</f>
        <v>52.3834943521442</v>
      </c>
      <c r="I2804" s="38" t="n">
        <f aca="false">Sens!$I$2781*Sens!$I$2805</f>
        <v>57.7909334731098</v>
      </c>
      <c r="J2804" s="38" t="n">
        <f aca="false">Sens!$J$2781*Sens!$J$2805</f>
        <v>63.0853897167721</v>
      </c>
      <c r="K2804" s="38" t="n">
        <f aca="false">Sens!$K$2781*Sens!$K$2805</f>
        <v>68.1322208941139</v>
      </c>
      <c r="L2804" s="38" t="n">
        <f aca="false">Sens!$L$2781*Sens!$L$2805</f>
        <v>73.582798565643</v>
      </c>
      <c r="M2804" s="38" t="n">
        <f aca="false">Sens!$M$2781*Sens!$M$2805</f>
        <v>79.4694224508944</v>
      </c>
      <c r="N2804" s="38" t="n">
        <f aca="false">Sens!$N$2803-Sens!$N$2799</f>
        <v>19.2895704589346</v>
      </c>
      <c r="O2804" s="38" t="n">
        <f aca="false">Sens!$O$2803-Sens!$O$2799</f>
        <v>18.8146904408498</v>
      </c>
      <c r="P2804" s="5" t="s">
        <v>650</v>
      </c>
    </row>
    <row r="2805" customFormat="false" ht="17.15" hidden="false" customHeight="false" outlineLevel="0" collapsed="false">
      <c r="A2805" s="0" t="s">
        <v>651</v>
      </c>
      <c r="B2805" s="0" t="s">
        <v>52</v>
      </c>
      <c r="C2805" s="13" t="n">
        <f aca="false">Sens!$C$2804/Sens!$C$2781</f>
        <v>0.359499021841169</v>
      </c>
      <c r="D2805" s="13" t="n">
        <f aca="false">Sens!$D$2804/Sens!$D$2781</f>
        <v>0.323170271201198</v>
      </c>
      <c r="E2805" s="13" t="n">
        <f aca="false">Sens!$E$2804/Sens!$E$2781</f>
        <v>0.368756534789143</v>
      </c>
      <c r="F2805" s="13" t="n">
        <f aca="false">(Sens!$O$2804+Sens!$E$2804)/(Sens!$O$2781+Sens!$E$2781)</f>
        <v>0.33906401933365</v>
      </c>
      <c r="G2805" s="13" t="n">
        <f aca="false">Sens!$G$2804/Sens!$G$2781</f>
        <v>0.353900045552351</v>
      </c>
      <c r="H2805" s="13" t="n">
        <f aca="false">Sens!$F$2805</f>
        <v>0.33906401933365</v>
      </c>
      <c r="I2805" s="13" t="n">
        <f aca="false">Sens!$F$2805</f>
        <v>0.33906401933365</v>
      </c>
      <c r="J2805" s="13" t="n">
        <f aca="false">Sens!$F$2805</f>
        <v>0.33906401933365</v>
      </c>
      <c r="K2805" s="13" t="n">
        <f aca="false">Sens!$F$2805</f>
        <v>0.33906401933365</v>
      </c>
      <c r="L2805" s="13" t="n">
        <f aca="false">Sens!$F$2805</f>
        <v>0.33906401933365</v>
      </c>
      <c r="M2805" s="13" t="n">
        <f aca="false">Sens!$F$2805</f>
        <v>0.33906401933365</v>
      </c>
      <c r="N2805" s="13" t="n">
        <f aca="false">Sens!$N$2804/Sens!$N$2781</f>
        <v>0.342293186049231</v>
      </c>
      <c r="O2805" s="13" t="n">
        <f aca="false">Sens!$O$2804/Sens!$O$2781</f>
        <v>0.305662781566513</v>
      </c>
      <c r="P2805" s="8" t="s">
        <v>652</v>
      </c>
    </row>
    <row r="2806" customFormat="false" ht="17.15" hidden="false" customHeight="false" outlineLevel="0" collapsed="false">
      <c r="A2806" s="0" t="s">
        <v>653</v>
      </c>
      <c r="B2806" s="0" t="s">
        <v>52</v>
      </c>
      <c r="D2806" s="13" t="n">
        <f aca="false">(Q!$E$31-ext_sh*Sens!$D$2795)/Sens!$D$2781</f>
        <v>0.170151231419057</v>
      </c>
    </row>
    <row r="2807" customFormat="false" ht="17.15" hidden="false" customHeight="false" outlineLevel="0" collapsed="false">
      <c r="A2807" s="0" t="s">
        <v>654</v>
      </c>
      <c r="B2807" s="0" t="s">
        <v>86</v>
      </c>
      <c r="C2807" s="38" t="n">
        <f aca="false">Q!$D$31</f>
        <v>13.32</v>
      </c>
      <c r="D2807" s="38" t="n">
        <f aca="false">Q!$E$31</f>
        <v>21.45</v>
      </c>
      <c r="E2807" s="38" t="n">
        <f aca="false">Q!$P$31</f>
        <v>15.353</v>
      </c>
      <c r="F2807" s="38" t="n">
        <f aca="false">ext_sh*Sens!$F$2795+Sens!$D$2806*Sens!$F$2781</f>
        <v>15.2413965409346</v>
      </c>
      <c r="G2807" s="38" t="n">
        <f aca="false">Sens!$E$2807+Sens!$F$2807</f>
        <v>30.5943965409346</v>
      </c>
      <c r="H2807" s="38" t="n">
        <f aca="false">ext_sh*Sens!$H$2795+Sens!$D$2806*Sens!$H$2781</f>
        <v>47.6216897316952</v>
      </c>
      <c r="I2807" s="38" t="n">
        <f aca="false">ext_sh*Sens!$I$2795+Sens!$D$2806*Sens!$I$2781</f>
        <v>72.5137858242478</v>
      </c>
      <c r="J2807" s="38" t="n">
        <f aca="false">ext_sh*Sens!$J$2795+Sens!$D$2806*Sens!$J$2781</f>
        <v>98.1591981365741</v>
      </c>
      <c r="K2807" s="38" t="n">
        <f aca="false">ext_sh*Sens!$K$2795+Sens!$D$2806*Sens!$K$2781</f>
        <v>124.229265462875</v>
      </c>
      <c r="L2807" s="38" t="n">
        <f aca="false">ext_sh*Sens!$L$2795+Sens!$D$2806*Sens!$L$2781</f>
        <v>143.522415203833</v>
      </c>
      <c r="M2807" s="38" t="n">
        <f aca="false">ext_sh*Sens!$M$2795+Sens!$D$2806*Sens!$M$2781</f>
        <v>157.343933384016</v>
      </c>
      <c r="N2807" s="38" t="n">
        <f aca="false">Q!$N$31</f>
        <v>9.234</v>
      </c>
      <c r="O2807" s="38" t="n">
        <f aca="false">Q!$O$31</f>
        <v>12.216</v>
      </c>
    </row>
    <row r="2808" customFormat="false" ht="17.15" hidden="false" customHeight="false" outlineLevel="0" collapsed="false">
      <c r="A2808" s="1" t="s">
        <v>655</v>
      </c>
    </row>
    <row r="2809" customFormat="false" ht="17.15" hidden="false" customHeight="false" outlineLevel="0" collapsed="false">
      <c r="A2809" s="15" t="s">
        <v>656</v>
      </c>
      <c r="B2809" s="14" t="s">
        <v>52</v>
      </c>
      <c r="C2809" s="14"/>
      <c r="D2809" s="14"/>
      <c r="E2809" s="14"/>
      <c r="F2809" s="14"/>
      <c r="G2809" s="17" t="n">
        <f aca="false">Sens!$G$2799*(1-tax)/(ext_sh*(Sens!$D$2796+Sens!$G$2796)/2)</f>
        <v>0.13467672082704</v>
      </c>
      <c r="H2809" s="17" t="n">
        <f aca="false">Sens!$H$2799*(1-tax)/(ext_sh*(Sens!$G$2796+Sens!$H$2796)/2)</f>
        <v>0.119219120294313</v>
      </c>
      <c r="I2809" s="17" t="n">
        <f aca="false">Sens!$I$2799*(1-tax)/(ext_sh*(Sens!$H$2796+Sens!$I$2796)/2)</f>
        <v>0.100656774874184</v>
      </c>
      <c r="J2809" s="17" t="n">
        <f aca="false">Sens!$J$2799*(1-tax)/(ext_sh*(Sens!$I$2796+Sens!$J$2796)/2)</f>
        <v>0.0947012619012107</v>
      </c>
      <c r="K2809" s="17" t="n">
        <f aca="false">Sens!$K$2799*(1-tax)/(ext_sh*(Sens!$J$2796+Sens!$K$2796)/2)</f>
        <v>0.089991799200792</v>
      </c>
      <c r="L2809" s="17" t="n">
        <f aca="false">Sens!$L$2799*(1-tax)/(ext_sh*(Sens!$K$2796+Sens!$L$2796)/2)</f>
        <v>0.0903771325198654</v>
      </c>
      <c r="M2809" s="17" t="n">
        <f aca="false">Sens!$M$2799*(1-tax)/(ext_sh*(Sens!$L$2796+Sens!$M$2796)/2)</f>
        <v>0.0883663594188907</v>
      </c>
      <c r="N2809" s="14"/>
      <c r="O2809" s="14"/>
      <c r="P2809" s="8" t="s">
        <v>657</v>
      </c>
    </row>
    <row r="2810" customFormat="false" ht="17.15" hidden="false" customHeight="false" outlineLevel="0" collapsed="false">
      <c r="A2810" s="5" t="s">
        <v>658</v>
      </c>
      <c r="B2810" s="0" t="s">
        <v>57</v>
      </c>
      <c r="H2810" s="36" t="n">
        <f aca="false">Sens!$H$2777*1000/(mw_open*he_open+Sens!$H$2775*Sens!$H$2772)</f>
        <v>1.07248125077932</v>
      </c>
      <c r="I2810" s="36" t="n">
        <f aca="false">Sens!$I$2777*1000/(mw_open*he_open+Sens!$I$2775*Sens!$I$2772)</f>
        <v>1.03968415569566</v>
      </c>
      <c r="J2810" s="36" t="n">
        <f aca="false">Sens!$J$2777*1000/(mw_open*he_open+Sens!$J$2775*Sens!$J$2772)</f>
        <v>1.02582616392112</v>
      </c>
      <c r="K2810" s="36" t="n">
        <f aca="false">Sens!$K$2777*1000/(mw_open*he_open+Sens!$K$2775*Sens!$K$2772)</f>
        <v>1.01910140369165</v>
      </c>
      <c r="L2810" s="36" t="n">
        <f aca="false">Sens!$L$2777*1000/(mw_open*he_open+Sens!$L$2775*Sens!$L$2772)</f>
        <v>1.01596794191691</v>
      </c>
      <c r="M2810" s="36" t="n">
        <f aca="false">Sens!$M$2777*1000/(mw_open*he_open+Sens!$M$2775*Sens!$M$2772)</f>
        <v>1.01471445487069</v>
      </c>
    </row>
    <row r="2811" customFormat="false" ht="17.15" hidden="false" customHeight="false" outlineLevel="0" collapsed="false">
      <c r="A2811" s="5" t="s">
        <v>659</v>
      </c>
      <c r="B2811" s="0" t="s">
        <v>57</v>
      </c>
      <c r="H2811" s="36" t="n">
        <f aca="false">Sens!$H$2810*(Sens!$H$2777+wacc*ext_sh*(Sens!$G$2796+Sens!$H$2796)/2/(1-tax)-Sens!$H$2799)/Sens!$H$2777</f>
        <v>1.0470395674994</v>
      </c>
      <c r="I2811" s="36" t="n">
        <f aca="false">Sens!$I$2810*(Sens!$I$2777+wacc*ext_sh*(Sens!$H$2796+Sens!$I$2796)/2/(1-tax)-Sens!$I$2799)/Sens!$I$2777</f>
        <v>1.09113769874653</v>
      </c>
      <c r="J2811" s="36" t="n">
        <f aca="false">Sens!$J$2810*(Sens!$J$2777+wacc*ext_sh*(Sens!$I$2796+Sens!$J$2796)/2/(1-tax)-Sens!$J$2799)/Sens!$J$2777</f>
        <v>1.09683898035702</v>
      </c>
      <c r="K2811" s="36" t="n">
        <f aca="false">Sens!$K$2810*(Sens!$K$2777+wacc*ext_sh*(Sens!$J$2796+Sens!$K$2796)/2/(1-tax)-Sens!$K$2799)/Sens!$K$2777</f>
        <v>1.10105701014012</v>
      </c>
      <c r="L2811" s="36" t="n">
        <f aca="false">Sens!$L$2810*(Sens!$L$2777+wacc*ext_sh*(Sens!$K$2796+Sens!$L$2796)/2/(1-tax)-Sens!$L$2799)/Sens!$L$2777</f>
        <v>1.08952857622869</v>
      </c>
      <c r="M2811" s="36" t="n">
        <f aca="false">Sens!$M$2810*(Sens!$M$2777+wacc*ext_sh*(Sens!$L$2796+Sens!$M$2796)/2/(1-tax)-Sens!$M$2799)/Sens!$M$2777</f>
        <v>1.08966243005535</v>
      </c>
    </row>
    <row r="2812" customFormat="false" ht="17.15" hidden="false" customHeight="false" outlineLevel="0" collapsed="false">
      <c r="A2812" s="5" t="s">
        <v>660</v>
      </c>
      <c r="B2812" s="0" t="s">
        <v>52</v>
      </c>
      <c r="C2812" s="13" t="n">
        <f aca="false">Sens!$C$2778/tk_pq</f>
        <v>0.242745146693097</v>
      </c>
      <c r="D2812" s="13" t="n">
        <f aca="false">Sens!$D$2778/tk_pq</f>
        <v>0.242745146693097</v>
      </c>
      <c r="E2812" s="13" t="n">
        <f aca="false">Sens!$E$2778/tk_pq</f>
        <v>0.242745146693097</v>
      </c>
      <c r="F2812" s="13" t="n">
        <f aca="false">Sens!$F$2778/tk_pq</f>
        <v>0.235251447467933</v>
      </c>
      <c r="G2812" s="13" t="n">
        <f aca="false">Sens!$G$2778/tk_pq</f>
        <v>0.238028893467268</v>
      </c>
      <c r="H2812" s="13" t="n">
        <f aca="false">Sens!$H$2778/tk_pq</f>
        <v>0.22991195654229</v>
      </c>
      <c r="I2812" s="13" t="n">
        <f aca="false">Sens!$I$2778/tk_pq</f>
        <v>0.229837692241337</v>
      </c>
      <c r="J2812" s="13" t="n">
        <f aca="false">Sens!$J$2778/tk_pq</f>
        <v>0.23009108256691</v>
      </c>
      <c r="K2812" s="13" t="n">
        <f aca="false">Sens!$K$2778/tk_pq</f>
        <v>0.230186468921407</v>
      </c>
      <c r="L2812" s="13" t="n">
        <f aca="false">Sens!$L$2778/tk_pq</f>
        <v>0.230229880425827</v>
      </c>
      <c r="M2812" s="13" t="n">
        <f aca="false">Sens!$M$2778/tk_pq</f>
        <v>0.230213588128541</v>
      </c>
      <c r="N2812" s="13" t="n">
        <f aca="false">Sens!$N$2778/tk_pq</f>
        <v>0.242745146693097</v>
      </c>
      <c r="O2812" s="13" t="n">
        <f aca="false">Sens!$O$2778/tk_pq</f>
        <v>0.242745146693097</v>
      </c>
      <c r="P2812" s="5" t="s">
        <v>661</v>
      </c>
    </row>
    <row r="2815" customFormat="false" ht="17.15" hidden="false" customHeight="false" outlineLevel="0" collapsed="false">
      <c r="A2815" s="1" t="s">
        <v>690</v>
      </c>
    </row>
    <row r="2816" customFormat="false" ht="17.15" hidden="false" customHeight="false" outlineLevel="0" collapsed="false">
      <c r="A2816" s="0" t="s">
        <v>691</v>
      </c>
      <c r="B2816" s="0" t="s">
        <v>86</v>
      </c>
      <c r="C2816" s="38" t="n">
        <f aca="false">Sens!$C$2777</f>
        <v>2.88461538461538</v>
      </c>
      <c r="D2816" s="38" t="n">
        <f aca="false">Sens!$D$2777</f>
        <v>10.8173076923077</v>
      </c>
      <c r="E2816" s="38" t="n">
        <f aca="false">Sens!$E$2777</f>
        <v>10.5769230769231</v>
      </c>
      <c r="F2816" s="38" t="n">
        <f aca="false">Sens!$F$2777</f>
        <v>17.4057437645013</v>
      </c>
      <c r="G2816" s="38" t="n">
        <f aca="false">Sens!$G$2777</f>
        <v>27.9826668414244</v>
      </c>
      <c r="H2816" s="38" t="n">
        <f aca="false">Sens!$H$2777</f>
        <v>65.0505109893364</v>
      </c>
      <c r="I2816" s="38" t="n">
        <f aca="false">Sens!$I$2777</f>
        <v>106.388319375994</v>
      </c>
      <c r="J2816" s="38" t="n">
        <f aca="false">Sens!$J$2777</f>
        <v>147.91002739084</v>
      </c>
      <c r="K2816" s="38" t="n">
        <f aca="false">Sens!$K$2777</f>
        <v>183.332740622741</v>
      </c>
      <c r="L2816" s="38" t="n">
        <f aca="false">Sens!$L$2777</f>
        <v>206.612722041958</v>
      </c>
      <c r="M2816" s="38" t="n">
        <f aca="false">Sens!$M$2777</f>
        <v>217.720061608427</v>
      </c>
      <c r="N2816" s="38" t="n">
        <f aca="false">Sens!$N$2777</f>
        <v>3.78605769230769</v>
      </c>
      <c r="O2816" s="38" t="n">
        <f aca="false">Sens!$O$2777</f>
        <v>7.03125</v>
      </c>
      <c r="P2816" s="8" t="s">
        <v>692</v>
      </c>
    </row>
    <row r="2817" customFormat="false" ht="17.15" hidden="false" customHeight="false" outlineLevel="0" collapsed="false">
      <c r="A2817" s="0" t="s">
        <v>693</v>
      </c>
      <c r="B2817" s="0" t="s">
        <v>86</v>
      </c>
      <c r="C2817" s="38" t="n">
        <f aca="false">Sens!$C$2781</f>
        <v>104.671384615385</v>
      </c>
      <c r="D2817" s="38" t="n">
        <f aca="false">Sens!$D$2781</f>
        <v>117.907692307692</v>
      </c>
      <c r="E2817" s="38" t="n">
        <f aca="false">Sens!$E$2781</f>
        <v>69.2420769230769</v>
      </c>
      <c r="F2817" s="38" t="n">
        <f aca="false">Sens!$F$2781</f>
        <v>69.3375810595505</v>
      </c>
      <c r="G2817" s="38" t="n">
        <f aca="false">Sens!$G$2781</f>
        <v>138.579657982627</v>
      </c>
      <c r="H2817" s="38" t="n">
        <f aca="false">Sens!$H$2781</f>
        <v>154.494406263134</v>
      </c>
      <c r="I2817" s="38" t="n">
        <f aca="false">Sens!$I$2781</f>
        <v>170.442542345496</v>
      </c>
      <c r="J2817" s="38" t="n">
        <f aca="false">Sens!$J$2781</f>
        <v>186.057458531729</v>
      </c>
      <c r="K2817" s="38" t="n">
        <f aca="false">Sens!$K$2781</f>
        <v>200.942055214268</v>
      </c>
      <c r="L2817" s="38" t="n">
        <f aca="false">Sens!$L$2781</f>
        <v>217.017419631409</v>
      </c>
      <c r="M2817" s="38" t="n">
        <f aca="false">Sens!$M$2781</f>
        <v>234.378813201922</v>
      </c>
      <c r="N2817" s="38" t="n">
        <f aca="false">Sens!$N$2781</f>
        <v>56.3539423076923</v>
      </c>
      <c r="O2817" s="38" t="n">
        <f aca="false">Sens!$O$2781</f>
        <v>61.55375</v>
      </c>
      <c r="P2817" s="8" t="s">
        <v>692</v>
      </c>
    </row>
    <row r="2818" customFormat="false" ht="17.15" hidden="false" customHeight="false" outlineLevel="0" collapsed="false">
      <c r="A2818" s="1" t="s">
        <v>516</v>
      </c>
      <c r="B2818" s="8" t="s">
        <v>86</v>
      </c>
      <c r="C2818" s="38" t="n">
        <f aca="false">Q!$D$7</f>
        <v>107.556</v>
      </c>
      <c r="D2818" s="38" t="n">
        <f aca="false">Q!$E$7</f>
        <v>128.725</v>
      </c>
      <c r="E2818" s="38" t="n">
        <f aca="false">Q!$P$7</f>
        <v>79.819</v>
      </c>
      <c r="F2818" s="38" t="n">
        <f aca="false">Sens!$F$2816+Sens!$F$2817</f>
        <v>86.7433248240518</v>
      </c>
      <c r="G2818" s="38" t="n">
        <f aca="false">Sens!$G$2816+Sens!$G$2817</f>
        <v>166.562324824052</v>
      </c>
      <c r="H2818" s="38" t="n">
        <f aca="false">Sens!$H$2816+Sens!$H$2817</f>
        <v>219.544917252471</v>
      </c>
      <c r="I2818" s="38" t="n">
        <f aca="false">Sens!$I$2816+Sens!$I$2817</f>
        <v>276.83086172149</v>
      </c>
      <c r="J2818" s="38" t="n">
        <f aca="false">Sens!$J$2816+Sens!$J$2817</f>
        <v>333.967485922569</v>
      </c>
      <c r="K2818" s="38" t="n">
        <f aca="false">Sens!$K$2816+Sens!$K$2817</f>
        <v>384.274795837009</v>
      </c>
      <c r="L2818" s="38" t="n">
        <f aca="false">Sens!$L$2816+Sens!$L$2817</f>
        <v>423.630141673367</v>
      </c>
      <c r="M2818" s="38" t="n">
        <f aca="false">Sens!$M$2816+Sens!$M$2817</f>
        <v>452.098874810349</v>
      </c>
      <c r="N2818" s="38" t="n">
        <f aca="false">Q!$N$7</f>
        <v>60.14</v>
      </c>
      <c r="O2818" s="38" t="n">
        <f aca="false">Q!$O$7</f>
        <v>68.585</v>
      </c>
      <c r="P2818" s="5" t="s">
        <v>694</v>
      </c>
    </row>
    <row r="2819" customFormat="false" ht="15" hidden="false" customHeight="false" outlineLevel="0" collapsed="false">
      <c r="A2819" s="3" t="s">
        <v>695</v>
      </c>
      <c r="B2819" s="8" t="s">
        <v>86</v>
      </c>
      <c r="C2819" s="38" t="n">
        <f aca="false">Q!$D$8</f>
        <v>637.959</v>
      </c>
      <c r="D2819" s="38" t="n">
        <f aca="false">Q!$E$8</f>
        <v>716.924</v>
      </c>
      <c r="E2819" s="38" t="n">
        <f aca="false">Q!$P$8</f>
        <v>382.125</v>
      </c>
      <c r="F2819" s="38" t="n">
        <f aca="false">Sens!$F$2749+Sens!$F$2818</f>
        <v>435.791566469589</v>
      </c>
      <c r="G2819" s="38" t="n">
        <f aca="false">Sens!$G$2749+Sens!$G$2818</f>
        <v>817.916566469589</v>
      </c>
      <c r="H2819" s="38" t="n">
        <f aca="false">Sens!$H$2749+Sens!$H$2818</f>
        <v>940.641806773857</v>
      </c>
      <c r="I2819" s="38" t="n">
        <f aca="false">Sens!$I$2749+Sens!$I$2818</f>
        <v>1065.36025287402</v>
      </c>
      <c r="J2819" s="38" t="n">
        <f aca="false">Sens!$J$2749+Sens!$J$2818</f>
        <v>1185.07589166401</v>
      </c>
      <c r="K2819" s="38" t="n">
        <f aca="false">Sens!$K$2749+Sens!$K$2818</f>
        <v>1290.4512512681</v>
      </c>
      <c r="L2819" s="38" t="n">
        <f aca="false">Sens!$L$2749+Sens!$L$2818</f>
        <v>1388.72324814896</v>
      </c>
      <c r="M2819" s="38" t="n">
        <f aca="false">Sens!$M$2749+Sens!$M$2818</f>
        <v>1480.24678275724</v>
      </c>
      <c r="N2819" s="38" t="n">
        <f aca="false">Q!$N$8</f>
        <v>323.369</v>
      </c>
      <c r="O2819" s="38" t="n">
        <f aca="false">Q!$O$8</f>
        <v>393.555</v>
      </c>
    </row>
    <row r="2820" customFormat="false" ht="17.15" hidden="false" customHeight="false" outlineLevel="0" collapsed="false">
      <c r="A2820" s="24" t="s">
        <v>703</v>
      </c>
      <c r="B2820" s="25" t="s">
        <v>86</v>
      </c>
      <c r="C2820" s="41" t="n">
        <f aca="false">Sens!$C$2749-(Sens!$C$2751+Sens!$C$2752)</f>
        <v>0</v>
      </c>
      <c r="D2820" s="41" t="n">
        <f aca="false">Sens!$D$2749-(Sens!$D$2751+Sens!$D$2752)</f>
        <v>0</v>
      </c>
      <c r="E2820" s="41" t="n">
        <f aca="false">Sens!$E$2749-(Sens!$E$2751+Sens!$E$2752)</f>
        <v>0</v>
      </c>
      <c r="F2820" s="41" t="n">
        <f aca="false">Sens!$F$2749-(Sens!$F$2751+Sens!$F$2752)</f>
        <v>0</v>
      </c>
      <c r="G2820" s="41" t="n">
        <f aca="false">Sens!$G$2749-(Sens!$G$2751+Sens!$G$2752)</f>
        <v>0</v>
      </c>
      <c r="H2820" s="41" t="n">
        <f aca="false">Sens!$H$2749-(Sens!$H$2751+Sens!$H$2752)</f>
        <v>0</v>
      </c>
      <c r="I2820" s="41" t="n">
        <f aca="false">Sens!$I$2749-(Sens!$I$2751+Sens!$I$2752)</f>
        <v>0</v>
      </c>
      <c r="J2820" s="41" t="n">
        <f aca="false">Sens!$J$2749-(Sens!$J$2751+Sens!$J$2752)</f>
        <v>0</v>
      </c>
      <c r="K2820" s="41" t="n">
        <f aca="false">Sens!$K$2749-(Sens!$K$2751+Sens!$K$2752)</f>
        <v>0</v>
      </c>
      <c r="L2820" s="41" t="n">
        <f aca="false">Sens!$L$2749-(Sens!$L$2751+Sens!$L$2752)</f>
        <v>0</v>
      </c>
      <c r="M2820" s="41" t="n">
        <f aca="false">Sens!$M$2749-(Sens!$M$2751+Sens!$M$2752)</f>
        <v>0</v>
      </c>
      <c r="N2820" s="41" t="n">
        <f aca="false">Sens!$N$2749-(Sens!$N$2751+Sens!$N$2752)</f>
        <v>0</v>
      </c>
      <c r="O2820" s="41" t="n">
        <f aca="false">Sens!$O$2749-(Sens!$O$2751+Sens!$O$2752)</f>
        <v>0</v>
      </c>
    </row>
    <row r="2821" customFormat="false" ht="17.15" hidden="false" customHeight="false" outlineLevel="0" collapsed="false">
      <c r="A2821" s="24" t="s">
        <v>704</v>
      </c>
      <c r="B2821" s="25" t="s">
        <v>86</v>
      </c>
      <c r="C2821" s="41" t="n">
        <f aca="false">Sens!$C$2816+Sens!$C$2817-Sens!$C$2818</f>
        <v>0</v>
      </c>
      <c r="D2821" s="41" t="n">
        <f aca="false">Sens!$D$2816+Sens!$D$2817-Sens!$D$2818</f>
        <v>0</v>
      </c>
      <c r="E2821" s="41" t="n">
        <f aca="false">Sens!$E$2816+Sens!$E$2817-Sens!$E$2818</f>
        <v>0</v>
      </c>
      <c r="F2821" s="41" t="n">
        <f aca="false">Sens!$F$2816+Sens!$F$2817-Sens!$F$2818</f>
        <v>0</v>
      </c>
      <c r="G2821" s="41" t="n">
        <f aca="false">Sens!$G$2816+Sens!$G$2817-Sens!$G$2818</f>
        <v>0</v>
      </c>
      <c r="H2821" s="41" t="n">
        <f aca="false">Sens!$H$2816+Sens!$H$2817-Sens!$H$2818</f>
        <v>0</v>
      </c>
      <c r="I2821" s="41" t="n">
        <f aca="false">Sens!$I$2816+Sens!$I$2817-Sens!$I$2818</f>
        <v>0</v>
      </c>
      <c r="J2821" s="41" t="n">
        <f aca="false">Sens!$J$2816+Sens!$J$2817-Sens!$J$2818</f>
        <v>0</v>
      </c>
      <c r="K2821" s="41" t="n">
        <f aca="false">Sens!$K$2816+Sens!$K$2817-Sens!$K$2818</f>
        <v>0</v>
      </c>
      <c r="L2821" s="41" t="n">
        <f aca="false">Sens!$L$2816+Sens!$L$2817-Sens!$L$2818</f>
        <v>0</v>
      </c>
      <c r="M2821" s="41" t="n">
        <f aca="false">Sens!$M$2816+Sens!$M$2817-Sens!$M$2818</f>
        <v>0</v>
      </c>
      <c r="N2821" s="41" t="n">
        <f aca="false">Sens!$N$2816+Sens!$N$2817-Sens!$N$2818</f>
        <v>0</v>
      </c>
      <c r="O2821" s="41" t="n">
        <f aca="false">Sens!$O$2816+Sens!$O$2817-Sens!$O$2818</f>
        <v>0</v>
      </c>
    </row>
    <row r="2822" customFormat="false" ht="17.15" hidden="false" customHeight="false" outlineLevel="0" collapsed="false">
      <c r="A2822" s="24" t="s">
        <v>705</v>
      </c>
      <c r="B2822" s="25" t="s">
        <v>86</v>
      </c>
      <c r="C2822" s="41" t="n">
        <f aca="false">Sens!$C$2751+Sens!$C$2752+Sens!$C$2818-Sens!$C$2819</f>
        <v>0</v>
      </c>
      <c r="D2822" s="41" t="n">
        <f aca="false">Sens!$D$2751+Sens!$D$2752+Sens!$D$2818-Sens!$D$2819</f>
        <v>0</v>
      </c>
      <c r="E2822" s="41" t="n">
        <f aca="false">Sens!$E$2751+Sens!$E$2752+Sens!$E$2818-Sens!$E$2819</f>
        <v>0</v>
      </c>
      <c r="F2822" s="41" t="n">
        <f aca="false">Sens!$F$2751+Sens!$F$2752+Sens!$F$2818-Sens!$F$2819</f>
        <v>0</v>
      </c>
      <c r="G2822" s="41" t="n">
        <f aca="false">Sens!$G$2751+Sens!$G$2752+Sens!$G$2818-Sens!$G$2819</f>
        <v>0</v>
      </c>
      <c r="H2822" s="41" t="n">
        <f aca="false">Sens!$H$2751+Sens!$H$2752+Sens!$H$2818-Sens!$H$2819</f>
        <v>0</v>
      </c>
      <c r="I2822" s="41" t="n">
        <f aca="false">Sens!$I$2751+Sens!$I$2752+Sens!$I$2818-Sens!$I$2819</f>
        <v>0</v>
      </c>
      <c r="J2822" s="41" t="n">
        <f aca="false">Sens!$J$2751+Sens!$J$2752+Sens!$J$2818-Sens!$J$2819</f>
        <v>0</v>
      </c>
      <c r="K2822" s="41" t="n">
        <f aca="false">Sens!$K$2751+Sens!$K$2752+Sens!$K$2818-Sens!$K$2819</f>
        <v>0</v>
      </c>
      <c r="L2822" s="41" t="n">
        <f aca="false">Sens!$L$2751+Sens!$L$2752+Sens!$L$2818-Sens!$L$2819</f>
        <v>0</v>
      </c>
      <c r="M2822" s="41" t="n">
        <f aca="false">Sens!$M$2751+Sens!$M$2752+Sens!$M$2818-Sens!$M$2819</f>
        <v>0</v>
      </c>
      <c r="N2822" s="41" t="n">
        <f aca="false">Sens!$N$2751+Sens!$N$2752+Sens!$N$2818-Sens!$N$2819</f>
        <v>0</v>
      </c>
      <c r="O2822" s="41" t="n">
        <f aca="false">Sens!$O$2751+Sens!$O$2752+Sens!$O$2818-Sens!$O$2819</f>
        <v>0</v>
      </c>
    </row>
    <row r="2823" customFormat="false" ht="15" hidden="false" customHeight="false" outlineLevel="0" collapsed="false">
      <c r="A2823" s="5" t="s">
        <v>699</v>
      </c>
      <c r="B2823" s="0" t="s">
        <v>52</v>
      </c>
      <c r="G2823" s="13" t="n">
        <f aca="false">Sens!$G$2819/Sens!$D$2819-1</f>
        <v>0.140869278291129</v>
      </c>
      <c r="H2823" s="13" t="n">
        <f aca="false">Sens!$H$2819/Sens!$G$2819-1</f>
        <v>0.150046160373047</v>
      </c>
      <c r="I2823" s="13" t="n">
        <f aca="false">Sens!$I$2819/Sens!$H$2819-1</f>
        <v>0.132588669993219</v>
      </c>
      <c r="J2823" s="13" t="n">
        <f aca="false">Sens!$J$2819/Sens!$I$2819-1</f>
        <v>0.112371039248962</v>
      </c>
      <c r="K2823" s="13" t="n">
        <f aca="false">Sens!$K$2819/Sens!$J$2819-1</f>
        <v>0.0889186594253668</v>
      </c>
      <c r="L2823" s="13" t="n">
        <f aca="false">Sens!$L$2819/Sens!$K$2819-1</f>
        <v>0.076153203605553</v>
      </c>
      <c r="M2823" s="13" t="n">
        <f aca="false">Sens!$M$2819/Sens!$L$2819-1</f>
        <v>0.0659048048128175</v>
      </c>
    </row>
    <row r="2824" customFormat="false" ht="17.15" hidden="false" customHeight="false" outlineLevel="0" collapsed="false">
      <c r="A2824" s="0" t="s">
        <v>700</v>
      </c>
      <c r="B2824" s="0" t="s">
        <v>52</v>
      </c>
      <c r="C2824" s="13" t="n">
        <f aca="false">Sens!$C$2818/Sens!$C$2819</f>
        <v>0.168593906504964</v>
      </c>
      <c r="D2824" s="13" t="n">
        <f aca="false">Sens!$D$2818/Sens!$D$2819</f>
        <v>0.179551807444025</v>
      </c>
      <c r="E2824" s="13" t="n">
        <f aca="false">Sens!$E$2818/Sens!$E$2819</f>
        <v>0.208881910369643</v>
      </c>
      <c r="F2824" s="13" t="n">
        <f aca="false">Sens!$F$2818/Sens!$F$2819</f>
        <v>0.199047736345088</v>
      </c>
      <c r="G2824" s="13" t="n">
        <f aca="false">Sens!$G$2818/Sens!$G$2819</f>
        <v>0.203642194879354</v>
      </c>
      <c r="H2824" s="13" t="n">
        <f aca="false">Sens!$H$2818/Sens!$H$2819</f>
        <v>0.23339906399169</v>
      </c>
      <c r="I2824" s="13" t="n">
        <f aca="false">Sens!$I$2818/Sens!$I$2819</f>
        <v>0.259847184062559</v>
      </c>
      <c r="J2824" s="13" t="n">
        <f aca="false">Sens!$J$2818/Sens!$J$2819</f>
        <v>0.281811053850427</v>
      </c>
      <c r="K2824" s="13" t="n">
        <f aca="false">Sens!$K$2818/Sens!$K$2819</f>
        <v>0.297783271905383</v>
      </c>
      <c r="L2824" s="13" t="n">
        <f aca="false">Sens!$L$2818/Sens!$L$2819</f>
        <v>0.305050082684241</v>
      </c>
      <c r="M2824" s="13" t="n">
        <f aca="false">Sens!$M$2818/Sens!$M$2819</f>
        <v>0.305421285205046</v>
      </c>
      <c r="N2824" s="13" t="n">
        <f aca="false">Sens!$N$2818/Sens!$N$2819</f>
        <v>0.185979484737251</v>
      </c>
      <c r="O2824" s="13" t="n">
        <f aca="false">Sens!$O$2818/Sens!$O$2819</f>
        <v>0.174270432341096</v>
      </c>
    </row>
    <row r="2825" customFormat="false" ht="17.15" hidden="false" customHeight="false" outlineLevel="0" collapsed="false">
      <c r="A2825" s="0" t="s">
        <v>701</v>
      </c>
      <c r="B2825" s="0" t="s">
        <v>52</v>
      </c>
      <c r="C2825" s="13" t="n">
        <f aca="false">Sens!$C$2816/Sens!$C$2818</f>
        <v>0.0268196603129103</v>
      </c>
      <c r="D2825" s="13" t="n">
        <f aca="false">Sens!$D$2816/Sens!$D$2818</f>
        <v>0.0840342411521281</v>
      </c>
      <c r="E2825" s="13" t="n">
        <f aca="false">Sens!$E$2816/Sens!$E$2818</f>
        <v>0.132511345380462</v>
      </c>
      <c r="F2825" s="13" t="n">
        <f aca="false">Sens!$F$2816/Sens!$F$2818</f>
        <v>0.200658019505325</v>
      </c>
      <c r="G2825" s="13" t="n">
        <f aca="false">Sens!$G$2816/Sens!$G$2818</f>
        <v>0.168001178363618</v>
      </c>
      <c r="H2825" s="13" t="n">
        <f aca="false">Sens!$H$2816/Sens!$H$2818</f>
        <v>0.296297048473821</v>
      </c>
      <c r="I2825" s="13" t="n">
        <f aca="false">Sens!$I$2816/Sens!$I$2818</f>
        <v>0.384308016506583</v>
      </c>
      <c r="J2825" s="13" t="n">
        <f aca="false">Sens!$J$2816/Sens!$J$2818</f>
        <v>0.442887507393858</v>
      </c>
      <c r="K2825" s="13" t="n">
        <f aca="false">Sens!$K$2816/Sens!$K$2818</f>
        <v>0.477087601395805</v>
      </c>
      <c r="L2825" s="13" t="n">
        <f aca="false">Sens!$L$2816/Sens!$L$2818</f>
        <v>0.487719597160448</v>
      </c>
      <c r="M2825" s="13" t="n">
        <f aca="false">Sens!$M$2816/Sens!$M$2818</f>
        <v>0.481576207637673</v>
      </c>
      <c r="N2825" s="13" t="n">
        <f aca="false">Sens!$N$2816/Sens!$N$2818</f>
        <v>0.0629540687114681</v>
      </c>
      <c r="O2825" s="13" t="n">
        <f aca="false">Sens!$O$2816/Sens!$O$2818</f>
        <v>0.10251877232631</v>
      </c>
    </row>
    <row r="2828" customFormat="false" ht="19.4" hidden="false" customHeight="false" outlineLevel="0" collapsed="false">
      <c r="A2828" s="31" t="s">
        <v>1192</v>
      </c>
    </row>
    <row r="2829" customFormat="false" ht="17.15" hidden="false" customHeight="false" outlineLevel="0" collapsed="false">
      <c r="A2829" s="6" t="s">
        <v>16</v>
      </c>
      <c r="B2829" s="6" t="s">
        <v>17</v>
      </c>
      <c r="C2829" s="20" t="s">
        <v>497</v>
      </c>
      <c r="D2829" s="20" t="s">
        <v>498</v>
      </c>
      <c r="E2829" s="20" t="s">
        <v>580</v>
      </c>
      <c r="F2829" s="20" t="s">
        <v>581</v>
      </c>
      <c r="G2829" s="20" t="s">
        <v>582</v>
      </c>
      <c r="H2829" s="20" t="s">
        <v>583</v>
      </c>
      <c r="I2829" s="20" t="s">
        <v>584</v>
      </c>
      <c r="J2829" s="20" t="s">
        <v>585</v>
      </c>
      <c r="K2829" s="20" t="s">
        <v>586</v>
      </c>
      <c r="L2829" s="20" t="s">
        <v>587</v>
      </c>
      <c r="M2829" s="20" t="s">
        <v>588</v>
      </c>
      <c r="N2829" s="20" t="s">
        <v>589</v>
      </c>
      <c r="O2829" s="20" t="s">
        <v>590</v>
      </c>
      <c r="P2829" s="6" t="s">
        <v>23</v>
      </c>
      <c r="R2829" s="20" t="n">
        <v>2023</v>
      </c>
      <c r="S2829" s="20" t="n">
        <v>2024</v>
      </c>
      <c r="T2829" s="20" t="n">
        <v>2025</v>
      </c>
      <c r="U2829" s="20" t="n">
        <v>2026</v>
      </c>
      <c r="V2829" s="20" t="n">
        <v>2027</v>
      </c>
      <c r="W2829" s="20" t="n">
        <v>2028</v>
      </c>
      <c r="X2829" s="20" t="n">
        <v>2029</v>
      </c>
      <c r="Y2829" s="20" t="n">
        <v>2030</v>
      </c>
      <c r="Z2829" s="20" t="n">
        <v>2031</v>
      </c>
      <c r="AA2829" s="20" t="n">
        <v>2032</v>
      </c>
    </row>
    <row r="2830" customFormat="false" ht="17.15" hidden="false" customHeight="false" outlineLevel="0" collapsed="false">
      <c r="A2830" s="1" t="s">
        <v>716</v>
      </c>
    </row>
    <row r="2831" customFormat="false" ht="15" hidden="false" customHeight="false" outlineLevel="0" collapsed="false">
      <c r="A2831" s="0" t="s">
        <v>519</v>
      </c>
      <c r="B2831" s="0" t="s">
        <v>86</v>
      </c>
      <c r="C2831" s="38" t="n">
        <f aca="false">Sens!$C$2736</f>
        <v>247.029</v>
      </c>
      <c r="D2831" s="38" t="n">
        <f aca="false">Sens!$D$2736</f>
        <v>269.287</v>
      </c>
      <c r="E2831" s="38" t="n">
        <f aca="false">Sens!$E$2736</f>
        <v>134.686</v>
      </c>
      <c r="F2831" s="38" t="n">
        <f aca="false">Sens!$F$2736</f>
        <v>158.293876822267</v>
      </c>
      <c r="G2831" s="38" t="n">
        <f aca="false">Sens!$G$2736</f>
        <v>292.979876822267</v>
      </c>
      <c r="H2831" s="38" t="n">
        <f aca="false">Sens!$H$2736</f>
        <v>318.184543087396</v>
      </c>
      <c r="I2831" s="38" t="n">
        <f aca="false">Sens!$I$2736</f>
        <v>341.736278761793</v>
      </c>
      <c r="J2831" s="38" t="n">
        <f aca="false">Sens!$J$2736</f>
        <v>362.927192787048</v>
      </c>
      <c r="K2831" s="38" t="n">
        <f aca="false">Sens!$K$2736</f>
        <v>381.0735524264</v>
      </c>
      <c r="L2831" s="38" t="n">
        <f aca="false">Sens!$L$2736</f>
        <v>400.12723004772</v>
      </c>
      <c r="M2831" s="38" t="n">
        <f aca="false">Sens!$M$2736</f>
        <v>420.133591550106</v>
      </c>
      <c r="N2831" s="38" t="n">
        <f aca="false">Sens!$N$2736</f>
        <v>118.892</v>
      </c>
      <c r="O2831" s="38" t="n">
        <f aca="false">Sens!$O$2736</f>
        <v>150.395</v>
      </c>
    </row>
    <row r="2832" customFormat="false" ht="15" hidden="false" customHeight="false" outlineLevel="0" collapsed="false">
      <c r="A2832" s="0" t="s">
        <v>520</v>
      </c>
      <c r="B2832" s="0" t="s">
        <v>86</v>
      </c>
      <c r="C2832" s="38" t="n">
        <f aca="false">Sens!$C$2738</f>
        <v>21.215</v>
      </c>
      <c r="D2832" s="38" t="n">
        <f aca="false">Sens!$D$2738</f>
        <v>22.561</v>
      </c>
      <c r="E2832" s="38" t="n">
        <f aca="false">Sens!$E$2738</f>
        <v>11.579</v>
      </c>
      <c r="F2832" s="38" t="n">
        <f aca="false">Sens!$F$2738</f>
        <v>11.5938724610325</v>
      </c>
      <c r="G2832" s="38" t="n">
        <f aca="false">Sens!$G$2738</f>
        <v>23.1728724610325</v>
      </c>
      <c r="H2832" s="38" t="n">
        <f aca="false">Sens!$H$2738</f>
        <v>24.353392759506</v>
      </c>
      <c r="I2832" s="38" t="n">
        <f aca="false">Sens!$I$2738</f>
        <v>25.4240338872015</v>
      </c>
      <c r="J2832" s="38" t="n">
        <f aca="false">Sens!$J$2738</f>
        <v>26.3642491017174</v>
      </c>
      <c r="K2832" s="38" t="n">
        <f aca="false">Sens!$K$2738</f>
        <v>27.155176574769</v>
      </c>
      <c r="L2832" s="38" t="n">
        <f aca="false">Sens!$L$2738</f>
        <v>27.969831872012</v>
      </c>
      <c r="M2832" s="38" t="n">
        <f aca="false">Sens!$M$2738</f>
        <v>28.8089268281724</v>
      </c>
      <c r="N2832" s="38" t="n">
        <f aca="false">Sens!$N$2738</f>
        <v>11.128</v>
      </c>
      <c r="O2832" s="38" t="n">
        <f aca="false">Sens!$O$2738</f>
        <v>11.433</v>
      </c>
    </row>
    <row r="2833" customFormat="false" ht="15" hidden="false" customHeight="false" outlineLevel="0" collapsed="false">
      <c r="A2833" s="0" t="s">
        <v>521</v>
      </c>
      <c r="B2833" s="0" t="s">
        <v>86</v>
      </c>
      <c r="C2833" s="38" t="n">
        <f aca="false">Sens!$C$2740</f>
        <v>156.146</v>
      </c>
      <c r="D2833" s="38" t="n">
        <f aca="false">Sens!$D$2740</f>
        <v>172.162</v>
      </c>
      <c r="E2833" s="38" t="n">
        <f aca="false">Sens!$E$2740</f>
        <v>88.358</v>
      </c>
      <c r="F2833" s="38" t="n">
        <f aca="false">Sens!$F$2740</f>
        <v>102.004388260171</v>
      </c>
      <c r="G2833" s="38" t="n">
        <f aca="false">Sens!$G$2740</f>
        <v>190.362388260171</v>
      </c>
      <c r="H2833" s="38" t="n">
        <f aca="false">Sens!$H$2740</f>
        <v>210.343106588311</v>
      </c>
      <c r="I2833" s="38" t="n">
        <f aca="false">Sens!$I$2740</f>
        <v>229.969728494648</v>
      </c>
      <c r="J2833" s="38" t="n">
        <f aca="false">Sens!$J$2740</f>
        <v>248.747636972598</v>
      </c>
      <c r="K2833" s="38" t="n">
        <f aca="false">Sens!$K$2740</f>
        <v>266.15997156068</v>
      </c>
      <c r="L2833" s="38" t="n">
        <f aca="false">Sens!$L$2740</f>
        <v>284.791169569927</v>
      </c>
      <c r="M2833" s="38" t="n">
        <f aca="false">Sens!$M$2740</f>
        <v>304.726551439822</v>
      </c>
      <c r="N2833" s="38" t="n">
        <f aca="false">Sens!$N$2740</f>
        <v>76.86</v>
      </c>
      <c r="O2833" s="38" t="n">
        <f aca="false">Sens!$O$2740</f>
        <v>95.302</v>
      </c>
    </row>
    <row r="2834" customFormat="false" ht="15" hidden="false" customHeight="false" outlineLevel="0" collapsed="false">
      <c r="A2834" s="0" t="s">
        <v>522</v>
      </c>
      <c r="B2834" s="0" t="s">
        <v>86</v>
      </c>
      <c r="C2834" s="38" t="n">
        <f aca="false">Sens!$C$2742</f>
        <v>56.214</v>
      </c>
      <c r="D2834" s="38" t="n">
        <f aca="false">Sens!$D$2742</f>
        <v>68.635</v>
      </c>
      <c r="E2834" s="38" t="n">
        <f aca="false">Sens!$E$2742</f>
        <v>37.052</v>
      </c>
      <c r="F2834" s="38" t="n">
        <f aca="false">Sens!$F$2742</f>
        <v>46.1572219944148</v>
      </c>
      <c r="G2834" s="38" t="n">
        <f aca="false">Sens!$G$2742</f>
        <v>83.2092219944148</v>
      </c>
      <c r="H2834" s="38" t="n">
        <f aca="false">Sens!$H$2742</f>
        <v>99.8969223878976</v>
      </c>
      <c r="I2834" s="38" t="n">
        <f aca="false">Sens!$I$2742</f>
        <v>116.583111095496</v>
      </c>
      <c r="J2834" s="38" t="n">
        <f aca="false">Sens!$J$2742</f>
        <v>132.148941941952</v>
      </c>
      <c r="K2834" s="38" t="n">
        <f aca="false">Sens!$K$2742</f>
        <v>145.363836136147</v>
      </c>
      <c r="L2834" s="38" t="n">
        <f aca="false">Sens!$L$2742</f>
        <v>159.900219749762</v>
      </c>
      <c r="M2834" s="38" t="n">
        <f aca="false">Sens!$M$2742</f>
        <v>175.890241724738</v>
      </c>
      <c r="N2834" s="38" t="n">
        <f aca="false">Sens!$N$2742</f>
        <v>29.615</v>
      </c>
      <c r="O2834" s="38" t="n">
        <f aca="false">Sens!$O$2742</f>
        <v>39.02</v>
      </c>
    </row>
    <row r="2835" customFormat="false" ht="15" hidden="false" customHeight="false" outlineLevel="0" collapsed="false">
      <c r="A2835" s="0" t="s">
        <v>523</v>
      </c>
      <c r="B2835" s="0" t="s">
        <v>86</v>
      </c>
      <c r="C2835" s="38" t="n">
        <f aca="false">Sens!$C$2744</f>
        <v>44.374</v>
      </c>
      <c r="D2835" s="38" t="n">
        <f aca="false">Sens!$D$2744</f>
        <v>49.619</v>
      </c>
      <c r="E2835" s="38" t="n">
        <f aca="false">Sens!$E$2744</f>
        <v>27.157</v>
      </c>
      <c r="F2835" s="38" t="n">
        <f aca="false">Sens!$F$2744</f>
        <v>27.7764165988154</v>
      </c>
      <c r="G2835" s="38" t="n">
        <f aca="false">Sens!$G$2744</f>
        <v>54.9334165988154</v>
      </c>
      <c r="H2835" s="38" t="n">
        <f aca="false">Sens!$H$2744</f>
        <v>61.1564112561829</v>
      </c>
      <c r="I2835" s="38" t="n">
        <f aca="false">Sens!$I$2744</f>
        <v>67.2020282103945</v>
      </c>
      <c r="J2835" s="38" t="n">
        <f aca="false">Sens!$J$2744</f>
        <v>72.8757274028885</v>
      </c>
      <c r="K2835" s="38" t="n">
        <f aca="false">Sens!$K$2744</f>
        <v>77.9770283210907</v>
      </c>
      <c r="L2835" s="38" t="n">
        <f aca="false">Sens!$L$2744</f>
        <v>83.4354203035671</v>
      </c>
      <c r="M2835" s="38" t="n">
        <f aca="false">Sens!$M$2744</f>
        <v>89.2758997248168</v>
      </c>
      <c r="N2835" s="38" t="n">
        <f aca="false">Sens!$N$2744</f>
        <v>23.923</v>
      </c>
      <c r="O2835" s="38" t="n">
        <f aca="false">Sens!$O$2744</f>
        <v>25.696</v>
      </c>
    </row>
    <row r="2836" customFormat="false" ht="15" hidden="false" customHeight="false" outlineLevel="0" collapsed="false">
      <c r="A2836" s="0" t="s">
        <v>524</v>
      </c>
      <c r="B2836" s="0" t="s">
        <v>86</v>
      </c>
      <c r="C2836" s="38" t="n">
        <f aca="false">Sens!$C$2746</f>
        <v>5.425</v>
      </c>
      <c r="D2836" s="38" t="n">
        <f aca="false">Sens!$D$2746</f>
        <v>5.935</v>
      </c>
      <c r="E2836" s="38" t="n">
        <f aca="false">Sens!$E$2746</f>
        <v>3.474</v>
      </c>
      <c r="F2836" s="38" t="n">
        <f aca="false">Sens!$F$2746</f>
        <v>3.22246550883619</v>
      </c>
      <c r="G2836" s="38" t="n">
        <f aca="false">Sens!$G$2746</f>
        <v>6.69646550883619</v>
      </c>
      <c r="H2836" s="38" t="n">
        <f aca="false">Sens!$H$2746</f>
        <v>7.16251344209196</v>
      </c>
      <c r="I2836" s="38" t="n">
        <f aca="false">Sens!$I$2746</f>
        <v>7.61421070299826</v>
      </c>
      <c r="J2836" s="38" t="n">
        <f aca="false">Sens!$J$2746</f>
        <v>8.04465753523932</v>
      </c>
      <c r="K2836" s="38" t="n">
        <f aca="false">Sens!$K$2746</f>
        <v>8.44689041200128</v>
      </c>
      <c r="L2836" s="38" t="n">
        <f aca="false">Sens!$L$2746</f>
        <v>8.86923493260135</v>
      </c>
      <c r="M2836" s="38" t="n">
        <f aca="false">Sens!$M$2746</f>
        <v>9.31269667923142</v>
      </c>
      <c r="N2836" s="38" t="n">
        <f aca="false">Sens!$N$2746</f>
        <v>2.811</v>
      </c>
      <c r="O2836" s="38" t="n">
        <f aca="false">Sens!$O$2746</f>
        <v>3.124</v>
      </c>
    </row>
    <row r="2837" customFormat="false" ht="17.15" hidden="false" customHeight="false" outlineLevel="0" collapsed="false">
      <c r="A2837" s="0" t="s">
        <v>717</v>
      </c>
      <c r="B2837" s="0" t="s">
        <v>86</v>
      </c>
      <c r="C2837" s="38" t="n">
        <f aca="false">Sens!$C$2818</f>
        <v>107.556</v>
      </c>
      <c r="D2837" s="38" t="n">
        <f aca="false">Sens!$D$2818</f>
        <v>128.725</v>
      </c>
      <c r="E2837" s="38" t="n">
        <f aca="false">Sens!$E$2818</f>
        <v>79.819</v>
      </c>
      <c r="F2837" s="38" t="n">
        <f aca="false">Sens!$F$2818</f>
        <v>86.7433248240518</v>
      </c>
      <c r="G2837" s="38" t="n">
        <f aca="false">Sens!$G$2818</f>
        <v>166.562324824052</v>
      </c>
      <c r="H2837" s="38" t="n">
        <f aca="false">Sens!$H$2818</f>
        <v>219.544917252471</v>
      </c>
      <c r="I2837" s="38" t="n">
        <f aca="false">Sens!$I$2818</f>
        <v>276.83086172149</v>
      </c>
      <c r="J2837" s="38" t="n">
        <f aca="false">Sens!$J$2818</f>
        <v>333.967485922569</v>
      </c>
      <c r="K2837" s="38" t="n">
        <f aca="false">Sens!$K$2818</f>
        <v>384.274795837009</v>
      </c>
      <c r="L2837" s="38" t="n">
        <f aca="false">Sens!$L$2818</f>
        <v>423.630141673367</v>
      </c>
      <c r="M2837" s="38" t="n">
        <f aca="false">Sens!$M$2818</f>
        <v>452.098874810349</v>
      </c>
      <c r="N2837" s="38" t="n">
        <f aca="false">Sens!$N$2818</f>
        <v>60.14</v>
      </c>
      <c r="O2837" s="38" t="n">
        <f aca="false">Sens!$O$2818</f>
        <v>68.585</v>
      </c>
    </row>
    <row r="2838" customFormat="false" ht="15" hidden="false" customHeight="false" outlineLevel="0" collapsed="false">
      <c r="A2838" s="1" t="s">
        <v>512</v>
      </c>
      <c r="B2838" s="8" t="s">
        <v>86</v>
      </c>
      <c r="C2838" s="38" t="n">
        <f aca="false">Sens!$C$2751</f>
        <v>387.497</v>
      </c>
      <c r="D2838" s="38" t="n">
        <f aca="false">Sens!$D$2751</f>
        <v>426.305</v>
      </c>
      <c r="E2838" s="38" t="n">
        <f aca="false">Sens!$E$2751</f>
        <v>220.32</v>
      </c>
      <c r="F2838" s="38" t="n">
        <f aca="false">Sens!$F$2751</f>
        <v>250.639773480586</v>
      </c>
      <c r="G2838" s="38" t="n">
        <f aca="false">Sens!$G$2751</f>
        <v>470.959773480586</v>
      </c>
      <c r="H2838" s="38" t="n">
        <f aca="false">Sens!$H$2751</f>
        <v>521.386990416437</v>
      </c>
      <c r="I2838" s="38" t="n">
        <f aca="false">Sens!$I$2751</f>
        <v>570.143862887555</v>
      </c>
      <c r="J2838" s="38" t="n">
        <f aca="false">Sens!$J$2751</f>
        <v>615.391435791933</v>
      </c>
      <c r="K2838" s="38" t="n">
        <f aca="false">Sens!$K$2751</f>
        <v>655.208227561543</v>
      </c>
      <c r="L2838" s="38" t="n">
        <f aca="false">Sens!$L$2751</f>
        <v>697.807739249767</v>
      </c>
      <c r="M2838" s="38" t="n">
        <f aca="false">Sens!$M$2751</f>
        <v>743.399328463592</v>
      </c>
      <c r="N2838" s="38" t="n">
        <f aca="false">Sens!$N$2751</f>
        <v>192.955</v>
      </c>
      <c r="O2838" s="38" t="n">
        <f aca="false">Sens!$O$2751</f>
        <v>233.35</v>
      </c>
    </row>
    <row r="2839" customFormat="false" ht="15" hidden="false" customHeight="false" outlineLevel="0" collapsed="false">
      <c r="A2839" s="1" t="s">
        <v>515</v>
      </c>
      <c r="B2839" s="8" t="s">
        <v>86</v>
      </c>
      <c r="C2839" s="38" t="n">
        <f aca="false">Sens!$C$2752</f>
        <v>142.906</v>
      </c>
      <c r="D2839" s="38" t="n">
        <f aca="false">Sens!$D$2752</f>
        <v>161.894</v>
      </c>
      <c r="E2839" s="38" t="n">
        <f aca="false">Sens!$E$2752</f>
        <v>81.986</v>
      </c>
      <c r="F2839" s="38" t="n">
        <f aca="false">Sens!$F$2752</f>
        <v>98.408468164951</v>
      </c>
      <c r="G2839" s="38" t="n">
        <f aca="false">Sens!$G$2752</f>
        <v>180.394468164951</v>
      </c>
      <c r="H2839" s="38" t="n">
        <f aca="false">Sens!$H$2752</f>
        <v>199.709899104949</v>
      </c>
      <c r="I2839" s="38" t="n">
        <f aca="false">Sens!$I$2752</f>
        <v>218.385528264976</v>
      </c>
      <c r="J2839" s="38" t="n">
        <f aca="false">Sens!$J$2752</f>
        <v>235.71696994951</v>
      </c>
      <c r="K2839" s="38" t="n">
        <f aca="false">Sens!$K$2752</f>
        <v>250.968227869545</v>
      </c>
      <c r="L2839" s="38" t="n">
        <f aca="false">Sens!$L$2752</f>
        <v>267.285367225822</v>
      </c>
      <c r="M2839" s="38" t="n">
        <f aca="false">Sens!$M$2752</f>
        <v>284.748579483295</v>
      </c>
      <c r="N2839" s="38" t="n">
        <f aca="false">Sens!$N$2752</f>
        <v>70.274</v>
      </c>
      <c r="O2839" s="38" t="n">
        <f aca="false">Sens!$O$2752</f>
        <v>91.62</v>
      </c>
    </row>
    <row r="2840" customFormat="false" ht="15" hidden="false" customHeight="false" outlineLevel="0" collapsed="false">
      <c r="A2840" s="1" t="s">
        <v>516</v>
      </c>
      <c r="B2840" s="8" t="s">
        <v>86</v>
      </c>
      <c r="C2840" s="38" t="n">
        <f aca="false">Sens!$C$2818</f>
        <v>107.556</v>
      </c>
      <c r="D2840" s="38" t="n">
        <f aca="false">Sens!$D$2818</f>
        <v>128.725</v>
      </c>
      <c r="E2840" s="38" t="n">
        <f aca="false">Sens!$E$2818</f>
        <v>79.819</v>
      </c>
      <c r="F2840" s="38" t="n">
        <f aca="false">Sens!$F$2818</f>
        <v>86.7433248240518</v>
      </c>
      <c r="G2840" s="38" t="n">
        <f aca="false">Sens!$G$2818</f>
        <v>166.562324824052</v>
      </c>
      <c r="H2840" s="38" t="n">
        <f aca="false">Sens!$H$2818</f>
        <v>219.544917252471</v>
      </c>
      <c r="I2840" s="38" t="n">
        <f aca="false">Sens!$I$2818</f>
        <v>276.83086172149</v>
      </c>
      <c r="J2840" s="38" t="n">
        <f aca="false">Sens!$J$2818</f>
        <v>333.967485922569</v>
      </c>
      <c r="K2840" s="38" t="n">
        <f aca="false">Sens!$K$2818</f>
        <v>384.274795837009</v>
      </c>
      <c r="L2840" s="38" t="n">
        <f aca="false">Sens!$L$2818</f>
        <v>423.630141673367</v>
      </c>
      <c r="M2840" s="38" t="n">
        <f aca="false">Sens!$M$2818</f>
        <v>452.098874810349</v>
      </c>
      <c r="N2840" s="38" t="n">
        <f aca="false">Sens!$N$2818</f>
        <v>60.14</v>
      </c>
      <c r="O2840" s="38" t="n">
        <f aca="false">Sens!$O$2818</f>
        <v>68.585</v>
      </c>
    </row>
    <row r="2841" customFormat="false" ht="17.15" hidden="false" customHeight="false" outlineLevel="0" collapsed="false">
      <c r="A2841" s="0" t="s">
        <v>691</v>
      </c>
      <c r="B2841" s="0" t="s">
        <v>86</v>
      </c>
      <c r="C2841" s="38" t="n">
        <f aca="false">Sens!$C$2816</f>
        <v>2.88461538461538</v>
      </c>
      <c r="D2841" s="38" t="n">
        <f aca="false">Sens!$D$2816</f>
        <v>10.8173076923077</v>
      </c>
      <c r="E2841" s="38" t="n">
        <f aca="false">Sens!$E$2816</f>
        <v>10.5769230769231</v>
      </c>
      <c r="F2841" s="38" t="n">
        <f aca="false">Sens!$F$2816</f>
        <v>17.4057437645013</v>
      </c>
      <c r="G2841" s="38" t="n">
        <f aca="false">Sens!$G$2816</f>
        <v>27.9826668414244</v>
      </c>
      <c r="H2841" s="38" t="n">
        <f aca="false">Sens!$H$2816</f>
        <v>65.0505109893364</v>
      </c>
      <c r="I2841" s="38" t="n">
        <f aca="false">Sens!$I$2816</f>
        <v>106.388319375994</v>
      </c>
      <c r="J2841" s="38" t="n">
        <f aca="false">Sens!$J$2816</f>
        <v>147.91002739084</v>
      </c>
      <c r="K2841" s="38" t="n">
        <f aca="false">Sens!$K$2816</f>
        <v>183.332740622741</v>
      </c>
      <c r="L2841" s="38" t="n">
        <f aca="false">Sens!$L$2816</f>
        <v>206.612722041958</v>
      </c>
      <c r="M2841" s="38" t="n">
        <f aca="false">Sens!$M$2816</f>
        <v>217.720061608427</v>
      </c>
      <c r="N2841" s="38" t="n">
        <f aca="false">Sens!$N$2816</f>
        <v>3.78605769230769</v>
      </c>
      <c r="O2841" s="38" t="n">
        <f aca="false">Sens!$O$2816</f>
        <v>7.03125</v>
      </c>
    </row>
    <row r="2842" customFormat="false" ht="17.15" hidden="false" customHeight="false" outlineLevel="0" collapsed="false">
      <c r="A2842" s="0" t="s">
        <v>693</v>
      </c>
      <c r="B2842" s="0" t="s">
        <v>86</v>
      </c>
      <c r="C2842" s="38" t="n">
        <f aca="false">Sens!$C$2817</f>
        <v>104.671384615385</v>
      </c>
      <c r="D2842" s="38" t="n">
        <f aca="false">Sens!$D$2817</f>
        <v>117.907692307692</v>
      </c>
      <c r="E2842" s="38" t="n">
        <f aca="false">Sens!$E$2817</f>
        <v>69.2420769230769</v>
      </c>
      <c r="F2842" s="38" t="n">
        <f aca="false">Sens!$F$2817</f>
        <v>69.3375810595505</v>
      </c>
      <c r="G2842" s="38" t="n">
        <f aca="false">Sens!$G$2817</f>
        <v>138.579657982627</v>
      </c>
      <c r="H2842" s="38" t="n">
        <f aca="false">Sens!$H$2817</f>
        <v>154.494406263134</v>
      </c>
      <c r="I2842" s="38" t="n">
        <f aca="false">Sens!$I$2817</f>
        <v>170.442542345496</v>
      </c>
      <c r="J2842" s="38" t="n">
        <f aca="false">Sens!$J$2817</f>
        <v>186.057458531729</v>
      </c>
      <c r="K2842" s="38" t="n">
        <f aca="false">Sens!$K$2817</f>
        <v>200.942055214268</v>
      </c>
      <c r="L2842" s="38" t="n">
        <f aca="false">Sens!$L$2817</f>
        <v>217.017419631409</v>
      </c>
      <c r="M2842" s="38" t="n">
        <f aca="false">Sens!$M$2817</f>
        <v>234.378813201922</v>
      </c>
      <c r="N2842" s="38" t="n">
        <f aca="false">Sens!$N$2817</f>
        <v>56.3539423076923</v>
      </c>
      <c r="O2842" s="38" t="n">
        <f aca="false">Sens!$O$2817</f>
        <v>61.55375</v>
      </c>
    </row>
    <row r="2843" customFormat="false" ht="15" hidden="false" customHeight="false" outlineLevel="0" collapsed="false">
      <c r="A2843" s="3" t="s">
        <v>517</v>
      </c>
      <c r="B2843" s="8" t="s">
        <v>86</v>
      </c>
      <c r="C2843" s="38" t="n">
        <f aca="false">Sens!$C$2819</f>
        <v>637.959</v>
      </c>
      <c r="D2843" s="38" t="n">
        <f aca="false">Sens!$D$2819</f>
        <v>716.924</v>
      </c>
      <c r="E2843" s="38" t="n">
        <f aca="false">Sens!$E$2819</f>
        <v>382.125</v>
      </c>
      <c r="F2843" s="38" t="n">
        <f aca="false">Sens!$F$2819</f>
        <v>435.791566469589</v>
      </c>
      <c r="G2843" s="38" t="n">
        <f aca="false">Sens!$G$2819</f>
        <v>817.916566469589</v>
      </c>
      <c r="H2843" s="38" t="n">
        <f aca="false">Sens!$H$2819</f>
        <v>940.641806773857</v>
      </c>
      <c r="I2843" s="38" t="n">
        <f aca="false">Sens!$I$2819</f>
        <v>1065.36025287402</v>
      </c>
      <c r="J2843" s="38" t="n">
        <f aca="false">Sens!$J$2819</f>
        <v>1185.07589166401</v>
      </c>
      <c r="K2843" s="38" t="n">
        <f aca="false">Sens!$K$2819</f>
        <v>1290.4512512681</v>
      </c>
      <c r="L2843" s="38" t="n">
        <f aca="false">Sens!$L$2819</f>
        <v>1388.72324814896</v>
      </c>
      <c r="M2843" s="38" t="n">
        <f aca="false">Sens!$M$2819</f>
        <v>1480.24678275724</v>
      </c>
      <c r="N2843" s="38" t="n">
        <f aca="false">Sens!$N$2819</f>
        <v>323.369</v>
      </c>
      <c r="O2843" s="38" t="n">
        <f aca="false">Sens!$O$2819</f>
        <v>393.555</v>
      </c>
    </row>
    <row r="2844" customFormat="false" ht="17.15" hidden="false" customHeight="false" outlineLevel="0" collapsed="false">
      <c r="A2844" s="24" t="s">
        <v>703</v>
      </c>
      <c r="B2844" s="25" t="s">
        <v>86</v>
      </c>
      <c r="C2844" s="41" t="n">
        <f aca="false">Sens!$C$2831+Sens!$C$2832+Sens!$C$2833+Sens!$C$2834+Sens!$C$2835+Sens!$C$2836-(Sens!$C$2838+Sens!$C$2839)</f>
        <v>0</v>
      </c>
      <c r="D2844" s="41" t="n">
        <f aca="false">Sens!$D$2831+Sens!$D$2832+Sens!$D$2833+Sens!$D$2834+Sens!$D$2835+Sens!$D$2836-(Sens!$D$2838+Sens!$D$2839)</f>
        <v>0</v>
      </c>
      <c r="E2844" s="41" t="n">
        <f aca="false">Sens!$E$2831+Sens!$E$2832+Sens!$E$2833+Sens!$E$2834+Sens!$E$2835+Sens!$E$2836-(Sens!$E$2838+Sens!$E$2839)</f>
        <v>0</v>
      </c>
      <c r="F2844" s="41" t="n">
        <f aca="false">Sens!$F$2831+Sens!$F$2832+Sens!$F$2833+Sens!$F$2834+Sens!$F$2835+Sens!$F$2836-(Sens!$F$2838+Sens!$F$2839)</f>
        <v>0</v>
      </c>
      <c r="G2844" s="41" t="n">
        <f aca="false">Sens!$G$2831+Sens!$G$2832+Sens!$G$2833+Sens!$G$2834+Sens!$G$2835+Sens!$G$2836-(Sens!$G$2838+Sens!$G$2839)</f>
        <v>0</v>
      </c>
      <c r="H2844" s="41" t="n">
        <f aca="false">Sens!$H$2831+Sens!$H$2832+Sens!$H$2833+Sens!$H$2834+Sens!$H$2835+Sens!$H$2836-(Sens!$H$2838+Sens!$H$2839)</f>
        <v>0</v>
      </c>
      <c r="I2844" s="41" t="n">
        <f aca="false">Sens!$I$2831+Sens!$I$2832+Sens!$I$2833+Sens!$I$2834+Sens!$I$2835+Sens!$I$2836-(Sens!$I$2838+Sens!$I$2839)</f>
        <v>0</v>
      </c>
      <c r="J2844" s="41" t="n">
        <f aca="false">Sens!$J$2831+Sens!$J$2832+Sens!$J$2833+Sens!$J$2834+Sens!$J$2835+Sens!$J$2836-(Sens!$J$2838+Sens!$J$2839)</f>
        <v>0</v>
      </c>
      <c r="K2844" s="41" t="n">
        <f aca="false">Sens!$K$2831+Sens!$K$2832+Sens!$K$2833+Sens!$K$2834+Sens!$K$2835+Sens!$K$2836-(Sens!$K$2838+Sens!$K$2839)</f>
        <v>0</v>
      </c>
      <c r="L2844" s="41" t="n">
        <f aca="false">Sens!$L$2831+Sens!$L$2832+Sens!$L$2833+Sens!$L$2834+Sens!$L$2835+Sens!$L$2836-(Sens!$L$2838+Sens!$L$2839)</f>
        <v>0</v>
      </c>
      <c r="M2844" s="41" t="n">
        <f aca="false">Sens!$M$2831+Sens!$M$2832+Sens!$M$2833+Sens!$M$2834+Sens!$M$2835+Sens!$M$2836-(Sens!$M$2838+Sens!$M$2839)</f>
        <v>0</v>
      </c>
      <c r="N2844" s="41" t="n">
        <f aca="false">Sens!$N$2831+Sens!$N$2832+Sens!$N$2833+Sens!$N$2834+Sens!$N$2835+Sens!$N$2836-(Sens!$N$2838+Sens!$N$2839)</f>
        <v>0</v>
      </c>
      <c r="O2844" s="41" t="n">
        <f aca="false">Sens!$O$2831+Sens!$O$2832+Sens!$O$2833+Sens!$O$2834+Sens!$O$2835+Sens!$O$2836-(Sens!$O$2838+Sens!$O$2839)</f>
        <v>0</v>
      </c>
    </row>
    <row r="2845" customFormat="false" ht="17.15" hidden="false" customHeight="false" outlineLevel="0" collapsed="false">
      <c r="A2845" s="24" t="s">
        <v>704</v>
      </c>
      <c r="B2845" s="25" t="s">
        <v>86</v>
      </c>
      <c r="C2845" s="41" t="n">
        <f aca="false">Sens!$C$2841+Sens!$C$2842-Sens!$C$2840</f>
        <v>0</v>
      </c>
      <c r="D2845" s="41" t="n">
        <f aca="false">Sens!$D$2841+Sens!$D$2842-Sens!$D$2840</f>
        <v>0</v>
      </c>
      <c r="E2845" s="41" t="n">
        <f aca="false">Sens!$E$2841+Sens!$E$2842-Sens!$E$2840</f>
        <v>0</v>
      </c>
      <c r="F2845" s="41" t="n">
        <f aca="false">Sens!$F$2841+Sens!$F$2842-Sens!$F$2840</f>
        <v>0</v>
      </c>
      <c r="G2845" s="41" t="n">
        <f aca="false">Sens!$G$2841+Sens!$G$2842-Sens!$G$2840</f>
        <v>0</v>
      </c>
      <c r="H2845" s="41" t="n">
        <f aca="false">Sens!$H$2841+Sens!$H$2842-Sens!$H$2840</f>
        <v>0</v>
      </c>
      <c r="I2845" s="41" t="n">
        <f aca="false">Sens!$I$2841+Sens!$I$2842-Sens!$I$2840</f>
        <v>0</v>
      </c>
      <c r="J2845" s="41" t="n">
        <f aca="false">Sens!$J$2841+Sens!$J$2842-Sens!$J$2840</f>
        <v>0</v>
      </c>
      <c r="K2845" s="41" t="n">
        <f aca="false">Sens!$K$2841+Sens!$K$2842-Sens!$K$2840</f>
        <v>0</v>
      </c>
      <c r="L2845" s="41" t="n">
        <f aca="false">Sens!$L$2841+Sens!$L$2842-Sens!$L$2840</f>
        <v>0</v>
      </c>
      <c r="M2845" s="41" t="n">
        <f aca="false">Sens!$M$2841+Sens!$M$2842-Sens!$M$2840</f>
        <v>0</v>
      </c>
      <c r="N2845" s="41" t="n">
        <f aca="false">Sens!$N$2841+Sens!$N$2842-Sens!$N$2840</f>
        <v>0</v>
      </c>
      <c r="O2845" s="41" t="n">
        <f aca="false">Sens!$O$2841+Sens!$O$2842-Sens!$O$2840</f>
        <v>0</v>
      </c>
    </row>
    <row r="2846" customFormat="false" ht="17.15" hidden="false" customHeight="false" outlineLevel="0" collapsed="false">
      <c r="A2846" s="24" t="s">
        <v>763</v>
      </c>
      <c r="B2846" s="25" t="s">
        <v>86</v>
      </c>
      <c r="C2846" s="41" t="n">
        <f aca="false">Sens!$C$2831+Sens!$C$2832+Sens!$C$2833+Sens!$C$2834+Sens!$C$2835+Sens!$C$2836+Sens!$C$2837-Sens!$C$2843</f>
        <v>0</v>
      </c>
      <c r="D2846" s="41" t="n">
        <f aca="false">Sens!$D$2831+Sens!$D$2832+Sens!$D$2833+Sens!$D$2834+Sens!$D$2835+Sens!$D$2836+Sens!$D$2837-Sens!$D$2843</f>
        <v>0</v>
      </c>
      <c r="E2846" s="41" t="n">
        <f aca="false">Sens!$E$2831+Sens!$E$2832+Sens!$E$2833+Sens!$E$2834+Sens!$E$2835+Sens!$E$2836+Sens!$E$2837-Sens!$E$2843</f>
        <v>0</v>
      </c>
      <c r="F2846" s="41" t="n">
        <f aca="false">Sens!$F$2831+Sens!$F$2832+Sens!$F$2833+Sens!$F$2834+Sens!$F$2835+Sens!$F$2836+Sens!$F$2837-Sens!$F$2843</f>
        <v>0</v>
      </c>
      <c r="G2846" s="41" t="n">
        <f aca="false">Sens!$G$2831+Sens!$G$2832+Sens!$G$2833+Sens!$G$2834+Sens!$G$2835+Sens!$G$2836+Sens!$G$2837-Sens!$G$2843</f>
        <v>0</v>
      </c>
      <c r="H2846" s="41" t="n">
        <f aca="false">Sens!$H$2831+Sens!$H$2832+Sens!$H$2833+Sens!$H$2834+Sens!$H$2835+Sens!$H$2836+Sens!$H$2837-Sens!$H$2843</f>
        <v>0</v>
      </c>
      <c r="I2846" s="41" t="n">
        <f aca="false">Sens!$I$2831+Sens!$I$2832+Sens!$I$2833+Sens!$I$2834+Sens!$I$2835+Sens!$I$2836+Sens!$I$2837-Sens!$I$2843</f>
        <v>0</v>
      </c>
      <c r="J2846" s="41" t="n">
        <f aca="false">Sens!$J$2831+Sens!$J$2832+Sens!$J$2833+Sens!$J$2834+Sens!$J$2835+Sens!$J$2836+Sens!$J$2837-Sens!$J$2843</f>
        <v>0</v>
      </c>
      <c r="K2846" s="41" t="n">
        <f aca="false">Sens!$K$2831+Sens!$K$2832+Sens!$K$2833+Sens!$K$2834+Sens!$K$2835+Sens!$K$2836+Sens!$K$2837-Sens!$K$2843</f>
        <v>0</v>
      </c>
      <c r="L2846" s="41" t="n">
        <f aca="false">Sens!$L$2831+Sens!$L$2832+Sens!$L$2833+Sens!$L$2834+Sens!$L$2835+Sens!$L$2836+Sens!$L$2837-Sens!$L$2843</f>
        <v>0</v>
      </c>
      <c r="M2846" s="41" t="n">
        <f aca="false">Sens!$M$2831+Sens!$M$2832+Sens!$M$2833+Sens!$M$2834+Sens!$M$2835+Sens!$M$2836+Sens!$M$2837-Sens!$M$2843</f>
        <v>0</v>
      </c>
      <c r="N2846" s="41" t="n">
        <f aca="false">Sens!$N$2831+Sens!$N$2832+Sens!$N$2833+Sens!$N$2834+Sens!$N$2835+Sens!$N$2836+Sens!$N$2837-Sens!$N$2843</f>
        <v>0</v>
      </c>
      <c r="O2846" s="41" t="n">
        <f aca="false">Sens!$O$2831+Sens!$O$2832+Sens!$O$2833+Sens!$O$2834+Sens!$O$2835+Sens!$O$2836+Sens!$O$2837-Sens!$O$2843</f>
        <v>0</v>
      </c>
    </row>
    <row r="2847" customFormat="false" ht="17.15" hidden="false" customHeight="false" outlineLevel="0" collapsed="false">
      <c r="A2847" s="24" t="s">
        <v>705</v>
      </c>
      <c r="B2847" s="25" t="s">
        <v>86</v>
      </c>
      <c r="C2847" s="41" t="n">
        <f aca="false">Sens!$C$2838+Sens!$C$2839+Sens!$C$2840-Sens!$C$2843</f>
        <v>0</v>
      </c>
      <c r="D2847" s="41" t="n">
        <f aca="false">Sens!$D$2838+Sens!$D$2839+Sens!$D$2840-Sens!$D$2843</f>
        <v>0</v>
      </c>
      <c r="E2847" s="41" t="n">
        <f aca="false">Sens!$E$2838+Sens!$E$2839+Sens!$E$2840-Sens!$E$2843</f>
        <v>0</v>
      </c>
      <c r="F2847" s="41" t="n">
        <f aca="false">Sens!$F$2838+Sens!$F$2839+Sens!$F$2840-Sens!$F$2843</f>
        <v>0</v>
      </c>
      <c r="G2847" s="41" t="n">
        <f aca="false">Sens!$G$2838+Sens!$G$2839+Sens!$G$2840-Sens!$G$2843</f>
        <v>0</v>
      </c>
      <c r="H2847" s="41" t="n">
        <f aca="false">Sens!$H$2838+Sens!$H$2839+Sens!$H$2840-Sens!$H$2843</f>
        <v>0</v>
      </c>
      <c r="I2847" s="41" t="n">
        <f aca="false">Sens!$I$2838+Sens!$I$2839+Sens!$I$2840-Sens!$I$2843</f>
        <v>0</v>
      </c>
      <c r="J2847" s="41" t="n">
        <f aca="false">Sens!$J$2838+Sens!$J$2839+Sens!$J$2840-Sens!$J$2843</f>
        <v>0</v>
      </c>
      <c r="K2847" s="41" t="n">
        <f aca="false">Sens!$K$2838+Sens!$K$2839+Sens!$K$2840-Sens!$K$2843</f>
        <v>0</v>
      </c>
      <c r="L2847" s="41" t="n">
        <f aca="false">Sens!$L$2838+Sens!$L$2839+Sens!$L$2840-Sens!$L$2843</f>
        <v>0</v>
      </c>
      <c r="M2847" s="41" t="n">
        <f aca="false">Sens!$M$2838+Sens!$M$2839+Sens!$M$2840-Sens!$M$2843</f>
        <v>0</v>
      </c>
      <c r="N2847" s="41" t="n">
        <f aca="false">Sens!$N$2838+Sens!$N$2839+Sens!$N$2840-Sens!$N$2843</f>
        <v>0</v>
      </c>
      <c r="O2847" s="41" t="n">
        <f aca="false">Sens!$O$2838+Sens!$O$2839+Sens!$O$2840-Sens!$O$2843</f>
        <v>0</v>
      </c>
    </row>
    <row r="2848" customFormat="false" ht="17.15" hidden="false" customHeight="false" outlineLevel="0" collapsed="false">
      <c r="A2848" s="1" t="s">
        <v>719</v>
      </c>
    </row>
    <row r="2849" customFormat="false" ht="17.15" hidden="false" customHeight="false" outlineLevel="0" collapsed="false">
      <c r="A2849" s="0" t="s">
        <v>720</v>
      </c>
      <c r="B2849" s="0" t="s">
        <v>86</v>
      </c>
      <c r="C2849" s="38" t="n">
        <f aca="false">Sens!$C$2753*m_ad</f>
        <v>20.5341564414228</v>
      </c>
      <c r="D2849" s="38" t="n">
        <f aca="false">Sens!$D$2753*m_ad</f>
        <v>24.8720617299587</v>
      </c>
      <c r="E2849" s="38" t="n">
        <f aca="false">Sens!$E$2753*m_ad</f>
        <v>13.5017112462207</v>
      </c>
      <c r="F2849" s="38" t="n">
        <f aca="false">Sens!$F$2753*m_ad</f>
        <v>16.5719724165257</v>
      </c>
      <c r="G2849" s="38" t="n">
        <f aca="false">Sens!$G$2753*m_ad</f>
        <v>30.0820919220415</v>
      </c>
      <c r="H2849" s="38" t="n">
        <f aca="false">Sens!$H$2753*m_ad</f>
        <v>36.1150883276314</v>
      </c>
      <c r="I2849" s="38" t="n">
        <f aca="false">Sens!$I$2753*m_ad</f>
        <v>42.1475382231996</v>
      </c>
      <c r="J2849" s="38" t="n">
        <f aca="false">Sens!$J$2753*m_ad</f>
        <v>47.7749523864693</v>
      </c>
      <c r="K2849" s="38" t="n">
        <f aca="false">Sens!$K$2753*m_ad</f>
        <v>52.5524476251162</v>
      </c>
      <c r="L2849" s="38" t="n">
        <f aca="false">Sens!$L$2753*m_ad</f>
        <v>57.8076923876279</v>
      </c>
      <c r="M2849" s="38" t="n">
        <f aca="false">Sens!$M$2753*m_ad</f>
        <v>63.5884616263907</v>
      </c>
      <c r="N2849" s="38" t="n">
        <f aca="false">Sens!$N$2753*m_ad</f>
        <v>10.8543555706248</v>
      </c>
      <c r="O2849" s="38" t="n">
        <f aca="false">Sens!$O$2753*m_ad</f>
        <v>14.0094731821399</v>
      </c>
    </row>
    <row r="2850" customFormat="false" ht="17.15" hidden="false" customHeight="false" outlineLevel="0" collapsed="false">
      <c r="A2850" s="0" t="s">
        <v>721</v>
      </c>
      <c r="B2850" s="0" t="s">
        <v>86</v>
      </c>
      <c r="C2850" s="38" t="n">
        <f aca="false">Sens!$C$2751-Sens!$C$2753</f>
        <v>346.428687117154</v>
      </c>
      <c r="D2850" s="38" t="n">
        <f aca="false">Sens!$D$2751-Sens!$D$2753</f>
        <v>376.560876540083</v>
      </c>
      <c r="E2850" s="38" t="n">
        <f aca="false">Sens!$E$2751-Sens!$E$2753</f>
        <v>193.316577507559</v>
      </c>
      <c r="F2850" s="38" t="n">
        <f aca="false">Sens!$F$2751-Sens!$F$2753</f>
        <v>217.495828647535</v>
      </c>
      <c r="G2850" s="38" t="n">
        <f aca="false">Sens!$G$2751-Sens!$G$2753</f>
        <v>410.795589636503</v>
      </c>
      <c r="H2850" s="38" t="n">
        <f aca="false">Sens!$H$2751-Sens!$H$2753</f>
        <v>449.156813761174</v>
      </c>
      <c r="I2850" s="38" t="n">
        <f aca="false">Sens!$I$2751-Sens!$I$2753</f>
        <v>485.848786441156</v>
      </c>
      <c r="J2850" s="38" t="n">
        <f aca="false">Sens!$J$2751-Sens!$J$2753</f>
        <v>519.841531018994</v>
      </c>
      <c r="K2850" s="38" t="n">
        <f aca="false">Sens!$K$2751-Sens!$K$2753</f>
        <v>550.103332311311</v>
      </c>
      <c r="L2850" s="38" t="n">
        <f aca="false">Sens!$L$2751-Sens!$L$2753</f>
        <v>582.192354474511</v>
      </c>
      <c r="M2850" s="38" t="n">
        <f aca="false">Sens!$M$2751-Sens!$M$2753</f>
        <v>616.22240521081</v>
      </c>
      <c r="N2850" s="38" t="n">
        <f aca="false">Sens!$N$2751-Sens!$N$2753</f>
        <v>171.24628885875</v>
      </c>
      <c r="O2850" s="38" t="n">
        <f aca="false">Sens!$O$2751-Sens!$O$2753</f>
        <v>205.33105363572</v>
      </c>
    </row>
    <row r="2851" customFormat="false" ht="17.15" hidden="false" customHeight="false" outlineLevel="0" collapsed="false">
      <c r="A2851" s="0" t="s">
        <v>722</v>
      </c>
      <c r="B2851" s="0" t="s">
        <v>86</v>
      </c>
      <c r="C2851" s="38" t="n">
        <f aca="false">Sens!$C$2802*Sens!$C$2750</f>
        <v>0.124174363977906</v>
      </c>
      <c r="D2851" s="38" t="n">
        <f aca="false">Sens!$D$2802*Sens!$D$2750</f>
        <v>0.600750540485361</v>
      </c>
      <c r="E2851" s="38" t="n">
        <f aca="false">Sens!$E$2802*Sens!$E$2750</f>
        <v>0.97083021730097</v>
      </c>
      <c r="F2851" s="38" t="n">
        <f aca="false">Sens!$F$2802*Sens!$F$2750</f>
        <v>1.2004089385435</v>
      </c>
      <c r="G2851" s="38" t="n">
        <f aca="false">Sens!$G$2802*Sens!$G$2750</f>
        <v>2.17190488217005</v>
      </c>
      <c r="H2851" s="38" t="n">
        <f aca="false">Sens!$H$2802*Sens!$H$2750</f>
        <v>6.14282608278391</v>
      </c>
      <c r="I2851" s="38" t="n">
        <f aca="false">Sens!$I$2802*Sens!$I$2750</f>
        <v>11.6523566831887</v>
      </c>
      <c r="J2851" s="38" t="n">
        <f aca="false">Sens!$J$2802*Sens!$J$2750</f>
        <v>17.3110812872798</v>
      </c>
      <c r="K2851" s="38" t="n">
        <f aca="false">Sens!$K$2802*Sens!$K$2750</f>
        <v>22.8487276665916</v>
      </c>
      <c r="L2851" s="38" t="n">
        <f aca="false">Sens!$L$2802*Sens!$L$2750</f>
        <v>26.684971993881</v>
      </c>
      <c r="M2851" s="38" t="n">
        <f aca="false">Sens!$M$2802*Sens!$M$2750</f>
        <v>29.0523788923369</v>
      </c>
      <c r="N2851" s="38" t="n">
        <f aca="false">Sens!$N$2802*Sens!$N$2750</f>
        <v>0.250811693357256</v>
      </c>
      <c r="O2851" s="38" t="n">
        <f aca="false">Sens!$O$2802*Sens!$O$2750</f>
        <v>0.349508071416051</v>
      </c>
    </row>
    <row r="2852" customFormat="false" ht="17.15" hidden="false" customHeight="false" outlineLevel="0" collapsed="false">
      <c r="A2852" s="0" t="s">
        <v>723</v>
      </c>
      <c r="B2852" s="0" t="s">
        <v>52</v>
      </c>
      <c r="C2852" s="28" t="n">
        <f aca="false">(Sens!$C$2853-Sens!$C$2849+Sens!$C$2851)/Sens!$C$2850</f>
        <v>0.0131542741465114</v>
      </c>
      <c r="D2852" s="28" t="n">
        <f aca="false">(Sens!$D$2853-Sens!$D$2849+Sens!$D$2851)/Sens!$D$2850</f>
        <v>0.0142013925070025</v>
      </c>
      <c r="E2852" s="28" t="n">
        <f aca="false">(Sens!$E$2853-Sens!$E$2849+Sens!$E$2851)/Sens!$E$2850</f>
        <v>0.0251355524380224</v>
      </c>
      <c r="F2852" s="28" t="n">
        <f aca="false">Sens!$O$2852+(Sens!$E$2852-Sens!$N$2852)</f>
        <v>0.0217183068991884</v>
      </c>
      <c r="G2852" s="28" t="n">
        <f aca="false">(Sens!$G$2853-Sens!$G$2849+Sens!$G$2851)/Sens!$G$2850</f>
        <v>0.0233084722317582</v>
      </c>
      <c r="H2852" s="28" t="n">
        <f aca="false">Sens!$G$2852+step_na</f>
        <v>0.0263084722317582</v>
      </c>
      <c r="I2852" s="28" t="n">
        <f aca="false">Sens!$H$2852+step_na</f>
        <v>0.0293084722317582</v>
      </c>
      <c r="J2852" s="28" t="n">
        <f aca="false">Sens!$I$2852+step_na</f>
        <v>0.0323084722317582</v>
      </c>
      <c r="K2852" s="28" t="n">
        <f aca="false">Sens!$J$2852+step_na</f>
        <v>0.0353084722317582</v>
      </c>
      <c r="L2852" s="28" t="n">
        <f aca="false">Sens!$K$2852</f>
        <v>0.0353084722317582</v>
      </c>
      <c r="M2852" s="28" t="n">
        <f aca="false">Sens!$L$2852</f>
        <v>0.0353084722317582</v>
      </c>
      <c r="N2852" s="28" t="n">
        <f aca="false">(Sens!$N$2853-Sens!$N$2849+Sens!$N$2851)/Sens!$N$2850</f>
        <v>0.0160847638865004</v>
      </c>
      <c r="O2852" s="28" t="n">
        <f aca="false">(Sens!$O$2853-Sens!$O$2849+Sens!$O$2851)/Sens!$O$2850</f>
        <v>0.0126675183476664</v>
      </c>
      <c r="P2852" s="8" t="s">
        <v>724</v>
      </c>
    </row>
    <row r="2853" customFormat="false" ht="17.15" hidden="false" customHeight="false" outlineLevel="0" collapsed="false">
      <c r="A2853" s="1" t="s">
        <v>725</v>
      </c>
      <c r="B2853" s="8" t="s">
        <v>86</v>
      </c>
      <c r="C2853" s="38" t="n">
        <f aca="false">Q!$D$22</f>
        <v>24.967</v>
      </c>
      <c r="D2853" s="38" t="n">
        <f aca="false">Q!$E$22</f>
        <v>29.619</v>
      </c>
      <c r="E2853" s="38" t="n">
        <f aca="false">Q!$P$22</f>
        <v>17.39</v>
      </c>
      <c r="F2853" s="38" t="n">
        <f aca="false">Sens!$F$2849+Sens!$F$2850*Sens!$F$2852-Sens!$F$2851</f>
        <v>20.0952046338426</v>
      </c>
      <c r="G2853" s="38" t="n">
        <f aca="false">Sens!$E$2853+Sens!$F$2853</f>
        <v>37.4852046338426</v>
      </c>
      <c r="H2853" s="38" t="n">
        <f aca="false">Sens!$H$2849+Sens!$H$2850*Sens!$H$2852-Sens!$H$2851</f>
        <v>41.7888918073883</v>
      </c>
      <c r="I2853" s="38" t="n">
        <f aca="false">Sens!$I$2849+Sens!$I$2850*Sens!$I$2852-Sens!$I$2851</f>
        <v>44.7346672062549</v>
      </c>
      <c r="J2853" s="38" t="n">
        <f aca="false">Sens!$J$2849+Sens!$J$2850*Sens!$J$2852-Sens!$J$2851</f>
        <v>47.2591567690313</v>
      </c>
      <c r="K2853" s="38" t="n">
        <f aca="false">Sens!$K$2849+Sens!$K$2850*Sens!$K$2852-Sens!$K$2851</f>
        <v>49.1270281920362</v>
      </c>
      <c r="L2853" s="38" t="n">
        <f aca="false">Sens!$L$2849+Sens!$L$2850*Sens!$L$2852-Sens!$L$2851</f>
        <v>51.679042975252</v>
      </c>
      <c r="M2853" s="38" t="n">
        <f aca="false">Sens!$M$2849+Sens!$M$2850*Sens!$M$2852-Sens!$M$2851</f>
        <v>56.2939544170269</v>
      </c>
      <c r="N2853" s="38" t="n">
        <f aca="false">Q!$N$22</f>
        <v>13.358</v>
      </c>
      <c r="O2853" s="38" t="n">
        <f aca="false">Q!$O$22</f>
        <v>16.261</v>
      </c>
    </row>
    <row r="2854" customFormat="false" ht="17.15" hidden="false" customHeight="false" outlineLevel="0" collapsed="false">
      <c r="A2854" s="0" t="s">
        <v>726</v>
      </c>
      <c r="B2854" s="0" t="s">
        <v>86</v>
      </c>
      <c r="C2854" s="38" t="n">
        <f aca="false">Sens!$C$2754*m_ad</f>
        <v>7.57284355857716</v>
      </c>
      <c r="D2854" s="38" t="n">
        <f aca="false">Sens!$D$2754*m_ad</f>
        <v>9.44543827004127</v>
      </c>
      <c r="E2854" s="38" t="n">
        <f aca="false">Sens!$E$2754*m_ad</f>
        <v>5.02428875377928</v>
      </c>
      <c r="F2854" s="38" t="n">
        <f aca="false">Sens!$F$2754*m_ad</f>
        <v>6.50663858068173</v>
      </c>
      <c r="G2854" s="38" t="n">
        <f aca="false">Sens!$G$2754*m_ad</f>
        <v>11.5225190751659</v>
      </c>
      <c r="H2854" s="38" t="n">
        <f aca="false">Sens!$H$2754*m_ad</f>
        <v>13.8333728663174</v>
      </c>
      <c r="I2854" s="38" t="n">
        <f aca="false">Sens!$I$2754*m_ad</f>
        <v>16.1440173245485</v>
      </c>
      <c r="J2854" s="38" t="n">
        <f aca="false">Sens!$J$2754*m_ad</f>
        <v>18.2995185845066</v>
      </c>
      <c r="K2854" s="38" t="n">
        <f aca="false">Sens!$K$2754*m_ad</f>
        <v>20.1294704429572</v>
      </c>
      <c r="L2854" s="38" t="n">
        <f aca="false">Sens!$L$2754*m_ad</f>
        <v>22.142417487253</v>
      </c>
      <c r="M2854" s="38" t="n">
        <f aca="false">Sens!$M$2754*m_ad</f>
        <v>24.3566592359783</v>
      </c>
      <c r="N2854" s="38" t="n">
        <f aca="false">Sens!$N$2754*m_ad</f>
        <v>3.95314442937518</v>
      </c>
      <c r="O2854" s="38" t="n">
        <f aca="false">Sens!$O$2754*m_ad</f>
        <v>5.50052681786011</v>
      </c>
    </row>
    <row r="2855" customFormat="false" ht="17.15" hidden="false" customHeight="false" outlineLevel="0" collapsed="false">
      <c r="A2855" s="0" t="s">
        <v>727</v>
      </c>
      <c r="B2855" s="0" t="s">
        <v>86</v>
      </c>
      <c r="C2855" s="38" t="n">
        <f aca="false">Sens!$C$2752-Sens!$C$2754</f>
        <v>127.760312882846</v>
      </c>
      <c r="D2855" s="38" t="n">
        <f aca="false">Sens!$D$2752-Sens!$D$2754</f>
        <v>143.003123459917</v>
      </c>
      <c r="E2855" s="38" t="n">
        <f aca="false">Sens!$E$2752-Sens!$E$2754</f>
        <v>71.9374224924414</v>
      </c>
      <c r="F2855" s="38" t="n">
        <f aca="false">Sens!$F$2752-Sens!$F$2754</f>
        <v>85.3951910035875</v>
      </c>
      <c r="G2855" s="38" t="n">
        <f aca="false">Sens!$G$2752-Sens!$G$2754</f>
        <v>157.349430014619</v>
      </c>
      <c r="H2855" s="38" t="n">
        <f aca="false">Sens!$H$2752-Sens!$H$2754</f>
        <v>172.043153372315</v>
      </c>
      <c r="I2855" s="38" t="n">
        <f aca="false">Sens!$I$2752-Sens!$I$2754</f>
        <v>186.097493615879</v>
      </c>
      <c r="J2855" s="38" t="n">
        <f aca="false">Sens!$J$2752-Sens!$J$2754</f>
        <v>199.117932780497</v>
      </c>
      <c r="K2855" s="38" t="n">
        <f aca="false">Sens!$K$2752-Sens!$K$2754</f>
        <v>210.70928698363</v>
      </c>
      <c r="L2855" s="38" t="n">
        <f aca="false">Sens!$L$2752-Sens!$L$2754</f>
        <v>223.000532251316</v>
      </c>
      <c r="M2855" s="38" t="n">
        <f aca="false">Sens!$M$2752-Sens!$M$2754</f>
        <v>236.035261011339</v>
      </c>
      <c r="N2855" s="38" t="n">
        <f aca="false">Sens!$N$2752-Sens!$N$2754</f>
        <v>62.3677111412496</v>
      </c>
      <c r="O2855" s="38" t="n">
        <f aca="false">Sens!$O$2752-Sens!$O$2754</f>
        <v>80.6189463642798</v>
      </c>
    </row>
    <row r="2856" customFormat="false" ht="17.15" hidden="false" customHeight="false" outlineLevel="0" collapsed="false">
      <c r="A2856" s="0" t="s">
        <v>728</v>
      </c>
      <c r="B2856" s="0" t="s">
        <v>86</v>
      </c>
      <c r="C2856" s="38" t="n">
        <f aca="false">Sens!$C$2802*(1-Sens!$C$2750)</f>
        <v>0.0457945781738352</v>
      </c>
      <c r="D2856" s="38" t="n">
        <f aca="false">Sens!$D$2802*(1-Sens!$D$2750)</f>
        <v>0.228141607537648</v>
      </c>
      <c r="E2856" s="38" t="n">
        <f aca="false">Sens!$E$2802*(1-Sens!$E$2750)</f>
        <v>0.361267638869087</v>
      </c>
      <c r="F2856" s="38" t="n">
        <f aca="false">Sens!$F$2802*(1-Sens!$F$2750)</f>
        <v>0.471315478677332</v>
      </c>
      <c r="G2856" s="38" t="n">
        <f aca="false">Sens!$G$2802*(1-Sens!$G$2750)</f>
        <v>0.83191739122084</v>
      </c>
      <c r="H2856" s="38" t="n">
        <f aca="false">Sens!$H$2802*(1-Sens!$H$2750)</f>
        <v>2.35292249281514</v>
      </c>
      <c r="I2856" s="38" t="n">
        <f aca="false">Sens!$I$2802*(1-Sens!$I$2750)</f>
        <v>4.4632701243194</v>
      </c>
      <c r="J2856" s="38" t="n">
        <f aca="false">Sens!$J$2802*(1-Sens!$J$2750)</f>
        <v>6.63076440499394</v>
      </c>
      <c r="K2856" s="38" t="n">
        <f aca="false">Sens!$K$2802*(1-Sens!$K$2750)</f>
        <v>8.7518813872338</v>
      </c>
      <c r="L2856" s="38" t="n">
        <f aca="false">Sens!$L$2802*(1-Sens!$L$2750)</f>
        <v>10.2213004207486</v>
      </c>
      <c r="M2856" s="38" t="n">
        <f aca="false">Sens!$M$2802*(1-Sens!$M$2750)</f>
        <v>11.128102089224</v>
      </c>
      <c r="N2856" s="38" t="n">
        <f aca="false">Sens!$N$2802*(1-Sens!$N$2750)</f>
        <v>0.0913453444533069</v>
      </c>
      <c r="O2856" s="38" t="n">
        <f aca="false">Sens!$O$2802*(1-Sens!$O$2750)</f>
        <v>0.137227038796394</v>
      </c>
    </row>
    <row r="2857" customFormat="false" ht="17.15" hidden="false" customHeight="false" outlineLevel="0" collapsed="false">
      <c r="A2857" s="0" t="s">
        <v>729</v>
      </c>
      <c r="B2857" s="0" t="s">
        <v>52</v>
      </c>
      <c r="C2857" s="28" t="n">
        <f aca="false">(Sens!$C$2858-Sens!$C$2854+Sens!$C$2856)/Sens!$C$2855</f>
        <v>-0.029234813974104</v>
      </c>
      <c r="D2857" s="28" t="n">
        <f aca="false">(Sens!$D$2858-Sens!$D$2854+Sens!$D$2856)/Sens!$D$2855</f>
        <v>-0.0312391544633342</v>
      </c>
      <c r="E2857" s="28" t="n">
        <f aca="false">(Sens!$E$2858-Sens!$E$2854+Sens!$E$2856)/Sens!$E$2855</f>
        <v>-0.0211575708744655</v>
      </c>
      <c r="F2857" s="28" t="n">
        <f aca="false">Sens!$O$2857+(Sens!$E$2857-Sens!$N$2857)</f>
        <v>-0.0382528571967304</v>
      </c>
      <c r="G2857" s="28" t="n">
        <f aca="false">(Sens!$G$2858-Sens!$G$2854+Sens!$G$2856)/Sens!$G$2855</f>
        <v>-0.0303838954373346</v>
      </c>
      <c r="H2857" s="28" t="n">
        <f aca="false">Sens!$G$2857+step_in</f>
        <v>-0.0303838954373346</v>
      </c>
      <c r="I2857" s="28" t="n">
        <f aca="false">Sens!$H$2857+step_in</f>
        <v>-0.0303838954373346</v>
      </c>
      <c r="J2857" s="28" t="n">
        <f aca="false">Sens!$I$2857+step_in</f>
        <v>-0.0303838954373346</v>
      </c>
      <c r="K2857" s="28" t="n">
        <f aca="false">Sens!$J$2857+step_in</f>
        <v>-0.0303838954373346</v>
      </c>
      <c r="L2857" s="28" t="n">
        <f aca="false">Sens!$K$2857</f>
        <v>-0.0303838954373346</v>
      </c>
      <c r="M2857" s="28" t="n">
        <f aca="false">Sens!$L$2857</f>
        <v>-0.0303838954373346</v>
      </c>
      <c r="N2857" s="28" t="n">
        <f aca="false">(Sens!$N$2858-Sens!$N$2854+Sens!$N$2856)/Sens!$N$2855</f>
        <v>-0.0216586284826551</v>
      </c>
      <c r="O2857" s="28" t="n">
        <f aca="false">(Sens!$O$2858-Sens!$O$2854+Sens!$O$2856)/Sens!$O$2855</f>
        <v>-0.03875391480492</v>
      </c>
      <c r="P2857" s="8" t="s">
        <v>724</v>
      </c>
    </row>
    <row r="2858" customFormat="false" ht="17.15" hidden="false" customHeight="false" outlineLevel="0" collapsed="false">
      <c r="A2858" s="1" t="s">
        <v>730</v>
      </c>
      <c r="B2858" s="8" t="s">
        <v>86</v>
      </c>
      <c r="C2858" s="38" t="n">
        <f aca="false">Q!$D$23</f>
        <v>3.792</v>
      </c>
      <c r="D2858" s="38" t="n">
        <f aca="false">Q!$E$23</f>
        <v>4.75</v>
      </c>
      <c r="E2858" s="38" t="n">
        <f aca="false">Q!$P$23</f>
        <v>3.141</v>
      </c>
      <c r="F2858" s="38" t="n">
        <f aca="false">Sens!$F$2854+Sens!$F$2855*Sens!$F$2857-Sens!$F$2856</f>
        <v>2.76871305525665</v>
      </c>
      <c r="G2858" s="38" t="n">
        <f aca="false">Sens!$E$2858+Sens!$F$2858</f>
        <v>5.90971305525665</v>
      </c>
      <c r="H2858" s="38" t="n">
        <f aca="false">Sens!$H$2854+Sens!$H$2855*Sens!$H$2857-Sens!$H$2856</f>
        <v>6.2531091907285</v>
      </c>
      <c r="I2858" s="38" t="n">
        <f aca="false">Sens!$I$2854+Sens!$I$2855*Sens!$I$2857-Sens!$I$2856</f>
        <v>6.02638041305423</v>
      </c>
      <c r="J2858" s="38" t="n">
        <f aca="false">Sens!$J$2854+Sens!$J$2855*Sens!$J$2857-Sens!$J$2856</f>
        <v>5.61877573021181</v>
      </c>
      <c r="K2858" s="38" t="n">
        <f aca="false">Sens!$K$2854+Sens!$K$2855*Sens!$K$2857-Sens!$K$2856</f>
        <v>4.9754201123375</v>
      </c>
      <c r="L2858" s="38" t="n">
        <f aca="false">Sens!$L$2854+Sens!$L$2855*Sens!$L$2857-Sens!$L$2856</f>
        <v>5.14549221211039</v>
      </c>
      <c r="M2858" s="38" t="n">
        <f aca="false">Sens!$M$2854+Sens!$M$2855*Sens!$M$2857-Sens!$M$2856</f>
        <v>6.05688645666179</v>
      </c>
      <c r="N2858" s="38" t="n">
        <f aca="false">Q!$N$23</f>
        <v>2.511</v>
      </c>
      <c r="O2858" s="38" t="n">
        <f aca="false">Q!$O$23</f>
        <v>2.239</v>
      </c>
    </row>
    <row r="2859" customFormat="false" ht="17.15" hidden="false" customHeight="false" outlineLevel="0" collapsed="false">
      <c r="A2859" s="0" t="s">
        <v>731</v>
      </c>
      <c r="B2859" s="0" t="s">
        <v>86</v>
      </c>
      <c r="C2859" s="38" t="n">
        <f aca="false">Sens!$C$2799</f>
        <v>2.20473961600842</v>
      </c>
      <c r="D2859" s="38" t="n">
        <f aca="false">Sens!$D$2799</f>
        <v>7.50173910021566</v>
      </c>
      <c r="E2859" s="38" t="n">
        <f aca="false">Sens!$E$2799</f>
        <v>5.24853165224285</v>
      </c>
      <c r="F2859" s="38" t="n">
        <f aca="false">Sens!$F$2799</f>
        <v>10.718846095618</v>
      </c>
      <c r="G2859" s="38" t="n">
        <f aca="false">Sens!$G$2799</f>
        <v>15.9673777478609</v>
      </c>
      <c r="H2859" s="38" t="n">
        <f aca="false">Sens!$H$2799</f>
        <v>31.0675166869401</v>
      </c>
      <c r="I2859" s="38" t="n">
        <f aca="false">Sens!$I$2799</f>
        <v>41.9258121459615</v>
      </c>
      <c r="J2859" s="38" t="n">
        <f aca="false">Sens!$J$2799</f>
        <v>52.1426446217449</v>
      </c>
      <c r="K2859" s="38" t="n">
        <f aca="false">Sens!$K$2799</f>
        <v>56.93030440744</v>
      </c>
      <c r="L2859" s="38" t="n">
        <f aca="false">Sens!$L$2799</f>
        <v>58.9876323834396</v>
      </c>
      <c r="M2859" s="38" t="n">
        <f aca="false">Sens!$M$2799</f>
        <v>56.9981376821835</v>
      </c>
      <c r="N2859" s="38" t="n">
        <f aca="false">Sens!$N$2799</f>
        <v>2.41742954106544</v>
      </c>
      <c r="O2859" s="38" t="n">
        <f aca="false">Sens!$O$2799</f>
        <v>5.08430955915022</v>
      </c>
    </row>
    <row r="2860" customFormat="false" ht="17.15" hidden="false" customHeight="false" outlineLevel="0" collapsed="false">
      <c r="A2860" s="0" t="s">
        <v>649</v>
      </c>
      <c r="B2860" s="0" t="s">
        <v>86</v>
      </c>
      <c r="C2860" s="38" t="n">
        <f aca="false">Sens!$C$2804</f>
        <v>37.6292603839916</v>
      </c>
      <c r="D2860" s="38" t="n">
        <f aca="false">Sens!$D$2804</f>
        <v>38.1042608997843</v>
      </c>
      <c r="E2860" s="38" t="n">
        <f aca="false">Sens!$E$2804</f>
        <v>25.5334683477572</v>
      </c>
      <c r="F2860" s="38" t="n">
        <f aca="false">Sens!$F$2804</f>
        <v>23.509878924924</v>
      </c>
      <c r="G2860" s="38" t="n">
        <f aca="false">Sens!$G$2804</f>
        <v>49.0433472726811</v>
      </c>
      <c r="H2860" s="38" t="n">
        <f aca="false">Sens!$H$2804</f>
        <v>52.3834943521442</v>
      </c>
      <c r="I2860" s="38" t="n">
        <f aca="false">Sens!$I$2804</f>
        <v>57.7909334731098</v>
      </c>
      <c r="J2860" s="38" t="n">
        <f aca="false">Sens!$J$2804</f>
        <v>63.0853897167721</v>
      </c>
      <c r="K2860" s="38" t="n">
        <f aca="false">Sens!$K$2804</f>
        <v>68.1322208941139</v>
      </c>
      <c r="L2860" s="38" t="n">
        <f aca="false">Sens!$L$2804</f>
        <v>73.582798565643</v>
      </c>
      <c r="M2860" s="38" t="n">
        <f aca="false">Sens!$M$2804</f>
        <v>79.4694224508944</v>
      </c>
      <c r="N2860" s="38" t="n">
        <f aca="false">Sens!$N$2804</f>
        <v>19.2895704589346</v>
      </c>
      <c r="O2860" s="38" t="n">
        <f aca="false">Sens!$O$2804</f>
        <v>18.8146904408498</v>
      </c>
    </row>
    <row r="2861" customFormat="false" ht="17.15" hidden="false" customHeight="false" outlineLevel="0" collapsed="false">
      <c r="A2861" s="1" t="s">
        <v>732</v>
      </c>
      <c r="B2861" s="8" t="s">
        <v>86</v>
      </c>
      <c r="C2861" s="38" t="n">
        <f aca="false">Q!$D$24</f>
        <v>39.834</v>
      </c>
      <c r="D2861" s="38" t="n">
        <f aca="false">Q!$E$24</f>
        <v>45.606</v>
      </c>
      <c r="E2861" s="38" t="n">
        <f aca="false">Q!$P$24</f>
        <v>30.782</v>
      </c>
      <c r="F2861" s="38" t="n">
        <f aca="false">Sens!$F$2859+Sens!$F$2860</f>
        <v>34.228725020542</v>
      </c>
      <c r="G2861" s="38" t="n">
        <f aca="false">Sens!$G$2859+Sens!$G$2860</f>
        <v>65.010725020542</v>
      </c>
      <c r="H2861" s="38" t="n">
        <f aca="false">Sens!$H$2859+Sens!$H$2860</f>
        <v>83.4510110390844</v>
      </c>
      <c r="I2861" s="38" t="n">
        <f aca="false">Sens!$I$2859+Sens!$I$2860</f>
        <v>99.7167456190713</v>
      </c>
      <c r="J2861" s="38" t="n">
        <f aca="false">Sens!$J$2859+Sens!$J$2860</f>
        <v>115.228034338517</v>
      </c>
      <c r="K2861" s="38" t="n">
        <f aca="false">Sens!$K$2859+Sens!$K$2860</f>
        <v>125.062525301554</v>
      </c>
      <c r="L2861" s="38" t="n">
        <f aca="false">Sens!$L$2859+Sens!$L$2860</f>
        <v>132.570430949083</v>
      </c>
      <c r="M2861" s="38" t="n">
        <f aca="false">Sens!$M$2859+Sens!$M$2860</f>
        <v>136.467560133078</v>
      </c>
      <c r="N2861" s="38" t="n">
        <f aca="false">Q!$N$24</f>
        <v>21.707</v>
      </c>
      <c r="O2861" s="38" t="n">
        <f aca="false">Q!$O$24</f>
        <v>23.899</v>
      </c>
    </row>
    <row r="2862" customFormat="false" ht="17.15" hidden="false" customHeight="false" outlineLevel="0" collapsed="false">
      <c r="A2862" s="5" t="s">
        <v>733</v>
      </c>
      <c r="B2862" s="0" t="s">
        <v>86</v>
      </c>
      <c r="C2862" s="38" t="n">
        <f aca="false">Q!$D$26</f>
        <v>0</v>
      </c>
      <c r="D2862" s="38" t="n">
        <f aca="false">Q!$E$26</f>
        <v>0</v>
      </c>
      <c r="E2862" s="38" t="n">
        <f aca="false">Q!$P$26</f>
        <v>0</v>
      </c>
      <c r="F2862" s="39" t="n">
        <v>0</v>
      </c>
      <c r="G2862" s="38" t="n">
        <f aca="false">Sens!$E$2862+Sens!$F$2862</f>
        <v>0</v>
      </c>
      <c r="H2862" s="39" t="n">
        <v>0</v>
      </c>
      <c r="I2862" s="39" t="n">
        <v>0</v>
      </c>
      <c r="J2862" s="39" t="n">
        <v>0</v>
      </c>
      <c r="K2862" s="39" t="n">
        <v>0</v>
      </c>
      <c r="L2862" s="39" t="n">
        <v>0</v>
      </c>
      <c r="M2862" s="39" t="n">
        <v>0</v>
      </c>
      <c r="N2862" s="38" t="n">
        <f aca="false">Q!$N$26</f>
        <v>0</v>
      </c>
      <c r="O2862" s="38" t="n">
        <f aca="false">Q!$O$26</f>
        <v>0</v>
      </c>
    </row>
    <row r="2863" customFormat="false" ht="15" hidden="false" customHeight="false" outlineLevel="0" collapsed="false">
      <c r="A2863" s="3" t="s">
        <v>534</v>
      </c>
      <c r="B2863" s="8" t="s">
        <v>86</v>
      </c>
      <c r="C2863" s="38" t="n">
        <f aca="false">Q!$D$25</f>
        <v>68.593</v>
      </c>
      <c r="D2863" s="38" t="n">
        <f aca="false">Q!$E$25</f>
        <v>79.975</v>
      </c>
      <c r="E2863" s="38" t="n">
        <f aca="false">Q!$P$25</f>
        <v>51.313</v>
      </c>
      <c r="F2863" s="38" t="n">
        <f aca="false">Sens!$F$2853+Sens!$F$2858+Sens!$F$2861+Sens!$F$2862</f>
        <v>57.0926427096412</v>
      </c>
      <c r="G2863" s="38" t="n">
        <f aca="false">Sens!$G$2853+Sens!$G$2858+Sens!$G$2861+Sens!$G$2862</f>
        <v>108.405642709641</v>
      </c>
      <c r="H2863" s="38" t="n">
        <f aca="false">Sens!$H$2853+Sens!$H$2858+Sens!$H$2861+Sens!$H$2862</f>
        <v>131.493012037201</v>
      </c>
      <c r="I2863" s="38" t="n">
        <f aca="false">Sens!$I$2853+Sens!$I$2858+Sens!$I$2861+Sens!$I$2862</f>
        <v>150.47779323838</v>
      </c>
      <c r="J2863" s="38" t="n">
        <f aca="false">Sens!$J$2853+Sens!$J$2858+Sens!$J$2861+Sens!$J$2862</f>
        <v>168.10596683776</v>
      </c>
      <c r="K2863" s="38" t="n">
        <f aca="false">Sens!$K$2853+Sens!$K$2858+Sens!$K$2861+Sens!$K$2862</f>
        <v>179.164973605928</v>
      </c>
      <c r="L2863" s="38" t="n">
        <f aca="false">Sens!$L$2853+Sens!$L$2858+Sens!$L$2861+Sens!$L$2862</f>
        <v>189.394966136445</v>
      </c>
      <c r="M2863" s="38" t="n">
        <f aca="false">Sens!$M$2853+Sens!$M$2858+Sens!$M$2861+Sens!$M$2862</f>
        <v>198.818401006767</v>
      </c>
      <c r="N2863" s="38" t="n">
        <f aca="false">Q!$N$25</f>
        <v>37.576</v>
      </c>
      <c r="O2863" s="38" t="n">
        <f aca="false">Q!$O$25</f>
        <v>42.399</v>
      </c>
    </row>
    <row r="2864" customFormat="false" ht="17.15" hidden="false" customHeight="false" outlineLevel="0" collapsed="false">
      <c r="A2864" s="24" t="s">
        <v>764</v>
      </c>
      <c r="B2864" s="25" t="s">
        <v>86</v>
      </c>
      <c r="C2864" s="41" t="n">
        <f aca="false">Sens!$C$2853+Sens!$C$2858+Sens!$C$2861+Sens!$C$2862-Sens!$C$2863</f>
        <v>0</v>
      </c>
      <c r="D2864" s="41" t="n">
        <f aca="false">Sens!$D$2853+Sens!$D$2858+Sens!$D$2861+Sens!$D$2862-Sens!$D$2863</f>
        <v>0</v>
      </c>
      <c r="E2864" s="41" t="n">
        <f aca="false">Sens!$E$2853+Sens!$E$2858+Sens!$E$2861+Sens!$E$2862-Sens!$E$2863</f>
        <v>0</v>
      </c>
      <c r="F2864" s="41" t="n">
        <f aca="false">Sens!$F$2853+Sens!$F$2858+Sens!$F$2861+Sens!$F$2862-Sens!$F$2863</f>
        <v>0</v>
      </c>
      <c r="G2864" s="41" t="n">
        <f aca="false">Sens!$G$2853+Sens!$G$2858+Sens!$G$2861+Sens!$G$2862-Sens!$G$2863</f>
        <v>0</v>
      </c>
      <c r="H2864" s="41" t="n">
        <f aca="false">Sens!$H$2853+Sens!$H$2858+Sens!$H$2861+Sens!$H$2862-Sens!$H$2863</f>
        <v>0</v>
      </c>
      <c r="I2864" s="41" t="n">
        <f aca="false">Sens!$I$2853+Sens!$I$2858+Sens!$I$2861+Sens!$I$2862-Sens!$I$2863</f>
        <v>0</v>
      </c>
      <c r="J2864" s="41" t="n">
        <f aca="false">Sens!$J$2853+Sens!$J$2858+Sens!$J$2861+Sens!$J$2862-Sens!$J$2863</f>
        <v>0</v>
      </c>
      <c r="K2864" s="41" t="n">
        <f aca="false">Sens!$K$2853+Sens!$K$2858+Sens!$K$2861+Sens!$K$2862-Sens!$K$2863</f>
        <v>0</v>
      </c>
      <c r="L2864" s="41" t="n">
        <f aca="false">Sens!$L$2853+Sens!$L$2858+Sens!$L$2861+Sens!$L$2862-Sens!$L$2863</f>
        <v>0</v>
      </c>
      <c r="M2864" s="41" t="n">
        <f aca="false">Sens!$M$2853+Sens!$M$2858+Sens!$M$2861+Sens!$M$2862-Sens!$M$2863</f>
        <v>0</v>
      </c>
      <c r="N2864" s="41" t="n">
        <f aca="false">Sens!$N$2853+Sens!$N$2858+Sens!$N$2861+Sens!$N$2862-Sens!$N$2863</f>
        <v>0</v>
      </c>
      <c r="O2864" s="41" t="n">
        <f aca="false">Sens!$O$2853+Sens!$O$2858+Sens!$O$2861+Sens!$O$2862-Sens!$O$2863</f>
        <v>0</v>
      </c>
    </row>
    <row r="2865" customFormat="false" ht="17.15" hidden="false" customHeight="false" outlineLevel="0" collapsed="false">
      <c r="A2865" s="5" t="s">
        <v>735</v>
      </c>
      <c r="B2865" s="0" t="s">
        <v>86</v>
      </c>
      <c r="C2865" s="38" t="n">
        <f aca="false">Sens!$C$2801</f>
        <v>0</v>
      </c>
      <c r="D2865" s="38" t="n">
        <f aca="false">Sens!$D$2801</f>
        <v>0</v>
      </c>
      <c r="E2865" s="38" t="n">
        <f aca="false">Sens!$E$2801</f>
        <v>0</v>
      </c>
      <c r="F2865" s="38" t="n">
        <f aca="false">Sens!$F$2801</f>
        <v>3.77122048175818</v>
      </c>
      <c r="G2865" s="38" t="n">
        <f aca="false">Sens!$G$2801</f>
        <v>3.77122048175818</v>
      </c>
      <c r="H2865" s="38" t="n">
        <f aca="false">Sens!$H$2801</f>
        <v>15.1635543609893</v>
      </c>
      <c r="I2865" s="38" t="n">
        <f aca="false">Sens!$I$2801</f>
        <v>25.5818843619889</v>
      </c>
      <c r="J2865" s="38" t="n">
        <f aca="false">Sens!$J$2801</f>
        <v>36.0465624179122</v>
      </c>
      <c r="K2865" s="38" t="n">
        <f aca="false">Sens!$K$2801</f>
        <v>44.9741164026038</v>
      </c>
      <c r="L2865" s="38" t="n">
        <f aca="false">Sens!$L$2801</f>
        <v>50.8413488057813</v>
      </c>
      <c r="M2865" s="38" t="n">
        <f aca="false">Sens!$M$2801</f>
        <v>53.6407214274315</v>
      </c>
      <c r="N2865" s="38" t="n">
        <f aca="false">Sens!$N$2801</f>
        <v>0</v>
      </c>
      <c r="O2865" s="38" t="n">
        <f aca="false">Sens!$O$2801</f>
        <v>0</v>
      </c>
      <c r="P2865" s="5" t="s">
        <v>736</v>
      </c>
    </row>
    <row r="2866" customFormat="false" ht="17.15" hidden="false" customHeight="false" outlineLevel="0" collapsed="false">
      <c r="A2866" s="5" t="s">
        <v>737</v>
      </c>
      <c r="B2866" s="0" t="s">
        <v>86</v>
      </c>
      <c r="C2866" s="38" t="n">
        <f aca="false">Sens!$C$2863+Sens!$C$2865</f>
        <v>68.593</v>
      </c>
      <c r="D2866" s="38" t="n">
        <f aca="false">Sens!$D$2863+Sens!$D$2865</f>
        <v>79.975</v>
      </c>
      <c r="E2866" s="38" t="n">
        <f aca="false">Sens!$E$2863+Sens!$E$2865</f>
        <v>51.313</v>
      </c>
      <c r="F2866" s="38" t="n">
        <f aca="false">Sens!$F$2863+Sens!$F$2865</f>
        <v>60.8638631913994</v>
      </c>
      <c r="G2866" s="38" t="n">
        <f aca="false">Sens!$G$2863+Sens!$G$2865</f>
        <v>112.176863191399</v>
      </c>
      <c r="H2866" s="38" t="n">
        <f aca="false">Sens!$H$2863+Sens!$H$2865</f>
        <v>146.65656639819</v>
      </c>
      <c r="I2866" s="38" t="n">
        <f aca="false">Sens!$I$2863+Sens!$I$2865</f>
        <v>176.059677600369</v>
      </c>
      <c r="J2866" s="38" t="n">
        <f aca="false">Sens!$J$2863+Sens!$J$2865</f>
        <v>204.152529255672</v>
      </c>
      <c r="K2866" s="38" t="n">
        <f aca="false">Sens!$K$2863+Sens!$K$2865</f>
        <v>224.139090008531</v>
      </c>
      <c r="L2866" s="38" t="n">
        <f aca="false">Sens!$L$2863+Sens!$L$2865</f>
        <v>240.236314942226</v>
      </c>
      <c r="M2866" s="38" t="n">
        <f aca="false">Sens!$M$2863+Sens!$M$2865</f>
        <v>252.459122434198</v>
      </c>
      <c r="N2866" s="38" t="n">
        <f aca="false">Sens!$N$2863+Sens!$N$2865</f>
        <v>37.576</v>
      </c>
      <c r="O2866" s="38" t="n">
        <f aca="false">Sens!$O$2863+Sens!$O$2865</f>
        <v>42.399</v>
      </c>
    </row>
    <row r="2867" customFormat="false" ht="17.15" hidden="false" customHeight="false" outlineLevel="0" collapsed="false">
      <c r="A2867" s="0" t="s">
        <v>738</v>
      </c>
      <c r="B2867" s="0" t="s">
        <v>52</v>
      </c>
      <c r="C2867" s="13" t="n">
        <f aca="false">Sens!$C$2853/Sens!$C$2838</f>
        <v>0.0644314665661928</v>
      </c>
      <c r="D2867" s="13" t="n">
        <f aca="false">Sens!$D$2853/Sens!$D$2838</f>
        <v>0.0694784250712518</v>
      </c>
      <c r="E2867" s="13" t="n">
        <f aca="false">Sens!$E$2853/Sens!$E$2838</f>
        <v>0.0789306463326071</v>
      </c>
      <c r="F2867" s="13" t="n">
        <f aca="false">Sens!$F$2853/Sens!$F$2838</f>
        <v>0.0801756415383895</v>
      </c>
      <c r="G2867" s="13" t="n">
        <f aca="false">Sens!$G$2853/Sens!$G$2838</f>
        <v>0.079593219515993</v>
      </c>
      <c r="H2867" s="13" t="n">
        <f aca="false">Sens!$H$2853/Sens!$H$2838</f>
        <v>0.0801494716506278</v>
      </c>
      <c r="I2867" s="13" t="n">
        <f aca="false">Sens!$I$2853/Sens!$I$2838</f>
        <v>0.0784620691691591</v>
      </c>
      <c r="J2867" s="13" t="n">
        <f aca="false">Sens!$J$2853/Sens!$J$2838</f>
        <v>0.0767952786151706</v>
      </c>
      <c r="K2867" s="13" t="n">
        <f aca="false">Sens!$K$2853/Sens!$K$2838</f>
        <v>0.0749792602191061</v>
      </c>
      <c r="L2867" s="13" t="n">
        <f aca="false">Sens!$L$2853/Sens!$L$2838</f>
        <v>0.0740591427530076</v>
      </c>
      <c r="M2867" s="13" t="n">
        <f aca="false">Sens!$M$2853/Sens!$M$2838</f>
        <v>0.0757250541688967</v>
      </c>
      <c r="N2867" s="13" t="n">
        <f aca="false">Sens!$N$2853/Sens!$N$2838</f>
        <v>0.069228576611127</v>
      </c>
      <c r="O2867" s="13" t="n">
        <f aca="false">Sens!$O$2853/Sens!$O$2838</f>
        <v>0.069685022498393</v>
      </c>
    </row>
    <row r="2868" customFormat="false" ht="17.15" hidden="false" customHeight="false" outlineLevel="0" collapsed="false">
      <c r="A2868" s="0" t="s">
        <v>739</v>
      </c>
      <c r="B2868" s="0" t="s">
        <v>52</v>
      </c>
      <c r="C2868" s="13" t="n">
        <f aca="false">Sens!$C$2858/Sens!$C$2839</f>
        <v>0.026534925055631</v>
      </c>
      <c r="D2868" s="13" t="n">
        <f aca="false">Sens!$D$2858/Sens!$D$2839</f>
        <v>0.0293401855535103</v>
      </c>
      <c r="E2868" s="13" t="n">
        <f aca="false">Sens!$E$2858/Sens!$E$2839</f>
        <v>0.03831141902276</v>
      </c>
      <c r="F2868" s="13" t="n">
        <f aca="false">Sens!$F$2858/Sens!$F$2839</f>
        <v>0.0281349065470236</v>
      </c>
      <c r="G2868" s="13" t="n">
        <f aca="false">Sens!$G$2858/Sens!$G$2839</f>
        <v>0.0327599461079531</v>
      </c>
      <c r="H2868" s="13" t="n">
        <f aca="false">Sens!$H$2858/Sens!$H$2839</f>
        <v>0.0313109626450837</v>
      </c>
      <c r="I2868" s="13" t="n">
        <f aca="false">Sens!$I$2858/Sens!$I$2839</f>
        <v>0.027595145433548</v>
      </c>
      <c r="J2868" s="13" t="n">
        <f aca="false">Sens!$J$2858/Sens!$J$2839</f>
        <v>0.0238369589233025</v>
      </c>
      <c r="K2868" s="13" t="n">
        <f aca="false">Sens!$K$2858/Sens!$K$2839</f>
        <v>0.019824900365172</v>
      </c>
      <c r="L2868" s="13" t="n">
        <f aca="false">Sens!$L$2858/Sens!$L$2839</f>
        <v>0.0192509311883247</v>
      </c>
      <c r="M2868" s="13" t="n">
        <f aca="false">Sens!$M$2858/Sens!$M$2839</f>
        <v>0.0212709979717989</v>
      </c>
      <c r="N2868" s="13" t="n">
        <f aca="false">Sens!$N$2858/Sens!$N$2839</f>
        <v>0.0357315650169337</v>
      </c>
      <c r="O2868" s="13" t="n">
        <f aca="false">Sens!$O$2858/Sens!$O$2839</f>
        <v>0.0244378956559703</v>
      </c>
    </row>
    <row r="2869" customFormat="false" ht="17.15" hidden="false" customHeight="false" outlineLevel="0" collapsed="false">
      <c r="A2869" s="14" t="s">
        <v>740</v>
      </c>
      <c r="B2869" s="14" t="s">
        <v>52</v>
      </c>
      <c r="C2869" s="17" t="n">
        <f aca="false">Sens!$C$2861/Sens!$C$2840</f>
        <v>0.370355907620217</v>
      </c>
      <c r="D2869" s="17" t="n">
        <f aca="false">Sens!$D$2861/Sens!$D$2840</f>
        <v>0.35429015342785</v>
      </c>
      <c r="E2869" s="17" t="n">
        <f aca="false">Sens!$E$2861/Sens!$E$2840</f>
        <v>0.385647527531039</v>
      </c>
      <c r="F2869" s="17" t="n">
        <f aca="false">Sens!$F$2861/Sens!$F$2840</f>
        <v>0.394597798619902</v>
      </c>
      <c r="G2869" s="17" t="n">
        <f aca="false">Sens!$G$2861/Sens!$G$2840</f>
        <v>0.390308703298997</v>
      </c>
      <c r="H2869" s="17" t="n">
        <f aca="false">Sens!$H$2861/Sens!$H$2840</f>
        <v>0.380109055055545</v>
      </c>
      <c r="I2869" s="17" t="n">
        <f aca="false">Sens!$I$2861/Sens!$I$2840</f>
        <v>0.360208197160449</v>
      </c>
      <c r="J2869" s="17" t="n">
        <f aca="false">Sens!$J$2861/Sens!$J$2840</f>
        <v>0.345027702383078</v>
      </c>
      <c r="K2869" s="17" t="n">
        <f aca="false">Sens!$K$2861/Sens!$K$2840</f>
        <v>0.325450762465825</v>
      </c>
      <c r="L2869" s="17" t="n">
        <f aca="false">Sens!$L$2861/Sens!$L$2840</f>
        <v>0.31293908980466</v>
      </c>
      <c r="M2869" s="17" t="n">
        <f aca="false">Sens!$M$2861/Sens!$M$2840</f>
        <v>0.301853350531617</v>
      </c>
      <c r="N2869" s="17" t="n">
        <f aca="false">Sens!$N$2861/Sens!$N$2840</f>
        <v>0.360941137346192</v>
      </c>
      <c r="O2869" s="17" t="n">
        <f aca="false">Sens!$O$2861/Sens!$O$2840</f>
        <v>0.348458117664212</v>
      </c>
    </row>
    <row r="2870" customFormat="false" ht="17.15" hidden="false" customHeight="false" outlineLevel="0" collapsed="false">
      <c r="A2870" s="0" t="s">
        <v>741</v>
      </c>
      <c r="B2870" s="0" t="s">
        <v>52</v>
      </c>
      <c r="C2870" s="13" t="n">
        <f aca="false">Sens!$C$2859/Sens!$C$2841</f>
        <v>0.764309733549586</v>
      </c>
      <c r="D2870" s="13" t="n">
        <f aca="false">Sens!$D$2859/Sens!$D$2841</f>
        <v>0.693494103486603</v>
      </c>
      <c r="E2870" s="13" t="n">
        <f aca="false">Sens!$E$2859/Sens!$E$2841</f>
        <v>0.496224810757506</v>
      </c>
      <c r="F2870" s="13" t="n">
        <f aca="false">Sens!$F$2859/Sens!$F$2841</f>
        <v>0.615822353853036</v>
      </c>
      <c r="G2870" s="13" t="n">
        <f aca="false">Sens!$G$2859/Sens!$G$2841</f>
        <v>0.570616726359454</v>
      </c>
      <c r="H2870" s="13" t="n">
        <f aca="false">Sens!$H$2859/Sens!$H$2841</f>
        <v>0.477590663231423</v>
      </c>
      <c r="I2870" s="13" t="n">
        <f aca="false">Sens!$I$2859/Sens!$I$2841</f>
        <v>0.394082850371842</v>
      </c>
      <c r="J2870" s="13" t="n">
        <f aca="false">Sens!$J$2859/Sens!$J$2841</f>
        <v>0.352529477152771</v>
      </c>
      <c r="K2870" s="13" t="n">
        <f aca="false">Sens!$K$2859/Sens!$K$2841</f>
        <v>0.310529937064488</v>
      </c>
      <c r="L2870" s="13" t="n">
        <f aca="false">Sens!$L$2859/Sens!$L$2841</f>
        <v>0.285498549171917</v>
      </c>
      <c r="M2870" s="13" t="n">
        <f aca="false">Sens!$M$2859/Sens!$M$2841</f>
        <v>0.261795524312755</v>
      </c>
      <c r="N2870" s="13" t="n">
        <f aca="false">Sens!$N$2859/Sens!$N$2841</f>
        <v>0.638508374021094</v>
      </c>
      <c r="O2870" s="13" t="n">
        <f aca="false">Sens!$O$2859/Sens!$O$2841</f>
        <v>0.723101803968031</v>
      </c>
    </row>
    <row r="2871" customFormat="false" ht="15" hidden="false" customHeight="false" outlineLevel="0" collapsed="false">
      <c r="A2871" s="5" t="s">
        <v>742</v>
      </c>
      <c r="B2871" s="0" t="s">
        <v>52</v>
      </c>
      <c r="C2871" s="13" t="n">
        <f aca="false">Sens!$C$2863/Sens!$C$2843</f>
        <v>0.107519448742004</v>
      </c>
      <c r="D2871" s="13" t="n">
        <f aca="false">Sens!$D$2863/Sens!$D$2843</f>
        <v>0.111552967957552</v>
      </c>
      <c r="E2871" s="13" t="n">
        <f aca="false">Sens!$E$2863/Sens!$E$2843</f>
        <v>0.13428328426562</v>
      </c>
      <c r="F2871" s="13" t="n">
        <f aca="false">Sens!$F$2863/Sens!$F$2843</f>
        <v>0.131009058234323</v>
      </c>
      <c r="G2871" s="13" t="n">
        <f aca="false">Sens!$G$2863/Sens!$G$2843</f>
        <v>0.132538754139139</v>
      </c>
      <c r="H2871" s="13" t="n">
        <f aca="false">Sens!$H$2863/Sens!$H$2843</f>
        <v>0.139790737654098</v>
      </c>
      <c r="I2871" s="13" t="n">
        <f aca="false">Sens!$I$2863/Sens!$I$2843</f>
        <v>0.141245923932714</v>
      </c>
      <c r="J2871" s="13" t="n">
        <f aca="false">Sens!$J$2863/Sens!$J$2843</f>
        <v>0.141852490646583</v>
      </c>
      <c r="K2871" s="13" t="n">
        <f aca="false">Sens!$K$2863/Sens!$K$2843</f>
        <v>0.138839009555662</v>
      </c>
      <c r="L2871" s="13" t="n">
        <f aca="false">Sens!$L$2863/Sens!$L$2843</f>
        <v>0.136380640555194</v>
      </c>
      <c r="M2871" s="13" t="n">
        <f aca="false">Sens!$M$2863/Sens!$M$2843</f>
        <v>0.134314361174581</v>
      </c>
      <c r="N2871" s="13" t="n">
        <f aca="false">Sens!$N$2863/Sens!$N$2843</f>
        <v>0.116201614873411</v>
      </c>
      <c r="O2871" s="13" t="n">
        <f aca="false">Sens!$O$2863/Sens!$O$2843</f>
        <v>0.107733353660861</v>
      </c>
    </row>
    <row r="2872" customFormat="false" ht="17.15" hidden="false" customHeight="false" outlineLevel="0" collapsed="false">
      <c r="A2872" s="1" t="s">
        <v>743</v>
      </c>
    </row>
    <row r="2873" customFormat="false" ht="17.15" hidden="false" customHeight="false" outlineLevel="0" collapsed="false">
      <c r="A2873" s="5" t="s">
        <v>744</v>
      </c>
      <c r="B2873" s="0" t="s">
        <v>52</v>
      </c>
      <c r="D2873" s="28" t="n">
        <f aca="false">(Q!$E$29+Q!$E$30-(1-ext_sh)*Sens!$D$2795)/Sens!$D$2749</f>
        <v>0.0341092636335377</v>
      </c>
    </row>
    <row r="2874" customFormat="false" ht="17.15" hidden="false" customHeight="false" outlineLevel="0" collapsed="false">
      <c r="A2874" s="0" t="s">
        <v>538</v>
      </c>
      <c r="B2874" s="0" t="s">
        <v>86</v>
      </c>
      <c r="C2874" s="38" t="n">
        <f aca="false">Q!$D$29</f>
        <v>14.285</v>
      </c>
      <c r="D2874" s="38" t="n">
        <f aca="false">Q!$E$29</f>
        <v>15.503</v>
      </c>
      <c r="E2874" s="38" t="n">
        <f aca="false">Q!$P$29</f>
        <v>8.78</v>
      </c>
      <c r="F2874" s="38" t="n">
        <f aca="false">(Sens!$D$2873*Sens!$F$2749+(1-ext_sh)*Sens!$F$2795)*Sens!$F$2750</f>
        <v>9.16730732480911</v>
      </c>
      <c r="G2874" s="38" t="n">
        <f aca="false">Sens!$E$2874+Sens!$F$2874</f>
        <v>17.9473073248091</v>
      </c>
      <c r="H2874" s="38" t="n">
        <f aca="false">(Sens!$D$2873*Sens!$H$2749+(1-ext_sh)*Sens!$H$2795)*Sens!$H$2750</f>
        <v>21.6405477758086</v>
      </c>
      <c r="I2874" s="38" t="n">
        <f aca="false">(Sens!$D$2873*Sens!$I$2749+(1-ext_sh)*Sens!$I$2795)*Sens!$I$2750</f>
        <v>27.3126338310291</v>
      </c>
      <c r="J2874" s="38" t="n">
        <f aca="false">(Sens!$D$2873*Sens!$J$2749+(1-ext_sh)*Sens!$J$2795)*Sens!$J$2750</f>
        <v>33.011439822904</v>
      </c>
      <c r="K2874" s="38" t="n">
        <f aca="false">(Sens!$D$2873*Sens!$K$2749+(1-ext_sh)*Sens!$K$2795)*Sens!$K$2750</f>
        <v>38.6242295778764</v>
      </c>
      <c r="L2874" s="38" t="n">
        <f aca="false">(Sens!$D$2873*Sens!$L$2749+(1-ext_sh)*Sens!$L$2795)*Sens!$L$2750</f>
        <v>43.070304016353</v>
      </c>
      <c r="M2874" s="38" t="n">
        <f aca="false">(Sens!$D$2873*Sens!$M$2749+(1-ext_sh)*Sens!$M$2795)*Sens!$M$2750</f>
        <v>46.5898200398531</v>
      </c>
      <c r="N2874" s="38" t="n">
        <f aca="false">Q!$N$29</f>
        <v>7.272</v>
      </c>
      <c r="O2874" s="38" t="n">
        <f aca="false">Q!$O$29</f>
        <v>8.231</v>
      </c>
    </row>
    <row r="2875" customFormat="false" ht="17.15" hidden="false" customHeight="false" outlineLevel="0" collapsed="false">
      <c r="A2875" s="0" t="s">
        <v>540</v>
      </c>
      <c r="B2875" s="0" t="s">
        <v>86</v>
      </c>
      <c r="C2875" s="38" t="n">
        <f aca="false">Q!$D$30</f>
        <v>4.462</v>
      </c>
      <c r="D2875" s="38" t="n">
        <f aca="false">Q!$E$30</f>
        <v>4.907</v>
      </c>
      <c r="E2875" s="38" t="n">
        <f aca="false">Q!$P$30</f>
        <v>2.57</v>
      </c>
      <c r="F2875" s="38" t="n">
        <f aca="false">(Sens!$D$2873*Sens!$F$2749+(1-ext_sh)*Sens!$F$2795)*(1-Sens!$F$2750)</f>
        <v>3.59935160530967</v>
      </c>
      <c r="G2875" s="38" t="n">
        <f aca="false">Sens!$E$2875+Sens!$F$2875</f>
        <v>6.16935160530967</v>
      </c>
      <c r="H2875" s="38" t="n">
        <f aca="false">(Sens!$D$2873*Sens!$H$2749+(1-ext_sh)*Sens!$H$2795)*(1-Sens!$H$2750)</f>
        <v>8.28910519886713</v>
      </c>
      <c r="I2875" s="38" t="n">
        <f aca="false">(Sens!$D$2873*Sens!$I$2749+(1-ext_sh)*Sens!$I$2795)*(1-Sens!$I$2750)</f>
        <v>10.4617173940773</v>
      </c>
      <c r="J2875" s="38" t="n">
        <f aca="false">(Sens!$D$2873*Sens!$J$2749+(1-ext_sh)*Sens!$J$2795)*(1-Sens!$J$2750)</f>
        <v>12.644564282426</v>
      </c>
      <c r="K2875" s="38" t="n">
        <f aca="false">(Sens!$D$2873*Sens!$K$2749+(1-ext_sh)*Sens!$K$2795)*(1-Sens!$K$2750)</f>
        <v>14.7944638700002</v>
      </c>
      <c r="L2875" s="38" t="n">
        <f aca="false">(Sens!$D$2873*Sens!$L$2749+(1-ext_sh)*Sens!$L$2795)*(1-Sens!$L$2750)</f>
        <v>16.4974696868734</v>
      </c>
      <c r="M2875" s="38" t="n">
        <f aca="false">(Sens!$D$2873*Sens!$M$2749+(1-ext_sh)*Sens!$M$2795)*(1-Sens!$M$2750)</f>
        <v>17.8455704313705</v>
      </c>
      <c r="N2875" s="38" t="n">
        <f aca="false">Q!$N$30</f>
        <v>2.316</v>
      </c>
      <c r="O2875" s="38" t="n">
        <f aca="false">Q!$O$30</f>
        <v>2.591</v>
      </c>
    </row>
    <row r="2876" customFormat="false" ht="17.15" hidden="false" customHeight="false" outlineLevel="0" collapsed="false">
      <c r="A2876" s="0" t="s">
        <v>541</v>
      </c>
      <c r="B2876" s="0" t="s">
        <v>86</v>
      </c>
      <c r="C2876" s="38" t="n">
        <f aca="false">Sens!$C$2807</f>
        <v>13.32</v>
      </c>
      <c r="D2876" s="38" t="n">
        <f aca="false">Sens!$D$2807</f>
        <v>21.45</v>
      </c>
      <c r="E2876" s="38" t="n">
        <f aca="false">Sens!$E$2807</f>
        <v>15.353</v>
      </c>
      <c r="F2876" s="38" t="n">
        <f aca="false">Sens!$F$2807</f>
        <v>15.2413965409346</v>
      </c>
      <c r="G2876" s="38" t="n">
        <f aca="false">Sens!$G$2807</f>
        <v>30.5943965409346</v>
      </c>
      <c r="H2876" s="38" t="n">
        <f aca="false">Sens!$H$2807</f>
        <v>47.6216897316952</v>
      </c>
      <c r="I2876" s="38" t="n">
        <f aca="false">Sens!$I$2807</f>
        <v>72.5137858242478</v>
      </c>
      <c r="J2876" s="38" t="n">
        <f aca="false">Sens!$J$2807</f>
        <v>98.1591981365741</v>
      </c>
      <c r="K2876" s="38" t="n">
        <f aca="false">Sens!$K$2807</f>
        <v>124.229265462875</v>
      </c>
      <c r="L2876" s="38" t="n">
        <f aca="false">Sens!$L$2807</f>
        <v>143.522415203833</v>
      </c>
      <c r="M2876" s="38" t="n">
        <f aca="false">Sens!$M$2807</f>
        <v>157.343933384016</v>
      </c>
      <c r="N2876" s="38" t="n">
        <f aca="false">Sens!$N$2807</f>
        <v>9.234</v>
      </c>
      <c r="O2876" s="38" t="n">
        <f aca="false">Sens!$O$2807</f>
        <v>12.216</v>
      </c>
    </row>
    <row r="2877" customFormat="false" ht="17.15" hidden="false" customHeight="false" outlineLevel="0" collapsed="false">
      <c r="A2877" s="5" t="s">
        <v>745</v>
      </c>
      <c r="B2877" s="0" t="s">
        <v>86</v>
      </c>
      <c r="C2877" s="38" t="n">
        <f aca="false">Sens!$C$2874+Sens!$C$2875+Sens!$C$2876</f>
        <v>32.067</v>
      </c>
      <c r="D2877" s="38" t="n">
        <f aca="false">Sens!$D$2874+Sens!$D$2875+Sens!$D$2876</f>
        <v>41.86</v>
      </c>
      <c r="E2877" s="38" t="n">
        <f aca="false">Sens!$E$2874+Sens!$E$2875+Sens!$E$2876</f>
        <v>26.703</v>
      </c>
      <c r="F2877" s="38" t="n">
        <f aca="false">Sens!$F$2874+Sens!$F$2875+Sens!$F$2876</f>
        <v>28.0080554710534</v>
      </c>
      <c r="G2877" s="38" t="n">
        <f aca="false">Sens!$G$2874+Sens!$G$2875+Sens!$G$2876</f>
        <v>54.7110554710534</v>
      </c>
      <c r="H2877" s="38" t="n">
        <f aca="false">Sens!$H$2874+Sens!$H$2875+Sens!$H$2876</f>
        <v>77.551342706371</v>
      </c>
      <c r="I2877" s="38" t="n">
        <f aca="false">Sens!$I$2874+Sens!$I$2875+Sens!$I$2876</f>
        <v>110.288137049354</v>
      </c>
      <c r="J2877" s="38" t="n">
        <f aca="false">Sens!$J$2874+Sens!$J$2875+Sens!$J$2876</f>
        <v>143.815202241904</v>
      </c>
      <c r="K2877" s="38" t="n">
        <f aca="false">Sens!$K$2874+Sens!$K$2875+Sens!$K$2876</f>
        <v>177.647958910751</v>
      </c>
      <c r="L2877" s="38" t="n">
        <f aca="false">Sens!$L$2874+Sens!$L$2875+Sens!$L$2876</f>
        <v>203.090188907059</v>
      </c>
      <c r="M2877" s="38" t="n">
        <f aca="false">Sens!$M$2874+Sens!$M$2875+Sens!$M$2876</f>
        <v>221.779323855239</v>
      </c>
      <c r="N2877" s="38" t="n">
        <f aca="false">Sens!$N$2874+Sens!$N$2875+Sens!$N$2876</f>
        <v>18.822</v>
      </c>
      <c r="O2877" s="38" t="n">
        <f aca="false">Sens!$O$2874+Sens!$O$2875+Sens!$O$2876</f>
        <v>23.038</v>
      </c>
    </row>
    <row r="2878" customFormat="false" ht="17.15" hidden="false" customHeight="false" outlineLevel="0" collapsed="false">
      <c r="A2878" s="0" t="s">
        <v>746</v>
      </c>
      <c r="B2878" s="0" t="s">
        <v>86</v>
      </c>
      <c r="C2878" s="38" t="n">
        <f aca="false">Sens!$C$2849+Sens!$C$2854</f>
        <v>28.107</v>
      </c>
      <c r="D2878" s="38" t="n">
        <f aca="false">Sens!$D$2849+Sens!$D$2854</f>
        <v>34.3175</v>
      </c>
      <c r="E2878" s="38" t="n">
        <f aca="false">Sens!$E$2849+Sens!$E$2854</f>
        <v>18.526</v>
      </c>
      <c r="F2878" s="38" t="n">
        <f aca="false">Sens!$F$2849+Sens!$F$2854</f>
        <v>23.0786109972074</v>
      </c>
      <c r="G2878" s="38" t="n">
        <f aca="false">Sens!$G$2849+Sens!$G$2854</f>
        <v>41.6046109972074</v>
      </c>
      <c r="H2878" s="38" t="n">
        <f aca="false">Sens!$H$2849+Sens!$H$2854</f>
        <v>49.9484611939488</v>
      </c>
      <c r="I2878" s="38" t="n">
        <f aca="false">Sens!$I$2849+Sens!$I$2854</f>
        <v>58.2915555477481</v>
      </c>
      <c r="J2878" s="38" t="n">
        <f aca="false">Sens!$J$2849+Sens!$J$2854</f>
        <v>66.0744709709759</v>
      </c>
      <c r="K2878" s="38" t="n">
        <f aca="false">Sens!$K$2849+Sens!$K$2854</f>
        <v>72.6819180680735</v>
      </c>
      <c r="L2878" s="38" t="n">
        <f aca="false">Sens!$L$2849+Sens!$L$2854</f>
        <v>79.9501098748808</v>
      </c>
      <c r="M2878" s="38" t="n">
        <f aca="false">Sens!$M$2849+Sens!$M$2854</f>
        <v>87.9451208623689</v>
      </c>
      <c r="N2878" s="38" t="n">
        <f aca="false">Sens!$N$2849+Sens!$N$2854</f>
        <v>14.8075</v>
      </c>
      <c r="O2878" s="38" t="n">
        <f aca="false">Sens!$O$2849+Sens!$O$2854</f>
        <v>19.51</v>
      </c>
    </row>
    <row r="2879" customFormat="false" ht="17.15" hidden="false" customHeight="false" outlineLevel="0" collapsed="false">
      <c r="A2879" s="0" t="s">
        <v>747</v>
      </c>
      <c r="B2879" s="0" t="s">
        <v>86</v>
      </c>
      <c r="C2879" s="38" t="n">
        <f aca="false">Sens!$C$2853+Sens!$C$2858+Sens!$C$2874+Sens!$C$2875-Sens!$C$2878</f>
        <v>19.399</v>
      </c>
      <c r="D2879" s="38" t="n">
        <f aca="false">Sens!$D$2853+Sens!$D$2858+Sens!$D$2874+Sens!$D$2875-Sens!$D$2878</f>
        <v>20.4615</v>
      </c>
      <c r="E2879" s="38" t="n">
        <f aca="false">Sens!$E$2853+Sens!$E$2858+Sens!$E$2874+Sens!$E$2875-Sens!$E$2878</f>
        <v>13.355</v>
      </c>
      <c r="F2879" s="38" t="n">
        <f aca="false">Sens!$F$2853+Sens!$F$2858+Sens!$F$2874+Sens!$F$2875-Sens!$F$2878</f>
        <v>12.5519656220107</v>
      </c>
      <c r="G2879" s="38" t="n">
        <f aca="false">Sens!$G$2853+Sens!$G$2858+Sens!$G$2874+Sens!$G$2875-Sens!$G$2878</f>
        <v>25.9069656220107</v>
      </c>
      <c r="H2879" s="38" t="n">
        <f aca="false">Sens!$H$2853+Sens!$H$2858+Sens!$H$2874+Sens!$H$2875-Sens!$H$2878</f>
        <v>28.0231927788438</v>
      </c>
      <c r="I2879" s="38" t="n">
        <f aca="false">Sens!$I$2853+Sens!$I$2858+Sens!$I$2874+Sens!$I$2875-Sens!$I$2878</f>
        <v>30.2438432966675</v>
      </c>
      <c r="J2879" s="38" t="n">
        <f aca="false">Sens!$J$2853+Sens!$J$2858+Sens!$J$2874+Sens!$J$2875-Sens!$J$2878</f>
        <v>32.4594656335972</v>
      </c>
      <c r="K2879" s="38" t="n">
        <f aca="false">Sens!$K$2853+Sens!$K$2858+Sens!$K$2874+Sens!$K$2875-Sens!$K$2878</f>
        <v>34.8392236841768</v>
      </c>
      <c r="L2879" s="38" t="n">
        <f aca="false">Sens!$L$2853+Sens!$L$2858+Sens!$L$2874+Sens!$L$2875-Sens!$L$2878</f>
        <v>36.442199015708</v>
      </c>
      <c r="M2879" s="38" t="n">
        <f aca="false">Sens!$M$2853+Sens!$M$2858+Sens!$M$2874+Sens!$M$2875-Sens!$M$2878</f>
        <v>38.8411104825433</v>
      </c>
      <c r="N2879" s="38" t="n">
        <f aca="false">Sens!$N$2853+Sens!$N$2858+Sens!$N$2874+Sens!$N$2875-Sens!$N$2878</f>
        <v>10.6495</v>
      </c>
      <c r="O2879" s="38" t="n">
        <f aca="false">Sens!$O$2853+Sens!$O$2858+Sens!$O$2874+Sens!$O$2875-Sens!$O$2878</f>
        <v>9.81200000000001</v>
      </c>
    </row>
    <row r="2880" customFormat="false" ht="17.15" hidden="false" customHeight="false" outlineLevel="0" collapsed="false">
      <c r="A2880" s="0" t="s">
        <v>748</v>
      </c>
      <c r="B2880" s="0" t="s">
        <v>86</v>
      </c>
      <c r="C2880" s="38" t="n">
        <f aca="false">Sens!$C$2860+Sens!$C$2876-ext_sh*Sens!$C$2795</f>
        <v>50.7834399839246</v>
      </c>
      <c r="D2880" s="38" t="n">
        <f aca="false">Sens!$D$2860+Sens!$D$2876-ext_sh*Sens!$D$2795</f>
        <v>58.1663999397174</v>
      </c>
      <c r="E2880" s="38" t="n">
        <f aca="false">Sens!$E$2860+Sens!$E$2876-ext_sh*Sens!$E$2795</f>
        <v>37.4429466077237</v>
      </c>
      <c r="F2880" s="38" t="n">
        <f aca="false">Sens!$F$2860+Sens!$F$2876-ext_sh*Sens!$F$2795</f>
        <v>35.3077537258251</v>
      </c>
      <c r="G2880" s="38" t="n">
        <f aca="false">Sens!$G$2860+Sens!$G$2876-ext_sh*Sens!$G$2795</f>
        <v>72.7507003335488</v>
      </c>
      <c r="H2880" s="38" t="n">
        <f aca="false">Sens!$H$2860+Sens!$H$2876-ext_sh*Sens!$H$2795</f>
        <v>78.6709078251725</v>
      </c>
      <c r="I2880" s="38" t="n">
        <f aca="false">Sens!$I$2860+Sens!$I$2876-ext_sh*Sens!$I$2795</f>
        <v>86.7919419393906</v>
      </c>
      <c r="J2880" s="38" t="n">
        <f aca="false">Sens!$J$2860+Sens!$J$2876-ext_sh*Sens!$J$2795</f>
        <v>94.7432954006459</v>
      </c>
      <c r="K2880" s="38" t="n">
        <f aca="false">Sens!$K$2860+Sens!$K$2876-ext_sh*Sens!$K$2795</f>
        <v>102.322759032698</v>
      </c>
      <c r="L2880" s="38" t="n">
        <f aca="false">Sens!$L$2860+Sens!$L$2876-ext_sh*Sens!$L$2795</f>
        <v>110.508579755313</v>
      </c>
      <c r="M2880" s="38" t="n">
        <f aca="false">Sens!$M$2860+Sens!$M$2876-ext_sh*Sens!$M$2795</f>
        <v>119.349266135738</v>
      </c>
      <c r="N2880" s="38" t="n">
        <f aca="false">Sens!$N$2860+Sens!$N$2876-ext_sh*Sens!$N$2795</f>
        <v>27.8296399789011</v>
      </c>
      <c r="O2880" s="38" t="n">
        <f aca="false">Sens!$O$2860+Sens!$O$2876-ext_sh*Sens!$O$2795</f>
        <v>30.3367599608163</v>
      </c>
    </row>
    <row r="2881" customFormat="false" ht="17.15" hidden="false" customHeight="false" outlineLevel="0" collapsed="false">
      <c r="A2881" s="0" t="s">
        <v>749</v>
      </c>
      <c r="B2881" s="0" t="s">
        <v>86</v>
      </c>
      <c r="C2881" s="38" t="n">
        <f aca="false">Sens!$C$2798</f>
        <v>2.37056001607536</v>
      </c>
      <c r="D2881" s="38" t="n">
        <f aca="false">Sens!$D$2798</f>
        <v>8.8896000602826</v>
      </c>
      <c r="E2881" s="38" t="n">
        <f aca="false">Sens!$E$2798</f>
        <v>8.69205339227632</v>
      </c>
      <c r="F2881" s="38" t="n">
        <f aca="false">Sens!$F$2798</f>
        <v>14.1623678356515</v>
      </c>
      <c r="G2881" s="38" t="n">
        <f aca="false">Sens!$G$2798</f>
        <v>22.8544212279278</v>
      </c>
      <c r="H2881" s="38" t="n">
        <f aca="false">Sens!$H$2798</f>
        <v>52.4017929456071</v>
      </c>
      <c r="I2881" s="38" t="n">
        <f aca="false">Sens!$I$2798</f>
        <v>85.4385895039285</v>
      </c>
      <c r="J2881" s="38" t="n">
        <f aca="false">Sens!$J$2798</f>
        <v>118.643937074445</v>
      </c>
      <c r="K2881" s="38" t="n">
        <f aca="false">Sens!$K$2798</f>
        <v>146.969031731731</v>
      </c>
      <c r="L2881" s="38" t="n">
        <f aca="false">Sens!$L$2798</f>
        <v>165.584266397602</v>
      </c>
      <c r="M2881" s="38" t="n">
        <f aca="false">Sens!$M$2798</f>
        <v>174.462227381355</v>
      </c>
      <c r="N2881" s="38" t="n">
        <f aca="false">Sens!$N$2798</f>
        <v>3.11136002109891</v>
      </c>
      <c r="O2881" s="38" t="n">
        <f aca="false">Sens!$O$2798</f>
        <v>5.77824003918369</v>
      </c>
    </row>
    <row r="2882" customFormat="false" ht="17.15" hidden="false" customHeight="false" outlineLevel="0" collapsed="false">
      <c r="A2882" s="0" t="s">
        <v>750</v>
      </c>
      <c r="B2882" s="0" t="s">
        <v>86</v>
      </c>
      <c r="C2882" s="38" t="n">
        <f aca="false">Sens!$C$2863+Sens!$C$2877</f>
        <v>100.66</v>
      </c>
      <c r="D2882" s="38" t="n">
        <f aca="false">Sens!$D$2863+Sens!$D$2877</f>
        <v>121.835</v>
      </c>
      <c r="E2882" s="38" t="n">
        <f aca="false">Sens!$E$2863+Sens!$E$2877</f>
        <v>78.016</v>
      </c>
      <c r="F2882" s="38" t="n">
        <f aca="false">Sens!$F$2863+Sens!$F$2877</f>
        <v>85.1006981806947</v>
      </c>
      <c r="G2882" s="38" t="n">
        <f aca="false">Sens!$G$2863+Sens!$G$2877</f>
        <v>163.116698180695</v>
      </c>
      <c r="H2882" s="38" t="n">
        <f aca="false">Sens!$H$2863+Sens!$H$2877</f>
        <v>209.044354743572</v>
      </c>
      <c r="I2882" s="38" t="n">
        <f aca="false">Sens!$I$2863+Sens!$I$2877</f>
        <v>260.765930287735</v>
      </c>
      <c r="J2882" s="38" t="n">
        <f aca="false">Sens!$J$2863+Sens!$J$2877</f>
        <v>311.921169079664</v>
      </c>
      <c r="K2882" s="38" t="n">
        <f aca="false">Sens!$K$2863+Sens!$K$2877</f>
        <v>356.812932516679</v>
      </c>
      <c r="L2882" s="38" t="n">
        <f aca="false">Sens!$L$2863+Sens!$L$2877</f>
        <v>392.485155043504</v>
      </c>
      <c r="M2882" s="38" t="n">
        <f aca="false">Sens!$M$2863+Sens!$M$2877</f>
        <v>420.597724862006</v>
      </c>
      <c r="N2882" s="38" t="n">
        <f aca="false">Sens!$N$2863+Sens!$N$2877</f>
        <v>56.398</v>
      </c>
      <c r="O2882" s="38" t="n">
        <f aca="false">Sens!$O$2863+Sens!$O$2877</f>
        <v>65.437</v>
      </c>
    </row>
    <row r="2883" customFormat="false" ht="17.15" hidden="false" customHeight="false" outlineLevel="0" collapsed="false">
      <c r="A2883" s="1" t="s">
        <v>751</v>
      </c>
    </row>
    <row r="2884" customFormat="false" ht="15" hidden="false" customHeight="false" outlineLevel="0" collapsed="false">
      <c r="A2884" s="5" t="s">
        <v>544</v>
      </c>
      <c r="B2884" s="0" t="s">
        <v>86</v>
      </c>
      <c r="C2884" s="38" t="n">
        <f aca="false">Q!$D$34</f>
        <v>2.406</v>
      </c>
      <c r="D2884" s="38" t="n">
        <f aca="false">Q!$E$34</f>
        <v>2.274</v>
      </c>
      <c r="E2884" s="38" t="n">
        <f aca="false">Q!$P$34</f>
        <v>2.114</v>
      </c>
      <c r="F2884" s="38" t="n">
        <f aca="false">Sens!$F$2922</f>
        <v>3.24888962733561</v>
      </c>
      <c r="G2884" s="38" t="n">
        <f aca="false">Sens!$E$2884+Sens!$F$2884</f>
        <v>5.36288962733561</v>
      </c>
      <c r="H2884" s="38" t="n">
        <f aca="false">Sens!$H$2922</f>
        <v>7.42354172302123</v>
      </c>
      <c r="I2884" s="38" t="n">
        <f aca="false">Sens!$I$2922</f>
        <v>8.41292369726087</v>
      </c>
      <c r="J2884" s="38" t="n">
        <f aca="false">Sens!$J$2922</f>
        <v>9.56425615089845</v>
      </c>
      <c r="K2884" s="38" t="n">
        <f aca="false">Sens!$K$2922</f>
        <v>9.56425615089845</v>
      </c>
      <c r="L2884" s="38" t="n">
        <f aca="false">Sens!$L$2922</f>
        <v>9.56425615089845</v>
      </c>
      <c r="M2884" s="38" t="n">
        <f aca="false">Sens!$M$2922</f>
        <v>9.56425615089845</v>
      </c>
      <c r="N2884" s="38" t="n">
        <f aca="false">Q!$N$34</f>
        <v>1.057</v>
      </c>
      <c r="O2884" s="38" t="n">
        <f aca="false">Q!$O$34</f>
        <v>1.217</v>
      </c>
    </row>
    <row r="2885" customFormat="false" ht="15" hidden="false" customHeight="false" outlineLevel="0" collapsed="false">
      <c r="A2885" s="5" t="s">
        <v>752</v>
      </c>
      <c r="B2885" s="0" t="s">
        <v>86</v>
      </c>
      <c r="F2885" s="38" t="n">
        <f aca="false">Sens!$F$2923</f>
        <v>2.59</v>
      </c>
      <c r="H2885" s="38" t="n">
        <f aca="false">Sens!$H$2923</f>
        <v>3.79576441279107</v>
      </c>
      <c r="I2885" s="38" t="n">
        <f aca="false">Sens!$I$2923</f>
        <v>2.10589651022864</v>
      </c>
      <c r="J2885" s="38" t="n">
        <f aca="false">Sens!$J$2923</f>
        <v>2.10589651022864</v>
      </c>
      <c r="K2885" s="38" t="n">
        <f aca="false">Sens!$K$2923</f>
        <v>3.00361244286466</v>
      </c>
      <c r="L2885" s="38" t="n">
        <f aca="false">Sens!$L$2923</f>
        <v>7.94530257828218</v>
      </c>
      <c r="M2885" s="38" t="n">
        <f aca="false">Sens!$M$2923</f>
        <v>15.3354660692545</v>
      </c>
    </row>
    <row r="2886" customFormat="false" ht="17.15" hidden="false" customHeight="false" outlineLevel="0" collapsed="false">
      <c r="A2886" s="5" t="s">
        <v>753</v>
      </c>
      <c r="B2886" s="0" t="s">
        <v>86</v>
      </c>
      <c r="C2886" s="38" t="n">
        <f aca="false">Q!$D$39</f>
        <v>2.427</v>
      </c>
      <c r="D2886" s="38" t="n">
        <f aca="false">Q!$E$39</f>
        <v>19.61</v>
      </c>
      <c r="E2886" s="38" t="n">
        <f aca="false">Q!$P$39</f>
        <v>71.492</v>
      </c>
      <c r="F2886" s="39" t="n">
        <v>0</v>
      </c>
      <c r="G2886" s="38" t="n">
        <f aca="false">Sens!$E$2886+Sens!$F$2886</f>
        <v>71.492</v>
      </c>
      <c r="H2886" s="39" t="n">
        <v>0</v>
      </c>
      <c r="I2886" s="39" t="n">
        <v>0</v>
      </c>
      <c r="J2886" s="39" t="n">
        <v>0</v>
      </c>
      <c r="K2886" s="39" t="n">
        <v>0</v>
      </c>
      <c r="L2886" s="39" t="n">
        <v>0</v>
      </c>
      <c r="M2886" s="39" t="n">
        <v>0</v>
      </c>
      <c r="N2886" s="38" t="n">
        <f aca="false">Q!$N$39</f>
        <v>6.017</v>
      </c>
      <c r="O2886" s="38" t="n">
        <f aca="false">Q!$O$39</f>
        <v>13.593</v>
      </c>
      <c r="P2886" s="5" t="s">
        <v>754</v>
      </c>
    </row>
    <row r="2887" customFormat="false" ht="15" hidden="false" customHeight="false" outlineLevel="0" collapsed="false">
      <c r="A2887" s="5" t="s">
        <v>547</v>
      </c>
      <c r="B2887" s="0" t="s">
        <v>86</v>
      </c>
      <c r="C2887" s="38" t="n">
        <f aca="false">Q!$D$36</f>
        <v>68.614</v>
      </c>
      <c r="D2887" s="38" t="n">
        <f aca="false">Q!$E$36</f>
        <v>97.311</v>
      </c>
      <c r="E2887" s="38" t="n">
        <f aca="false">Q!$P$36</f>
        <v>120.691</v>
      </c>
      <c r="F2887" s="38" t="n">
        <f aca="false">Sens!$F$2863-Sens!$F$2884+Sens!$F$2885+Sens!$F$2886</f>
        <v>56.4337530823056</v>
      </c>
      <c r="G2887" s="38" t="n">
        <f aca="false">Sens!$E$2887+Sens!$F$2887</f>
        <v>177.124753082306</v>
      </c>
      <c r="H2887" s="38" t="n">
        <f aca="false">Sens!$H$2863-Sens!$H$2884+Sens!$H$2885+Sens!$H$2886</f>
        <v>127.865234726971</v>
      </c>
      <c r="I2887" s="38" t="n">
        <f aca="false">Sens!$I$2863-Sens!$I$2884+Sens!$I$2885+Sens!$I$2886</f>
        <v>144.170766051348</v>
      </c>
      <c r="J2887" s="38" t="n">
        <f aca="false">Sens!$J$2863-Sens!$J$2884+Sens!$J$2885+Sens!$J$2886</f>
        <v>160.64760719709</v>
      </c>
      <c r="K2887" s="38" t="n">
        <f aca="false">Sens!$K$2863-Sens!$K$2884+Sens!$K$2885+Sens!$K$2886</f>
        <v>172.604329897894</v>
      </c>
      <c r="L2887" s="38" t="n">
        <f aca="false">Sens!$L$2863-Sens!$L$2884+Sens!$L$2885+Sens!$L$2886</f>
        <v>187.776012563829</v>
      </c>
      <c r="M2887" s="38" t="n">
        <f aca="false">Sens!$M$2863-Sens!$M$2884+Sens!$M$2885+Sens!$M$2886</f>
        <v>204.589610925123</v>
      </c>
      <c r="N2887" s="38" t="n">
        <f aca="false">Q!$N$36</f>
        <v>42.536</v>
      </c>
      <c r="O2887" s="38" t="n">
        <f aca="false">Q!$O$36</f>
        <v>54.775</v>
      </c>
    </row>
    <row r="2888" customFormat="false" ht="15" hidden="false" customHeight="false" outlineLevel="0" collapsed="false">
      <c r="A2888" s="5" t="s">
        <v>548</v>
      </c>
      <c r="B2888" s="0" t="s">
        <v>86</v>
      </c>
      <c r="C2888" s="38" t="n">
        <f aca="false">Q!$D$37</f>
        <v>9.265</v>
      </c>
      <c r="D2888" s="38" t="n">
        <f aca="false">Q!$E$37</f>
        <v>19.087</v>
      </c>
      <c r="E2888" s="38" t="n">
        <f aca="false">Q!$P$37</f>
        <v>27.759</v>
      </c>
      <c r="F2888" s="38" t="n">
        <f aca="false">Sens!$F$2887*tax</f>
        <v>9.79602631423988</v>
      </c>
      <c r="G2888" s="38" t="n">
        <f aca="false">Sens!$E$2888+Sens!$F$2888</f>
        <v>37.5550263142399</v>
      </c>
      <c r="H2888" s="38" t="n">
        <f aca="false">Sens!$H$2887*tax</f>
        <v>22.1954262413676</v>
      </c>
      <c r="I2888" s="38" t="n">
        <f aca="false">Sens!$I$2887*tax</f>
        <v>25.0258141776139</v>
      </c>
      <c r="J2888" s="38" t="n">
        <f aca="false">Sens!$J$2887*tax</f>
        <v>27.8859388481074</v>
      </c>
      <c r="K2888" s="38" t="n">
        <f aca="false">Sens!$K$2887*tax</f>
        <v>29.9614408980653</v>
      </c>
      <c r="L2888" s="38" t="n">
        <f aca="false">Sens!$L$2887*tax</f>
        <v>32.595010251676</v>
      </c>
      <c r="M2888" s="38" t="n">
        <f aca="false">Sens!$M$2887*tax</f>
        <v>35.5135907640173</v>
      </c>
      <c r="N2888" s="38" t="n">
        <f aca="false">Q!$N$37</f>
        <v>7.231</v>
      </c>
      <c r="O2888" s="38" t="n">
        <f aca="false">Q!$O$37</f>
        <v>11.856</v>
      </c>
    </row>
    <row r="2889" customFormat="false" ht="15" hidden="false" customHeight="false" outlineLevel="0" collapsed="false">
      <c r="A2889" s="3" t="s">
        <v>549</v>
      </c>
      <c r="B2889" s="8" t="s">
        <v>86</v>
      </c>
      <c r="C2889" s="38" t="n">
        <f aca="false">Q!$D$38</f>
        <v>59.248</v>
      </c>
      <c r="D2889" s="38" t="n">
        <f aca="false">Q!$E$38</f>
        <v>77.67</v>
      </c>
      <c r="E2889" s="38" t="n">
        <f aca="false">Q!$P$38</f>
        <v>92.902</v>
      </c>
      <c r="F2889" s="38" t="n">
        <f aca="false">Sens!$F$2887-Sens!$F$2888</f>
        <v>46.6377267680658</v>
      </c>
      <c r="G2889" s="38" t="n">
        <f aca="false">Sens!$E$2889+Sens!$F$2889</f>
        <v>139.539726768066</v>
      </c>
      <c r="H2889" s="38" t="n">
        <f aca="false">Sens!$H$2887-Sens!$H$2888</f>
        <v>105.669808485603</v>
      </c>
      <c r="I2889" s="38" t="n">
        <f aca="false">Sens!$I$2887-Sens!$I$2888</f>
        <v>119.144951873734</v>
      </c>
      <c r="J2889" s="38" t="n">
        <f aca="false">Sens!$J$2887-Sens!$J$2888</f>
        <v>132.761668348983</v>
      </c>
      <c r="K2889" s="38" t="n">
        <f aca="false">Sens!$K$2887-Sens!$K$2888</f>
        <v>142.642888999829</v>
      </c>
      <c r="L2889" s="38" t="n">
        <f aca="false">Sens!$L$2887-Sens!$L$2888</f>
        <v>155.181002312153</v>
      </c>
      <c r="M2889" s="38" t="n">
        <f aca="false">Sens!$M$2887-Sens!$M$2888</f>
        <v>169.076020161105</v>
      </c>
      <c r="N2889" s="38" t="n">
        <f aca="false">Q!$N$38</f>
        <v>35.291</v>
      </c>
      <c r="O2889" s="38" t="n">
        <f aca="false">Q!$O$38</f>
        <v>42.379</v>
      </c>
    </row>
    <row r="2890" customFormat="false" ht="17.15" hidden="false" customHeight="false" outlineLevel="0" collapsed="false">
      <c r="A2890" s="5" t="s">
        <v>552</v>
      </c>
      <c r="B2890" s="5" t="s">
        <v>33</v>
      </c>
      <c r="C2890" s="22" t="n">
        <f aca="false">Q!$D$41</f>
        <v>10.721</v>
      </c>
      <c r="D2890" s="22" t="n">
        <f aca="false">Q!$E$41</f>
        <v>10.827</v>
      </c>
      <c r="E2890" s="22" t="n">
        <f aca="false">(Q!$L$41+Q!$M$41)/2</f>
        <v>10.8885</v>
      </c>
      <c r="F2890" s="22" t="n">
        <f aca="false">Sens!$G$2890</f>
        <v>10.924806</v>
      </c>
      <c r="G2890" s="22" t="n">
        <f aca="false">Q!$M$41*(1+sh_g*0.25)</f>
        <v>10.924806</v>
      </c>
      <c r="H2890" s="22" t="n">
        <f aca="false">Sens!$G$2890*(1+sh_g)</f>
        <v>11.012204448</v>
      </c>
      <c r="I2890" s="22" t="n">
        <f aca="false">Sens!$H$2890*(1+sh_g)</f>
        <v>11.100302083584</v>
      </c>
      <c r="J2890" s="22" t="n">
        <f aca="false">Sens!$I$2890*(1+sh_g)</f>
        <v>11.1891045002527</v>
      </c>
      <c r="K2890" s="22" t="n">
        <f aca="false">Sens!$J$2890*(1+sh_g)</f>
        <v>11.2786173362547</v>
      </c>
      <c r="L2890" s="22" t="n">
        <f aca="false">Sens!$K$2890*(1+sh_g)</f>
        <v>11.3688462749447</v>
      </c>
      <c r="M2890" s="22" t="n">
        <f aca="false">Sens!$L$2890*(1+sh_g)</f>
        <v>11.4597970451443</v>
      </c>
      <c r="P2890" s="5" t="s">
        <v>755</v>
      </c>
    </row>
    <row r="2891" customFormat="false" ht="17.15" hidden="false" customHeight="false" outlineLevel="0" collapsed="false">
      <c r="A2891" s="5" t="s">
        <v>756</v>
      </c>
      <c r="B2891" s="0" t="s">
        <v>86</v>
      </c>
      <c r="C2891" s="38" t="n">
        <f aca="false">Sens!$C$2889+Sens!$C$2865*(1-tax)</f>
        <v>59.248</v>
      </c>
      <c r="D2891" s="38" t="n">
        <f aca="false">Sens!$D$2889+Sens!$D$2865*(1-tax)</f>
        <v>77.67</v>
      </c>
      <c r="E2891" s="38" t="n">
        <f aca="false">Sens!$E$2889+Sens!$E$2865*(1-tax)</f>
        <v>92.902</v>
      </c>
      <c r="F2891" s="38" t="n">
        <f aca="false">Sens!$F$2889+Sens!$F$2865*(1-tax)</f>
        <v>49.7543217277144</v>
      </c>
      <c r="G2891" s="38" t="n">
        <f aca="false">Sens!$G$2889+Sens!$G$2865*(1-tax)</f>
        <v>142.656321727714</v>
      </c>
      <c r="H2891" s="38" t="n">
        <f aca="false">Sens!$H$2889+Sens!$H$2865*(1-tax)</f>
        <v>118.201204440948</v>
      </c>
      <c r="I2891" s="38" t="n">
        <f aca="false">Sens!$I$2889+Sens!$I$2865*(1-tax)</f>
        <v>140.286216948673</v>
      </c>
      <c r="J2891" s="38" t="n">
        <f aca="false">Sens!$J$2889+Sens!$J$2865*(1-tax)</f>
        <v>162.551105293266</v>
      </c>
      <c r="K2891" s="38" t="n">
        <f aca="false">Sens!$K$2889+Sens!$K$2865*(1-tax)</f>
        <v>179.810194696487</v>
      </c>
      <c r="L2891" s="38" t="n">
        <f aca="false">Sens!$L$2889+Sens!$L$2865*(1-tax)</f>
        <v>197.197079652708</v>
      </c>
      <c r="M2891" s="38" t="n">
        <f aca="false">Sens!$M$2889+Sens!$M$2865*(1-tax)</f>
        <v>213.405542351946</v>
      </c>
      <c r="N2891" s="38" t="n">
        <f aca="false">Sens!$N$2889+Sens!$N$2865*(1-tax)</f>
        <v>35.291</v>
      </c>
      <c r="O2891" s="38" t="n">
        <f aca="false">Sens!$O$2889+Sens!$O$2865*(1-tax)</f>
        <v>42.379</v>
      </c>
    </row>
    <row r="2892" customFormat="false" ht="17.15" hidden="false" customHeight="false" outlineLevel="0" collapsed="false">
      <c r="A2892" s="43" t="s">
        <v>757</v>
      </c>
      <c r="B2892" s="14" t="s">
        <v>27</v>
      </c>
      <c r="C2892" s="44" t="n">
        <f aca="false">Sens!$C$2891/Sens!$C$2890</f>
        <v>5.52635015390355</v>
      </c>
      <c r="D2892" s="44" t="n">
        <f aca="false">Sens!$D$2891/Sens!$D$2890</f>
        <v>7.1737323358271</v>
      </c>
      <c r="E2892" s="44" t="n">
        <f aca="false">Sens!$E$2891/Sens!$E$2890</f>
        <v>8.53212104513937</v>
      </c>
      <c r="F2892" s="14"/>
      <c r="G2892" s="44" t="n">
        <f aca="false">Sens!$G$2891/Sens!$G$2890</f>
        <v>13.0580187627784</v>
      </c>
      <c r="H2892" s="44" t="n">
        <f aca="false">Sens!$H$2891/Sens!$H$2890</f>
        <v>10.7336551004931</v>
      </c>
      <c r="I2892" s="44" t="n">
        <f aca="false">Sens!$I$2891/Sens!$I$2890</f>
        <v>12.6380539819848</v>
      </c>
      <c r="J2892" s="44" t="n">
        <f aca="false">Sens!$J$2891/Sens!$J$2890</f>
        <v>14.5276241981291</v>
      </c>
      <c r="K2892" s="44" t="n">
        <f aca="false">Sens!$K$2891/Sens!$K$2890</f>
        <v>15.9425742833294</v>
      </c>
      <c r="L2892" s="44" t="n">
        <f aca="false">Sens!$L$2891/Sens!$L$2890</f>
        <v>17.3453906301206</v>
      </c>
      <c r="M2892" s="44" t="n">
        <f aca="false">Sens!$M$2891/Sens!$M$2890</f>
        <v>18.6221048689836</v>
      </c>
      <c r="N2892" s="14"/>
      <c r="O2892" s="14"/>
    </row>
    <row r="2893" customFormat="false" ht="17.15" hidden="false" customHeight="false" outlineLevel="0" collapsed="false">
      <c r="A2893" s="0" t="s">
        <v>758</v>
      </c>
      <c r="B2893" s="0" t="s">
        <v>27</v>
      </c>
      <c r="C2893" s="30" t="n">
        <f aca="false">Sens!$C$2889/Sens!$C$2890</f>
        <v>5.52635015390355</v>
      </c>
      <c r="D2893" s="30" t="n">
        <f aca="false">Sens!$D$2889/Sens!$D$2890</f>
        <v>7.1737323358271</v>
      </c>
      <c r="E2893" s="30" t="n">
        <f aca="false">Sens!$E$2889/Sens!$E$2890</f>
        <v>8.53212104513937</v>
      </c>
      <c r="G2893" s="30" t="n">
        <f aca="false">Sens!$G$2889/Sens!$G$2890</f>
        <v>12.7727418471381</v>
      </c>
      <c r="H2893" s="30" t="n">
        <f aca="false">Sens!$H$2889/Sens!$H$2890</f>
        <v>9.59569984235035</v>
      </c>
      <c r="I2893" s="30" t="n">
        <f aca="false">Sens!$I$2889/Sens!$I$2890</f>
        <v>10.733487339046</v>
      </c>
      <c r="J2893" s="30" t="n">
        <f aca="false">Sens!$J$2889/Sens!$J$2890</f>
        <v>11.8652630642591</v>
      </c>
      <c r="K2893" s="30" t="n">
        <f aca="false">Sens!$K$2889/Sens!$K$2890</f>
        <v>12.6471964379276</v>
      </c>
      <c r="L2893" s="30" t="n">
        <f aca="false">Sens!$L$2889/Sens!$L$2890</f>
        <v>13.6496702092057</v>
      </c>
      <c r="M2893" s="30" t="n">
        <f aca="false">Sens!$M$2889/Sens!$M$2890</f>
        <v>14.7538407089631</v>
      </c>
    </row>
    <row r="2894" customFormat="false" ht="17.15" hidden="false" customHeight="false" outlineLevel="0" collapsed="false">
      <c r="A2894" s="0" t="s">
        <v>759</v>
      </c>
      <c r="B2894" s="0" t="s">
        <v>27</v>
      </c>
      <c r="C2894" s="30" t="n">
        <f aca="false">(Sens!$C$2889-Sens!$C$2886*(1-tax))/Sens!$C$2890</f>
        <v>5.33926775917445</v>
      </c>
      <c r="D2894" s="30" t="n">
        <f aca="false">(Sens!$D$2889-Sens!$D$2886*(1-tax))/Sens!$D$2890</f>
        <v>5.67691812755503</v>
      </c>
      <c r="E2894" s="30" t="n">
        <f aca="false">(Sens!$E$2889-Sens!$E$2886*(1-tax))/Sens!$E$2890</f>
        <v>3.10602057006846</v>
      </c>
      <c r="G2894" s="30" t="n">
        <f aca="false">(Sens!$G$2889-Sens!$G$2886*(1-tax))/Sens!$G$2890</f>
        <v>7.36467372924115</v>
      </c>
      <c r="H2894" s="30" t="n">
        <f aca="false">(Sens!$H$2889-Sens!$H$2886*(1-tax))/Sens!$H$2890</f>
        <v>9.59569984235035</v>
      </c>
      <c r="I2894" s="30" t="n">
        <f aca="false">(Sens!$I$2889-Sens!$I$2886*(1-tax))/Sens!$I$2890</f>
        <v>10.733487339046</v>
      </c>
      <c r="J2894" s="30" t="n">
        <f aca="false">(Sens!$J$2889-Sens!$J$2886*(1-tax))/Sens!$J$2890</f>
        <v>11.8652630642591</v>
      </c>
      <c r="K2894" s="30" t="n">
        <f aca="false">(Sens!$K$2889-Sens!$K$2886*(1-tax))/Sens!$K$2890</f>
        <v>12.6471964379276</v>
      </c>
      <c r="L2894" s="30" t="n">
        <f aca="false">(Sens!$L$2889-Sens!$L$2886*(1-tax))/Sens!$L$2890</f>
        <v>13.6496702092057</v>
      </c>
      <c r="M2894" s="30" t="n">
        <f aca="false">(Sens!$M$2889-Sens!$M$2886*(1-tax))/Sens!$M$2890</f>
        <v>14.7538407089631</v>
      </c>
      <c r="P2894" s="5" t="s">
        <v>760</v>
      </c>
    </row>
    <row r="2895" customFormat="false" ht="17.15" hidden="false" customHeight="false" outlineLevel="0" collapsed="false">
      <c r="A2895" s="0" t="s">
        <v>761</v>
      </c>
      <c r="B2895" s="0" t="s">
        <v>52</v>
      </c>
      <c r="H2895" s="13" t="n">
        <f aca="false">Sens!$H$2892/Sens!$G$2892-1</f>
        <v>-0.178002781624947</v>
      </c>
      <c r="I2895" s="13" t="n">
        <f aca="false">Sens!$I$2892/Sens!$H$2892-1</f>
        <v>0.177423148374149</v>
      </c>
      <c r="J2895" s="13" t="n">
        <f aca="false">Sens!$J$2892/Sens!$I$2892-1</f>
        <v>0.149514333364759</v>
      </c>
      <c r="K2895" s="13" t="n">
        <f aca="false">Sens!$K$2892/Sens!$J$2892-1</f>
        <v>0.0973972114024322</v>
      </c>
      <c r="L2895" s="13" t="n">
        <f aca="false">Sens!$L$2892/Sens!$K$2892-1</f>
        <v>0.0879918338067944</v>
      </c>
      <c r="M2895" s="13" t="n">
        <f aca="false">Sens!$M$2892/Sens!$L$2892-1</f>
        <v>0.0736053898172806</v>
      </c>
    </row>
    <row r="2898" customFormat="false" ht="19.4" hidden="false" customHeight="false" outlineLevel="0" collapsed="false">
      <c r="A2898" s="31" t="s">
        <v>1193</v>
      </c>
    </row>
    <row r="2899" customFormat="false" ht="17.15" hidden="false" customHeight="false" outlineLevel="0" collapsed="false">
      <c r="A2899" s="6" t="s">
        <v>16</v>
      </c>
      <c r="B2899" s="6" t="s">
        <v>17</v>
      </c>
      <c r="C2899" s="20" t="s">
        <v>497</v>
      </c>
      <c r="D2899" s="20" t="s">
        <v>498</v>
      </c>
      <c r="E2899" s="20" t="s">
        <v>580</v>
      </c>
      <c r="F2899" s="20" t="s">
        <v>581</v>
      </c>
      <c r="G2899" s="20" t="s">
        <v>582</v>
      </c>
      <c r="H2899" s="20" t="s">
        <v>583</v>
      </c>
      <c r="I2899" s="20" t="s">
        <v>584</v>
      </c>
      <c r="J2899" s="20" t="s">
        <v>585</v>
      </c>
      <c r="K2899" s="20" t="s">
        <v>586</v>
      </c>
      <c r="L2899" s="20" t="s">
        <v>587</v>
      </c>
      <c r="M2899" s="20" t="s">
        <v>588</v>
      </c>
      <c r="N2899" s="20" t="s">
        <v>589</v>
      </c>
      <c r="O2899" s="20" t="s">
        <v>590</v>
      </c>
      <c r="P2899" s="6" t="s">
        <v>23</v>
      </c>
      <c r="R2899" s="20" t="n">
        <v>2023</v>
      </c>
      <c r="S2899" s="20" t="n">
        <v>2024</v>
      </c>
      <c r="T2899" s="20" t="n">
        <v>2025</v>
      </c>
      <c r="U2899" s="20" t="n">
        <v>2026</v>
      </c>
      <c r="V2899" s="20" t="n">
        <v>2027</v>
      </c>
      <c r="W2899" s="20" t="n">
        <v>2028</v>
      </c>
      <c r="X2899" s="20" t="n">
        <v>2029</v>
      </c>
      <c r="Y2899" s="20" t="n">
        <v>2030</v>
      </c>
      <c r="Z2899" s="20" t="n">
        <v>2031</v>
      </c>
      <c r="AA2899" s="20" t="n">
        <v>2032</v>
      </c>
    </row>
    <row r="2900" customFormat="false" ht="15" hidden="false" customHeight="false" outlineLevel="0" collapsed="false">
      <c r="A2900" s="5" t="s">
        <v>549</v>
      </c>
      <c r="B2900" s="0" t="s">
        <v>86</v>
      </c>
      <c r="C2900" s="38" t="n">
        <f aca="false">Sens!$C$2889</f>
        <v>59.248</v>
      </c>
      <c r="D2900" s="38" t="n">
        <f aca="false">Sens!$D$2889</f>
        <v>77.67</v>
      </c>
      <c r="E2900" s="38" t="n">
        <f aca="false">Sens!$E$2889</f>
        <v>92.902</v>
      </c>
      <c r="F2900" s="38" t="n">
        <f aca="false">Sens!$F$2889</f>
        <v>46.6377267680658</v>
      </c>
      <c r="G2900" s="38" t="n">
        <f aca="false">Sens!$G$2889</f>
        <v>139.539726768066</v>
      </c>
      <c r="H2900" s="38" t="n">
        <f aca="false">Sens!$H$2889</f>
        <v>105.669808485603</v>
      </c>
      <c r="I2900" s="38" t="n">
        <f aca="false">Sens!$I$2889</f>
        <v>119.144951873734</v>
      </c>
      <c r="J2900" s="38" t="n">
        <f aca="false">Sens!$J$2889</f>
        <v>132.761668348983</v>
      </c>
      <c r="K2900" s="38" t="n">
        <f aca="false">Sens!$K$2889</f>
        <v>142.642888999829</v>
      </c>
      <c r="L2900" s="38" t="n">
        <f aca="false">Sens!$L$2889</f>
        <v>155.181002312153</v>
      </c>
      <c r="M2900" s="38" t="n">
        <f aca="false">Sens!$M$2889</f>
        <v>169.076020161105</v>
      </c>
    </row>
    <row r="2901" customFormat="false" ht="17.15" hidden="false" customHeight="false" outlineLevel="0" collapsed="false">
      <c r="A2901" s="5" t="s">
        <v>784</v>
      </c>
      <c r="B2901" s="0" t="s">
        <v>86</v>
      </c>
      <c r="C2901" s="38" t="n">
        <f aca="false">Sens!$C$2877</f>
        <v>32.067</v>
      </c>
      <c r="D2901" s="38" t="n">
        <f aca="false">Sens!$D$2877</f>
        <v>41.86</v>
      </c>
      <c r="E2901" s="38" t="n">
        <f aca="false">Sens!$E$2877</f>
        <v>26.703</v>
      </c>
      <c r="F2901" s="38" t="n">
        <f aca="false">Sens!$F$2877</f>
        <v>28.0080554710534</v>
      </c>
      <c r="G2901" s="38" t="n">
        <f aca="false">Sens!$G$2877</f>
        <v>54.7110554710534</v>
      </c>
      <c r="H2901" s="38" t="n">
        <f aca="false">Sens!$H$2877</f>
        <v>77.551342706371</v>
      </c>
      <c r="I2901" s="38" t="n">
        <f aca="false">Sens!$I$2877</f>
        <v>110.288137049354</v>
      </c>
      <c r="J2901" s="38" t="n">
        <f aca="false">Sens!$J$2877</f>
        <v>143.815202241904</v>
      </c>
      <c r="K2901" s="38" t="n">
        <f aca="false">Sens!$K$2877</f>
        <v>177.647958910751</v>
      </c>
      <c r="L2901" s="38" t="n">
        <f aca="false">Sens!$L$2877</f>
        <v>203.090188907059</v>
      </c>
      <c r="M2901" s="38" t="n">
        <f aca="false">Sens!$M$2877</f>
        <v>221.779323855239</v>
      </c>
    </row>
    <row r="2902" customFormat="false" ht="15" hidden="false" customHeight="false" outlineLevel="0" collapsed="false">
      <c r="A2902" s="5" t="s">
        <v>785</v>
      </c>
      <c r="B2902" s="0" t="s">
        <v>86</v>
      </c>
      <c r="C2902" s="38" t="n">
        <f aca="false">Q!$D$48</f>
        <v>22.011</v>
      </c>
      <c r="D2902" s="38" t="n">
        <f aca="false">Q!$E$48</f>
        <v>19.467</v>
      </c>
      <c r="E2902" s="38" t="n">
        <f aca="false">Q!$P$48</f>
        <v>10.07</v>
      </c>
      <c r="F2902" s="38" t="n">
        <f aca="false">sbc_r*Sens!$F$2819</f>
        <v>10.8509672993936</v>
      </c>
      <c r="G2902" s="38" t="n">
        <f aca="false">Sens!$E$2902+Sens!$F$2902</f>
        <v>20.9209672993936</v>
      </c>
      <c r="H2902" s="38" t="n">
        <f aca="false">sbc_r*Sens!$H$2819</f>
        <v>23.4214571163757</v>
      </c>
      <c r="I2902" s="38" t="n">
        <f aca="false">sbc_r*Sens!$I$2819</f>
        <v>26.5268769647391</v>
      </c>
      <c r="J2902" s="38" t="n">
        <f aca="false">sbc_r*Sens!$J$2819</f>
        <v>29.5077296972962</v>
      </c>
      <c r="K2902" s="38" t="n">
        <f aca="false">sbc_r*Sens!$K$2819</f>
        <v>32.1315174646659</v>
      </c>
      <c r="L2902" s="38" t="n">
        <f aca="false">sbc_r*Sens!$L$2819</f>
        <v>34.5784354563079</v>
      </c>
      <c r="M2902" s="38" t="n">
        <f aca="false">sbc_r*Sens!$M$2819</f>
        <v>36.8573204957885</v>
      </c>
    </row>
    <row r="2903" customFormat="false" ht="17.15" hidden="false" customHeight="false" outlineLevel="0" collapsed="false">
      <c r="A2903" s="5" t="s">
        <v>786</v>
      </c>
      <c r="B2903" s="0" t="s">
        <v>86</v>
      </c>
      <c r="C2903" s="38" t="n">
        <f aca="false">Q!$D$44-Sens!$C$2900-Sens!$C$2901-Sens!$C$2902</f>
        <v>2.551</v>
      </c>
      <c r="D2903" s="38" t="n">
        <f aca="false">Q!$E$44-Sens!$D$2900-Sens!$D$2901-Sens!$D$2902</f>
        <v>0.51700000000001</v>
      </c>
      <c r="E2903" s="38" t="n">
        <f aca="false">Q!$P$44-Sens!$E$2900-Sens!$E$2901-Sens!$E$2902</f>
        <v>-58.256</v>
      </c>
      <c r="F2903" s="38" t="n">
        <f aca="false">oth_r*Sens!$F$2819</f>
        <v>5.22277944367406</v>
      </c>
      <c r="G2903" s="38" t="n">
        <f aca="false">Sens!$E$2903+Sens!$F$2903</f>
        <v>-53.033220556326</v>
      </c>
      <c r="H2903" s="38" t="n">
        <f aca="false">oth_r*Sens!$H$2819</f>
        <v>11.2731981760867</v>
      </c>
      <c r="I2903" s="38" t="n">
        <f aca="false">oth_r*Sens!$I$2819</f>
        <v>12.767896528824</v>
      </c>
      <c r="J2903" s="38" t="n">
        <f aca="false">oth_r*Sens!$J$2819</f>
        <v>14.2026383307912</v>
      </c>
      <c r="K2903" s="38" t="n">
        <f aca="false">oth_r*Sens!$K$2819</f>
        <v>15.4655178914684</v>
      </c>
      <c r="L2903" s="38" t="n">
        <f aca="false">oth_r*Sens!$L$2819</f>
        <v>16.6432666243228</v>
      </c>
      <c r="M2903" s="38" t="n">
        <f aca="false">oth_r*Sens!$M$2819</f>
        <v>17.7401378626464</v>
      </c>
      <c r="P2903" s="8" t="s">
        <v>787</v>
      </c>
    </row>
    <row r="2904" customFormat="false" ht="15" hidden="false" customHeight="false" outlineLevel="0" collapsed="false">
      <c r="A2904" s="3" t="s">
        <v>555</v>
      </c>
      <c r="B2904" s="8" t="s">
        <v>86</v>
      </c>
      <c r="C2904" s="38" t="n">
        <f aca="false">Q!$D$44</f>
        <v>115.877</v>
      </c>
      <c r="D2904" s="38" t="n">
        <f aca="false">Q!$E$44</f>
        <v>139.514</v>
      </c>
      <c r="E2904" s="38" t="n">
        <f aca="false">Q!$P$44</f>
        <v>71.419</v>
      </c>
      <c r="F2904" s="38" t="n">
        <f aca="false">Sens!$F$2900+Sens!$F$2901+Sens!$F$2902+Sens!$F$2903</f>
        <v>90.7195289821868</v>
      </c>
      <c r="G2904" s="38" t="n">
        <f aca="false">Sens!$E$2904+Sens!$F$2904</f>
        <v>162.138528982187</v>
      </c>
      <c r="H2904" s="38" t="n">
        <f aca="false">Sens!$H$2900+Sens!$H$2901+Sens!$H$2902+Sens!$H$2903</f>
        <v>217.915806484437</v>
      </c>
      <c r="I2904" s="38" t="n">
        <f aca="false">Sens!$I$2900+Sens!$I$2901+Sens!$I$2902+Sens!$I$2903</f>
        <v>268.727862416652</v>
      </c>
      <c r="J2904" s="38" t="n">
        <f aca="false">Sens!$J$2900+Sens!$J$2901+Sens!$J$2902+Sens!$J$2903</f>
        <v>320.287238618974</v>
      </c>
      <c r="K2904" s="38" t="n">
        <f aca="false">Sens!$K$2900+Sens!$K$2901+Sens!$K$2902+Sens!$K$2903</f>
        <v>367.887883266714</v>
      </c>
      <c r="L2904" s="38" t="n">
        <f aca="false">Sens!$L$2900+Sens!$L$2901+Sens!$L$2902+Sens!$L$2903</f>
        <v>409.492893299843</v>
      </c>
      <c r="M2904" s="38" t="n">
        <f aca="false">Sens!$M$2900+Sens!$M$2901+Sens!$M$2902+Sens!$M$2903</f>
        <v>445.45280237478</v>
      </c>
    </row>
    <row r="2905" customFormat="false" ht="17.15" hidden="false" customHeight="false" outlineLevel="0" collapsed="false">
      <c r="A2905" s="5" t="s">
        <v>788</v>
      </c>
      <c r="B2905" s="0" t="s">
        <v>86</v>
      </c>
      <c r="C2905" s="38" t="n">
        <f aca="false">Sens!$C$2786</f>
        <v>25.3908273132658</v>
      </c>
      <c r="D2905" s="38" t="n">
        <f aca="false">Sens!$D$2786</f>
        <v>69.9913391517339</v>
      </c>
      <c r="E2905" s="38" t="n">
        <f aca="false">Sens!$E$2786</f>
        <v>64.6032346687814</v>
      </c>
      <c r="F2905" s="38" t="n">
        <f aca="false">Sens!$F$2786</f>
        <v>96.2481299895</v>
      </c>
      <c r="G2905" s="38" t="n">
        <f aca="false">Sens!$G$2786</f>
        <v>160.851364658281</v>
      </c>
      <c r="H2905" s="38" t="n">
        <f aca="false">Sens!$H$2786</f>
        <v>198.57136494475</v>
      </c>
      <c r="I2905" s="38" t="n">
        <f aca="false">Sens!$I$2786</f>
        <v>204.6464699105</v>
      </c>
      <c r="J2905" s="38" t="n">
        <f aca="false">Sens!$J$2786</f>
        <v>209.8832381105</v>
      </c>
      <c r="K2905" s="38" t="n">
        <f aca="false">Sens!$K$2786</f>
        <v>155.238385275201</v>
      </c>
      <c r="L2905" s="38" t="n">
        <f aca="false">Sens!$L$2786</f>
        <v>132.014141639902</v>
      </c>
      <c r="M2905" s="38" t="n">
        <f aca="false">Sens!$M$2786</f>
        <v>132.230981659852</v>
      </c>
    </row>
    <row r="2906" customFormat="false" ht="17.15" hidden="false" customHeight="false" outlineLevel="0" collapsed="false">
      <c r="A2906" s="5" t="s">
        <v>789</v>
      </c>
      <c r="B2906" s="0" t="s">
        <v>86</v>
      </c>
      <c r="C2906" s="38" t="n">
        <f aca="false">cx_awso*Sens!$C$2817</f>
        <v>20.9342769230769</v>
      </c>
      <c r="D2906" s="38" t="n">
        <f aca="false">cx_awso*Sens!$D$2817</f>
        <v>23.5815384615385</v>
      </c>
      <c r="E2906" s="38" t="n">
        <f aca="false">cx_awso*Sens!$E$2817</f>
        <v>13.8484153846154</v>
      </c>
      <c r="F2906" s="38" t="n">
        <f aca="false">cx_awso*Sens!$F$2817</f>
        <v>13.8675162119101</v>
      </c>
      <c r="G2906" s="38" t="n">
        <f aca="false">Sens!$E$2906+Sens!$F$2906</f>
        <v>27.7159315965255</v>
      </c>
      <c r="H2906" s="38" t="n">
        <f aca="false">cx_awso*Sens!$H$2817</f>
        <v>30.8988812526269</v>
      </c>
      <c r="I2906" s="38" t="n">
        <f aca="false">cx_awso*Sens!$I$2817</f>
        <v>34.0885084690992</v>
      </c>
      <c r="J2906" s="38" t="n">
        <f aca="false">cx_awso*Sens!$J$2817</f>
        <v>37.2114917063459</v>
      </c>
      <c r="K2906" s="38" t="n">
        <f aca="false">cx_awso*Sens!$K$2817</f>
        <v>40.1884110428535</v>
      </c>
      <c r="L2906" s="38" t="n">
        <f aca="false">cx_awso*Sens!$L$2817</f>
        <v>43.4034839262818</v>
      </c>
      <c r="M2906" s="38" t="n">
        <f aca="false">cx_awso*Sens!$M$2817</f>
        <v>46.8757626403844</v>
      </c>
    </row>
    <row r="2907" customFormat="false" ht="17.15" hidden="false" customHeight="false" outlineLevel="0" collapsed="false">
      <c r="A2907" s="5" t="s">
        <v>790</v>
      </c>
      <c r="B2907" s="0" t="s">
        <v>86</v>
      </c>
      <c r="C2907" s="38" t="n">
        <f aca="false">Q!$D$46-Sens!$C$2905-Sens!$C$2906</f>
        <v>31.3328957636573</v>
      </c>
      <c r="D2907" s="38" t="n">
        <f aca="false">Q!$E$46-Sens!$D$2905-Sens!$D$2906</f>
        <v>34.7471223867276</v>
      </c>
      <c r="E2907" s="38" t="n">
        <f aca="false">Q!$P$46-Sens!$E$2905-Sens!$E$2906</f>
        <v>17.8583499466032</v>
      </c>
      <c r="F2907" s="38" t="n">
        <f aca="false">cx_rt*Sens!$F$2749</f>
        <v>20.6195895799373</v>
      </c>
      <c r="G2907" s="38" t="n">
        <f aca="false">Sens!$E$2907+Sens!$F$2907</f>
        <v>38.4779395265405</v>
      </c>
      <c r="H2907" s="38" t="n">
        <f aca="false">cx_rt*Sens!$H$2749</f>
        <v>42.5978994743075</v>
      </c>
      <c r="I2907" s="38" t="n">
        <f aca="false">cx_rt*Sens!$I$2749</f>
        <v>46.5813904136335</v>
      </c>
      <c r="J2907" s="38" t="n">
        <f aca="false">cx_rt*Sens!$J$2749</f>
        <v>50.2781676586844</v>
      </c>
      <c r="K2907" s="38" t="n">
        <f aca="false">cx_rt*Sens!$K$2749</f>
        <v>53.5312440191755</v>
      </c>
      <c r="L2907" s="38" t="n">
        <f aca="false">cx_rt*Sens!$L$2749</f>
        <v>57.0116717051447</v>
      </c>
      <c r="M2907" s="38" t="n">
        <f aca="false">cx_rt*Sens!$M$2749</f>
        <v>60.7365554669226</v>
      </c>
    </row>
    <row r="2908" customFormat="false" ht="15" hidden="false" customHeight="false" outlineLevel="0" collapsed="false">
      <c r="A2908" s="3" t="s">
        <v>791</v>
      </c>
      <c r="B2908" s="8" t="s">
        <v>86</v>
      </c>
      <c r="C2908" s="38" t="n">
        <f aca="false">Q!$D$46</f>
        <v>77.658</v>
      </c>
      <c r="D2908" s="38" t="n">
        <f aca="false">Q!$E$46</f>
        <v>128.32</v>
      </c>
      <c r="E2908" s="38" t="n">
        <f aca="false">Q!$P$46</f>
        <v>96.31</v>
      </c>
      <c r="F2908" s="38" t="n">
        <f aca="false">Sens!$F$2905+Sens!$F$2906+Sens!$F$2907</f>
        <v>130.735235781347</v>
      </c>
      <c r="G2908" s="38" t="n">
        <f aca="false">Sens!$E$2908+Sens!$F$2908</f>
        <v>227.045235781347</v>
      </c>
      <c r="H2908" s="38" t="n">
        <f aca="false">Sens!$H$2905+Sens!$H$2906+Sens!$H$2907</f>
        <v>272.068145671684</v>
      </c>
      <c r="I2908" s="38" t="n">
        <f aca="false">Sens!$I$2905+Sens!$I$2906+Sens!$I$2907</f>
        <v>285.316368793233</v>
      </c>
      <c r="J2908" s="38" t="n">
        <f aca="false">Sens!$J$2905+Sens!$J$2906+Sens!$J$2907</f>
        <v>297.37289747553</v>
      </c>
      <c r="K2908" s="38" t="n">
        <f aca="false">Sens!$K$2905+Sens!$K$2906+Sens!$K$2907</f>
        <v>248.95804033723</v>
      </c>
      <c r="L2908" s="38" t="n">
        <f aca="false">Sens!$L$2905+Sens!$L$2906+Sens!$L$2907</f>
        <v>232.429297271328</v>
      </c>
      <c r="M2908" s="38" t="n">
        <f aca="false">Sens!$M$2905+Sens!$M$2906+Sens!$M$2907</f>
        <v>239.843299767159</v>
      </c>
    </row>
    <row r="2909" customFormat="false" ht="17.15" hidden="false" customHeight="false" outlineLevel="0" collapsed="false">
      <c r="A2909" s="5" t="s">
        <v>563</v>
      </c>
      <c r="B2909" s="0" t="s">
        <v>86</v>
      </c>
      <c r="C2909" s="38" t="n">
        <f aca="false">Q!$D$50</f>
        <v>2.043</v>
      </c>
      <c r="D2909" s="38" t="n">
        <f aca="false">Q!$E$50</f>
        <v>1.557</v>
      </c>
      <c r="E2909" s="38" t="n">
        <f aca="false">lease_pr/2</f>
        <v>0.8</v>
      </c>
      <c r="F2909" s="38" t="n">
        <f aca="false">lease_pr/2</f>
        <v>0.8</v>
      </c>
      <c r="G2909" s="38" t="n">
        <f aca="false">Sens!$E$2909+Sens!$F$2909</f>
        <v>1.6</v>
      </c>
      <c r="H2909" s="38" t="n">
        <f aca="false">lease_pr</f>
        <v>1.6</v>
      </c>
      <c r="I2909" s="38" t="n">
        <f aca="false">lease_pr</f>
        <v>1.6</v>
      </c>
      <c r="J2909" s="38" t="n">
        <f aca="false">lease_pr</f>
        <v>1.6</v>
      </c>
      <c r="K2909" s="38" t="n">
        <f aca="false">lease_pr</f>
        <v>1.6</v>
      </c>
      <c r="L2909" s="38" t="n">
        <f aca="false">lease_pr</f>
        <v>1.6</v>
      </c>
      <c r="M2909" s="38" t="n">
        <f aca="false">lease_pr</f>
        <v>1.6</v>
      </c>
      <c r="P2909" s="8" t="s">
        <v>792</v>
      </c>
    </row>
    <row r="2910" customFormat="false" ht="15" hidden="false" customHeight="false" outlineLevel="0" collapsed="false">
      <c r="A2910" s="47" t="s">
        <v>793</v>
      </c>
      <c r="B2910" s="14" t="s">
        <v>86</v>
      </c>
      <c r="C2910" s="48" t="n">
        <f aca="false">Sens!$C$2904-Sens!$C$2908-Sens!$C$2909</f>
        <v>36.176</v>
      </c>
      <c r="D2910" s="48" t="n">
        <f aca="false">Sens!$D$2904-Sens!$D$2908-Sens!$D$2909</f>
        <v>9.63700000000002</v>
      </c>
      <c r="E2910" s="48" t="n">
        <f aca="false">Sens!$E$2904-Sens!$E$2908-Sens!$E$2909</f>
        <v>-25.691</v>
      </c>
      <c r="F2910" s="48" t="n">
        <f aca="false">Sens!$F$2904-Sens!$F$2908-Sens!$F$2909</f>
        <v>-40.8157067991606</v>
      </c>
      <c r="G2910" s="48" t="n">
        <f aca="false">Sens!$G$2904-Sens!$G$2908-Sens!$G$2909</f>
        <v>-66.5067067991606</v>
      </c>
      <c r="H2910" s="48" t="n">
        <f aca="false">Sens!$H$2904-Sens!$H$2908-Sens!$H$2909</f>
        <v>-55.7523391872477</v>
      </c>
      <c r="I2910" s="48" t="n">
        <f aca="false">Sens!$I$2904-Sens!$I$2908-Sens!$I$2909</f>
        <v>-18.1885063765811</v>
      </c>
      <c r="J2910" s="48" t="n">
        <f aca="false">Sens!$J$2904-Sens!$J$2908-Sens!$J$2909</f>
        <v>21.3143411434439</v>
      </c>
      <c r="K2910" s="48" t="n">
        <f aca="false">Sens!$K$2904-Sens!$K$2908-Sens!$K$2909</f>
        <v>117.329842929484</v>
      </c>
      <c r="L2910" s="48" t="n">
        <f aca="false">Sens!$L$2904-Sens!$L$2908-Sens!$L$2909</f>
        <v>175.463596028514</v>
      </c>
      <c r="M2910" s="48" t="n">
        <f aca="false">Sens!$M$2904-Sens!$M$2908-Sens!$M$2909</f>
        <v>204.00950260762</v>
      </c>
      <c r="N2910" s="14"/>
      <c r="O2910" s="14"/>
    </row>
    <row r="2911" customFormat="false" ht="17.15" hidden="false" customHeight="false" outlineLevel="0" collapsed="false">
      <c r="A2911" s="5" t="s">
        <v>794</v>
      </c>
      <c r="B2911" s="0" t="s">
        <v>86</v>
      </c>
      <c r="C2911" s="38" t="n">
        <f aca="false">dps*Sens!$C$2890</f>
        <v>0</v>
      </c>
      <c r="D2911" s="38" t="n">
        <f aca="false">dps*Sens!$D$2890</f>
        <v>0</v>
      </c>
      <c r="E2911" s="38" t="n">
        <f aca="false">dps*Sens!$E$2890</f>
        <v>0</v>
      </c>
      <c r="F2911" s="38" t="n">
        <f aca="false">0</f>
        <v>0</v>
      </c>
      <c r="G2911" s="38" t="n">
        <f aca="false">dps*Sens!$G$2890</f>
        <v>0</v>
      </c>
      <c r="H2911" s="38" t="n">
        <f aca="false">dps*Sens!$H$2890</f>
        <v>0</v>
      </c>
      <c r="I2911" s="38" t="n">
        <f aca="false">dps*Sens!$I$2890</f>
        <v>0</v>
      </c>
      <c r="J2911" s="38" t="n">
        <f aca="false">dps*Sens!$J$2890</f>
        <v>0</v>
      </c>
      <c r="K2911" s="38" t="n">
        <f aca="false">dps*Sens!$K$2890</f>
        <v>0</v>
      </c>
      <c r="L2911" s="38" t="n">
        <f aca="false">dps*Sens!$L$2890</f>
        <v>0</v>
      </c>
      <c r="M2911" s="38" t="n">
        <f aca="false">dps*Sens!$M$2890</f>
        <v>0</v>
      </c>
      <c r="P2911" s="8" t="s">
        <v>795</v>
      </c>
    </row>
    <row r="2912" customFormat="false" ht="17.15" hidden="false" customHeight="false" outlineLevel="0" collapsed="false">
      <c r="A2912" s="5" t="s">
        <v>796</v>
      </c>
      <c r="B2912" s="0" t="s">
        <v>86</v>
      </c>
      <c r="C2912" s="38" t="n">
        <f aca="false">0</f>
        <v>0</v>
      </c>
      <c r="D2912" s="38" t="n">
        <f aca="false">0</f>
        <v>0</v>
      </c>
      <c r="E2912" s="38" t="n">
        <f aca="false">0</f>
        <v>0</v>
      </c>
      <c r="F2912" s="38" t="n">
        <f aca="false">0</f>
        <v>0</v>
      </c>
      <c r="G2912" s="38" t="n">
        <f aca="false">0</f>
        <v>0</v>
      </c>
      <c r="H2912" s="38" t="n">
        <f aca="false">0</f>
        <v>0</v>
      </c>
      <c r="I2912" s="38" t="n">
        <f aca="false">0</f>
        <v>0</v>
      </c>
      <c r="J2912" s="38" t="n">
        <f aca="false">0</f>
        <v>0</v>
      </c>
      <c r="K2912" s="38" t="n">
        <f aca="false">0</f>
        <v>0</v>
      </c>
      <c r="L2912" s="38" t="n">
        <f aca="false">0</f>
        <v>0</v>
      </c>
      <c r="M2912" s="38" t="n">
        <f aca="false">0</f>
        <v>0</v>
      </c>
      <c r="P2912" s="8" t="s">
        <v>797</v>
      </c>
    </row>
    <row r="2913" customFormat="false" ht="15" hidden="false" customHeight="false" outlineLevel="0" collapsed="false">
      <c r="A2913" s="3" t="s">
        <v>798</v>
      </c>
      <c r="B2913" s="8" t="s">
        <v>86</v>
      </c>
      <c r="C2913" s="38" t="n">
        <f aca="false">Sens!$C$2910-Sens!$C$2911</f>
        <v>36.176</v>
      </c>
      <c r="D2913" s="38" t="n">
        <f aca="false">Sens!$D$2910-Sens!$D$2911</f>
        <v>9.63700000000002</v>
      </c>
      <c r="E2913" s="38" t="n">
        <f aca="false">Sens!$E$2910-Sens!$E$2911</f>
        <v>-25.691</v>
      </c>
      <c r="F2913" s="38" t="n">
        <f aca="false">Sens!$F$2910-Sens!$F$2911</f>
        <v>-40.8157067991606</v>
      </c>
      <c r="G2913" s="38" t="n">
        <f aca="false">Sens!$G$2910-Sens!$G$2911</f>
        <v>-66.5067067991606</v>
      </c>
      <c r="H2913" s="38" t="n">
        <f aca="false">Sens!$H$2910-Sens!$H$2911</f>
        <v>-55.7523391872477</v>
      </c>
      <c r="I2913" s="38" t="n">
        <f aca="false">Sens!$I$2910-Sens!$I$2911</f>
        <v>-18.1885063765811</v>
      </c>
      <c r="J2913" s="38" t="n">
        <f aca="false">Sens!$J$2910-Sens!$J$2911</f>
        <v>21.3143411434439</v>
      </c>
      <c r="K2913" s="38" t="n">
        <f aca="false">Sens!$K$2910-Sens!$K$2911</f>
        <v>117.329842929484</v>
      </c>
      <c r="L2913" s="38" t="n">
        <f aca="false">Sens!$L$2910-Sens!$L$2911</f>
        <v>175.463596028514</v>
      </c>
      <c r="M2913" s="38" t="n">
        <f aca="false">Sens!$M$2910-Sens!$M$2911</f>
        <v>204.00950260762</v>
      </c>
    </row>
    <row r="2914" customFormat="false" ht="17.15" hidden="false" customHeight="false" outlineLevel="0" collapsed="false">
      <c r="A2914" s="5" t="s">
        <v>799</v>
      </c>
      <c r="B2914" s="0" t="s">
        <v>86</v>
      </c>
      <c r="E2914" s="38" t="n">
        <f aca="false">Q!$P$53</f>
        <v>39.767</v>
      </c>
      <c r="F2914" s="38" t="n">
        <f aca="false">inv_2h26</f>
        <v>21.3</v>
      </c>
      <c r="G2914" s="38" t="n">
        <f aca="false">Sens!$E$2914+Sens!$F$2914</f>
        <v>61.067</v>
      </c>
      <c r="H2914" s="39" t="n">
        <v>0</v>
      </c>
      <c r="I2914" s="39" t="n">
        <v>0</v>
      </c>
      <c r="J2914" s="39" t="n">
        <v>0</v>
      </c>
      <c r="K2914" s="39" t="n">
        <v>0</v>
      </c>
      <c r="L2914" s="39" t="n">
        <v>0</v>
      </c>
      <c r="M2914" s="39" t="n">
        <v>0</v>
      </c>
    </row>
    <row r="2915" customFormat="false" ht="17.15" hidden="false" customHeight="false" outlineLevel="0" collapsed="false">
      <c r="A2915" s="5" t="s">
        <v>800</v>
      </c>
      <c r="B2915" s="0" t="s">
        <v>86</v>
      </c>
      <c r="F2915" s="38" t="n">
        <f aca="false">iss_2h26</f>
        <v>29.249999</v>
      </c>
      <c r="G2915" s="38" t="n">
        <f aca="false">Sens!$F$2915</f>
        <v>29.249999</v>
      </c>
      <c r="H2915" s="39" t="n">
        <v>0</v>
      </c>
      <c r="I2915" s="39" t="n">
        <v>0</v>
      </c>
      <c r="J2915" s="39" t="n">
        <v>0</v>
      </c>
      <c r="K2915" s="39" t="n">
        <v>0</v>
      </c>
      <c r="L2915" s="39" t="n">
        <v>0</v>
      </c>
      <c r="M2915" s="39" t="n">
        <v>0</v>
      </c>
    </row>
    <row r="2916" customFormat="false" ht="17.15" hidden="false" customHeight="false" outlineLevel="0" collapsed="false">
      <c r="A2916" s="5" t="s">
        <v>801</v>
      </c>
      <c r="B2916" s="0" t="s">
        <v>86</v>
      </c>
      <c r="F2916" s="38" t="n">
        <f aca="false">cash_q2</f>
        <v>122.988</v>
      </c>
      <c r="G2916" s="38" t="n">
        <f aca="false">cash_q2</f>
        <v>122.988</v>
      </c>
      <c r="H2916" s="38" t="n">
        <f aca="false">Sens!$G$2919</f>
        <v>90.1222922008394</v>
      </c>
      <c r="I2916" s="38" t="n">
        <f aca="false">Sens!$H$2919</f>
        <v>50</v>
      </c>
      <c r="J2916" s="38" t="n">
        <f aca="false">Sens!$I$2919</f>
        <v>50</v>
      </c>
      <c r="K2916" s="38" t="n">
        <f aca="false">Sens!$J$2919</f>
        <v>71.3143411434439</v>
      </c>
      <c r="L2916" s="38" t="n">
        <f aca="false">Sens!$K$2919</f>
        <v>188.644184072928</v>
      </c>
      <c r="M2916" s="38" t="n">
        <f aca="false">Sens!$L$2919</f>
        <v>364.107780101443</v>
      </c>
    </row>
    <row r="2917" customFormat="false" ht="15" hidden="false" customHeight="false" outlineLevel="0" collapsed="false">
      <c r="A2917" s="5" t="s">
        <v>802</v>
      </c>
      <c r="B2917" s="0" t="s">
        <v>86</v>
      </c>
      <c r="F2917" s="38" t="n">
        <f aca="false">Sens!$F$2916+Sens!$F$2913-Sens!$F$2912-Sens!$F$2914+Sens!$F$2915</f>
        <v>90.1222922008394</v>
      </c>
      <c r="H2917" s="38" t="n">
        <f aca="false">Sens!$H$2916+Sens!$H$2913-Sens!$H$2912-Sens!$H$2914+Sens!$H$2915</f>
        <v>34.3699530135918</v>
      </c>
      <c r="I2917" s="38" t="n">
        <f aca="false">Sens!$I$2916+Sens!$I$2913-Sens!$I$2912-Sens!$I$2914+Sens!$I$2915</f>
        <v>31.8114936234189</v>
      </c>
      <c r="J2917" s="38" t="n">
        <f aca="false">Sens!$J$2916+Sens!$J$2913-Sens!$J$2912-Sens!$J$2914+Sens!$J$2915</f>
        <v>71.3143411434439</v>
      </c>
      <c r="K2917" s="38" t="n">
        <f aca="false">Sens!$K$2916+Sens!$K$2913-Sens!$K$2912-Sens!$K$2914+Sens!$K$2915</f>
        <v>188.644184072928</v>
      </c>
      <c r="L2917" s="38" t="n">
        <f aca="false">Sens!$L$2916+Sens!$L$2913-Sens!$L$2912-Sens!$L$2914+Sens!$L$2915</f>
        <v>364.107780101443</v>
      </c>
      <c r="M2917" s="38" t="n">
        <f aca="false">Sens!$M$2916+Sens!$M$2913-Sens!$M$2912-Sens!$M$2914+Sens!$M$2915</f>
        <v>568.117282709063</v>
      </c>
    </row>
    <row r="2918" customFormat="false" ht="17.15" hidden="false" customHeight="false" outlineLevel="0" collapsed="false">
      <c r="A2918" s="5" t="s">
        <v>803</v>
      </c>
      <c r="B2918" s="0" t="s">
        <v>86</v>
      </c>
      <c r="F2918" s="38" t="n">
        <f aca="false">MAX(0,min_cash-Sens!$F$2917)</f>
        <v>0</v>
      </c>
      <c r="G2918" s="38" t="n">
        <f aca="false">Sens!$F$2918</f>
        <v>0</v>
      </c>
      <c r="H2918" s="38" t="n">
        <f aca="false">MAX(0,min_cash-Sens!$H$2917)</f>
        <v>15.6300469864083</v>
      </c>
      <c r="I2918" s="38" t="n">
        <f aca="false">MAX(0,min_cash-Sens!$I$2917)</f>
        <v>18.1885063765811</v>
      </c>
      <c r="J2918" s="38" t="n">
        <f aca="false">MAX(0,min_cash-Sens!$J$2917)</f>
        <v>0</v>
      </c>
      <c r="K2918" s="38" t="n">
        <f aca="false">MAX(0,min_cash-Sens!$K$2917)</f>
        <v>0</v>
      </c>
      <c r="L2918" s="38" t="n">
        <f aca="false">MAX(0,min_cash-Sens!$L$2917)</f>
        <v>0</v>
      </c>
      <c r="M2918" s="38" t="n">
        <f aca="false">MAX(0,min_cash-Sens!$M$2917)</f>
        <v>0</v>
      </c>
      <c r="P2918" s="5" t="s">
        <v>804</v>
      </c>
    </row>
    <row r="2919" customFormat="false" ht="15" hidden="false" customHeight="false" outlineLevel="0" collapsed="false">
      <c r="A2919" s="5" t="s">
        <v>805</v>
      </c>
      <c r="B2919" s="0" t="s">
        <v>86</v>
      </c>
      <c r="D2919" s="38" t="n">
        <f aca="false">Q!$E$61</f>
        <v>123.029</v>
      </c>
      <c r="E2919" s="38" t="n">
        <f aca="false">Q!$M$61</f>
        <v>122.988</v>
      </c>
      <c r="F2919" s="38" t="n">
        <f aca="false">Sens!$F$2917+Sens!$F$2918</f>
        <v>90.1222922008394</v>
      </c>
      <c r="G2919" s="38" t="n">
        <f aca="false">Sens!$F$2919</f>
        <v>90.1222922008394</v>
      </c>
      <c r="H2919" s="38" t="n">
        <f aca="false">Sens!$H$2917+Sens!$H$2918</f>
        <v>50</v>
      </c>
      <c r="I2919" s="38" t="n">
        <f aca="false">Sens!$I$2917+Sens!$I$2918</f>
        <v>50</v>
      </c>
      <c r="J2919" s="38" t="n">
        <f aca="false">Sens!$J$2917+Sens!$J$2918</f>
        <v>71.3143411434439</v>
      </c>
      <c r="K2919" s="38" t="n">
        <f aca="false">Sens!$K$2917+Sens!$K$2918</f>
        <v>188.644184072928</v>
      </c>
      <c r="L2919" s="38" t="n">
        <f aca="false">Sens!$L$2917+Sens!$L$2918</f>
        <v>364.107780101443</v>
      </c>
      <c r="M2919" s="38" t="n">
        <f aca="false">Sens!$M$2917+Sens!$M$2918</f>
        <v>568.117282709063</v>
      </c>
    </row>
    <row r="2920" customFormat="false" ht="15" hidden="false" customHeight="false" outlineLevel="0" collapsed="false">
      <c r="A2920" s="5" t="s">
        <v>806</v>
      </c>
      <c r="B2920" s="0" t="s">
        <v>86</v>
      </c>
      <c r="D2920" s="38" t="n">
        <f aca="false">Q!$E$62</f>
        <v>68.836</v>
      </c>
      <c r="E2920" s="38" t="n">
        <f aca="false">Q!$M$62</f>
        <v>132.995</v>
      </c>
      <c r="F2920" s="38" t="n">
        <f aca="false">debt_q2+Sens!$F$2915+Sens!$F$2918</f>
        <v>162.244999</v>
      </c>
      <c r="G2920" s="38" t="n">
        <f aca="false">Sens!$F$2920</f>
        <v>162.244999</v>
      </c>
      <c r="H2920" s="38" t="n">
        <f aca="false">Sens!$G$2920+Sens!$H$2918</f>
        <v>177.875045986408</v>
      </c>
      <c r="I2920" s="38" t="n">
        <f aca="false">Sens!$H$2920+Sens!$I$2918</f>
        <v>196.063552362989</v>
      </c>
      <c r="J2920" s="38" t="n">
        <f aca="false">Sens!$I$2920+Sens!$J$2918</f>
        <v>196.063552362989</v>
      </c>
      <c r="K2920" s="38" t="n">
        <f aca="false">Sens!$J$2920+Sens!$K$2918</f>
        <v>196.063552362989</v>
      </c>
      <c r="L2920" s="38" t="n">
        <f aca="false">Sens!$K$2920+Sens!$L$2918</f>
        <v>196.063552362989</v>
      </c>
      <c r="M2920" s="38" t="n">
        <f aca="false">Sens!$L$2920+Sens!$M$2918</f>
        <v>196.063552362989</v>
      </c>
    </row>
    <row r="2921" customFormat="false" ht="15" hidden="false" customHeight="false" outlineLevel="0" collapsed="false">
      <c r="A2921" s="5" t="s">
        <v>807</v>
      </c>
      <c r="B2921" s="0" t="s">
        <v>86</v>
      </c>
      <c r="D2921" s="38" t="n">
        <f aca="false">Sens!$D$2920-Sens!$D$2919</f>
        <v>-54.193</v>
      </c>
      <c r="E2921" s="38" t="n">
        <f aca="false">Sens!$E$2920-Sens!$E$2919</f>
        <v>10.007</v>
      </c>
      <c r="F2921" s="38" t="n">
        <f aca="false">Sens!$F$2920-Sens!$F$2919</f>
        <v>72.1227067991606</v>
      </c>
      <c r="G2921" s="38" t="n">
        <f aca="false">Sens!$G$2920-Sens!$G$2919</f>
        <v>72.1227067991606</v>
      </c>
      <c r="H2921" s="38" t="n">
        <f aca="false">Sens!$H$2920-Sens!$H$2919</f>
        <v>127.875045986408</v>
      </c>
      <c r="I2921" s="38" t="n">
        <f aca="false">Sens!$I$2920-Sens!$I$2919</f>
        <v>146.063552362989</v>
      </c>
      <c r="J2921" s="38" t="n">
        <f aca="false">Sens!$J$2920-Sens!$J$2919</f>
        <v>124.749211219545</v>
      </c>
      <c r="K2921" s="38" t="n">
        <f aca="false">Sens!$K$2920-Sens!$K$2919</f>
        <v>7.41936829006107</v>
      </c>
      <c r="L2921" s="38" t="n">
        <f aca="false">Sens!$L$2920-Sens!$L$2919</f>
        <v>-168.044227738453</v>
      </c>
      <c r="M2921" s="38" t="n">
        <f aca="false">Sens!$M$2920-Sens!$M$2919</f>
        <v>-372.053730346073</v>
      </c>
    </row>
    <row r="2922" customFormat="false" ht="17.15" hidden="false" customHeight="false" outlineLevel="0" collapsed="false">
      <c r="A2922" s="5" t="s">
        <v>808</v>
      </c>
      <c r="B2922" s="0" t="s">
        <v>86</v>
      </c>
      <c r="F2922" s="38" t="n">
        <f aca="false">debt_q2*kd_book*0.5+iss_2h26*kd_new*iss_t</f>
        <v>3.24888962733561</v>
      </c>
      <c r="H2922" s="38" t="n">
        <f aca="false">debt_q2*kd_book+(Sens!$G$2920-debt_q2)*kd_new</f>
        <v>7.42354172302123</v>
      </c>
      <c r="I2922" s="38" t="n">
        <f aca="false">debt_q2*kd_book+(Sens!$H$2920-debt_q2)*kd_new</f>
        <v>8.41292369726087</v>
      </c>
      <c r="J2922" s="38" t="n">
        <f aca="false">debt_q2*kd_book+(Sens!$I$2920-debt_q2)*kd_new</f>
        <v>9.56425615089845</v>
      </c>
      <c r="K2922" s="38" t="n">
        <f aca="false">debt_q2*kd_book+(Sens!$J$2920-debt_q2)*kd_new</f>
        <v>9.56425615089845</v>
      </c>
      <c r="L2922" s="38" t="n">
        <f aca="false">debt_q2*kd_book+(Sens!$K$2920-debt_q2)*kd_new</f>
        <v>9.56425615089845</v>
      </c>
      <c r="M2922" s="38" t="n">
        <f aca="false">debt_q2*kd_book+(Sens!$L$2920-debt_q2)*kd_new</f>
        <v>9.56425615089845</v>
      </c>
    </row>
    <row r="2923" customFormat="false" ht="17.15" hidden="false" customHeight="false" outlineLevel="0" collapsed="false">
      <c r="A2923" s="5" t="s">
        <v>809</v>
      </c>
      <c r="B2923" s="0" t="s">
        <v>86</v>
      </c>
      <c r="F2923" s="38" t="n">
        <f aca="false">cash_q2*y_cash*0.5</f>
        <v>2.59</v>
      </c>
      <c r="H2923" s="38" t="n">
        <f aca="false">Sens!$G$2919*y_cash</f>
        <v>3.79576441279107</v>
      </c>
      <c r="I2923" s="38" t="n">
        <f aca="false">Sens!$H$2919*y_cash</f>
        <v>2.10589651022864</v>
      </c>
      <c r="J2923" s="38" t="n">
        <f aca="false">Sens!$I$2919*y_cash</f>
        <v>2.10589651022864</v>
      </c>
      <c r="K2923" s="38" t="n">
        <f aca="false">Sens!$J$2919*y_cash</f>
        <v>3.00361244286466</v>
      </c>
      <c r="L2923" s="38" t="n">
        <f aca="false">Sens!$K$2919*y_cash</f>
        <v>7.94530257828218</v>
      </c>
      <c r="M2923" s="38" t="n">
        <f aca="false">Sens!$L$2919*y_cash</f>
        <v>15.3354660692545</v>
      </c>
    </row>
    <row r="2924" customFormat="false" ht="17.15" hidden="false" customHeight="false" outlineLevel="0" collapsed="false">
      <c r="A2924" s="47" t="s">
        <v>810</v>
      </c>
      <c r="B2924" s="14" t="s">
        <v>86</v>
      </c>
      <c r="C2924" s="14"/>
      <c r="D2924" s="14"/>
      <c r="E2924" s="14"/>
      <c r="F2924" s="14"/>
      <c r="G2924" s="48" t="n">
        <f aca="false">SUM(Sens!$G$2913:$K$2913)</f>
        <v>-1.80336829006112</v>
      </c>
      <c r="H2924" s="14"/>
      <c r="I2924" s="14"/>
      <c r="J2924" s="14"/>
      <c r="K2924" s="14"/>
      <c r="L2924" s="14"/>
      <c r="M2924" s="14"/>
      <c r="N2924" s="14"/>
      <c r="O2924" s="14"/>
    </row>
    <row r="2925" customFormat="false" ht="17.15" hidden="false" customHeight="false" outlineLevel="0" collapsed="false">
      <c r="A2925" s="0" t="s">
        <v>776</v>
      </c>
      <c r="B2925" s="0" t="s">
        <v>86</v>
      </c>
      <c r="G2925" s="38" t="n">
        <f aca="false">SUM(Sens!$G$2918:$K$2918)</f>
        <v>33.8185533629894</v>
      </c>
    </row>
    <row r="2926" customFormat="false" ht="17.15" hidden="false" customHeight="false" outlineLevel="0" collapsed="false">
      <c r="A2926" s="24" t="s">
        <v>813</v>
      </c>
      <c r="B2926" s="25" t="s">
        <v>86</v>
      </c>
      <c r="C2926" s="25"/>
      <c r="D2926" s="25"/>
      <c r="E2926" s="25"/>
      <c r="F2926" s="25"/>
      <c r="G2926" s="41" t="n">
        <f aca="false">Sens!$G$2924-(Sens!$G$2913+Sens!$H$2913+Sens!$I$2913+Sens!$J$2913+Sens!$K$2913)</f>
        <v>-2.8421709430404E-014</v>
      </c>
      <c r="H2926" s="25"/>
      <c r="I2926" s="25"/>
      <c r="J2926" s="25"/>
      <c r="K2926" s="25"/>
      <c r="L2926" s="25"/>
      <c r="M2926" s="25"/>
      <c r="N2926" s="25"/>
      <c r="O2926" s="25"/>
    </row>
    <row r="2929" customFormat="false" ht="19.4" hidden="false" customHeight="false" outlineLevel="0" collapsed="false">
      <c r="A2929" s="31" t="s">
        <v>1194</v>
      </c>
    </row>
    <row r="2930" customFormat="false" ht="17.15" hidden="false" customHeight="false" outlineLevel="0" collapsed="false">
      <c r="A2930" s="6" t="s">
        <v>16</v>
      </c>
      <c r="B2930" s="6" t="s">
        <v>17</v>
      </c>
      <c r="C2930" s="20" t="s">
        <v>497</v>
      </c>
      <c r="D2930" s="20" t="s">
        <v>498</v>
      </c>
      <c r="E2930" s="20" t="s">
        <v>580</v>
      </c>
      <c r="F2930" s="20" t="s">
        <v>581</v>
      </c>
      <c r="G2930" s="20" t="s">
        <v>582</v>
      </c>
      <c r="H2930" s="20" t="s">
        <v>583</v>
      </c>
      <c r="I2930" s="20" t="s">
        <v>584</v>
      </c>
      <c r="J2930" s="20" t="s">
        <v>585</v>
      </c>
      <c r="K2930" s="20" t="s">
        <v>586</v>
      </c>
      <c r="L2930" s="20" t="s">
        <v>587</v>
      </c>
      <c r="M2930" s="20" t="s">
        <v>588</v>
      </c>
      <c r="N2930" s="20" t="s">
        <v>589</v>
      </c>
      <c r="O2930" s="20" t="s">
        <v>590</v>
      </c>
      <c r="P2930" s="6" t="s">
        <v>23</v>
      </c>
      <c r="R2930" s="20" t="n">
        <v>2023</v>
      </c>
      <c r="S2930" s="20" t="n">
        <v>2024</v>
      </c>
      <c r="T2930" s="20" t="n">
        <v>2025</v>
      </c>
      <c r="U2930" s="20" t="n">
        <v>2026</v>
      </c>
      <c r="V2930" s="20" t="n">
        <v>2027</v>
      </c>
      <c r="W2930" s="20" t="n">
        <v>2028</v>
      </c>
      <c r="X2930" s="20" t="n">
        <v>2029</v>
      </c>
      <c r="Y2930" s="20" t="n">
        <v>2030</v>
      </c>
      <c r="Z2930" s="20" t="n">
        <v>2031</v>
      </c>
      <c r="AA2930" s="20" t="n">
        <v>2032</v>
      </c>
    </row>
    <row r="2931" customFormat="false" ht="17.15" hidden="false" customHeight="false" outlineLevel="0" collapsed="false">
      <c r="A2931" s="1" t="s">
        <v>915</v>
      </c>
    </row>
    <row r="2932" customFormat="false" ht="17.15" hidden="false" customHeight="false" outlineLevel="0" collapsed="false">
      <c r="A2932" s="0" t="s">
        <v>916</v>
      </c>
      <c r="B2932" s="0" t="s">
        <v>86</v>
      </c>
      <c r="H2932" s="38" t="n">
        <f aca="false">Sens!$H$2866*(1-tax)</f>
        <v>121.199255744096</v>
      </c>
      <c r="I2932" s="38" t="n">
        <f aca="false">Sens!$I$2866*(1-tax)</f>
        <v>145.498441807059</v>
      </c>
      <c r="J2932" s="38" t="n">
        <f aca="false">Sens!$J$2866*(1-tax)</f>
        <v>168.714809106341</v>
      </c>
      <c r="K2932" s="38" t="n">
        <f aca="false">Sens!$K$2866*(1-tax)</f>
        <v>185.232012172133</v>
      </c>
      <c r="L2932" s="38" t="n">
        <f aca="false">Sens!$L$2866*(1-tax)</f>
        <v>198.5350079358</v>
      </c>
      <c r="M2932" s="38" t="n">
        <f aca="false">Sens!$M$2866*(1-tax)</f>
        <v>208.636125175298</v>
      </c>
    </row>
    <row r="2933" customFormat="false" ht="15" hidden="false" customHeight="false" outlineLevel="0" collapsed="false">
      <c r="A2933" s="5" t="s">
        <v>917</v>
      </c>
      <c r="B2933" s="0" t="s">
        <v>86</v>
      </c>
      <c r="H2933" s="38" t="n">
        <f aca="false">Sens!$H$2877</f>
        <v>77.551342706371</v>
      </c>
      <c r="I2933" s="38" t="n">
        <f aca="false">Sens!$I$2877</f>
        <v>110.288137049354</v>
      </c>
      <c r="J2933" s="38" t="n">
        <f aca="false">Sens!$J$2877</f>
        <v>143.815202241904</v>
      </c>
      <c r="K2933" s="38" t="n">
        <f aca="false">Sens!$K$2877</f>
        <v>177.647958910751</v>
      </c>
      <c r="L2933" s="38" t="n">
        <f aca="false">Sens!$L$2877</f>
        <v>203.090188907059</v>
      </c>
      <c r="M2933" s="38" t="n">
        <f aca="false">Sens!$M$2877</f>
        <v>221.779323855239</v>
      </c>
    </row>
    <row r="2934" customFormat="false" ht="15" hidden="false" customHeight="false" outlineLevel="0" collapsed="false">
      <c r="A2934" s="5" t="s">
        <v>918</v>
      </c>
      <c r="B2934" s="0" t="s">
        <v>86</v>
      </c>
      <c r="H2934" s="38" t="n">
        <f aca="false">Sens!$H$2908</f>
        <v>272.068145671684</v>
      </c>
      <c r="I2934" s="38" t="n">
        <f aca="false">Sens!$I$2908</f>
        <v>285.316368793233</v>
      </c>
      <c r="J2934" s="38" t="n">
        <f aca="false">Sens!$J$2908</f>
        <v>297.37289747553</v>
      </c>
      <c r="K2934" s="38" t="n">
        <f aca="false">Sens!$K$2908</f>
        <v>248.95804033723</v>
      </c>
      <c r="L2934" s="38" t="n">
        <f aca="false">Sens!$L$2908</f>
        <v>232.429297271328</v>
      </c>
      <c r="M2934" s="38" t="n">
        <f aca="false">Sens!$M$2908</f>
        <v>239.843299767159</v>
      </c>
    </row>
    <row r="2935" customFormat="false" ht="15" hidden="false" customHeight="false" outlineLevel="0" collapsed="false">
      <c r="A2935" s="5" t="s">
        <v>919</v>
      </c>
      <c r="B2935" s="0" t="s">
        <v>86</v>
      </c>
      <c r="H2935" s="38" t="n">
        <f aca="false">Sens!$H$2909</f>
        <v>1.6</v>
      </c>
      <c r="I2935" s="38" t="n">
        <f aca="false">Sens!$I$2909</f>
        <v>1.6</v>
      </c>
      <c r="J2935" s="38" t="n">
        <f aca="false">Sens!$J$2909</f>
        <v>1.6</v>
      </c>
      <c r="K2935" s="38" t="n">
        <f aca="false">Sens!$K$2909</f>
        <v>1.6</v>
      </c>
      <c r="L2935" s="38" t="n">
        <f aca="false">Sens!$L$2909</f>
        <v>1.6</v>
      </c>
      <c r="M2935" s="38" t="n">
        <f aca="false">Sens!$M$2909</f>
        <v>1.6</v>
      </c>
    </row>
    <row r="2936" customFormat="false" ht="15" hidden="false" customHeight="false" outlineLevel="0" collapsed="false">
      <c r="A2936" s="5" t="s">
        <v>920</v>
      </c>
      <c r="B2936" s="0" t="s">
        <v>86</v>
      </c>
      <c r="H2936" s="38" t="n">
        <f aca="false">Sens!$H$2903</f>
        <v>11.2731981760867</v>
      </c>
      <c r="I2936" s="38" t="n">
        <f aca="false">Sens!$I$2903</f>
        <v>12.767896528824</v>
      </c>
      <c r="J2936" s="38" t="n">
        <f aca="false">Sens!$J$2903</f>
        <v>14.2026383307912</v>
      </c>
      <c r="K2936" s="38" t="n">
        <f aca="false">Sens!$K$2903</f>
        <v>15.4655178914684</v>
      </c>
      <c r="L2936" s="38" t="n">
        <f aca="false">Sens!$L$2903</f>
        <v>16.6432666243228</v>
      </c>
      <c r="M2936" s="38" t="n">
        <f aca="false">Sens!$M$2903</f>
        <v>17.7401378626464</v>
      </c>
    </row>
    <row r="2937" customFormat="false" ht="17.15" hidden="false" customHeight="false" outlineLevel="0" collapsed="false">
      <c r="A2937" s="1" t="s">
        <v>921</v>
      </c>
      <c r="B2937" s="8" t="s">
        <v>86</v>
      </c>
      <c r="H2937" s="38" t="n">
        <f aca="false">Sens!$H$2932+Sens!$H$2933-Sens!$H$2934+Sens!$H$2936</f>
        <v>-62.0443490451312</v>
      </c>
      <c r="I2937" s="38" t="n">
        <f aca="false">Sens!$I$2932+Sens!$I$2933-Sens!$I$2934+Sens!$I$2936</f>
        <v>-16.7618934079957</v>
      </c>
      <c r="J2937" s="38" t="n">
        <f aca="false">Sens!$J$2932+Sens!$J$2933-Sens!$J$2934+Sens!$J$2936</f>
        <v>29.3597522035061</v>
      </c>
      <c r="K2937" s="38" t="n">
        <f aca="false">Sens!$K$2932+Sens!$K$2933-Sens!$K$2934+Sens!$K$2936</f>
        <v>129.387448637123</v>
      </c>
      <c r="L2937" s="38" t="n">
        <f aca="false">Sens!$L$2932+Sens!$L$2933-Sens!$L$2934+Sens!$L$2936</f>
        <v>185.839166195854</v>
      </c>
      <c r="M2937" s="38" t="n">
        <f aca="false">Sens!$M$2932+Sens!$M$2933-Sens!$M$2934+Sens!$M$2936</f>
        <v>208.312287126024</v>
      </c>
    </row>
    <row r="2938" customFormat="false" ht="15" hidden="false" customHeight="false" outlineLevel="0" collapsed="false">
      <c r="A2938" s="5" t="s">
        <v>922</v>
      </c>
      <c r="B2938" s="0" t="s">
        <v>57</v>
      </c>
      <c r="H2938" s="40" t="n">
        <f aca="false">1/(1+wacc)^(2027-2026-0.5)</f>
        <v>0.947751320380232</v>
      </c>
      <c r="I2938" s="40" t="n">
        <f aca="false">1/(1+wacc)^(2028-2026-0.5)</f>
        <v>0.851301099754987</v>
      </c>
      <c r="J2938" s="40" t="n">
        <f aca="false">1/(1+wacc)^(2029-2026-0.5)</f>
        <v>0.764666370660713</v>
      </c>
      <c r="K2938" s="40" t="n">
        <f aca="false">1/(1+wacc)^(2030-2026-0.5)</f>
        <v>0.686848235703811</v>
      </c>
      <c r="L2938" s="40" t="n">
        <f aca="false">1/(1+wacc)^(2031-2026-0.5)</f>
        <v>0.616949452715975</v>
      </c>
      <c r="M2938" s="40" t="n">
        <f aca="false">1/(1+wacc)^(2032-2026-0.5)</f>
        <v>0.554164089562688</v>
      </c>
    </row>
    <row r="2939" customFormat="false" ht="15" hidden="false" customHeight="false" outlineLevel="0" collapsed="false">
      <c r="A2939" s="5" t="s">
        <v>923</v>
      </c>
      <c r="B2939" s="0" t="s">
        <v>86</v>
      </c>
      <c r="H2939" s="38" t="n">
        <f aca="false">Sens!$H$2937*Sens!$H$2938</f>
        <v>-58.8026137296551</v>
      </c>
      <c r="I2939" s="38" t="n">
        <f aca="false">Sens!$I$2937*Sens!$I$2938</f>
        <v>-14.2694182922026</v>
      </c>
      <c r="J2939" s="38" t="n">
        <f aca="false">Sens!$J$2937*Sens!$J$2938</f>
        <v>22.4504151609529</v>
      </c>
      <c r="K2939" s="38" t="n">
        <f aca="false">Sens!$K$2937*Sens!$K$2938</f>
        <v>88.8695408186253</v>
      </c>
      <c r="L2939" s="38" t="n">
        <f aca="false">Sens!$L$2937*Sens!$L$2938</f>
        <v>114.653371877725</v>
      </c>
      <c r="M2939" s="38" t="n">
        <f aca="false">Sens!$M$2937*Sens!$M$2938</f>
        <v>115.439188939915</v>
      </c>
    </row>
    <row r="2940" customFormat="false" ht="15" hidden="false" customHeight="false" outlineLevel="0" collapsed="false">
      <c r="A2940" s="5" t="s">
        <v>924</v>
      </c>
      <c r="B2940" s="0" t="s">
        <v>86</v>
      </c>
      <c r="C2940" s="38" t="n">
        <f aca="false">SUM(Sens!$H$2939:$M$2939)</f>
        <v>268.34048477536</v>
      </c>
    </row>
    <row r="2941" customFormat="false" ht="17.15" hidden="false" customHeight="false" outlineLevel="0" collapsed="false">
      <c r="A2941" s="5" t="s">
        <v>925</v>
      </c>
      <c r="B2941" s="0" t="s">
        <v>86</v>
      </c>
      <c r="C2941" s="38" t="n">
        <f aca="false">Sens!$M$2932*(1+tg)*(1-tg/ronic)/(wacc-tg)</f>
        <v>1896.73519157071</v>
      </c>
    </row>
    <row r="2942" customFormat="false" ht="15" hidden="false" customHeight="false" outlineLevel="0" collapsed="false">
      <c r="A2942" s="5" t="s">
        <v>926</v>
      </c>
      <c r="B2942" s="0" t="s">
        <v>86</v>
      </c>
      <c r="C2942" s="38" t="n">
        <f aca="false">Sens!$C$2941/(1+wacc)^6</f>
        <v>996.18381121058</v>
      </c>
    </row>
    <row r="2943" customFormat="false" ht="17.15" hidden="false" customHeight="false" outlineLevel="0" collapsed="false">
      <c r="A2943" s="5" t="s">
        <v>927</v>
      </c>
      <c r="B2943" s="0" t="s">
        <v>86</v>
      </c>
      <c r="C2943" s="38" t="n">
        <f aca="false">Sens!$C$2940+Sens!$C$2942</f>
        <v>1264.52429598594</v>
      </c>
    </row>
    <row r="2944" customFormat="false" ht="17.15" hidden="false" customHeight="false" outlineLevel="0" collapsed="false">
      <c r="A2944" s="5" t="s">
        <v>928</v>
      </c>
      <c r="B2944" s="0" t="s">
        <v>52</v>
      </c>
      <c r="C2944" s="13" t="n">
        <f aca="false">Sens!$C$2942/Sens!$C$2943</f>
        <v>0.787793334120056</v>
      </c>
    </row>
    <row r="2945" customFormat="false" ht="17.15" hidden="false" customHeight="false" outlineLevel="0" collapsed="false">
      <c r="A2945" s="5" t="s">
        <v>929</v>
      </c>
      <c r="B2945" s="0" t="s">
        <v>86</v>
      </c>
      <c r="C2945" s="38" t="n">
        <f aca="false">Sens!$G$2921+fin_debt</f>
        <v>96.6437067991606</v>
      </c>
    </row>
    <row r="2946" customFormat="false" ht="17.15" hidden="false" customHeight="false" outlineLevel="0" collapsed="false">
      <c r="A2946" s="5" t="s">
        <v>930</v>
      </c>
      <c r="B2946" s="0" t="s">
        <v>86</v>
      </c>
      <c r="C2946" s="38" t="n">
        <f aca="false">(ant_val*ant_sh+oai_val*oai_sh)*(1-liq_disc)</f>
        <v>178.944</v>
      </c>
    </row>
    <row r="2947" customFormat="false" ht="15" hidden="false" customHeight="false" outlineLevel="0" collapsed="false">
      <c r="A2947" s="5" t="s">
        <v>931</v>
      </c>
      <c r="B2947" s="0" t="s">
        <v>86</v>
      </c>
      <c r="C2947" s="38" t="n">
        <f aca="false">Sens!$C$2943-Sens!$C$2945+Sens!$C$2946</f>
        <v>1346.82458918678</v>
      </c>
    </row>
    <row r="2948" customFormat="false" ht="17.15" hidden="false" customHeight="false" outlineLevel="0" collapsed="false">
      <c r="A2948" s="5" t="s">
        <v>932</v>
      </c>
      <c r="B2948" s="0" t="s">
        <v>27</v>
      </c>
      <c r="C2948" s="30" t="n">
        <f aca="false">Sens!$C$2947/sh_out</f>
        <v>124.864211183429</v>
      </c>
    </row>
    <row r="2949" customFormat="false" ht="17.15" hidden="false" customHeight="false" outlineLevel="0" collapsed="false">
      <c r="A2949" s="1" t="s">
        <v>933</v>
      </c>
      <c r="B2949" s="8" t="s">
        <v>27</v>
      </c>
      <c r="C2949" s="30" t="n">
        <f aca="false">Sens!$C$2948*(1+ke)^tp_yf-dps*tp_yf</f>
        <v>136.772366969958</v>
      </c>
    </row>
    <row r="2950" customFormat="false" ht="17.15" hidden="false" customHeight="false" outlineLevel="0" collapsed="false">
      <c r="A2950" s="3" t="s">
        <v>934</v>
      </c>
    </row>
    <row r="2951" customFormat="false" ht="17.15" hidden="false" customHeight="false" outlineLevel="0" collapsed="false">
      <c r="A2951" s="5" t="s">
        <v>935</v>
      </c>
      <c r="B2951" s="0" t="s">
        <v>86</v>
      </c>
      <c r="C2951" s="38" t="n">
        <f aca="false">(1-tp_yf)*(Sens!$H$2878+sbc_ab*Sens!$H$2902*Sens!$H$2742/Sens!$H$2819)+tp_yf*(Sens!$I$2878+sbc_ab*Sens!$I$2902*Sens!$I$2742/Sens!$I$2819)</f>
        <v>59.634664536349</v>
      </c>
    </row>
    <row r="2952" customFormat="false" ht="15" hidden="false" customHeight="false" outlineLevel="0" collapsed="false">
      <c r="A2952" s="5" t="s">
        <v>936</v>
      </c>
      <c r="B2952" s="0" t="s">
        <v>57</v>
      </c>
      <c r="C2952" s="30" t="n">
        <f aca="false">m_ads*m_x</f>
        <v>9.11</v>
      </c>
    </row>
    <row r="2953" customFormat="false" ht="17.15" hidden="false" customHeight="false" outlineLevel="0" collapsed="false">
      <c r="A2953" s="5" t="s">
        <v>937</v>
      </c>
      <c r="B2953" s="0" t="s">
        <v>86</v>
      </c>
      <c r="C2953" s="38" t="n">
        <f aca="false">Sens!$C$2951*Sens!$C$2952</f>
        <v>543.271793926139</v>
      </c>
    </row>
    <row r="2954" customFormat="false" ht="17.15" hidden="false" customHeight="false" outlineLevel="0" collapsed="false">
      <c r="A2954" s="5" t="s">
        <v>938</v>
      </c>
      <c r="B2954" s="0" t="s">
        <v>86</v>
      </c>
      <c r="C2954" s="38" t="n">
        <f aca="false">(1-tp_yf)*(Sens!$H$2879+sbc_ab*Sens!$H$2902*(Sens!$H$2749-Sens!$H$2742)/Sens!$H$2819+IF(internal_ai_reading=2,1,0)*(1-ext_sh)*Sens!$H$2779)+tp_yf*(Sens!$I$2879+sbc_ab*Sens!$I$2902*(Sens!$I$2749-Sens!$I$2742)/Sens!$I$2819+IF(internal_ai_reading=2,1,0)*(1-ext_sh)*Sens!$I$2779)</f>
        <v>51.2223233728044</v>
      </c>
    </row>
    <row r="2955" customFormat="false" ht="17.15" hidden="false" customHeight="false" outlineLevel="0" collapsed="false">
      <c r="A2955" s="5" t="s">
        <v>939</v>
      </c>
      <c r="B2955" s="0" t="s">
        <v>57</v>
      </c>
      <c r="C2955" s="30" t="n">
        <f aca="false">m_retail*m_x</f>
        <v>17.72</v>
      </c>
    </row>
    <row r="2956" customFormat="false" ht="17.15" hidden="false" customHeight="false" outlineLevel="0" collapsed="false">
      <c r="A2956" s="5" t="s">
        <v>940</v>
      </c>
      <c r="B2956" s="0" t="s">
        <v>86</v>
      </c>
      <c r="C2956" s="38" t="n">
        <f aca="false">Sens!$C$2954*Sens!$C$2955</f>
        <v>907.659570166095</v>
      </c>
    </row>
    <row r="2957" customFormat="false" ht="17.15" hidden="false" customHeight="false" outlineLevel="0" collapsed="false">
      <c r="A2957" s="0" t="s">
        <v>941</v>
      </c>
      <c r="B2957" s="0" t="s">
        <v>86</v>
      </c>
      <c r="C2957" s="38" t="n">
        <f aca="false">(1-tp_yf)*(Sens!$H$2880+sbc_ab*Sens!$H$2902*Sens!$H$2817/Sens!$H$2819)+tp_yf*(Sens!$I$2880+sbc_ab*Sens!$I$2902*Sens!$I$2817/Sens!$I$2819)</f>
        <v>89.5189383784443</v>
      </c>
    </row>
    <row r="2958" customFormat="false" ht="17.15" hidden="false" customHeight="false" outlineLevel="0" collapsed="false">
      <c r="A2958" s="0" t="s">
        <v>942</v>
      </c>
      <c r="B2958" s="0" t="s">
        <v>57</v>
      </c>
      <c r="C2958" s="30" t="n">
        <f aca="false">m_cloud*m_x</f>
        <v>13.82</v>
      </c>
    </row>
    <row r="2959" customFormat="false" ht="17.15" hidden="false" customHeight="false" outlineLevel="0" collapsed="false">
      <c r="A2959" s="0" t="s">
        <v>943</v>
      </c>
      <c r="B2959" s="0" t="s">
        <v>86</v>
      </c>
      <c r="C2959" s="38" t="n">
        <f aca="false">Sens!$C$2957*Sens!$C$2958</f>
        <v>1237.1517283901</v>
      </c>
    </row>
    <row r="2960" customFormat="false" ht="17.15" hidden="false" customHeight="false" outlineLevel="0" collapsed="false">
      <c r="A2960" s="0" t="s">
        <v>944</v>
      </c>
      <c r="B2960" s="0" t="s">
        <v>86</v>
      </c>
      <c r="H2960" s="38" t="n">
        <f aca="false">Sens!$H$2798-tax*Sens!$H$2799-ext_sh*Sens!$H$2786</f>
        <v>-111.848139187586</v>
      </c>
      <c r="I2960" s="38" t="n">
        <f aca="false">Sens!$I$2798-tax*Sens!$I$2799-ext_sh*Sens!$I$2786</f>
        <v>-85.5562586790304</v>
      </c>
      <c r="J2960" s="38" t="n">
        <f aca="false">Sens!$J$2798-tax*Sens!$J$2799-ext_sh*Sens!$J$2786</f>
        <v>-58.3138096973888</v>
      </c>
      <c r="K2960" s="38" t="n">
        <f aca="false">Sens!$K$2798-tax*Sens!$K$2799-ext_sh*Sens!$K$2786</f>
        <v>12.8961035706141</v>
      </c>
      <c r="L2960" s="38" t="n">
        <f aca="false">Sens!$L$2798-tax*Sens!$L$2799-ext_sh*Sens!$L$2786</f>
        <v>49.7336128419062</v>
      </c>
      <c r="M2960" s="38" t="n">
        <f aca="false">Sens!$M$2798-tax*Sens!$M$2799-ext_sh*Sens!$M$2786</f>
        <v>58.7834473056313</v>
      </c>
    </row>
    <row r="2961" customFormat="false" ht="17.15" hidden="false" customHeight="false" outlineLevel="0" collapsed="false">
      <c r="A2961" s="5" t="s">
        <v>945</v>
      </c>
      <c r="B2961" s="0" t="s">
        <v>86</v>
      </c>
      <c r="H2961" s="38" t="n">
        <f aca="false">Sens!$H$2960*Sens!$H$2938</f>
        <v>-106.004221597107</v>
      </c>
      <c r="I2961" s="38" t="n">
        <f aca="false">Sens!$I$2960*Sens!$I$2938</f>
        <v>-72.8341371043807</v>
      </c>
      <c r="J2961" s="38" t="n">
        <f aca="false">Sens!$J$2960*Sens!$J$2938</f>
        <v>-44.5906092207018</v>
      </c>
      <c r="K2961" s="38" t="n">
        <f aca="false">Sens!$K$2960*Sens!$K$2938</f>
        <v>8.85766598492992</v>
      </c>
      <c r="L2961" s="38" t="n">
        <f aca="false">Sens!$L$2960*Sens!$L$2938</f>
        <v>30.6831252244022</v>
      </c>
      <c r="M2961" s="38" t="n">
        <f aca="false">Sens!$M$2960*Sens!$M$2938</f>
        <v>32.5756755574814</v>
      </c>
    </row>
    <row r="2962" customFormat="false" ht="17.15" hidden="false" customHeight="false" outlineLevel="0" collapsed="false">
      <c r="A2962" s="5" t="s">
        <v>946</v>
      </c>
      <c r="B2962" s="0" t="s">
        <v>86</v>
      </c>
      <c r="C2962" s="38" t="n">
        <f aca="false">Sens!$M$2799*(1-tax)*(1+tg)*(1-tg/ronic)/(wacc-tg)</f>
        <v>428.229222035612</v>
      </c>
    </row>
    <row r="2963" customFormat="false" ht="17.15" hidden="false" customHeight="false" outlineLevel="0" collapsed="false">
      <c r="A2963" s="0" t="s">
        <v>947</v>
      </c>
      <c r="B2963" s="0" t="s">
        <v>86</v>
      </c>
      <c r="C2963" s="38" t="n">
        <f aca="false">(SUM(Sens!$I$2961:$M$2961)+Sens!$C$2962/(1+wacc)^6)*(1+wacc)^tp_yf</f>
        <v>196.164972510289</v>
      </c>
    </row>
    <row r="2964" customFormat="false" ht="17.15" hidden="false" customHeight="false" outlineLevel="0" collapsed="false">
      <c r="A2964" s="5" t="s">
        <v>948</v>
      </c>
      <c r="B2964" s="0" t="s">
        <v>86</v>
      </c>
      <c r="C2964" s="38" t="n">
        <f aca="false">(1-tp_yf)*(Sens!$H$2881)+tp_yf*(Sens!$I$2881)</f>
        <v>79.5553243634055</v>
      </c>
    </row>
    <row r="2965" customFormat="false" ht="17.15" hidden="false" customHeight="false" outlineLevel="0" collapsed="false">
      <c r="A2965" s="5" t="s">
        <v>949</v>
      </c>
      <c r="B2965" s="0" t="s">
        <v>86</v>
      </c>
      <c r="C2965" s="38" t="n">
        <f aca="false">Sens!$C$2964*m_ai</f>
        <v>477.331946180433</v>
      </c>
    </row>
    <row r="2966" customFormat="false" ht="17.15" hidden="false" customHeight="false" outlineLevel="0" collapsed="false">
      <c r="A2966" s="0" t="s">
        <v>950</v>
      </c>
      <c r="B2966" s="0" t="s">
        <v>86</v>
      </c>
      <c r="C2966" s="38" t="n">
        <f aca="false">IF(ai_leg=1,Sens!$C$2963,Sens!$C$2965)</f>
        <v>196.164972510289</v>
      </c>
    </row>
    <row r="2967" customFormat="false" ht="17.15" hidden="false" customHeight="false" outlineLevel="0" collapsed="false">
      <c r="A2967" s="5" t="s">
        <v>951</v>
      </c>
      <c r="B2967" s="0" t="s">
        <v>86</v>
      </c>
      <c r="C2967" s="38" t="n">
        <f aca="false">Sens!$C$2953+Sens!$C$2956+Sens!$C$2959+Sens!$C$2966</f>
        <v>2884.24806499262</v>
      </c>
    </row>
    <row r="2968" customFormat="false" ht="17.15" hidden="false" customHeight="false" outlineLevel="0" collapsed="false">
      <c r="A2968" s="5" t="s">
        <v>952</v>
      </c>
      <c r="B2968" s="0" t="s">
        <v>86</v>
      </c>
      <c r="C2968" s="38" t="n">
        <f aca="false">Sens!$H$2921+fin_debt</f>
        <v>152.396045986408</v>
      </c>
    </row>
    <row r="2969" customFormat="false" ht="15" hidden="false" customHeight="false" outlineLevel="0" collapsed="false">
      <c r="A2969" s="5" t="s">
        <v>953</v>
      </c>
      <c r="B2969" s="0" t="s">
        <v>86</v>
      </c>
      <c r="C2969" s="38" t="n">
        <f aca="false">Sens!$C$2967-Sens!$C$2968+Sens!$C$2946</f>
        <v>2910.79601900621</v>
      </c>
    </row>
    <row r="2970" customFormat="false" ht="15" hidden="false" customHeight="false" outlineLevel="0" collapsed="false">
      <c r="A2970" s="3" t="s">
        <v>954</v>
      </c>
      <c r="B2970" s="8" t="s">
        <v>27</v>
      </c>
      <c r="C2970" s="30" t="n">
        <f aca="false">Sens!$C$2969/sh_val</f>
        <v>263.8905854363</v>
      </c>
    </row>
    <row r="2971" customFormat="false" ht="17.15" hidden="false" customHeight="false" outlineLevel="0" collapsed="false">
      <c r="A2971" s="47" t="s">
        <v>955</v>
      </c>
      <c r="B2971" s="14" t="s">
        <v>27</v>
      </c>
      <c r="C2971" s="44" t="n">
        <f aca="false">w_dcf*Sens!$C$2949+(1-w_dcf)*Sens!$C$2970</f>
        <v>200.331476203129</v>
      </c>
      <c r="D2971" s="14"/>
      <c r="E2971" s="14"/>
      <c r="F2971" s="14"/>
      <c r="G2971" s="14"/>
      <c r="H2971" s="14"/>
      <c r="I2971" s="14"/>
      <c r="J2971" s="14"/>
      <c r="K2971" s="14"/>
      <c r="L2971" s="14"/>
      <c r="M2971" s="14"/>
      <c r="N2971" s="14"/>
      <c r="O2971" s="14"/>
    </row>
    <row r="2972" customFormat="false" ht="17.15" hidden="false" customHeight="false" outlineLevel="0" collapsed="false">
      <c r="A2972" s="5" t="s">
        <v>956</v>
      </c>
      <c r="B2972" s="0" t="s">
        <v>27</v>
      </c>
      <c r="C2972" s="30" t="n">
        <f aca="false">v022_wdcf*Sens!$C$2949+(1-v022_wdcf)*Sens!$C$2970</f>
        <v>206.687387126446</v>
      </c>
    </row>
    <row r="2973" customFormat="false" ht="17.15" hidden="false" customHeight="false" outlineLevel="0" collapsed="false">
      <c r="A2973" s="5" t="s">
        <v>957</v>
      </c>
      <c r="B2973" s="0" t="s">
        <v>27</v>
      </c>
      <c r="C2973" s="30" t="n">
        <f aca="false">(Sens!$C$2969-Sens!$C$2966+Sens!$C$2965)/sh_val</f>
        <v>289.380972534087</v>
      </c>
    </row>
    <row r="2976" customFormat="false" ht="19.4" hidden="false" customHeight="false" outlineLevel="0" collapsed="false">
      <c r="A2976" s="31" t="s">
        <v>1195</v>
      </c>
    </row>
    <row r="2977" customFormat="false" ht="17.15" hidden="false" customHeight="false" outlineLevel="0" collapsed="false">
      <c r="A2977" s="6" t="s">
        <v>16</v>
      </c>
      <c r="B2977" s="6" t="s">
        <v>17</v>
      </c>
      <c r="C2977" s="20" t="s">
        <v>497</v>
      </c>
      <c r="D2977" s="20" t="s">
        <v>498</v>
      </c>
      <c r="E2977" s="20" t="s">
        <v>580</v>
      </c>
      <c r="F2977" s="20" t="s">
        <v>581</v>
      </c>
      <c r="G2977" s="20" t="s">
        <v>582</v>
      </c>
      <c r="H2977" s="20" t="s">
        <v>583</v>
      </c>
      <c r="I2977" s="20" t="s">
        <v>584</v>
      </c>
      <c r="J2977" s="20" t="s">
        <v>585</v>
      </c>
      <c r="K2977" s="20" t="s">
        <v>586</v>
      </c>
      <c r="L2977" s="20" t="s">
        <v>587</v>
      </c>
      <c r="M2977" s="20" t="s">
        <v>588</v>
      </c>
      <c r="N2977" s="20" t="s">
        <v>589</v>
      </c>
      <c r="O2977" s="20" t="s">
        <v>590</v>
      </c>
      <c r="P2977" s="6" t="s">
        <v>23</v>
      </c>
      <c r="R2977" s="20" t="n">
        <v>2023</v>
      </c>
      <c r="S2977" s="20" t="n">
        <v>2024</v>
      </c>
      <c r="T2977" s="20" t="n">
        <v>2025</v>
      </c>
      <c r="U2977" s="20" t="n">
        <v>2026</v>
      </c>
      <c r="V2977" s="20" t="n">
        <v>2027</v>
      </c>
      <c r="W2977" s="20" t="n">
        <v>2028</v>
      </c>
      <c r="X2977" s="20" t="n">
        <v>2029</v>
      </c>
      <c r="Y2977" s="20" t="n">
        <v>2030</v>
      </c>
      <c r="Z2977" s="20" t="n">
        <v>2031</v>
      </c>
      <c r="AA2977" s="20" t="n">
        <v>2032</v>
      </c>
    </row>
    <row r="2978" customFormat="false" ht="17.15" hidden="false" customHeight="false" outlineLevel="0" collapsed="false">
      <c r="A2978" s="1" t="s">
        <v>666</v>
      </c>
    </row>
    <row r="2979" customFormat="false" ht="17.15" hidden="false" customHeight="false" outlineLevel="0" collapsed="false">
      <c r="A2979" s="0" t="s">
        <v>519</v>
      </c>
      <c r="B2979" s="0" t="s">
        <v>86</v>
      </c>
      <c r="C2979" s="38" t="n">
        <f aca="false">Q!$D$10</f>
        <v>247.029</v>
      </c>
      <c r="D2979" s="38" t="n">
        <f aca="false">Q!$E$10</f>
        <v>269.287</v>
      </c>
      <c r="E2979" s="38" t="n">
        <f aca="false">Q!$P$10</f>
        <v>134.686</v>
      </c>
      <c r="F2979" s="38" t="n">
        <f aca="false">Sens!$O$2979*(1+Sens!$F$2980)*Sens!$F$2991</f>
        <v>158.293876822267</v>
      </c>
      <c r="G2979" s="38" t="n">
        <f aca="false">Sens!$E$2979+Sens!$F$2979</f>
        <v>292.979876822267</v>
      </c>
      <c r="H2979" s="38" t="n">
        <f aca="false">Sens!$G$2979*(1+Sens!$H$2980)</f>
        <v>318.184543087396</v>
      </c>
      <c r="I2979" s="38" t="n">
        <f aca="false">Sens!$H$2979*(1+Sens!$I$2980)</f>
        <v>341.736278761793</v>
      </c>
      <c r="J2979" s="38" t="n">
        <f aca="false">Sens!$I$2979*(1+Sens!$J$2980)</f>
        <v>362.927192787048</v>
      </c>
      <c r="K2979" s="38" t="n">
        <f aca="false">Sens!$J$2979*(1+Sens!$K$2980)</f>
        <v>381.0735524264</v>
      </c>
      <c r="L2979" s="38" t="n">
        <f aca="false">Sens!$K$2979*(1+Sens!$L$2980)</f>
        <v>400.12723004772</v>
      </c>
      <c r="M2979" s="38" t="n">
        <f aca="false">Sens!$L$2979*(1+Sens!$M$2980)</f>
        <v>420.133591550106</v>
      </c>
      <c r="N2979" s="38" t="n">
        <f aca="false">Q!$N$10</f>
        <v>118.892</v>
      </c>
      <c r="O2979" s="38" t="n">
        <f aca="false">Q!$O$10</f>
        <v>150.395</v>
      </c>
      <c r="P2979" s="8" t="s">
        <v>667</v>
      </c>
    </row>
    <row r="2980" customFormat="false" ht="17.15" hidden="false" customHeight="false" outlineLevel="0" collapsed="false">
      <c r="A2980" s="0" t="s">
        <v>668</v>
      </c>
      <c r="B2980" s="0" t="s">
        <v>52</v>
      </c>
      <c r="E2980" s="13" t="n">
        <f aca="false">Sens!$E$2979/Sens!$N$2979-1</f>
        <v>0.132843252699929</v>
      </c>
      <c r="F2980" s="13" t="n">
        <f aca="false">Sens!$O$2979/(Q!$F$10+Q!$G$10)-1</f>
        <v>0.0980382135842941</v>
      </c>
      <c r="G2980" s="13" t="n">
        <f aca="false">Sens!$G$2979/Sens!$D$2979-1</f>
        <v>0.0879837378791657</v>
      </c>
      <c r="H2980" s="13" t="n">
        <f aca="false">Sens!$F$2980+(g_os-Sens!$F$2980)*1/4</f>
        <v>0.0860286601882206</v>
      </c>
      <c r="I2980" s="13" t="n">
        <f aca="false">Sens!$F$2980+(g_os-Sens!$F$2980)*2/4</f>
        <v>0.074019106792147</v>
      </c>
      <c r="J2980" s="13" t="n">
        <f aca="false">Sens!$F$2980+(g_os-Sens!$F$2980)*3/4</f>
        <v>0.0620095533960735</v>
      </c>
      <c r="K2980" s="13" t="n">
        <f aca="false">Sens!$F$2980+(g_os-Sens!$F$2980)*4/4</f>
        <v>0.05</v>
      </c>
      <c r="L2980" s="13" t="n">
        <f aca="false">g_os</f>
        <v>0.05</v>
      </c>
      <c r="M2980" s="13" t="n">
        <f aca="false">g_os</f>
        <v>0.05</v>
      </c>
      <c r="P2980" s="8" t="s">
        <v>669</v>
      </c>
    </row>
    <row r="2981" customFormat="false" ht="17.15" hidden="false" customHeight="false" outlineLevel="0" collapsed="false">
      <c r="A2981" s="0" t="s">
        <v>520</v>
      </c>
      <c r="B2981" s="0" t="s">
        <v>86</v>
      </c>
      <c r="C2981" s="38" t="n">
        <f aca="false">Q!$D$11</f>
        <v>21.215</v>
      </c>
      <c r="D2981" s="38" t="n">
        <f aca="false">Q!$E$11</f>
        <v>22.561</v>
      </c>
      <c r="E2981" s="38" t="n">
        <f aca="false">Q!$P$11</f>
        <v>11.579</v>
      </c>
      <c r="F2981" s="38" t="n">
        <f aca="false">Sens!$O$2981*(1+Sens!$F$2982)*Sens!$F$2991</f>
        <v>11.5938724610325</v>
      </c>
      <c r="G2981" s="38" t="n">
        <f aca="false">Sens!$E$2981+Sens!$F$2981</f>
        <v>23.1728724610325</v>
      </c>
      <c r="H2981" s="38" t="n">
        <f aca="false">Sens!$G$2981*(1+Sens!$H$2982)</f>
        <v>24.353392759506</v>
      </c>
      <c r="I2981" s="38" t="n">
        <f aca="false">Sens!$H$2981*(1+Sens!$I$2982)</f>
        <v>25.4240338872015</v>
      </c>
      <c r="J2981" s="38" t="n">
        <f aca="false">Sens!$I$2981*(1+Sens!$J$2982)</f>
        <v>26.3642491017174</v>
      </c>
      <c r="K2981" s="38" t="n">
        <f aca="false">Sens!$J$2981*(1+Sens!$K$2982)</f>
        <v>27.155176574769</v>
      </c>
      <c r="L2981" s="38" t="n">
        <f aca="false">Sens!$K$2981*(1+Sens!$L$2982)</f>
        <v>27.969831872012</v>
      </c>
      <c r="M2981" s="38" t="n">
        <f aca="false">Sens!$L$2981*(1+Sens!$M$2982)</f>
        <v>28.8089268281724</v>
      </c>
      <c r="N2981" s="38" t="n">
        <f aca="false">Q!$N$11</f>
        <v>11.128</v>
      </c>
      <c r="O2981" s="38" t="n">
        <f aca="false">Q!$O$11</f>
        <v>11.433</v>
      </c>
      <c r="P2981" s="8" t="s">
        <v>667</v>
      </c>
    </row>
    <row r="2982" customFormat="false" ht="17.15" hidden="false" customHeight="false" outlineLevel="0" collapsed="false">
      <c r="A2982" s="0" t="s">
        <v>670</v>
      </c>
      <c r="B2982" s="0" t="s">
        <v>52</v>
      </c>
      <c r="E2982" s="13" t="n">
        <f aca="false">Sens!$E$2981/Sens!$N$2981-1</f>
        <v>0.0405283968368082</v>
      </c>
      <c r="F2982" s="13" t="n">
        <f aca="false">Sens!$O$2981/(Q!$F$11+Q!$G$11)-1</f>
        <v>0.0579254187100955</v>
      </c>
      <c r="G2982" s="13" t="n">
        <f aca="false">Sens!$G$2981/Sens!$D$2981-1</f>
        <v>0.0271208040881397</v>
      </c>
      <c r="H2982" s="13" t="n">
        <f aca="false">Sens!$F$2982+(g_ps-Sens!$F$2982)*1/4</f>
        <v>0.0509440640325716</v>
      </c>
      <c r="I2982" s="13" t="n">
        <f aca="false">Sens!$F$2982+(g_ps-Sens!$F$2982)*2/4</f>
        <v>0.0439627093550477</v>
      </c>
      <c r="J2982" s="13" t="n">
        <f aca="false">Sens!$F$2982+(g_ps-Sens!$F$2982)*3/4</f>
        <v>0.0369813546775239</v>
      </c>
      <c r="K2982" s="13" t="n">
        <f aca="false">Sens!$F$2982+(g_ps-Sens!$F$2982)*4/4</f>
        <v>0.03</v>
      </c>
      <c r="L2982" s="13" t="n">
        <f aca="false">g_ps</f>
        <v>0.03</v>
      </c>
      <c r="M2982" s="13" t="n">
        <f aca="false">g_ps</f>
        <v>0.03</v>
      </c>
      <c r="P2982" s="8" t="s">
        <v>671</v>
      </c>
    </row>
    <row r="2983" customFormat="false" ht="17.15" hidden="false" customHeight="false" outlineLevel="0" collapsed="false">
      <c r="A2983" s="0" t="s">
        <v>521</v>
      </c>
      <c r="B2983" s="0" t="s">
        <v>86</v>
      </c>
      <c r="C2983" s="38" t="n">
        <f aca="false">Q!$D$12</f>
        <v>156.146</v>
      </c>
      <c r="D2983" s="38" t="n">
        <f aca="false">Q!$E$12</f>
        <v>172.162</v>
      </c>
      <c r="E2983" s="38" t="n">
        <f aca="false">Q!$P$12</f>
        <v>88.358</v>
      </c>
      <c r="F2983" s="38" t="n">
        <f aca="false">Sens!$O$2983*(1+Sens!$F$2984)*Sens!$F$2991</f>
        <v>102.004388260171</v>
      </c>
      <c r="G2983" s="38" t="n">
        <f aca="false">Sens!$E$2983+Sens!$F$2983</f>
        <v>190.362388260171</v>
      </c>
      <c r="H2983" s="38" t="n">
        <f aca="false">Sens!$G$2983*(1+Sens!$H$2984)</f>
        <v>210.343106588311</v>
      </c>
      <c r="I2983" s="38" t="n">
        <f aca="false">Sens!$H$2983*(1+Sens!$I$2984)</f>
        <v>229.969728494648</v>
      </c>
      <c r="J2983" s="38" t="n">
        <f aca="false">Sens!$I$2983*(1+Sens!$J$2984)</f>
        <v>248.747636972598</v>
      </c>
      <c r="K2983" s="38" t="n">
        <f aca="false">Sens!$J$2983*(1+Sens!$K$2984)</f>
        <v>266.15997156068</v>
      </c>
      <c r="L2983" s="38" t="n">
        <f aca="false">Sens!$K$2983*(1+Sens!$L$2984)</f>
        <v>284.791169569927</v>
      </c>
      <c r="M2983" s="38" t="n">
        <f aca="false">Sens!$L$2983*(1+Sens!$M$2984)</f>
        <v>304.726551439822</v>
      </c>
      <c r="N2983" s="38" t="n">
        <f aca="false">Q!$N$12</f>
        <v>76.86</v>
      </c>
      <c r="O2983" s="38" t="n">
        <f aca="false">Q!$O$12</f>
        <v>95.302</v>
      </c>
      <c r="P2983" s="8" t="s">
        <v>667</v>
      </c>
    </row>
    <row r="2984" customFormat="false" ht="17.15" hidden="false" customHeight="false" outlineLevel="0" collapsed="false">
      <c r="A2984" s="0" t="s">
        <v>672</v>
      </c>
      <c r="B2984" s="0" t="s">
        <v>52</v>
      </c>
      <c r="E2984" s="13" t="n">
        <f aca="false">Sens!$E$2983/Sens!$N$2983-1</f>
        <v>0.1495966692688</v>
      </c>
      <c r="F2984" s="13" t="n">
        <f aca="false">Sens!$O$2983/(Q!$F$12+Q!$G$12)-1</f>
        <v>0.11661530890813</v>
      </c>
      <c r="G2984" s="13" t="n">
        <f aca="false">Sens!$G$2983/Sens!$D$2983-1</f>
        <v>0.105716640490767</v>
      </c>
      <c r="H2984" s="13" t="n">
        <f aca="false">Sens!$F$2984+(g_sp-Sens!$F$2984)*1/4</f>
        <v>0.104961481681098</v>
      </c>
      <c r="I2984" s="13" t="n">
        <f aca="false">Sens!$F$2984+(g_sp-Sens!$F$2984)*2/4</f>
        <v>0.0933076544540651</v>
      </c>
      <c r="J2984" s="13" t="n">
        <f aca="false">Sens!$F$2984+(g_sp-Sens!$F$2984)*3/4</f>
        <v>0.0816538272270325</v>
      </c>
      <c r="K2984" s="13" t="n">
        <f aca="false">Sens!$F$2984+(g_sp-Sens!$F$2984)*4/4</f>
        <v>0.07</v>
      </c>
      <c r="L2984" s="13" t="n">
        <f aca="false">g_sp</f>
        <v>0.07</v>
      </c>
      <c r="M2984" s="13" t="n">
        <f aca="false">g_sp</f>
        <v>0.07</v>
      </c>
      <c r="P2984" s="8" t="s">
        <v>673</v>
      </c>
    </row>
    <row r="2985" customFormat="false" ht="17.15" hidden="false" customHeight="false" outlineLevel="0" collapsed="false">
      <c r="A2985" s="0" t="s">
        <v>522</v>
      </c>
      <c r="B2985" s="0" t="s">
        <v>86</v>
      </c>
      <c r="C2985" s="38" t="n">
        <f aca="false">Q!$D$13</f>
        <v>56.214</v>
      </c>
      <c r="D2985" s="38" t="n">
        <f aca="false">Q!$E$13</f>
        <v>68.635</v>
      </c>
      <c r="E2985" s="38" t="n">
        <f aca="false">Q!$P$13</f>
        <v>37.052</v>
      </c>
      <c r="F2985" s="38" t="n">
        <f aca="false">Sens!$O$2985*(1+Sens!$F$2986)*Sens!$F$2991</f>
        <v>46.1572219944148</v>
      </c>
      <c r="G2985" s="38" t="n">
        <f aca="false">Sens!$E$2985+Sens!$F$2985</f>
        <v>83.2092219944148</v>
      </c>
      <c r="H2985" s="38" t="n">
        <f aca="false">Sens!$G$2985*(1+Sens!$H$2986)</f>
        <v>99.8969223878976</v>
      </c>
      <c r="I2985" s="38" t="n">
        <f aca="false">Sens!$H$2985*(1+Sens!$I$2986)</f>
        <v>116.583111095496</v>
      </c>
      <c r="J2985" s="38" t="n">
        <f aca="false">Sens!$I$2985*(1+Sens!$J$2986)</f>
        <v>132.148941941952</v>
      </c>
      <c r="K2985" s="38" t="n">
        <f aca="false">Sens!$J$2985*(1+Sens!$K$2986)</f>
        <v>145.363836136147</v>
      </c>
      <c r="L2985" s="38" t="n">
        <f aca="false">Sens!$K$2985*(1+Sens!$L$2986)</f>
        <v>159.900219749762</v>
      </c>
      <c r="M2985" s="38" t="n">
        <f aca="false">Sens!$L$2985*(1+Sens!$M$2986)</f>
        <v>175.890241724738</v>
      </c>
      <c r="N2985" s="38" t="n">
        <f aca="false">Q!$N$13</f>
        <v>29.615</v>
      </c>
      <c r="O2985" s="38" t="n">
        <f aca="false">Q!$O$13</f>
        <v>39.02</v>
      </c>
      <c r="P2985" s="8" t="s">
        <v>667</v>
      </c>
    </row>
    <row r="2986" customFormat="false" ht="17.15" hidden="false" customHeight="false" outlineLevel="0" collapsed="false">
      <c r="A2986" s="0" t="s">
        <v>674</v>
      </c>
      <c r="B2986" s="0" t="s">
        <v>52</v>
      </c>
      <c r="E2986" s="13" t="n">
        <f aca="false">Sens!$E$2985/Sens!$N$2985-1</f>
        <v>0.25112274185379</v>
      </c>
      <c r="F2986" s="13" t="n">
        <f aca="false">Sens!$O$2985/(Q!$F$13+Q!$G$13)-1</f>
        <v>0.234068123596572</v>
      </c>
      <c r="G2986" s="13" t="n">
        <f aca="false">Sens!$G$2985/Sens!$D$2985-1</f>
        <v>0.212343876949294</v>
      </c>
      <c r="H2986" s="13" t="n">
        <f aca="false">Sens!$F$2986+(g_ad-Sens!$F$2986)*1/4</f>
        <v>0.200551092697429</v>
      </c>
      <c r="I2986" s="13" t="n">
        <f aca="false">Sens!$F$2986+(g_ad-Sens!$F$2986)*2/4</f>
        <v>0.167034061798286</v>
      </c>
      <c r="J2986" s="13" t="n">
        <f aca="false">Sens!$F$2986+(g_ad-Sens!$F$2986)*3/4</f>
        <v>0.133517030899143</v>
      </c>
      <c r="K2986" s="13" t="n">
        <f aca="false">Sens!$F$2986+(g_ad-Sens!$F$2986)*4/4</f>
        <v>0.1</v>
      </c>
      <c r="L2986" s="13" t="n">
        <f aca="false">g_ad</f>
        <v>0.1</v>
      </c>
      <c r="M2986" s="13" t="n">
        <f aca="false">g_ad</f>
        <v>0.1</v>
      </c>
      <c r="P2986" s="8" t="s">
        <v>675</v>
      </c>
    </row>
    <row r="2987" customFormat="false" ht="17.15" hidden="false" customHeight="false" outlineLevel="0" collapsed="false">
      <c r="A2987" s="0" t="s">
        <v>523</v>
      </c>
      <c r="B2987" s="0" t="s">
        <v>86</v>
      </c>
      <c r="C2987" s="38" t="n">
        <f aca="false">Q!$D$14</f>
        <v>44.374</v>
      </c>
      <c r="D2987" s="38" t="n">
        <f aca="false">Q!$E$14</f>
        <v>49.619</v>
      </c>
      <c r="E2987" s="38" t="n">
        <f aca="false">Q!$P$14</f>
        <v>27.157</v>
      </c>
      <c r="F2987" s="38" t="n">
        <f aca="false">Sens!$O$2987*(1+Sens!$F$2988)*Sens!$F$2991</f>
        <v>27.7764165988154</v>
      </c>
      <c r="G2987" s="38" t="n">
        <f aca="false">Sens!$E$2987+Sens!$F$2987</f>
        <v>54.9334165988154</v>
      </c>
      <c r="H2987" s="38" t="n">
        <f aca="false">Sens!$G$2987*(1+Sens!$H$2988)</f>
        <v>61.1564112561829</v>
      </c>
      <c r="I2987" s="38" t="n">
        <f aca="false">Sens!$H$2987*(1+Sens!$I$2988)</f>
        <v>67.2020282103945</v>
      </c>
      <c r="J2987" s="38" t="n">
        <f aca="false">Sens!$I$2987*(1+Sens!$J$2988)</f>
        <v>72.8757274028885</v>
      </c>
      <c r="K2987" s="38" t="n">
        <f aca="false">Sens!$J$2987*(1+Sens!$K$2988)</f>
        <v>77.9770283210907</v>
      </c>
      <c r="L2987" s="38" t="n">
        <f aca="false">Sens!$K$2987*(1+Sens!$L$2988)</f>
        <v>83.4354203035671</v>
      </c>
      <c r="M2987" s="38" t="n">
        <f aca="false">Sens!$L$2987*(1+Sens!$M$2988)</f>
        <v>89.2758997248168</v>
      </c>
      <c r="N2987" s="38" t="n">
        <f aca="false">Q!$N$14</f>
        <v>23.923</v>
      </c>
      <c r="O2987" s="38" t="n">
        <f aca="false">Q!$O$14</f>
        <v>25.696</v>
      </c>
      <c r="P2987" s="8" t="s">
        <v>667</v>
      </c>
    </row>
    <row r="2988" customFormat="false" ht="17.15" hidden="false" customHeight="false" outlineLevel="0" collapsed="false">
      <c r="A2988" s="0" t="s">
        <v>676</v>
      </c>
      <c r="B2988" s="0" t="s">
        <v>52</v>
      </c>
      <c r="E2988" s="13" t="n">
        <f aca="false">Sens!$E$2987/Sens!$N$2987-1</f>
        <v>0.135183714417088</v>
      </c>
      <c r="F2988" s="13" t="n">
        <f aca="false">Sens!$O$2987/(Q!$F$14+Q!$G$14)-1</f>
        <v>0.127709997366804</v>
      </c>
      <c r="G2988" s="13" t="n">
        <f aca="false">Sens!$G$2987/Sens!$D$2987-1</f>
        <v>0.107104468022641</v>
      </c>
      <c r="H2988" s="13" t="n">
        <f aca="false">Sens!$F$2988+(g_sub-Sens!$F$2988)*1/4</f>
        <v>0.113282498025103</v>
      </c>
      <c r="I2988" s="13" t="n">
        <f aca="false">Sens!$F$2988+(g_sub-Sens!$F$2988)*2/4</f>
        <v>0.0988549986834021</v>
      </c>
      <c r="J2988" s="13" t="n">
        <f aca="false">Sens!$F$2988+(g_sub-Sens!$F$2988)*3/4</f>
        <v>0.084427499341701</v>
      </c>
      <c r="K2988" s="13" t="n">
        <f aca="false">Sens!$F$2988+(g_sub-Sens!$F$2988)*4/4</f>
        <v>0.07</v>
      </c>
      <c r="L2988" s="13" t="n">
        <f aca="false">g_sub</f>
        <v>0.07</v>
      </c>
      <c r="M2988" s="13" t="n">
        <f aca="false">g_sub</f>
        <v>0.07</v>
      </c>
      <c r="P2988" s="8" t="s">
        <v>677</v>
      </c>
    </row>
    <row r="2989" customFormat="false" ht="17.15" hidden="false" customHeight="false" outlineLevel="0" collapsed="false">
      <c r="A2989" s="0" t="s">
        <v>524</v>
      </c>
      <c r="B2989" s="0" t="s">
        <v>86</v>
      </c>
      <c r="C2989" s="38" t="n">
        <f aca="false">Q!$D$15</f>
        <v>5.425</v>
      </c>
      <c r="D2989" s="38" t="n">
        <f aca="false">Q!$E$15</f>
        <v>5.935</v>
      </c>
      <c r="E2989" s="38" t="n">
        <f aca="false">Q!$P$15</f>
        <v>3.474</v>
      </c>
      <c r="F2989" s="38" t="n">
        <f aca="false">Sens!$O$2989*(1+Sens!$F$2990)*Sens!$F$2991</f>
        <v>3.22246550883619</v>
      </c>
      <c r="G2989" s="38" t="n">
        <f aca="false">Sens!$E$2989+Sens!$F$2989</f>
        <v>6.69646550883619</v>
      </c>
      <c r="H2989" s="38" t="n">
        <f aca="false">Sens!$G$2989*(1+Sens!$H$2990)</f>
        <v>7.16251344209196</v>
      </c>
      <c r="I2989" s="38" t="n">
        <f aca="false">Sens!$H$2989*(1+Sens!$I$2990)</f>
        <v>7.61421070299826</v>
      </c>
      <c r="J2989" s="38" t="n">
        <f aca="false">Sens!$I$2989*(1+Sens!$J$2990)</f>
        <v>8.04465753523932</v>
      </c>
      <c r="K2989" s="38" t="n">
        <f aca="false">Sens!$J$2989*(1+Sens!$K$2990)</f>
        <v>8.44689041200128</v>
      </c>
      <c r="L2989" s="38" t="n">
        <f aca="false">Sens!$K$2989*(1+Sens!$L$2990)</f>
        <v>8.86923493260135</v>
      </c>
      <c r="M2989" s="38" t="n">
        <f aca="false">Sens!$L$2989*(1+Sens!$M$2990)</f>
        <v>9.31269667923142</v>
      </c>
      <c r="N2989" s="38" t="n">
        <f aca="false">Q!$N$15</f>
        <v>2.811</v>
      </c>
      <c r="O2989" s="38" t="n">
        <f aca="false">Q!$O$15</f>
        <v>3.124</v>
      </c>
      <c r="P2989" s="8" t="s">
        <v>667</v>
      </c>
    </row>
    <row r="2990" customFormat="false" ht="17.15" hidden="false" customHeight="false" outlineLevel="0" collapsed="false">
      <c r="A2990" s="0" t="s">
        <v>678</v>
      </c>
      <c r="B2990" s="0" t="s">
        <v>52</v>
      </c>
      <c r="E2990" s="13" t="n">
        <f aca="false">Sens!$E$2989/Sens!$N$2989-1</f>
        <v>0.235859124866596</v>
      </c>
      <c r="F2990" s="13" t="n">
        <f aca="false">Sens!$O$2989/(Q!$F$15+Q!$G$15)-1</f>
        <v>0.0761281433000345</v>
      </c>
      <c r="G2990" s="13" t="n">
        <f aca="false">Sens!$G$2989/Sens!$D$2989-1</f>
        <v>0.128300843948811</v>
      </c>
      <c r="H2990" s="13" t="n">
        <f aca="false">Sens!$F$2990+(g_ot-Sens!$F$2990)*1/4</f>
        <v>0.0695961074750259</v>
      </c>
      <c r="I2990" s="13" t="n">
        <f aca="false">Sens!$F$2990+(g_ot-Sens!$F$2990)*2/4</f>
        <v>0.0630640716500172</v>
      </c>
      <c r="J2990" s="13" t="n">
        <f aca="false">Sens!$F$2990+(g_ot-Sens!$F$2990)*3/4</f>
        <v>0.0565320358250086</v>
      </c>
      <c r="K2990" s="13" t="n">
        <f aca="false">Sens!$F$2990+(g_ot-Sens!$F$2990)*4/4</f>
        <v>0.05</v>
      </c>
      <c r="L2990" s="13" t="n">
        <f aca="false">g_ot</f>
        <v>0.05</v>
      </c>
      <c r="M2990" s="13" t="n">
        <f aca="false">g_ot</f>
        <v>0.05</v>
      </c>
      <c r="P2990" s="8" t="s">
        <v>679</v>
      </c>
    </row>
    <row r="2991" customFormat="false" ht="17.15" hidden="false" customHeight="false" outlineLevel="0" collapsed="false">
      <c r="A2991" s="0" t="s">
        <v>680</v>
      </c>
      <c r="B2991" s="0" t="s">
        <v>57</v>
      </c>
      <c r="F2991" s="40" t="n">
        <f aca="false">(g26q3_mid*Q!$O$8/Q!$J$8-Thesis!$F$86-Thesis!$F$90)/(Sens!$O$2979*(1+Sens!$F$2980)+Sens!$O$2981*(1+Sens!$F$2982)+Sens!$O$2983*(1+Sens!$F$2984)+Sens!$O$2985*(1+Sens!$F$2986)+Sens!$O$2987*(1+Sens!$F$2988)+Sens!$O$2989*(1+Sens!$F$2990))</f>
        <v>0.958546670622329</v>
      </c>
      <c r="P2991" s="8" t="s">
        <v>681</v>
      </c>
    </row>
    <row r="2992" customFormat="false" ht="17.15" hidden="false" customHeight="false" outlineLevel="0" collapsed="false">
      <c r="A2992" s="3" t="s">
        <v>682</v>
      </c>
      <c r="B2992" s="8" t="s">
        <v>86</v>
      </c>
      <c r="C2992" s="38" t="n">
        <f aca="false">Sens!$C$2979+Sens!$C$2981+Sens!$C$2983+Sens!$C$2985+Sens!$C$2987+Sens!$C$2989</f>
        <v>530.403</v>
      </c>
      <c r="D2992" s="38" t="n">
        <f aca="false">Sens!$D$2979+Sens!$D$2981+Sens!$D$2983+Sens!$D$2985+Sens!$D$2987+Sens!$D$2989</f>
        <v>588.199</v>
      </c>
      <c r="E2992" s="38" t="n">
        <f aca="false">Sens!$E$2979+Sens!$E$2981+Sens!$E$2983+Sens!$E$2985+Sens!$E$2987+Sens!$E$2989</f>
        <v>302.306</v>
      </c>
      <c r="F2992" s="38" t="n">
        <f aca="false">Sens!$F$2979+Sens!$F$2981+Sens!$F$2983+Sens!$F$2985+Sens!$F$2987+Sens!$F$2989</f>
        <v>349.048241645537</v>
      </c>
      <c r="G2992" s="38" t="n">
        <f aca="false">Sens!$G$2979+Sens!$G$2981+Sens!$G$2983+Sens!$G$2985+Sens!$G$2987+Sens!$G$2989</f>
        <v>651.354241645537</v>
      </c>
      <c r="H2992" s="38" t="n">
        <f aca="false">Sens!$H$2979+Sens!$H$2981+Sens!$H$2983+Sens!$H$2985+Sens!$H$2987+Sens!$H$2989</f>
        <v>721.096889521386</v>
      </c>
      <c r="I2992" s="38" t="n">
        <f aca="false">Sens!$I$2979+Sens!$I$2981+Sens!$I$2983+Sens!$I$2985+Sens!$I$2987+Sens!$I$2989</f>
        <v>788.529391152531</v>
      </c>
      <c r="J2992" s="38" t="n">
        <f aca="false">Sens!$J$2979+Sens!$J$2981+Sens!$J$2983+Sens!$J$2985+Sens!$J$2987+Sens!$J$2989</f>
        <v>851.108405741443</v>
      </c>
      <c r="K2992" s="38" t="n">
        <f aca="false">Sens!$K$2979+Sens!$K$2981+Sens!$K$2983+Sens!$K$2985+Sens!$K$2987+Sens!$K$2989</f>
        <v>906.176455431088</v>
      </c>
      <c r="L2992" s="38" t="n">
        <f aca="false">Sens!$L$2979+Sens!$L$2981+Sens!$L$2983+Sens!$L$2985+Sens!$L$2987+Sens!$L$2989</f>
        <v>965.093106475589</v>
      </c>
      <c r="M2992" s="38" t="n">
        <f aca="false">Sens!$M$2979+Sens!$M$2981+Sens!$M$2983+Sens!$M$2985+Sens!$M$2987+Sens!$M$2989</f>
        <v>1028.14790794689</v>
      </c>
      <c r="N2992" s="38" t="n">
        <f aca="false">Sens!$N$2979+Sens!$N$2981+Sens!$N$2983+Sens!$N$2985+Sens!$N$2987+Sens!$N$2989</f>
        <v>263.229</v>
      </c>
      <c r="O2992" s="38" t="n">
        <f aca="false">Sens!$O$2979+Sens!$O$2981+Sens!$O$2983+Sens!$O$2985+Sens!$O$2987+Sens!$O$2989</f>
        <v>324.97</v>
      </c>
    </row>
    <row r="2993" customFormat="false" ht="17.15" hidden="false" customHeight="false" outlineLevel="0" collapsed="false">
      <c r="A2993" s="5" t="s">
        <v>683</v>
      </c>
      <c r="B2993" s="0" t="s">
        <v>52</v>
      </c>
      <c r="C2993" s="13" t="n">
        <f aca="false">Q!$D$5/(Q!$D$5+Q!$D$6)</f>
        <v>0.730570905519011</v>
      </c>
      <c r="D2993" s="13" t="n">
        <f aca="false">Q!$E$5/(Q!$E$5+Q!$E$6)</f>
        <v>0.724763217890544</v>
      </c>
      <c r="E2993" s="13" t="n">
        <f aca="false">Q!$P$5/(Q!$P$5+Q!$P$6)</f>
        <v>0.728797972914861</v>
      </c>
      <c r="F2993" s="13" t="n">
        <f aca="false">Sens!$O$2993</f>
        <v>0.718066283041511</v>
      </c>
      <c r="G2993" s="13" t="n">
        <f aca="false">Sens!$G$2994/Sens!$G$2992</f>
        <v>0.723047066202847</v>
      </c>
      <c r="H2993" s="13" t="n">
        <f aca="false">Sens!$G$2993</f>
        <v>0.723047066202847</v>
      </c>
      <c r="I2993" s="13" t="n">
        <f aca="false">Sens!$G$2993</f>
        <v>0.723047066202847</v>
      </c>
      <c r="J2993" s="13" t="n">
        <f aca="false">Sens!$G$2993</f>
        <v>0.723047066202847</v>
      </c>
      <c r="K2993" s="13" t="n">
        <f aca="false">Sens!$G$2993</f>
        <v>0.723047066202847</v>
      </c>
      <c r="L2993" s="13" t="n">
        <f aca="false">Sens!$G$2993</f>
        <v>0.723047066202847</v>
      </c>
      <c r="M2993" s="13" t="n">
        <f aca="false">Sens!$G$2993</f>
        <v>0.723047066202847</v>
      </c>
      <c r="N2993" s="13" t="n">
        <f aca="false">Q!$N$5/(Q!$N$5+Q!$N$6)</f>
        <v>0.733030935041352</v>
      </c>
      <c r="O2993" s="13" t="n">
        <f aca="false">Q!$O$5/(Q!$O$5+Q!$O$6)</f>
        <v>0.718066283041511</v>
      </c>
      <c r="P2993" s="8" t="s">
        <v>684</v>
      </c>
    </row>
    <row r="2994" customFormat="false" ht="17.15" hidden="false" customHeight="false" outlineLevel="0" collapsed="false">
      <c r="A2994" s="1" t="s">
        <v>512</v>
      </c>
      <c r="B2994" s="8" t="s">
        <v>86</v>
      </c>
      <c r="C2994" s="38" t="n">
        <f aca="false">Q!$D$5</f>
        <v>387.497</v>
      </c>
      <c r="D2994" s="38" t="n">
        <f aca="false">Q!$E$5</f>
        <v>426.305</v>
      </c>
      <c r="E2994" s="38" t="n">
        <f aca="false">Q!$P$5</f>
        <v>220.32</v>
      </c>
      <c r="F2994" s="38" t="n">
        <f aca="false">Sens!$F$2992*Sens!$F$2993</f>
        <v>250.639773480586</v>
      </c>
      <c r="G2994" s="38" t="n">
        <f aca="false">Sens!$E$2994+Sens!$F$2994</f>
        <v>470.959773480586</v>
      </c>
      <c r="H2994" s="38" t="n">
        <f aca="false">Sens!$H$2992*Sens!$H$2993</f>
        <v>521.386990416437</v>
      </c>
      <c r="I2994" s="38" t="n">
        <f aca="false">Sens!$I$2992*Sens!$I$2993</f>
        <v>570.143862887555</v>
      </c>
      <c r="J2994" s="38" t="n">
        <f aca="false">Sens!$J$2992*Sens!$J$2993</f>
        <v>615.391435791933</v>
      </c>
      <c r="K2994" s="38" t="n">
        <f aca="false">Sens!$K$2992*Sens!$K$2993</f>
        <v>655.208227561543</v>
      </c>
      <c r="L2994" s="38" t="n">
        <f aca="false">Sens!$L$2992*Sens!$L$2993</f>
        <v>697.807739249767</v>
      </c>
      <c r="M2994" s="38" t="n">
        <f aca="false">Sens!$M$2992*Sens!$M$2993</f>
        <v>743.399328463592</v>
      </c>
      <c r="N2994" s="38" t="n">
        <f aca="false">Q!$N$5</f>
        <v>192.955</v>
      </c>
      <c r="O2994" s="38" t="n">
        <f aca="false">Q!$O$5</f>
        <v>233.35</v>
      </c>
      <c r="P2994" s="5" t="s">
        <v>685</v>
      </c>
    </row>
    <row r="2995" customFormat="false" ht="17.15" hidden="false" customHeight="false" outlineLevel="0" collapsed="false">
      <c r="A2995" s="1" t="s">
        <v>515</v>
      </c>
      <c r="B2995" s="8" t="s">
        <v>86</v>
      </c>
      <c r="C2995" s="38" t="n">
        <f aca="false">Q!$D$6</f>
        <v>142.906</v>
      </c>
      <c r="D2995" s="38" t="n">
        <f aca="false">Q!$E$6</f>
        <v>161.894</v>
      </c>
      <c r="E2995" s="38" t="n">
        <f aca="false">Q!$P$6</f>
        <v>81.986</v>
      </c>
      <c r="F2995" s="38" t="n">
        <f aca="false">Sens!$F$2992*(1-Sens!$F$2993)</f>
        <v>98.408468164951</v>
      </c>
      <c r="G2995" s="38" t="n">
        <f aca="false">Sens!$E$2995+Sens!$F$2995</f>
        <v>180.394468164951</v>
      </c>
      <c r="H2995" s="38" t="n">
        <f aca="false">Sens!$H$2992*(1-Sens!$H$2993)</f>
        <v>199.709899104949</v>
      </c>
      <c r="I2995" s="38" t="n">
        <f aca="false">Sens!$I$2992*(1-Sens!$I$2993)</f>
        <v>218.385528264976</v>
      </c>
      <c r="J2995" s="38" t="n">
        <f aca="false">Sens!$J$2992*(1-Sens!$J$2993)</f>
        <v>235.71696994951</v>
      </c>
      <c r="K2995" s="38" t="n">
        <f aca="false">Sens!$K$2992*(1-Sens!$K$2993)</f>
        <v>250.968227869545</v>
      </c>
      <c r="L2995" s="38" t="n">
        <f aca="false">Sens!$L$2992*(1-Sens!$L$2993)</f>
        <v>267.285367225822</v>
      </c>
      <c r="M2995" s="38" t="n">
        <f aca="false">Sens!$M$2992*(1-Sens!$M$2993)</f>
        <v>284.748579483295</v>
      </c>
      <c r="N2995" s="38" t="n">
        <f aca="false">Q!$N$6</f>
        <v>70.274</v>
      </c>
      <c r="O2995" s="38" t="n">
        <f aca="false">Q!$O$6</f>
        <v>91.62</v>
      </c>
      <c r="P2995" s="5" t="s">
        <v>686</v>
      </c>
    </row>
    <row r="2996" customFormat="false" ht="17.15" hidden="false" customHeight="false" outlineLevel="0" collapsed="false">
      <c r="A2996" s="5" t="s">
        <v>687</v>
      </c>
      <c r="B2996" s="0" t="s">
        <v>86</v>
      </c>
      <c r="C2996" s="38" t="n">
        <f aca="false">Sens!$C$2985*Sens!$C$2993</f>
        <v>41.0683128828457</v>
      </c>
      <c r="D2996" s="38" t="n">
        <f aca="false">Sens!$D$2985*Sens!$D$2993</f>
        <v>49.7441234599175</v>
      </c>
      <c r="E2996" s="38" t="n">
        <f aca="false">Sens!$E$2985*Sens!$E$2993</f>
        <v>27.0034224924414</v>
      </c>
      <c r="F2996" s="38" t="n">
        <f aca="false">Sens!$F$2985*Sens!$F$2993</f>
        <v>33.1439448330513</v>
      </c>
      <c r="G2996" s="38" t="n">
        <f aca="false">Sens!$G$2985*Sens!$G$2993</f>
        <v>60.164183844083</v>
      </c>
      <c r="H2996" s="38" t="n">
        <f aca="false">Sens!$H$2985*Sens!$H$2993</f>
        <v>72.2301766552629</v>
      </c>
      <c r="I2996" s="38" t="n">
        <f aca="false">Sens!$I$2985*Sens!$I$2993</f>
        <v>84.2950764463991</v>
      </c>
      <c r="J2996" s="38" t="n">
        <f aca="false">Sens!$J$2985*Sens!$J$2993</f>
        <v>95.5499047729386</v>
      </c>
      <c r="K2996" s="38" t="n">
        <f aca="false">Sens!$K$2985*Sens!$K$2993</f>
        <v>105.104895250232</v>
      </c>
      <c r="L2996" s="38" t="n">
        <f aca="false">Sens!$L$2985*Sens!$L$2993</f>
        <v>115.615384775256</v>
      </c>
      <c r="M2996" s="38" t="n">
        <f aca="false">Sens!$M$2985*Sens!$M$2993</f>
        <v>127.176923252781</v>
      </c>
      <c r="N2996" s="38" t="n">
        <f aca="false">Sens!$N$2985*Sens!$N$2993</f>
        <v>21.7087111412496</v>
      </c>
      <c r="O2996" s="38" t="n">
        <f aca="false">Sens!$O$2985*Sens!$O$2993</f>
        <v>28.0189463642798</v>
      </c>
      <c r="P2996" s="5" t="s">
        <v>688</v>
      </c>
    </row>
    <row r="2997" customFormat="false" ht="15" hidden="false" customHeight="false" outlineLevel="0" collapsed="false">
      <c r="A2997" s="5" t="s">
        <v>689</v>
      </c>
      <c r="B2997" s="0" t="s">
        <v>86</v>
      </c>
      <c r="C2997" s="38" t="n">
        <f aca="false">Sens!$C$2985-Sens!$C$2996</f>
        <v>15.1456871171543</v>
      </c>
      <c r="D2997" s="38" t="n">
        <f aca="false">Sens!$D$2985-Sens!$D$2996</f>
        <v>18.8908765400825</v>
      </c>
      <c r="E2997" s="38" t="n">
        <f aca="false">Sens!$E$2985-Sens!$E$2996</f>
        <v>10.0485775075586</v>
      </c>
      <c r="F2997" s="38" t="n">
        <f aca="false">Sens!$F$2985-Sens!$F$2996</f>
        <v>13.0132771613635</v>
      </c>
      <c r="G2997" s="38" t="n">
        <f aca="false">Sens!$G$2985-Sens!$G$2996</f>
        <v>23.0450381503318</v>
      </c>
      <c r="H2997" s="38" t="n">
        <f aca="false">Sens!$H$2985-Sens!$H$2996</f>
        <v>27.6667457326347</v>
      </c>
      <c r="I2997" s="38" t="n">
        <f aca="false">Sens!$I$2985-Sens!$I$2996</f>
        <v>32.2880346490971</v>
      </c>
      <c r="J2997" s="38" t="n">
        <f aca="false">Sens!$J$2985-Sens!$J$2996</f>
        <v>36.5990371690132</v>
      </c>
      <c r="K2997" s="38" t="n">
        <f aca="false">Sens!$K$2985-Sens!$K$2996</f>
        <v>40.2589408859145</v>
      </c>
      <c r="L2997" s="38" t="n">
        <f aca="false">Sens!$L$2985-Sens!$L$2996</f>
        <v>44.2848349745059</v>
      </c>
      <c r="M2997" s="38" t="n">
        <f aca="false">Sens!$M$2985-Sens!$M$2996</f>
        <v>48.7133184719565</v>
      </c>
      <c r="N2997" s="38" t="n">
        <f aca="false">Sens!$N$2985-Sens!$N$2996</f>
        <v>7.90628885875037</v>
      </c>
      <c r="O2997" s="38" t="n">
        <f aca="false">Sens!$O$2985-Sens!$O$2996</f>
        <v>11.0010536357202</v>
      </c>
    </row>
    <row r="2998" customFormat="false" ht="19.4" hidden="false" customHeight="false" outlineLevel="0" collapsed="false">
      <c r="A2998" s="31" t="s">
        <v>1196</v>
      </c>
    </row>
    <row r="2999" customFormat="false" ht="17.15" hidden="false" customHeight="false" outlineLevel="0" collapsed="false">
      <c r="A2999" s="6" t="s">
        <v>16</v>
      </c>
      <c r="B2999" s="6" t="s">
        <v>17</v>
      </c>
      <c r="C2999" s="20" t="s">
        <v>497</v>
      </c>
      <c r="D2999" s="20" t="s">
        <v>498</v>
      </c>
      <c r="E2999" s="20" t="s">
        <v>580</v>
      </c>
      <c r="F2999" s="20" t="s">
        <v>581</v>
      </c>
      <c r="G2999" s="20" t="s">
        <v>582</v>
      </c>
      <c r="H2999" s="20" t="s">
        <v>583</v>
      </c>
      <c r="I2999" s="20" t="s">
        <v>584</v>
      </c>
      <c r="J2999" s="20" t="s">
        <v>585</v>
      </c>
      <c r="K2999" s="20" t="s">
        <v>586</v>
      </c>
      <c r="L2999" s="20" t="s">
        <v>587</v>
      </c>
      <c r="M2999" s="20" t="s">
        <v>588</v>
      </c>
      <c r="N2999" s="20" t="s">
        <v>589</v>
      </c>
      <c r="O2999" s="20" t="s">
        <v>590</v>
      </c>
      <c r="P2999" s="6" t="s">
        <v>23</v>
      </c>
      <c r="R2999" s="20" t="n">
        <v>2023</v>
      </c>
      <c r="S2999" s="20" t="n">
        <v>2024</v>
      </c>
      <c r="T2999" s="20" t="n">
        <v>2025</v>
      </c>
      <c r="U2999" s="20" t="n">
        <v>2026</v>
      </c>
      <c r="V2999" s="20" t="n">
        <v>2027</v>
      </c>
      <c r="W2999" s="20" t="n">
        <v>2028</v>
      </c>
      <c r="X2999" s="20" t="n">
        <v>2029</v>
      </c>
      <c r="Y2999" s="20" t="n">
        <v>2030</v>
      </c>
      <c r="Z2999" s="20" t="n">
        <v>2031</v>
      </c>
      <c r="AA2999" s="20" t="n">
        <v>2032</v>
      </c>
    </row>
    <row r="3000" customFormat="false" ht="17.15" hidden="false" customHeight="false" outlineLevel="0" collapsed="false">
      <c r="A3000" s="1" t="s">
        <v>591</v>
      </c>
    </row>
    <row r="3001" customFormat="false" ht="17.15" hidden="false" customHeight="false" outlineLevel="0" collapsed="false">
      <c r="A3001" s="5" t="s">
        <v>592</v>
      </c>
      <c r="B3001" s="0" t="s">
        <v>144</v>
      </c>
      <c r="H3001" s="32" t="n">
        <f aca="false">pace_B</f>
        <v>3634.3</v>
      </c>
      <c r="I3001" s="32" t="n">
        <f aca="false">pace_B</f>
        <v>3634.3</v>
      </c>
      <c r="J3001" s="32" t="n">
        <f aca="false">pace_B</f>
        <v>3634.3</v>
      </c>
      <c r="K3001" s="32" t="n">
        <f aca="false">pace_B+(Sens!$J$3002*tg-pace_B)*1/3</f>
        <v>2570.86716666667</v>
      </c>
      <c r="L3001" s="32" t="n">
        <f aca="false">pace_B+(Sens!$J$3002*tg-pace_B)*2/3</f>
        <v>1507.43433333333</v>
      </c>
      <c r="M3001" s="32" t="n">
        <f aca="false">pace_B+(Sens!$J$3002*tg-pace_B)*3/3</f>
        <v>444.0015</v>
      </c>
      <c r="P3001" s="5" t="s">
        <v>593</v>
      </c>
    </row>
    <row r="3002" customFormat="false" ht="17.15" hidden="false" customHeight="false" outlineLevel="0" collapsed="false">
      <c r="A3002" s="15" t="s">
        <v>594</v>
      </c>
      <c r="B3002" s="14" t="s">
        <v>129</v>
      </c>
      <c r="C3002" s="33" t="n">
        <f aca="false">mw_ye24</f>
        <v>360</v>
      </c>
      <c r="D3002" s="33" t="n">
        <f aca="false">mw_ye25</f>
        <v>1440</v>
      </c>
      <c r="E3002" s="33" t="n">
        <f aca="false">mw_open</f>
        <v>2080</v>
      </c>
      <c r="F3002" s="33" t="n">
        <f aca="false">Sens!$E$3002+pace_B*0.5</f>
        <v>3897.15</v>
      </c>
      <c r="G3002" s="33" t="n">
        <f aca="false">Sens!$F$3002</f>
        <v>3897.15</v>
      </c>
      <c r="H3002" s="33" t="n">
        <f aca="false">Sens!$G$3002+Sens!$H$3001</f>
        <v>7531.45</v>
      </c>
      <c r="I3002" s="33" t="n">
        <f aca="false">Sens!$H$3002+Sens!$I$3001</f>
        <v>11165.75</v>
      </c>
      <c r="J3002" s="33" t="n">
        <f aca="false">Sens!$I$3002+Sens!$J$3001</f>
        <v>14800.05</v>
      </c>
      <c r="K3002" s="33" t="n">
        <f aca="false">Sens!$J$3002+Sens!$K$3001</f>
        <v>17370.9171666667</v>
      </c>
      <c r="L3002" s="33" t="n">
        <f aca="false">Sens!$K$3002+Sens!$L$3001</f>
        <v>18878.3515</v>
      </c>
      <c r="M3002" s="33" t="n">
        <f aca="false">Sens!$L$3002+Sens!$M$3001</f>
        <v>19322.353</v>
      </c>
      <c r="N3002" s="33" t="n">
        <f aca="false">(mw_ye24+mw_ye25)/2</f>
        <v>900</v>
      </c>
      <c r="O3002" s="33" t="n">
        <f aca="false">mw_ye25</f>
        <v>1440</v>
      </c>
      <c r="P3002" s="5" t="s">
        <v>595</v>
      </c>
    </row>
    <row r="3003" customFormat="false" ht="17.15" hidden="false" customHeight="false" outlineLevel="0" collapsed="false">
      <c r="A3003" s="5" t="s">
        <v>596</v>
      </c>
      <c r="B3003" s="0" t="s">
        <v>129</v>
      </c>
      <c r="C3003" s="32" t="n">
        <f aca="false">(mw_ye23+mw_ye24)/2</f>
        <v>240</v>
      </c>
      <c r="D3003" s="32" t="n">
        <f aca="false">(Sens!$C$3002+Sens!$D$3002)/2</f>
        <v>900</v>
      </c>
      <c r="E3003" s="32" t="n">
        <f aca="false">(Sens!$D$3002+Sens!$E$3002)/2</f>
        <v>1760</v>
      </c>
      <c r="F3003" s="32" t="n">
        <f aca="false">(Sens!$E$3002+Sens!$F$3002)/2</f>
        <v>2988.575</v>
      </c>
      <c r="G3003" s="32" t="n">
        <f aca="false">(Sens!$E$3003+Sens!$F$3003)/2</f>
        <v>2374.2875</v>
      </c>
      <c r="H3003" s="32" t="n">
        <f aca="false">(Sens!$G$3002+Sens!$H$3002)/2</f>
        <v>5714.3</v>
      </c>
      <c r="I3003" s="32" t="n">
        <f aca="false">(Sens!$H$3002+Sens!$I$3002)/2</f>
        <v>9348.6</v>
      </c>
      <c r="J3003" s="32" t="n">
        <f aca="false">(Sens!$I$3002+Sens!$J$3002)/2</f>
        <v>12982.9</v>
      </c>
      <c r="K3003" s="32" t="n">
        <f aca="false">(Sens!$J$3002+Sens!$K$3002)/2</f>
        <v>16085.4835833333</v>
      </c>
      <c r="L3003" s="32" t="n">
        <f aca="false">(Sens!$K$3002+Sens!$L$3002)/2</f>
        <v>18124.6343333333</v>
      </c>
      <c r="M3003" s="32" t="n">
        <f aca="false">(Sens!$L$3002+Sens!$M$3002)/2</f>
        <v>19100.35225</v>
      </c>
      <c r="N3003" s="32" t="n">
        <f aca="false">(Sens!$C$3002+Sens!$N$3002)/2</f>
        <v>630</v>
      </c>
      <c r="O3003" s="32" t="n">
        <f aca="false">(Sens!$N$3002+Sens!$O$3002)/2</f>
        <v>1170</v>
      </c>
    </row>
    <row r="3004" customFormat="false" ht="15" hidden="false" customHeight="false" outlineLevel="0" collapsed="false">
      <c r="A3004" s="5" t="s">
        <v>597</v>
      </c>
      <c r="B3004" s="5" t="s">
        <v>123</v>
      </c>
      <c r="C3004" s="34" t="n">
        <v>1</v>
      </c>
      <c r="D3004" s="34" t="n">
        <v>1</v>
      </c>
      <c r="E3004" s="34" t="n">
        <v>0.5</v>
      </c>
      <c r="F3004" s="34" t="n">
        <v>0.5</v>
      </c>
      <c r="G3004" s="34" t="n">
        <v>1</v>
      </c>
      <c r="H3004" s="34" t="n">
        <v>1</v>
      </c>
      <c r="I3004" s="34" t="n">
        <v>1</v>
      </c>
      <c r="J3004" s="34" t="n">
        <v>1</v>
      </c>
      <c r="K3004" s="34" t="n">
        <v>1</v>
      </c>
      <c r="L3004" s="34" t="n">
        <v>1</v>
      </c>
      <c r="M3004" s="34" t="n">
        <v>1</v>
      </c>
      <c r="N3004" s="34" t="n">
        <v>0.5</v>
      </c>
      <c r="O3004" s="34" t="n">
        <v>0.5</v>
      </c>
    </row>
    <row r="3005" customFormat="false" ht="17.15" hidden="false" customHeight="false" outlineLevel="0" collapsed="false">
      <c r="A3005" s="5" t="s">
        <v>598</v>
      </c>
      <c r="B3005" s="0" t="s">
        <v>129</v>
      </c>
      <c r="C3005" s="32" t="n">
        <f aca="false">Sens!$C$3002-mw_ye23</f>
        <v>240</v>
      </c>
      <c r="D3005" s="32" t="n">
        <f aca="false">Sens!$D$3002-Sens!$C$3002</f>
        <v>1080</v>
      </c>
      <c r="E3005" s="32" t="n">
        <f aca="false">Sens!$E$3002-Sens!$D$3002</f>
        <v>640</v>
      </c>
      <c r="F3005" s="32" t="n">
        <f aca="false">Sens!$F$3002-Sens!$E$3002</f>
        <v>1817.15</v>
      </c>
      <c r="G3005" s="32" t="n">
        <f aca="false">Sens!$E$3005+Sens!$F$3005</f>
        <v>2457.15</v>
      </c>
      <c r="H3005" s="32" t="n">
        <f aca="false">Sens!$H$3002-Sens!$G$3002</f>
        <v>3634.3</v>
      </c>
      <c r="I3005" s="32" t="n">
        <f aca="false">Sens!$I$3002-Sens!$H$3002</f>
        <v>3634.3</v>
      </c>
      <c r="J3005" s="32" t="n">
        <f aca="false">Sens!$J$3002-Sens!$I$3002</f>
        <v>3634.3</v>
      </c>
      <c r="K3005" s="32" t="n">
        <f aca="false">Sens!$K$3002-Sens!$J$3002</f>
        <v>2570.86716666667</v>
      </c>
      <c r="L3005" s="32" t="n">
        <f aca="false">Sens!$L$3002-Sens!$K$3002</f>
        <v>1507.43433333333</v>
      </c>
      <c r="M3005" s="32" t="n">
        <f aca="false">Sens!$M$3002-Sens!$L$3002</f>
        <v>444.001499999999</v>
      </c>
      <c r="N3005" s="32" t="n">
        <f aca="false">Sens!$N$3002-Sens!$C$3002</f>
        <v>540</v>
      </c>
      <c r="O3005" s="32" t="n">
        <f aca="false">Sens!$O$3002-Sens!$N$3002</f>
        <v>540</v>
      </c>
    </row>
    <row r="3006" customFormat="false" ht="17.15" hidden="false" customHeight="false" outlineLevel="0" collapsed="false">
      <c r="A3006" s="5" t="s">
        <v>599</v>
      </c>
      <c r="B3006" s="0" t="s">
        <v>129</v>
      </c>
      <c r="C3006" s="32" t="n">
        <f aca="false">Sens!$C$3005/ext_sh</f>
        <v>300</v>
      </c>
      <c r="D3006" s="32" t="n">
        <f aca="false">Sens!$D$3005/ext_sh</f>
        <v>1350</v>
      </c>
      <c r="E3006" s="32" t="n">
        <f aca="false">Sens!$E$3005/ext_sh</f>
        <v>800</v>
      </c>
      <c r="F3006" s="32" t="n">
        <f aca="false">Sens!$F$3005/ext_sh</f>
        <v>2271.4375</v>
      </c>
      <c r="G3006" s="32" t="n">
        <f aca="false">Sens!$G$3005/ext_sh</f>
        <v>3071.4375</v>
      </c>
      <c r="H3006" s="32" t="n">
        <f aca="false">Sens!$H$3005/ext_sh</f>
        <v>4542.875</v>
      </c>
      <c r="I3006" s="32" t="n">
        <f aca="false">Sens!$I$3005/ext_sh</f>
        <v>4542.875</v>
      </c>
      <c r="J3006" s="32" t="n">
        <f aca="false">Sens!$J$3005/ext_sh</f>
        <v>4542.875</v>
      </c>
      <c r="K3006" s="32" t="n">
        <f aca="false">Sens!$K$3005/ext_sh</f>
        <v>3213.58395833333</v>
      </c>
      <c r="L3006" s="32" t="n">
        <f aca="false">Sens!$L$3005/ext_sh</f>
        <v>1884.29291666667</v>
      </c>
      <c r="M3006" s="32" t="n">
        <f aca="false">Sens!$M$3005/ext_sh</f>
        <v>555.001874999998</v>
      </c>
      <c r="N3006" s="32" t="n">
        <f aca="false">Sens!$N$3005/ext_sh</f>
        <v>675</v>
      </c>
      <c r="O3006" s="32" t="n">
        <f aca="false">Sens!$O$3005/ext_sh</f>
        <v>675</v>
      </c>
      <c r="P3006" s="8" t="s">
        <v>600</v>
      </c>
      <c r="R3006" s="32" t="n">
        <f aca="false">mw_ye23/ext_sh</f>
        <v>150</v>
      </c>
      <c r="S3006" s="32" t="n">
        <f aca="false">Sens!$C$3006</f>
        <v>300</v>
      </c>
      <c r="T3006" s="32" t="n">
        <f aca="false">Sens!$D$3006</f>
        <v>1350</v>
      </c>
      <c r="U3006" s="32" t="n">
        <f aca="false">Sens!$G$3006</f>
        <v>3071.4375</v>
      </c>
      <c r="V3006" s="32" t="n">
        <f aca="false">Sens!$H$3006</f>
        <v>4542.875</v>
      </c>
      <c r="W3006" s="32" t="n">
        <f aca="false">Sens!$I$3006</f>
        <v>4542.875</v>
      </c>
      <c r="X3006" s="32" t="n">
        <f aca="false">Sens!$J$3006</f>
        <v>4542.875</v>
      </c>
      <c r="Y3006" s="32" t="n">
        <f aca="false">Sens!$K$3006</f>
        <v>3213.58395833333</v>
      </c>
      <c r="Z3006" s="32" t="n">
        <f aca="false">Sens!$L$3006</f>
        <v>1884.29291666667</v>
      </c>
      <c r="AA3006" s="32" t="n">
        <f aca="false">Sens!$M$3006</f>
        <v>555.001874999998</v>
      </c>
    </row>
    <row r="3007" customFormat="false" ht="17.15" hidden="false" customHeight="false" outlineLevel="0" collapsed="false">
      <c r="A3007" s="1" t="s">
        <v>601</v>
      </c>
    </row>
    <row r="3008" customFormat="false" ht="17.15" hidden="false" customHeight="false" outlineLevel="0" collapsed="false">
      <c r="A3008" s="0" t="s">
        <v>602</v>
      </c>
      <c r="B3008" s="0" t="s">
        <v>52</v>
      </c>
      <c r="F3008" s="35" t="n">
        <f aca="false">na_vr26</f>
        <v>0</v>
      </c>
      <c r="G3008" s="35" t="n">
        <f aca="false">na_vr26</f>
        <v>0</v>
      </c>
      <c r="H3008" s="35" t="n">
        <f aca="false">na_vr27</f>
        <v>0.5</v>
      </c>
      <c r="I3008" s="35" t="n">
        <f aca="false">na_vr28</f>
        <v>1</v>
      </c>
      <c r="J3008" s="35" t="n">
        <f aca="false">na_vr28</f>
        <v>1</v>
      </c>
      <c r="K3008" s="35" t="n">
        <f aca="false">na_vr28</f>
        <v>1</v>
      </c>
      <c r="L3008" s="35" t="n">
        <f aca="false">na_vr28</f>
        <v>1</v>
      </c>
      <c r="M3008" s="35" t="n">
        <f aca="false">na_vr28</f>
        <v>1</v>
      </c>
    </row>
    <row r="3009" customFormat="false" ht="17.15" hidden="false" customHeight="false" outlineLevel="0" collapsed="false">
      <c r="A3009" s="5" t="s">
        <v>603</v>
      </c>
      <c r="B3009" s="0" t="s">
        <v>173</v>
      </c>
      <c r="F3009" s="36" t="n">
        <f aca="false">cust_sh*tk_he_gb300*cf_chip+(1-cust_sh)*((1-Sens!$F$3008)*tk_he_gb300+Sens!$F$3008*tk_he_vr200)</f>
        <v>10.8864110021101</v>
      </c>
      <c r="G3009" s="36" t="n">
        <f aca="false">cust_sh*tk_he_gb300*cf_chip+(1-cust_sh)*((1-Sens!$G$3008)*tk_he_gb300+Sens!$G$3008*tk_he_vr200)</f>
        <v>10.8864110021101</v>
      </c>
      <c r="H3009" s="36" t="n">
        <f aca="false">cust_sh*tk_he_gb300*cf_chip+(1-cust_sh)*((1-Sens!$H$3008)*tk_he_gb300+Sens!$H$3008*tk_he_vr200)</f>
        <v>11.2211760027286</v>
      </c>
      <c r="I3009" s="36" t="n">
        <f aca="false">cust_sh*tk_he_gb300*cf_chip+(1-cust_sh)*((1-Sens!$I$3008)*tk_he_gb300+Sens!$I$3008*tk_he_vr200)</f>
        <v>11.5559410033471</v>
      </c>
      <c r="J3009" s="36" t="n">
        <f aca="false">cust_sh*tk_he_gb300*cf_chip+(1-cust_sh)*((1-Sens!$J$3008)*tk_he_gb300+Sens!$J$3008*tk_he_vr200)</f>
        <v>11.5559410033471</v>
      </c>
      <c r="K3009" s="36" t="n">
        <f aca="false">cust_sh*tk_he_gb300*cf_chip+(1-cust_sh)*((1-Sens!$K$3008)*tk_he_gb300+Sens!$K$3008*tk_he_vr200)</f>
        <v>11.5559410033471</v>
      </c>
      <c r="L3009" s="36" t="n">
        <f aca="false">cust_sh*tk_he_gb300*cf_chip+(1-cust_sh)*((1-Sens!$L$3008)*tk_he_gb300+Sens!$L$3008*tk_he_vr200)</f>
        <v>11.5559410033471</v>
      </c>
      <c r="M3009" s="36" t="n">
        <f aca="false">cust_sh*tk_he_gb300*cf_chip+(1-cust_sh)*((1-Sens!$M$3008)*tk_he_gb300+Sens!$M$3008*tk_he_vr200)</f>
        <v>11.5559410033471</v>
      </c>
    </row>
    <row r="3010" customFormat="false" ht="17.15" hidden="false" customHeight="false" outlineLevel="0" collapsed="false">
      <c r="A3010" s="5" t="s">
        <v>604</v>
      </c>
      <c r="B3010" s="0" t="s">
        <v>173</v>
      </c>
      <c r="F3010" s="36" t="n">
        <f aca="false">cust_sh*tk_ox_gb300+(1-cust_sh)*((1-Sens!$F$3008)*tk_ox_gb300+Sens!$F$3008*tk_ox_vr200)</f>
        <v>1.98263481314457</v>
      </c>
      <c r="G3010" s="36" t="n">
        <f aca="false">cust_sh*tk_ox_gb300+(1-cust_sh)*((1-Sens!$G$3008)*tk_ox_gb300+Sens!$G$3008*tk_ox_vr200)</f>
        <v>1.98263481314457</v>
      </c>
      <c r="H3010" s="36" t="n">
        <f aca="false">cust_sh*tk_ox_gb300+(1-cust_sh)*((1-Sens!$H$3008)*tk_ox_gb300+Sens!$H$3008*tk_ox_vr200)</f>
        <v>2.01034999693694</v>
      </c>
      <c r="I3010" s="36" t="n">
        <f aca="false">cust_sh*tk_ox_gb300+(1-cust_sh)*((1-Sens!$I$3008)*tk_ox_gb300+Sens!$I$3008*tk_ox_vr200)</f>
        <v>2.0380651807293</v>
      </c>
      <c r="J3010" s="36" t="n">
        <f aca="false">cust_sh*tk_ox_gb300+(1-cust_sh)*((1-Sens!$J$3008)*tk_ox_gb300+Sens!$J$3008*tk_ox_vr200)</f>
        <v>2.0380651807293</v>
      </c>
      <c r="K3010" s="36" t="n">
        <f aca="false">cust_sh*tk_ox_gb300+(1-cust_sh)*((1-Sens!$K$3008)*tk_ox_gb300+Sens!$K$3008*tk_ox_vr200)</f>
        <v>2.0380651807293</v>
      </c>
      <c r="L3010" s="36" t="n">
        <f aca="false">cust_sh*tk_ox_gb300+(1-cust_sh)*((1-Sens!$L$3008)*tk_ox_gb300+Sens!$L$3008*tk_ox_vr200)</f>
        <v>2.0380651807293</v>
      </c>
      <c r="M3010" s="36" t="n">
        <f aca="false">cust_sh*tk_ox_gb300+(1-cust_sh)*((1-Sens!$M$3008)*tk_ox_gb300+Sens!$M$3008*tk_ox_vr200)</f>
        <v>2.0380651807293</v>
      </c>
    </row>
    <row r="3011" customFormat="false" ht="17.15" hidden="false" customHeight="false" outlineLevel="0" collapsed="false">
      <c r="A3011" s="5" t="s">
        <v>605</v>
      </c>
      <c r="B3011" s="0" t="s">
        <v>192</v>
      </c>
      <c r="F3011" s="36" t="n">
        <f aca="false">cust_sh*tk_cx_gb300*cf_cx+(1-cust_sh)*((1-Sens!$F$3008)*tk_cx_gb300+Sens!$F$3008*tk_cx_vr200)</f>
        <v>32.237224</v>
      </c>
      <c r="G3011" s="36" t="n">
        <f aca="false">cust_sh*tk_cx_gb300*cf_cx+(1-cust_sh)*((1-Sens!$G$3008)*tk_cx_gb300+Sens!$G$3008*tk_cx_vr200)</f>
        <v>32.237224</v>
      </c>
      <c r="H3011" s="36" t="n">
        <f aca="false">cust_sh*tk_cx_gb300*cf_cx+(1-cust_sh)*((1-Sens!$H$3008)*tk_cx_gb300+Sens!$H$3008*tk_cx_vr200)</f>
        <v>33.574506</v>
      </c>
      <c r="I3011" s="36" t="n">
        <f aca="false">cust_sh*tk_cx_gb300*cf_cx+(1-cust_sh)*((1-Sens!$I$3008)*tk_cx_gb300+Sens!$I$3008*tk_cx_vr200)</f>
        <v>34.911788</v>
      </c>
      <c r="J3011" s="36" t="n">
        <f aca="false">cust_sh*tk_cx_gb300*cf_cx+(1-cust_sh)*((1-Sens!$J$3008)*tk_cx_gb300+Sens!$J$3008*tk_cx_vr200)</f>
        <v>34.911788</v>
      </c>
      <c r="K3011" s="36" t="n">
        <f aca="false">cust_sh*tk_cx_gb300*cf_cx+(1-cust_sh)*((1-Sens!$K$3008)*tk_cx_gb300+Sens!$K$3008*tk_cx_vr200)</f>
        <v>34.911788</v>
      </c>
      <c r="L3011" s="36" t="n">
        <f aca="false">cust_sh*tk_cx_gb300*cf_cx+(1-cust_sh)*((1-Sens!$L$3008)*tk_cx_gb300+Sens!$L$3008*tk_cx_vr200)</f>
        <v>34.911788</v>
      </c>
      <c r="M3011" s="36" t="n">
        <f aca="false">cust_sh*tk_cx_gb300*cf_cx+(1-cust_sh)*((1-Sens!$M$3008)*tk_cx_gb300+Sens!$M$3008*tk_cx_vr200)</f>
        <v>34.911788</v>
      </c>
    </row>
    <row r="3012" customFormat="false" ht="17.15" hidden="false" customHeight="false" outlineLevel="0" collapsed="false">
      <c r="A3012" s="5" t="s">
        <v>606</v>
      </c>
      <c r="B3012" s="0" t="s">
        <v>129</v>
      </c>
      <c r="F3012" s="32" t="n">
        <f aca="false">Sens!$F$3002-mw_open</f>
        <v>1817.15</v>
      </c>
      <c r="G3012" s="32" t="n">
        <f aca="false">Sens!$F$3012</f>
        <v>1817.15</v>
      </c>
      <c r="H3012" s="32" t="n">
        <f aca="false">Sens!$H$3002-mw_open</f>
        <v>5451.45</v>
      </c>
      <c r="I3012" s="32" t="n">
        <f aca="false">Sens!$I$3002-mw_open</f>
        <v>9085.75</v>
      </c>
      <c r="J3012" s="32" t="n">
        <f aca="false">Sens!$J$3002-mw_open</f>
        <v>12720.05</v>
      </c>
      <c r="K3012" s="32" t="n">
        <f aca="false">Sens!$K$3002-mw_open</f>
        <v>15290.9171666667</v>
      </c>
      <c r="L3012" s="32" t="n">
        <f aca="false">Sens!$L$3002-mw_open</f>
        <v>16798.3515</v>
      </c>
      <c r="M3012" s="32" t="n">
        <f aca="false">Sens!$M$3002-mw_open</f>
        <v>17242.353</v>
      </c>
    </row>
    <row r="3013" customFormat="false" ht="17.15" hidden="false" customHeight="false" outlineLevel="0" collapsed="false">
      <c r="A3013" s="0" t="s">
        <v>607</v>
      </c>
      <c r="B3013" s="0" t="s">
        <v>608</v>
      </c>
      <c r="F3013" s="32" t="n">
        <f aca="false">Sens!$F$3005*Sens!$F$3009</f>
        <v>19782.2417524844</v>
      </c>
      <c r="G3013" s="32" t="n">
        <f aca="false">Sens!$F$3013</f>
        <v>19782.2417524844</v>
      </c>
      <c r="H3013" s="32" t="n">
        <f aca="false">Sens!$G$3013+Sens!$H$3005*Sens!$H$3009</f>
        <v>60563.3616992009</v>
      </c>
      <c r="I3013" s="32" t="n">
        <f aca="false">Sens!$H$3013+Sens!$I$3005*Sens!$I$3009</f>
        <v>102561.118087665</v>
      </c>
      <c r="J3013" s="32" t="n">
        <f aca="false">Sens!$I$3013+Sens!$J$3005*Sens!$J$3009</f>
        <v>144558.87447613</v>
      </c>
      <c r="K3013" s="32" t="n">
        <f aca="false">Sens!$J$3013+Sens!$K$3005*Sens!$K$3009</f>
        <v>174267.663781572</v>
      </c>
      <c r="L3013" s="32" t="n">
        <f aca="false">Sens!$K$3013+Sens!$L$3005*Sens!$L$3009</f>
        <v>191687.486003992</v>
      </c>
      <c r="M3013" s="32" t="n">
        <f aca="false">Sens!$L$3013+Sens!$M$3005*Sens!$M$3009</f>
        <v>196818.341143389</v>
      </c>
    </row>
    <row r="3014" customFormat="false" ht="17.15" hidden="false" customHeight="false" outlineLevel="0" collapsed="false">
      <c r="A3014" s="0" t="s">
        <v>609</v>
      </c>
      <c r="B3014" s="0" t="s">
        <v>608</v>
      </c>
      <c r="F3014" s="32" t="n">
        <f aca="false">Sens!$F$3005*Sens!$F$3010</f>
        <v>3602.74485070566</v>
      </c>
      <c r="G3014" s="32" t="n">
        <f aca="false">Sens!$F$3014</f>
        <v>3602.74485070566</v>
      </c>
      <c r="H3014" s="32" t="n">
        <f aca="false">Sens!$G$3014+Sens!$H$3005*Sens!$H$3010</f>
        <v>10908.9598445736</v>
      </c>
      <c r="I3014" s="32" t="n">
        <f aca="false">Sens!$H$3014+Sens!$I$3005*Sens!$I$3010</f>
        <v>18315.9001308981</v>
      </c>
      <c r="J3014" s="32" t="n">
        <f aca="false">Sens!$I$3014+Sens!$J$3005*Sens!$J$3010</f>
        <v>25722.8404172225</v>
      </c>
      <c r="K3014" s="32" t="n">
        <f aca="false">Sens!$J$3014+Sens!$K$3005*Sens!$K$3010</f>
        <v>30962.4352738861</v>
      </c>
      <c r="L3014" s="32" t="n">
        <f aca="false">Sens!$K$3014+Sens!$L$3005*Sens!$L$3010</f>
        <v>34034.6847008886</v>
      </c>
      <c r="M3014" s="32" t="n">
        <f aca="false">Sens!$L$3014+Sens!$M$3005*Sens!$M$3010</f>
        <v>34939.5886982302</v>
      </c>
    </row>
    <row r="3015" customFormat="false" ht="17.15" hidden="false" customHeight="false" outlineLevel="0" collapsed="false">
      <c r="A3015" s="5" t="s">
        <v>610</v>
      </c>
      <c r="B3015" s="0" t="s">
        <v>173</v>
      </c>
      <c r="F3015" s="36" t="n">
        <f aca="false">IF(Sens!$F$3012&gt;0,Sens!$F$3013/Sens!$F$3012,Sens!$F$3009)</f>
        <v>10.8864110021101</v>
      </c>
      <c r="G3015" s="36" t="n">
        <f aca="false">IF(Sens!$G$3012&gt;0,Sens!$G$3013/Sens!$G$3012,Sens!$G$3009)</f>
        <v>10.8864110021101</v>
      </c>
      <c r="H3015" s="36" t="n">
        <f aca="false">IF(Sens!$H$3012&gt;0,Sens!$H$3013/Sens!$H$3012,Sens!$H$3009)</f>
        <v>11.1095876691891</v>
      </c>
      <c r="I3015" s="36" t="n">
        <f aca="false">IF(Sens!$I$3012&gt;0,Sens!$I$3013/Sens!$I$3012,Sens!$I$3009)</f>
        <v>11.2881290028523</v>
      </c>
      <c r="J3015" s="36" t="n">
        <f aca="false">IF(Sens!$J$3012&gt;0,Sens!$J$3013/Sens!$J$3012,Sens!$J$3009)</f>
        <v>11.3646467172794</v>
      </c>
      <c r="K3015" s="36" t="n">
        <f aca="false">IF(Sens!$K$3012&gt;0,Sens!$K$3013/Sens!$K$3012,Sens!$K$3009)</f>
        <v>11.3968090914432</v>
      </c>
      <c r="L3015" s="36" t="n">
        <f aca="false">IF(Sens!$L$3012&gt;0,Sens!$L$3013/Sens!$L$3012,Sens!$L$3009)</f>
        <v>11.4110891181192</v>
      </c>
      <c r="M3015" s="36" t="n">
        <f aca="false">IF(Sens!$M$3012&gt;0,Sens!$M$3013/Sens!$M$3012,Sens!$M$3009)</f>
        <v>11.4148191458201</v>
      </c>
    </row>
    <row r="3016" customFormat="false" ht="17.15" hidden="false" customHeight="false" outlineLevel="0" collapsed="false">
      <c r="A3016" s="5" t="s">
        <v>611</v>
      </c>
      <c r="B3016" s="0" t="s">
        <v>173</v>
      </c>
      <c r="F3016" s="36" t="n">
        <f aca="false">IF(Sens!$F$3012&gt;0,Sens!$F$3014/Sens!$F$3012,Sens!$F$3010)</f>
        <v>1.98263481314457</v>
      </c>
      <c r="G3016" s="36" t="n">
        <f aca="false">IF(Sens!$G$3012&gt;0,Sens!$G$3014/Sens!$G$3012,Sens!$G$3010)</f>
        <v>1.98263481314457</v>
      </c>
      <c r="H3016" s="36" t="n">
        <f aca="false">IF(Sens!$H$3012&gt;0,Sens!$H$3014/Sens!$H$3012,Sens!$H$3010)</f>
        <v>2.00111160233948</v>
      </c>
      <c r="I3016" s="36" t="n">
        <f aca="false">IF(Sens!$I$3012&gt;0,Sens!$I$3014/Sens!$I$3012,Sens!$I$3010)</f>
        <v>2.01589303369541</v>
      </c>
      <c r="J3016" s="36" t="n">
        <f aca="false">IF(Sens!$J$3012&gt;0,Sens!$J$3014/Sens!$J$3012,Sens!$J$3010)</f>
        <v>2.02222793284795</v>
      </c>
      <c r="K3016" s="36" t="n">
        <f aca="false">IF(Sens!$K$3012&gt;0,Sens!$K$3014/Sens!$K$3012,Sens!$K$3010)</f>
        <v>2.02489065478573</v>
      </c>
      <c r="L3016" s="36" t="n">
        <f aca="false">IF(Sens!$L$3012&gt;0,Sens!$L$3014/Sens!$L$3012,Sens!$L$3010)</f>
        <v>2.0260728977417</v>
      </c>
      <c r="M3016" s="36" t="n">
        <f aca="false">IF(Sens!$M$3012&gt;0,Sens!$M$3014/Sens!$M$3012,Sens!$M$3010)</f>
        <v>2.02638170661685</v>
      </c>
    </row>
    <row r="3017" customFormat="false" ht="17.15" hidden="false" customHeight="false" outlineLevel="0" collapsed="false">
      <c r="A3017" s="15" t="s">
        <v>612</v>
      </c>
      <c r="B3017" s="14" t="s">
        <v>173</v>
      </c>
      <c r="C3017" s="14"/>
      <c r="D3017" s="14"/>
      <c r="E3017" s="14"/>
      <c r="F3017" s="37" t="n">
        <f aca="false">Sens!$F$3015*k_B</f>
        <v>10.7987645808025</v>
      </c>
      <c r="G3017" s="37" t="n">
        <f aca="false">Sens!$G$3015*k_B</f>
        <v>10.7987645808025</v>
      </c>
      <c r="H3017" s="37" t="n">
        <f aca="false">Sens!$H$3015*k_B</f>
        <v>11.0201444540452</v>
      </c>
      <c r="I3017" s="37" t="n">
        <f aca="false">Sens!$I$3015*k_B</f>
        <v>11.1972483526393</v>
      </c>
      <c r="J3017" s="37" t="n">
        <f aca="false">Sens!$J$3015*k_B</f>
        <v>11.2731500234653</v>
      </c>
      <c r="K3017" s="37" t="n">
        <f aca="false">Sens!$K$3015*k_B</f>
        <v>11.3050534585724</v>
      </c>
      <c r="L3017" s="37" t="n">
        <f aca="false">Sens!$L$3015*k_B</f>
        <v>11.3192185168503</v>
      </c>
      <c r="M3017" s="37" t="n">
        <f aca="false">Sens!$M$3015*k_B</f>
        <v>11.3229185141234</v>
      </c>
      <c r="N3017" s="14"/>
      <c r="O3017" s="14"/>
      <c r="P3017" s="5" t="s">
        <v>613</v>
      </c>
    </row>
    <row r="3018" customFormat="false" ht="17.15" hidden="false" customHeight="false" outlineLevel="0" collapsed="false">
      <c r="A3018" s="5" t="s">
        <v>614</v>
      </c>
      <c r="B3018" s="0" t="s">
        <v>129</v>
      </c>
      <c r="F3018" s="32" t="n">
        <f aca="false">Sens!$F$3012/2</f>
        <v>908.575</v>
      </c>
      <c r="H3018" s="32" t="n">
        <f aca="false">(Sens!$G$3012+Sens!$H$3012)/2</f>
        <v>3634.3</v>
      </c>
      <c r="I3018" s="32" t="n">
        <f aca="false">(Sens!$H$3012+Sens!$I$3012)/2</f>
        <v>7268.6</v>
      </c>
      <c r="J3018" s="32" t="n">
        <f aca="false">(Sens!$I$3012+Sens!$J$3012)/2</f>
        <v>10902.9</v>
      </c>
      <c r="K3018" s="32" t="n">
        <f aca="false">(Sens!$J$3012+Sens!$K$3012)/2</f>
        <v>14005.4835833333</v>
      </c>
      <c r="L3018" s="32" t="n">
        <f aca="false">(Sens!$K$3012+Sens!$L$3012)/2</f>
        <v>16044.6343333333</v>
      </c>
      <c r="M3018" s="32" t="n">
        <f aca="false">(Sens!$L$3012+Sens!$M$3012)/2</f>
        <v>17020.35225</v>
      </c>
    </row>
    <row r="3019" customFormat="false" ht="17.15" hidden="false" customHeight="false" outlineLevel="0" collapsed="false">
      <c r="A3019" s="1" t="s">
        <v>615</v>
      </c>
    </row>
    <row r="3020" customFormat="false" ht="17.15" hidden="false" customHeight="false" outlineLevel="0" collapsed="false">
      <c r="A3020" s="1" t="s">
        <v>616</v>
      </c>
      <c r="B3020" s="8" t="s">
        <v>86</v>
      </c>
      <c r="C3020" s="38" t="n">
        <f aca="false">Sens!$C$3003*rpm_open*Sens!$C$3004/1000</f>
        <v>2.32100535697364</v>
      </c>
      <c r="D3020" s="38" t="n">
        <f aca="false">Sens!$D$3003*rpm_open*Sens!$D$3004/1000</f>
        <v>8.70377008865116</v>
      </c>
      <c r="E3020" s="38" t="n">
        <f aca="false">Sens!$E$3003*rpm_open*Sens!$E$3004/1000</f>
        <v>8.51035297557002</v>
      </c>
      <c r="F3020" s="38" t="n">
        <f aca="false">(mw_open*rpm_open+Sens!$F$3018*Sens!$F$3017)*Sens!$F$3004/1000</f>
        <v>14.9634336447205</v>
      </c>
      <c r="G3020" s="38" t="n">
        <f aca="false">Sens!$E$3020+Sens!$F$3020</f>
        <v>23.4737866202905</v>
      </c>
      <c r="H3020" s="38" t="n">
        <f aca="false">(mw_open*rpm_open+Sens!$H$3018*Sens!$H$3017)/1000</f>
        <v>60.1658907497746</v>
      </c>
      <c r="I3020" s="38" t="n">
        <f aca="false">(mw_open*rpm_open+Sens!$I$3018*Sens!$I$3017)/1000</f>
        <v>101.503699136432</v>
      </c>
      <c r="J3020" s="38" t="n">
        <f aca="false">(mw_open*rpm_open+Sens!$J$3018*Sens!$J$3017)/1000</f>
        <v>143.025407151278</v>
      </c>
      <c r="K3020" s="38" t="n">
        <f aca="false">(mw_open*rpm_open+Sens!$K$3018*Sens!$K$3017)/1000</f>
        <v>178.44812038318</v>
      </c>
      <c r="L3020" s="38" t="n">
        <f aca="false">(mw_open*rpm_open+Sens!$L$3018*Sens!$L$3017)/1000</f>
        <v>201.728101802396</v>
      </c>
      <c r="M3020" s="38" t="n">
        <f aca="false">(mw_open*rpm_open+Sens!$M$3018*Sens!$M$3017)/1000</f>
        <v>212.835441368865</v>
      </c>
      <c r="N3020" s="38" t="n">
        <f aca="false">Sens!$N$3003*rpm_open*Sens!$N$3004/1000</f>
        <v>3.04631953102791</v>
      </c>
      <c r="O3020" s="38" t="n">
        <f aca="false">Sens!$O$3003*rpm_open*Sens!$O$3004/1000</f>
        <v>5.65745055762326</v>
      </c>
      <c r="P3020" s="5" t="s">
        <v>617</v>
      </c>
    </row>
    <row r="3021" customFormat="false" ht="17.15" hidden="false" customHeight="false" outlineLevel="0" collapsed="false">
      <c r="A3021" s="5" t="s">
        <v>618</v>
      </c>
      <c r="B3021" s="0" t="s">
        <v>173</v>
      </c>
      <c r="C3021" s="36" t="n">
        <f aca="false">Sens!$C$3020*1000/(Sens!$C$3003*Sens!$C$3004)</f>
        <v>9.67085565405685</v>
      </c>
      <c r="D3021" s="36" t="n">
        <f aca="false">Sens!$D$3020*1000/(Sens!$D$3003*Sens!$D$3004)</f>
        <v>9.67085565405685</v>
      </c>
      <c r="E3021" s="36" t="n">
        <f aca="false">Sens!$E$3020*1000/(Sens!$E$3003*Sens!$E$3004)</f>
        <v>9.67085565405685</v>
      </c>
      <c r="F3021" s="36" t="n">
        <f aca="false">Sens!$F$3020*1000/(Sens!$F$3003*Sens!$F$3004)</f>
        <v>10.0137581588017</v>
      </c>
      <c r="G3021" s="36" t="n">
        <f aca="false">Sens!$G$3020*1000/(Sens!$G$3003*Sens!$G$3004)</f>
        <v>9.88666562928478</v>
      </c>
      <c r="H3021" s="36" t="n">
        <f aca="false">Sens!$H$3020*1000/(Sens!$H$3003*Sens!$H$3004)</f>
        <v>10.5290045586992</v>
      </c>
      <c r="I3021" s="36" t="n">
        <f aca="false">Sens!$I$3020*1000/(Sens!$I$3003*Sens!$I$3004)</f>
        <v>10.8576363451674</v>
      </c>
      <c r="J3021" s="36" t="n">
        <f aca="false">Sens!$J$3020*1000/(Sens!$J$3003*Sens!$J$3004)</f>
        <v>11.0164452588619</v>
      </c>
      <c r="K3021" s="36" t="n">
        <f aca="false">Sens!$K$3020*1000/(Sens!$K$3003*Sens!$K$3004)</f>
        <v>11.0937367508227</v>
      </c>
      <c r="L3021" s="36" t="n">
        <f aca="false">Sens!$L$3020*1000/(Sens!$L$3003*Sens!$L$3004)</f>
        <v>11.1300508519168</v>
      </c>
      <c r="M3021" s="36" t="n">
        <f aca="false">Sens!$M$3020*1000/(Sens!$M$3003*Sens!$M$3004)</f>
        <v>11.1430113216297</v>
      </c>
      <c r="N3021" s="36" t="n">
        <f aca="false">Sens!$N$3020*1000/(Sens!$N$3003*Sens!$N$3004)</f>
        <v>9.67085565405685</v>
      </c>
      <c r="O3021" s="36" t="n">
        <f aca="false">Sens!$O$3020*1000/(Sens!$O$3003*Sens!$O$3004)</f>
        <v>9.67085565405685</v>
      </c>
    </row>
    <row r="3022" customFormat="false" ht="17.15" hidden="false" customHeight="false" outlineLevel="0" collapsed="false">
      <c r="A3022" s="0" t="s">
        <v>619</v>
      </c>
      <c r="B3022" s="0" t="s">
        <v>86</v>
      </c>
      <c r="C3022" s="38" t="n">
        <f aca="false">Sens!$C$3003/ext_sh*(ox_open+rent_mw)*Sens!$C$3004/1000</f>
        <v>0.642569210675032</v>
      </c>
      <c r="D3022" s="38" t="n">
        <f aca="false">Sens!$D$3003/ext_sh*(ox_open+rent_mw)*Sens!$D$3004/1000</f>
        <v>2.40963454003137</v>
      </c>
      <c r="E3022" s="38" t="n">
        <f aca="false">Sens!$E$3003/ext_sh*(ox_open+rent_mw)*Sens!$E$3004/1000</f>
        <v>2.35608710580845</v>
      </c>
      <c r="F3022" s="38" t="n">
        <f aca="false">((mw_open*ox_open+Sens!$F$3018*Sens!$F$3016)/ext_sh+Sens!$F$3003/ext_sh*rent_mw)*Sens!$F$3004/1000</f>
        <v>4.05421991106232</v>
      </c>
      <c r="G3022" s="38" t="n">
        <f aca="false">Sens!$E$3022+Sens!$F$3022</f>
        <v>6.41030701687077</v>
      </c>
      <c r="H3022" s="38" t="n">
        <f aca="false">((mw_open*ox_open+Sens!$H$3018*Sens!$H$3016)/ext_sh+Sens!$H$3003/ext_sh*rent_mw)*Sens!$H$3004/1000</f>
        <v>15.8108975546616</v>
      </c>
      <c r="I3022" s="38" t="n">
        <f aca="false">((mw_open*ox_open+Sens!$I$3018*Sens!$I$3016)/ext_sh+Sens!$I$3003/ext_sh*rent_mw)*Sens!$I$3004/1000</f>
        <v>26.1871623400817</v>
      </c>
      <c r="J3022" s="38" t="n">
        <f aca="false">((mw_open*ox_open+Sens!$J$3018*Sens!$J$3016)/ext_sh+Sens!$J$3003/ext_sh*rent_mw)*Sens!$J$3004/1000</f>
        <v>36.5826128954935</v>
      </c>
      <c r="K3022" s="38" t="n">
        <f aca="false">((mw_open*ox_open+Sens!$K$3018*Sens!$K$3016)/ext_sh+Sens!$K$3003/ext_sh*rent_mw)*Sens!$K$3004/1000</f>
        <v>45.4546361137628</v>
      </c>
      <c r="L3022" s="38" t="n">
        <f aca="false">((mw_open*ox_open+Sens!$L$3018*Sens!$L$3016)/ext_sh+Sens!$L$3003/ext_sh*rent_mw)*Sens!$L$3004/1000</f>
        <v>51.2855695554452</v>
      </c>
      <c r="M3022" s="38" t="n">
        <f aca="false">((mw_open*ox_open+Sens!$M$3018*Sens!$M$3016)/ext_sh+Sens!$M$3003/ext_sh*rent_mw)*Sens!$M$3004/1000</f>
        <v>54.0722927838398</v>
      </c>
      <c r="N3022" s="38" t="n">
        <f aca="false">Sens!$N$3003/ext_sh*(ox_open+rent_mw)*Sens!$N$3004/1000</f>
        <v>0.84337208901098</v>
      </c>
      <c r="O3022" s="38" t="n">
        <f aca="false">Sens!$O$3003/ext_sh*(ox_open+rent_mw)*Sens!$O$3004/1000</f>
        <v>1.56626245102039</v>
      </c>
    </row>
    <row r="3023" customFormat="false" ht="17.15" hidden="false" customHeight="false" outlineLevel="0" collapsed="false">
      <c r="A3023" s="0" t="s">
        <v>620</v>
      </c>
      <c r="B3023" s="0" t="s">
        <v>86</v>
      </c>
      <c r="C3023" s="38" t="n">
        <f aca="false">Q!$D$7</f>
        <v>107.556</v>
      </c>
      <c r="D3023" s="38" t="n">
        <f aca="false">Q!$E$7</f>
        <v>128.725</v>
      </c>
      <c r="E3023" s="38" t="n">
        <f aca="false">Q!$P$7</f>
        <v>79.819</v>
      </c>
      <c r="N3023" s="38" t="n">
        <f aca="false">Q!$N$7</f>
        <v>60.14</v>
      </c>
      <c r="O3023" s="38" t="n">
        <f aca="false">Q!$O$7</f>
        <v>68.585</v>
      </c>
    </row>
    <row r="3024" customFormat="false" ht="17.15" hidden="false" customHeight="false" outlineLevel="0" collapsed="false">
      <c r="A3024" s="1" t="s">
        <v>621</v>
      </c>
      <c r="B3024" s="8" t="s">
        <v>86</v>
      </c>
      <c r="C3024" s="38" t="n">
        <f aca="false">Sens!$C$3023-Sens!$C$3020</f>
        <v>105.234994643026</v>
      </c>
      <c r="D3024" s="38" t="n">
        <f aca="false">Sens!$D$3023-Sens!$D$3020</f>
        <v>120.021229911349</v>
      </c>
      <c r="E3024" s="38" t="n">
        <f aca="false">Sens!$E$3023-Sens!$E$3020</f>
        <v>71.30864702443</v>
      </c>
      <c r="F3024" s="38" t="n">
        <f aca="false">Sens!$O$3024*(1+Sens!$F$3025)</f>
        <v>71.7692997942464</v>
      </c>
      <c r="G3024" s="38" t="n">
        <f aca="false">Sens!$E$3024+Sens!$F$3024</f>
        <v>143.077946818676</v>
      </c>
      <c r="H3024" s="38" t="n">
        <f aca="false">Sens!$G$3024*(1+Sens!$H$3025)</f>
        <v>159.943992478063</v>
      </c>
      <c r="I3024" s="38" t="n">
        <f aca="false">Sens!$H$3024*(1+Sens!$I$3025)</f>
        <v>175.17920379248</v>
      </c>
      <c r="J3024" s="38" t="n">
        <f aca="false">Sens!$I$3024*(1+Sens!$J$3025)</f>
        <v>187.901892489002</v>
      </c>
      <c r="K3024" s="38" t="n">
        <f aca="false">Sens!$J$3024*(1+Sens!$K$3025)</f>
        <v>197.296987113453</v>
      </c>
      <c r="L3024" s="38" t="n">
        <f aca="false">Sens!$K$3024*(1+Sens!$L$3025)</f>
        <v>207.161836469125</v>
      </c>
      <c r="M3024" s="38" t="n">
        <f aca="false">Sens!$L$3024*(1+Sens!$M$3025)</f>
        <v>217.519928292582</v>
      </c>
      <c r="N3024" s="38" t="n">
        <f aca="false">Sens!$N$3023-Sens!$N$3020</f>
        <v>57.0936804689721</v>
      </c>
      <c r="O3024" s="38" t="n">
        <f aca="false">Sens!$O$3023-Sens!$O$3020</f>
        <v>62.9275494423768</v>
      </c>
      <c r="P3024" s="5" t="s">
        <v>622</v>
      </c>
    </row>
    <row r="3025" customFormat="false" ht="17.15" hidden="false" customHeight="false" outlineLevel="0" collapsed="false">
      <c r="A3025" s="0" t="s">
        <v>623</v>
      </c>
      <c r="B3025" s="0" t="s">
        <v>52</v>
      </c>
      <c r="D3025" s="13" t="n">
        <f aca="false">Sens!$D$3024/Sens!$C$3024-1</f>
        <v>0.140506827776062</v>
      </c>
      <c r="E3025" s="13" t="n">
        <f aca="false">Sens!$E$3024/Sens!$N$3024-1</f>
        <v>0.248976181579029</v>
      </c>
      <c r="F3025" s="13" t="n">
        <f aca="false">Sens!$D$3025</f>
        <v>0.140506827776062</v>
      </c>
      <c r="G3025" s="13" t="n">
        <f aca="false">Sens!$G$3024/Sens!$D$3024-1</f>
        <v>0.19210532106993</v>
      </c>
      <c r="H3025" s="13" t="n">
        <f aca="false">Sens!$F$3025+(g_awso_lt_lo-Sens!$F$3025)*1/4</f>
        <v>0.117880120832046</v>
      </c>
      <c r="I3025" s="13" t="n">
        <f aca="false">Sens!$F$3025+(g_awso_lt_lo-Sens!$F$3025)*2/4</f>
        <v>0.0952534138880309</v>
      </c>
      <c r="J3025" s="13" t="n">
        <f aca="false">Sens!$F$3025+(g_awso_lt_lo-Sens!$F$3025)*3/4</f>
        <v>0.0726267069440154</v>
      </c>
      <c r="K3025" s="13" t="n">
        <f aca="false">Sens!$F$3025+(g_awso_lt_lo-Sens!$F$3025)*4/4</f>
        <v>0.05</v>
      </c>
      <c r="L3025" s="13" t="n">
        <f aca="false">g_awso_lt_lo</f>
        <v>0.05</v>
      </c>
      <c r="M3025" s="13" t="n">
        <f aca="false">g_awso_lt_lo</f>
        <v>0.05</v>
      </c>
      <c r="P3025" s="5" t="s">
        <v>624</v>
      </c>
    </row>
    <row r="3026" customFormat="false" ht="17.15" hidden="false" customHeight="false" outlineLevel="0" collapsed="false">
      <c r="A3026" s="1" t="s">
        <v>625</v>
      </c>
    </row>
    <row r="3027" customFormat="false" ht="17.15" hidden="false" customHeight="false" outlineLevel="0" collapsed="false">
      <c r="A3027" s="0" t="s">
        <v>626</v>
      </c>
      <c r="B3027" s="0" t="s">
        <v>86</v>
      </c>
      <c r="F3027" s="38" t="n">
        <f aca="false">cx_rt*Sens!$F$2992+cx_awso*Sens!$F$3024</f>
        <v>34.9734495387866</v>
      </c>
    </row>
    <row r="3028" customFormat="false" ht="17.15" hidden="false" customHeight="false" outlineLevel="0" collapsed="false">
      <c r="A3028" s="0" t="s">
        <v>627</v>
      </c>
      <c r="B3028" s="0" t="s">
        <v>52</v>
      </c>
      <c r="C3028" s="13" t="n">
        <f aca="false">tk_cx_h100/(tk_cx_h100+tk_fac*(1-colo_sh))</f>
        <v>0.730756458006641</v>
      </c>
      <c r="D3028" s="13" t="n">
        <f aca="false">tk_cx_h100/(tk_cx_h100+tk_fac*(1-colo_sh))</f>
        <v>0.730756458006641</v>
      </c>
      <c r="E3028" s="13" t="n">
        <f aca="false">Sens!$F$3028</f>
        <v>0.760792334328868</v>
      </c>
      <c r="F3028" s="13" t="n">
        <f aca="false">Sens!$F$3011/(Sens!$F$3011+tk_fac*(1-colo_sh))</f>
        <v>0.760792334328868</v>
      </c>
      <c r="G3028" s="13" t="n">
        <f aca="false">Sens!$G$3011/(Sens!$G$3011+tk_fac*(1-colo_sh))</f>
        <v>0.760792334328868</v>
      </c>
      <c r="H3028" s="13" t="n">
        <f aca="false">Sens!$H$3011/(Sens!$H$3011+tk_fac*(1-colo_sh))</f>
        <v>0.768110668862996</v>
      </c>
      <c r="I3028" s="13" t="n">
        <f aca="false">Sens!$I$3011/(Sens!$I$3011+tk_fac*(1-colo_sh))</f>
        <v>0.77499450139483</v>
      </c>
      <c r="J3028" s="13" t="n">
        <f aca="false">Sens!$J$3011/(Sens!$J$3011+tk_fac*(1-colo_sh))</f>
        <v>0.77499450139483</v>
      </c>
      <c r="K3028" s="13" t="n">
        <f aca="false">Sens!$K$3011/(Sens!$K$3011+tk_fac*(1-colo_sh))</f>
        <v>0.77499450139483</v>
      </c>
      <c r="L3028" s="13" t="n">
        <f aca="false">Sens!$L$3011/(Sens!$L$3011+tk_fac*(1-colo_sh))</f>
        <v>0.77499450139483</v>
      </c>
      <c r="M3028" s="13" t="n">
        <f aca="false">Sens!$M$3011/(Sens!$M$3011+tk_fac*(1-colo_sh))</f>
        <v>0.77499450139483</v>
      </c>
    </row>
    <row r="3029" customFormat="false" ht="17.15" hidden="false" customHeight="false" outlineLevel="0" collapsed="false">
      <c r="A3029" s="1" t="s">
        <v>628</v>
      </c>
      <c r="B3029" s="8" t="s">
        <v>86</v>
      </c>
      <c r="C3029" s="38" t="n">
        <f aca="false">Q!$D$46-cx_rt*Q!$D$16-cx_awso*Sens!$C$3024</f>
        <v>25.2781053077374</v>
      </c>
      <c r="D3029" s="38" t="n">
        <f aca="false">Q!$E$46-cx_rt*Q!$E$16-cx_awso*Sens!$D$3024</f>
        <v>69.5686316310026</v>
      </c>
      <c r="E3029" s="38" t="n">
        <f aca="false">Q!$P$46-cx_rt*Q!$P$16-cx_awso*Sens!$E$3024</f>
        <v>64.1899206485108</v>
      </c>
      <c r="F3029" s="38" t="n">
        <f aca="false">MAX(Sens!$F$3006*(Sens!$F$3011+tk_fac*(1-colo_sh))/1000,capex_g26-Q!$P$46-Sens!$F$3027)</f>
        <v>96.2481299895</v>
      </c>
      <c r="G3029" s="38" t="n">
        <f aca="false">Sens!$E$3029+Sens!$F$3029</f>
        <v>160.438050638011</v>
      </c>
      <c r="H3029" s="38" t="n">
        <f aca="false">Sens!$H$3006*(Sens!$H$3011+tk_fac*(1-colo_sh))/1000+Sens!$H$3030</f>
        <v>198.57136494475</v>
      </c>
      <c r="I3029" s="38" t="n">
        <f aca="false">Sens!$I$3006*(Sens!$I$3011+tk_fac*(1-colo_sh))/1000+Sens!$I$3030</f>
        <v>204.6464699105</v>
      </c>
      <c r="J3029" s="38" t="n">
        <f aca="false">Sens!$J$3006*(Sens!$J$3011+tk_fac*(1-colo_sh))/1000+Sens!$J$3030</f>
        <v>209.8832381105</v>
      </c>
      <c r="K3029" s="38" t="n">
        <f aca="false">Sens!$K$3006*(Sens!$K$3011+tk_fac*(1-colo_sh))/1000+Sens!$K$3030</f>
        <v>155.238385275201</v>
      </c>
      <c r="L3029" s="38" t="n">
        <f aca="false">Sens!$L$3006*(Sens!$L$3011+tk_fac*(1-colo_sh))/1000+Sens!$L$3030</f>
        <v>132.014141639902</v>
      </c>
      <c r="M3029" s="38" t="n">
        <f aca="false">Sens!$M$3006*(Sens!$M$3011+tk_fac*(1-colo_sh))/1000+Sens!$M$3030</f>
        <v>132.230981659852</v>
      </c>
      <c r="P3029" s="5" t="s">
        <v>629</v>
      </c>
      <c r="R3029" s="38" t="n">
        <f aca="false">Q!$C$46-cx_rt*Q!$C$16-cx_awso*(Q!$C$7-mw_ye23/2*rpm_open/1000)</f>
        <v>1.50429979529945</v>
      </c>
      <c r="S3029" s="38" t="n">
        <f aca="false">Sens!$C$3029</f>
        <v>25.2781053077374</v>
      </c>
      <c r="T3029" s="38" t="n">
        <f aca="false">Sens!$D$3029</f>
        <v>69.5686316310026</v>
      </c>
      <c r="U3029" s="38" t="n">
        <f aca="false">Sens!$G$3029</f>
        <v>160.438050638011</v>
      </c>
      <c r="V3029" s="38" t="n">
        <f aca="false">Sens!$H$3029</f>
        <v>198.57136494475</v>
      </c>
      <c r="W3029" s="38" t="n">
        <f aca="false">Sens!$I$3029</f>
        <v>204.6464699105</v>
      </c>
      <c r="X3029" s="38" t="n">
        <f aca="false">Sens!$J$3029</f>
        <v>209.8832381105</v>
      </c>
      <c r="Y3029" s="38" t="n">
        <f aca="false">Sens!$K$3029</f>
        <v>155.238385275201</v>
      </c>
      <c r="Z3029" s="38" t="n">
        <f aca="false">Sens!$L$3029</f>
        <v>132.014141639902</v>
      </c>
      <c r="AA3029" s="38" t="n">
        <f aca="false">Sens!$M$3029</f>
        <v>132.230981659852</v>
      </c>
    </row>
    <row r="3030" customFormat="false" ht="17.15" hidden="false" customHeight="false" outlineLevel="0" collapsed="false">
      <c r="A3030" s="0" t="s">
        <v>630</v>
      </c>
      <c r="B3030" s="0" t="s">
        <v>86</v>
      </c>
      <c r="H3030" s="38" t="n">
        <f aca="false">SUMPRODUCT(--(Sens!$R$2999:$AA$2999=2027-tk_life),Sens!$R$3006:$AA$3006)*Sens!$H$3011/1000</f>
        <v>0</v>
      </c>
      <c r="I3030" s="38" t="n">
        <f aca="false">SUMPRODUCT(--(Sens!$R$2999:$AA$2999=2028-tk_life),Sens!$R$3006:$AA$3006)*Sens!$I$3011/1000</f>
        <v>0</v>
      </c>
      <c r="J3030" s="38" t="n">
        <f aca="false">SUMPRODUCT(--(Sens!$R$2999:$AA$2999=2029-tk_life),Sens!$R$3006:$AA$3006)*Sens!$J$3011/1000</f>
        <v>5.2367682</v>
      </c>
      <c r="K3030" s="38" t="n">
        <f aca="false">SUMPRODUCT(--(Sens!$R$2999:$AA$2999=2030-tk_life),Sens!$R$3006:$AA$3006)*Sens!$K$3011/1000</f>
        <v>10.4735364</v>
      </c>
      <c r="L3030" s="38" t="n">
        <f aca="false">SUMPRODUCT(--(Sens!$R$2999:$AA$2999=2031-tk_life),Sens!$R$3006:$AA$3006)*Sens!$L$3011/1000</f>
        <v>47.1309138</v>
      </c>
      <c r="M3030" s="38" t="n">
        <f aca="false">SUMPRODUCT(--(Sens!$R$2999:$AA$2999=2032-tk_life),Sens!$R$3006:$AA$3006)*Sens!$M$3011/1000</f>
        <v>107.22937485525</v>
      </c>
    </row>
    <row r="3031" customFormat="false" ht="17.15" hidden="false" customHeight="false" outlineLevel="0" collapsed="false">
      <c r="A3031" s="0" t="s">
        <v>631</v>
      </c>
      <c r="B3031" s="0" t="s">
        <v>86</v>
      </c>
      <c r="C3031" s="38" t="n">
        <f aca="false">MIN(Sens!$C$3029,Sens!$C$3006*(tk_cx_h100+tk_fac*(1-colo_sh))/1000)</f>
        <v>11.2938642</v>
      </c>
      <c r="D3031" s="38" t="n">
        <f aca="false">MIN(Sens!$D$3029,Sens!$D$3006*(tk_cx_h100+tk_fac*(1-colo_sh))/1000)</f>
        <v>50.8223889</v>
      </c>
      <c r="E3031" s="38" t="n">
        <f aca="false">MIN(Sens!$E$3029,Sens!$E$3006*(Sens!$F$3011+tk_fac*(1-colo_sh))/1000)</f>
        <v>33.8985792</v>
      </c>
      <c r="F3031" s="38" t="n">
        <f aca="false">Sens!$F$3029</f>
        <v>96.2481299895</v>
      </c>
      <c r="G3031" s="38" t="n">
        <f aca="false">Sens!$E$3031+Sens!$F$3031</f>
        <v>130.1467091895</v>
      </c>
      <c r="H3031" s="38" t="n">
        <f aca="false">Sens!$H$3029</f>
        <v>198.57136494475</v>
      </c>
      <c r="I3031" s="38" t="n">
        <f aca="false">Sens!$I$3029</f>
        <v>204.6464699105</v>
      </c>
      <c r="J3031" s="38" t="n">
        <f aca="false">Sens!$J$3029</f>
        <v>209.8832381105</v>
      </c>
      <c r="K3031" s="38" t="n">
        <f aca="false">Sens!$K$3029</f>
        <v>155.238385275201</v>
      </c>
      <c r="L3031" s="38" t="n">
        <f aca="false">Sens!$L$3029</f>
        <v>132.014141639902</v>
      </c>
      <c r="M3031" s="38" t="n">
        <f aca="false">Sens!$M$3029</f>
        <v>132.230981659852</v>
      </c>
      <c r="P3031" s="5" t="s">
        <v>632</v>
      </c>
      <c r="R3031" s="38" t="n">
        <f aca="false">MIN(Sens!$R$3029,Sens!$R$3006*(tk_cx_h100+tk_fac*(1-colo_sh))/1000)</f>
        <v>1.50429979529945</v>
      </c>
      <c r="S3031" s="38" t="n">
        <f aca="false">Sens!$C$3031</f>
        <v>11.2938642</v>
      </c>
      <c r="T3031" s="38" t="n">
        <f aca="false">Sens!$D$3031</f>
        <v>50.8223889</v>
      </c>
      <c r="U3031" s="38" t="n">
        <f aca="false">Sens!$G$3031</f>
        <v>130.1467091895</v>
      </c>
      <c r="V3031" s="38" t="n">
        <f aca="false">Sens!$H$3031</f>
        <v>198.57136494475</v>
      </c>
      <c r="W3031" s="38" t="n">
        <f aca="false">Sens!$I$3031</f>
        <v>204.6464699105</v>
      </c>
      <c r="X3031" s="38" t="n">
        <f aca="false">Sens!$J$3031</f>
        <v>209.8832381105</v>
      </c>
      <c r="Y3031" s="38" t="n">
        <f aca="false">Sens!$K$3031</f>
        <v>155.238385275201</v>
      </c>
      <c r="Z3031" s="38" t="n">
        <f aca="false">Sens!$L$3031</f>
        <v>132.014141639902</v>
      </c>
      <c r="AA3031" s="38" t="n">
        <f aca="false">Sens!$M$3031</f>
        <v>132.230981659852</v>
      </c>
    </row>
    <row r="3032" customFormat="false" ht="17.15" hidden="false" customHeight="false" outlineLevel="0" collapsed="false">
      <c r="A3032" s="5" t="s">
        <v>633</v>
      </c>
      <c r="B3032" s="0" t="s">
        <v>86</v>
      </c>
      <c r="C3032" s="38" t="n">
        <f aca="false">Sens!$C$3029-Sens!$C$3031</f>
        <v>13.9842411077374</v>
      </c>
      <c r="D3032" s="38" t="n">
        <f aca="false">Sens!$D$3029-Sens!$D$3031</f>
        <v>18.7462427310026</v>
      </c>
      <c r="E3032" s="38" t="n">
        <f aca="false">Sens!$E$3029-Sens!$E$3031</f>
        <v>30.2913414485108</v>
      </c>
      <c r="F3032" s="38" t="n">
        <f aca="false">Sens!$F$3029-Sens!$F$3031</f>
        <v>0</v>
      </c>
      <c r="G3032" s="38" t="n">
        <f aca="false">Sens!$G$3029-Sens!$G$3031</f>
        <v>30.2913414485108</v>
      </c>
      <c r="H3032" s="38" t="n">
        <f aca="false">Sens!$H$3029-Sens!$H$3031</f>
        <v>0</v>
      </c>
      <c r="I3032" s="38" t="n">
        <f aca="false">Sens!$I$3029-Sens!$I$3031</f>
        <v>0</v>
      </c>
      <c r="J3032" s="38" t="n">
        <f aca="false">Sens!$J$3029-Sens!$J$3031</f>
        <v>0</v>
      </c>
      <c r="K3032" s="38" t="n">
        <f aca="false">Sens!$K$3029-Sens!$K$3031</f>
        <v>0</v>
      </c>
      <c r="L3032" s="38" t="n">
        <f aca="false">Sens!$L$3029-Sens!$L$3031</f>
        <v>0</v>
      </c>
      <c r="M3032" s="38" t="n">
        <f aca="false">Sens!$M$3029-Sens!$M$3031</f>
        <v>0</v>
      </c>
    </row>
    <row r="3033" customFormat="false" ht="17.15" hidden="false" customHeight="false" outlineLevel="0" collapsed="false">
      <c r="A3033" s="5" t="s">
        <v>634</v>
      </c>
      <c r="B3033" s="0" t="s">
        <v>86</v>
      </c>
      <c r="C3033" s="38" t="n">
        <f aca="false">Sens!$C$3031*Sens!$C$3028</f>
        <v>8.2530642</v>
      </c>
      <c r="D3033" s="38" t="n">
        <f aca="false">Sens!$D$3031*Sens!$D$3028</f>
        <v>37.1387889</v>
      </c>
      <c r="E3033" s="38" t="n">
        <f aca="false">Sens!$E$3031*Sens!$E$3028</f>
        <v>25.7897792</v>
      </c>
      <c r="F3033" s="38" t="n">
        <f aca="false">Sens!$F$3031*Sens!$F$3028</f>
        <v>73.2248394895</v>
      </c>
      <c r="G3033" s="38" t="n">
        <f aca="false">Sens!$E$3033+Sens!$F$3033</f>
        <v>99.0146186895</v>
      </c>
      <c r="H3033" s="38" t="n">
        <f aca="false">(Sens!$H$3031-Sens!$H$3030)*Sens!$H$3028+Sens!$H$3030</f>
        <v>152.52478394475</v>
      </c>
      <c r="I3033" s="38" t="n">
        <f aca="false">(Sens!$I$3031-Sens!$I$3030)*Sens!$I$3028+Sens!$I$3030</f>
        <v>158.5998889105</v>
      </c>
      <c r="J3033" s="38" t="n">
        <f aca="false">(Sens!$J$3031-Sens!$J$3030)*Sens!$J$3028+Sens!$J$3030</f>
        <v>163.8366571105</v>
      </c>
      <c r="K3033" s="38" t="n">
        <f aca="false">(Sens!$K$3031-Sens!$K$3030)*Sens!$K$3028+Sens!$K$3030</f>
        <v>122.665498273534</v>
      </c>
      <c r="L3033" s="38" t="n">
        <f aca="false">(Sens!$L$3031-Sens!$L$3030)*Sens!$L$3028+Sens!$L$3030</f>
        <v>112.914948636568</v>
      </c>
      <c r="M3033" s="38" t="n">
        <f aca="false">(Sens!$M$3031-Sens!$M$3030)*Sens!$M$3028+Sens!$M$3030</f>
        <v>126.605482654852</v>
      </c>
      <c r="R3033" s="38" t="n">
        <f aca="false">Sens!$R$3031*Sens!$C$3028</f>
        <v>1.09927679019314</v>
      </c>
      <c r="S3033" s="38" t="n">
        <f aca="false">Sens!$C$3033</f>
        <v>8.2530642</v>
      </c>
      <c r="T3033" s="38" t="n">
        <f aca="false">Sens!$D$3033</f>
        <v>37.1387889</v>
      </c>
      <c r="U3033" s="38" t="n">
        <f aca="false">Sens!$G$3033</f>
        <v>99.0146186895</v>
      </c>
      <c r="V3033" s="38" t="n">
        <f aca="false">Sens!$H$3033</f>
        <v>152.52478394475</v>
      </c>
      <c r="W3033" s="38" t="n">
        <f aca="false">Sens!$I$3033</f>
        <v>158.5998889105</v>
      </c>
      <c r="X3033" s="38" t="n">
        <f aca="false">Sens!$J$3033</f>
        <v>163.8366571105</v>
      </c>
      <c r="Y3033" s="38" t="n">
        <f aca="false">Sens!$K$3033</f>
        <v>122.665498273534</v>
      </c>
      <c r="Z3033" s="38" t="n">
        <f aca="false">Sens!$L$3033</f>
        <v>112.914948636568</v>
      </c>
      <c r="AA3033" s="38" t="n">
        <f aca="false">Sens!$M$3033</f>
        <v>126.605482654852</v>
      </c>
    </row>
    <row r="3034" customFormat="false" ht="15" hidden="false" customHeight="false" outlineLevel="0" collapsed="false">
      <c r="A3034" s="5" t="s">
        <v>635</v>
      </c>
      <c r="B3034" s="0" t="s">
        <v>86</v>
      </c>
      <c r="C3034" s="38" t="n">
        <f aca="false">Sens!$C$3031-Sens!$C$3033</f>
        <v>3.0408</v>
      </c>
      <c r="D3034" s="38" t="n">
        <f aca="false">Sens!$D$3031-Sens!$D$3033</f>
        <v>13.6836</v>
      </c>
      <c r="E3034" s="38" t="n">
        <f aca="false">Sens!$E$3031-Sens!$E$3033</f>
        <v>8.1088</v>
      </c>
      <c r="F3034" s="38" t="n">
        <f aca="false">Sens!$F$3031-Sens!$F$3033</f>
        <v>23.0232905</v>
      </c>
      <c r="G3034" s="38" t="n">
        <f aca="false">Sens!$G$3031-Sens!$G$3033</f>
        <v>31.1320905</v>
      </c>
      <c r="H3034" s="38" t="n">
        <f aca="false">Sens!$H$3031-Sens!$H$3033</f>
        <v>46.046581</v>
      </c>
      <c r="I3034" s="38" t="n">
        <f aca="false">Sens!$I$3031-Sens!$I$3033</f>
        <v>46.046581</v>
      </c>
      <c r="J3034" s="38" t="n">
        <f aca="false">Sens!$J$3031-Sens!$J$3033</f>
        <v>46.046581</v>
      </c>
      <c r="K3034" s="38" t="n">
        <f aca="false">Sens!$K$3031-Sens!$K$3033</f>
        <v>32.5728870016667</v>
      </c>
      <c r="L3034" s="38" t="n">
        <f aca="false">Sens!$L$3031-Sens!$L$3033</f>
        <v>19.0991930033334</v>
      </c>
      <c r="M3034" s="38" t="n">
        <f aca="false">Sens!$M$3031-Sens!$M$3033</f>
        <v>5.62549900499998</v>
      </c>
      <c r="R3034" s="38" t="n">
        <f aca="false">Sens!$R$3031-Sens!$R$3033</f>
        <v>0.405023005106309</v>
      </c>
      <c r="S3034" s="38" t="n">
        <f aca="false">Sens!$S$3031-Sens!$S$3033</f>
        <v>3.0408</v>
      </c>
      <c r="T3034" s="38" t="n">
        <f aca="false">Sens!$T$3031-Sens!$T$3033</f>
        <v>13.6836</v>
      </c>
      <c r="U3034" s="38" t="n">
        <f aca="false">Sens!$U$3031-Sens!$U$3033</f>
        <v>31.1320905</v>
      </c>
      <c r="V3034" s="38" t="n">
        <f aca="false">Sens!$V$3031-Sens!$V$3033</f>
        <v>46.046581</v>
      </c>
      <c r="W3034" s="38" t="n">
        <f aca="false">Sens!$W$3031-Sens!$W$3033</f>
        <v>46.046581</v>
      </c>
      <c r="X3034" s="38" t="n">
        <f aca="false">Sens!$X$3031-Sens!$X$3033</f>
        <v>46.046581</v>
      </c>
      <c r="Y3034" s="38" t="n">
        <f aca="false">Sens!$Y$3031-Sens!$Y$3033</f>
        <v>32.5728870016667</v>
      </c>
      <c r="Z3034" s="38" t="n">
        <f aca="false">Sens!$Z$3031-Sens!$Z$3033</f>
        <v>19.0991930033334</v>
      </c>
      <c r="AA3034" s="38" t="n">
        <f aca="false">Sens!$AA$3031-Sens!$AA$3033</f>
        <v>5.62549900499998</v>
      </c>
    </row>
    <row r="3035" customFormat="false" ht="17.15" hidden="false" customHeight="false" outlineLevel="0" collapsed="false">
      <c r="A3035" s="0" t="s">
        <v>636</v>
      </c>
      <c r="B3035" s="0" t="s">
        <v>52</v>
      </c>
      <c r="C3035" s="13" t="n">
        <f aca="false">Sens!$C$3029/Sens!$C$3151</f>
        <v>0.325505489553393</v>
      </c>
      <c r="D3035" s="13" t="n">
        <f aca="false">Sens!$D$3029/Sens!$D$3151</f>
        <v>0.54214956071542</v>
      </c>
      <c r="E3035" s="13" t="n">
        <f aca="false">Sens!$E$3029/Sens!$E$3151</f>
        <v>0.666492790452817</v>
      </c>
      <c r="F3035" s="13" t="n">
        <f aca="false">Sens!$F$3029/Sens!$F$3151</f>
        <v>0.733477910687338</v>
      </c>
      <c r="G3035" s="13" t="n">
        <f aca="false">Sens!$G$3029/Sens!$G$3151</f>
        <v>0.705124321514523</v>
      </c>
      <c r="H3035" s="13" t="n">
        <f aca="false">Sens!$H$3029/Sens!$H$3151</f>
        <v>0.726946745872848</v>
      </c>
      <c r="I3035" s="13" t="n">
        <f aca="false">Sens!$I$3029/Sens!$I$3151</f>
        <v>0.714887948197907</v>
      </c>
      <c r="J3035" s="13" t="n">
        <f aca="false">Sens!$J$3029/Sens!$J$3151</f>
        <v>0.704916975718456</v>
      </c>
      <c r="K3035" s="13" t="n">
        <f aca="false">Sens!$K$3029/Sens!$K$3151</f>
        <v>0.625383692343695</v>
      </c>
      <c r="L3035" s="13" t="n">
        <f aca="false">Sens!$L$3029/Sens!$L$3151</f>
        <v>0.572833393346831</v>
      </c>
      <c r="M3035" s="13" t="n">
        <f aca="false">Sens!$M$3029/Sens!$M$3151</f>
        <v>0.559183533401246</v>
      </c>
    </row>
    <row r="3036" customFormat="false" ht="17.15" hidden="false" customHeight="false" outlineLevel="0" collapsed="false">
      <c r="A3036" s="0" t="s">
        <v>637</v>
      </c>
      <c r="B3036" s="0" t="s">
        <v>86</v>
      </c>
      <c r="C3036" s="38" t="n">
        <f aca="false">Sens!$S$3036</f>
        <v>0.183212798365523</v>
      </c>
      <c r="D3036" s="38" t="n">
        <f aca="false">Sens!$T$3036</f>
        <v>1.55872349836552</v>
      </c>
      <c r="E3036" s="38" t="n">
        <f aca="false">Sens!$G$3036/2</f>
        <v>3.87426082418276</v>
      </c>
      <c r="F3036" s="38" t="n">
        <f aca="false">Sens!$G$3036/2</f>
        <v>3.87426082418276</v>
      </c>
      <c r="G3036" s="38" t="n">
        <f aca="false">Sens!$U$3036</f>
        <v>7.74852164836552</v>
      </c>
      <c r="H3036" s="38" t="n">
        <f aca="false">Sens!$V$3036</f>
        <v>24.2509580966155</v>
      </c>
      <c r="I3036" s="38" t="n">
        <f aca="false">Sens!$W$3036</f>
        <v>49.6717554207405</v>
      </c>
      <c r="J3036" s="38" t="n">
        <f aca="false">Sens!$X$3036</f>
        <v>76.1050702391572</v>
      </c>
      <c r="K3036" s="38" t="n">
        <f aca="false">Sens!$Y$3036</f>
        <v>103.227966959208</v>
      </c>
      <c r="L3036" s="38" t="n">
        <f aca="false">Sens!$Z$3036</f>
        <v>122.296705971464</v>
      </c>
      <c r="M3036" s="38" t="n">
        <f aca="false">Sens!$AA$3036</f>
        <v>134.926065927559</v>
      </c>
      <c r="N3036" s="38" t="n">
        <f aca="false">Sens!$D$3036/2</f>
        <v>0.779361749182762</v>
      </c>
      <c r="O3036" s="38" t="n">
        <f aca="false">Sens!$D$3036/2</f>
        <v>0.779361749182762</v>
      </c>
      <c r="R3036" s="38" t="n">
        <f aca="false">SUMPRODUCT(--(Sens!$R$2999:$AA$2999&lt;Sens!R$2999),--(Sens!$R$2999:$AA$2999&gt;=Sens!R$2999-tk_life),Sens!$R$3033:$AA$3033)/tk_life</f>
        <v>0</v>
      </c>
      <c r="S3036" s="38" t="n">
        <f aca="false">SUMPRODUCT(--(Sens!$R$2999:$AA$2999&lt;Sens!S$2999),--(Sens!$R$2999:$AA$2999&gt;=Sens!S$2999-tk_life),Sens!$R$3033:$AA$3033)/tk_life</f>
        <v>0.183212798365523</v>
      </c>
      <c r="T3036" s="38" t="n">
        <f aca="false">SUMPRODUCT(--(Sens!$R$2999:$AA$2999&lt;Sens!T$2999),--(Sens!$R$2999:$AA$2999&gt;=Sens!T$2999-tk_life),Sens!$R$3033:$AA$3033)/tk_life</f>
        <v>1.55872349836552</v>
      </c>
      <c r="U3036" s="38" t="n">
        <f aca="false">SUMPRODUCT(--(Sens!$R$2999:$AA$2999&lt;Sens!U$2999),--(Sens!$R$2999:$AA$2999&gt;=Sens!U$2999-tk_life),Sens!$R$3033:$AA$3033)/tk_life</f>
        <v>7.74852164836552</v>
      </c>
      <c r="V3036" s="38" t="n">
        <f aca="false">SUMPRODUCT(--(Sens!$R$2999:$AA$2999&lt;Sens!V$2999),--(Sens!$R$2999:$AA$2999&gt;=Sens!V$2999-tk_life),Sens!$R$3033:$AA$3033)/tk_life</f>
        <v>24.2509580966155</v>
      </c>
      <c r="W3036" s="38" t="n">
        <f aca="false">SUMPRODUCT(--(Sens!$R$2999:$AA$2999&lt;Sens!W$2999),--(Sens!$R$2999:$AA$2999&gt;=Sens!W$2999-tk_life),Sens!$R$3033:$AA$3033)/tk_life</f>
        <v>49.6717554207405</v>
      </c>
      <c r="X3036" s="38" t="n">
        <f aca="false">SUMPRODUCT(--(Sens!$R$2999:$AA$2999&lt;Sens!X$2999),--(Sens!$R$2999:$AA$2999&gt;=Sens!X$2999-tk_life),Sens!$R$3033:$AA$3033)/tk_life</f>
        <v>76.1050702391572</v>
      </c>
      <c r="Y3036" s="38" t="n">
        <f aca="false">SUMPRODUCT(--(Sens!$R$2999:$AA$2999&lt;Sens!Y$2999),--(Sens!$R$2999:$AA$2999&gt;=Sens!Y$2999-tk_life),Sens!$R$3033:$AA$3033)/tk_life</f>
        <v>103.227966959208</v>
      </c>
      <c r="Z3036" s="38" t="n">
        <f aca="false">SUMPRODUCT(--(Sens!$R$2999:$AA$2999&lt;Sens!Z$2999),--(Sens!$R$2999:$AA$2999&gt;=Sens!Z$2999-tk_life),Sens!$R$3033:$AA$3033)/tk_life</f>
        <v>122.296705971464</v>
      </c>
      <c r="AA3036" s="38" t="n">
        <f aca="false">SUMPRODUCT(--(Sens!$R$2999:$AA$2999&lt;Sens!AA$2999),--(Sens!$R$2999:$AA$2999&gt;=Sens!AA$2999-tk_life),Sens!$R$3033:$AA$3033)/tk_life</f>
        <v>134.926065927559</v>
      </c>
    </row>
    <row r="3037" customFormat="false" ht="17.15" hidden="false" customHeight="false" outlineLevel="0" collapsed="false">
      <c r="A3037" s="0" t="s">
        <v>638</v>
      </c>
      <c r="B3037" s="0" t="s">
        <v>86</v>
      </c>
      <c r="C3037" s="38" t="n">
        <f aca="false">Sens!$S$3037</f>
        <v>0.0202511502553155</v>
      </c>
      <c r="D3037" s="38" t="n">
        <f aca="false">Sens!$T$3037</f>
        <v>0.172291150255315</v>
      </c>
      <c r="E3037" s="38" t="n">
        <f aca="false">Sens!$G$3037/2</f>
        <v>0.428235575127658</v>
      </c>
      <c r="F3037" s="38" t="n">
        <f aca="false">Sens!$G$3037/2</f>
        <v>0.428235575127658</v>
      </c>
      <c r="G3037" s="38" t="n">
        <f aca="false">Sens!$U$3037</f>
        <v>0.856471150255315</v>
      </c>
      <c r="H3037" s="38" t="n">
        <f aca="false">Sens!$V$3037</f>
        <v>2.41307567525532</v>
      </c>
      <c r="I3037" s="38" t="n">
        <f aca="false">Sens!$W$3037</f>
        <v>4.71540472525532</v>
      </c>
      <c r="J3037" s="38" t="n">
        <f aca="false">Sens!$X$3037</f>
        <v>7.01773377525532</v>
      </c>
      <c r="K3037" s="38" t="n">
        <f aca="false">Sens!$Y$3037</f>
        <v>9.32006282525532</v>
      </c>
      <c r="L3037" s="38" t="n">
        <f aca="false">Sens!$Z$3037</f>
        <v>10.9487071753387</v>
      </c>
      <c r="M3037" s="38" t="n">
        <f aca="false">Sens!$AA$3037</f>
        <v>11.9036668255053</v>
      </c>
      <c r="N3037" s="38" t="n">
        <f aca="false">Sens!$D$3037/2</f>
        <v>0.0861455751276577</v>
      </c>
      <c r="O3037" s="38" t="n">
        <f aca="false">Sens!$D$3037/2</f>
        <v>0.0861455751276577</v>
      </c>
      <c r="R3037" s="38" t="n">
        <f aca="false">SUMPRODUCT(--(Sens!$R$2999:$AA$2999&lt;Sens!R$2999),Sens!$R$3034:$AA$3034)/fac_life</f>
        <v>0</v>
      </c>
      <c r="S3037" s="38" t="n">
        <f aca="false">SUMPRODUCT(--(Sens!$R$2999:$AA$2999&lt;Sens!S$2999),Sens!$R$3034:$AA$3034)/fac_life</f>
        <v>0.0202511502553155</v>
      </c>
      <c r="T3037" s="38" t="n">
        <f aca="false">SUMPRODUCT(--(Sens!$R$2999:$AA$2999&lt;Sens!T$2999),Sens!$R$3034:$AA$3034)/fac_life</f>
        <v>0.172291150255315</v>
      </c>
      <c r="U3037" s="38" t="n">
        <f aca="false">SUMPRODUCT(--(Sens!$R$2999:$AA$2999&lt;Sens!U$2999),Sens!$R$3034:$AA$3034)/fac_life</f>
        <v>0.856471150255315</v>
      </c>
      <c r="V3037" s="38" t="n">
        <f aca="false">SUMPRODUCT(--(Sens!$R$2999:$AA$2999&lt;Sens!V$2999),Sens!$R$3034:$AA$3034)/fac_life</f>
        <v>2.41307567525532</v>
      </c>
      <c r="W3037" s="38" t="n">
        <f aca="false">SUMPRODUCT(--(Sens!$R$2999:$AA$2999&lt;Sens!W$2999),Sens!$R$3034:$AA$3034)/fac_life</f>
        <v>4.71540472525532</v>
      </c>
      <c r="X3037" s="38" t="n">
        <f aca="false">SUMPRODUCT(--(Sens!$R$2999:$AA$2999&lt;Sens!X$2999),Sens!$R$3034:$AA$3034)/fac_life</f>
        <v>7.01773377525532</v>
      </c>
      <c r="Y3037" s="38" t="n">
        <f aca="false">SUMPRODUCT(--(Sens!$R$2999:$AA$2999&lt;Sens!Y$2999),Sens!$R$3034:$AA$3034)/fac_life</f>
        <v>9.32006282525532</v>
      </c>
      <c r="Z3037" s="38" t="n">
        <f aca="false">SUMPRODUCT(--(Sens!$R$2999:$AA$2999&lt;Sens!Z$2999),Sens!$R$3034:$AA$3034)/fac_life</f>
        <v>10.9487071753387</v>
      </c>
      <c r="AA3037" s="38" t="n">
        <f aca="false">SUMPRODUCT(--(Sens!$R$2999:$AA$2999&lt;Sens!AA$2999),Sens!$R$3034:$AA$3034)/fac_life</f>
        <v>11.9036668255053</v>
      </c>
    </row>
    <row r="3038" customFormat="false" ht="17.15" hidden="false" customHeight="false" outlineLevel="0" collapsed="false">
      <c r="A3038" s="1" t="s">
        <v>639</v>
      </c>
      <c r="B3038" s="8" t="s">
        <v>86</v>
      </c>
      <c r="C3038" s="38" t="n">
        <f aca="false">Sens!$C$3036+Sens!$C$3037</f>
        <v>0.203463948620839</v>
      </c>
      <c r="D3038" s="38" t="n">
        <f aca="false">Sens!$D$3036+Sens!$D$3037</f>
        <v>1.73101464862084</v>
      </c>
      <c r="E3038" s="38" t="n">
        <f aca="false">Sens!$E$3036+Sens!$E$3037</f>
        <v>4.30249639931042</v>
      </c>
      <c r="F3038" s="38" t="n">
        <f aca="false">Sens!$F$3036+Sens!$F$3037</f>
        <v>4.30249639931042</v>
      </c>
      <c r="G3038" s="38" t="n">
        <f aca="false">Sens!$G$3036+Sens!$G$3037</f>
        <v>8.60499279862084</v>
      </c>
      <c r="H3038" s="38" t="n">
        <f aca="false">Sens!$H$3036+Sens!$H$3037</f>
        <v>26.6640337718708</v>
      </c>
      <c r="I3038" s="38" t="n">
        <f aca="false">Sens!$I$3036+Sens!$I$3037</f>
        <v>54.3871601459959</v>
      </c>
      <c r="J3038" s="38" t="n">
        <f aca="false">Sens!$J$3036+Sens!$J$3037</f>
        <v>83.1228040144125</v>
      </c>
      <c r="K3038" s="38" t="n">
        <f aca="false">Sens!$K$3036+Sens!$K$3037</f>
        <v>112.548029784464</v>
      </c>
      <c r="L3038" s="38" t="n">
        <f aca="false">Sens!$L$3036+Sens!$L$3037</f>
        <v>133.245413146803</v>
      </c>
      <c r="M3038" s="38" t="n">
        <f aca="false">Sens!$M$3036+Sens!$M$3037</f>
        <v>146.829732753064</v>
      </c>
      <c r="N3038" s="38" t="n">
        <f aca="false">Sens!$N$3036+Sens!$N$3037</f>
        <v>0.865507324310419</v>
      </c>
      <c r="O3038" s="38" t="n">
        <f aca="false">Sens!$O$3036+Sens!$O$3037</f>
        <v>0.865507324310419</v>
      </c>
      <c r="R3038" s="38" t="n">
        <f aca="false">Sens!$R$3036+Sens!$R$3037</f>
        <v>0</v>
      </c>
      <c r="S3038" s="38" t="n">
        <f aca="false">Sens!$S$3036+Sens!$S$3037</f>
        <v>0.203463948620839</v>
      </c>
      <c r="T3038" s="38" t="n">
        <f aca="false">Sens!$T$3036+Sens!$T$3037</f>
        <v>1.73101464862084</v>
      </c>
      <c r="U3038" s="38" t="n">
        <f aca="false">Sens!$U$3036+Sens!$U$3037</f>
        <v>8.60499279862084</v>
      </c>
      <c r="V3038" s="38" t="n">
        <f aca="false">Sens!$V$3036+Sens!$V$3037</f>
        <v>26.6640337718708</v>
      </c>
      <c r="W3038" s="38" t="n">
        <f aca="false">Sens!$W$3036+Sens!$W$3037</f>
        <v>54.3871601459959</v>
      </c>
      <c r="X3038" s="38" t="n">
        <f aca="false">Sens!$X$3036+Sens!$X$3037</f>
        <v>83.1228040144125</v>
      </c>
      <c r="Y3038" s="38" t="n">
        <f aca="false">Sens!$Y$3036+Sens!$Y$3037</f>
        <v>112.548029784464</v>
      </c>
      <c r="Z3038" s="38" t="n">
        <f aca="false">Sens!$Z$3036+Sens!$Z$3037</f>
        <v>133.245413146803</v>
      </c>
      <c r="AA3038" s="38" t="n">
        <f aca="false">Sens!$AA$3036+Sens!$AA$3037</f>
        <v>146.829732753064</v>
      </c>
    </row>
    <row r="3039" customFormat="false" ht="17.15" hidden="false" customHeight="false" outlineLevel="0" collapsed="false">
      <c r="A3039" s="0" t="s">
        <v>640</v>
      </c>
      <c r="B3039" s="0" t="s">
        <v>86</v>
      </c>
      <c r="C3039" s="38" t="n">
        <f aca="false">Sens!$S$3039</f>
        <v>12.5947000466786</v>
      </c>
      <c r="D3039" s="38" t="n">
        <f aca="false">Sens!$T$3039</f>
        <v>61.6860742980578</v>
      </c>
      <c r="G3039" s="38" t="n">
        <f aca="false">Sens!$U$3039</f>
        <v>183.227790688937</v>
      </c>
      <c r="H3039" s="38" t="n">
        <f aca="false">Sens!$V$3039</f>
        <v>355.135121861816</v>
      </c>
      <c r="I3039" s="38" t="n">
        <f aca="false">Sens!$W$3039</f>
        <v>505.39443162632</v>
      </c>
      <c r="J3039" s="38" t="n">
        <f aca="false">Sens!$X$3039</f>
        <v>632.154865722408</v>
      </c>
      <c r="K3039" s="38" t="n">
        <f aca="false">Sens!$Y$3039</f>
        <v>674.845221213145</v>
      </c>
      <c r="L3039" s="38" t="n">
        <f aca="false">Sens!$Z$3039</f>
        <v>673.613949706244</v>
      </c>
      <c r="M3039" s="38" t="n">
        <f aca="false">Sens!$AA$3039</f>
        <v>659.015198613032</v>
      </c>
      <c r="R3039" s="38" t="n">
        <f aca="false">SUM(Sens!$R$3031:$R$3031)-SUM(Sens!$R$3038:$R$3038)</f>
        <v>1.50429979529945</v>
      </c>
      <c r="S3039" s="38" t="n">
        <f aca="false">SUM(Sens!$R$3031:$S$3031)-SUM(Sens!$R$3038:$S$3038)</f>
        <v>12.5947000466786</v>
      </c>
      <c r="T3039" s="38" t="n">
        <f aca="false">SUM(Sens!$R$3031:$T$3031)-SUM(Sens!$R$3038:$T$3038)</f>
        <v>61.6860742980578</v>
      </c>
      <c r="U3039" s="38" t="n">
        <f aca="false">SUM(Sens!$R$3031:$U$3031)-SUM(Sens!$R$3038:$U$3038)</f>
        <v>183.227790688937</v>
      </c>
      <c r="V3039" s="38" t="n">
        <f aca="false">SUM(Sens!$R$3031:$V$3031)-SUM(Sens!$R$3038:$V$3038)</f>
        <v>355.135121861816</v>
      </c>
      <c r="W3039" s="38" t="n">
        <f aca="false">SUM(Sens!$R$3031:$W$3031)-SUM(Sens!$R$3038:$W$3038)</f>
        <v>505.39443162632</v>
      </c>
      <c r="X3039" s="38" t="n">
        <f aca="false">SUM(Sens!$R$3031:$X$3031)-SUM(Sens!$R$3038:$X$3038)</f>
        <v>632.154865722408</v>
      </c>
      <c r="Y3039" s="38" t="n">
        <f aca="false">SUM(Sens!$R$3031:$Y$3031)-SUM(Sens!$R$3038:$Y$3038)</f>
        <v>674.845221213145</v>
      </c>
      <c r="Z3039" s="38" t="n">
        <f aca="false">SUM(Sens!$R$3031:$Z$3031)-SUM(Sens!$R$3038:$Z$3038)</f>
        <v>673.613949706244</v>
      </c>
      <c r="AA3039" s="38" t="n">
        <f aca="false">SUM(Sens!$R$3031:$AA$3031)-SUM(Sens!$R$3038:$AA$3038)</f>
        <v>659.015198613032</v>
      </c>
    </row>
    <row r="3040" customFormat="false" ht="17.15" hidden="false" customHeight="false" outlineLevel="0" collapsed="false">
      <c r="A3040" s="1" t="s">
        <v>641</v>
      </c>
    </row>
    <row r="3041" customFormat="false" ht="17.15" hidden="false" customHeight="false" outlineLevel="0" collapsed="false">
      <c r="A3041" s="0" t="s">
        <v>642</v>
      </c>
      <c r="B3041" s="0" t="s">
        <v>86</v>
      </c>
      <c r="C3041" s="38" t="n">
        <f aca="false">Sens!$C$3020-ext_sh*Sens!$C$3022</f>
        <v>1.80694998843362</v>
      </c>
      <c r="D3041" s="38" t="n">
        <f aca="false">Sens!$D$3020-ext_sh*Sens!$D$3022</f>
        <v>6.77606245662607</v>
      </c>
      <c r="E3041" s="38" t="n">
        <f aca="false">Sens!$E$3020-ext_sh*Sens!$E$3022</f>
        <v>6.62548329092326</v>
      </c>
      <c r="F3041" s="38" t="n">
        <f aca="false">Sens!$F$3020-ext_sh*Sens!$F$3022</f>
        <v>11.7200577158706</v>
      </c>
      <c r="G3041" s="38" t="n">
        <f aca="false">Sens!$G$3020-ext_sh*Sens!$G$3022</f>
        <v>18.3455410067939</v>
      </c>
      <c r="H3041" s="38" t="n">
        <f aca="false">Sens!$H$3020-ext_sh*Sens!$H$3022</f>
        <v>47.5171727060453</v>
      </c>
      <c r="I3041" s="38" t="n">
        <f aca="false">Sens!$I$3020-ext_sh*Sens!$I$3022</f>
        <v>80.5539692643667</v>
      </c>
      <c r="J3041" s="38" t="n">
        <f aca="false">Sens!$J$3020-ext_sh*Sens!$J$3022</f>
        <v>113.759316834883</v>
      </c>
      <c r="K3041" s="38" t="n">
        <f aca="false">Sens!$K$3020-ext_sh*Sens!$K$3022</f>
        <v>142.084411492169</v>
      </c>
      <c r="L3041" s="38" t="n">
        <f aca="false">Sens!$L$3020-ext_sh*Sens!$L$3022</f>
        <v>160.69964615804</v>
      </c>
      <c r="M3041" s="38" t="n">
        <f aca="false">Sens!$M$3020-ext_sh*Sens!$M$3022</f>
        <v>169.577607141793</v>
      </c>
      <c r="N3041" s="38" t="n">
        <f aca="false">Sens!$N$3020-ext_sh*Sens!$N$3022</f>
        <v>2.37162185981912</v>
      </c>
      <c r="O3041" s="38" t="n">
        <f aca="false">Sens!$O$3020-ext_sh*Sens!$O$3022</f>
        <v>4.40444059680694</v>
      </c>
    </row>
    <row r="3042" customFormat="false" ht="17.15" hidden="false" customHeight="false" outlineLevel="0" collapsed="false">
      <c r="A3042" s="1" t="s">
        <v>643</v>
      </c>
      <c r="B3042" s="8" t="s">
        <v>86</v>
      </c>
      <c r="C3042" s="38" t="n">
        <f aca="false">Sens!$C$3041-ext_sh*Sens!$C$3038</f>
        <v>1.64417882953695</v>
      </c>
      <c r="D3042" s="38" t="n">
        <f aca="false">Sens!$D$3041-ext_sh*Sens!$D$3038</f>
        <v>5.39125073772939</v>
      </c>
      <c r="E3042" s="38" t="n">
        <f aca="false">Sens!$E$3041-ext_sh*Sens!$E$3038</f>
        <v>3.18348617147493</v>
      </c>
      <c r="F3042" s="38" t="n">
        <f aca="false">Sens!$F$3041-ext_sh*Sens!$F$3038</f>
        <v>8.27806059642226</v>
      </c>
      <c r="G3042" s="38" t="n">
        <f aca="false">Sens!$G$3041-ext_sh*Sens!$G$3038</f>
        <v>11.4615467678972</v>
      </c>
      <c r="H3042" s="38" t="n">
        <f aca="false">Sens!$H$3041-ext_sh*Sens!$H$3038</f>
        <v>26.1859456885487</v>
      </c>
      <c r="I3042" s="38" t="n">
        <f aca="false">Sens!$I$3041-ext_sh*Sens!$I$3038</f>
        <v>37.04424114757</v>
      </c>
      <c r="J3042" s="38" t="n">
        <f aca="false">Sens!$J$3041-ext_sh*Sens!$J$3038</f>
        <v>47.2610736233534</v>
      </c>
      <c r="K3042" s="38" t="n">
        <f aca="false">Sens!$K$3041-ext_sh*Sens!$K$3038</f>
        <v>52.0459876645985</v>
      </c>
      <c r="L3042" s="38" t="n">
        <f aca="false">Sens!$L$3041-ext_sh*Sens!$L$3038</f>
        <v>54.1033156405981</v>
      </c>
      <c r="M3042" s="38" t="n">
        <f aca="false">Sens!$M$3041-ext_sh*Sens!$M$3038</f>
        <v>52.1138209393421</v>
      </c>
      <c r="N3042" s="38" t="n">
        <f aca="false">Sens!$N$3041-ext_sh*Sens!$N$3038</f>
        <v>1.67921600037079</v>
      </c>
      <c r="O3042" s="38" t="n">
        <f aca="false">Sens!$O$3041-ext_sh*Sens!$O$3038</f>
        <v>3.71203473735861</v>
      </c>
    </row>
    <row r="3043" customFormat="false" ht="17.15" hidden="false" customHeight="false" outlineLevel="0" collapsed="false">
      <c r="A3043" s="0" t="s">
        <v>644</v>
      </c>
      <c r="B3043" s="0" t="s">
        <v>52</v>
      </c>
      <c r="C3043" s="13" t="n">
        <f aca="false">Sens!$C$3042/Sens!$C$3020</f>
        <v>0.708390794789371</v>
      </c>
      <c r="D3043" s="13" t="n">
        <f aca="false">Sens!$D$3042/Sens!$D$3020</f>
        <v>0.619415573115729</v>
      </c>
      <c r="E3043" s="13" t="n">
        <f aca="false">Sens!$E$3042/Sens!$E$3020</f>
        <v>0.374072166056273</v>
      </c>
      <c r="F3043" s="13" t="n">
        <f aca="false">Sens!$F$3042/Sens!$F$3020</f>
        <v>0.553219320710057</v>
      </c>
      <c r="G3043" s="13" t="n">
        <f aca="false">Sens!$G$3042/Sens!$G$3020</f>
        <v>0.488270041527512</v>
      </c>
      <c r="H3043" s="13" t="n">
        <f aca="false">Sens!$H$3042/Sens!$H$3020</f>
        <v>0.435229086816882</v>
      </c>
      <c r="I3043" s="13" t="n">
        <f aca="false">Sens!$I$3042/Sens!$I$3020</f>
        <v>0.364954592421095</v>
      </c>
      <c r="J3043" s="13" t="n">
        <f aca="false">Sens!$J$3042/Sens!$J$3020</f>
        <v>0.330438308582232</v>
      </c>
      <c r="K3043" s="13" t="n">
        <f aca="false">Sens!$K$3042/Sens!$K$3020</f>
        <v>0.2916589289528</v>
      </c>
      <c r="L3043" s="13" t="n">
        <f aca="false">Sens!$L$3042/Sens!$L$3020</f>
        <v>0.268199200593258</v>
      </c>
      <c r="M3043" s="13" t="n">
        <f aca="false">Sens!$M$3042/Sens!$M$3020</f>
        <v>0.244854995033574</v>
      </c>
      <c r="N3043" s="13" t="n">
        <f aca="false">Sens!$N$3042/Sens!$N$3020</f>
        <v>0.551227795793364</v>
      </c>
      <c r="O3043" s="13" t="n">
        <f aca="false">Sens!$O$3042/Sens!$O$3020</f>
        <v>0.656132068597002</v>
      </c>
    </row>
    <row r="3044" customFormat="false" ht="17.15" hidden="false" customHeight="false" outlineLevel="0" collapsed="false">
      <c r="A3044" s="5" t="s">
        <v>645</v>
      </c>
      <c r="B3044" s="0" t="s">
        <v>86</v>
      </c>
      <c r="C3044" s="39" t="n">
        <v>0</v>
      </c>
      <c r="D3044" s="39" t="n">
        <v>0</v>
      </c>
      <c r="E3044" s="39" t="n">
        <v>0</v>
      </c>
      <c r="F3044" s="38" t="n">
        <f aca="false">IF(internal_ai_reading=2,1,0)*(1-ext_sh)/ext_sh*(mw_open*he_open+Sens!$F$3018*Sens!$F$3015)*Sens!$F$3004/1000</f>
        <v>3.77122048175818</v>
      </c>
      <c r="G3044" s="38" t="n">
        <f aca="false">Sens!$E$3044+Sens!$F$3044</f>
        <v>3.77122048175818</v>
      </c>
      <c r="H3044" s="38" t="n">
        <f aca="false">IF(internal_ai_reading=2,1,0)*(1-ext_sh)/ext_sh*(mw_open*he_open+Sens!$H$3018*Sens!$H$3015)*Sens!$H$3004/1000</f>
        <v>15.1635543609893</v>
      </c>
      <c r="I3044" s="38" t="n">
        <f aca="false">IF(internal_ai_reading=2,1,0)*(1-ext_sh)/ext_sh*(mw_open*he_open+Sens!$I$3018*Sens!$I$3015)*Sens!$I$3004/1000</f>
        <v>25.5818843619889</v>
      </c>
      <c r="J3044" s="38" t="n">
        <f aca="false">IF(internal_ai_reading=2,1,0)*(1-ext_sh)/ext_sh*(mw_open*he_open+Sens!$J$3018*Sens!$J$3015)*Sens!$J$3004/1000</f>
        <v>36.0465624179122</v>
      </c>
      <c r="K3044" s="38" t="n">
        <f aca="false">IF(internal_ai_reading=2,1,0)*(1-ext_sh)/ext_sh*(mw_open*he_open+Sens!$K$3018*Sens!$K$3015)*Sens!$K$3004/1000</f>
        <v>44.9741164026038</v>
      </c>
      <c r="L3044" s="38" t="n">
        <f aca="false">IF(internal_ai_reading=2,1,0)*(1-ext_sh)/ext_sh*(mw_open*he_open+Sens!$L$3018*Sens!$L$3015)*Sens!$L$3004/1000</f>
        <v>50.8413488057813</v>
      </c>
      <c r="M3044" s="38" t="n">
        <f aca="false">IF(internal_ai_reading=2,1,0)*(1-ext_sh)/ext_sh*(mw_open*he_open+Sens!$M$3018*Sens!$M$3015)*Sens!$M$3004/1000</f>
        <v>53.6407214274315</v>
      </c>
      <c r="N3044" s="39" t="n">
        <v>0</v>
      </c>
      <c r="O3044" s="39" t="n">
        <v>0</v>
      </c>
      <c r="P3044" s="8" t="s">
        <v>646</v>
      </c>
    </row>
    <row r="3045" customFormat="false" ht="17.15" hidden="false" customHeight="false" outlineLevel="0" collapsed="false">
      <c r="A3045" s="5" t="s">
        <v>647</v>
      </c>
      <c r="B3045" s="0" t="s">
        <v>86</v>
      </c>
      <c r="C3045" s="38" t="n">
        <f aca="false">(1-ext_sh)*(Sens!$C$3022+Sens!$C$3038)</f>
        <v>0.169206631859174</v>
      </c>
      <c r="D3045" s="38" t="n">
        <f aca="false">(1-ext_sh)*(Sens!$D$3022+Sens!$D$3038)</f>
        <v>0.828129837730442</v>
      </c>
      <c r="E3045" s="38" t="n">
        <f aca="false">(1-ext_sh)*(Sens!$E$3022+Sens!$E$3038)</f>
        <v>1.33171670102377</v>
      </c>
      <c r="F3045" s="38" t="n">
        <f aca="false">(1-ext_sh)*(Sens!$F$3022+Sens!$F$3038)</f>
        <v>1.67134326207455</v>
      </c>
      <c r="G3045" s="38" t="n">
        <f aca="false">(1-ext_sh)*(Sens!$G$3022+Sens!$G$3038)</f>
        <v>3.00305996309832</v>
      </c>
      <c r="H3045" s="38" t="n">
        <f aca="false">(1-ext_sh)*(Sens!$H$3022+Sens!$H$3038)</f>
        <v>8.49498626530648</v>
      </c>
      <c r="I3045" s="38" t="n">
        <f aca="false">(1-ext_sh)*(Sens!$I$3022+Sens!$I$3038)</f>
        <v>16.1148644972155</v>
      </c>
      <c r="J3045" s="38" t="n">
        <f aca="false">(1-ext_sh)*(Sens!$J$3022+Sens!$J$3038)</f>
        <v>23.9410833819812</v>
      </c>
      <c r="K3045" s="38" t="n">
        <f aca="false">(1-ext_sh)*(Sens!$K$3022+Sens!$K$3038)</f>
        <v>31.6005331796453</v>
      </c>
      <c r="L3045" s="38" t="n">
        <f aca="false">(1-ext_sh)*(Sens!$L$3022+Sens!$L$3038)</f>
        <v>36.9061965404496</v>
      </c>
      <c r="M3045" s="38" t="n">
        <f aca="false">(1-ext_sh)*(Sens!$M$3022+Sens!$M$3038)</f>
        <v>40.1804051073808</v>
      </c>
      <c r="N3045" s="38" t="n">
        <f aca="false">(1-ext_sh)*(Sens!$N$3022+Sens!$N$3038)</f>
        <v>0.34177588266428</v>
      </c>
      <c r="O3045" s="38" t="n">
        <f aca="false">(1-ext_sh)*(Sens!$O$3022+Sens!$O$3038)</f>
        <v>0.486353955066162</v>
      </c>
    </row>
    <row r="3046" customFormat="false" ht="17.15" hidden="false" customHeight="false" outlineLevel="0" collapsed="false">
      <c r="A3046" s="0" t="s">
        <v>648</v>
      </c>
      <c r="B3046" s="0" t="s">
        <v>86</v>
      </c>
      <c r="C3046" s="38" t="n">
        <f aca="false">Q!$D$24</f>
        <v>39.834</v>
      </c>
      <c r="D3046" s="38" t="n">
        <f aca="false">Q!$E$24</f>
        <v>45.606</v>
      </c>
      <c r="E3046" s="38" t="n">
        <f aca="false">Q!$P$24</f>
        <v>30.782</v>
      </c>
      <c r="N3046" s="38" t="n">
        <f aca="false">Q!$N$24</f>
        <v>21.707</v>
      </c>
      <c r="O3046" s="38" t="n">
        <f aca="false">Q!$O$24</f>
        <v>23.899</v>
      </c>
    </row>
    <row r="3047" customFormat="false" ht="17.15" hidden="false" customHeight="false" outlineLevel="0" collapsed="false">
      <c r="A3047" s="0" t="s">
        <v>649</v>
      </c>
      <c r="B3047" s="0" t="s">
        <v>86</v>
      </c>
      <c r="C3047" s="38" t="n">
        <f aca="false">Sens!$C$3046-Sens!$C$3042</f>
        <v>38.1898211704631</v>
      </c>
      <c r="D3047" s="38" t="n">
        <f aca="false">Sens!$D$3046-Sens!$D$3042</f>
        <v>40.2147492622706</v>
      </c>
      <c r="E3047" s="38" t="n">
        <f aca="false">Sens!$E$3046-Sens!$E$3042</f>
        <v>27.5985138285251</v>
      </c>
      <c r="F3047" s="38" t="n">
        <f aca="false">Sens!$F$3024*Sens!$F$3048</f>
        <v>25.5484769754606</v>
      </c>
      <c r="G3047" s="38" t="n">
        <f aca="false">Sens!$E$3047+Sens!$F$3047</f>
        <v>53.1469908039857</v>
      </c>
      <c r="H3047" s="38" t="n">
        <f aca="false">Sens!$H$3024*Sens!$H$3048</f>
        <v>56.9369552288238</v>
      </c>
      <c r="I3047" s="38" t="n">
        <f aca="false">Sens!$I$3024*Sens!$I$3048</f>
        <v>62.3603945907592</v>
      </c>
      <c r="J3047" s="38" t="n">
        <f aca="false">Sens!$J$3024*Sens!$J$3048</f>
        <v>66.8894246936155</v>
      </c>
      <c r="K3047" s="38" t="n">
        <f aca="false">Sens!$K$3024*Sens!$K$3048</f>
        <v>70.2338959282962</v>
      </c>
      <c r="L3047" s="38" t="n">
        <f aca="false">Sens!$L$3024*Sens!$L$3048</f>
        <v>73.7455907247111</v>
      </c>
      <c r="M3047" s="38" t="n">
        <f aca="false">Sens!$M$3024*Sens!$M$3048</f>
        <v>77.4328702609466</v>
      </c>
      <c r="N3047" s="38" t="n">
        <f aca="false">Sens!$N$3046-Sens!$N$3042</f>
        <v>20.0277839996292</v>
      </c>
      <c r="O3047" s="38" t="n">
        <f aca="false">Sens!$O$3046-Sens!$O$3042</f>
        <v>20.1869652626414</v>
      </c>
      <c r="P3047" s="5" t="s">
        <v>650</v>
      </c>
    </row>
    <row r="3048" customFormat="false" ht="17.15" hidden="false" customHeight="false" outlineLevel="0" collapsed="false">
      <c r="A3048" s="0" t="s">
        <v>651</v>
      </c>
      <c r="B3048" s="0" t="s">
        <v>52</v>
      </c>
      <c r="C3048" s="13" t="n">
        <f aca="false">Sens!$C$3047/Sens!$C$3024</f>
        <v>0.362900395443635</v>
      </c>
      <c r="D3048" s="13" t="n">
        <f aca="false">Sens!$D$3047/Sens!$D$3024</f>
        <v>0.335063632425483</v>
      </c>
      <c r="E3048" s="13" t="n">
        <f aca="false">Sens!$E$3047/Sens!$E$3024</f>
        <v>0.387028992698038</v>
      </c>
      <c r="F3048" s="13" t="n">
        <f aca="false">(Sens!$O$3047+Sens!$E$3047)/(Sens!$O$3024+Sens!$E$3024)</f>
        <v>0.355980580118587</v>
      </c>
      <c r="G3048" s="13" t="n">
        <f aca="false">Sens!$G$3047/Sens!$G$3024</f>
        <v>0.371454804780916</v>
      </c>
      <c r="H3048" s="13" t="n">
        <f aca="false">Sens!$F$3048</f>
        <v>0.355980580118587</v>
      </c>
      <c r="I3048" s="13" t="n">
        <f aca="false">Sens!$F$3048</f>
        <v>0.355980580118587</v>
      </c>
      <c r="J3048" s="13" t="n">
        <f aca="false">Sens!$F$3048</f>
        <v>0.355980580118587</v>
      </c>
      <c r="K3048" s="13" t="n">
        <f aca="false">Sens!$F$3048</f>
        <v>0.355980580118587</v>
      </c>
      <c r="L3048" s="13" t="n">
        <f aca="false">Sens!$F$3048</f>
        <v>0.355980580118587</v>
      </c>
      <c r="M3048" s="13" t="n">
        <f aca="false">Sens!$F$3048</f>
        <v>0.355980580118587</v>
      </c>
      <c r="N3048" s="13" t="n">
        <f aca="false">Sens!$N$3047/Sens!$N$3024</f>
        <v>0.35078810535806</v>
      </c>
      <c r="O3048" s="13" t="n">
        <f aca="false">Sens!$O$3047/Sens!$O$3024</f>
        <v>0.320796939361619</v>
      </c>
      <c r="P3048" s="8" t="s">
        <v>652</v>
      </c>
    </row>
    <row r="3049" customFormat="false" ht="17.15" hidden="false" customHeight="false" outlineLevel="0" collapsed="false">
      <c r="A3049" s="0" t="s">
        <v>653</v>
      </c>
      <c r="B3049" s="0" t="s">
        <v>52</v>
      </c>
      <c r="D3049" s="13" t="n">
        <f aca="false">(Q!$E$31-ext_sh*Sens!$D$3038)/Sens!$D$3024</f>
        <v>0.167180325480118</v>
      </c>
    </row>
    <row r="3050" customFormat="false" ht="17.15" hidden="false" customHeight="false" outlineLevel="0" collapsed="false">
      <c r="A3050" s="0" t="s">
        <v>654</v>
      </c>
      <c r="B3050" s="0" t="s">
        <v>86</v>
      </c>
      <c r="C3050" s="38" t="n">
        <f aca="false">Q!$D$31</f>
        <v>13.32</v>
      </c>
      <c r="D3050" s="38" t="n">
        <f aca="false">Q!$E$31</f>
        <v>21.45</v>
      </c>
      <c r="E3050" s="38" t="n">
        <f aca="false">Q!$P$31</f>
        <v>15.353</v>
      </c>
      <c r="F3050" s="38" t="n">
        <f aca="false">ext_sh*Sens!$F$3038+Sens!$D$3049*Sens!$F$3024</f>
        <v>15.4404120185306</v>
      </c>
      <c r="G3050" s="38" t="n">
        <f aca="false">Sens!$E$3050+Sens!$F$3050</f>
        <v>30.7934120185306</v>
      </c>
      <c r="H3050" s="38" t="n">
        <f aca="false">ext_sh*Sens!$H$3038+Sens!$D$3049*Sens!$H$3024</f>
        <v>48.0707157385687</v>
      </c>
      <c r="I3050" s="38" t="n">
        <f aca="false">ext_sh*Sens!$I$3038+Sens!$D$3049*Sens!$I$3024</f>
        <v>72.7962444241714</v>
      </c>
      <c r="J3050" s="38" t="n">
        <f aca="false">ext_sh*Sens!$J$3038+Sens!$D$3049*Sens!$J$3024</f>
        <v>97.9117427561715</v>
      </c>
      <c r="K3050" s="38" t="n">
        <f aca="false">ext_sh*Sens!$K$3038+Sens!$D$3049*Sens!$K$3024</f>
        <v>123.022598349445</v>
      </c>
      <c r="L3050" s="38" t="n">
        <f aca="false">ext_sh*Sens!$L$3038+Sens!$D$3049*Sens!$L$3024</f>
        <v>141.229713765409</v>
      </c>
      <c r="M3050" s="38" t="n">
        <f aca="false">ext_sh*Sens!$M$3038+Sens!$D$3049*Sens!$M$3024</f>
        <v>153.828838612817</v>
      </c>
      <c r="N3050" s="38" t="n">
        <f aca="false">Q!$N$31</f>
        <v>9.234</v>
      </c>
      <c r="O3050" s="38" t="n">
        <f aca="false">Q!$O$31</f>
        <v>12.216</v>
      </c>
    </row>
    <row r="3051" customFormat="false" ht="17.15" hidden="false" customHeight="false" outlineLevel="0" collapsed="false">
      <c r="A3051" s="1" t="s">
        <v>655</v>
      </c>
    </row>
    <row r="3052" customFormat="false" ht="17.15" hidden="false" customHeight="false" outlineLevel="0" collapsed="false">
      <c r="A3052" s="15" t="s">
        <v>656</v>
      </c>
      <c r="B3052" s="14" t="s">
        <v>52</v>
      </c>
      <c r="C3052" s="14"/>
      <c r="D3052" s="14"/>
      <c r="E3052" s="14"/>
      <c r="F3052" s="14"/>
      <c r="G3052" s="17" t="n">
        <f aca="false">Sens!$G$3042*(1-tax)/(ext_sh*(Sens!$D$3039+Sens!$G$3039)/2)</f>
        <v>0.0966870495301478</v>
      </c>
      <c r="H3052" s="17" t="n">
        <f aca="false">Sens!$H$3042*(1-tax)/(ext_sh*(Sens!$G$3039+Sens!$H$3039)/2)</f>
        <v>0.100492020334136</v>
      </c>
      <c r="I3052" s="17" t="n">
        <f aca="false">Sens!$I$3042*(1-tax)/(ext_sh*(Sens!$H$3039+Sens!$I$3039)/2)</f>
        <v>0.0889392292218236</v>
      </c>
      <c r="J3052" s="17" t="n">
        <f aca="false">Sens!$J$3042*(1-tax)/(ext_sh*(Sens!$I$3039+Sens!$J$3039)/2)</f>
        <v>0.0858364613777012</v>
      </c>
      <c r="K3052" s="17" t="n">
        <f aca="false">Sens!$K$3042*(1-tax)/(ext_sh*(Sens!$J$3039+Sens!$K$3039)/2)</f>
        <v>0.08227162714687</v>
      </c>
      <c r="L3052" s="17" t="n">
        <f aca="false">Sens!$L$3042*(1-tax)/(ext_sh*(Sens!$K$3039+Sens!$L$3039)/2)</f>
        <v>0.0828942732763872</v>
      </c>
      <c r="M3052" s="17" t="n">
        <f aca="false">Sens!$M$3042*(1-tax)/(ext_sh*(Sens!$L$3039+Sens!$M$3039)/2)</f>
        <v>0.0807945482347635</v>
      </c>
      <c r="N3052" s="14"/>
      <c r="O3052" s="14"/>
      <c r="P3052" s="8" t="s">
        <v>657</v>
      </c>
    </row>
    <row r="3053" customFormat="false" ht="17.15" hidden="false" customHeight="false" outlineLevel="0" collapsed="false">
      <c r="A3053" s="5" t="s">
        <v>658</v>
      </c>
      <c r="B3053" s="0" t="s">
        <v>57</v>
      </c>
      <c r="H3053" s="36" t="n">
        <f aca="false">Sens!$H$3020*1000/(mw_open*he_open+Sens!$H$3018*Sens!$H$3015)</f>
        <v>0.991949006767191</v>
      </c>
      <c r="I3053" s="36" t="n">
        <f aca="false">Sens!$I$3020*1000/(mw_open*he_open+Sens!$I$3018*Sens!$I$3015)</f>
        <v>0.991949006767191</v>
      </c>
      <c r="J3053" s="36" t="n">
        <f aca="false">Sens!$J$3020*1000/(mw_open*he_open+Sens!$J$3018*Sens!$J$3015)</f>
        <v>0.991949006767191</v>
      </c>
      <c r="K3053" s="36" t="n">
        <f aca="false">Sens!$K$3020*1000/(mw_open*he_open+Sens!$K$3018*Sens!$K$3015)</f>
        <v>0.991949006767191</v>
      </c>
      <c r="L3053" s="36" t="n">
        <f aca="false">Sens!$L$3020*1000/(mw_open*he_open+Sens!$L$3018*Sens!$L$3015)</f>
        <v>0.991949006767191</v>
      </c>
      <c r="M3053" s="36" t="n">
        <f aca="false">Sens!$M$3020*1000/(mw_open*he_open+Sens!$M$3018*Sens!$M$3015)</f>
        <v>0.991949006767191</v>
      </c>
    </row>
    <row r="3054" customFormat="false" ht="17.15" hidden="false" customHeight="false" outlineLevel="0" collapsed="false">
      <c r="A3054" s="5" t="s">
        <v>659</v>
      </c>
      <c r="B3054" s="0" t="s">
        <v>57</v>
      </c>
      <c r="H3054" s="36" t="n">
        <f aca="false">Sens!$H$3053*(Sens!$H$3020+wacc*ext_sh*(Sens!$G$3039+Sens!$H$3039)/2/(1-tax)-Sens!$H$3042)/Sens!$H$3020</f>
        <v>1.04696246089529</v>
      </c>
      <c r="I3054" s="36" t="n">
        <f aca="false">Sens!$I$3053*(Sens!$I$3020+wacc*ext_sh*(Sens!$H$3039+Sens!$I$3039)/2/(1-tax)-Sens!$I$3042)/Sens!$I$3020</f>
        <v>1.09109607940198</v>
      </c>
      <c r="J3054" s="36" t="n">
        <f aca="false">Sens!$J$3053*(Sens!$J$3020+wacc*ext_sh*(Sens!$I$3039+Sens!$J$3039)/2/(1-tax)-Sens!$J$3042)/Sens!$J$3020</f>
        <v>1.09681234280071</v>
      </c>
      <c r="K3054" s="36" t="n">
        <f aca="false">Sens!$K$3053*(Sens!$K$3020+wacc*ext_sh*(Sens!$J$3039+Sens!$K$3039)/2/(1-tax)-Sens!$K$3042)/Sens!$K$3020</f>
        <v>1.10105220068984</v>
      </c>
      <c r="L3054" s="36" t="n">
        <f aca="false">Sens!$L$3053*(Sens!$L$3020+wacc*ext_sh*(Sens!$K$3039+Sens!$L$3039)/2/(1-tax)-Sens!$L$3042)/Sens!$L$3020</f>
        <v>1.08952452639895</v>
      </c>
      <c r="M3054" s="36" t="n">
        <f aca="false">Sens!$M$3053*(Sens!$M$3020+wacc*ext_sh*(Sens!$L$3039+Sens!$M$3039)/2/(1-tax)-Sens!$M$3042)/Sens!$M$3020</f>
        <v>1.08965878549519</v>
      </c>
    </row>
    <row r="3055" customFormat="false" ht="17.15" hidden="false" customHeight="false" outlineLevel="0" collapsed="false">
      <c r="A3055" s="5" t="s">
        <v>660</v>
      </c>
      <c r="B3055" s="0" t="s">
        <v>52</v>
      </c>
      <c r="C3055" s="13" t="n">
        <f aca="false">Sens!$C$3021/tk_pq</f>
        <v>0.195316432429398</v>
      </c>
      <c r="D3055" s="13" t="n">
        <f aca="false">Sens!$D$3021/tk_pq</f>
        <v>0.195316432429398</v>
      </c>
      <c r="E3055" s="13" t="n">
        <f aca="false">Sens!$E$3021/tk_pq</f>
        <v>0.195316432429398</v>
      </c>
      <c r="F3055" s="13" t="n">
        <f aca="false">Sens!$F$3021/tk_pq</f>
        <v>0.202241827274866</v>
      </c>
      <c r="G3055" s="13" t="n">
        <f aca="false">Sens!$G$3021/tk_pq</f>
        <v>0.199675016194063</v>
      </c>
      <c r="H3055" s="13" t="n">
        <f aca="false">Sens!$H$3021/tk_pq</f>
        <v>0.212647947710325</v>
      </c>
      <c r="I3055" s="13" t="n">
        <f aca="false">Sens!$I$3021/tk_pq</f>
        <v>0.219285125475351</v>
      </c>
      <c r="J3055" s="13" t="n">
        <f aca="false">Sens!$J$3021/tk_pq</f>
        <v>0.222492493217189</v>
      </c>
      <c r="K3055" s="13" t="n">
        <f aca="false">Sens!$K$3021/tk_pq</f>
        <v>0.224053502812094</v>
      </c>
      <c r="L3055" s="13" t="n">
        <f aca="false">Sens!$L$3021/tk_pq</f>
        <v>0.224786916785614</v>
      </c>
      <c r="M3055" s="13" t="n">
        <f aca="false">Sens!$M$3021/tk_pq</f>
        <v>0.225048671566937</v>
      </c>
      <c r="N3055" s="13" t="n">
        <f aca="false">Sens!$N$3021/tk_pq</f>
        <v>0.195316432429398</v>
      </c>
      <c r="O3055" s="13" t="n">
        <f aca="false">Sens!$O$3021/tk_pq</f>
        <v>0.195316432429398</v>
      </c>
      <c r="P3055" s="5" t="s">
        <v>661</v>
      </c>
    </row>
    <row r="3058" customFormat="false" ht="17.15" hidden="false" customHeight="false" outlineLevel="0" collapsed="false">
      <c r="A3058" s="1" t="s">
        <v>690</v>
      </c>
    </row>
    <row r="3059" customFormat="false" ht="17.15" hidden="false" customHeight="false" outlineLevel="0" collapsed="false">
      <c r="A3059" s="0" t="s">
        <v>691</v>
      </c>
      <c r="B3059" s="0" t="s">
        <v>86</v>
      </c>
      <c r="C3059" s="38" t="n">
        <f aca="false">Sens!$C$3020</f>
        <v>2.32100535697364</v>
      </c>
      <c r="D3059" s="38" t="n">
        <f aca="false">Sens!$D$3020</f>
        <v>8.70377008865116</v>
      </c>
      <c r="E3059" s="38" t="n">
        <f aca="false">Sens!$E$3020</f>
        <v>8.51035297557002</v>
      </c>
      <c r="F3059" s="38" t="n">
        <f aca="false">Sens!$F$3020</f>
        <v>14.9634336447205</v>
      </c>
      <c r="G3059" s="38" t="n">
        <f aca="false">Sens!$G$3020</f>
        <v>23.4737866202905</v>
      </c>
      <c r="H3059" s="38" t="n">
        <f aca="false">Sens!$H$3020</f>
        <v>60.1658907497746</v>
      </c>
      <c r="I3059" s="38" t="n">
        <f aca="false">Sens!$I$3020</f>
        <v>101.503699136432</v>
      </c>
      <c r="J3059" s="38" t="n">
        <f aca="false">Sens!$J$3020</f>
        <v>143.025407151278</v>
      </c>
      <c r="K3059" s="38" t="n">
        <f aca="false">Sens!$K$3020</f>
        <v>178.44812038318</v>
      </c>
      <c r="L3059" s="38" t="n">
        <f aca="false">Sens!$L$3020</f>
        <v>201.728101802396</v>
      </c>
      <c r="M3059" s="38" t="n">
        <f aca="false">Sens!$M$3020</f>
        <v>212.835441368865</v>
      </c>
      <c r="N3059" s="38" t="n">
        <f aca="false">Sens!$N$3020</f>
        <v>3.04631953102791</v>
      </c>
      <c r="O3059" s="38" t="n">
        <f aca="false">Sens!$O$3020</f>
        <v>5.65745055762326</v>
      </c>
      <c r="P3059" s="8" t="s">
        <v>692</v>
      </c>
    </row>
    <row r="3060" customFormat="false" ht="17.15" hidden="false" customHeight="false" outlineLevel="0" collapsed="false">
      <c r="A3060" s="0" t="s">
        <v>693</v>
      </c>
      <c r="B3060" s="0" t="s">
        <v>86</v>
      </c>
      <c r="C3060" s="38" t="n">
        <f aca="false">Sens!$C$3024</f>
        <v>105.234994643026</v>
      </c>
      <c r="D3060" s="38" t="n">
        <f aca="false">Sens!$D$3024</f>
        <v>120.021229911349</v>
      </c>
      <c r="E3060" s="38" t="n">
        <f aca="false">Sens!$E$3024</f>
        <v>71.30864702443</v>
      </c>
      <c r="F3060" s="38" t="n">
        <f aca="false">Sens!$F$3024</f>
        <v>71.7692997942464</v>
      </c>
      <c r="G3060" s="38" t="n">
        <f aca="false">Sens!$G$3024</f>
        <v>143.077946818676</v>
      </c>
      <c r="H3060" s="38" t="n">
        <f aca="false">Sens!$H$3024</f>
        <v>159.943992478063</v>
      </c>
      <c r="I3060" s="38" t="n">
        <f aca="false">Sens!$I$3024</f>
        <v>175.17920379248</v>
      </c>
      <c r="J3060" s="38" t="n">
        <f aca="false">Sens!$J$3024</f>
        <v>187.901892489002</v>
      </c>
      <c r="K3060" s="38" t="n">
        <f aca="false">Sens!$K$3024</f>
        <v>197.296987113453</v>
      </c>
      <c r="L3060" s="38" t="n">
        <f aca="false">Sens!$L$3024</f>
        <v>207.161836469125</v>
      </c>
      <c r="M3060" s="38" t="n">
        <f aca="false">Sens!$M$3024</f>
        <v>217.519928292582</v>
      </c>
      <c r="N3060" s="38" t="n">
        <f aca="false">Sens!$N$3024</f>
        <v>57.0936804689721</v>
      </c>
      <c r="O3060" s="38" t="n">
        <f aca="false">Sens!$O$3024</f>
        <v>62.9275494423768</v>
      </c>
      <c r="P3060" s="8" t="s">
        <v>692</v>
      </c>
    </row>
    <row r="3061" customFormat="false" ht="17.15" hidden="false" customHeight="false" outlineLevel="0" collapsed="false">
      <c r="A3061" s="1" t="s">
        <v>516</v>
      </c>
      <c r="B3061" s="8" t="s">
        <v>86</v>
      </c>
      <c r="C3061" s="38" t="n">
        <f aca="false">Q!$D$7</f>
        <v>107.556</v>
      </c>
      <c r="D3061" s="38" t="n">
        <f aca="false">Q!$E$7</f>
        <v>128.725</v>
      </c>
      <c r="E3061" s="38" t="n">
        <f aca="false">Q!$P$7</f>
        <v>79.819</v>
      </c>
      <c r="F3061" s="38" t="n">
        <f aca="false">Sens!$F$3059+Sens!$F$3060</f>
        <v>86.7327334389669</v>
      </c>
      <c r="G3061" s="38" t="n">
        <f aca="false">Sens!$G$3059+Sens!$G$3060</f>
        <v>166.551733438967</v>
      </c>
      <c r="H3061" s="38" t="n">
        <f aca="false">Sens!$H$3059+Sens!$H$3060</f>
        <v>220.109883227838</v>
      </c>
      <c r="I3061" s="38" t="n">
        <f aca="false">Sens!$I$3059+Sens!$I$3060</f>
        <v>276.682902928912</v>
      </c>
      <c r="J3061" s="38" t="n">
        <f aca="false">Sens!$J$3059+Sens!$J$3060</f>
        <v>330.927299640281</v>
      </c>
      <c r="K3061" s="38" t="n">
        <f aca="false">Sens!$K$3059+Sens!$K$3060</f>
        <v>375.745107496632</v>
      </c>
      <c r="L3061" s="38" t="n">
        <f aca="false">Sens!$L$3059+Sens!$L$3060</f>
        <v>408.889938271522</v>
      </c>
      <c r="M3061" s="38" t="n">
        <f aca="false">Sens!$M$3059+Sens!$M$3060</f>
        <v>430.355369661447</v>
      </c>
      <c r="N3061" s="38" t="n">
        <f aca="false">Q!$N$7</f>
        <v>60.14</v>
      </c>
      <c r="O3061" s="38" t="n">
        <f aca="false">Q!$O$7</f>
        <v>68.585</v>
      </c>
      <c r="P3061" s="5" t="s">
        <v>694</v>
      </c>
    </row>
    <row r="3062" customFormat="false" ht="15" hidden="false" customHeight="false" outlineLevel="0" collapsed="false">
      <c r="A3062" s="3" t="s">
        <v>695</v>
      </c>
      <c r="B3062" s="8" t="s">
        <v>86</v>
      </c>
      <c r="C3062" s="38" t="n">
        <f aca="false">Q!$D$8</f>
        <v>637.959</v>
      </c>
      <c r="D3062" s="38" t="n">
        <f aca="false">Q!$E$8</f>
        <v>716.924</v>
      </c>
      <c r="E3062" s="38" t="n">
        <f aca="false">Q!$P$8</f>
        <v>382.125</v>
      </c>
      <c r="F3062" s="38" t="n">
        <f aca="false">Sens!$F$2992+Sens!$F$3061</f>
        <v>435.780975084504</v>
      </c>
      <c r="G3062" s="38" t="n">
        <f aca="false">Sens!$G$2992+Sens!$G$3061</f>
        <v>817.905975084504</v>
      </c>
      <c r="H3062" s="38" t="n">
        <f aca="false">Sens!$H$2992+Sens!$H$3061</f>
        <v>941.206772749224</v>
      </c>
      <c r="I3062" s="38" t="n">
        <f aca="false">Sens!$I$2992+Sens!$I$3061</f>
        <v>1065.21229408144</v>
      </c>
      <c r="J3062" s="38" t="n">
        <f aca="false">Sens!$J$2992+Sens!$J$3061</f>
        <v>1182.03570538172</v>
      </c>
      <c r="K3062" s="38" t="n">
        <f aca="false">Sens!$K$2992+Sens!$K$3061</f>
        <v>1281.92156292772</v>
      </c>
      <c r="L3062" s="38" t="n">
        <f aca="false">Sens!$L$2992+Sens!$L$3061</f>
        <v>1373.98304474711</v>
      </c>
      <c r="M3062" s="38" t="n">
        <f aca="false">Sens!$M$2992+Sens!$M$3061</f>
        <v>1458.50327760833</v>
      </c>
      <c r="N3062" s="38" t="n">
        <f aca="false">Q!$N$8</f>
        <v>323.369</v>
      </c>
      <c r="O3062" s="38" t="n">
        <f aca="false">Q!$O$8</f>
        <v>393.555</v>
      </c>
    </row>
    <row r="3063" customFormat="false" ht="17.15" hidden="false" customHeight="false" outlineLevel="0" collapsed="false">
      <c r="A3063" s="24" t="s">
        <v>703</v>
      </c>
      <c r="B3063" s="25" t="s">
        <v>86</v>
      </c>
      <c r="C3063" s="41" t="n">
        <f aca="false">Sens!$C$2992-(Sens!$C$2994+Sens!$C$2995)</f>
        <v>0</v>
      </c>
      <c r="D3063" s="41" t="n">
        <f aca="false">Sens!$D$2992-(Sens!$D$2994+Sens!$D$2995)</f>
        <v>0</v>
      </c>
      <c r="E3063" s="41" t="n">
        <f aca="false">Sens!$E$2992-(Sens!$E$2994+Sens!$E$2995)</f>
        <v>0</v>
      </c>
      <c r="F3063" s="41" t="n">
        <f aca="false">Sens!$F$2992-(Sens!$F$2994+Sens!$F$2995)</f>
        <v>0</v>
      </c>
      <c r="G3063" s="41" t="n">
        <f aca="false">Sens!$G$2992-(Sens!$G$2994+Sens!$G$2995)</f>
        <v>0</v>
      </c>
      <c r="H3063" s="41" t="n">
        <f aca="false">Sens!$H$2992-(Sens!$H$2994+Sens!$H$2995)</f>
        <v>0</v>
      </c>
      <c r="I3063" s="41" t="n">
        <f aca="false">Sens!$I$2992-(Sens!$I$2994+Sens!$I$2995)</f>
        <v>0</v>
      </c>
      <c r="J3063" s="41" t="n">
        <f aca="false">Sens!$J$2992-(Sens!$J$2994+Sens!$J$2995)</f>
        <v>0</v>
      </c>
      <c r="K3063" s="41" t="n">
        <f aca="false">Sens!$K$2992-(Sens!$K$2994+Sens!$K$2995)</f>
        <v>0</v>
      </c>
      <c r="L3063" s="41" t="n">
        <f aca="false">Sens!$L$2992-(Sens!$L$2994+Sens!$L$2995)</f>
        <v>0</v>
      </c>
      <c r="M3063" s="41" t="n">
        <f aca="false">Sens!$M$2992-(Sens!$M$2994+Sens!$M$2995)</f>
        <v>0</v>
      </c>
      <c r="N3063" s="41" t="n">
        <f aca="false">Sens!$N$2992-(Sens!$N$2994+Sens!$N$2995)</f>
        <v>0</v>
      </c>
      <c r="O3063" s="41" t="n">
        <f aca="false">Sens!$O$2992-(Sens!$O$2994+Sens!$O$2995)</f>
        <v>0</v>
      </c>
    </row>
    <row r="3064" customFormat="false" ht="17.15" hidden="false" customHeight="false" outlineLevel="0" collapsed="false">
      <c r="A3064" s="24" t="s">
        <v>704</v>
      </c>
      <c r="B3064" s="25" t="s">
        <v>86</v>
      </c>
      <c r="C3064" s="41" t="n">
        <f aca="false">Sens!$C$3059+Sens!$C$3060-Sens!$C$3061</f>
        <v>0</v>
      </c>
      <c r="D3064" s="41" t="n">
        <f aca="false">Sens!$D$3059+Sens!$D$3060-Sens!$D$3061</f>
        <v>0</v>
      </c>
      <c r="E3064" s="41" t="n">
        <f aca="false">Sens!$E$3059+Sens!$E$3060-Sens!$E$3061</f>
        <v>0</v>
      </c>
      <c r="F3064" s="41" t="n">
        <f aca="false">Sens!$F$3059+Sens!$F$3060-Sens!$F$3061</f>
        <v>0</v>
      </c>
      <c r="G3064" s="41" t="n">
        <f aca="false">Sens!$G$3059+Sens!$G$3060-Sens!$G$3061</f>
        <v>0</v>
      </c>
      <c r="H3064" s="41" t="n">
        <f aca="false">Sens!$H$3059+Sens!$H$3060-Sens!$H$3061</f>
        <v>0</v>
      </c>
      <c r="I3064" s="41" t="n">
        <f aca="false">Sens!$I$3059+Sens!$I$3060-Sens!$I$3061</f>
        <v>0</v>
      </c>
      <c r="J3064" s="41" t="n">
        <f aca="false">Sens!$J$3059+Sens!$J$3060-Sens!$J$3061</f>
        <v>0</v>
      </c>
      <c r="K3064" s="41" t="n">
        <f aca="false">Sens!$K$3059+Sens!$K$3060-Sens!$K$3061</f>
        <v>0</v>
      </c>
      <c r="L3064" s="41" t="n">
        <f aca="false">Sens!$L$3059+Sens!$L$3060-Sens!$L$3061</f>
        <v>0</v>
      </c>
      <c r="M3064" s="41" t="n">
        <f aca="false">Sens!$M$3059+Sens!$M$3060-Sens!$M$3061</f>
        <v>0</v>
      </c>
      <c r="N3064" s="41" t="n">
        <f aca="false">Sens!$N$3059+Sens!$N$3060-Sens!$N$3061</f>
        <v>0</v>
      </c>
      <c r="O3064" s="41" t="n">
        <f aca="false">Sens!$O$3059+Sens!$O$3060-Sens!$O$3061</f>
        <v>0</v>
      </c>
    </row>
    <row r="3065" customFormat="false" ht="17.15" hidden="false" customHeight="false" outlineLevel="0" collapsed="false">
      <c r="A3065" s="24" t="s">
        <v>705</v>
      </c>
      <c r="B3065" s="25" t="s">
        <v>86</v>
      </c>
      <c r="C3065" s="41" t="n">
        <f aca="false">Sens!$C$2994+Sens!$C$2995+Sens!$C$3061-Sens!$C$3062</f>
        <v>0</v>
      </c>
      <c r="D3065" s="41" t="n">
        <f aca="false">Sens!$D$2994+Sens!$D$2995+Sens!$D$3061-Sens!$D$3062</f>
        <v>0</v>
      </c>
      <c r="E3065" s="41" t="n">
        <f aca="false">Sens!$E$2994+Sens!$E$2995+Sens!$E$3061-Sens!$E$3062</f>
        <v>0</v>
      </c>
      <c r="F3065" s="41" t="n">
        <f aca="false">Sens!$F$2994+Sens!$F$2995+Sens!$F$3061-Sens!$F$3062</f>
        <v>0</v>
      </c>
      <c r="G3065" s="41" t="n">
        <f aca="false">Sens!$G$2994+Sens!$G$2995+Sens!$G$3061-Sens!$G$3062</f>
        <v>0</v>
      </c>
      <c r="H3065" s="41" t="n">
        <f aca="false">Sens!$H$2994+Sens!$H$2995+Sens!$H$3061-Sens!$H$3062</f>
        <v>0</v>
      </c>
      <c r="I3065" s="41" t="n">
        <f aca="false">Sens!$I$2994+Sens!$I$2995+Sens!$I$3061-Sens!$I$3062</f>
        <v>0</v>
      </c>
      <c r="J3065" s="41" t="n">
        <f aca="false">Sens!$J$2994+Sens!$J$2995+Sens!$J$3061-Sens!$J$3062</f>
        <v>0</v>
      </c>
      <c r="K3065" s="41" t="n">
        <f aca="false">Sens!$K$2994+Sens!$K$2995+Sens!$K$3061-Sens!$K$3062</f>
        <v>0</v>
      </c>
      <c r="L3065" s="41" t="n">
        <f aca="false">Sens!$L$2994+Sens!$L$2995+Sens!$L$3061-Sens!$L$3062</f>
        <v>0</v>
      </c>
      <c r="M3065" s="41" t="n">
        <f aca="false">Sens!$M$2994+Sens!$M$2995+Sens!$M$3061-Sens!$M$3062</f>
        <v>0</v>
      </c>
      <c r="N3065" s="41" t="n">
        <f aca="false">Sens!$N$2994+Sens!$N$2995+Sens!$N$3061-Sens!$N$3062</f>
        <v>0</v>
      </c>
      <c r="O3065" s="41" t="n">
        <f aca="false">Sens!$O$2994+Sens!$O$2995+Sens!$O$3061-Sens!$O$3062</f>
        <v>0</v>
      </c>
    </row>
    <row r="3066" customFormat="false" ht="15" hidden="false" customHeight="false" outlineLevel="0" collapsed="false">
      <c r="A3066" s="5" t="s">
        <v>699</v>
      </c>
      <c r="B3066" s="0" t="s">
        <v>52</v>
      </c>
      <c r="G3066" s="13" t="n">
        <f aca="false">Sens!$G$3062/Sens!$D$3062-1</f>
        <v>0.140854504918937</v>
      </c>
      <c r="H3066" s="13" t="n">
        <f aca="false">Sens!$H$3062/Sens!$G$3062-1</f>
        <v>0.150751799620953</v>
      </c>
      <c r="I3066" s="13" t="n">
        <f aca="false">Sens!$I$3062/Sens!$H$3062-1</f>
        <v>0.131751624534113</v>
      </c>
      <c r="J3066" s="13" t="n">
        <f aca="false">Sens!$J$3062/Sens!$I$3062-1</f>
        <v>0.109671482341479</v>
      </c>
      <c r="K3066" s="13" t="n">
        <f aca="false">Sens!$K$3062/Sens!$J$3062-1</f>
        <v>0.0845032490061204</v>
      </c>
      <c r="L3066" s="13" t="n">
        <f aca="false">Sens!$L$3062/Sens!$K$3062-1</f>
        <v>0.071815222149112</v>
      </c>
      <c r="M3066" s="13" t="n">
        <f aca="false">Sens!$M$3062/Sens!$L$3062-1</f>
        <v>0.061514756811849</v>
      </c>
    </row>
    <row r="3067" customFormat="false" ht="17.15" hidden="false" customHeight="false" outlineLevel="0" collapsed="false">
      <c r="A3067" s="0" t="s">
        <v>700</v>
      </c>
      <c r="B3067" s="0" t="s">
        <v>52</v>
      </c>
      <c r="C3067" s="13" t="n">
        <f aca="false">Sens!$C$3061/Sens!$C$3062</f>
        <v>0.168593906504964</v>
      </c>
      <c r="D3067" s="13" t="n">
        <f aca="false">Sens!$D$3061/Sens!$D$3062</f>
        <v>0.179551807444025</v>
      </c>
      <c r="E3067" s="13" t="n">
        <f aca="false">Sens!$E$3061/Sens!$E$3062</f>
        <v>0.208881910369643</v>
      </c>
      <c r="F3067" s="13" t="n">
        <f aca="false">Sens!$F$3061/Sens!$F$3062</f>
        <v>0.199028269699356</v>
      </c>
      <c r="G3067" s="13" t="n">
        <f aca="false">Sens!$G$3061/Sens!$G$3062</f>
        <v>0.203631882529968</v>
      </c>
      <c r="H3067" s="13" t="n">
        <f aca="false">Sens!$H$3061/Sens!$H$3062</f>
        <v>0.23385922158731</v>
      </c>
      <c r="I3067" s="13" t="n">
        <f aca="false">Sens!$I$3061/Sens!$I$3062</f>
        <v>0.259744376277127</v>
      </c>
      <c r="J3067" s="13" t="n">
        <f aca="false">Sens!$J$3061/Sens!$J$3062</f>
        <v>0.279963877684568</v>
      </c>
      <c r="K3067" s="13" t="n">
        <f aca="false">Sens!$K$3061/Sens!$K$3062</f>
        <v>0.293110841070873</v>
      </c>
      <c r="L3067" s="13" t="n">
        <f aca="false">Sens!$L$3061/Sens!$L$3062</f>
        <v>0.297594602666134</v>
      </c>
      <c r="M3067" s="13" t="n">
        <f aca="false">Sens!$M$3061/Sens!$M$3062</f>
        <v>0.295066439869197</v>
      </c>
      <c r="N3067" s="13" t="n">
        <f aca="false">Sens!$N$3061/Sens!$N$3062</f>
        <v>0.185979484737251</v>
      </c>
      <c r="O3067" s="13" t="n">
        <f aca="false">Sens!$O$3061/Sens!$O$3062</f>
        <v>0.174270432341096</v>
      </c>
    </row>
    <row r="3068" customFormat="false" ht="17.15" hidden="false" customHeight="false" outlineLevel="0" collapsed="false">
      <c r="A3068" s="0" t="s">
        <v>701</v>
      </c>
      <c r="B3068" s="0" t="s">
        <v>52</v>
      </c>
      <c r="C3068" s="13" t="n">
        <f aca="false">Sens!$C$3059/Sens!$C$3061</f>
        <v>0.0215795060896058</v>
      </c>
      <c r="D3068" s="13" t="n">
        <f aca="false">Sens!$D$3059/Sens!$D$3061</f>
        <v>0.0676152269462122</v>
      </c>
      <c r="E3068" s="13" t="n">
        <f aca="false">Sens!$E$3059/Sens!$E$3061</f>
        <v>0.106620641395783</v>
      </c>
      <c r="F3068" s="13" t="n">
        <f aca="false">Sens!$F$3059/Sens!$F$3061</f>
        <v>0.172523487401099</v>
      </c>
      <c r="G3068" s="13" t="n">
        <f aca="false">Sens!$G$3059/Sens!$G$3061</f>
        <v>0.140939911795589</v>
      </c>
      <c r="H3068" s="13" t="n">
        <f aca="false">Sens!$H$3059/Sens!$H$3061</f>
        <v>0.273344794279393</v>
      </c>
      <c r="I3068" s="13" t="n">
        <f aca="false">Sens!$I$3059/Sens!$I$3061</f>
        <v>0.36685931100886</v>
      </c>
      <c r="J3068" s="13" t="n">
        <f aca="false">Sens!$J$3059/Sens!$J$3061</f>
        <v>0.432195854819918</v>
      </c>
      <c r="K3068" s="13" t="n">
        <f aca="false">Sens!$K$3059/Sens!$K$3061</f>
        <v>0.474918014427584</v>
      </c>
      <c r="L3068" s="13" t="n">
        <f aca="false">Sens!$L$3059/Sens!$L$3061</f>
        <v>0.493355504552523</v>
      </c>
      <c r="M3068" s="13" t="n">
        <f aca="false">Sens!$M$3059/Sens!$M$3061</f>
        <v>0.494557420153254</v>
      </c>
      <c r="N3068" s="13" t="n">
        <f aca="false">Sens!$N$3059/Sens!$N$3061</f>
        <v>0.0506537999838362</v>
      </c>
      <c r="O3068" s="13" t="n">
        <f aca="false">Sens!$O$3059/Sens!$O$3061</f>
        <v>0.0824881615167056</v>
      </c>
    </row>
    <row r="3071" customFormat="false" ht="19.4" hidden="false" customHeight="false" outlineLevel="0" collapsed="false">
      <c r="A3071" s="31" t="s">
        <v>1197</v>
      </c>
    </row>
    <row r="3072" customFormat="false" ht="17.15" hidden="false" customHeight="false" outlineLevel="0" collapsed="false">
      <c r="A3072" s="6" t="s">
        <v>16</v>
      </c>
      <c r="B3072" s="6" t="s">
        <v>17</v>
      </c>
      <c r="C3072" s="20" t="s">
        <v>497</v>
      </c>
      <c r="D3072" s="20" t="s">
        <v>498</v>
      </c>
      <c r="E3072" s="20" t="s">
        <v>580</v>
      </c>
      <c r="F3072" s="20" t="s">
        <v>581</v>
      </c>
      <c r="G3072" s="20" t="s">
        <v>582</v>
      </c>
      <c r="H3072" s="20" t="s">
        <v>583</v>
      </c>
      <c r="I3072" s="20" t="s">
        <v>584</v>
      </c>
      <c r="J3072" s="20" t="s">
        <v>585</v>
      </c>
      <c r="K3072" s="20" t="s">
        <v>586</v>
      </c>
      <c r="L3072" s="20" t="s">
        <v>587</v>
      </c>
      <c r="M3072" s="20" t="s">
        <v>588</v>
      </c>
      <c r="N3072" s="20" t="s">
        <v>589</v>
      </c>
      <c r="O3072" s="20" t="s">
        <v>590</v>
      </c>
      <c r="P3072" s="6" t="s">
        <v>23</v>
      </c>
      <c r="R3072" s="20" t="n">
        <v>2023</v>
      </c>
      <c r="S3072" s="20" t="n">
        <v>2024</v>
      </c>
      <c r="T3072" s="20" t="n">
        <v>2025</v>
      </c>
      <c r="U3072" s="20" t="n">
        <v>2026</v>
      </c>
      <c r="V3072" s="20" t="n">
        <v>2027</v>
      </c>
      <c r="W3072" s="20" t="n">
        <v>2028</v>
      </c>
      <c r="X3072" s="20" t="n">
        <v>2029</v>
      </c>
      <c r="Y3072" s="20" t="n">
        <v>2030</v>
      </c>
      <c r="Z3072" s="20" t="n">
        <v>2031</v>
      </c>
      <c r="AA3072" s="20" t="n">
        <v>2032</v>
      </c>
    </row>
    <row r="3073" customFormat="false" ht="17.15" hidden="false" customHeight="false" outlineLevel="0" collapsed="false">
      <c r="A3073" s="1" t="s">
        <v>716</v>
      </c>
    </row>
    <row r="3074" customFormat="false" ht="15" hidden="false" customHeight="false" outlineLevel="0" collapsed="false">
      <c r="A3074" s="0" t="s">
        <v>519</v>
      </c>
      <c r="B3074" s="0" t="s">
        <v>86</v>
      </c>
      <c r="C3074" s="38" t="n">
        <f aca="false">Sens!$C$2979</f>
        <v>247.029</v>
      </c>
      <c r="D3074" s="38" t="n">
        <f aca="false">Sens!$D$2979</f>
        <v>269.287</v>
      </c>
      <c r="E3074" s="38" t="n">
        <f aca="false">Sens!$E$2979</f>
        <v>134.686</v>
      </c>
      <c r="F3074" s="38" t="n">
        <f aca="false">Sens!$F$2979</f>
        <v>158.293876822267</v>
      </c>
      <c r="G3074" s="38" t="n">
        <f aca="false">Sens!$G$2979</f>
        <v>292.979876822267</v>
      </c>
      <c r="H3074" s="38" t="n">
        <f aca="false">Sens!$H$2979</f>
        <v>318.184543087396</v>
      </c>
      <c r="I3074" s="38" t="n">
        <f aca="false">Sens!$I$2979</f>
        <v>341.736278761793</v>
      </c>
      <c r="J3074" s="38" t="n">
        <f aca="false">Sens!$J$2979</f>
        <v>362.927192787048</v>
      </c>
      <c r="K3074" s="38" t="n">
        <f aca="false">Sens!$K$2979</f>
        <v>381.0735524264</v>
      </c>
      <c r="L3074" s="38" t="n">
        <f aca="false">Sens!$L$2979</f>
        <v>400.12723004772</v>
      </c>
      <c r="M3074" s="38" t="n">
        <f aca="false">Sens!$M$2979</f>
        <v>420.133591550106</v>
      </c>
      <c r="N3074" s="38" t="n">
        <f aca="false">Sens!$N$2979</f>
        <v>118.892</v>
      </c>
      <c r="O3074" s="38" t="n">
        <f aca="false">Sens!$O$2979</f>
        <v>150.395</v>
      </c>
    </row>
    <row r="3075" customFormat="false" ht="15" hidden="false" customHeight="false" outlineLevel="0" collapsed="false">
      <c r="A3075" s="0" t="s">
        <v>520</v>
      </c>
      <c r="B3075" s="0" t="s">
        <v>86</v>
      </c>
      <c r="C3075" s="38" t="n">
        <f aca="false">Sens!$C$2981</f>
        <v>21.215</v>
      </c>
      <c r="D3075" s="38" t="n">
        <f aca="false">Sens!$D$2981</f>
        <v>22.561</v>
      </c>
      <c r="E3075" s="38" t="n">
        <f aca="false">Sens!$E$2981</f>
        <v>11.579</v>
      </c>
      <c r="F3075" s="38" t="n">
        <f aca="false">Sens!$F$2981</f>
        <v>11.5938724610325</v>
      </c>
      <c r="G3075" s="38" t="n">
        <f aca="false">Sens!$G$2981</f>
        <v>23.1728724610325</v>
      </c>
      <c r="H3075" s="38" t="n">
        <f aca="false">Sens!$H$2981</f>
        <v>24.353392759506</v>
      </c>
      <c r="I3075" s="38" t="n">
        <f aca="false">Sens!$I$2981</f>
        <v>25.4240338872015</v>
      </c>
      <c r="J3075" s="38" t="n">
        <f aca="false">Sens!$J$2981</f>
        <v>26.3642491017174</v>
      </c>
      <c r="K3075" s="38" t="n">
        <f aca="false">Sens!$K$2981</f>
        <v>27.155176574769</v>
      </c>
      <c r="L3075" s="38" t="n">
        <f aca="false">Sens!$L$2981</f>
        <v>27.969831872012</v>
      </c>
      <c r="M3075" s="38" t="n">
        <f aca="false">Sens!$M$2981</f>
        <v>28.8089268281724</v>
      </c>
      <c r="N3075" s="38" t="n">
        <f aca="false">Sens!$N$2981</f>
        <v>11.128</v>
      </c>
      <c r="O3075" s="38" t="n">
        <f aca="false">Sens!$O$2981</f>
        <v>11.433</v>
      </c>
    </row>
    <row r="3076" customFormat="false" ht="15" hidden="false" customHeight="false" outlineLevel="0" collapsed="false">
      <c r="A3076" s="0" t="s">
        <v>521</v>
      </c>
      <c r="B3076" s="0" t="s">
        <v>86</v>
      </c>
      <c r="C3076" s="38" t="n">
        <f aca="false">Sens!$C$2983</f>
        <v>156.146</v>
      </c>
      <c r="D3076" s="38" t="n">
        <f aca="false">Sens!$D$2983</f>
        <v>172.162</v>
      </c>
      <c r="E3076" s="38" t="n">
        <f aca="false">Sens!$E$2983</f>
        <v>88.358</v>
      </c>
      <c r="F3076" s="38" t="n">
        <f aca="false">Sens!$F$2983</f>
        <v>102.004388260171</v>
      </c>
      <c r="G3076" s="38" t="n">
        <f aca="false">Sens!$G$2983</f>
        <v>190.362388260171</v>
      </c>
      <c r="H3076" s="38" t="n">
        <f aca="false">Sens!$H$2983</f>
        <v>210.343106588311</v>
      </c>
      <c r="I3076" s="38" t="n">
        <f aca="false">Sens!$I$2983</f>
        <v>229.969728494648</v>
      </c>
      <c r="J3076" s="38" t="n">
        <f aca="false">Sens!$J$2983</f>
        <v>248.747636972598</v>
      </c>
      <c r="K3076" s="38" t="n">
        <f aca="false">Sens!$K$2983</f>
        <v>266.15997156068</v>
      </c>
      <c r="L3076" s="38" t="n">
        <f aca="false">Sens!$L$2983</f>
        <v>284.791169569927</v>
      </c>
      <c r="M3076" s="38" t="n">
        <f aca="false">Sens!$M$2983</f>
        <v>304.726551439822</v>
      </c>
      <c r="N3076" s="38" t="n">
        <f aca="false">Sens!$N$2983</f>
        <v>76.86</v>
      </c>
      <c r="O3076" s="38" t="n">
        <f aca="false">Sens!$O$2983</f>
        <v>95.302</v>
      </c>
    </row>
    <row r="3077" customFormat="false" ht="15" hidden="false" customHeight="false" outlineLevel="0" collapsed="false">
      <c r="A3077" s="0" t="s">
        <v>522</v>
      </c>
      <c r="B3077" s="0" t="s">
        <v>86</v>
      </c>
      <c r="C3077" s="38" t="n">
        <f aca="false">Sens!$C$2985</f>
        <v>56.214</v>
      </c>
      <c r="D3077" s="38" t="n">
        <f aca="false">Sens!$D$2985</f>
        <v>68.635</v>
      </c>
      <c r="E3077" s="38" t="n">
        <f aca="false">Sens!$E$2985</f>
        <v>37.052</v>
      </c>
      <c r="F3077" s="38" t="n">
        <f aca="false">Sens!$F$2985</f>
        <v>46.1572219944148</v>
      </c>
      <c r="G3077" s="38" t="n">
        <f aca="false">Sens!$G$2985</f>
        <v>83.2092219944148</v>
      </c>
      <c r="H3077" s="38" t="n">
        <f aca="false">Sens!$H$2985</f>
        <v>99.8969223878976</v>
      </c>
      <c r="I3077" s="38" t="n">
        <f aca="false">Sens!$I$2985</f>
        <v>116.583111095496</v>
      </c>
      <c r="J3077" s="38" t="n">
        <f aca="false">Sens!$J$2985</f>
        <v>132.148941941952</v>
      </c>
      <c r="K3077" s="38" t="n">
        <f aca="false">Sens!$K$2985</f>
        <v>145.363836136147</v>
      </c>
      <c r="L3077" s="38" t="n">
        <f aca="false">Sens!$L$2985</f>
        <v>159.900219749762</v>
      </c>
      <c r="M3077" s="38" t="n">
        <f aca="false">Sens!$M$2985</f>
        <v>175.890241724738</v>
      </c>
      <c r="N3077" s="38" t="n">
        <f aca="false">Sens!$N$2985</f>
        <v>29.615</v>
      </c>
      <c r="O3077" s="38" t="n">
        <f aca="false">Sens!$O$2985</f>
        <v>39.02</v>
      </c>
    </row>
    <row r="3078" customFormat="false" ht="15" hidden="false" customHeight="false" outlineLevel="0" collapsed="false">
      <c r="A3078" s="0" t="s">
        <v>523</v>
      </c>
      <c r="B3078" s="0" t="s">
        <v>86</v>
      </c>
      <c r="C3078" s="38" t="n">
        <f aca="false">Sens!$C$2987</f>
        <v>44.374</v>
      </c>
      <c r="D3078" s="38" t="n">
        <f aca="false">Sens!$D$2987</f>
        <v>49.619</v>
      </c>
      <c r="E3078" s="38" t="n">
        <f aca="false">Sens!$E$2987</f>
        <v>27.157</v>
      </c>
      <c r="F3078" s="38" t="n">
        <f aca="false">Sens!$F$2987</f>
        <v>27.7764165988154</v>
      </c>
      <c r="G3078" s="38" t="n">
        <f aca="false">Sens!$G$2987</f>
        <v>54.9334165988154</v>
      </c>
      <c r="H3078" s="38" t="n">
        <f aca="false">Sens!$H$2987</f>
        <v>61.1564112561829</v>
      </c>
      <c r="I3078" s="38" t="n">
        <f aca="false">Sens!$I$2987</f>
        <v>67.2020282103945</v>
      </c>
      <c r="J3078" s="38" t="n">
        <f aca="false">Sens!$J$2987</f>
        <v>72.8757274028885</v>
      </c>
      <c r="K3078" s="38" t="n">
        <f aca="false">Sens!$K$2987</f>
        <v>77.9770283210907</v>
      </c>
      <c r="L3078" s="38" t="n">
        <f aca="false">Sens!$L$2987</f>
        <v>83.4354203035671</v>
      </c>
      <c r="M3078" s="38" t="n">
        <f aca="false">Sens!$M$2987</f>
        <v>89.2758997248168</v>
      </c>
      <c r="N3078" s="38" t="n">
        <f aca="false">Sens!$N$2987</f>
        <v>23.923</v>
      </c>
      <c r="O3078" s="38" t="n">
        <f aca="false">Sens!$O$2987</f>
        <v>25.696</v>
      </c>
    </row>
    <row r="3079" customFormat="false" ht="15" hidden="false" customHeight="false" outlineLevel="0" collapsed="false">
      <c r="A3079" s="0" t="s">
        <v>524</v>
      </c>
      <c r="B3079" s="0" t="s">
        <v>86</v>
      </c>
      <c r="C3079" s="38" t="n">
        <f aca="false">Sens!$C$2989</f>
        <v>5.425</v>
      </c>
      <c r="D3079" s="38" t="n">
        <f aca="false">Sens!$D$2989</f>
        <v>5.935</v>
      </c>
      <c r="E3079" s="38" t="n">
        <f aca="false">Sens!$E$2989</f>
        <v>3.474</v>
      </c>
      <c r="F3079" s="38" t="n">
        <f aca="false">Sens!$F$2989</f>
        <v>3.22246550883619</v>
      </c>
      <c r="G3079" s="38" t="n">
        <f aca="false">Sens!$G$2989</f>
        <v>6.69646550883619</v>
      </c>
      <c r="H3079" s="38" t="n">
        <f aca="false">Sens!$H$2989</f>
        <v>7.16251344209196</v>
      </c>
      <c r="I3079" s="38" t="n">
        <f aca="false">Sens!$I$2989</f>
        <v>7.61421070299826</v>
      </c>
      <c r="J3079" s="38" t="n">
        <f aca="false">Sens!$J$2989</f>
        <v>8.04465753523932</v>
      </c>
      <c r="K3079" s="38" t="n">
        <f aca="false">Sens!$K$2989</f>
        <v>8.44689041200128</v>
      </c>
      <c r="L3079" s="38" t="n">
        <f aca="false">Sens!$L$2989</f>
        <v>8.86923493260135</v>
      </c>
      <c r="M3079" s="38" t="n">
        <f aca="false">Sens!$M$2989</f>
        <v>9.31269667923142</v>
      </c>
      <c r="N3079" s="38" t="n">
        <f aca="false">Sens!$N$2989</f>
        <v>2.811</v>
      </c>
      <c r="O3079" s="38" t="n">
        <f aca="false">Sens!$O$2989</f>
        <v>3.124</v>
      </c>
    </row>
    <row r="3080" customFormat="false" ht="17.15" hidden="false" customHeight="false" outlineLevel="0" collapsed="false">
      <c r="A3080" s="0" t="s">
        <v>717</v>
      </c>
      <c r="B3080" s="0" t="s">
        <v>86</v>
      </c>
      <c r="C3080" s="38" t="n">
        <f aca="false">Sens!$C$3061</f>
        <v>107.556</v>
      </c>
      <c r="D3080" s="38" t="n">
        <f aca="false">Sens!$D$3061</f>
        <v>128.725</v>
      </c>
      <c r="E3080" s="38" t="n">
        <f aca="false">Sens!$E$3061</f>
        <v>79.819</v>
      </c>
      <c r="F3080" s="38" t="n">
        <f aca="false">Sens!$F$3061</f>
        <v>86.7327334389669</v>
      </c>
      <c r="G3080" s="38" t="n">
        <f aca="false">Sens!$G$3061</f>
        <v>166.551733438967</v>
      </c>
      <c r="H3080" s="38" t="n">
        <f aca="false">Sens!$H$3061</f>
        <v>220.109883227838</v>
      </c>
      <c r="I3080" s="38" t="n">
        <f aca="false">Sens!$I$3061</f>
        <v>276.682902928912</v>
      </c>
      <c r="J3080" s="38" t="n">
        <f aca="false">Sens!$J$3061</f>
        <v>330.927299640281</v>
      </c>
      <c r="K3080" s="38" t="n">
        <f aca="false">Sens!$K$3061</f>
        <v>375.745107496632</v>
      </c>
      <c r="L3080" s="38" t="n">
        <f aca="false">Sens!$L$3061</f>
        <v>408.889938271522</v>
      </c>
      <c r="M3080" s="38" t="n">
        <f aca="false">Sens!$M$3061</f>
        <v>430.355369661447</v>
      </c>
      <c r="N3080" s="38" t="n">
        <f aca="false">Sens!$N$3061</f>
        <v>60.14</v>
      </c>
      <c r="O3080" s="38" t="n">
        <f aca="false">Sens!$O$3061</f>
        <v>68.585</v>
      </c>
    </row>
    <row r="3081" customFormat="false" ht="15" hidden="false" customHeight="false" outlineLevel="0" collapsed="false">
      <c r="A3081" s="1" t="s">
        <v>512</v>
      </c>
      <c r="B3081" s="8" t="s">
        <v>86</v>
      </c>
      <c r="C3081" s="38" t="n">
        <f aca="false">Sens!$C$2994</f>
        <v>387.497</v>
      </c>
      <c r="D3081" s="38" t="n">
        <f aca="false">Sens!$D$2994</f>
        <v>426.305</v>
      </c>
      <c r="E3081" s="38" t="n">
        <f aca="false">Sens!$E$2994</f>
        <v>220.32</v>
      </c>
      <c r="F3081" s="38" t="n">
        <f aca="false">Sens!$F$2994</f>
        <v>250.639773480586</v>
      </c>
      <c r="G3081" s="38" t="n">
        <f aca="false">Sens!$G$2994</f>
        <v>470.959773480586</v>
      </c>
      <c r="H3081" s="38" t="n">
        <f aca="false">Sens!$H$2994</f>
        <v>521.386990416437</v>
      </c>
      <c r="I3081" s="38" t="n">
        <f aca="false">Sens!$I$2994</f>
        <v>570.143862887555</v>
      </c>
      <c r="J3081" s="38" t="n">
        <f aca="false">Sens!$J$2994</f>
        <v>615.391435791933</v>
      </c>
      <c r="K3081" s="38" t="n">
        <f aca="false">Sens!$K$2994</f>
        <v>655.208227561543</v>
      </c>
      <c r="L3081" s="38" t="n">
        <f aca="false">Sens!$L$2994</f>
        <v>697.807739249767</v>
      </c>
      <c r="M3081" s="38" t="n">
        <f aca="false">Sens!$M$2994</f>
        <v>743.399328463592</v>
      </c>
      <c r="N3081" s="38" t="n">
        <f aca="false">Sens!$N$2994</f>
        <v>192.955</v>
      </c>
      <c r="O3081" s="38" t="n">
        <f aca="false">Sens!$O$2994</f>
        <v>233.35</v>
      </c>
    </row>
    <row r="3082" customFormat="false" ht="15" hidden="false" customHeight="false" outlineLevel="0" collapsed="false">
      <c r="A3082" s="1" t="s">
        <v>515</v>
      </c>
      <c r="B3082" s="8" t="s">
        <v>86</v>
      </c>
      <c r="C3082" s="38" t="n">
        <f aca="false">Sens!$C$2995</f>
        <v>142.906</v>
      </c>
      <c r="D3082" s="38" t="n">
        <f aca="false">Sens!$D$2995</f>
        <v>161.894</v>
      </c>
      <c r="E3082" s="38" t="n">
        <f aca="false">Sens!$E$2995</f>
        <v>81.986</v>
      </c>
      <c r="F3082" s="38" t="n">
        <f aca="false">Sens!$F$2995</f>
        <v>98.408468164951</v>
      </c>
      <c r="G3082" s="38" t="n">
        <f aca="false">Sens!$G$2995</f>
        <v>180.394468164951</v>
      </c>
      <c r="H3082" s="38" t="n">
        <f aca="false">Sens!$H$2995</f>
        <v>199.709899104949</v>
      </c>
      <c r="I3082" s="38" t="n">
        <f aca="false">Sens!$I$2995</f>
        <v>218.385528264976</v>
      </c>
      <c r="J3082" s="38" t="n">
        <f aca="false">Sens!$J$2995</f>
        <v>235.71696994951</v>
      </c>
      <c r="K3082" s="38" t="n">
        <f aca="false">Sens!$K$2995</f>
        <v>250.968227869545</v>
      </c>
      <c r="L3082" s="38" t="n">
        <f aca="false">Sens!$L$2995</f>
        <v>267.285367225822</v>
      </c>
      <c r="M3082" s="38" t="n">
        <f aca="false">Sens!$M$2995</f>
        <v>284.748579483295</v>
      </c>
      <c r="N3082" s="38" t="n">
        <f aca="false">Sens!$N$2995</f>
        <v>70.274</v>
      </c>
      <c r="O3082" s="38" t="n">
        <f aca="false">Sens!$O$2995</f>
        <v>91.62</v>
      </c>
    </row>
    <row r="3083" customFormat="false" ht="15" hidden="false" customHeight="false" outlineLevel="0" collapsed="false">
      <c r="A3083" s="1" t="s">
        <v>516</v>
      </c>
      <c r="B3083" s="8" t="s">
        <v>86</v>
      </c>
      <c r="C3083" s="38" t="n">
        <f aca="false">Sens!$C$3061</f>
        <v>107.556</v>
      </c>
      <c r="D3083" s="38" t="n">
        <f aca="false">Sens!$D$3061</f>
        <v>128.725</v>
      </c>
      <c r="E3083" s="38" t="n">
        <f aca="false">Sens!$E$3061</f>
        <v>79.819</v>
      </c>
      <c r="F3083" s="38" t="n">
        <f aca="false">Sens!$F$3061</f>
        <v>86.7327334389669</v>
      </c>
      <c r="G3083" s="38" t="n">
        <f aca="false">Sens!$G$3061</f>
        <v>166.551733438967</v>
      </c>
      <c r="H3083" s="38" t="n">
        <f aca="false">Sens!$H$3061</f>
        <v>220.109883227838</v>
      </c>
      <c r="I3083" s="38" t="n">
        <f aca="false">Sens!$I$3061</f>
        <v>276.682902928912</v>
      </c>
      <c r="J3083" s="38" t="n">
        <f aca="false">Sens!$J$3061</f>
        <v>330.927299640281</v>
      </c>
      <c r="K3083" s="38" t="n">
        <f aca="false">Sens!$K$3061</f>
        <v>375.745107496632</v>
      </c>
      <c r="L3083" s="38" t="n">
        <f aca="false">Sens!$L$3061</f>
        <v>408.889938271522</v>
      </c>
      <c r="M3083" s="38" t="n">
        <f aca="false">Sens!$M$3061</f>
        <v>430.355369661447</v>
      </c>
      <c r="N3083" s="38" t="n">
        <f aca="false">Sens!$N$3061</f>
        <v>60.14</v>
      </c>
      <c r="O3083" s="38" t="n">
        <f aca="false">Sens!$O$3061</f>
        <v>68.585</v>
      </c>
    </row>
    <row r="3084" customFormat="false" ht="17.15" hidden="false" customHeight="false" outlineLevel="0" collapsed="false">
      <c r="A3084" s="0" t="s">
        <v>691</v>
      </c>
      <c r="B3084" s="0" t="s">
        <v>86</v>
      </c>
      <c r="C3084" s="38" t="n">
        <f aca="false">Sens!$C$3059</f>
        <v>2.32100535697364</v>
      </c>
      <c r="D3084" s="38" t="n">
        <f aca="false">Sens!$D$3059</f>
        <v>8.70377008865116</v>
      </c>
      <c r="E3084" s="38" t="n">
        <f aca="false">Sens!$E$3059</f>
        <v>8.51035297557002</v>
      </c>
      <c r="F3084" s="38" t="n">
        <f aca="false">Sens!$F$3059</f>
        <v>14.9634336447205</v>
      </c>
      <c r="G3084" s="38" t="n">
        <f aca="false">Sens!$G$3059</f>
        <v>23.4737866202905</v>
      </c>
      <c r="H3084" s="38" t="n">
        <f aca="false">Sens!$H$3059</f>
        <v>60.1658907497746</v>
      </c>
      <c r="I3084" s="38" t="n">
        <f aca="false">Sens!$I$3059</f>
        <v>101.503699136432</v>
      </c>
      <c r="J3084" s="38" t="n">
        <f aca="false">Sens!$J$3059</f>
        <v>143.025407151278</v>
      </c>
      <c r="K3084" s="38" t="n">
        <f aca="false">Sens!$K$3059</f>
        <v>178.44812038318</v>
      </c>
      <c r="L3084" s="38" t="n">
        <f aca="false">Sens!$L$3059</f>
        <v>201.728101802396</v>
      </c>
      <c r="M3084" s="38" t="n">
        <f aca="false">Sens!$M$3059</f>
        <v>212.835441368865</v>
      </c>
      <c r="N3084" s="38" t="n">
        <f aca="false">Sens!$N$3059</f>
        <v>3.04631953102791</v>
      </c>
      <c r="O3084" s="38" t="n">
        <f aca="false">Sens!$O$3059</f>
        <v>5.65745055762326</v>
      </c>
    </row>
    <row r="3085" customFormat="false" ht="17.15" hidden="false" customHeight="false" outlineLevel="0" collapsed="false">
      <c r="A3085" s="0" t="s">
        <v>693</v>
      </c>
      <c r="B3085" s="0" t="s">
        <v>86</v>
      </c>
      <c r="C3085" s="38" t="n">
        <f aca="false">Sens!$C$3060</f>
        <v>105.234994643026</v>
      </c>
      <c r="D3085" s="38" t="n">
        <f aca="false">Sens!$D$3060</f>
        <v>120.021229911349</v>
      </c>
      <c r="E3085" s="38" t="n">
        <f aca="false">Sens!$E$3060</f>
        <v>71.30864702443</v>
      </c>
      <c r="F3085" s="38" t="n">
        <f aca="false">Sens!$F$3060</f>
        <v>71.7692997942464</v>
      </c>
      <c r="G3085" s="38" t="n">
        <f aca="false">Sens!$G$3060</f>
        <v>143.077946818676</v>
      </c>
      <c r="H3085" s="38" t="n">
        <f aca="false">Sens!$H$3060</f>
        <v>159.943992478063</v>
      </c>
      <c r="I3085" s="38" t="n">
        <f aca="false">Sens!$I$3060</f>
        <v>175.17920379248</v>
      </c>
      <c r="J3085" s="38" t="n">
        <f aca="false">Sens!$J$3060</f>
        <v>187.901892489002</v>
      </c>
      <c r="K3085" s="38" t="n">
        <f aca="false">Sens!$K$3060</f>
        <v>197.296987113453</v>
      </c>
      <c r="L3085" s="38" t="n">
        <f aca="false">Sens!$L$3060</f>
        <v>207.161836469125</v>
      </c>
      <c r="M3085" s="38" t="n">
        <f aca="false">Sens!$M$3060</f>
        <v>217.519928292582</v>
      </c>
      <c r="N3085" s="38" t="n">
        <f aca="false">Sens!$N$3060</f>
        <v>57.0936804689721</v>
      </c>
      <c r="O3085" s="38" t="n">
        <f aca="false">Sens!$O$3060</f>
        <v>62.9275494423768</v>
      </c>
    </row>
    <row r="3086" customFormat="false" ht="15" hidden="false" customHeight="false" outlineLevel="0" collapsed="false">
      <c r="A3086" s="3" t="s">
        <v>517</v>
      </c>
      <c r="B3086" s="8" t="s">
        <v>86</v>
      </c>
      <c r="C3086" s="38" t="n">
        <f aca="false">Sens!$C$3062</f>
        <v>637.959</v>
      </c>
      <c r="D3086" s="38" t="n">
        <f aca="false">Sens!$D$3062</f>
        <v>716.924</v>
      </c>
      <c r="E3086" s="38" t="n">
        <f aca="false">Sens!$E$3062</f>
        <v>382.125</v>
      </c>
      <c r="F3086" s="38" t="n">
        <f aca="false">Sens!$F$3062</f>
        <v>435.780975084504</v>
      </c>
      <c r="G3086" s="38" t="n">
        <f aca="false">Sens!$G$3062</f>
        <v>817.905975084504</v>
      </c>
      <c r="H3086" s="38" t="n">
        <f aca="false">Sens!$H$3062</f>
        <v>941.206772749224</v>
      </c>
      <c r="I3086" s="38" t="n">
        <f aca="false">Sens!$I$3062</f>
        <v>1065.21229408144</v>
      </c>
      <c r="J3086" s="38" t="n">
        <f aca="false">Sens!$J$3062</f>
        <v>1182.03570538172</v>
      </c>
      <c r="K3086" s="38" t="n">
        <f aca="false">Sens!$K$3062</f>
        <v>1281.92156292772</v>
      </c>
      <c r="L3086" s="38" t="n">
        <f aca="false">Sens!$L$3062</f>
        <v>1373.98304474711</v>
      </c>
      <c r="M3086" s="38" t="n">
        <f aca="false">Sens!$M$3062</f>
        <v>1458.50327760833</v>
      </c>
      <c r="N3086" s="38" t="n">
        <f aca="false">Sens!$N$3062</f>
        <v>323.369</v>
      </c>
      <c r="O3086" s="38" t="n">
        <f aca="false">Sens!$O$3062</f>
        <v>393.555</v>
      </c>
    </row>
    <row r="3087" customFormat="false" ht="17.15" hidden="false" customHeight="false" outlineLevel="0" collapsed="false">
      <c r="A3087" s="24" t="s">
        <v>703</v>
      </c>
      <c r="B3087" s="25" t="s">
        <v>86</v>
      </c>
      <c r="C3087" s="41" t="n">
        <f aca="false">Sens!$C$3074+Sens!$C$3075+Sens!$C$3076+Sens!$C$3077+Sens!$C$3078+Sens!$C$3079-(Sens!$C$3081+Sens!$C$3082)</f>
        <v>0</v>
      </c>
      <c r="D3087" s="41" t="n">
        <f aca="false">Sens!$D$3074+Sens!$D$3075+Sens!$D$3076+Sens!$D$3077+Sens!$D$3078+Sens!$D$3079-(Sens!$D$3081+Sens!$D$3082)</f>
        <v>0</v>
      </c>
      <c r="E3087" s="41" t="n">
        <f aca="false">Sens!$E$3074+Sens!$E$3075+Sens!$E$3076+Sens!$E$3077+Sens!$E$3078+Sens!$E$3079-(Sens!$E$3081+Sens!$E$3082)</f>
        <v>0</v>
      </c>
      <c r="F3087" s="41" t="n">
        <f aca="false">Sens!$F$3074+Sens!$F$3075+Sens!$F$3076+Sens!$F$3077+Sens!$F$3078+Sens!$F$3079-(Sens!$F$3081+Sens!$F$3082)</f>
        <v>0</v>
      </c>
      <c r="G3087" s="41" t="n">
        <f aca="false">Sens!$G$3074+Sens!$G$3075+Sens!$G$3076+Sens!$G$3077+Sens!$G$3078+Sens!$G$3079-(Sens!$G$3081+Sens!$G$3082)</f>
        <v>0</v>
      </c>
      <c r="H3087" s="41" t="n">
        <f aca="false">Sens!$H$3074+Sens!$H$3075+Sens!$H$3076+Sens!$H$3077+Sens!$H$3078+Sens!$H$3079-(Sens!$H$3081+Sens!$H$3082)</f>
        <v>0</v>
      </c>
      <c r="I3087" s="41" t="n">
        <f aca="false">Sens!$I$3074+Sens!$I$3075+Sens!$I$3076+Sens!$I$3077+Sens!$I$3078+Sens!$I$3079-(Sens!$I$3081+Sens!$I$3082)</f>
        <v>0</v>
      </c>
      <c r="J3087" s="41" t="n">
        <f aca="false">Sens!$J$3074+Sens!$J$3075+Sens!$J$3076+Sens!$J$3077+Sens!$J$3078+Sens!$J$3079-(Sens!$J$3081+Sens!$J$3082)</f>
        <v>0</v>
      </c>
      <c r="K3087" s="41" t="n">
        <f aca="false">Sens!$K$3074+Sens!$K$3075+Sens!$K$3076+Sens!$K$3077+Sens!$K$3078+Sens!$K$3079-(Sens!$K$3081+Sens!$K$3082)</f>
        <v>0</v>
      </c>
      <c r="L3087" s="41" t="n">
        <f aca="false">Sens!$L$3074+Sens!$L$3075+Sens!$L$3076+Sens!$L$3077+Sens!$L$3078+Sens!$L$3079-(Sens!$L$3081+Sens!$L$3082)</f>
        <v>0</v>
      </c>
      <c r="M3087" s="41" t="n">
        <f aca="false">Sens!$M$3074+Sens!$M$3075+Sens!$M$3076+Sens!$M$3077+Sens!$M$3078+Sens!$M$3079-(Sens!$M$3081+Sens!$M$3082)</f>
        <v>0</v>
      </c>
      <c r="N3087" s="41" t="n">
        <f aca="false">Sens!$N$3074+Sens!$N$3075+Sens!$N$3076+Sens!$N$3077+Sens!$N$3078+Sens!$N$3079-(Sens!$N$3081+Sens!$N$3082)</f>
        <v>0</v>
      </c>
      <c r="O3087" s="41" t="n">
        <f aca="false">Sens!$O$3074+Sens!$O$3075+Sens!$O$3076+Sens!$O$3077+Sens!$O$3078+Sens!$O$3079-(Sens!$O$3081+Sens!$O$3082)</f>
        <v>0</v>
      </c>
    </row>
    <row r="3088" customFormat="false" ht="17.15" hidden="false" customHeight="false" outlineLevel="0" collapsed="false">
      <c r="A3088" s="24" t="s">
        <v>704</v>
      </c>
      <c r="B3088" s="25" t="s">
        <v>86</v>
      </c>
      <c r="C3088" s="41" t="n">
        <f aca="false">Sens!$C$3084+Sens!$C$3085-Sens!$C$3083</f>
        <v>0</v>
      </c>
      <c r="D3088" s="41" t="n">
        <f aca="false">Sens!$D$3084+Sens!$D$3085-Sens!$D$3083</f>
        <v>0</v>
      </c>
      <c r="E3088" s="41" t="n">
        <f aca="false">Sens!$E$3084+Sens!$E$3085-Sens!$E$3083</f>
        <v>0</v>
      </c>
      <c r="F3088" s="41" t="n">
        <f aca="false">Sens!$F$3084+Sens!$F$3085-Sens!$F$3083</f>
        <v>0</v>
      </c>
      <c r="G3088" s="41" t="n">
        <f aca="false">Sens!$G$3084+Sens!$G$3085-Sens!$G$3083</f>
        <v>0</v>
      </c>
      <c r="H3088" s="41" t="n">
        <f aca="false">Sens!$H$3084+Sens!$H$3085-Sens!$H$3083</f>
        <v>0</v>
      </c>
      <c r="I3088" s="41" t="n">
        <f aca="false">Sens!$I$3084+Sens!$I$3085-Sens!$I$3083</f>
        <v>0</v>
      </c>
      <c r="J3088" s="41" t="n">
        <f aca="false">Sens!$J$3084+Sens!$J$3085-Sens!$J$3083</f>
        <v>0</v>
      </c>
      <c r="K3088" s="41" t="n">
        <f aca="false">Sens!$K$3084+Sens!$K$3085-Sens!$K$3083</f>
        <v>0</v>
      </c>
      <c r="L3088" s="41" t="n">
        <f aca="false">Sens!$L$3084+Sens!$L$3085-Sens!$L$3083</f>
        <v>0</v>
      </c>
      <c r="M3088" s="41" t="n">
        <f aca="false">Sens!$M$3084+Sens!$M$3085-Sens!$M$3083</f>
        <v>0</v>
      </c>
      <c r="N3088" s="41" t="n">
        <f aca="false">Sens!$N$3084+Sens!$N$3085-Sens!$N$3083</f>
        <v>0</v>
      </c>
      <c r="O3088" s="41" t="n">
        <f aca="false">Sens!$O$3084+Sens!$O$3085-Sens!$O$3083</f>
        <v>0</v>
      </c>
    </row>
    <row r="3089" customFormat="false" ht="17.15" hidden="false" customHeight="false" outlineLevel="0" collapsed="false">
      <c r="A3089" s="24" t="s">
        <v>763</v>
      </c>
      <c r="B3089" s="25" t="s">
        <v>86</v>
      </c>
      <c r="C3089" s="41" t="n">
        <f aca="false">Sens!$C$3074+Sens!$C$3075+Sens!$C$3076+Sens!$C$3077+Sens!$C$3078+Sens!$C$3079+Sens!$C$3080-Sens!$C$3086</f>
        <v>0</v>
      </c>
      <c r="D3089" s="41" t="n">
        <f aca="false">Sens!$D$3074+Sens!$D$3075+Sens!$D$3076+Sens!$D$3077+Sens!$D$3078+Sens!$D$3079+Sens!$D$3080-Sens!$D$3086</f>
        <v>0</v>
      </c>
      <c r="E3089" s="41" t="n">
        <f aca="false">Sens!$E$3074+Sens!$E$3075+Sens!$E$3076+Sens!$E$3077+Sens!$E$3078+Sens!$E$3079+Sens!$E$3080-Sens!$E$3086</f>
        <v>0</v>
      </c>
      <c r="F3089" s="41" t="n">
        <f aca="false">Sens!$F$3074+Sens!$F$3075+Sens!$F$3076+Sens!$F$3077+Sens!$F$3078+Sens!$F$3079+Sens!$F$3080-Sens!$F$3086</f>
        <v>0</v>
      </c>
      <c r="G3089" s="41" t="n">
        <f aca="false">Sens!$G$3074+Sens!$G$3075+Sens!$G$3076+Sens!$G$3077+Sens!$G$3078+Sens!$G$3079+Sens!$G$3080-Sens!$G$3086</f>
        <v>0</v>
      </c>
      <c r="H3089" s="41" t="n">
        <f aca="false">Sens!$H$3074+Sens!$H$3075+Sens!$H$3076+Sens!$H$3077+Sens!$H$3078+Sens!$H$3079+Sens!$H$3080-Sens!$H$3086</f>
        <v>0</v>
      </c>
      <c r="I3089" s="41" t="n">
        <f aca="false">Sens!$I$3074+Sens!$I$3075+Sens!$I$3076+Sens!$I$3077+Sens!$I$3078+Sens!$I$3079+Sens!$I$3080-Sens!$I$3086</f>
        <v>0</v>
      </c>
      <c r="J3089" s="41" t="n">
        <f aca="false">Sens!$J$3074+Sens!$J$3075+Sens!$J$3076+Sens!$J$3077+Sens!$J$3078+Sens!$J$3079+Sens!$J$3080-Sens!$J$3086</f>
        <v>0</v>
      </c>
      <c r="K3089" s="41" t="n">
        <f aca="false">Sens!$K$3074+Sens!$K$3075+Sens!$K$3076+Sens!$K$3077+Sens!$K$3078+Sens!$K$3079+Sens!$K$3080-Sens!$K$3086</f>
        <v>0</v>
      </c>
      <c r="L3089" s="41" t="n">
        <f aca="false">Sens!$L$3074+Sens!$L$3075+Sens!$L$3076+Sens!$L$3077+Sens!$L$3078+Sens!$L$3079+Sens!$L$3080-Sens!$L$3086</f>
        <v>0</v>
      </c>
      <c r="M3089" s="41" t="n">
        <f aca="false">Sens!$M$3074+Sens!$M$3075+Sens!$M$3076+Sens!$M$3077+Sens!$M$3078+Sens!$M$3079+Sens!$M$3080-Sens!$M$3086</f>
        <v>0</v>
      </c>
      <c r="N3089" s="41" t="n">
        <f aca="false">Sens!$N$3074+Sens!$N$3075+Sens!$N$3076+Sens!$N$3077+Sens!$N$3078+Sens!$N$3079+Sens!$N$3080-Sens!$N$3086</f>
        <v>0</v>
      </c>
      <c r="O3089" s="41" t="n">
        <f aca="false">Sens!$O$3074+Sens!$O$3075+Sens!$O$3076+Sens!$O$3077+Sens!$O$3078+Sens!$O$3079+Sens!$O$3080-Sens!$O$3086</f>
        <v>0</v>
      </c>
    </row>
    <row r="3090" customFormat="false" ht="17.15" hidden="false" customHeight="false" outlineLevel="0" collapsed="false">
      <c r="A3090" s="24" t="s">
        <v>705</v>
      </c>
      <c r="B3090" s="25" t="s">
        <v>86</v>
      </c>
      <c r="C3090" s="41" t="n">
        <f aca="false">Sens!$C$3081+Sens!$C$3082+Sens!$C$3083-Sens!$C$3086</f>
        <v>0</v>
      </c>
      <c r="D3090" s="41" t="n">
        <f aca="false">Sens!$D$3081+Sens!$D$3082+Sens!$D$3083-Sens!$D$3086</f>
        <v>0</v>
      </c>
      <c r="E3090" s="41" t="n">
        <f aca="false">Sens!$E$3081+Sens!$E$3082+Sens!$E$3083-Sens!$E$3086</f>
        <v>0</v>
      </c>
      <c r="F3090" s="41" t="n">
        <f aca="false">Sens!$F$3081+Sens!$F$3082+Sens!$F$3083-Sens!$F$3086</f>
        <v>0</v>
      </c>
      <c r="G3090" s="41" t="n">
        <f aca="false">Sens!$G$3081+Sens!$G$3082+Sens!$G$3083-Sens!$G$3086</f>
        <v>0</v>
      </c>
      <c r="H3090" s="41" t="n">
        <f aca="false">Sens!$H$3081+Sens!$H$3082+Sens!$H$3083-Sens!$H$3086</f>
        <v>0</v>
      </c>
      <c r="I3090" s="41" t="n">
        <f aca="false">Sens!$I$3081+Sens!$I$3082+Sens!$I$3083-Sens!$I$3086</f>
        <v>0</v>
      </c>
      <c r="J3090" s="41" t="n">
        <f aca="false">Sens!$J$3081+Sens!$J$3082+Sens!$J$3083-Sens!$J$3086</f>
        <v>0</v>
      </c>
      <c r="K3090" s="41" t="n">
        <f aca="false">Sens!$K$3081+Sens!$K$3082+Sens!$K$3083-Sens!$K$3086</f>
        <v>0</v>
      </c>
      <c r="L3090" s="41" t="n">
        <f aca="false">Sens!$L$3081+Sens!$L$3082+Sens!$L$3083-Sens!$L$3086</f>
        <v>0</v>
      </c>
      <c r="M3090" s="41" t="n">
        <f aca="false">Sens!$M$3081+Sens!$M$3082+Sens!$M$3083-Sens!$M$3086</f>
        <v>0</v>
      </c>
      <c r="N3090" s="41" t="n">
        <f aca="false">Sens!$N$3081+Sens!$N$3082+Sens!$N$3083-Sens!$N$3086</f>
        <v>0</v>
      </c>
      <c r="O3090" s="41" t="n">
        <f aca="false">Sens!$O$3081+Sens!$O$3082+Sens!$O$3083-Sens!$O$3086</f>
        <v>0</v>
      </c>
    </row>
    <row r="3091" customFormat="false" ht="17.15" hidden="false" customHeight="false" outlineLevel="0" collapsed="false">
      <c r="A3091" s="1" t="s">
        <v>719</v>
      </c>
    </row>
    <row r="3092" customFormat="false" ht="17.15" hidden="false" customHeight="false" outlineLevel="0" collapsed="false">
      <c r="A3092" s="0" t="s">
        <v>720</v>
      </c>
      <c r="B3092" s="0" t="s">
        <v>86</v>
      </c>
      <c r="C3092" s="38" t="n">
        <f aca="false">Sens!$C$2996*m_ad</f>
        <v>20.5341564414228</v>
      </c>
      <c r="D3092" s="38" t="n">
        <f aca="false">Sens!$D$2996*m_ad</f>
        <v>24.8720617299587</v>
      </c>
      <c r="E3092" s="38" t="n">
        <f aca="false">Sens!$E$2996*m_ad</f>
        <v>13.5017112462207</v>
      </c>
      <c r="F3092" s="38" t="n">
        <f aca="false">Sens!$F$2996*m_ad</f>
        <v>16.5719724165257</v>
      </c>
      <c r="G3092" s="38" t="n">
        <f aca="false">Sens!$G$2996*m_ad</f>
        <v>30.0820919220415</v>
      </c>
      <c r="H3092" s="38" t="n">
        <f aca="false">Sens!$H$2996*m_ad</f>
        <v>36.1150883276314</v>
      </c>
      <c r="I3092" s="38" t="n">
        <f aca="false">Sens!$I$2996*m_ad</f>
        <v>42.1475382231996</v>
      </c>
      <c r="J3092" s="38" t="n">
        <f aca="false">Sens!$J$2996*m_ad</f>
        <v>47.7749523864693</v>
      </c>
      <c r="K3092" s="38" t="n">
        <f aca="false">Sens!$K$2996*m_ad</f>
        <v>52.5524476251162</v>
      </c>
      <c r="L3092" s="38" t="n">
        <f aca="false">Sens!$L$2996*m_ad</f>
        <v>57.8076923876279</v>
      </c>
      <c r="M3092" s="38" t="n">
        <f aca="false">Sens!$M$2996*m_ad</f>
        <v>63.5884616263907</v>
      </c>
      <c r="N3092" s="38" t="n">
        <f aca="false">Sens!$N$2996*m_ad</f>
        <v>10.8543555706248</v>
      </c>
      <c r="O3092" s="38" t="n">
        <f aca="false">Sens!$O$2996*m_ad</f>
        <v>14.0094731821399</v>
      </c>
    </row>
    <row r="3093" customFormat="false" ht="17.15" hidden="false" customHeight="false" outlineLevel="0" collapsed="false">
      <c r="A3093" s="0" t="s">
        <v>721</v>
      </c>
      <c r="B3093" s="0" t="s">
        <v>86</v>
      </c>
      <c r="C3093" s="38" t="n">
        <f aca="false">Sens!$C$2994-Sens!$C$2996</f>
        <v>346.428687117154</v>
      </c>
      <c r="D3093" s="38" t="n">
        <f aca="false">Sens!$D$2994-Sens!$D$2996</f>
        <v>376.560876540083</v>
      </c>
      <c r="E3093" s="38" t="n">
        <f aca="false">Sens!$E$2994-Sens!$E$2996</f>
        <v>193.316577507559</v>
      </c>
      <c r="F3093" s="38" t="n">
        <f aca="false">Sens!$F$2994-Sens!$F$2996</f>
        <v>217.495828647535</v>
      </c>
      <c r="G3093" s="38" t="n">
        <f aca="false">Sens!$G$2994-Sens!$G$2996</f>
        <v>410.795589636503</v>
      </c>
      <c r="H3093" s="38" t="n">
        <f aca="false">Sens!$H$2994-Sens!$H$2996</f>
        <v>449.156813761174</v>
      </c>
      <c r="I3093" s="38" t="n">
        <f aca="false">Sens!$I$2994-Sens!$I$2996</f>
        <v>485.848786441156</v>
      </c>
      <c r="J3093" s="38" t="n">
        <f aca="false">Sens!$J$2994-Sens!$J$2996</f>
        <v>519.841531018994</v>
      </c>
      <c r="K3093" s="38" t="n">
        <f aca="false">Sens!$K$2994-Sens!$K$2996</f>
        <v>550.103332311311</v>
      </c>
      <c r="L3093" s="38" t="n">
        <f aca="false">Sens!$L$2994-Sens!$L$2996</f>
        <v>582.192354474511</v>
      </c>
      <c r="M3093" s="38" t="n">
        <f aca="false">Sens!$M$2994-Sens!$M$2996</f>
        <v>616.22240521081</v>
      </c>
      <c r="N3093" s="38" t="n">
        <f aca="false">Sens!$N$2994-Sens!$N$2996</f>
        <v>171.24628885875</v>
      </c>
      <c r="O3093" s="38" t="n">
        <f aca="false">Sens!$O$2994-Sens!$O$2996</f>
        <v>205.33105363572</v>
      </c>
    </row>
    <row r="3094" customFormat="false" ht="17.15" hidden="false" customHeight="false" outlineLevel="0" collapsed="false">
      <c r="A3094" s="0" t="s">
        <v>722</v>
      </c>
      <c r="B3094" s="0" t="s">
        <v>86</v>
      </c>
      <c r="C3094" s="38" t="n">
        <f aca="false">Sens!$C$3045*Sens!$C$2993</f>
        <v>0.123617442257179</v>
      </c>
      <c r="D3094" s="38" t="n">
        <f aca="false">Sens!$D$3045*Sens!$D$2993</f>
        <v>0.600198046024689</v>
      </c>
      <c r="E3094" s="38" t="n">
        <f aca="false">Sens!$E$3045*Sens!$E$2993</f>
        <v>0.970552432202993</v>
      </c>
      <c r="F3094" s="38" t="n">
        <f aca="false">Sens!$F$3045*Sens!$F$2993</f>
        <v>1.20013524388435</v>
      </c>
      <c r="G3094" s="38" t="n">
        <f aca="false">Sens!$G$3045*Sens!$G$2993</f>
        <v>2.17135369594947</v>
      </c>
      <c r="H3094" s="38" t="n">
        <f aca="false">Sens!$H$3045*Sens!$H$2993</f>
        <v>6.14227489656333</v>
      </c>
      <c r="I3094" s="38" t="n">
        <f aca="false">Sens!$I$3045*Sens!$I$2993</f>
        <v>11.6518054969681</v>
      </c>
      <c r="J3094" s="38" t="n">
        <f aca="false">Sens!$J$3045*Sens!$J$2993</f>
        <v>17.3105301010592</v>
      </c>
      <c r="K3094" s="38" t="n">
        <f aca="false">Sens!$K$3045*Sens!$K$2993</f>
        <v>22.8486728059883</v>
      </c>
      <c r="L3094" s="38" t="n">
        <f aca="false">Sens!$L$3045*Sens!$L$2993</f>
        <v>26.6849171332777</v>
      </c>
      <c r="M3094" s="38" t="n">
        <f aca="false">Sens!$M$3045*Sens!$M$2993</f>
        <v>29.0523240317336</v>
      </c>
      <c r="N3094" s="38" t="n">
        <f aca="false">Sens!$N$3045*Sens!$N$2993</f>
        <v>0.25053229484398</v>
      </c>
      <c r="O3094" s="38" t="n">
        <f aca="false">Sens!$O$3045*Sens!$O$2993</f>
        <v>0.349234376756897</v>
      </c>
    </row>
    <row r="3095" customFormat="false" ht="17.15" hidden="false" customHeight="false" outlineLevel="0" collapsed="false">
      <c r="A3095" s="0" t="s">
        <v>723</v>
      </c>
      <c r="B3095" s="0" t="s">
        <v>52</v>
      </c>
      <c r="C3095" s="28" t="n">
        <f aca="false">(Sens!$C$3096-Sens!$C$3092+Sens!$C$3094)/Sens!$C$3093</f>
        <v>0.0131526665379575</v>
      </c>
      <c r="D3095" s="28" t="n">
        <f aca="false">(Sens!$D$3096-Sens!$D$3092+Sens!$D$3094)/Sens!$D$3093</f>
        <v>0.0141999252954702</v>
      </c>
      <c r="E3095" s="28" t="n">
        <f aca="false">(Sens!$E$3096-Sens!$E$3092+Sens!$E$3094)/Sens!$E$3093</f>
        <v>0.0251341154940129</v>
      </c>
      <c r="F3095" s="28" t="n">
        <f aca="false">Sens!$O$3095+(Sens!$E$3095-Sens!$N$3095)</f>
        <v>0.0217171685713677</v>
      </c>
      <c r="G3095" s="28" t="n">
        <f aca="false">(Sens!$G$3096-Sens!$G$3092+Sens!$G$3094)/Sens!$G$3093</f>
        <v>0.0233071940458981</v>
      </c>
      <c r="H3095" s="28" t="n">
        <f aca="false">Sens!$G$3095+step_na</f>
        <v>0.0263071940458981</v>
      </c>
      <c r="I3095" s="28" t="n">
        <f aca="false">Sens!$H$3095+step_na</f>
        <v>0.0293071940458981</v>
      </c>
      <c r="J3095" s="28" t="n">
        <f aca="false">Sens!$I$3095+step_na</f>
        <v>0.0323071940458981</v>
      </c>
      <c r="K3095" s="28" t="n">
        <f aca="false">Sens!$J$3095+step_na</f>
        <v>0.0353071940458981</v>
      </c>
      <c r="L3095" s="28" t="n">
        <f aca="false">Sens!$K$3095</f>
        <v>0.0353071940458981</v>
      </c>
      <c r="M3095" s="28" t="n">
        <f aca="false">Sens!$L$3095</f>
        <v>0.0353071940458981</v>
      </c>
      <c r="N3095" s="28" t="n">
        <f aca="false">(Sens!$N$3096-Sens!$N$3092+Sens!$N$3094)/Sens!$N$3093</f>
        <v>0.0160831323269779</v>
      </c>
      <c r="O3095" s="28" t="n">
        <f aca="false">(Sens!$O$3096-Sens!$O$3092+Sens!$O$3094)/Sens!$O$3093</f>
        <v>0.0126661854043327</v>
      </c>
      <c r="P3095" s="8" t="s">
        <v>724</v>
      </c>
    </row>
    <row r="3096" customFormat="false" ht="17.15" hidden="false" customHeight="false" outlineLevel="0" collapsed="false">
      <c r="A3096" s="1" t="s">
        <v>725</v>
      </c>
      <c r="B3096" s="8" t="s">
        <v>86</v>
      </c>
      <c r="C3096" s="38" t="n">
        <f aca="false">Q!$D$22</f>
        <v>24.967</v>
      </c>
      <c r="D3096" s="38" t="n">
        <f aca="false">Q!$E$22</f>
        <v>29.619</v>
      </c>
      <c r="E3096" s="38" t="n">
        <f aca="false">Q!$P$22</f>
        <v>17.39</v>
      </c>
      <c r="F3096" s="38" t="n">
        <f aca="false">Sens!$F$3092+Sens!$F$3093*Sens!$F$3095-Sens!$F$3094</f>
        <v>20.0952307469491</v>
      </c>
      <c r="G3096" s="38" t="n">
        <f aca="false">Sens!$E$3096+Sens!$F$3096</f>
        <v>37.4852307469491</v>
      </c>
      <c r="H3096" s="38" t="n">
        <f aca="false">Sens!$H$3092+Sens!$H$3093*Sens!$H$3095-Sens!$H$3094</f>
        <v>41.7888688877206</v>
      </c>
      <c r="I3096" s="38" t="n">
        <f aca="false">Sens!$I$3092+Sens!$I$3093*Sens!$I$3095-Sens!$I$3094</f>
        <v>44.7345973874265</v>
      </c>
      <c r="J3096" s="38" t="n">
        <f aca="false">Sens!$J$3092+Sens!$J$3093*Sens!$J$3095-Sens!$J$3094</f>
        <v>47.2590435011574</v>
      </c>
      <c r="K3096" s="38" t="n">
        <f aca="false">Sens!$K$3092+Sens!$K$3093*Sens!$K$3095-Sens!$K$3094</f>
        <v>49.1263799183386</v>
      </c>
      <c r="L3096" s="38" t="n">
        <f aca="false">Sens!$L$3092+Sens!$L$3093*Sens!$L$3095-Sens!$L$3094</f>
        <v>51.67835368582</v>
      </c>
      <c r="M3096" s="38" t="n">
        <f aca="false">Sens!$M$3092+Sens!$M$3093*Sens!$M$3095-Sens!$M$3094</f>
        <v>56.2932216308652</v>
      </c>
      <c r="N3096" s="38" t="n">
        <f aca="false">Q!$N$22</f>
        <v>13.358</v>
      </c>
      <c r="O3096" s="38" t="n">
        <f aca="false">Q!$O$22</f>
        <v>16.261</v>
      </c>
    </row>
    <row r="3097" customFormat="false" ht="17.15" hidden="false" customHeight="false" outlineLevel="0" collapsed="false">
      <c r="A3097" s="0" t="s">
        <v>726</v>
      </c>
      <c r="B3097" s="0" t="s">
        <v>86</v>
      </c>
      <c r="C3097" s="38" t="n">
        <f aca="false">Sens!$C$2997*m_ad</f>
        <v>7.57284355857716</v>
      </c>
      <c r="D3097" s="38" t="n">
        <f aca="false">Sens!$D$2997*m_ad</f>
        <v>9.44543827004127</v>
      </c>
      <c r="E3097" s="38" t="n">
        <f aca="false">Sens!$E$2997*m_ad</f>
        <v>5.02428875377928</v>
      </c>
      <c r="F3097" s="38" t="n">
        <f aca="false">Sens!$F$2997*m_ad</f>
        <v>6.50663858068173</v>
      </c>
      <c r="G3097" s="38" t="n">
        <f aca="false">Sens!$G$2997*m_ad</f>
        <v>11.5225190751659</v>
      </c>
      <c r="H3097" s="38" t="n">
        <f aca="false">Sens!$H$2997*m_ad</f>
        <v>13.8333728663174</v>
      </c>
      <c r="I3097" s="38" t="n">
        <f aca="false">Sens!$I$2997*m_ad</f>
        <v>16.1440173245485</v>
      </c>
      <c r="J3097" s="38" t="n">
        <f aca="false">Sens!$J$2997*m_ad</f>
        <v>18.2995185845066</v>
      </c>
      <c r="K3097" s="38" t="n">
        <f aca="false">Sens!$K$2997*m_ad</f>
        <v>20.1294704429572</v>
      </c>
      <c r="L3097" s="38" t="n">
        <f aca="false">Sens!$L$2997*m_ad</f>
        <v>22.142417487253</v>
      </c>
      <c r="M3097" s="38" t="n">
        <f aca="false">Sens!$M$2997*m_ad</f>
        <v>24.3566592359783</v>
      </c>
      <c r="N3097" s="38" t="n">
        <f aca="false">Sens!$N$2997*m_ad</f>
        <v>3.95314442937518</v>
      </c>
      <c r="O3097" s="38" t="n">
        <f aca="false">Sens!$O$2997*m_ad</f>
        <v>5.50052681786011</v>
      </c>
    </row>
    <row r="3098" customFormat="false" ht="17.15" hidden="false" customHeight="false" outlineLevel="0" collapsed="false">
      <c r="A3098" s="0" t="s">
        <v>727</v>
      </c>
      <c r="B3098" s="0" t="s">
        <v>86</v>
      </c>
      <c r="C3098" s="38" t="n">
        <f aca="false">Sens!$C$2995-Sens!$C$2997</f>
        <v>127.760312882846</v>
      </c>
      <c r="D3098" s="38" t="n">
        <f aca="false">Sens!$D$2995-Sens!$D$2997</f>
        <v>143.003123459917</v>
      </c>
      <c r="E3098" s="38" t="n">
        <f aca="false">Sens!$E$2995-Sens!$E$2997</f>
        <v>71.9374224924414</v>
      </c>
      <c r="F3098" s="38" t="n">
        <f aca="false">Sens!$F$2995-Sens!$F$2997</f>
        <v>85.3951910035875</v>
      </c>
      <c r="G3098" s="38" t="n">
        <f aca="false">Sens!$G$2995-Sens!$G$2997</f>
        <v>157.349430014619</v>
      </c>
      <c r="H3098" s="38" t="n">
        <f aca="false">Sens!$H$2995-Sens!$H$2997</f>
        <v>172.043153372315</v>
      </c>
      <c r="I3098" s="38" t="n">
        <f aca="false">Sens!$I$2995-Sens!$I$2997</f>
        <v>186.097493615879</v>
      </c>
      <c r="J3098" s="38" t="n">
        <f aca="false">Sens!$J$2995-Sens!$J$2997</f>
        <v>199.117932780497</v>
      </c>
      <c r="K3098" s="38" t="n">
        <f aca="false">Sens!$K$2995-Sens!$K$2997</f>
        <v>210.70928698363</v>
      </c>
      <c r="L3098" s="38" t="n">
        <f aca="false">Sens!$L$2995-Sens!$L$2997</f>
        <v>223.000532251316</v>
      </c>
      <c r="M3098" s="38" t="n">
        <f aca="false">Sens!$M$2995-Sens!$M$2997</f>
        <v>236.035261011339</v>
      </c>
      <c r="N3098" s="38" t="n">
        <f aca="false">Sens!$N$2995-Sens!$N$2997</f>
        <v>62.3677111412496</v>
      </c>
      <c r="O3098" s="38" t="n">
        <f aca="false">Sens!$O$2995-Sens!$O$2997</f>
        <v>80.6189463642798</v>
      </c>
    </row>
    <row r="3099" customFormat="false" ht="17.15" hidden="false" customHeight="false" outlineLevel="0" collapsed="false">
      <c r="A3099" s="0" t="s">
        <v>728</v>
      </c>
      <c r="B3099" s="0" t="s">
        <v>86</v>
      </c>
      <c r="C3099" s="38" t="n">
        <f aca="false">Sens!$C$3045*(1-Sens!$C$2993)</f>
        <v>0.0455891896019953</v>
      </c>
      <c r="D3099" s="38" t="n">
        <f aca="false">Sens!$D$3045*(1-Sens!$D$2993)</f>
        <v>0.227931791705753</v>
      </c>
      <c r="E3099" s="38" t="n">
        <f aca="false">Sens!$E$3045*(1-Sens!$E$2993)</f>
        <v>0.361164268820781</v>
      </c>
      <c r="F3099" s="38" t="n">
        <f aca="false">Sens!$F$3045*(1-Sens!$F$2993)</f>
        <v>0.471208018190203</v>
      </c>
      <c r="G3099" s="38" t="n">
        <f aca="false">Sens!$G$3045*(1-Sens!$G$2993)</f>
        <v>0.83170626714885</v>
      </c>
      <c r="H3099" s="38" t="n">
        <f aca="false">Sens!$H$3045*(1-Sens!$H$2993)</f>
        <v>2.35271136874315</v>
      </c>
      <c r="I3099" s="38" t="n">
        <f aca="false">Sens!$I$3045*(1-Sens!$I$2993)</f>
        <v>4.46305900024741</v>
      </c>
      <c r="J3099" s="38" t="n">
        <f aca="false">Sens!$J$3045*(1-Sens!$J$2993)</f>
        <v>6.63055328092195</v>
      </c>
      <c r="K3099" s="38" t="n">
        <f aca="false">Sens!$K$3045*(1-Sens!$K$2993)</f>
        <v>8.75186037365703</v>
      </c>
      <c r="L3099" s="38" t="n">
        <f aca="false">Sens!$L$3045*(1-Sens!$L$2993)</f>
        <v>10.2212794071718</v>
      </c>
      <c r="M3099" s="38" t="n">
        <f aca="false">Sens!$M$3045*(1-Sens!$M$2993)</f>
        <v>11.1280810756472</v>
      </c>
      <c r="N3099" s="38" t="n">
        <f aca="false">Sens!$N$3045*(1-Sens!$N$2993)</f>
        <v>0.0912435878202994</v>
      </c>
      <c r="O3099" s="38" t="n">
        <f aca="false">Sens!$O$3045*(1-Sens!$O$2993)</f>
        <v>0.137119578309265</v>
      </c>
    </row>
    <row r="3100" customFormat="false" ht="17.15" hidden="false" customHeight="false" outlineLevel="0" collapsed="false">
      <c r="A3100" s="0" t="s">
        <v>729</v>
      </c>
      <c r="B3100" s="0" t="s">
        <v>52</v>
      </c>
      <c r="C3100" s="28" t="n">
        <f aca="false">(Sens!$C$3101-Sens!$C$3097+Sens!$C$3099)/Sens!$C$3098</f>
        <v>-0.0292364215826579</v>
      </c>
      <c r="D3100" s="28" t="n">
        <f aca="false">(Sens!$D$3101-Sens!$D$3097+Sens!$D$3099)/Sens!$D$3098</f>
        <v>-0.0312406216748665</v>
      </c>
      <c r="E3100" s="28" t="n">
        <f aca="false">(Sens!$E$3101-Sens!$E$3097+Sens!$E$3099)/Sens!$E$3098</f>
        <v>-0.0211590078184749</v>
      </c>
      <c r="F3100" s="28" t="n">
        <f aca="false">Sens!$O$3100+(Sens!$E$3100-Sens!$N$3100)</f>
        <v>-0.0382539955245511</v>
      </c>
      <c r="G3100" s="28" t="n">
        <f aca="false">(Sens!$G$3101-Sens!$G$3097+Sens!$G$3099)/Sens!$G$3098</f>
        <v>-0.030385172031133</v>
      </c>
      <c r="H3100" s="28" t="n">
        <f aca="false">Sens!$G$3100+step_in</f>
        <v>-0.030385172031133</v>
      </c>
      <c r="I3100" s="28" t="n">
        <f aca="false">Sens!$H$3100+step_in</f>
        <v>-0.030385172031133</v>
      </c>
      <c r="J3100" s="28" t="n">
        <f aca="false">Sens!$I$3100+step_in</f>
        <v>-0.030385172031133</v>
      </c>
      <c r="K3100" s="28" t="n">
        <f aca="false">Sens!$J$3100+step_in</f>
        <v>-0.030385172031133</v>
      </c>
      <c r="L3100" s="28" t="n">
        <f aca="false">Sens!$K$3100</f>
        <v>-0.030385172031133</v>
      </c>
      <c r="M3100" s="28" t="n">
        <f aca="false">Sens!$L$3100</f>
        <v>-0.030385172031133</v>
      </c>
      <c r="N3100" s="28" t="n">
        <f aca="false">(Sens!$N$3101-Sens!$N$3097+Sens!$N$3099)/Sens!$N$3098</f>
        <v>-0.0216602600421776</v>
      </c>
      <c r="O3100" s="28" t="n">
        <f aca="false">(Sens!$O$3101-Sens!$O$3097+Sens!$O$3099)/Sens!$O$3098</f>
        <v>-0.0387552477482538</v>
      </c>
      <c r="P3100" s="8" t="s">
        <v>724</v>
      </c>
    </row>
    <row r="3101" customFormat="false" ht="17.15" hidden="false" customHeight="false" outlineLevel="0" collapsed="false">
      <c r="A3101" s="1" t="s">
        <v>730</v>
      </c>
      <c r="B3101" s="8" t="s">
        <v>86</v>
      </c>
      <c r="C3101" s="38" t="n">
        <f aca="false">Q!$D$23</f>
        <v>3.792</v>
      </c>
      <c r="D3101" s="38" t="n">
        <f aca="false">Q!$E$23</f>
        <v>4.75</v>
      </c>
      <c r="E3101" s="38" t="n">
        <f aca="false">Q!$P$23</f>
        <v>3.141</v>
      </c>
      <c r="F3101" s="38" t="n">
        <f aca="false">Sens!$F$3097+Sens!$F$3098*Sens!$F$3100-Sens!$F$3099</f>
        <v>2.7687233080221</v>
      </c>
      <c r="G3101" s="38" t="n">
        <f aca="false">Sens!$E$3101+Sens!$F$3101</f>
        <v>5.9097233080221</v>
      </c>
      <c r="H3101" s="38" t="n">
        <f aca="false">Sens!$H$3097+Sens!$H$3098*Sens!$H$3100-Sens!$H$3099</f>
        <v>6.25310068557783</v>
      </c>
      <c r="I3101" s="38" t="n">
        <f aca="false">Sens!$I$3097+Sens!$I$3098*Sens!$I$3100-Sens!$I$3099</f>
        <v>6.02635396621997</v>
      </c>
      <c r="J3101" s="38" t="n">
        <f aca="false">Sens!$J$3097+Sens!$J$3098*Sens!$J$3100-Sens!$J$3099</f>
        <v>5.61873266156566</v>
      </c>
      <c r="K3101" s="38" t="n">
        <f aca="false">Sens!$K$3097+Sens!$K$3098*Sens!$K$3100-Sens!$K$3099</f>
        <v>4.97517213574524</v>
      </c>
      <c r="L3101" s="38" t="n">
        <f aca="false">Sens!$L$3097+Sens!$L$3098*Sens!$L$3100-Sens!$L$3099</f>
        <v>5.14522854459066</v>
      </c>
      <c r="M3101" s="38" t="n">
        <f aca="false">Sens!$M$3097+Sens!$M$3098*Sens!$M$3100-Sens!$M$3099</f>
        <v>6.05660614908815</v>
      </c>
      <c r="N3101" s="38" t="n">
        <f aca="false">Q!$N$23</f>
        <v>2.511</v>
      </c>
      <c r="O3101" s="38" t="n">
        <f aca="false">Q!$O$23</f>
        <v>2.239</v>
      </c>
    </row>
    <row r="3102" customFormat="false" ht="17.15" hidden="false" customHeight="false" outlineLevel="0" collapsed="false">
      <c r="A3102" s="0" t="s">
        <v>731</v>
      </c>
      <c r="B3102" s="0" t="s">
        <v>86</v>
      </c>
      <c r="C3102" s="38" t="n">
        <f aca="false">Sens!$C$3042</f>
        <v>1.64417882953695</v>
      </c>
      <c r="D3102" s="38" t="n">
        <f aca="false">Sens!$D$3042</f>
        <v>5.39125073772939</v>
      </c>
      <c r="E3102" s="38" t="n">
        <f aca="false">Sens!$E$3042</f>
        <v>3.18348617147493</v>
      </c>
      <c r="F3102" s="38" t="n">
        <f aca="false">Sens!$F$3042</f>
        <v>8.27806059642226</v>
      </c>
      <c r="G3102" s="38" t="n">
        <f aca="false">Sens!$G$3042</f>
        <v>11.4615467678972</v>
      </c>
      <c r="H3102" s="38" t="n">
        <f aca="false">Sens!$H$3042</f>
        <v>26.1859456885487</v>
      </c>
      <c r="I3102" s="38" t="n">
        <f aca="false">Sens!$I$3042</f>
        <v>37.04424114757</v>
      </c>
      <c r="J3102" s="38" t="n">
        <f aca="false">Sens!$J$3042</f>
        <v>47.2610736233534</v>
      </c>
      <c r="K3102" s="38" t="n">
        <f aca="false">Sens!$K$3042</f>
        <v>52.0459876645985</v>
      </c>
      <c r="L3102" s="38" t="n">
        <f aca="false">Sens!$L$3042</f>
        <v>54.1033156405981</v>
      </c>
      <c r="M3102" s="38" t="n">
        <f aca="false">Sens!$M$3042</f>
        <v>52.1138209393421</v>
      </c>
      <c r="N3102" s="38" t="n">
        <f aca="false">Sens!$N$3042</f>
        <v>1.67921600037079</v>
      </c>
      <c r="O3102" s="38" t="n">
        <f aca="false">Sens!$O$3042</f>
        <v>3.71203473735861</v>
      </c>
    </row>
    <row r="3103" customFormat="false" ht="17.15" hidden="false" customHeight="false" outlineLevel="0" collapsed="false">
      <c r="A3103" s="0" t="s">
        <v>649</v>
      </c>
      <c r="B3103" s="0" t="s">
        <v>86</v>
      </c>
      <c r="C3103" s="38" t="n">
        <f aca="false">Sens!$C$3047</f>
        <v>38.1898211704631</v>
      </c>
      <c r="D3103" s="38" t="n">
        <f aca="false">Sens!$D$3047</f>
        <v>40.2147492622706</v>
      </c>
      <c r="E3103" s="38" t="n">
        <f aca="false">Sens!$E$3047</f>
        <v>27.5985138285251</v>
      </c>
      <c r="F3103" s="38" t="n">
        <f aca="false">Sens!$F$3047</f>
        <v>25.5484769754606</v>
      </c>
      <c r="G3103" s="38" t="n">
        <f aca="false">Sens!$G$3047</f>
        <v>53.1469908039857</v>
      </c>
      <c r="H3103" s="38" t="n">
        <f aca="false">Sens!$H$3047</f>
        <v>56.9369552288238</v>
      </c>
      <c r="I3103" s="38" t="n">
        <f aca="false">Sens!$I$3047</f>
        <v>62.3603945907592</v>
      </c>
      <c r="J3103" s="38" t="n">
        <f aca="false">Sens!$J$3047</f>
        <v>66.8894246936155</v>
      </c>
      <c r="K3103" s="38" t="n">
        <f aca="false">Sens!$K$3047</f>
        <v>70.2338959282962</v>
      </c>
      <c r="L3103" s="38" t="n">
        <f aca="false">Sens!$L$3047</f>
        <v>73.7455907247111</v>
      </c>
      <c r="M3103" s="38" t="n">
        <f aca="false">Sens!$M$3047</f>
        <v>77.4328702609466</v>
      </c>
      <c r="N3103" s="38" t="n">
        <f aca="false">Sens!$N$3047</f>
        <v>20.0277839996292</v>
      </c>
      <c r="O3103" s="38" t="n">
        <f aca="false">Sens!$O$3047</f>
        <v>20.1869652626414</v>
      </c>
    </row>
    <row r="3104" customFormat="false" ht="17.15" hidden="false" customHeight="false" outlineLevel="0" collapsed="false">
      <c r="A3104" s="1" t="s">
        <v>732</v>
      </c>
      <c r="B3104" s="8" t="s">
        <v>86</v>
      </c>
      <c r="C3104" s="38" t="n">
        <f aca="false">Q!$D$24</f>
        <v>39.834</v>
      </c>
      <c r="D3104" s="38" t="n">
        <f aca="false">Q!$E$24</f>
        <v>45.606</v>
      </c>
      <c r="E3104" s="38" t="n">
        <f aca="false">Q!$P$24</f>
        <v>30.782</v>
      </c>
      <c r="F3104" s="38" t="n">
        <f aca="false">Sens!$F$3102+Sens!$F$3103</f>
        <v>33.8265375718829</v>
      </c>
      <c r="G3104" s="38" t="n">
        <f aca="false">Sens!$G$3102+Sens!$G$3103</f>
        <v>64.6085375718829</v>
      </c>
      <c r="H3104" s="38" t="n">
        <f aca="false">Sens!$H$3102+Sens!$H$3103</f>
        <v>83.1229009173724</v>
      </c>
      <c r="I3104" s="38" t="n">
        <f aca="false">Sens!$I$3102+Sens!$I$3103</f>
        <v>99.4046357383292</v>
      </c>
      <c r="J3104" s="38" t="n">
        <f aca="false">Sens!$J$3102+Sens!$J$3103</f>
        <v>114.150498316969</v>
      </c>
      <c r="K3104" s="38" t="n">
        <f aca="false">Sens!$K$3102+Sens!$K$3103</f>
        <v>122.279883592895</v>
      </c>
      <c r="L3104" s="38" t="n">
        <f aca="false">Sens!$L$3102+Sens!$L$3103</f>
        <v>127.848906365309</v>
      </c>
      <c r="M3104" s="38" t="n">
        <f aca="false">Sens!$M$3102+Sens!$M$3103</f>
        <v>129.546691200289</v>
      </c>
      <c r="N3104" s="38" t="n">
        <f aca="false">Q!$N$24</f>
        <v>21.707</v>
      </c>
      <c r="O3104" s="38" t="n">
        <f aca="false">Q!$O$24</f>
        <v>23.899</v>
      </c>
    </row>
    <row r="3105" customFormat="false" ht="17.15" hidden="false" customHeight="false" outlineLevel="0" collapsed="false">
      <c r="A3105" s="5" t="s">
        <v>733</v>
      </c>
      <c r="B3105" s="0" t="s">
        <v>86</v>
      </c>
      <c r="C3105" s="38" t="n">
        <f aca="false">Q!$D$26</f>
        <v>0</v>
      </c>
      <c r="D3105" s="38" t="n">
        <f aca="false">Q!$E$26</f>
        <v>0</v>
      </c>
      <c r="E3105" s="38" t="n">
        <f aca="false">Q!$P$26</f>
        <v>0</v>
      </c>
      <c r="F3105" s="39" t="n">
        <v>0</v>
      </c>
      <c r="G3105" s="38" t="n">
        <f aca="false">Sens!$E$3105+Sens!$F$3105</f>
        <v>0</v>
      </c>
      <c r="H3105" s="39" t="n">
        <v>0</v>
      </c>
      <c r="I3105" s="39" t="n">
        <v>0</v>
      </c>
      <c r="J3105" s="39" t="n">
        <v>0</v>
      </c>
      <c r="K3105" s="39" t="n">
        <v>0</v>
      </c>
      <c r="L3105" s="39" t="n">
        <v>0</v>
      </c>
      <c r="M3105" s="39" t="n">
        <v>0</v>
      </c>
      <c r="N3105" s="38" t="n">
        <f aca="false">Q!$N$26</f>
        <v>0</v>
      </c>
      <c r="O3105" s="38" t="n">
        <f aca="false">Q!$O$26</f>
        <v>0</v>
      </c>
    </row>
    <row r="3106" customFormat="false" ht="15" hidden="false" customHeight="false" outlineLevel="0" collapsed="false">
      <c r="A3106" s="3" t="s">
        <v>534</v>
      </c>
      <c r="B3106" s="8" t="s">
        <v>86</v>
      </c>
      <c r="C3106" s="38" t="n">
        <f aca="false">Q!$D$25</f>
        <v>68.593</v>
      </c>
      <c r="D3106" s="38" t="n">
        <f aca="false">Q!$E$25</f>
        <v>79.975</v>
      </c>
      <c r="E3106" s="38" t="n">
        <f aca="false">Q!$P$25</f>
        <v>51.313</v>
      </c>
      <c r="F3106" s="38" t="n">
        <f aca="false">Sens!$F$3096+Sens!$F$3101+Sens!$F$3104+Sens!$F$3105</f>
        <v>56.6904916268541</v>
      </c>
      <c r="G3106" s="38" t="n">
        <f aca="false">Sens!$G$3096+Sens!$G$3101+Sens!$G$3104+Sens!$G$3105</f>
        <v>108.003491626854</v>
      </c>
      <c r="H3106" s="38" t="n">
        <f aca="false">Sens!$H$3096+Sens!$H$3101+Sens!$H$3104+Sens!$H$3105</f>
        <v>131.164870490671</v>
      </c>
      <c r="I3106" s="38" t="n">
        <f aca="false">Sens!$I$3096+Sens!$I$3101+Sens!$I$3104+Sens!$I$3105</f>
        <v>150.165587091976</v>
      </c>
      <c r="J3106" s="38" t="n">
        <f aca="false">Sens!$J$3096+Sens!$J$3101+Sens!$J$3104+Sens!$J$3105</f>
        <v>167.028274479692</v>
      </c>
      <c r="K3106" s="38" t="n">
        <f aca="false">Sens!$K$3096+Sens!$K$3101+Sens!$K$3104+Sens!$K$3105</f>
        <v>176.381435646979</v>
      </c>
      <c r="L3106" s="38" t="n">
        <f aca="false">Sens!$L$3096+Sens!$L$3101+Sens!$L$3104+Sens!$L$3105</f>
        <v>184.67248859572</v>
      </c>
      <c r="M3106" s="38" t="n">
        <f aca="false">Sens!$M$3096+Sens!$M$3101+Sens!$M$3104+Sens!$M$3105</f>
        <v>191.896518980242</v>
      </c>
      <c r="N3106" s="38" t="n">
        <f aca="false">Q!$N$25</f>
        <v>37.576</v>
      </c>
      <c r="O3106" s="38" t="n">
        <f aca="false">Q!$O$25</f>
        <v>42.399</v>
      </c>
    </row>
    <row r="3107" customFormat="false" ht="17.15" hidden="false" customHeight="false" outlineLevel="0" collapsed="false">
      <c r="A3107" s="24" t="s">
        <v>764</v>
      </c>
      <c r="B3107" s="25" t="s">
        <v>86</v>
      </c>
      <c r="C3107" s="41" t="n">
        <f aca="false">Sens!$C$3096+Sens!$C$3101+Sens!$C$3104+Sens!$C$3105-Sens!$C$3106</f>
        <v>0</v>
      </c>
      <c r="D3107" s="41" t="n">
        <f aca="false">Sens!$D$3096+Sens!$D$3101+Sens!$D$3104+Sens!$D$3105-Sens!$D$3106</f>
        <v>0</v>
      </c>
      <c r="E3107" s="41" t="n">
        <f aca="false">Sens!$E$3096+Sens!$E$3101+Sens!$E$3104+Sens!$E$3105-Sens!$E$3106</f>
        <v>0</v>
      </c>
      <c r="F3107" s="41" t="n">
        <f aca="false">Sens!$F$3096+Sens!$F$3101+Sens!$F$3104+Sens!$F$3105-Sens!$F$3106</f>
        <v>0</v>
      </c>
      <c r="G3107" s="41" t="n">
        <f aca="false">Sens!$G$3096+Sens!$G$3101+Sens!$G$3104+Sens!$G$3105-Sens!$G$3106</f>
        <v>0</v>
      </c>
      <c r="H3107" s="41" t="n">
        <f aca="false">Sens!$H$3096+Sens!$H$3101+Sens!$H$3104+Sens!$H$3105-Sens!$H$3106</f>
        <v>0</v>
      </c>
      <c r="I3107" s="41" t="n">
        <f aca="false">Sens!$I$3096+Sens!$I$3101+Sens!$I$3104+Sens!$I$3105-Sens!$I$3106</f>
        <v>0</v>
      </c>
      <c r="J3107" s="41" t="n">
        <f aca="false">Sens!$J$3096+Sens!$J$3101+Sens!$J$3104+Sens!$J$3105-Sens!$J$3106</f>
        <v>0</v>
      </c>
      <c r="K3107" s="41" t="n">
        <f aca="false">Sens!$K$3096+Sens!$K$3101+Sens!$K$3104+Sens!$K$3105-Sens!$K$3106</f>
        <v>0</v>
      </c>
      <c r="L3107" s="41" t="n">
        <f aca="false">Sens!$L$3096+Sens!$L$3101+Sens!$L$3104+Sens!$L$3105-Sens!$L$3106</f>
        <v>0</v>
      </c>
      <c r="M3107" s="41" t="n">
        <f aca="false">Sens!$M$3096+Sens!$M$3101+Sens!$M$3104+Sens!$M$3105-Sens!$M$3106</f>
        <v>0</v>
      </c>
      <c r="N3107" s="41" t="n">
        <f aca="false">Sens!$N$3096+Sens!$N$3101+Sens!$N$3104+Sens!$N$3105-Sens!$N$3106</f>
        <v>0</v>
      </c>
      <c r="O3107" s="41" t="n">
        <f aca="false">Sens!$O$3096+Sens!$O$3101+Sens!$O$3104+Sens!$O$3105-Sens!$O$3106</f>
        <v>0</v>
      </c>
    </row>
    <row r="3108" customFormat="false" ht="17.15" hidden="false" customHeight="false" outlineLevel="0" collapsed="false">
      <c r="A3108" s="5" t="s">
        <v>735</v>
      </c>
      <c r="B3108" s="0" t="s">
        <v>86</v>
      </c>
      <c r="C3108" s="38" t="n">
        <f aca="false">Sens!$C$3044</f>
        <v>0</v>
      </c>
      <c r="D3108" s="38" t="n">
        <f aca="false">Sens!$D$3044</f>
        <v>0</v>
      </c>
      <c r="E3108" s="38" t="n">
        <f aca="false">Sens!$E$3044</f>
        <v>0</v>
      </c>
      <c r="F3108" s="38" t="n">
        <f aca="false">Sens!$F$3044</f>
        <v>3.77122048175818</v>
      </c>
      <c r="G3108" s="38" t="n">
        <f aca="false">Sens!$G$3044</f>
        <v>3.77122048175818</v>
      </c>
      <c r="H3108" s="38" t="n">
        <f aca="false">Sens!$H$3044</f>
        <v>15.1635543609893</v>
      </c>
      <c r="I3108" s="38" t="n">
        <f aca="false">Sens!$I$3044</f>
        <v>25.5818843619889</v>
      </c>
      <c r="J3108" s="38" t="n">
        <f aca="false">Sens!$J$3044</f>
        <v>36.0465624179122</v>
      </c>
      <c r="K3108" s="38" t="n">
        <f aca="false">Sens!$K$3044</f>
        <v>44.9741164026038</v>
      </c>
      <c r="L3108" s="38" t="n">
        <f aca="false">Sens!$L$3044</f>
        <v>50.8413488057813</v>
      </c>
      <c r="M3108" s="38" t="n">
        <f aca="false">Sens!$M$3044</f>
        <v>53.6407214274315</v>
      </c>
      <c r="N3108" s="38" t="n">
        <f aca="false">Sens!$N$3044</f>
        <v>0</v>
      </c>
      <c r="O3108" s="38" t="n">
        <f aca="false">Sens!$O$3044</f>
        <v>0</v>
      </c>
      <c r="P3108" s="5" t="s">
        <v>736</v>
      </c>
    </row>
    <row r="3109" customFormat="false" ht="17.15" hidden="false" customHeight="false" outlineLevel="0" collapsed="false">
      <c r="A3109" s="5" t="s">
        <v>737</v>
      </c>
      <c r="B3109" s="0" t="s">
        <v>86</v>
      </c>
      <c r="C3109" s="38" t="n">
        <f aca="false">Sens!$C$3106+Sens!$C$3108</f>
        <v>68.593</v>
      </c>
      <c r="D3109" s="38" t="n">
        <f aca="false">Sens!$D$3106+Sens!$D$3108</f>
        <v>79.975</v>
      </c>
      <c r="E3109" s="38" t="n">
        <f aca="false">Sens!$E$3106+Sens!$E$3108</f>
        <v>51.313</v>
      </c>
      <c r="F3109" s="38" t="n">
        <f aca="false">Sens!$F$3106+Sens!$F$3108</f>
        <v>60.4617121086123</v>
      </c>
      <c r="G3109" s="38" t="n">
        <f aca="false">Sens!$G$3106+Sens!$G$3108</f>
        <v>111.774712108612</v>
      </c>
      <c r="H3109" s="38" t="n">
        <f aca="false">Sens!$H$3106+Sens!$H$3108</f>
        <v>146.32842485166</v>
      </c>
      <c r="I3109" s="38" t="n">
        <f aca="false">Sens!$I$3106+Sens!$I$3108</f>
        <v>175.747471453965</v>
      </c>
      <c r="J3109" s="38" t="n">
        <f aca="false">Sens!$J$3106+Sens!$J$3108</f>
        <v>203.074836897604</v>
      </c>
      <c r="K3109" s="38" t="n">
        <f aca="false">Sens!$K$3106+Sens!$K$3108</f>
        <v>221.355552049582</v>
      </c>
      <c r="L3109" s="38" t="n">
        <f aca="false">Sens!$L$3106+Sens!$L$3108</f>
        <v>235.513837401501</v>
      </c>
      <c r="M3109" s="38" t="n">
        <f aca="false">Sens!$M$3106+Sens!$M$3108</f>
        <v>245.537240407674</v>
      </c>
      <c r="N3109" s="38" t="n">
        <f aca="false">Sens!$N$3106+Sens!$N$3108</f>
        <v>37.576</v>
      </c>
      <c r="O3109" s="38" t="n">
        <f aca="false">Sens!$O$3106+Sens!$O$3108</f>
        <v>42.399</v>
      </c>
    </row>
    <row r="3110" customFormat="false" ht="17.15" hidden="false" customHeight="false" outlineLevel="0" collapsed="false">
      <c r="A3110" s="0" t="s">
        <v>738</v>
      </c>
      <c r="B3110" s="0" t="s">
        <v>52</v>
      </c>
      <c r="C3110" s="13" t="n">
        <f aca="false">Sens!$C$3096/Sens!$C$3081</f>
        <v>0.0644314665661928</v>
      </c>
      <c r="D3110" s="13" t="n">
        <f aca="false">Sens!$D$3096/Sens!$D$3081</f>
        <v>0.0694784250712518</v>
      </c>
      <c r="E3110" s="13" t="n">
        <f aca="false">Sens!$E$3096/Sens!$E$3081</f>
        <v>0.0789306463326071</v>
      </c>
      <c r="F3110" s="13" t="n">
        <f aca="false">Sens!$F$3096/Sens!$F$3081</f>
        <v>0.0801757457241943</v>
      </c>
      <c r="G3110" s="13" t="n">
        <f aca="false">Sens!$G$3096/Sens!$G$3081</f>
        <v>0.0795932749625682</v>
      </c>
      <c r="H3110" s="13" t="n">
        <f aca="false">Sens!$H$3096/Sens!$H$3081</f>
        <v>0.0801494276915951</v>
      </c>
      <c r="I3110" s="13" t="n">
        <f aca="false">Sens!$I$3096/Sens!$I$3081</f>
        <v>0.0784619467108939</v>
      </c>
      <c r="J3110" s="13" t="n">
        <f aca="false">Sens!$J$3096/Sens!$J$3081</f>
        <v>0.0767950945569155</v>
      </c>
      <c r="K3110" s="13" t="n">
        <f aca="false">Sens!$K$3096/Sens!$K$3081</f>
        <v>0.0749782708028101</v>
      </c>
      <c r="L3110" s="13" t="n">
        <f aca="false">Sens!$L$3096/Sens!$L$3081</f>
        <v>0.0740581549602486</v>
      </c>
      <c r="M3110" s="13" t="n">
        <f aca="false">Sens!$M$3096/Sens!$M$3081</f>
        <v>0.075724068445432</v>
      </c>
      <c r="N3110" s="13" t="n">
        <f aca="false">Sens!$N$3096/Sens!$N$3081</f>
        <v>0.069228576611127</v>
      </c>
      <c r="O3110" s="13" t="n">
        <f aca="false">Sens!$O$3096/Sens!$O$3081</f>
        <v>0.069685022498393</v>
      </c>
    </row>
    <row r="3111" customFormat="false" ht="17.15" hidden="false" customHeight="false" outlineLevel="0" collapsed="false">
      <c r="A3111" s="0" t="s">
        <v>739</v>
      </c>
      <c r="B3111" s="0" t="s">
        <v>52</v>
      </c>
      <c r="C3111" s="13" t="n">
        <f aca="false">Sens!$C$3101/Sens!$C$3082</f>
        <v>0.026534925055631</v>
      </c>
      <c r="D3111" s="13" t="n">
        <f aca="false">Sens!$D$3101/Sens!$D$3082</f>
        <v>0.0293401855535103</v>
      </c>
      <c r="E3111" s="13" t="n">
        <f aca="false">Sens!$E$3101/Sens!$E$3082</f>
        <v>0.03831141902276</v>
      </c>
      <c r="F3111" s="13" t="n">
        <f aca="false">Sens!$F$3101/Sens!$F$3082</f>
        <v>0.0281350107328284</v>
      </c>
      <c r="G3111" s="13" t="n">
        <f aca="false">Sens!$G$3101/Sens!$G$3082</f>
        <v>0.0327600029432073</v>
      </c>
      <c r="H3111" s="13" t="n">
        <f aca="false">Sens!$H$3101/Sens!$H$3082</f>
        <v>0.031310920057557</v>
      </c>
      <c r="I3111" s="13" t="n">
        <f aca="false">Sens!$I$3101/Sens!$I$3082</f>
        <v>0.0275950243319601</v>
      </c>
      <c r="J3111" s="13" t="n">
        <f aca="false">Sens!$J$3101/Sens!$J$3082</f>
        <v>0.0238367762099147</v>
      </c>
      <c r="K3111" s="13" t="n">
        <f aca="false">Sens!$K$3101/Sens!$K$3082</f>
        <v>0.0198239122855479</v>
      </c>
      <c r="L3111" s="13" t="n">
        <f aca="false">Sens!$L$3101/Sens!$L$3082</f>
        <v>0.0192499447238486</v>
      </c>
      <c r="M3111" s="13" t="n">
        <f aca="false">Sens!$M$3101/Sens!$M$3082</f>
        <v>0.0212700135680342</v>
      </c>
      <c r="N3111" s="13" t="n">
        <f aca="false">Sens!$N$3101/Sens!$N$3082</f>
        <v>0.0357315650169337</v>
      </c>
      <c r="O3111" s="13" t="n">
        <f aca="false">Sens!$O$3101/Sens!$O$3082</f>
        <v>0.0244378956559703</v>
      </c>
    </row>
    <row r="3112" customFormat="false" ht="17.15" hidden="false" customHeight="false" outlineLevel="0" collapsed="false">
      <c r="A3112" s="14" t="s">
        <v>740</v>
      </c>
      <c r="B3112" s="14" t="s">
        <v>52</v>
      </c>
      <c r="C3112" s="17" t="n">
        <f aca="false">Sens!$C$3104/Sens!$C$3083</f>
        <v>0.370355907620217</v>
      </c>
      <c r="D3112" s="17" t="n">
        <f aca="false">Sens!$D$3104/Sens!$D$3083</f>
        <v>0.35429015342785</v>
      </c>
      <c r="E3112" s="17" t="n">
        <f aca="false">Sens!$E$3104/Sens!$E$3083</f>
        <v>0.385647527531039</v>
      </c>
      <c r="F3112" s="17" t="n">
        <f aca="false">Sens!$F$3104/Sens!$F$3083</f>
        <v>0.390008895496028</v>
      </c>
      <c r="G3112" s="17" t="n">
        <f aca="false">Sens!$G$3104/Sens!$G$3083</f>
        <v>0.387918733944362</v>
      </c>
      <c r="H3112" s="17" t="n">
        <f aca="false">Sens!$H$3104/Sens!$H$3083</f>
        <v>0.377642746878981</v>
      </c>
      <c r="I3112" s="17" t="n">
        <f aca="false">Sens!$I$3104/Sens!$I$3083</f>
        <v>0.35927278008887</v>
      </c>
      <c r="J3112" s="17" t="n">
        <f aca="false">Sens!$J$3104/Sens!$J$3083</f>
        <v>0.344941316237889</v>
      </c>
      <c r="K3112" s="17" t="n">
        <f aca="false">Sens!$K$3104/Sens!$K$3083</f>
        <v>0.325433069262228</v>
      </c>
      <c r="L3112" s="17" t="n">
        <f aca="false">Sens!$L$3104/Sens!$L$3083</f>
        <v>0.312673153332552</v>
      </c>
      <c r="M3112" s="17" t="n">
        <f aca="false">Sens!$M$3104/Sens!$M$3083</f>
        <v>0.301022597445922</v>
      </c>
      <c r="N3112" s="17" t="n">
        <f aca="false">Sens!$N$3104/Sens!$N$3083</f>
        <v>0.360941137346192</v>
      </c>
      <c r="O3112" s="17" t="n">
        <f aca="false">Sens!$O$3104/Sens!$O$3083</f>
        <v>0.348458117664212</v>
      </c>
    </row>
    <row r="3113" customFormat="false" ht="17.15" hidden="false" customHeight="false" outlineLevel="0" collapsed="false">
      <c r="A3113" s="0" t="s">
        <v>741</v>
      </c>
      <c r="B3113" s="0" t="s">
        <v>52</v>
      </c>
      <c r="C3113" s="13" t="n">
        <f aca="false">Sens!$C$3102/Sens!$C$3084</f>
        <v>0.708390794789371</v>
      </c>
      <c r="D3113" s="13" t="n">
        <f aca="false">Sens!$D$3102/Sens!$D$3084</f>
        <v>0.619415573115729</v>
      </c>
      <c r="E3113" s="13" t="n">
        <f aca="false">Sens!$E$3102/Sens!$E$3084</f>
        <v>0.374072166056273</v>
      </c>
      <c r="F3113" s="13" t="n">
        <f aca="false">Sens!$F$3102/Sens!$F$3084</f>
        <v>0.553219320710057</v>
      </c>
      <c r="G3113" s="13" t="n">
        <f aca="false">Sens!$G$3102/Sens!$G$3084</f>
        <v>0.488270041527512</v>
      </c>
      <c r="H3113" s="13" t="n">
        <f aca="false">Sens!$H$3102/Sens!$H$3084</f>
        <v>0.435229086816882</v>
      </c>
      <c r="I3113" s="13" t="n">
        <f aca="false">Sens!$I$3102/Sens!$I$3084</f>
        <v>0.364954592421095</v>
      </c>
      <c r="J3113" s="13" t="n">
        <f aca="false">Sens!$J$3102/Sens!$J$3084</f>
        <v>0.330438308582232</v>
      </c>
      <c r="K3113" s="13" t="n">
        <f aca="false">Sens!$K$3102/Sens!$K$3084</f>
        <v>0.2916589289528</v>
      </c>
      <c r="L3113" s="13" t="n">
        <f aca="false">Sens!$L$3102/Sens!$L$3084</f>
        <v>0.268199200593258</v>
      </c>
      <c r="M3113" s="13" t="n">
        <f aca="false">Sens!$M$3102/Sens!$M$3084</f>
        <v>0.244854995033574</v>
      </c>
      <c r="N3113" s="13" t="n">
        <f aca="false">Sens!$N$3102/Sens!$N$3084</f>
        <v>0.551227795793364</v>
      </c>
      <c r="O3113" s="13" t="n">
        <f aca="false">Sens!$O$3102/Sens!$O$3084</f>
        <v>0.656132068597002</v>
      </c>
    </row>
    <row r="3114" customFormat="false" ht="15" hidden="false" customHeight="false" outlineLevel="0" collapsed="false">
      <c r="A3114" s="5" t="s">
        <v>742</v>
      </c>
      <c r="B3114" s="0" t="s">
        <v>52</v>
      </c>
      <c r="C3114" s="13" t="n">
        <f aca="false">Sens!$C$3106/Sens!$C$3086</f>
        <v>0.107519448742004</v>
      </c>
      <c r="D3114" s="13" t="n">
        <f aca="false">Sens!$D$3106/Sens!$D$3086</f>
        <v>0.111552967957552</v>
      </c>
      <c r="E3114" s="13" t="n">
        <f aca="false">Sens!$E$3106/Sens!$E$3086</f>
        <v>0.13428328426562</v>
      </c>
      <c r="F3114" s="13" t="n">
        <f aca="false">Sens!$F$3106/Sens!$F$3086</f>
        <v>0.130089413875539</v>
      </c>
      <c r="G3114" s="13" t="n">
        <f aca="false">Sens!$G$3106/Sens!$G$3086</f>
        <v>0.132048786678316</v>
      </c>
      <c r="H3114" s="13" t="n">
        <f aca="false">Sens!$H$3106/Sens!$H$3086</f>
        <v>0.139358188113696</v>
      </c>
      <c r="I3114" s="13" t="n">
        <f aca="false">Sens!$I$3106/Sens!$I$3086</f>
        <v>0.140972450211408</v>
      </c>
      <c r="J3114" s="13" t="n">
        <f aca="false">Sens!$J$3106/Sens!$J$3086</f>
        <v>0.141305608383253</v>
      </c>
      <c r="K3114" s="13" t="n">
        <f aca="false">Sens!$K$3106/Sens!$K$3086</f>
        <v>0.137591441432773</v>
      </c>
      <c r="L3114" s="13" t="n">
        <f aca="false">Sens!$L$3106/Sens!$L$3086</f>
        <v>0.134406672121423</v>
      </c>
      <c r="M3114" s="13" t="n">
        <f aca="false">Sens!$M$3106/Sens!$M$3086</f>
        <v>0.131570852068921</v>
      </c>
      <c r="N3114" s="13" t="n">
        <f aca="false">Sens!$N$3106/Sens!$N$3086</f>
        <v>0.116201614873411</v>
      </c>
      <c r="O3114" s="13" t="n">
        <f aca="false">Sens!$O$3106/Sens!$O$3086</f>
        <v>0.107733353660861</v>
      </c>
    </row>
    <row r="3115" customFormat="false" ht="17.15" hidden="false" customHeight="false" outlineLevel="0" collapsed="false">
      <c r="A3115" s="1" t="s">
        <v>743</v>
      </c>
    </row>
    <row r="3116" customFormat="false" ht="17.15" hidden="false" customHeight="false" outlineLevel="0" collapsed="false">
      <c r="A3116" s="5" t="s">
        <v>744</v>
      </c>
      <c r="B3116" s="0" t="s">
        <v>52</v>
      </c>
      <c r="D3116" s="28" t="n">
        <f aca="false">(Q!$E$29+Q!$E$30-(1-ext_sh)*Sens!$D$3038)/Sens!$D$2992</f>
        <v>0.0341105596409988</v>
      </c>
    </row>
    <row r="3117" customFormat="false" ht="17.15" hidden="false" customHeight="false" outlineLevel="0" collapsed="false">
      <c r="A3117" s="0" t="s">
        <v>538</v>
      </c>
      <c r="B3117" s="0" t="s">
        <v>86</v>
      </c>
      <c r="C3117" s="38" t="n">
        <f aca="false">Q!$D$29</f>
        <v>14.285</v>
      </c>
      <c r="D3117" s="38" t="n">
        <f aca="false">Q!$E$29</f>
        <v>15.503</v>
      </c>
      <c r="E3117" s="38" t="n">
        <f aca="false">Q!$P$29</f>
        <v>8.78</v>
      </c>
      <c r="F3117" s="38" t="n">
        <f aca="false">(Sens!$D$3116*Sens!$F$2992+(1-ext_sh)*Sens!$F$3038)*Sens!$F$2993</f>
        <v>9.16735846116642</v>
      </c>
      <c r="G3117" s="38" t="n">
        <f aca="false">Sens!$E$3117+Sens!$F$3117</f>
        <v>17.9473584611664</v>
      </c>
      <c r="H3117" s="38" t="n">
        <f aca="false">(Sens!$D$3116*Sens!$H$2992+(1-ext_sh)*Sens!$H$3038)*Sens!$H$2993</f>
        <v>21.6406723110177</v>
      </c>
      <c r="I3117" s="38" t="n">
        <f aca="false">(Sens!$D$3116*Sens!$I$2992+(1-ext_sh)*Sens!$I$3038)*Sens!$I$2993</f>
        <v>27.3128215555087</v>
      </c>
      <c r="J3117" s="38" t="n">
        <f aca="false">(Sens!$D$3116*Sens!$J$2992+(1-ext_sh)*Sens!$J$3038)*Sens!$J$2993</f>
        <v>33.0116861885756</v>
      </c>
      <c r="K3117" s="38" t="n">
        <f aca="false">(Sens!$D$3116*Sens!$K$2992+(1-ext_sh)*Sens!$K$3038)*Sens!$K$2993</f>
        <v>38.6250238720245</v>
      </c>
      <c r="L3117" s="38" t="n">
        <f aca="false">(Sens!$D$3116*Sens!$L$2992+(1-ext_sh)*Sens!$L$3038)*Sens!$L$2993</f>
        <v>43.0711535197861</v>
      </c>
      <c r="M3117" s="38" t="n">
        <f aca="false">(Sens!$D$3116*Sens!$M$2992+(1-ext_sh)*Sens!$M$3038)*Sens!$M$2993</f>
        <v>46.590728630326</v>
      </c>
      <c r="N3117" s="38" t="n">
        <f aca="false">Q!$N$29</f>
        <v>7.272</v>
      </c>
      <c r="O3117" s="38" t="n">
        <f aca="false">Q!$O$29</f>
        <v>8.231</v>
      </c>
    </row>
    <row r="3118" customFormat="false" ht="17.15" hidden="false" customHeight="false" outlineLevel="0" collapsed="false">
      <c r="A3118" s="0" t="s">
        <v>540</v>
      </c>
      <c r="B3118" s="0" t="s">
        <v>86</v>
      </c>
      <c r="C3118" s="38" t="n">
        <f aca="false">Q!$D$30</f>
        <v>4.462</v>
      </c>
      <c r="D3118" s="38" t="n">
        <f aca="false">Q!$E$30</f>
        <v>4.907</v>
      </c>
      <c r="E3118" s="38" t="n">
        <f aca="false">Q!$P$30</f>
        <v>2.57</v>
      </c>
      <c r="F3118" s="38" t="n">
        <f aca="false">(Sens!$D$3116*Sens!$F$2992+(1-ext_sh)*Sens!$F$3038)*(1-Sens!$F$2993)</f>
        <v>3.59937168293151</v>
      </c>
      <c r="G3118" s="38" t="n">
        <f aca="false">Sens!$E$3118+Sens!$F$3118</f>
        <v>6.16937168293151</v>
      </c>
      <c r="H3118" s="38" t="n">
        <f aca="false">(Sens!$D$3116*Sens!$H$2992+(1-ext_sh)*Sens!$H$3038)*(1-Sens!$H$2993)</f>
        <v>8.28915290031442</v>
      </c>
      <c r="I3118" s="38" t="n">
        <f aca="false">(Sens!$D$3116*Sens!$I$2992+(1-ext_sh)*Sens!$I$3038)*(1-Sens!$I$2993)</f>
        <v>10.4617892992793</v>
      </c>
      <c r="J3118" s="38" t="n">
        <f aca="false">(Sens!$D$3116*Sens!$J$2992+(1-ext_sh)*Sens!$J$3038)*(1-Sens!$J$2993)</f>
        <v>12.6446586493057</v>
      </c>
      <c r="K3118" s="38" t="n">
        <f aca="false">(Sens!$D$3116*Sens!$K$2992+(1-ext_sh)*Sens!$K$3038)*(1-Sens!$K$2993)</f>
        <v>14.7947681131192</v>
      </c>
      <c r="L3118" s="38" t="n">
        <f aca="false">(Sens!$D$3116*Sens!$L$2992+(1-ext_sh)*Sens!$L$3038)*(1-Sens!$L$2993)</f>
        <v>16.4977950771268</v>
      </c>
      <c r="M3118" s="38" t="n">
        <f aca="false">(Sens!$D$3116*Sens!$M$2992+(1-ext_sh)*Sens!$M$3038)*(1-Sens!$M$2993)</f>
        <v>17.8459184540772</v>
      </c>
      <c r="N3118" s="38" t="n">
        <f aca="false">Q!$N$30</f>
        <v>2.316</v>
      </c>
      <c r="O3118" s="38" t="n">
        <f aca="false">Q!$O$30</f>
        <v>2.591</v>
      </c>
    </row>
    <row r="3119" customFormat="false" ht="17.15" hidden="false" customHeight="false" outlineLevel="0" collapsed="false">
      <c r="A3119" s="0" t="s">
        <v>541</v>
      </c>
      <c r="B3119" s="0" t="s">
        <v>86</v>
      </c>
      <c r="C3119" s="38" t="n">
        <f aca="false">Sens!$C$3050</f>
        <v>13.32</v>
      </c>
      <c r="D3119" s="38" t="n">
        <f aca="false">Sens!$D$3050</f>
        <v>21.45</v>
      </c>
      <c r="E3119" s="38" t="n">
        <f aca="false">Sens!$E$3050</f>
        <v>15.353</v>
      </c>
      <c r="F3119" s="38" t="n">
        <f aca="false">Sens!$F$3050</f>
        <v>15.4404120185306</v>
      </c>
      <c r="G3119" s="38" t="n">
        <f aca="false">Sens!$G$3050</f>
        <v>30.7934120185306</v>
      </c>
      <c r="H3119" s="38" t="n">
        <f aca="false">Sens!$H$3050</f>
        <v>48.0707157385687</v>
      </c>
      <c r="I3119" s="38" t="n">
        <f aca="false">Sens!$I$3050</f>
        <v>72.7962444241714</v>
      </c>
      <c r="J3119" s="38" t="n">
        <f aca="false">Sens!$J$3050</f>
        <v>97.9117427561715</v>
      </c>
      <c r="K3119" s="38" t="n">
        <f aca="false">Sens!$K$3050</f>
        <v>123.022598349445</v>
      </c>
      <c r="L3119" s="38" t="n">
        <f aca="false">Sens!$L$3050</f>
        <v>141.229713765409</v>
      </c>
      <c r="M3119" s="38" t="n">
        <f aca="false">Sens!$M$3050</f>
        <v>153.828838612817</v>
      </c>
      <c r="N3119" s="38" t="n">
        <f aca="false">Sens!$N$3050</f>
        <v>9.234</v>
      </c>
      <c r="O3119" s="38" t="n">
        <f aca="false">Sens!$O$3050</f>
        <v>12.216</v>
      </c>
    </row>
    <row r="3120" customFormat="false" ht="17.15" hidden="false" customHeight="false" outlineLevel="0" collapsed="false">
      <c r="A3120" s="5" t="s">
        <v>745</v>
      </c>
      <c r="B3120" s="0" t="s">
        <v>86</v>
      </c>
      <c r="C3120" s="38" t="n">
        <f aca="false">Sens!$C$3117+Sens!$C$3118+Sens!$C$3119</f>
        <v>32.067</v>
      </c>
      <c r="D3120" s="38" t="n">
        <f aca="false">Sens!$D$3117+Sens!$D$3118+Sens!$D$3119</f>
        <v>41.86</v>
      </c>
      <c r="E3120" s="38" t="n">
        <f aca="false">Sens!$E$3117+Sens!$E$3118+Sens!$E$3119</f>
        <v>26.703</v>
      </c>
      <c r="F3120" s="38" t="n">
        <f aca="false">Sens!$F$3117+Sens!$F$3118+Sens!$F$3119</f>
        <v>28.2071421626285</v>
      </c>
      <c r="G3120" s="38" t="n">
        <f aca="false">Sens!$G$3117+Sens!$G$3118+Sens!$G$3119</f>
        <v>54.9101421626285</v>
      </c>
      <c r="H3120" s="38" t="n">
        <f aca="false">Sens!$H$3117+Sens!$H$3118+Sens!$H$3119</f>
        <v>78.0005409499009</v>
      </c>
      <c r="I3120" s="38" t="n">
        <f aca="false">Sens!$I$3117+Sens!$I$3118+Sens!$I$3119</f>
        <v>110.570855278959</v>
      </c>
      <c r="J3120" s="38" t="n">
        <f aca="false">Sens!$J$3117+Sens!$J$3118+Sens!$J$3119</f>
        <v>143.568087594053</v>
      </c>
      <c r="K3120" s="38" t="n">
        <f aca="false">Sens!$K$3117+Sens!$K$3118+Sens!$K$3119</f>
        <v>176.442390334588</v>
      </c>
      <c r="L3120" s="38" t="n">
        <f aca="false">Sens!$L$3117+Sens!$L$3118+Sens!$L$3119</f>
        <v>200.798662362322</v>
      </c>
      <c r="M3120" s="38" t="n">
        <f aca="false">Sens!$M$3117+Sens!$M$3118+Sens!$M$3119</f>
        <v>218.26548569722</v>
      </c>
      <c r="N3120" s="38" t="n">
        <f aca="false">Sens!$N$3117+Sens!$N$3118+Sens!$N$3119</f>
        <v>18.822</v>
      </c>
      <c r="O3120" s="38" t="n">
        <f aca="false">Sens!$O$3117+Sens!$O$3118+Sens!$O$3119</f>
        <v>23.038</v>
      </c>
    </row>
    <row r="3121" customFormat="false" ht="17.15" hidden="false" customHeight="false" outlineLevel="0" collapsed="false">
      <c r="A3121" s="0" t="s">
        <v>746</v>
      </c>
      <c r="B3121" s="0" t="s">
        <v>86</v>
      </c>
      <c r="C3121" s="38" t="n">
        <f aca="false">Sens!$C$3092+Sens!$C$3097</f>
        <v>28.107</v>
      </c>
      <c r="D3121" s="38" t="n">
        <f aca="false">Sens!$D$3092+Sens!$D$3097</f>
        <v>34.3175</v>
      </c>
      <c r="E3121" s="38" t="n">
        <f aca="false">Sens!$E$3092+Sens!$E$3097</f>
        <v>18.526</v>
      </c>
      <c r="F3121" s="38" t="n">
        <f aca="false">Sens!$F$3092+Sens!$F$3097</f>
        <v>23.0786109972074</v>
      </c>
      <c r="G3121" s="38" t="n">
        <f aca="false">Sens!$G$3092+Sens!$G$3097</f>
        <v>41.6046109972074</v>
      </c>
      <c r="H3121" s="38" t="n">
        <f aca="false">Sens!$H$3092+Sens!$H$3097</f>
        <v>49.9484611939488</v>
      </c>
      <c r="I3121" s="38" t="n">
        <f aca="false">Sens!$I$3092+Sens!$I$3097</f>
        <v>58.2915555477481</v>
      </c>
      <c r="J3121" s="38" t="n">
        <f aca="false">Sens!$J$3092+Sens!$J$3097</f>
        <v>66.0744709709759</v>
      </c>
      <c r="K3121" s="38" t="n">
        <f aca="false">Sens!$K$3092+Sens!$K$3097</f>
        <v>72.6819180680735</v>
      </c>
      <c r="L3121" s="38" t="n">
        <f aca="false">Sens!$L$3092+Sens!$L$3097</f>
        <v>79.9501098748808</v>
      </c>
      <c r="M3121" s="38" t="n">
        <f aca="false">Sens!$M$3092+Sens!$M$3097</f>
        <v>87.9451208623689</v>
      </c>
      <c r="N3121" s="38" t="n">
        <f aca="false">Sens!$N$3092+Sens!$N$3097</f>
        <v>14.8075</v>
      </c>
      <c r="O3121" s="38" t="n">
        <f aca="false">Sens!$O$3092+Sens!$O$3097</f>
        <v>19.51</v>
      </c>
    </row>
    <row r="3122" customFormat="false" ht="17.15" hidden="false" customHeight="false" outlineLevel="0" collapsed="false">
      <c r="A3122" s="0" t="s">
        <v>747</v>
      </c>
      <c r="B3122" s="0" t="s">
        <v>86</v>
      </c>
      <c r="C3122" s="38" t="n">
        <f aca="false">Sens!$C$3096+Sens!$C$3101+Sens!$C$3117+Sens!$C$3118-Sens!$C$3121</f>
        <v>19.399</v>
      </c>
      <c r="D3122" s="38" t="n">
        <f aca="false">Sens!$D$3096+Sens!$D$3101+Sens!$D$3117+Sens!$D$3118-Sens!$D$3121</f>
        <v>20.4615</v>
      </c>
      <c r="E3122" s="38" t="n">
        <f aca="false">Sens!$E$3096+Sens!$E$3101+Sens!$E$3117+Sens!$E$3118-Sens!$E$3121</f>
        <v>13.355</v>
      </c>
      <c r="F3122" s="38" t="n">
        <f aca="false">Sens!$F$3096+Sens!$F$3101+Sens!$F$3117+Sens!$F$3118-Sens!$F$3121</f>
        <v>12.5520732018618</v>
      </c>
      <c r="G3122" s="38" t="n">
        <f aca="false">Sens!$G$3096+Sens!$G$3101+Sens!$G$3117+Sens!$G$3118-Sens!$G$3121</f>
        <v>25.9070732018618</v>
      </c>
      <c r="H3122" s="38" t="n">
        <f aca="false">Sens!$H$3096+Sens!$H$3101+Sens!$H$3117+Sens!$H$3118-Sens!$H$3121</f>
        <v>28.0233335906818</v>
      </c>
      <c r="I3122" s="38" t="n">
        <f aca="false">Sens!$I$3096+Sens!$I$3101+Sens!$I$3117+Sens!$I$3118-Sens!$I$3121</f>
        <v>30.2440066606864</v>
      </c>
      <c r="J3122" s="38" t="n">
        <f aca="false">Sens!$J$3096+Sens!$J$3101+Sens!$J$3117+Sens!$J$3118-Sens!$J$3121</f>
        <v>32.4596500296286</v>
      </c>
      <c r="K3122" s="38" t="n">
        <f aca="false">Sens!$K$3096+Sens!$K$3101+Sens!$K$3117+Sens!$K$3118-Sens!$K$3121</f>
        <v>34.839425971154</v>
      </c>
      <c r="L3122" s="38" t="n">
        <f aca="false">Sens!$L$3096+Sens!$L$3101+Sens!$L$3117+Sens!$L$3118-Sens!$L$3121</f>
        <v>36.4424209524427</v>
      </c>
      <c r="M3122" s="38" t="n">
        <f aca="false">Sens!$M$3096+Sens!$M$3101+Sens!$M$3117+Sens!$M$3118-Sens!$M$3121</f>
        <v>38.8413540019876</v>
      </c>
      <c r="N3122" s="38" t="n">
        <f aca="false">Sens!$N$3096+Sens!$N$3101+Sens!$N$3117+Sens!$N$3118-Sens!$N$3121</f>
        <v>10.6495</v>
      </c>
      <c r="O3122" s="38" t="n">
        <f aca="false">Sens!$O$3096+Sens!$O$3101+Sens!$O$3117+Sens!$O$3118-Sens!$O$3121</f>
        <v>9.81200000000001</v>
      </c>
    </row>
    <row r="3123" customFormat="false" ht="17.15" hidden="false" customHeight="false" outlineLevel="0" collapsed="false">
      <c r="A3123" s="0" t="s">
        <v>748</v>
      </c>
      <c r="B3123" s="0" t="s">
        <v>86</v>
      </c>
      <c r="C3123" s="38" t="n">
        <f aca="false">Sens!$C$3103+Sens!$C$3119-ext_sh*Sens!$C$3038</f>
        <v>51.3470500115664</v>
      </c>
      <c r="D3123" s="38" t="n">
        <f aca="false">Sens!$D$3103+Sens!$D$3119-ext_sh*Sens!$D$3038</f>
        <v>60.2799375433739</v>
      </c>
      <c r="E3123" s="38" t="n">
        <f aca="false">Sens!$E$3103+Sens!$E$3119-ext_sh*Sens!$E$3038</f>
        <v>39.5095167090767</v>
      </c>
      <c r="F3123" s="38" t="n">
        <f aca="false">Sens!$F$3103+Sens!$F$3119-ext_sh*Sens!$F$3038</f>
        <v>37.5468918745429</v>
      </c>
      <c r="G3123" s="38" t="n">
        <f aca="false">Sens!$G$3103+Sens!$G$3119-ext_sh*Sens!$G$3038</f>
        <v>77.0564085836196</v>
      </c>
      <c r="H3123" s="38" t="n">
        <f aca="false">Sens!$H$3103+Sens!$H$3119-ext_sh*Sens!$H$3038</f>
        <v>83.6764439498959</v>
      </c>
      <c r="I3123" s="38" t="n">
        <f aca="false">Sens!$I$3103+Sens!$I$3119-ext_sh*Sens!$I$3038</f>
        <v>91.6469108981339</v>
      </c>
      <c r="J3123" s="38" t="n">
        <f aca="false">Sens!$J$3103+Sens!$J$3119-ext_sh*Sens!$J$3038</f>
        <v>98.302924238257</v>
      </c>
      <c r="K3123" s="38" t="n">
        <f aca="false">Sens!$K$3103+Sens!$K$3119-ext_sh*Sens!$K$3038</f>
        <v>103.21807045017</v>
      </c>
      <c r="L3123" s="38" t="n">
        <f aca="false">Sens!$L$3103+Sens!$L$3119-ext_sh*Sens!$L$3038</f>
        <v>108.378973972678</v>
      </c>
      <c r="M3123" s="38" t="n">
        <f aca="false">Sens!$M$3103+Sens!$M$3119-ext_sh*Sens!$M$3038</f>
        <v>113.797922671312</v>
      </c>
      <c r="N3123" s="38" t="n">
        <f aca="false">Sens!$N$3103+Sens!$N$3119-ext_sh*Sens!$N$3038</f>
        <v>28.5693781401809</v>
      </c>
      <c r="O3123" s="38" t="n">
        <f aca="false">Sens!$O$3103+Sens!$O$3119-ext_sh*Sens!$O$3038</f>
        <v>31.7105594031931</v>
      </c>
    </row>
    <row r="3124" customFormat="false" ht="17.15" hidden="false" customHeight="false" outlineLevel="0" collapsed="false">
      <c r="A3124" s="0" t="s">
        <v>749</v>
      </c>
      <c r="B3124" s="0" t="s">
        <v>86</v>
      </c>
      <c r="C3124" s="38" t="n">
        <f aca="false">Sens!$C$3041</f>
        <v>1.80694998843362</v>
      </c>
      <c r="D3124" s="38" t="n">
        <f aca="false">Sens!$D$3041</f>
        <v>6.77606245662607</v>
      </c>
      <c r="E3124" s="38" t="n">
        <f aca="false">Sens!$E$3041</f>
        <v>6.62548329092326</v>
      </c>
      <c r="F3124" s="38" t="n">
        <f aca="false">Sens!$F$3041</f>
        <v>11.7200577158706</v>
      </c>
      <c r="G3124" s="38" t="n">
        <f aca="false">Sens!$G$3041</f>
        <v>18.3455410067939</v>
      </c>
      <c r="H3124" s="38" t="n">
        <f aca="false">Sens!$H$3041</f>
        <v>47.5171727060453</v>
      </c>
      <c r="I3124" s="38" t="n">
        <f aca="false">Sens!$I$3041</f>
        <v>80.5539692643667</v>
      </c>
      <c r="J3124" s="38" t="n">
        <f aca="false">Sens!$J$3041</f>
        <v>113.759316834883</v>
      </c>
      <c r="K3124" s="38" t="n">
        <f aca="false">Sens!$K$3041</f>
        <v>142.084411492169</v>
      </c>
      <c r="L3124" s="38" t="n">
        <f aca="false">Sens!$L$3041</f>
        <v>160.69964615804</v>
      </c>
      <c r="M3124" s="38" t="n">
        <f aca="false">Sens!$M$3041</f>
        <v>169.577607141793</v>
      </c>
      <c r="N3124" s="38" t="n">
        <f aca="false">Sens!$N$3041</f>
        <v>2.37162185981912</v>
      </c>
      <c r="O3124" s="38" t="n">
        <f aca="false">Sens!$O$3041</f>
        <v>4.40444059680694</v>
      </c>
    </row>
    <row r="3125" customFormat="false" ht="17.15" hidden="false" customHeight="false" outlineLevel="0" collapsed="false">
      <c r="A3125" s="0" t="s">
        <v>750</v>
      </c>
      <c r="B3125" s="0" t="s">
        <v>86</v>
      </c>
      <c r="C3125" s="38" t="n">
        <f aca="false">Sens!$C$3106+Sens!$C$3120</f>
        <v>100.66</v>
      </c>
      <c r="D3125" s="38" t="n">
        <f aca="false">Sens!$D$3106+Sens!$D$3120</f>
        <v>121.835</v>
      </c>
      <c r="E3125" s="38" t="n">
        <f aca="false">Sens!$E$3106+Sens!$E$3120</f>
        <v>78.016</v>
      </c>
      <c r="F3125" s="38" t="n">
        <f aca="false">Sens!$F$3106+Sens!$F$3120</f>
        <v>84.8976337894826</v>
      </c>
      <c r="G3125" s="38" t="n">
        <f aca="false">Sens!$G$3106+Sens!$G$3120</f>
        <v>162.913633789483</v>
      </c>
      <c r="H3125" s="38" t="n">
        <f aca="false">Sens!$H$3106+Sens!$H$3120</f>
        <v>209.165411440572</v>
      </c>
      <c r="I3125" s="38" t="n">
        <f aca="false">Sens!$I$3106+Sens!$I$3120</f>
        <v>260.736442370935</v>
      </c>
      <c r="J3125" s="38" t="n">
        <f aca="false">Sens!$J$3106+Sens!$J$3120</f>
        <v>310.596362073745</v>
      </c>
      <c r="K3125" s="38" t="n">
        <f aca="false">Sens!$K$3106+Sens!$K$3120</f>
        <v>352.823825981567</v>
      </c>
      <c r="L3125" s="38" t="n">
        <f aca="false">Sens!$L$3106+Sens!$L$3120</f>
        <v>385.471150958042</v>
      </c>
      <c r="M3125" s="38" t="n">
        <f aca="false">Sens!$M$3106+Sens!$M$3120</f>
        <v>410.162004677462</v>
      </c>
      <c r="N3125" s="38" t="n">
        <f aca="false">Sens!$N$3106+Sens!$N$3120</f>
        <v>56.398</v>
      </c>
      <c r="O3125" s="38" t="n">
        <f aca="false">Sens!$O$3106+Sens!$O$3120</f>
        <v>65.437</v>
      </c>
    </row>
    <row r="3126" customFormat="false" ht="17.15" hidden="false" customHeight="false" outlineLevel="0" collapsed="false">
      <c r="A3126" s="1" t="s">
        <v>751</v>
      </c>
    </row>
    <row r="3127" customFormat="false" ht="15" hidden="false" customHeight="false" outlineLevel="0" collapsed="false">
      <c r="A3127" s="5" t="s">
        <v>544</v>
      </c>
      <c r="B3127" s="0" t="s">
        <v>86</v>
      </c>
      <c r="C3127" s="38" t="n">
        <f aca="false">Q!$D$34</f>
        <v>2.406</v>
      </c>
      <c r="D3127" s="38" t="n">
        <f aca="false">Q!$E$34</f>
        <v>2.274</v>
      </c>
      <c r="E3127" s="38" t="n">
        <f aca="false">Q!$P$34</f>
        <v>2.114</v>
      </c>
      <c r="F3127" s="38" t="n">
        <f aca="false">Sens!$F$3165</f>
        <v>3.24888962733561</v>
      </c>
      <c r="G3127" s="38" t="n">
        <f aca="false">Sens!$E$3127+Sens!$F$3127</f>
        <v>5.36288962733561</v>
      </c>
      <c r="H3127" s="38" t="n">
        <f aca="false">Sens!$H$3165</f>
        <v>7.42354172302123</v>
      </c>
      <c r="I3127" s="38" t="n">
        <f aca="false">Sens!$I$3165</f>
        <v>8.50993940469471</v>
      </c>
      <c r="J3127" s="38" t="n">
        <f aca="false">Sens!$J$3165</f>
        <v>9.72509463072251</v>
      </c>
      <c r="K3127" s="38" t="n">
        <f aca="false">Sens!$K$3165</f>
        <v>9.72509463072251</v>
      </c>
      <c r="L3127" s="38" t="n">
        <f aca="false">Sens!$L$3165</f>
        <v>9.72509463072251</v>
      </c>
      <c r="M3127" s="38" t="n">
        <f aca="false">Sens!$M$3165</f>
        <v>9.72509463072251</v>
      </c>
      <c r="N3127" s="38" t="n">
        <f aca="false">Q!$N$34</f>
        <v>1.057</v>
      </c>
      <c r="O3127" s="38" t="n">
        <f aca="false">Q!$O$34</f>
        <v>1.217</v>
      </c>
    </row>
    <row r="3128" customFormat="false" ht="15" hidden="false" customHeight="false" outlineLevel="0" collapsed="false">
      <c r="A3128" s="5" t="s">
        <v>752</v>
      </c>
      <c r="B3128" s="0" t="s">
        <v>86</v>
      </c>
      <c r="F3128" s="38" t="n">
        <f aca="false">Sens!$F$3166</f>
        <v>2.59</v>
      </c>
      <c r="H3128" s="38" t="n">
        <f aca="false">Sens!$H$3166</f>
        <v>3.76965165045626</v>
      </c>
      <c r="I3128" s="38" t="n">
        <f aca="false">Sens!$I$3166</f>
        <v>2.10589651022864</v>
      </c>
      <c r="J3128" s="38" t="n">
        <f aca="false">Sens!$J$3166</f>
        <v>2.10589651022864</v>
      </c>
      <c r="K3128" s="38" t="n">
        <f aca="false">Sens!$K$3166</f>
        <v>2.92983544196376</v>
      </c>
      <c r="L3128" s="38" t="n">
        <f aca="false">Sens!$L$3166</f>
        <v>7.73315078650688</v>
      </c>
      <c r="M3128" s="38" t="n">
        <f aca="false">Sens!$M$3166</f>
        <v>14.9095631965986</v>
      </c>
    </row>
    <row r="3129" customFormat="false" ht="17.15" hidden="false" customHeight="false" outlineLevel="0" collapsed="false">
      <c r="A3129" s="5" t="s">
        <v>753</v>
      </c>
      <c r="B3129" s="0" t="s">
        <v>86</v>
      </c>
      <c r="C3129" s="38" t="n">
        <f aca="false">Q!$D$39</f>
        <v>2.427</v>
      </c>
      <c r="D3129" s="38" t="n">
        <f aca="false">Q!$E$39</f>
        <v>19.61</v>
      </c>
      <c r="E3129" s="38" t="n">
        <f aca="false">Q!$P$39</f>
        <v>71.492</v>
      </c>
      <c r="F3129" s="39" t="n">
        <v>0</v>
      </c>
      <c r="G3129" s="38" t="n">
        <f aca="false">Sens!$E$3129+Sens!$F$3129</f>
        <v>71.492</v>
      </c>
      <c r="H3129" s="39" t="n">
        <v>0</v>
      </c>
      <c r="I3129" s="39" t="n">
        <v>0</v>
      </c>
      <c r="J3129" s="39" t="n">
        <v>0</v>
      </c>
      <c r="K3129" s="39" t="n">
        <v>0</v>
      </c>
      <c r="L3129" s="39" t="n">
        <v>0</v>
      </c>
      <c r="M3129" s="39" t="n">
        <v>0</v>
      </c>
      <c r="N3129" s="38" t="n">
        <f aca="false">Q!$N$39</f>
        <v>6.017</v>
      </c>
      <c r="O3129" s="38" t="n">
        <f aca="false">Q!$O$39</f>
        <v>13.593</v>
      </c>
      <c r="P3129" s="5" t="s">
        <v>754</v>
      </c>
    </row>
    <row r="3130" customFormat="false" ht="15" hidden="false" customHeight="false" outlineLevel="0" collapsed="false">
      <c r="A3130" s="5" t="s">
        <v>547</v>
      </c>
      <c r="B3130" s="0" t="s">
        <v>86</v>
      </c>
      <c r="C3130" s="38" t="n">
        <f aca="false">Q!$D$36</f>
        <v>68.614</v>
      </c>
      <c r="D3130" s="38" t="n">
        <f aca="false">Q!$E$36</f>
        <v>97.311</v>
      </c>
      <c r="E3130" s="38" t="n">
        <f aca="false">Q!$P$36</f>
        <v>120.691</v>
      </c>
      <c r="F3130" s="38" t="n">
        <f aca="false">Sens!$F$3106-Sens!$F$3127+Sens!$F$3128+Sens!$F$3129</f>
        <v>56.0316019995185</v>
      </c>
      <c r="G3130" s="38" t="n">
        <f aca="false">Sens!$E$3130+Sens!$F$3130</f>
        <v>176.722601999518</v>
      </c>
      <c r="H3130" s="38" t="n">
        <f aca="false">Sens!$H$3106-Sens!$H$3127+Sens!$H$3128+Sens!$H$3129</f>
        <v>127.510980418106</v>
      </c>
      <c r="I3130" s="38" t="n">
        <f aca="false">Sens!$I$3106-Sens!$I$3127+Sens!$I$3128+Sens!$I$3129</f>
        <v>143.76154419751</v>
      </c>
      <c r="J3130" s="38" t="n">
        <f aca="false">Sens!$J$3106-Sens!$J$3127+Sens!$J$3128+Sens!$J$3129</f>
        <v>159.409076359198</v>
      </c>
      <c r="K3130" s="38" t="n">
        <f aca="false">Sens!$K$3106-Sens!$K$3127+Sens!$K$3128+Sens!$K$3129</f>
        <v>169.58617645822</v>
      </c>
      <c r="L3130" s="38" t="n">
        <f aca="false">Sens!$L$3106-Sens!$L$3127+Sens!$L$3128+Sens!$L$3129</f>
        <v>182.680544751504</v>
      </c>
      <c r="M3130" s="38" t="n">
        <f aca="false">Sens!$M$3106-Sens!$M$3127+Sens!$M$3128+Sens!$M$3129</f>
        <v>197.080987546118</v>
      </c>
      <c r="N3130" s="38" t="n">
        <f aca="false">Q!$N$36</f>
        <v>42.536</v>
      </c>
      <c r="O3130" s="38" t="n">
        <f aca="false">Q!$O$36</f>
        <v>54.775</v>
      </c>
    </row>
    <row r="3131" customFormat="false" ht="15" hidden="false" customHeight="false" outlineLevel="0" collapsed="false">
      <c r="A3131" s="5" t="s">
        <v>548</v>
      </c>
      <c r="B3131" s="0" t="s">
        <v>86</v>
      </c>
      <c r="C3131" s="38" t="n">
        <f aca="false">Q!$D$37</f>
        <v>9.265</v>
      </c>
      <c r="D3131" s="38" t="n">
        <f aca="false">Q!$E$37</f>
        <v>19.087</v>
      </c>
      <c r="E3131" s="38" t="n">
        <f aca="false">Q!$P$37</f>
        <v>27.759</v>
      </c>
      <c r="F3131" s="38" t="n">
        <f aca="false">Sens!$F$3130*tax</f>
        <v>9.72621910890414</v>
      </c>
      <c r="G3131" s="38" t="n">
        <f aca="false">Sens!$E$3131+Sens!$F$3131</f>
        <v>37.4852191089041</v>
      </c>
      <c r="H3131" s="38" t="n">
        <f aca="false">Sens!$H$3130*tax</f>
        <v>22.1339331748598</v>
      </c>
      <c r="I3131" s="38" t="n">
        <f aca="false">Sens!$I$3130*tax</f>
        <v>24.9547795958324</v>
      </c>
      <c r="J3131" s="38" t="n">
        <f aca="false">Sens!$J$3130*tax</f>
        <v>27.6709490589064</v>
      </c>
      <c r="K3131" s="38" t="n">
        <f aca="false">Sens!$K$3130*tax</f>
        <v>29.4375361619698</v>
      </c>
      <c r="L3131" s="38" t="n">
        <f aca="false">Sens!$L$3130*tax</f>
        <v>31.710515883561</v>
      </c>
      <c r="M3131" s="38" t="n">
        <f aca="false">Sens!$M$3130*tax</f>
        <v>34.2102099291972</v>
      </c>
      <c r="N3131" s="38" t="n">
        <f aca="false">Q!$N$37</f>
        <v>7.231</v>
      </c>
      <c r="O3131" s="38" t="n">
        <f aca="false">Q!$O$37</f>
        <v>11.856</v>
      </c>
    </row>
    <row r="3132" customFormat="false" ht="15" hidden="false" customHeight="false" outlineLevel="0" collapsed="false">
      <c r="A3132" s="3" t="s">
        <v>549</v>
      </c>
      <c r="B3132" s="8" t="s">
        <v>86</v>
      </c>
      <c r="C3132" s="38" t="n">
        <f aca="false">Q!$D$38</f>
        <v>59.248</v>
      </c>
      <c r="D3132" s="38" t="n">
        <f aca="false">Q!$E$38</f>
        <v>77.67</v>
      </c>
      <c r="E3132" s="38" t="n">
        <f aca="false">Q!$P$38</f>
        <v>92.902</v>
      </c>
      <c r="F3132" s="38" t="n">
        <f aca="false">Sens!$F$3130-Sens!$F$3131</f>
        <v>46.3053828906144</v>
      </c>
      <c r="G3132" s="38" t="n">
        <f aca="false">Sens!$E$3132+Sens!$F$3132</f>
        <v>139.207382890614</v>
      </c>
      <c r="H3132" s="38" t="n">
        <f aca="false">Sens!$H$3130-Sens!$H$3131</f>
        <v>105.377047243246</v>
      </c>
      <c r="I3132" s="38" t="n">
        <f aca="false">Sens!$I$3130-Sens!$I$3131</f>
        <v>118.806764601677</v>
      </c>
      <c r="J3132" s="38" t="n">
        <f aca="false">Sens!$J$3130-Sens!$J$3131</f>
        <v>131.738127300292</v>
      </c>
      <c r="K3132" s="38" t="n">
        <f aca="false">Sens!$K$3130-Sens!$K$3131</f>
        <v>140.14864029625</v>
      </c>
      <c r="L3132" s="38" t="n">
        <f aca="false">Sens!$L$3130-Sens!$L$3131</f>
        <v>150.970028867943</v>
      </c>
      <c r="M3132" s="38" t="n">
        <f aca="false">Sens!$M$3130-Sens!$M$3131</f>
        <v>162.870777616921</v>
      </c>
      <c r="N3132" s="38" t="n">
        <f aca="false">Q!$N$38</f>
        <v>35.291</v>
      </c>
      <c r="O3132" s="38" t="n">
        <f aca="false">Q!$O$38</f>
        <v>42.379</v>
      </c>
    </row>
    <row r="3133" customFormat="false" ht="17.15" hidden="false" customHeight="false" outlineLevel="0" collapsed="false">
      <c r="A3133" s="5" t="s">
        <v>552</v>
      </c>
      <c r="B3133" s="5" t="s">
        <v>33</v>
      </c>
      <c r="C3133" s="22" t="n">
        <f aca="false">Q!$D$41</f>
        <v>10.721</v>
      </c>
      <c r="D3133" s="22" t="n">
        <f aca="false">Q!$E$41</f>
        <v>10.827</v>
      </c>
      <c r="E3133" s="22" t="n">
        <f aca="false">(Q!$L$41+Q!$M$41)/2</f>
        <v>10.8885</v>
      </c>
      <c r="F3133" s="22" t="n">
        <f aca="false">Sens!$G$3133</f>
        <v>10.924806</v>
      </c>
      <c r="G3133" s="22" t="n">
        <f aca="false">Q!$M$41*(1+sh_g*0.25)</f>
        <v>10.924806</v>
      </c>
      <c r="H3133" s="22" t="n">
        <f aca="false">Sens!$G$3133*(1+sh_g)</f>
        <v>11.012204448</v>
      </c>
      <c r="I3133" s="22" t="n">
        <f aca="false">Sens!$H$3133*(1+sh_g)</f>
        <v>11.100302083584</v>
      </c>
      <c r="J3133" s="22" t="n">
        <f aca="false">Sens!$I$3133*(1+sh_g)</f>
        <v>11.1891045002527</v>
      </c>
      <c r="K3133" s="22" t="n">
        <f aca="false">Sens!$J$3133*(1+sh_g)</f>
        <v>11.2786173362547</v>
      </c>
      <c r="L3133" s="22" t="n">
        <f aca="false">Sens!$K$3133*(1+sh_g)</f>
        <v>11.3688462749447</v>
      </c>
      <c r="M3133" s="22" t="n">
        <f aca="false">Sens!$L$3133*(1+sh_g)</f>
        <v>11.4597970451443</v>
      </c>
      <c r="P3133" s="5" t="s">
        <v>755</v>
      </c>
    </row>
    <row r="3134" customFormat="false" ht="17.15" hidden="false" customHeight="false" outlineLevel="0" collapsed="false">
      <c r="A3134" s="5" t="s">
        <v>756</v>
      </c>
      <c r="B3134" s="0" t="s">
        <v>86</v>
      </c>
      <c r="C3134" s="38" t="n">
        <f aca="false">Sens!$C$3132+Sens!$C$3108*(1-tax)</f>
        <v>59.248</v>
      </c>
      <c r="D3134" s="38" t="n">
        <f aca="false">Sens!$D$3132+Sens!$D$3108*(1-tax)</f>
        <v>77.67</v>
      </c>
      <c r="E3134" s="38" t="n">
        <f aca="false">Sens!$E$3132+Sens!$E$3108*(1-tax)</f>
        <v>92.902</v>
      </c>
      <c r="F3134" s="38" t="n">
        <f aca="false">Sens!$F$3132+Sens!$F$3108*(1-tax)</f>
        <v>49.421977850263</v>
      </c>
      <c r="G3134" s="38" t="n">
        <f aca="false">Sens!$G$3132+Sens!$G$3108*(1-tax)</f>
        <v>142.323977850263</v>
      </c>
      <c r="H3134" s="38" t="n">
        <f aca="false">Sens!$H$3132+Sens!$H$3108*(1-tax)</f>
        <v>117.908443198591</v>
      </c>
      <c r="I3134" s="38" t="n">
        <f aca="false">Sens!$I$3132+Sens!$I$3108*(1-tax)</f>
        <v>139.948029676616</v>
      </c>
      <c r="J3134" s="38" t="n">
        <f aca="false">Sens!$J$3132+Sens!$J$3108*(1-tax)</f>
        <v>161.527564244575</v>
      </c>
      <c r="K3134" s="38" t="n">
        <f aca="false">Sens!$K$3132+Sens!$K$3108*(1-tax)</f>
        <v>177.315945992909</v>
      </c>
      <c r="L3134" s="38" t="n">
        <f aca="false">Sens!$L$3132+Sens!$L$3108*(1-tax)</f>
        <v>192.986106208498</v>
      </c>
      <c r="M3134" s="38" t="n">
        <f aca="false">Sens!$M$3132+Sens!$M$3108*(1-tax)</f>
        <v>207.200299807761</v>
      </c>
      <c r="N3134" s="38" t="n">
        <f aca="false">Sens!$N$3132+Sens!$N$3108*(1-tax)</f>
        <v>35.291</v>
      </c>
      <c r="O3134" s="38" t="n">
        <f aca="false">Sens!$O$3132+Sens!$O$3108*(1-tax)</f>
        <v>42.379</v>
      </c>
    </row>
    <row r="3135" customFormat="false" ht="17.15" hidden="false" customHeight="false" outlineLevel="0" collapsed="false">
      <c r="A3135" s="43" t="s">
        <v>757</v>
      </c>
      <c r="B3135" s="14" t="s">
        <v>27</v>
      </c>
      <c r="C3135" s="44" t="n">
        <f aca="false">Sens!$C$3134/Sens!$C$3133</f>
        <v>5.52635015390355</v>
      </c>
      <c r="D3135" s="44" t="n">
        <f aca="false">Sens!$D$3134/Sens!$D$3133</f>
        <v>7.1737323358271</v>
      </c>
      <c r="E3135" s="44" t="n">
        <f aca="false">Sens!$E$3134/Sens!$E$3133</f>
        <v>8.53212104513937</v>
      </c>
      <c r="F3135" s="14"/>
      <c r="G3135" s="44" t="n">
        <f aca="false">Sens!$G$3134/Sens!$G$3133</f>
        <v>13.0275977303636</v>
      </c>
      <c r="H3135" s="44" t="n">
        <f aca="false">Sens!$H$3134/Sens!$H$3133</f>
        <v>10.7070699382089</v>
      </c>
      <c r="I3135" s="44" t="n">
        <f aca="false">Sens!$I$3134/Sens!$I$3133</f>
        <v>12.6075874893155</v>
      </c>
      <c r="J3135" s="44" t="n">
        <f aca="false">Sens!$J$3134/Sens!$J$3133</f>
        <v>14.4361476149345</v>
      </c>
      <c r="K3135" s="44" t="n">
        <f aca="false">Sens!$K$3134/Sens!$K$3133</f>
        <v>15.7214258367409</v>
      </c>
      <c r="L3135" s="44" t="n">
        <f aca="false">Sens!$L$3134/Sens!$L$3133</f>
        <v>16.9749947832272</v>
      </c>
      <c r="M3135" s="44" t="n">
        <f aca="false">Sens!$M$3134/Sens!$M$3133</f>
        <v>18.0806255984748</v>
      </c>
      <c r="N3135" s="14"/>
      <c r="O3135" s="14"/>
    </row>
    <row r="3136" customFormat="false" ht="17.15" hidden="false" customHeight="false" outlineLevel="0" collapsed="false">
      <c r="A3136" s="0" t="s">
        <v>758</v>
      </c>
      <c r="B3136" s="0" t="s">
        <v>27</v>
      </c>
      <c r="C3136" s="30" t="n">
        <f aca="false">Sens!$C$3132/Sens!$C$3133</f>
        <v>5.52635015390355</v>
      </c>
      <c r="D3136" s="30" t="n">
        <f aca="false">Sens!$D$3132/Sens!$D$3133</f>
        <v>7.1737323358271</v>
      </c>
      <c r="E3136" s="30" t="n">
        <f aca="false">Sens!$E$3132/Sens!$E$3133</f>
        <v>8.53212104513937</v>
      </c>
      <c r="G3136" s="30" t="n">
        <f aca="false">Sens!$G$3132/Sens!$G$3133</f>
        <v>12.7423208147233</v>
      </c>
      <c r="H3136" s="30" t="n">
        <f aca="false">Sens!$H$3132/Sens!$H$3133</f>
        <v>9.56911468006611</v>
      </c>
      <c r="I3136" s="30" t="n">
        <f aca="false">Sens!$I$3132/Sens!$I$3133</f>
        <v>10.7030208463766</v>
      </c>
      <c r="J3136" s="30" t="n">
        <f aca="false">Sens!$J$3132/Sens!$J$3133</f>
        <v>11.7737864810644</v>
      </c>
      <c r="K3136" s="30" t="n">
        <f aca="false">Sens!$K$3132/Sens!$K$3133</f>
        <v>12.4260479913391</v>
      </c>
      <c r="L3136" s="30" t="n">
        <f aca="false">Sens!$L$3132/Sens!$L$3133</f>
        <v>13.2792743623123</v>
      </c>
      <c r="M3136" s="30" t="n">
        <f aca="false">Sens!$M$3132/Sens!$M$3133</f>
        <v>14.2123614384543</v>
      </c>
    </row>
    <row r="3137" customFormat="false" ht="17.15" hidden="false" customHeight="false" outlineLevel="0" collapsed="false">
      <c r="A3137" s="0" t="s">
        <v>759</v>
      </c>
      <c r="B3137" s="0" t="s">
        <v>27</v>
      </c>
      <c r="C3137" s="30" t="n">
        <f aca="false">(Sens!$C$3132-Sens!$C$3129*(1-tax))/Sens!$C$3133</f>
        <v>5.33926775917445</v>
      </c>
      <c r="D3137" s="30" t="n">
        <f aca="false">(Sens!$D$3132-Sens!$D$3129*(1-tax))/Sens!$D$3133</f>
        <v>5.67691812755503</v>
      </c>
      <c r="E3137" s="30" t="n">
        <f aca="false">(Sens!$E$3132-Sens!$E$3129*(1-tax))/Sens!$E$3133</f>
        <v>3.10602057006846</v>
      </c>
      <c r="G3137" s="30" t="n">
        <f aca="false">(Sens!$G$3132-Sens!$G$3129*(1-tax))/Sens!$G$3133</f>
        <v>7.33425269682635</v>
      </c>
      <c r="H3137" s="30" t="n">
        <f aca="false">(Sens!$H$3132-Sens!$H$3129*(1-tax))/Sens!$H$3133</f>
        <v>9.56911468006611</v>
      </c>
      <c r="I3137" s="30" t="n">
        <f aca="false">(Sens!$I$3132-Sens!$I$3129*(1-tax))/Sens!$I$3133</f>
        <v>10.7030208463766</v>
      </c>
      <c r="J3137" s="30" t="n">
        <f aca="false">(Sens!$J$3132-Sens!$J$3129*(1-tax))/Sens!$J$3133</f>
        <v>11.7737864810644</v>
      </c>
      <c r="K3137" s="30" t="n">
        <f aca="false">(Sens!$K$3132-Sens!$K$3129*(1-tax))/Sens!$K$3133</f>
        <v>12.4260479913391</v>
      </c>
      <c r="L3137" s="30" t="n">
        <f aca="false">(Sens!$L$3132-Sens!$L$3129*(1-tax))/Sens!$L$3133</f>
        <v>13.2792743623123</v>
      </c>
      <c r="M3137" s="30" t="n">
        <f aca="false">(Sens!$M$3132-Sens!$M$3129*(1-tax))/Sens!$M$3133</f>
        <v>14.2123614384543</v>
      </c>
      <c r="P3137" s="5" t="s">
        <v>760</v>
      </c>
    </row>
    <row r="3138" customFormat="false" ht="17.15" hidden="false" customHeight="false" outlineLevel="0" collapsed="false">
      <c r="A3138" s="0" t="s">
        <v>761</v>
      </c>
      <c r="B3138" s="0" t="s">
        <v>52</v>
      </c>
      <c r="H3138" s="13" t="n">
        <f aca="false">Sens!$H$3135/Sens!$G$3135-1</f>
        <v>-0.178123998006652</v>
      </c>
      <c r="I3138" s="13" t="n">
        <f aca="false">Sens!$I$3135/Sens!$H$3135-1</f>
        <v>0.177501180255161</v>
      </c>
      <c r="J3138" s="13" t="n">
        <f aca="false">Sens!$J$3135/Sens!$I$3135-1</f>
        <v>0.145036481179973</v>
      </c>
      <c r="K3138" s="13" t="n">
        <f aca="false">Sens!$K$3135/Sens!$J$3135-1</f>
        <v>0.089031939551298</v>
      </c>
      <c r="L3138" s="13" t="n">
        <f aca="false">Sens!$L$3135/Sens!$K$3135-1</f>
        <v>0.079736339407374</v>
      </c>
      <c r="M3138" s="13" t="n">
        <f aca="false">Sens!$M$3135/Sens!$L$3135-1</f>
        <v>0.0651329104583913</v>
      </c>
    </row>
    <row r="3141" customFormat="false" ht="19.4" hidden="false" customHeight="false" outlineLevel="0" collapsed="false">
      <c r="A3141" s="31" t="s">
        <v>1198</v>
      </c>
    </row>
    <row r="3142" customFormat="false" ht="17.15" hidden="false" customHeight="false" outlineLevel="0" collapsed="false">
      <c r="A3142" s="6" t="s">
        <v>16</v>
      </c>
      <c r="B3142" s="6" t="s">
        <v>17</v>
      </c>
      <c r="C3142" s="20" t="s">
        <v>497</v>
      </c>
      <c r="D3142" s="20" t="s">
        <v>498</v>
      </c>
      <c r="E3142" s="20" t="s">
        <v>580</v>
      </c>
      <c r="F3142" s="20" t="s">
        <v>581</v>
      </c>
      <c r="G3142" s="20" t="s">
        <v>582</v>
      </c>
      <c r="H3142" s="20" t="s">
        <v>583</v>
      </c>
      <c r="I3142" s="20" t="s">
        <v>584</v>
      </c>
      <c r="J3142" s="20" t="s">
        <v>585</v>
      </c>
      <c r="K3142" s="20" t="s">
        <v>586</v>
      </c>
      <c r="L3142" s="20" t="s">
        <v>587</v>
      </c>
      <c r="M3142" s="20" t="s">
        <v>588</v>
      </c>
      <c r="N3142" s="20" t="s">
        <v>589</v>
      </c>
      <c r="O3142" s="20" t="s">
        <v>590</v>
      </c>
      <c r="P3142" s="6" t="s">
        <v>23</v>
      </c>
      <c r="R3142" s="20" t="n">
        <v>2023</v>
      </c>
      <c r="S3142" s="20" t="n">
        <v>2024</v>
      </c>
      <c r="T3142" s="20" t="n">
        <v>2025</v>
      </c>
      <c r="U3142" s="20" t="n">
        <v>2026</v>
      </c>
      <c r="V3142" s="20" t="n">
        <v>2027</v>
      </c>
      <c r="W3142" s="20" t="n">
        <v>2028</v>
      </c>
      <c r="X3142" s="20" t="n">
        <v>2029</v>
      </c>
      <c r="Y3142" s="20" t="n">
        <v>2030</v>
      </c>
      <c r="Z3142" s="20" t="n">
        <v>2031</v>
      </c>
      <c r="AA3142" s="20" t="n">
        <v>2032</v>
      </c>
    </row>
    <row r="3143" customFormat="false" ht="15" hidden="false" customHeight="false" outlineLevel="0" collapsed="false">
      <c r="A3143" s="5" t="s">
        <v>549</v>
      </c>
      <c r="B3143" s="0" t="s">
        <v>86</v>
      </c>
      <c r="C3143" s="38" t="n">
        <f aca="false">Sens!$C$3132</f>
        <v>59.248</v>
      </c>
      <c r="D3143" s="38" t="n">
        <f aca="false">Sens!$D$3132</f>
        <v>77.67</v>
      </c>
      <c r="E3143" s="38" t="n">
        <f aca="false">Sens!$E$3132</f>
        <v>92.902</v>
      </c>
      <c r="F3143" s="38" t="n">
        <f aca="false">Sens!$F$3132</f>
        <v>46.3053828906144</v>
      </c>
      <c r="G3143" s="38" t="n">
        <f aca="false">Sens!$G$3132</f>
        <v>139.207382890614</v>
      </c>
      <c r="H3143" s="38" t="n">
        <f aca="false">Sens!$H$3132</f>
        <v>105.377047243246</v>
      </c>
      <c r="I3143" s="38" t="n">
        <f aca="false">Sens!$I$3132</f>
        <v>118.806764601677</v>
      </c>
      <c r="J3143" s="38" t="n">
        <f aca="false">Sens!$J$3132</f>
        <v>131.738127300292</v>
      </c>
      <c r="K3143" s="38" t="n">
        <f aca="false">Sens!$K$3132</f>
        <v>140.14864029625</v>
      </c>
      <c r="L3143" s="38" t="n">
        <f aca="false">Sens!$L$3132</f>
        <v>150.970028867943</v>
      </c>
      <c r="M3143" s="38" t="n">
        <f aca="false">Sens!$M$3132</f>
        <v>162.870777616921</v>
      </c>
    </row>
    <row r="3144" customFormat="false" ht="17.15" hidden="false" customHeight="false" outlineLevel="0" collapsed="false">
      <c r="A3144" s="5" t="s">
        <v>784</v>
      </c>
      <c r="B3144" s="0" t="s">
        <v>86</v>
      </c>
      <c r="C3144" s="38" t="n">
        <f aca="false">Sens!$C$3120</f>
        <v>32.067</v>
      </c>
      <c r="D3144" s="38" t="n">
        <f aca="false">Sens!$D$3120</f>
        <v>41.86</v>
      </c>
      <c r="E3144" s="38" t="n">
        <f aca="false">Sens!$E$3120</f>
        <v>26.703</v>
      </c>
      <c r="F3144" s="38" t="n">
        <f aca="false">Sens!$F$3120</f>
        <v>28.2071421626285</v>
      </c>
      <c r="G3144" s="38" t="n">
        <f aca="false">Sens!$G$3120</f>
        <v>54.9101421626285</v>
      </c>
      <c r="H3144" s="38" t="n">
        <f aca="false">Sens!$H$3120</f>
        <v>78.0005409499009</v>
      </c>
      <c r="I3144" s="38" t="n">
        <f aca="false">Sens!$I$3120</f>
        <v>110.570855278959</v>
      </c>
      <c r="J3144" s="38" t="n">
        <f aca="false">Sens!$J$3120</f>
        <v>143.568087594053</v>
      </c>
      <c r="K3144" s="38" t="n">
        <f aca="false">Sens!$K$3120</f>
        <v>176.442390334588</v>
      </c>
      <c r="L3144" s="38" t="n">
        <f aca="false">Sens!$L$3120</f>
        <v>200.798662362322</v>
      </c>
      <c r="M3144" s="38" t="n">
        <f aca="false">Sens!$M$3120</f>
        <v>218.26548569722</v>
      </c>
    </row>
    <row r="3145" customFormat="false" ht="15" hidden="false" customHeight="false" outlineLevel="0" collapsed="false">
      <c r="A3145" s="5" t="s">
        <v>785</v>
      </c>
      <c r="B3145" s="0" t="s">
        <v>86</v>
      </c>
      <c r="C3145" s="38" t="n">
        <f aca="false">Q!$D$48</f>
        <v>22.011</v>
      </c>
      <c r="D3145" s="38" t="n">
        <f aca="false">Q!$E$48</f>
        <v>19.467</v>
      </c>
      <c r="E3145" s="38" t="n">
        <f aca="false">Q!$P$48</f>
        <v>10.07</v>
      </c>
      <c r="F3145" s="38" t="n">
        <f aca="false">sbc_r*Sens!$F$3062</f>
        <v>10.8507035798037</v>
      </c>
      <c r="G3145" s="38" t="n">
        <f aca="false">Sens!$E$3145+Sens!$F$3145</f>
        <v>20.9207035798037</v>
      </c>
      <c r="H3145" s="38" t="n">
        <f aca="false">sbc_r*Sens!$H$3062</f>
        <v>23.4355244545154</v>
      </c>
      <c r="I3145" s="38" t="n">
        <f aca="false">sbc_r*Sens!$I$3062</f>
        <v>26.5231928732067</v>
      </c>
      <c r="J3145" s="38" t="n">
        <f aca="false">sbc_r*Sens!$J$3062</f>
        <v>29.4320307520403</v>
      </c>
      <c r="K3145" s="38" t="n">
        <f aca="false">sbc_r*Sens!$K$3062</f>
        <v>31.9191329754357</v>
      </c>
      <c r="L3145" s="38" t="n">
        <f aca="false">sbc_r*Sens!$L$3062</f>
        <v>34.2114126008737</v>
      </c>
      <c r="M3145" s="38" t="n">
        <f aca="false">sbc_r*Sens!$M$3062</f>
        <v>36.3159193272063</v>
      </c>
    </row>
    <row r="3146" customFormat="false" ht="17.15" hidden="false" customHeight="false" outlineLevel="0" collapsed="false">
      <c r="A3146" s="5" t="s">
        <v>786</v>
      </c>
      <c r="B3146" s="0" t="s">
        <v>86</v>
      </c>
      <c r="C3146" s="38" t="n">
        <f aca="false">Q!$D$44-Sens!$C$3143-Sens!$C$3144-Sens!$C$3145</f>
        <v>2.551</v>
      </c>
      <c r="D3146" s="38" t="n">
        <f aca="false">Q!$E$44-Sens!$D$3143-Sens!$D$3144-Sens!$D$3145</f>
        <v>0.51700000000001</v>
      </c>
      <c r="E3146" s="38" t="n">
        <f aca="false">Q!$P$44-Sens!$E$3143-Sens!$E$3144-Sens!$E$3145</f>
        <v>-58.256</v>
      </c>
      <c r="F3146" s="38" t="n">
        <f aca="false">oth_r*Sens!$F$3062</f>
        <v>5.22265251035878</v>
      </c>
      <c r="G3146" s="38" t="n">
        <f aca="false">Sens!$E$3146+Sens!$F$3146</f>
        <v>-53.0333474896412</v>
      </c>
      <c r="H3146" s="38" t="n">
        <f aca="false">oth_r*Sens!$H$3062</f>
        <v>11.2799690567314</v>
      </c>
      <c r="I3146" s="38" t="n">
        <f aca="false">oth_r*Sens!$I$3062</f>
        <v>12.7661233046502</v>
      </c>
      <c r="J3146" s="38" t="n">
        <f aca="false">oth_r*Sens!$J$3062</f>
        <v>14.1662029712253</v>
      </c>
      <c r="K3146" s="38" t="n">
        <f aca="false">oth_r*Sens!$K$3062</f>
        <v>15.363293148374</v>
      </c>
      <c r="L3146" s="38" t="n">
        <f aca="false">oth_r*Sens!$L$3062</f>
        <v>16.4666114587664</v>
      </c>
      <c r="M3146" s="38" t="n">
        <f aca="false">oth_r*Sens!$M$3062</f>
        <v>17.4795510581677</v>
      </c>
      <c r="P3146" s="8" t="s">
        <v>787</v>
      </c>
    </row>
    <row r="3147" customFormat="false" ht="15" hidden="false" customHeight="false" outlineLevel="0" collapsed="false">
      <c r="A3147" s="3" t="s">
        <v>555</v>
      </c>
      <c r="B3147" s="8" t="s">
        <v>86</v>
      </c>
      <c r="C3147" s="38" t="n">
        <f aca="false">Q!$D$44</f>
        <v>115.877</v>
      </c>
      <c r="D3147" s="38" t="n">
        <f aca="false">Q!$E$44</f>
        <v>139.514</v>
      </c>
      <c r="E3147" s="38" t="n">
        <f aca="false">Q!$P$44</f>
        <v>71.419</v>
      </c>
      <c r="F3147" s="38" t="n">
        <f aca="false">Sens!$F$3143+Sens!$F$3144+Sens!$F$3145+Sens!$F$3146</f>
        <v>90.5858811434053</v>
      </c>
      <c r="G3147" s="38" t="n">
        <f aca="false">Sens!$E$3147+Sens!$F$3147</f>
        <v>162.004881143405</v>
      </c>
      <c r="H3147" s="38" t="n">
        <f aca="false">Sens!$H$3143+Sens!$H$3144+Sens!$H$3145+Sens!$H$3146</f>
        <v>218.093081704394</v>
      </c>
      <c r="I3147" s="38" t="n">
        <f aca="false">Sens!$I$3143+Sens!$I$3144+Sens!$I$3145+Sens!$I$3146</f>
        <v>268.666936058494</v>
      </c>
      <c r="J3147" s="38" t="n">
        <f aca="false">Sens!$J$3143+Sens!$J$3144+Sens!$J$3145+Sens!$J$3146</f>
        <v>318.90444861761</v>
      </c>
      <c r="K3147" s="38" t="n">
        <f aca="false">Sens!$K$3143+Sens!$K$3144+Sens!$K$3145+Sens!$K$3146</f>
        <v>363.873456754648</v>
      </c>
      <c r="L3147" s="38" t="n">
        <f aca="false">Sens!$L$3143+Sens!$L$3144+Sens!$L$3145+Sens!$L$3146</f>
        <v>402.446715289906</v>
      </c>
      <c r="M3147" s="38" t="n">
        <f aca="false">Sens!$M$3143+Sens!$M$3144+Sens!$M$3145+Sens!$M$3146</f>
        <v>434.931733699515</v>
      </c>
    </row>
    <row r="3148" customFormat="false" ht="17.15" hidden="false" customHeight="false" outlineLevel="0" collapsed="false">
      <c r="A3148" s="5" t="s">
        <v>788</v>
      </c>
      <c r="B3148" s="0" t="s">
        <v>86</v>
      </c>
      <c r="C3148" s="38" t="n">
        <f aca="false">Sens!$C$3029</f>
        <v>25.2781053077374</v>
      </c>
      <c r="D3148" s="38" t="n">
        <f aca="false">Sens!$D$3029</f>
        <v>69.5686316310026</v>
      </c>
      <c r="E3148" s="38" t="n">
        <f aca="false">Sens!$E$3029</f>
        <v>64.1899206485108</v>
      </c>
      <c r="F3148" s="38" t="n">
        <f aca="false">Sens!$F$3029</f>
        <v>96.2481299895</v>
      </c>
      <c r="G3148" s="38" t="n">
        <f aca="false">Sens!$G$3029</f>
        <v>160.438050638011</v>
      </c>
      <c r="H3148" s="38" t="n">
        <f aca="false">Sens!$H$3029</f>
        <v>198.57136494475</v>
      </c>
      <c r="I3148" s="38" t="n">
        <f aca="false">Sens!$I$3029</f>
        <v>204.6464699105</v>
      </c>
      <c r="J3148" s="38" t="n">
        <f aca="false">Sens!$J$3029</f>
        <v>209.8832381105</v>
      </c>
      <c r="K3148" s="38" t="n">
        <f aca="false">Sens!$K$3029</f>
        <v>155.238385275201</v>
      </c>
      <c r="L3148" s="38" t="n">
        <f aca="false">Sens!$L$3029</f>
        <v>132.014141639902</v>
      </c>
      <c r="M3148" s="38" t="n">
        <f aca="false">Sens!$M$3029</f>
        <v>132.230981659852</v>
      </c>
    </row>
    <row r="3149" customFormat="false" ht="17.15" hidden="false" customHeight="false" outlineLevel="0" collapsed="false">
      <c r="A3149" s="5" t="s">
        <v>789</v>
      </c>
      <c r="B3149" s="0" t="s">
        <v>86</v>
      </c>
      <c r="C3149" s="38" t="n">
        <f aca="false">cx_awso*Sens!$C$3060</f>
        <v>21.0469989286053</v>
      </c>
      <c r="D3149" s="38" t="n">
        <f aca="false">cx_awso*Sens!$D$3060</f>
        <v>24.0042459822698</v>
      </c>
      <c r="E3149" s="38" t="n">
        <f aca="false">cx_awso*Sens!$E$3060</f>
        <v>14.261729404886</v>
      </c>
      <c r="F3149" s="38" t="n">
        <f aca="false">cx_awso*Sens!$F$3060</f>
        <v>14.3538599588493</v>
      </c>
      <c r="G3149" s="38" t="n">
        <f aca="false">Sens!$E$3149+Sens!$F$3149</f>
        <v>28.6155893637353</v>
      </c>
      <c r="H3149" s="38" t="n">
        <f aca="false">cx_awso*Sens!$H$3060</f>
        <v>31.9887984956126</v>
      </c>
      <c r="I3149" s="38" t="n">
        <f aca="false">cx_awso*Sens!$I$3060</f>
        <v>35.035840758496</v>
      </c>
      <c r="J3149" s="38" t="n">
        <f aca="false">cx_awso*Sens!$J$3060</f>
        <v>37.5803784978005</v>
      </c>
      <c r="K3149" s="38" t="n">
        <f aca="false">cx_awso*Sens!$K$3060</f>
        <v>39.4593974226905</v>
      </c>
      <c r="L3149" s="38" t="n">
        <f aca="false">cx_awso*Sens!$L$3060</f>
        <v>41.4323672938251</v>
      </c>
      <c r="M3149" s="38" t="n">
        <f aca="false">cx_awso*Sens!$M$3060</f>
        <v>43.5039856585163</v>
      </c>
    </row>
    <row r="3150" customFormat="false" ht="17.15" hidden="false" customHeight="false" outlineLevel="0" collapsed="false">
      <c r="A3150" s="5" t="s">
        <v>790</v>
      </c>
      <c r="B3150" s="0" t="s">
        <v>86</v>
      </c>
      <c r="C3150" s="38" t="n">
        <f aca="false">Q!$D$46-Sens!$C$3148-Sens!$C$3149</f>
        <v>31.3328957636573</v>
      </c>
      <c r="D3150" s="38" t="n">
        <f aca="false">Q!$E$46-Sens!$D$3148-Sens!$D$3149</f>
        <v>34.7471223867276</v>
      </c>
      <c r="E3150" s="38" t="n">
        <f aca="false">Q!$P$46-Sens!$E$3148-Sens!$E$3149</f>
        <v>17.8583499466032</v>
      </c>
      <c r="F3150" s="38" t="n">
        <f aca="false">cx_rt*Sens!$F$2992</f>
        <v>20.6195895799373</v>
      </c>
      <c r="G3150" s="38" t="n">
        <f aca="false">Sens!$E$3150+Sens!$F$3150</f>
        <v>38.4779395265405</v>
      </c>
      <c r="H3150" s="38" t="n">
        <f aca="false">cx_rt*Sens!$H$2992</f>
        <v>42.5978994743075</v>
      </c>
      <c r="I3150" s="38" t="n">
        <f aca="false">cx_rt*Sens!$I$2992</f>
        <v>46.5813904136335</v>
      </c>
      <c r="J3150" s="38" t="n">
        <f aca="false">cx_rt*Sens!$J$2992</f>
        <v>50.2781676586844</v>
      </c>
      <c r="K3150" s="38" t="n">
        <f aca="false">cx_rt*Sens!$K$2992</f>
        <v>53.5312440191755</v>
      </c>
      <c r="L3150" s="38" t="n">
        <f aca="false">cx_rt*Sens!$L$2992</f>
        <v>57.0116717051447</v>
      </c>
      <c r="M3150" s="38" t="n">
        <f aca="false">cx_rt*Sens!$M$2992</f>
        <v>60.7365554669226</v>
      </c>
    </row>
    <row r="3151" customFormat="false" ht="15" hidden="false" customHeight="false" outlineLevel="0" collapsed="false">
      <c r="A3151" s="3" t="s">
        <v>791</v>
      </c>
      <c r="B3151" s="8" t="s">
        <v>86</v>
      </c>
      <c r="C3151" s="38" t="n">
        <f aca="false">Q!$D$46</f>
        <v>77.658</v>
      </c>
      <c r="D3151" s="38" t="n">
        <f aca="false">Q!$E$46</f>
        <v>128.32</v>
      </c>
      <c r="E3151" s="38" t="n">
        <f aca="false">Q!$P$46</f>
        <v>96.31</v>
      </c>
      <c r="F3151" s="38" t="n">
        <f aca="false">Sens!$F$3148+Sens!$F$3149+Sens!$F$3150</f>
        <v>131.221579528287</v>
      </c>
      <c r="G3151" s="38" t="n">
        <f aca="false">Sens!$E$3151+Sens!$F$3151</f>
        <v>227.531579528287</v>
      </c>
      <c r="H3151" s="38" t="n">
        <f aca="false">Sens!$H$3148+Sens!$H$3149+Sens!$H$3150</f>
        <v>273.15806291467</v>
      </c>
      <c r="I3151" s="38" t="n">
        <f aca="false">Sens!$I$3148+Sens!$I$3149+Sens!$I$3150</f>
        <v>286.26370108263</v>
      </c>
      <c r="J3151" s="38" t="n">
        <f aca="false">Sens!$J$3148+Sens!$J$3149+Sens!$J$3150</f>
        <v>297.741784266985</v>
      </c>
      <c r="K3151" s="38" t="n">
        <f aca="false">Sens!$K$3148+Sens!$K$3149+Sens!$K$3150</f>
        <v>248.229026717067</v>
      </c>
      <c r="L3151" s="38" t="n">
        <f aca="false">Sens!$L$3148+Sens!$L$3149+Sens!$L$3150</f>
        <v>230.458180638872</v>
      </c>
      <c r="M3151" s="38" t="n">
        <f aca="false">Sens!$M$3148+Sens!$M$3149+Sens!$M$3150</f>
        <v>236.471522785291</v>
      </c>
    </row>
    <row r="3152" customFormat="false" ht="17.15" hidden="false" customHeight="false" outlineLevel="0" collapsed="false">
      <c r="A3152" s="5" t="s">
        <v>563</v>
      </c>
      <c r="B3152" s="0" t="s">
        <v>86</v>
      </c>
      <c r="C3152" s="38" t="n">
        <f aca="false">Q!$D$50</f>
        <v>2.043</v>
      </c>
      <c r="D3152" s="38" t="n">
        <f aca="false">Q!$E$50</f>
        <v>1.557</v>
      </c>
      <c r="E3152" s="38" t="n">
        <f aca="false">lease_pr/2</f>
        <v>0.8</v>
      </c>
      <c r="F3152" s="38" t="n">
        <f aca="false">lease_pr/2</f>
        <v>0.8</v>
      </c>
      <c r="G3152" s="38" t="n">
        <f aca="false">Sens!$E$3152+Sens!$F$3152</f>
        <v>1.6</v>
      </c>
      <c r="H3152" s="38" t="n">
        <f aca="false">lease_pr</f>
        <v>1.6</v>
      </c>
      <c r="I3152" s="38" t="n">
        <f aca="false">lease_pr</f>
        <v>1.6</v>
      </c>
      <c r="J3152" s="38" t="n">
        <f aca="false">lease_pr</f>
        <v>1.6</v>
      </c>
      <c r="K3152" s="38" t="n">
        <f aca="false">lease_pr</f>
        <v>1.6</v>
      </c>
      <c r="L3152" s="38" t="n">
        <f aca="false">lease_pr</f>
        <v>1.6</v>
      </c>
      <c r="M3152" s="38" t="n">
        <f aca="false">lease_pr</f>
        <v>1.6</v>
      </c>
      <c r="P3152" s="8" t="s">
        <v>792</v>
      </c>
    </row>
    <row r="3153" customFormat="false" ht="15" hidden="false" customHeight="false" outlineLevel="0" collapsed="false">
      <c r="A3153" s="47" t="s">
        <v>793</v>
      </c>
      <c r="B3153" s="14" t="s">
        <v>86</v>
      </c>
      <c r="C3153" s="48" t="n">
        <f aca="false">Sens!$C$3147-Sens!$C$3151-Sens!$C$3152</f>
        <v>36.176</v>
      </c>
      <c r="D3153" s="48" t="n">
        <f aca="false">Sens!$D$3147-Sens!$D$3151-Sens!$D$3152</f>
        <v>9.63700000000002</v>
      </c>
      <c r="E3153" s="48" t="n">
        <f aca="false">Sens!$E$3147-Sens!$E$3151-Sens!$E$3152</f>
        <v>-25.691</v>
      </c>
      <c r="F3153" s="48" t="n">
        <f aca="false">Sens!$F$3147-Sens!$F$3151-Sens!$F$3152</f>
        <v>-41.4356983848813</v>
      </c>
      <c r="G3153" s="48" t="n">
        <f aca="false">Sens!$G$3147-Sens!$G$3151-Sens!$G$3152</f>
        <v>-67.1266983848813</v>
      </c>
      <c r="H3153" s="48" t="n">
        <f aca="false">Sens!$H$3147-Sens!$H$3151-Sens!$H$3152</f>
        <v>-56.6649812102764</v>
      </c>
      <c r="I3153" s="48" t="n">
        <f aca="false">Sens!$I$3147-Sens!$I$3151-Sens!$I$3152</f>
        <v>-19.1967650241359</v>
      </c>
      <c r="J3153" s="48" t="n">
        <f aca="false">Sens!$J$3147-Sens!$J$3151-Sens!$J$3152</f>
        <v>19.5626643506252</v>
      </c>
      <c r="K3153" s="48" t="n">
        <f aca="false">Sens!$K$3147-Sens!$K$3151-Sens!$K$3152</f>
        <v>114.044430037581</v>
      </c>
      <c r="L3153" s="48" t="n">
        <f aca="false">Sens!$L$3147-Sens!$L$3151-Sens!$L$3152</f>
        <v>170.388534651034</v>
      </c>
      <c r="M3153" s="48" t="n">
        <f aca="false">Sens!$M$3147-Sens!$M$3151-Sens!$M$3152</f>
        <v>196.860210914224</v>
      </c>
      <c r="N3153" s="14"/>
      <c r="O3153" s="14"/>
    </row>
    <row r="3154" customFormat="false" ht="17.15" hidden="false" customHeight="false" outlineLevel="0" collapsed="false">
      <c r="A3154" s="5" t="s">
        <v>794</v>
      </c>
      <c r="B3154" s="0" t="s">
        <v>86</v>
      </c>
      <c r="C3154" s="38" t="n">
        <f aca="false">dps*Sens!$C$3133</f>
        <v>0</v>
      </c>
      <c r="D3154" s="38" t="n">
        <f aca="false">dps*Sens!$D$3133</f>
        <v>0</v>
      </c>
      <c r="E3154" s="38" t="n">
        <f aca="false">dps*Sens!$E$3133</f>
        <v>0</v>
      </c>
      <c r="F3154" s="38" t="n">
        <f aca="false">0</f>
        <v>0</v>
      </c>
      <c r="G3154" s="38" t="n">
        <f aca="false">dps*Sens!$G$3133</f>
        <v>0</v>
      </c>
      <c r="H3154" s="38" t="n">
        <f aca="false">dps*Sens!$H$3133</f>
        <v>0</v>
      </c>
      <c r="I3154" s="38" t="n">
        <f aca="false">dps*Sens!$I$3133</f>
        <v>0</v>
      </c>
      <c r="J3154" s="38" t="n">
        <f aca="false">dps*Sens!$J$3133</f>
        <v>0</v>
      </c>
      <c r="K3154" s="38" t="n">
        <f aca="false">dps*Sens!$K$3133</f>
        <v>0</v>
      </c>
      <c r="L3154" s="38" t="n">
        <f aca="false">dps*Sens!$L$3133</f>
        <v>0</v>
      </c>
      <c r="M3154" s="38" t="n">
        <f aca="false">dps*Sens!$M$3133</f>
        <v>0</v>
      </c>
      <c r="P3154" s="8" t="s">
        <v>795</v>
      </c>
    </row>
    <row r="3155" customFormat="false" ht="17.15" hidden="false" customHeight="false" outlineLevel="0" collapsed="false">
      <c r="A3155" s="5" t="s">
        <v>796</v>
      </c>
      <c r="B3155" s="0" t="s">
        <v>86</v>
      </c>
      <c r="C3155" s="38" t="n">
        <f aca="false">0</f>
        <v>0</v>
      </c>
      <c r="D3155" s="38" t="n">
        <f aca="false">0</f>
        <v>0</v>
      </c>
      <c r="E3155" s="38" t="n">
        <f aca="false">0</f>
        <v>0</v>
      </c>
      <c r="F3155" s="38" t="n">
        <f aca="false">0</f>
        <v>0</v>
      </c>
      <c r="G3155" s="38" t="n">
        <f aca="false">0</f>
        <v>0</v>
      </c>
      <c r="H3155" s="38" t="n">
        <f aca="false">0</f>
        <v>0</v>
      </c>
      <c r="I3155" s="38" t="n">
        <f aca="false">0</f>
        <v>0</v>
      </c>
      <c r="J3155" s="38" t="n">
        <f aca="false">0</f>
        <v>0</v>
      </c>
      <c r="K3155" s="38" t="n">
        <f aca="false">0</f>
        <v>0</v>
      </c>
      <c r="L3155" s="38" t="n">
        <f aca="false">0</f>
        <v>0</v>
      </c>
      <c r="M3155" s="38" t="n">
        <f aca="false">0</f>
        <v>0</v>
      </c>
      <c r="P3155" s="8" t="s">
        <v>797</v>
      </c>
    </row>
    <row r="3156" customFormat="false" ht="15" hidden="false" customHeight="false" outlineLevel="0" collapsed="false">
      <c r="A3156" s="3" t="s">
        <v>798</v>
      </c>
      <c r="B3156" s="8" t="s">
        <v>86</v>
      </c>
      <c r="C3156" s="38" t="n">
        <f aca="false">Sens!$C$3153-Sens!$C$3154</f>
        <v>36.176</v>
      </c>
      <c r="D3156" s="38" t="n">
        <f aca="false">Sens!$D$3153-Sens!$D$3154</f>
        <v>9.63700000000002</v>
      </c>
      <c r="E3156" s="38" t="n">
        <f aca="false">Sens!$E$3153-Sens!$E$3154</f>
        <v>-25.691</v>
      </c>
      <c r="F3156" s="38" t="n">
        <f aca="false">Sens!$F$3153-Sens!$F$3154</f>
        <v>-41.4356983848813</v>
      </c>
      <c r="G3156" s="38" t="n">
        <f aca="false">Sens!$G$3153-Sens!$G$3154</f>
        <v>-67.1266983848813</v>
      </c>
      <c r="H3156" s="38" t="n">
        <f aca="false">Sens!$H$3153-Sens!$H$3154</f>
        <v>-56.6649812102764</v>
      </c>
      <c r="I3156" s="38" t="n">
        <f aca="false">Sens!$I$3153-Sens!$I$3154</f>
        <v>-19.1967650241359</v>
      </c>
      <c r="J3156" s="38" t="n">
        <f aca="false">Sens!$J$3153-Sens!$J$3154</f>
        <v>19.5626643506252</v>
      </c>
      <c r="K3156" s="38" t="n">
        <f aca="false">Sens!$K$3153-Sens!$K$3154</f>
        <v>114.044430037581</v>
      </c>
      <c r="L3156" s="38" t="n">
        <f aca="false">Sens!$L$3153-Sens!$L$3154</f>
        <v>170.388534651034</v>
      </c>
      <c r="M3156" s="38" t="n">
        <f aca="false">Sens!$M$3153-Sens!$M$3154</f>
        <v>196.860210914224</v>
      </c>
    </row>
    <row r="3157" customFormat="false" ht="17.15" hidden="false" customHeight="false" outlineLevel="0" collapsed="false">
      <c r="A3157" s="5" t="s">
        <v>799</v>
      </c>
      <c r="B3157" s="0" t="s">
        <v>86</v>
      </c>
      <c r="E3157" s="38" t="n">
        <f aca="false">Q!$P$53</f>
        <v>39.767</v>
      </c>
      <c r="F3157" s="38" t="n">
        <f aca="false">inv_2h26</f>
        <v>21.3</v>
      </c>
      <c r="G3157" s="38" t="n">
        <f aca="false">Sens!$E$3157+Sens!$F$3157</f>
        <v>61.067</v>
      </c>
      <c r="H3157" s="39" t="n">
        <v>0</v>
      </c>
      <c r="I3157" s="39" t="n">
        <v>0</v>
      </c>
      <c r="J3157" s="39" t="n">
        <v>0</v>
      </c>
      <c r="K3157" s="39" t="n">
        <v>0</v>
      </c>
      <c r="L3157" s="39" t="n">
        <v>0</v>
      </c>
      <c r="M3157" s="39" t="n">
        <v>0</v>
      </c>
    </row>
    <row r="3158" customFormat="false" ht="17.15" hidden="false" customHeight="false" outlineLevel="0" collapsed="false">
      <c r="A3158" s="5" t="s">
        <v>800</v>
      </c>
      <c r="B3158" s="0" t="s">
        <v>86</v>
      </c>
      <c r="F3158" s="38" t="n">
        <f aca="false">iss_2h26</f>
        <v>29.249999</v>
      </c>
      <c r="G3158" s="38" t="n">
        <f aca="false">Sens!$F$3158</f>
        <v>29.249999</v>
      </c>
      <c r="H3158" s="39" t="n">
        <v>0</v>
      </c>
      <c r="I3158" s="39" t="n">
        <v>0</v>
      </c>
      <c r="J3158" s="39" t="n">
        <v>0</v>
      </c>
      <c r="K3158" s="39" t="n">
        <v>0</v>
      </c>
      <c r="L3158" s="39" t="n">
        <v>0</v>
      </c>
      <c r="M3158" s="39" t="n">
        <v>0</v>
      </c>
    </row>
    <row r="3159" customFormat="false" ht="17.15" hidden="false" customHeight="false" outlineLevel="0" collapsed="false">
      <c r="A3159" s="5" t="s">
        <v>801</v>
      </c>
      <c r="B3159" s="0" t="s">
        <v>86</v>
      </c>
      <c r="F3159" s="38" t="n">
        <f aca="false">cash_q2</f>
        <v>122.988</v>
      </c>
      <c r="G3159" s="38" t="n">
        <f aca="false">cash_q2</f>
        <v>122.988</v>
      </c>
      <c r="H3159" s="38" t="n">
        <f aca="false">Sens!$G$3162</f>
        <v>89.5023006151187</v>
      </c>
      <c r="I3159" s="38" t="n">
        <f aca="false">Sens!$H$3162</f>
        <v>50</v>
      </c>
      <c r="J3159" s="38" t="n">
        <f aca="false">Sens!$I$3162</f>
        <v>50</v>
      </c>
      <c r="K3159" s="38" t="n">
        <f aca="false">Sens!$J$3162</f>
        <v>69.5626643506252</v>
      </c>
      <c r="L3159" s="38" t="n">
        <f aca="false">Sens!$K$3162</f>
        <v>183.607094388206</v>
      </c>
      <c r="M3159" s="38" t="n">
        <f aca="false">Sens!$L$3162</f>
        <v>353.99562903924</v>
      </c>
    </row>
    <row r="3160" customFormat="false" ht="15" hidden="false" customHeight="false" outlineLevel="0" collapsed="false">
      <c r="A3160" s="5" t="s">
        <v>802</v>
      </c>
      <c r="B3160" s="0" t="s">
        <v>86</v>
      </c>
      <c r="F3160" s="38" t="n">
        <f aca="false">Sens!$F$3159+Sens!$F$3156-Sens!$F$3155-Sens!$F$3157+Sens!$F$3158</f>
        <v>89.5023006151187</v>
      </c>
      <c r="H3160" s="38" t="n">
        <f aca="false">Sens!$H$3159+Sens!$H$3156-Sens!$H$3155-Sens!$H$3157+Sens!$H$3158</f>
        <v>32.8373194048423</v>
      </c>
      <c r="I3160" s="38" t="n">
        <f aca="false">Sens!$I$3159+Sens!$I$3156-Sens!$I$3155-Sens!$I$3157+Sens!$I$3158</f>
        <v>30.8032349758641</v>
      </c>
      <c r="J3160" s="38" t="n">
        <f aca="false">Sens!$J$3159+Sens!$J$3156-Sens!$J$3155-Sens!$J$3157+Sens!$J$3158</f>
        <v>69.5626643506252</v>
      </c>
      <c r="K3160" s="38" t="n">
        <f aca="false">Sens!$K$3159+Sens!$K$3156-Sens!$K$3155-Sens!$K$3157+Sens!$K$3158</f>
        <v>183.607094388206</v>
      </c>
      <c r="L3160" s="38" t="n">
        <f aca="false">Sens!$L$3159+Sens!$L$3156-Sens!$L$3155-Sens!$L$3157+Sens!$L$3158</f>
        <v>353.99562903924</v>
      </c>
      <c r="M3160" s="38" t="n">
        <f aca="false">Sens!$M$3159+Sens!$M$3156-Sens!$M$3155-Sens!$M$3157+Sens!$M$3158</f>
        <v>550.855839953464</v>
      </c>
    </row>
    <row r="3161" customFormat="false" ht="17.15" hidden="false" customHeight="false" outlineLevel="0" collapsed="false">
      <c r="A3161" s="5" t="s">
        <v>803</v>
      </c>
      <c r="B3161" s="0" t="s">
        <v>86</v>
      </c>
      <c r="F3161" s="38" t="n">
        <f aca="false">MAX(0,min_cash-Sens!$F$3160)</f>
        <v>0</v>
      </c>
      <c r="G3161" s="38" t="n">
        <f aca="false">Sens!$F$3161</f>
        <v>0</v>
      </c>
      <c r="H3161" s="38" t="n">
        <f aca="false">MAX(0,min_cash-Sens!$H$3160)</f>
        <v>17.1626805951577</v>
      </c>
      <c r="I3161" s="38" t="n">
        <f aca="false">MAX(0,min_cash-Sens!$I$3160)</f>
        <v>19.1967650241359</v>
      </c>
      <c r="J3161" s="38" t="n">
        <f aca="false">MAX(0,min_cash-Sens!$J$3160)</f>
        <v>0</v>
      </c>
      <c r="K3161" s="38" t="n">
        <f aca="false">MAX(0,min_cash-Sens!$K$3160)</f>
        <v>0</v>
      </c>
      <c r="L3161" s="38" t="n">
        <f aca="false">MAX(0,min_cash-Sens!$L$3160)</f>
        <v>0</v>
      </c>
      <c r="M3161" s="38" t="n">
        <f aca="false">MAX(0,min_cash-Sens!$M$3160)</f>
        <v>0</v>
      </c>
      <c r="P3161" s="5" t="s">
        <v>804</v>
      </c>
    </row>
    <row r="3162" customFormat="false" ht="15" hidden="false" customHeight="false" outlineLevel="0" collapsed="false">
      <c r="A3162" s="5" t="s">
        <v>805</v>
      </c>
      <c r="B3162" s="0" t="s">
        <v>86</v>
      </c>
      <c r="D3162" s="38" t="n">
        <f aca="false">Q!$E$61</f>
        <v>123.029</v>
      </c>
      <c r="E3162" s="38" t="n">
        <f aca="false">Q!$M$61</f>
        <v>122.988</v>
      </c>
      <c r="F3162" s="38" t="n">
        <f aca="false">Sens!$F$3160+Sens!$F$3161</f>
        <v>89.5023006151187</v>
      </c>
      <c r="G3162" s="38" t="n">
        <f aca="false">Sens!$F$3162</f>
        <v>89.5023006151187</v>
      </c>
      <c r="H3162" s="38" t="n">
        <f aca="false">Sens!$H$3160+Sens!$H$3161</f>
        <v>50</v>
      </c>
      <c r="I3162" s="38" t="n">
        <f aca="false">Sens!$I$3160+Sens!$I$3161</f>
        <v>50</v>
      </c>
      <c r="J3162" s="38" t="n">
        <f aca="false">Sens!$J$3160+Sens!$J$3161</f>
        <v>69.5626643506252</v>
      </c>
      <c r="K3162" s="38" t="n">
        <f aca="false">Sens!$K$3160+Sens!$K$3161</f>
        <v>183.607094388206</v>
      </c>
      <c r="L3162" s="38" t="n">
        <f aca="false">Sens!$L$3160+Sens!$L$3161</f>
        <v>353.99562903924</v>
      </c>
      <c r="M3162" s="38" t="n">
        <f aca="false">Sens!$M$3160+Sens!$M$3161</f>
        <v>550.855839953464</v>
      </c>
    </row>
    <row r="3163" customFormat="false" ht="15" hidden="false" customHeight="false" outlineLevel="0" collapsed="false">
      <c r="A3163" s="5" t="s">
        <v>806</v>
      </c>
      <c r="B3163" s="0" t="s">
        <v>86</v>
      </c>
      <c r="D3163" s="38" t="n">
        <f aca="false">Q!$E$62</f>
        <v>68.836</v>
      </c>
      <c r="E3163" s="38" t="n">
        <f aca="false">Q!$M$62</f>
        <v>132.995</v>
      </c>
      <c r="F3163" s="38" t="n">
        <f aca="false">debt_q2+Sens!$F$3158+Sens!$F$3161</f>
        <v>162.244999</v>
      </c>
      <c r="G3163" s="38" t="n">
        <f aca="false">Sens!$F$3163</f>
        <v>162.244999</v>
      </c>
      <c r="H3163" s="38" t="n">
        <f aca="false">Sens!$G$3163+Sens!$H$3161</f>
        <v>179.407679595158</v>
      </c>
      <c r="I3163" s="38" t="n">
        <f aca="false">Sens!$H$3163+Sens!$I$3161</f>
        <v>198.604444619294</v>
      </c>
      <c r="J3163" s="38" t="n">
        <f aca="false">Sens!$I$3163+Sens!$J$3161</f>
        <v>198.604444619294</v>
      </c>
      <c r="K3163" s="38" t="n">
        <f aca="false">Sens!$J$3163+Sens!$K$3161</f>
        <v>198.604444619294</v>
      </c>
      <c r="L3163" s="38" t="n">
        <f aca="false">Sens!$K$3163+Sens!$L$3161</f>
        <v>198.604444619294</v>
      </c>
      <c r="M3163" s="38" t="n">
        <f aca="false">Sens!$L$3163+Sens!$M$3161</f>
        <v>198.604444619294</v>
      </c>
    </row>
    <row r="3164" customFormat="false" ht="15" hidden="false" customHeight="false" outlineLevel="0" collapsed="false">
      <c r="A3164" s="5" t="s">
        <v>807</v>
      </c>
      <c r="B3164" s="0" t="s">
        <v>86</v>
      </c>
      <c r="D3164" s="38" t="n">
        <f aca="false">Sens!$D$3163-Sens!$D$3162</f>
        <v>-54.193</v>
      </c>
      <c r="E3164" s="38" t="n">
        <f aca="false">Sens!$E$3163-Sens!$E$3162</f>
        <v>10.007</v>
      </c>
      <c r="F3164" s="38" t="n">
        <f aca="false">Sens!$F$3163-Sens!$F$3162</f>
        <v>72.7426983848813</v>
      </c>
      <c r="G3164" s="38" t="n">
        <f aca="false">Sens!$G$3163-Sens!$G$3162</f>
        <v>72.7426983848813</v>
      </c>
      <c r="H3164" s="38" t="n">
        <f aca="false">Sens!$H$3163-Sens!$H$3162</f>
        <v>129.407679595158</v>
      </c>
      <c r="I3164" s="38" t="n">
        <f aca="false">Sens!$I$3163-Sens!$I$3162</f>
        <v>148.604444619294</v>
      </c>
      <c r="J3164" s="38" t="n">
        <f aca="false">Sens!$J$3163-Sens!$J$3162</f>
        <v>129.041780268668</v>
      </c>
      <c r="K3164" s="38" t="n">
        <f aca="false">Sens!$K$3163-Sens!$K$3162</f>
        <v>14.9973502310874</v>
      </c>
      <c r="L3164" s="38" t="n">
        <f aca="false">Sens!$L$3163-Sens!$L$3162</f>
        <v>-155.391184419947</v>
      </c>
      <c r="M3164" s="38" t="n">
        <f aca="false">Sens!$M$3163-Sens!$M$3162</f>
        <v>-352.25139533417</v>
      </c>
    </row>
    <row r="3165" customFormat="false" ht="17.15" hidden="false" customHeight="false" outlineLevel="0" collapsed="false">
      <c r="A3165" s="5" t="s">
        <v>808</v>
      </c>
      <c r="B3165" s="0" t="s">
        <v>86</v>
      </c>
      <c r="F3165" s="38" t="n">
        <f aca="false">debt_q2*kd_book*0.5+iss_2h26*kd_new*iss_t</f>
        <v>3.24888962733561</v>
      </c>
      <c r="H3165" s="38" t="n">
        <f aca="false">debt_q2*kd_book+(Sens!$G$3163-debt_q2)*kd_new</f>
        <v>7.42354172302123</v>
      </c>
      <c r="I3165" s="38" t="n">
        <f aca="false">debt_q2*kd_book+(Sens!$H$3163-debt_q2)*kd_new</f>
        <v>8.50993940469471</v>
      </c>
      <c r="J3165" s="38" t="n">
        <f aca="false">debt_q2*kd_book+(Sens!$I$3163-debt_q2)*kd_new</f>
        <v>9.72509463072251</v>
      </c>
      <c r="K3165" s="38" t="n">
        <f aca="false">debt_q2*kd_book+(Sens!$J$3163-debt_q2)*kd_new</f>
        <v>9.72509463072251</v>
      </c>
      <c r="L3165" s="38" t="n">
        <f aca="false">debt_q2*kd_book+(Sens!$K$3163-debt_q2)*kd_new</f>
        <v>9.72509463072251</v>
      </c>
      <c r="M3165" s="38" t="n">
        <f aca="false">debt_q2*kd_book+(Sens!$L$3163-debt_q2)*kd_new</f>
        <v>9.72509463072251</v>
      </c>
    </row>
    <row r="3166" customFormat="false" ht="17.15" hidden="false" customHeight="false" outlineLevel="0" collapsed="false">
      <c r="A3166" s="5" t="s">
        <v>809</v>
      </c>
      <c r="B3166" s="0" t="s">
        <v>86</v>
      </c>
      <c r="F3166" s="38" t="n">
        <f aca="false">cash_q2*y_cash*0.5</f>
        <v>2.59</v>
      </c>
      <c r="H3166" s="38" t="n">
        <f aca="false">Sens!$G$3162*y_cash</f>
        <v>3.76965165045626</v>
      </c>
      <c r="I3166" s="38" t="n">
        <f aca="false">Sens!$H$3162*y_cash</f>
        <v>2.10589651022864</v>
      </c>
      <c r="J3166" s="38" t="n">
        <f aca="false">Sens!$I$3162*y_cash</f>
        <v>2.10589651022864</v>
      </c>
      <c r="K3166" s="38" t="n">
        <f aca="false">Sens!$J$3162*y_cash</f>
        <v>2.92983544196376</v>
      </c>
      <c r="L3166" s="38" t="n">
        <f aca="false">Sens!$K$3162*y_cash</f>
        <v>7.73315078650688</v>
      </c>
      <c r="M3166" s="38" t="n">
        <f aca="false">Sens!$L$3162*y_cash</f>
        <v>14.9095631965986</v>
      </c>
    </row>
    <row r="3167" customFormat="false" ht="17.15" hidden="false" customHeight="false" outlineLevel="0" collapsed="false">
      <c r="A3167" s="47" t="s">
        <v>810</v>
      </c>
      <c r="B3167" s="14" t="s">
        <v>86</v>
      </c>
      <c r="C3167" s="14"/>
      <c r="D3167" s="14"/>
      <c r="E3167" s="14"/>
      <c r="F3167" s="14"/>
      <c r="G3167" s="48" t="n">
        <f aca="false">SUM(Sens!$G$3156:$K$3156)</f>
        <v>-9.38135023108737</v>
      </c>
      <c r="H3167" s="14"/>
      <c r="I3167" s="14"/>
      <c r="J3167" s="14"/>
      <c r="K3167" s="14"/>
      <c r="L3167" s="14"/>
      <c r="M3167" s="14"/>
      <c r="N3167" s="14"/>
      <c r="O3167" s="14"/>
    </row>
    <row r="3168" customFormat="false" ht="17.15" hidden="false" customHeight="false" outlineLevel="0" collapsed="false">
      <c r="A3168" s="0" t="s">
        <v>776</v>
      </c>
      <c r="B3168" s="0" t="s">
        <v>86</v>
      </c>
      <c r="G3168" s="38" t="n">
        <f aca="false">SUM(Sens!$G$3161:$K$3161)</f>
        <v>36.3594456192936</v>
      </c>
    </row>
    <row r="3169" customFormat="false" ht="17.15" hidden="false" customHeight="false" outlineLevel="0" collapsed="false">
      <c r="A3169" s="24" t="s">
        <v>813</v>
      </c>
      <c r="B3169" s="25" t="s">
        <v>86</v>
      </c>
      <c r="C3169" s="25"/>
      <c r="D3169" s="25"/>
      <c r="E3169" s="25"/>
      <c r="F3169" s="25"/>
      <c r="G3169" s="41" t="n">
        <f aca="false">Sens!$G$3167-(Sens!$G$3156+Sens!$H$3156+Sens!$I$3156+Sens!$J$3156+Sens!$K$3156)</f>
        <v>0</v>
      </c>
      <c r="H3169" s="25"/>
      <c r="I3169" s="25"/>
      <c r="J3169" s="25"/>
      <c r="K3169" s="25"/>
      <c r="L3169" s="25"/>
      <c r="M3169" s="25"/>
      <c r="N3169" s="25"/>
      <c r="O3169" s="25"/>
    </row>
    <row r="3172" customFormat="false" ht="19.4" hidden="false" customHeight="false" outlineLevel="0" collapsed="false">
      <c r="A3172" s="31" t="s">
        <v>1199</v>
      </c>
    </row>
    <row r="3173" customFormat="false" ht="17.15" hidden="false" customHeight="false" outlineLevel="0" collapsed="false">
      <c r="A3173" s="6" t="s">
        <v>16</v>
      </c>
      <c r="B3173" s="6" t="s">
        <v>17</v>
      </c>
      <c r="C3173" s="20" t="s">
        <v>497</v>
      </c>
      <c r="D3173" s="20" t="s">
        <v>498</v>
      </c>
      <c r="E3173" s="20" t="s">
        <v>580</v>
      </c>
      <c r="F3173" s="20" t="s">
        <v>581</v>
      </c>
      <c r="G3173" s="20" t="s">
        <v>582</v>
      </c>
      <c r="H3173" s="20" t="s">
        <v>583</v>
      </c>
      <c r="I3173" s="20" t="s">
        <v>584</v>
      </c>
      <c r="J3173" s="20" t="s">
        <v>585</v>
      </c>
      <c r="K3173" s="20" t="s">
        <v>586</v>
      </c>
      <c r="L3173" s="20" t="s">
        <v>587</v>
      </c>
      <c r="M3173" s="20" t="s">
        <v>588</v>
      </c>
      <c r="N3173" s="20" t="s">
        <v>589</v>
      </c>
      <c r="O3173" s="20" t="s">
        <v>590</v>
      </c>
      <c r="P3173" s="6" t="s">
        <v>23</v>
      </c>
      <c r="R3173" s="20" t="n">
        <v>2023</v>
      </c>
      <c r="S3173" s="20" t="n">
        <v>2024</v>
      </c>
      <c r="T3173" s="20" t="n">
        <v>2025</v>
      </c>
      <c r="U3173" s="20" t="n">
        <v>2026</v>
      </c>
      <c r="V3173" s="20" t="n">
        <v>2027</v>
      </c>
      <c r="W3173" s="20" t="n">
        <v>2028</v>
      </c>
      <c r="X3173" s="20" t="n">
        <v>2029</v>
      </c>
      <c r="Y3173" s="20" t="n">
        <v>2030</v>
      </c>
      <c r="Z3173" s="20" t="n">
        <v>2031</v>
      </c>
      <c r="AA3173" s="20" t="n">
        <v>2032</v>
      </c>
    </row>
    <row r="3174" customFormat="false" ht="17.15" hidden="false" customHeight="false" outlineLevel="0" collapsed="false">
      <c r="A3174" s="1" t="s">
        <v>915</v>
      </c>
    </row>
    <row r="3175" customFormat="false" ht="17.15" hidden="false" customHeight="false" outlineLevel="0" collapsed="false">
      <c r="A3175" s="0" t="s">
        <v>916</v>
      </c>
      <c r="B3175" s="0" t="s">
        <v>86</v>
      </c>
      <c r="H3175" s="38" t="n">
        <f aca="false">Sens!$H$3109*(1-tax)</f>
        <v>120.928074492584</v>
      </c>
      <c r="I3175" s="38" t="n">
        <f aca="false">Sens!$I$3109*(1-tax)</f>
        <v>145.240429816786</v>
      </c>
      <c r="J3175" s="38" t="n">
        <f aca="false">Sens!$J$3109*(1-tax)</f>
        <v>167.824187466091</v>
      </c>
      <c r="K3175" s="38" t="n">
        <f aca="false">Sens!$K$3109*(1-tax)</f>
        <v>182.93165333212</v>
      </c>
      <c r="L3175" s="38" t="n">
        <f aca="false">Sens!$L$3109*(1-tax)</f>
        <v>194.63227942346</v>
      </c>
      <c r="M3175" s="38" t="n">
        <f aca="false">Sens!$M$3109*(1-tax)</f>
        <v>202.915774763674</v>
      </c>
    </row>
    <row r="3176" customFormat="false" ht="15" hidden="false" customHeight="false" outlineLevel="0" collapsed="false">
      <c r="A3176" s="5" t="s">
        <v>917</v>
      </c>
      <c r="B3176" s="0" t="s">
        <v>86</v>
      </c>
      <c r="H3176" s="38" t="n">
        <f aca="false">Sens!$H$3120</f>
        <v>78.0005409499009</v>
      </c>
      <c r="I3176" s="38" t="n">
        <f aca="false">Sens!$I$3120</f>
        <v>110.570855278959</v>
      </c>
      <c r="J3176" s="38" t="n">
        <f aca="false">Sens!$J$3120</f>
        <v>143.568087594053</v>
      </c>
      <c r="K3176" s="38" t="n">
        <f aca="false">Sens!$K$3120</f>
        <v>176.442390334588</v>
      </c>
      <c r="L3176" s="38" t="n">
        <f aca="false">Sens!$L$3120</f>
        <v>200.798662362322</v>
      </c>
      <c r="M3176" s="38" t="n">
        <f aca="false">Sens!$M$3120</f>
        <v>218.26548569722</v>
      </c>
    </row>
    <row r="3177" customFormat="false" ht="15" hidden="false" customHeight="false" outlineLevel="0" collapsed="false">
      <c r="A3177" s="5" t="s">
        <v>918</v>
      </c>
      <c r="B3177" s="0" t="s">
        <v>86</v>
      </c>
      <c r="H3177" s="38" t="n">
        <f aca="false">Sens!$H$3151</f>
        <v>273.15806291467</v>
      </c>
      <c r="I3177" s="38" t="n">
        <f aca="false">Sens!$I$3151</f>
        <v>286.26370108263</v>
      </c>
      <c r="J3177" s="38" t="n">
        <f aca="false">Sens!$J$3151</f>
        <v>297.741784266985</v>
      </c>
      <c r="K3177" s="38" t="n">
        <f aca="false">Sens!$K$3151</f>
        <v>248.229026717067</v>
      </c>
      <c r="L3177" s="38" t="n">
        <f aca="false">Sens!$L$3151</f>
        <v>230.458180638872</v>
      </c>
      <c r="M3177" s="38" t="n">
        <f aca="false">Sens!$M$3151</f>
        <v>236.471522785291</v>
      </c>
    </row>
    <row r="3178" customFormat="false" ht="15" hidden="false" customHeight="false" outlineLevel="0" collapsed="false">
      <c r="A3178" s="5" t="s">
        <v>919</v>
      </c>
      <c r="B3178" s="0" t="s">
        <v>86</v>
      </c>
      <c r="H3178" s="38" t="n">
        <f aca="false">Sens!$H$3152</f>
        <v>1.6</v>
      </c>
      <c r="I3178" s="38" t="n">
        <f aca="false">Sens!$I$3152</f>
        <v>1.6</v>
      </c>
      <c r="J3178" s="38" t="n">
        <f aca="false">Sens!$J$3152</f>
        <v>1.6</v>
      </c>
      <c r="K3178" s="38" t="n">
        <f aca="false">Sens!$K$3152</f>
        <v>1.6</v>
      </c>
      <c r="L3178" s="38" t="n">
        <f aca="false">Sens!$L$3152</f>
        <v>1.6</v>
      </c>
      <c r="M3178" s="38" t="n">
        <f aca="false">Sens!$M$3152</f>
        <v>1.6</v>
      </c>
    </row>
    <row r="3179" customFormat="false" ht="15" hidden="false" customHeight="false" outlineLevel="0" collapsed="false">
      <c r="A3179" s="5" t="s">
        <v>920</v>
      </c>
      <c r="B3179" s="0" t="s">
        <v>86</v>
      </c>
      <c r="H3179" s="38" t="n">
        <f aca="false">Sens!$H$3146</f>
        <v>11.2799690567314</v>
      </c>
      <c r="I3179" s="38" t="n">
        <f aca="false">Sens!$I$3146</f>
        <v>12.7661233046502</v>
      </c>
      <c r="J3179" s="38" t="n">
        <f aca="false">Sens!$J$3146</f>
        <v>14.1662029712253</v>
      </c>
      <c r="K3179" s="38" t="n">
        <f aca="false">Sens!$K$3146</f>
        <v>15.363293148374</v>
      </c>
      <c r="L3179" s="38" t="n">
        <f aca="false">Sens!$L$3146</f>
        <v>16.4666114587664</v>
      </c>
      <c r="M3179" s="38" t="n">
        <f aca="false">Sens!$M$3146</f>
        <v>17.4795510581677</v>
      </c>
    </row>
    <row r="3180" customFormat="false" ht="17.15" hidden="false" customHeight="false" outlineLevel="0" collapsed="false">
      <c r="A3180" s="1" t="s">
        <v>921</v>
      </c>
      <c r="B3180" s="8" t="s">
        <v>86</v>
      </c>
      <c r="H3180" s="38" t="n">
        <f aca="false">Sens!$H$3175+Sens!$H$3176-Sens!$H$3177+Sens!$H$3179</f>
        <v>-62.9494784154536</v>
      </c>
      <c r="I3180" s="38" t="n">
        <f aca="false">Sens!$I$3175+Sens!$I$3176-Sens!$I$3177+Sens!$I$3179</f>
        <v>-17.686292682234</v>
      </c>
      <c r="J3180" s="38" t="n">
        <f aca="false">Sens!$J$3175+Sens!$J$3176-Sens!$J$3177+Sens!$J$3179</f>
        <v>27.8166937643847</v>
      </c>
      <c r="K3180" s="38" t="n">
        <f aca="false">Sens!$K$3175+Sens!$K$3176-Sens!$K$3177+Sens!$K$3179</f>
        <v>126.508310098015</v>
      </c>
      <c r="L3180" s="38" t="n">
        <f aca="false">Sens!$L$3175+Sens!$L$3176-Sens!$L$3177+Sens!$L$3179</f>
        <v>181.439372605678</v>
      </c>
      <c r="M3180" s="38" t="n">
        <f aca="false">Sens!$M$3175+Sens!$M$3176-Sens!$M$3177+Sens!$M$3179</f>
        <v>202.189288733771</v>
      </c>
    </row>
    <row r="3181" customFormat="false" ht="15" hidden="false" customHeight="false" outlineLevel="0" collapsed="false">
      <c r="A3181" s="5" t="s">
        <v>922</v>
      </c>
      <c r="B3181" s="0" t="s">
        <v>57</v>
      </c>
      <c r="H3181" s="40" t="n">
        <f aca="false">1/(1+wacc)^(2027-2026-0.5)</f>
        <v>0.947751320380232</v>
      </c>
      <c r="I3181" s="40" t="n">
        <f aca="false">1/(1+wacc)^(2028-2026-0.5)</f>
        <v>0.851301099754987</v>
      </c>
      <c r="J3181" s="40" t="n">
        <f aca="false">1/(1+wacc)^(2029-2026-0.5)</f>
        <v>0.764666370660713</v>
      </c>
      <c r="K3181" s="40" t="n">
        <f aca="false">1/(1+wacc)^(2030-2026-0.5)</f>
        <v>0.686848235703811</v>
      </c>
      <c r="L3181" s="40" t="n">
        <f aca="false">1/(1+wacc)^(2031-2026-0.5)</f>
        <v>0.616949452715975</v>
      </c>
      <c r="M3181" s="40" t="n">
        <f aca="false">1/(1+wacc)^(2032-2026-0.5)</f>
        <v>0.554164089562688</v>
      </c>
    </row>
    <row r="3182" customFormat="false" ht="15" hidden="false" customHeight="false" outlineLevel="0" collapsed="false">
      <c r="A3182" s="5" t="s">
        <v>923</v>
      </c>
      <c r="B3182" s="0" t="s">
        <v>86</v>
      </c>
      <c r="H3182" s="38" t="n">
        <f aca="false">Sens!$H$3180*Sens!$H$3181</f>
        <v>-59.6604512854931</v>
      </c>
      <c r="I3182" s="38" t="n">
        <f aca="false">Sens!$I$3180*Sens!$I$3181</f>
        <v>-15.0563604109744</v>
      </c>
      <c r="J3182" s="38" t="n">
        <f aca="false">Sens!$J$3180*Sens!$J$3181</f>
        <v>21.2704902645926</v>
      </c>
      <c r="K3182" s="38" t="n">
        <f aca="false">Sens!$K$3180*Sens!$K$3181</f>
        <v>86.8920095926923</v>
      </c>
      <c r="L3182" s="38" t="n">
        <f aca="false">Sens!$L$3180*Sens!$L$3181</f>
        <v>111.938921630203</v>
      </c>
      <c r="M3182" s="38" t="n">
        <f aca="false">Sens!$M$3180*Sens!$M$3181</f>
        <v>112.046043110478</v>
      </c>
    </row>
    <row r="3183" customFormat="false" ht="15" hidden="false" customHeight="false" outlineLevel="0" collapsed="false">
      <c r="A3183" s="5" t="s">
        <v>924</v>
      </c>
      <c r="B3183" s="0" t="s">
        <v>86</v>
      </c>
      <c r="C3183" s="38" t="n">
        <f aca="false">SUM(Sens!$H$3182:$M$3182)</f>
        <v>257.430652901498</v>
      </c>
    </row>
    <row r="3184" customFormat="false" ht="17.15" hidden="false" customHeight="false" outlineLevel="0" collapsed="false">
      <c r="A3184" s="5" t="s">
        <v>925</v>
      </c>
      <c r="B3184" s="0" t="s">
        <v>86</v>
      </c>
      <c r="C3184" s="38" t="n">
        <f aca="false">Sens!$M$3175*(1+tg)*(1-tg/ronic)/(wacc-tg)</f>
        <v>1844.73082308118</v>
      </c>
    </row>
    <row r="3185" customFormat="false" ht="15" hidden="false" customHeight="false" outlineLevel="0" collapsed="false">
      <c r="A3185" s="5" t="s">
        <v>926</v>
      </c>
      <c r="B3185" s="0" t="s">
        <v>86</v>
      </c>
      <c r="C3185" s="38" t="n">
        <f aca="false">Sens!$C$3184/(1+wacc)^6</f>
        <v>968.870609962602</v>
      </c>
    </row>
    <row r="3186" customFormat="false" ht="17.15" hidden="false" customHeight="false" outlineLevel="0" collapsed="false">
      <c r="A3186" s="5" t="s">
        <v>927</v>
      </c>
      <c r="B3186" s="0" t="s">
        <v>86</v>
      </c>
      <c r="C3186" s="38" t="n">
        <f aca="false">Sens!$C$3183+Sens!$C$3185</f>
        <v>1226.3012628641</v>
      </c>
    </row>
    <row r="3187" customFormat="false" ht="17.15" hidden="false" customHeight="false" outlineLevel="0" collapsed="false">
      <c r="A3187" s="5" t="s">
        <v>928</v>
      </c>
      <c r="B3187" s="0" t="s">
        <v>52</v>
      </c>
      <c r="C3187" s="13" t="n">
        <f aca="false">Sens!$C$3185/Sens!$C$3186</f>
        <v>0.790075521654236</v>
      </c>
    </row>
    <row r="3188" customFormat="false" ht="17.15" hidden="false" customHeight="false" outlineLevel="0" collapsed="false">
      <c r="A3188" s="5" t="s">
        <v>929</v>
      </c>
      <c r="B3188" s="0" t="s">
        <v>86</v>
      </c>
      <c r="C3188" s="38" t="n">
        <f aca="false">Sens!$G$3164+fin_debt</f>
        <v>97.2636983848813</v>
      </c>
    </row>
    <row r="3189" customFormat="false" ht="17.15" hidden="false" customHeight="false" outlineLevel="0" collapsed="false">
      <c r="A3189" s="5" t="s">
        <v>930</v>
      </c>
      <c r="B3189" s="0" t="s">
        <v>86</v>
      </c>
      <c r="C3189" s="38" t="n">
        <f aca="false">(ant_val*ant_sh+oai_val*oai_sh)*(1-liq_disc)</f>
        <v>178.944</v>
      </c>
    </row>
    <row r="3190" customFormat="false" ht="15" hidden="false" customHeight="false" outlineLevel="0" collapsed="false">
      <c r="A3190" s="5" t="s">
        <v>931</v>
      </c>
      <c r="B3190" s="0" t="s">
        <v>86</v>
      </c>
      <c r="C3190" s="38" t="n">
        <f aca="false">Sens!$C$3186-Sens!$C$3188+Sens!$C$3189</f>
        <v>1307.98156447922</v>
      </c>
    </row>
    <row r="3191" customFormat="false" ht="17.15" hidden="false" customHeight="false" outlineLevel="0" collapsed="false">
      <c r="A3191" s="5" t="s">
        <v>932</v>
      </c>
      <c r="B3191" s="0" t="s">
        <v>27</v>
      </c>
      <c r="C3191" s="30" t="n">
        <f aca="false">Sens!$C$3190/sh_out</f>
        <v>121.26307137723</v>
      </c>
    </row>
    <row r="3192" customFormat="false" ht="17.15" hidden="false" customHeight="false" outlineLevel="0" collapsed="false">
      <c r="A3192" s="1" t="s">
        <v>933</v>
      </c>
      <c r="B3192" s="8" t="s">
        <v>27</v>
      </c>
      <c r="C3192" s="30" t="n">
        <f aca="false">Sens!$C$3191*(1+ke)^tp_yf-dps*tp_yf</f>
        <v>132.827790614448</v>
      </c>
    </row>
    <row r="3193" customFormat="false" ht="17.15" hidden="false" customHeight="false" outlineLevel="0" collapsed="false">
      <c r="A3193" s="3" t="s">
        <v>934</v>
      </c>
    </row>
    <row r="3194" customFormat="false" ht="17.15" hidden="false" customHeight="false" outlineLevel="0" collapsed="false">
      <c r="A3194" s="5" t="s">
        <v>935</v>
      </c>
      <c r="B3194" s="0" t="s">
        <v>86</v>
      </c>
      <c r="C3194" s="38" t="n">
        <f aca="false">(1-tp_yf)*(Sens!$H$3121+sbc_ab*Sens!$H$3145*Sens!$H$2985/Sens!$H$3062)+tp_yf*(Sens!$I$3121+sbc_ab*Sens!$I$3145*Sens!$I$2985/Sens!$I$3062)</f>
        <v>59.634664536349</v>
      </c>
    </row>
    <row r="3195" customFormat="false" ht="15" hidden="false" customHeight="false" outlineLevel="0" collapsed="false">
      <c r="A3195" s="5" t="s">
        <v>936</v>
      </c>
      <c r="B3195" s="0" t="s">
        <v>57</v>
      </c>
      <c r="C3195" s="30" t="n">
        <f aca="false">m_ads*m_x</f>
        <v>9.11</v>
      </c>
    </row>
    <row r="3196" customFormat="false" ht="17.15" hidden="false" customHeight="false" outlineLevel="0" collapsed="false">
      <c r="A3196" s="5" t="s">
        <v>937</v>
      </c>
      <c r="B3196" s="0" t="s">
        <v>86</v>
      </c>
      <c r="C3196" s="38" t="n">
        <f aca="false">Sens!$C$3194*Sens!$C$3195</f>
        <v>543.271793926139</v>
      </c>
    </row>
    <row r="3197" customFormat="false" ht="17.15" hidden="false" customHeight="false" outlineLevel="0" collapsed="false">
      <c r="A3197" s="5" t="s">
        <v>938</v>
      </c>
      <c r="B3197" s="0" t="s">
        <v>86</v>
      </c>
      <c r="C3197" s="38" t="n">
        <f aca="false">(1-tp_yf)*(Sens!$H$3122+sbc_ab*Sens!$H$3145*(Sens!$H$2992-Sens!$H$2985)/Sens!$H$3062+IF(internal_ai_reading=2,1,0)*(1-ext_sh)*Sens!$H$3022)+tp_yf*(Sens!$I$3122+sbc_ab*Sens!$I$3145*(Sens!$I$2992-Sens!$I$2985)/Sens!$I$3062+IF(internal_ai_reading=2,1,0)*(1-ext_sh)*Sens!$I$3022)</f>
        <v>51.2224827206816</v>
      </c>
    </row>
    <row r="3198" customFormat="false" ht="17.15" hidden="false" customHeight="false" outlineLevel="0" collapsed="false">
      <c r="A3198" s="5" t="s">
        <v>939</v>
      </c>
      <c r="B3198" s="0" t="s">
        <v>57</v>
      </c>
      <c r="C3198" s="30" t="n">
        <f aca="false">m_retail*m_x</f>
        <v>17.72</v>
      </c>
    </row>
    <row r="3199" customFormat="false" ht="17.15" hidden="false" customHeight="false" outlineLevel="0" collapsed="false">
      <c r="A3199" s="5" t="s">
        <v>940</v>
      </c>
      <c r="B3199" s="0" t="s">
        <v>86</v>
      </c>
      <c r="C3199" s="38" t="n">
        <f aca="false">Sens!$C$3197*Sens!$C$3198</f>
        <v>907.662393810478</v>
      </c>
    </row>
    <row r="3200" customFormat="false" ht="17.15" hidden="false" customHeight="false" outlineLevel="0" collapsed="false">
      <c r="A3200" s="0" t="s">
        <v>941</v>
      </c>
      <c r="B3200" s="0" t="s">
        <v>86</v>
      </c>
      <c r="C3200" s="38" t="n">
        <f aca="false">(1-tp_yf)*(Sens!$H$3123+sbc_ab*Sens!$H$3145*Sens!$H$3060/Sens!$H$3062)+tp_yf*(Sens!$I$3123+sbc_ab*Sens!$I$3145*Sens!$I$3060/Sens!$I$3062)</f>
        <v>94.5218221136566</v>
      </c>
    </row>
    <row r="3201" customFormat="false" ht="17.15" hidden="false" customHeight="false" outlineLevel="0" collapsed="false">
      <c r="A3201" s="0" t="s">
        <v>942</v>
      </c>
      <c r="B3201" s="0" t="s">
        <v>57</v>
      </c>
      <c r="C3201" s="30" t="n">
        <f aca="false">m_cloud*m_x</f>
        <v>13.82</v>
      </c>
    </row>
    <row r="3202" customFormat="false" ht="17.15" hidden="false" customHeight="false" outlineLevel="0" collapsed="false">
      <c r="A3202" s="0" t="s">
        <v>943</v>
      </c>
      <c r="B3202" s="0" t="s">
        <v>86</v>
      </c>
      <c r="C3202" s="38" t="n">
        <f aca="false">Sens!$C$3200*Sens!$C$3201</f>
        <v>1306.29158161073</v>
      </c>
    </row>
    <row r="3203" customFormat="false" ht="17.15" hidden="false" customHeight="false" outlineLevel="0" collapsed="false">
      <c r="A3203" s="0" t="s">
        <v>944</v>
      </c>
      <c r="B3203" s="0" t="s">
        <v>86</v>
      </c>
      <c r="H3203" s="38" t="n">
        <f aca="false">Sens!$H$3041-tax*Sens!$H$3042-ext_sh*Sens!$H$3029</f>
        <v>-115.885394236225</v>
      </c>
      <c r="I3203" s="38" t="n">
        <f aca="false">Sens!$I$3041-tax*Sens!$I$3042-ext_sh*Sens!$I$3029</f>
        <v>-89.5935137276694</v>
      </c>
      <c r="J3203" s="38" t="n">
        <f aca="false">Sens!$J$3041-tax*Sens!$J$3042-ext_sh*Sens!$J$3029</f>
        <v>-62.3510647460279</v>
      </c>
      <c r="K3203" s="38" t="n">
        <f aca="false">Sens!$K$3041-tax*Sens!$K$3042-ext_sh*Sens!$K$3029</f>
        <v>8.85932514072565</v>
      </c>
      <c r="L3203" s="38" t="n">
        <f aca="false">Sens!$L$3041-tax*Sens!$L$3042-ext_sh*Sens!$L$3029</f>
        <v>45.6968344120177</v>
      </c>
      <c r="M3203" s="38" t="n">
        <f aca="false">Sens!$M$3041-tax*Sens!$M$3042-ext_sh*Sens!$M$3029</f>
        <v>54.7466688757428</v>
      </c>
    </row>
    <row r="3204" customFormat="false" ht="17.15" hidden="false" customHeight="false" outlineLevel="0" collapsed="false">
      <c r="A3204" s="5" t="s">
        <v>945</v>
      </c>
      <c r="B3204" s="0" t="s">
        <v>86</v>
      </c>
      <c r="H3204" s="38" t="n">
        <f aca="false">Sens!$H$3203*Sens!$H$3181</f>
        <v>-109.830535400166</v>
      </c>
      <c r="I3204" s="38" t="n">
        <f aca="false">Sens!$I$3203*Sens!$I$3181</f>
        <v>-76.2710567672785</v>
      </c>
      <c r="J3204" s="38" t="n">
        <f aca="false">Sens!$J$3203*Sens!$J$3181</f>
        <v>-47.6777623861763</v>
      </c>
      <c r="K3204" s="38" t="n">
        <f aca="false">Sens!$K$3203*Sens!$K$3181</f>
        <v>6.08501184243383</v>
      </c>
      <c r="L3204" s="38" t="n">
        <f aca="false">Sens!$L$3203*Sens!$L$3181</f>
        <v>28.1926369813469</v>
      </c>
      <c r="M3204" s="38" t="n">
        <f aca="false">Sens!$M$3203*Sens!$M$3181</f>
        <v>30.338637914116</v>
      </c>
    </row>
    <row r="3205" customFormat="false" ht="17.15" hidden="false" customHeight="false" outlineLevel="0" collapsed="false">
      <c r="A3205" s="5" t="s">
        <v>946</v>
      </c>
      <c r="B3205" s="0" t="s">
        <v>86</v>
      </c>
      <c r="C3205" s="38" t="n">
        <f aca="false">Sens!$M$3042*(1-tax)*(1+tg)*(1-tg/ronic)/(wacc-tg)</f>
        <v>391.533160655061</v>
      </c>
    </row>
    <row r="3206" customFormat="false" ht="17.15" hidden="false" customHeight="false" outlineLevel="0" collapsed="false">
      <c r="A3206" s="0" t="s">
        <v>947</v>
      </c>
      <c r="B3206" s="0" t="s">
        <v>86</v>
      </c>
      <c r="C3206" s="38" t="n">
        <f aca="false">(SUM(Sens!$I$3204:$M$3204)+Sens!$C$3205/(1+wacc)^6)*(1+wacc)^tp_yf</f>
        <v>159.796867964901</v>
      </c>
    </row>
    <row r="3207" customFormat="false" ht="17.15" hidden="false" customHeight="false" outlineLevel="0" collapsed="false">
      <c r="A3207" s="5" t="s">
        <v>948</v>
      </c>
      <c r="B3207" s="0" t="s">
        <v>86</v>
      </c>
      <c r="C3207" s="38" t="n">
        <f aca="false">(1-tp_yf)*(Sens!$H$3124)+tp_yf*(Sens!$I$3124)</f>
        <v>74.6707041238437</v>
      </c>
    </row>
    <row r="3208" customFormat="false" ht="17.15" hidden="false" customHeight="false" outlineLevel="0" collapsed="false">
      <c r="A3208" s="5" t="s">
        <v>949</v>
      </c>
      <c r="B3208" s="0" t="s">
        <v>86</v>
      </c>
      <c r="C3208" s="38" t="n">
        <f aca="false">Sens!$C$3207*m_ai</f>
        <v>448.024224743062</v>
      </c>
    </row>
    <row r="3209" customFormat="false" ht="17.15" hidden="false" customHeight="false" outlineLevel="0" collapsed="false">
      <c r="A3209" s="0" t="s">
        <v>950</v>
      </c>
      <c r="B3209" s="0" t="s">
        <v>86</v>
      </c>
      <c r="C3209" s="38" t="n">
        <f aca="false">IF(ai_leg=1,Sens!$C$3206,Sens!$C$3208)</f>
        <v>159.796867964901</v>
      </c>
    </row>
    <row r="3210" customFormat="false" ht="17.15" hidden="false" customHeight="false" outlineLevel="0" collapsed="false">
      <c r="A3210" s="5" t="s">
        <v>951</v>
      </c>
      <c r="B3210" s="0" t="s">
        <v>86</v>
      </c>
      <c r="C3210" s="38" t="n">
        <f aca="false">Sens!$C$3196+Sens!$C$3199+Sens!$C$3202+Sens!$C$3209</f>
        <v>2917.02263731225</v>
      </c>
    </row>
    <row r="3211" customFormat="false" ht="17.15" hidden="false" customHeight="false" outlineLevel="0" collapsed="false">
      <c r="A3211" s="5" t="s">
        <v>952</v>
      </c>
      <c r="B3211" s="0" t="s">
        <v>86</v>
      </c>
      <c r="C3211" s="38" t="n">
        <f aca="false">Sens!$H$3164+fin_debt</f>
        <v>153.928679595158</v>
      </c>
    </row>
    <row r="3212" customFormat="false" ht="15" hidden="false" customHeight="false" outlineLevel="0" collapsed="false">
      <c r="A3212" s="5" t="s">
        <v>953</v>
      </c>
      <c r="B3212" s="0" t="s">
        <v>86</v>
      </c>
      <c r="C3212" s="38" t="n">
        <f aca="false">Sens!$C$3210-Sens!$C$3211+Sens!$C$3189</f>
        <v>2942.03795771709</v>
      </c>
    </row>
    <row r="3213" customFormat="false" ht="15" hidden="false" customHeight="false" outlineLevel="0" collapsed="false">
      <c r="A3213" s="3" t="s">
        <v>954</v>
      </c>
      <c r="B3213" s="8" t="s">
        <v>27</v>
      </c>
      <c r="C3213" s="30" t="n">
        <f aca="false">Sens!$C$3212/sh_val</f>
        <v>266.722956183939</v>
      </c>
    </row>
    <row r="3214" customFormat="false" ht="17.15" hidden="false" customHeight="false" outlineLevel="0" collapsed="false">
      <c r="A3214" s="47" t="s">
        <v>955</v>
      </c>
      <c r="B3214" s="14" t="s">
        <v>27</v>
      </c>
      <c r="C3214" s="44" t="n">
        <f aca="false">w_dcf*Sens!$C$3192+(1-w_dcf)*Sens!$C$3213</f>
        <v>199.775373399194</v>
      </c>
      <c r="D3214" s="14"/>
      <c r="E3214" s="14"/>
      <c r="F3214" s="14"/>
      <c r="G3214" s="14"/>
      <c r="H3214" s="14"/>
      <c r="I3214" s="14"/>
      <c r="J3214" s="14"/>
      <c r="K3214" s="14"/>
      <c r="L3214" s="14"/>
      <c r="M3214" s="14"/>
      <c r="N3214" s="14"/>
      <c r="O3214" s="14"/>
    </row>
    <row r="3215" customFormat="false" ht="17.15" hidden="false" customHeight="false" outlineLevel="0" collapsed="false">
      <c r="A3215" s="5" t="s">
        <v>956</v>
      </c>
      <c r="B3215" s="0" t="s">
        <v>27</v>
      </c>
      <c r="C3215" s="30" t="n">
        <f aca="false">v022_wdcf*Sens!$C$3192+(1-v022_wdcf)*Sens!$C$3213</f>
        <v>206.470131677668</v>
      </c>
    </row>
    <row r="3216" customFormat="false" ht="17.15" hidden="false" customHeight="false" outlineLevel="0" collapsed="false">
      <c r="A3216" s="5" t="s">
        <v>957</v>
      </c>
      <c r="B3216" s="0" t="s">
        <v>27</v>
      </c>
      <c r="C3216" s="30" t="n">
        <f aca="false">(Sens!$C$3212-Sens!$C$3209+Sens!$C$3208)/sh_val</f>
        <v>292.85343232253</v>
      </c>
    </row>
    <row r="3219" customFormat="false" ht="19.4" hidden="false" customHeight="false" outlineLevel="0" collapsed="false">
      <c r="A3219" s="31" t="s">
        <v>1200</v>
      </c>
    </row>
    <row r="3220" customFormat="false" ht="17.15" hidden="false" customHeight="false" outlineLevel="0" collapsed="false">
      <c r="A3220" s="6" t="s">
        <v>16</v>
      </c>
      <c r="B3220" s="6" t="s">
        <v>17</v>
      </c>
      <c r="C3220" s="20" t="s">
        <v>497</v>
      </c>
      <c r="D3220" s="20" t="s">
        <v>498</v>
      </c>
      <c r="E3220" s="20" t="s">
        <v>580</v>
      </c>
      <c r="F3220" s="20" t="s">
        <v>581</v>
      </c>
      <c r="G3220" s="20" t="s">
        <v>582</v>
      </c>
      <c r="H3220" s="20" t="s">
        <v>583</v>
      </c>
      <c r="I3220" s="20" t="s">
        <v>584</v>
      </c>
      <c r="J3220" s="20" t="s">
        <v>585</v>
      </c>
      <c r="K3220" s="20" t="s">
        <v>586</v>
      </c>
      <c r="L3220" s="20" t="s">
        <v>587</v>
      </c>
      <c r="M3220" s="20" t="s">
        <v>588</v>
      </c>
      <c r="N3220" s="20" t="s">
        <v>589</v>
      </c>
      <c r="O3220" s="20" t="s">
        <v>590</v>
      </c>
      <c r="P3220" s="6" t="s">
        <v>23</v>
      </c>
      <c r="R3220" s="20" t="n">
        <v>2023</v>
      </c>
      <c r="S3220" s="20" t="n">
        <v>2024</v>
      </c>
      <c r="T3220" s="20" t="n">
        <v>2025</v>
      </c>
      <c r="U3220" s="20" t="n">
        <v>2026</v>
      </c>
      <c r="V3220" s="20" t="n">
        <v>2027</v>
      </c>
      <c r="W3220" s="20" t="n">
        <v>2028</v>
      </c>
      <c r="X3220" s="20" t="n">
        <v>2029</v>
      </c>
      <c r="Y3220" s="20" t="n">
        <v>2030</v>
      </c>
      <c r="Z3220" s="20" t="n">
        <v>2031</v>
      </c>
      <c r="AA3220" s="20" t="n">
        <v>2032</v>
      </c>
    </row>
    <row r="3221" customFormat="false" ht="17.15" hidden="false" customHeight="false" outlineLevel="0" collapsed="false">
      <c r="A3221" s="1" t="s">
        <v>666</v>
      </c>
    </row>
    <row r="3222" customFormat="false" ht="17.15" hidden="false" customHeight="false" outlineLevel="0" collapsed="false">
      <c r="A3222" s="0" t="s">
        <v>519</v>
      </c>
      <c r="B3222" s="0" t="s">
        <v>86</v>
      </c>
      <c r="C3222" s="38" t="n">
        <f aca="false">Q!$D$10</f>
        <v>247.029</v>
      </c>
      <c r="D3222" s="38" t="n">
        <f aca="false">Q!$E$10</f>
        <v>269.287</v>
      </c>
      <c r="E3222" s="38" t="n">
        <f aca="false">Q!$P$10</f>
        <v>134.686</v>
      </c>
      <c r="F3222" s="38" t="n">
        <f aca="false">Sens!$O$3222*(1+Sens!$F$3223)*Sens!$F$3234</f>
        <v>158.293876822267</v>
      </c>
      <c r="G3222" s="38" t="n">
        <f aca="false">Sens!$E$3222+Sens!$F$3222</f>
        <v>292.979876822267</v>
      </c>
      <c r="H3222" s="38" t="n">
        <f aca="false">Sens!$G$3222*(1+Sens!$H$3223)</f>
        <v>318.184543087396</v>
      </c>
      <c r="I3222" s="38" t="n">
        <f aca="false">Sens!$H$3222*(1+Sens!$I$3223)</f>
        <v>341.736278761793</v>
      </c>
      <c r="J3222" s="38" t="n">
        <f aca="false">Sens!$I$3222*(1+Sens!$J$3223)</f>
        <v>362.927192787048</v>
      </c>
      <c r="K3222" s="38" t="n">
        <f aca="false">Sens!$J$3222*(1+Sens!$K$3223)</f>
        <v>381.0735524264</v>
      </c>
      <c r="L3222" s="38" t="n">
        <f aca="false">Sens!$K$3222*(1+Sens!$L$3223)</f>
        <v>400.12723004772</v>
      </c>
      <c r="M3222" s="38" t="n">
        <f aca="false">Sens!$L$3222*(1+Sens!$M$3223)</f>
        <v>420.133591550106</v>
      </c>
      <c r="N3222" s="38" t="n">
        <f aca="false">Q!$N$10</f>
        <v>118.892</v>
      </c>
      <c r="O3222" s="38" t="n">
        <f aca="false">Q!$O$10</f>
        <v>150.395</v>
      </c>
      <c r="P3222" s="8" t="s">
        <v>667</v>
      </c>
    </row>
    <row r="3223" customFormat="false" ht="17.15" hidden="false" customHeight="false" outlineLevel="0" collapsed="false">
      <c r="A3223" s="0" t="s">
        <v>668</v>
      </c>
      <c r="B3223" s="0" t="s">
        <v>52</v>
      </c>
      <c r="E3223" s="13" t="n">
        <f aca="false">Sens!$E$3222/Sens!$N$3222-1</f>
        <v>0.132843252699929</v>
      </c>
      <c r="F3223" s="13" t="n">
        <f aca="false">Sens!$O$3222/(Q!$F$10+Q!$G$10)-1</f>
        <v>0.0980382135842941</v>
      </c>
      <c r="G3223" s="13" t="n">
        <f aca="false">Sens!$G$3222/Sens!$D$3222-1</f>
        <v>0.0879837378791657</v>
      </c>
      <c r="H3223" s="13" t="n">
        <f aca="false">Sens!$F$3223+(g_os-Sens!$F$3223)*1/4</f>
        <v>0.0860286601882206</v>
      </c>
      <c r="I3223" s="13" t="n">
        <f aca="false">Sens!$F$3223+(g_os-Sens!$F$3223)*2/4</f>
        <v>0.074019106792147</v>
      </c>
      <c r="J3223" s="13" t="n">
        <f aca="false">Sens!$F$3223+(g_os-Sens!$F$3223)*3/4</f>
        <v>0.0620095533960735</v>
      </c>
      <c r="K3223" s="13" t="n">
        <f aca="false">Sens!$F$3223+(g_os-Sens!$F$3223)*4/4</f>
        <v>0.05</v>
      </c>
      <c r="L3223" s="13" t="n">
        <f aca="false">g_os</f>
        <v>0.05</v>
      </c>
      <c r="M3223" s="13" t="n">
        <f aca="false">g_os</f>
        <v>0.05</v>
      </c>
      <c r="P3223" s="8" t="s">
        <v>669</v>
      </c>
    </row>
    <row r="3224" customFormat="false" ht="17.15" hidden="false" customHeight="false" outlineLevel="0" collapsed="false">
      <c r="A3224" s="0" t="s">
        <v>520</v>
      </c>
      <c r="B3224" s="0" t="s">
        <v>86</v>
      </c>
      <c r="C3224" s="38" t="n">
        <f aca="false">Q!$D$11</f>
        <v>21.215</v>
      </c>
      <c r="D3224" s="38" t="n">
        <f aca="false">Q!$E$11</f>
        <v>22.561</v>
      </c>
      <c r="E3224" s="38" t="n">
        <f aca="false">Q!$P$11</f>
        <v>11.579</v>
      </c>
      <c r="F3224" s="38" t="n">
        <f aca="false">Sens!$O$3224*(1+Sens!$F$3225)*Sens!$F$3234</f>
        <v>11.5938724610325</v>
      </c>
      <c r="G3224" s="38" t="n">
        <f aca="false">Sens!$E$3224+Sens!$F$3224</f>
        <v>23.1728724610325</v>
      </c>
      <c r="H3224" s="38" t="n">
        <f aca="false">Sens!$G$3224*(1+Sens!$H$3225)</f>
        <v>24.353392759506</v>
      </c>
      <c r="I3224" s="38" t="n">
        <f aca="false">Sens!$H$3224*(1+Sens!$I$3225)</f>
        <v>25.4240338872015</v>
      </c>
      <c r="J3224" s="38" t="n">
        <f aca="false">Sens!$I$3224*(1+Sens!$J$3225)</f>
        <v>26.3642491017174</v>
      </c>
      <c r="K3224" s="38" t="n">
        <f aca="false">Sens!$J$3224*(1+Sens!$K$3225)</f>
        <v>27.155176574769</v>
      </c>
      <c r="L3224" s="38" t="n">
        <f aca="false">Sens!$K$3224*(1+Sens!$L$3225)</f>
        <v>27.969831872012</v>
      </c>
      <c r="M3224" s="38" t="n">
        <f aca="false">Sens!$L$3224*(1+Sens!$M$3225)</f>
        <v>28.8089268281724</v>
      </c>
      <c r="N3224" s="38" t="n">
        <f aca="false">Q!$N$11</f>
        <v>11.128</v>
      </c>
      <c r="O3224" s="38" t="n">
        <f aca="false">Q!$O$11</f>
        <v>11.433</v>
      </c>
      <c r="P3224" s="8" t="s">
        <v>667</v>
      </c>
    </row>
    <row r="3225" customFormat="false" ht="17.15" hidden="false" customHeight="false" outlineLevel="0" collapsed="false">
      <c r="A3225" s="0" t="s">
        <v>670</v>
      </c>
      <c r="B3225" s="0" t="s">
        <v>52</v>
      </c>
      <c r="E3225" s="13" t="n">
        <f aca="false">Sens!$E$3224/Sens!$N$3224-1</f>
        <v>0.0405283968368082</v>
      </c>
      <c r="F3225" s="13" t="n">
        <f aca="false">Sens!$O$3224/(Q!$F$11+Q!$G$11)-1</f>
        <v>0.0579254187100955</v>
      </c>
      <c r="G3225" s="13" t="n">
        <f aca="false">Sens!$G$3224/Sens!$D$3224-1</f>
        <v>0.0271208040881397</v>
      </c>
      <c r="H3225" s="13" t="n">
        <f aca="false">Sens!$F$3225+(g_ps-Sens!$F$3225)*1/4</f>
        <v>0.0509440640325716</v>
      </c>
      <c r="I3225" s="13" t="n">
        <f aca="false">Sens!$F$3225+(g_ps-Sens!$F$3225)*2/4</f>
        <v>0.0439627093550477</v>
      </c>
      <c r="J3225" s="13" t="n">
        <f aca="false">Sens!$F$3225+(g_ps-Sens!$F$3225)*3/4</f>
        <v>0.0369813546775239</v>
      </c>
      <c r="K3225" s="13" t="n">
        <f aca="false">Sens!$F$3225+(g_ps-Sens!$F$3225)*4/4</f>
        <v>0.03</v>
      </c>
      <c r="L3225" s="13" t="n">
        <f aca="false">g_ps</f>
        <v>0.03</v>
      </c>
      <c r="M3225" s="13" t="n">
        <f aca="false">g_ps</f>
        <v>0.03</v>
      </c>
      <c r="P3225" s="8" t="s">
        <v>671</v>
      </c>
    </row>
    <row r="3226" customFormat="false" ht="17.15" hidden="false" customHeight="false" outlineLevel="0" collapsed="false">
      <c r="A3226" s="0" t="s">
        <v>521</v>
      </c>
      <c r="B3226" s="0" t="s">
        <v>86</v>
      </c>
      <c r="C3226" s="38" t="n">
        <f aca="false">Q!$D$12</f>
        <v>156.146</v>
      </c>
      <c r="D3226" s="38" t="n">
        <f aca="false">Q!$E$12</f>
        <v>172.162</v>
      </c>
      <c r="E3226" s="38" t="n">
        <f aca="false">Q!$P$12</f>
        <v>88.358</v>
      </c>
      <c r="F3226" s="38" t="n">
        <f aca="false">Sens!$O$3226*(1+Sens!$F$3227)*Sens!$F$3234</f>
        <v>102.004388260171</v>
      </c>
      <c r="G3226" s="38" t="n">
        <f aca="false">Sens!$E$3226+Sens!$F$3226</f>
        <v>190.362388260171</v>
      </c>
      <c r="H3226" s="38" t="n">
        <f aca="false">Sens!$G$3226*(1+Sens!$H$3227)</f>
        <v>210.343106588311</v>
      </c>
      <c r="I3226" s="38" t="n">
        <f aca="false">Sens!$H$3226*(1+Sens!$I$3227)</f>
        <v>229.969728494648</v>
      </c>
      <c r="J3226" s="38" t="n">
        <f aca="false">Sens!$I$3226*(1+Sens!$J$3227)</f>
        <v>248.747636972598</v>
      </c>
      <c r="K3226" s="38" t="n">
        <f aca="false">Sens!$J$3226*(1+Sens!$K$3227)</f>
        <v>266.15997156068</v>
      </c>
      <c r="L3226" s="38" t="n">
        <f aca="false">Sens!$K$3226*(1+Sens!$L$3227)</f>
        <v>284.791169569927</v>
      </c>
      <c r="M3226" s="38" t="n">
        <f aca="false">Sens!$L$3226*(1+Sens!$M$3227)</f>
        <v>304.726551439822</v>
      </c>
      <c r="N3226" s="38" t="n">
        <f aca="false">Q!$N$12</f>
        <v>76.86</v>
      </c>
      <c r="O3226" s="38" t="n">
        <f aca="false">Q!$O$12</f>
        <v>95.302</v>
      </c>
      <c r="P3226" s="8" t="s">
        <v>667</v>
      </c>
    </row>
    <row r="3227" customFormat="false" ht="17.15" hidden="false" customHeight="false" outlineLevel="0" collapsed="false">
      <c r="A3227" s="0" t="s">
        <v>672</v>
      </c>
      <c r="B3227" s="0" t="s">
        <v>52</v>
      </c>
      <c r="E3227" s="13" t="n">
        <f aca="false">Sens!$E$3226/Sens!$N$3226-1</f>
        <v>0.1495966692688</v>
      </c>
      <c r="F3227" s="13" t="n">
        <f aca="false">Sens!$O$3226/(Q!$F$12+Q!$G$12)-1</f>
        <v>0.11661530890813</v>
      </c>
      <c r="G3227" s="13" t="n">
        <f aca="false">Sens!$G$3226/Sens!$D$3226-1</f>
        <v>0.105716640490767</v>
      </c>
      <c r="H3227" s="13" t="n">
        <f aca="false">Sens!$F$3227+(g_sp-Sens!$F$3227)*1/4</f>
        <v>0.104961481681098</v>
      </c>
      <c r="I3227" s="13" t="n">
        <f aca="false">Sens!$F$3227+(g_sp-Sens!$F$3227)*2/4</f>
        <v>0.0933076544540651</v>
      </c>
      <c r="J3227" s="13" t="n">
        <f aca="false">Sens!$F$3227+(g_sp-Sens!$F$3227)*3/4</f>
        <v>0.0816538272270325</v>
      </c>
      <c r="K3227" s="13" t="n">
        <f aca="false">Sens!$F$3227+(g_sp-Sens!$F$3227)*4/4</f>
        <v>0.07</v>
      </c>
      <c r="L3227" s="13" t="n">
        <f aca="false">g_sp</f>
        <v>0.07</v>
      </c>
      <c r="M3227" s="13" t="n">
        <f aca="false">g_sp</f>
        <v>0.07</v>
      </c>
      <c r="P3227" s="8" t="s">
        <v>673</v>
      </c>
    </row>
    <row r="3228" customFormat="false" ht="17.15" hidden="false" customHeight="false" outlineLevel="0" collapsed="false">
      <c r="A3228" s="0" t="s">
        <v>522</v>
      </c>
      <c r="B3228" s="0" t="s">
        <v>86</v>
      </c>
      <c r="C3228" s="38" t="n">
        <f aca="false">Q!$D$13</f>
        <v>56.214</v>
      </c>
      <c r="D3228" s="38" t="n">
        <f aca="false">Q!$E$13</f>
        <v>68.635</v>
      </c>
      <c r="E3228" s="38" t="n">
        <f aca="false">Q!$P$13</f>
        <v>37.052</v>
      </c>
      <c r="F3228" s="38" t="n">
        <f aca="false">Sens!$O$3228*(1+Sens!$F$3229)*Sens!$F$3234</f>
        <v>46.1572219944148</v>
      </c>
      <c r="G3228" s="38" t="n">
        <f aca="false">Sens!$E$3228+Sens!$F$3228</f>
        <v>83.2092219944148</v>
      </c>
      <c r="H3228" s="38" t="n">
        <f aca="false">Sens!$G$3228*(1+Sens!$H$3229)</f>
        <v>99.8969223878976</v>
      </c>
      <c r="I3228" s="38" t="n">
        <f aca="false">Sens!$H$3228*(1+Sens!$I$3229)</f>
        <v>116.583111095496</v>
      </c>
      <c r="J3228" s="38" t="n">
        <f aca="false">Sens!$I$3228*(1+Sens!$J$3229)</f>
        <v>132.148941941952</v>
      </c>
      <c r="K3228" s="38" t="n">
        <f aca="false">Sens!$J$3228*(1+Sens!$K$3229)</f>
        <v>145.363836136147</v>
      </c>
      <c r="L3228" s="38" t="n">
        <f aca="false">Sens!$K$3228*(1+Sens!$L$3229)</f>
        <v>159.900219749762</v>
      </c>
      <c r="M3228" s="38" t="n">
        <f aca="false">Sens!$L$3228*(1+Sens!$M$3229)</f>
        <v>175.890241724738</v>
      </c>
      <c r="N3228" s="38" t="n">
        <f aca="false">Q!$N$13</f>
        <v>29.615</v>
      </c>
      <c r="O3228" s="38" t="n">
        <f aca="false">Q!$O$13</f>
        <v>39.02</v>
      </c>
      <c r="P3228" s="8" t="s">
        <v>667</v>
      </c>
    </row>
    <row r="3229" customFormat="false" ht="17.15" hidden="false" customHeight="false" outlineLevel="0" collapsed="false">
      <c r="A3229" s="0" t="s">
        <v>674</v>
      </c>
      <c r="B3229" s="0" t="s">
        <v>52</v>
      </c>
      <c r="E3229" s="13" t="n">
        <f aca="false">Sens!$E$3228/Sens!$N$3228-1</f>
        <v>0.25112274185379</v>
      </c>
      <c r="F3229" s="13" t="n">
        <f aca="false">Sens!$O$3228/(Q!$F$13+Q!$G$13)-1</f>
        <v>0.234068123596572</v>
      </c>
      <c r="G3229" s="13" t="n">
        <f aca="false">Sens!$G$3228/Sens!$D$3228-1</f>
        <v>0.212343876949294</v>
      </c>
      <c r="H3229" s="13" t="n">
        <f aca="false">Sens!$F$3229+(g_ad-Sens!$F$3229)*1/4</f>
        <v>0.200551092697429</v>
      </c>
      <c r="I3229" s="13" t="n">
        <f aca="false">Sens!$F$3229+(g_ad-Sens!$F$3229)*2/4</f>
        <v>0.167034061798286</v>
      </c>
      <c r="J3229" s="13" t="n">
        <f aca="false">Sens!$F$3229+(g_ad-Sens!$F$3229)*3/4</f>
        <v>0.133517030899143</v>
      </c>
      <c r="K3229" s="13" t="n">
        <f aca="false">Sens!$F$3229+(g_ad-Sens!$F$3229)*4/4</f>
        <v>0.1</v>
      </c>
      <c r="L3229" s="13" t="n">
        <f aca="false">g_ad</f>
        <v>0.1</v>
      </c>
      <c r="M3229" s="13" t="n">
        <f aca="false">g_ad</f>
        <v>0.1</v>
      </c>
      <c r="P3229" s="8" t="s">
        <v>675</v>
      </c>
    </row>
    <row r="3230" customFormat="false" ht="17.15" hidden="false" customHeight="false" outlineLevel="0" collapsed="false">
      <c r="A3230" s="0" t="s">
        <v>523</v>
      </c>
      <c r="B3230" s="0" t="s">
        <v>86</v>
      </c>
      <c r="C3230" s="38" t="n">
        <f aca="false">Q!$D$14</f>
        <v>44.374</v>
      </c>
      <c r="D3230" s="38" t="n">
        <f aca="false">Q!$E$14</f>
        <v>49.619</v>
      </c>
      <c r="E3230" s="38" t="n">
        <f aca="false">Q!$P$14</f>
        <v>27.157</v>
      </c>
      <c r="F3230" s="38" t="n">
        <f aca="false">Sens!$O$3230*(1+Sens!$F$3231)*Sens!$F$3234</f>
        <v>27.7764165988154</v>
      </c>
      <c r="G3230" s="38" t="n">
        <f aca="false">Sens!$E$3230+Sens!$F$3230</f>
        <v>54.9334165988154</v>
      </c>
      <c r="H3230" s="38" t="n">
        <f aca="false">Sens!$G$3230*(1+Sens!$H$3231)</f>
        <v>61.1564112561829</v>
      </c>
      <c r="I3230" s="38" t="n">
        <f aca="false">Sens!$H$3230*(1+Sens!$I$3231)</f>
        <v>67.2020282103945</v>
      </c>
      <c r="J3230" s="38" t="n">
        <f aca="false">Sens!$I$3230*(1+Sens!$J$3231)</f>
        <v>72.8757274028885</v>
      </c>
      <c r="K3230" s="38" t="n">
        <f aca="false">Sens!$J$3230*(1+Sens!$K$3231)</f>
        <v>77.9770283210907</v>
      </c>
      <c r="L3230" s="38" t="n">
        <f aca="false">Sens!$K$3230*(1+Sens!$L$3231)</f>
        <v>83.4354203035671</v>
      </c>
      <c r="M3230" s="38" t="n">
        <f aca="false">Sens!$L$3230*(1+Sens!$M$3231)</f>
        <v>89.2758997248168</v>
      </c>
      <c r="N3230" s="38" t="n">
        <f aca="false">Q!$N$14</f>
        <v>23.923</v>
      </c>
      <c r="O3230" s="38" t="n">
        <f aca="false">Q!$O$14</f>
        <v>25.696</v>
      </c>
      <c r="P3230" s="8" t="s">
        <v>667</v>
      </c>
    </row>
    <row r="3231" customFormat="false" ht="17.15" hidden="false" customHeight="false" outlineLevel="0" collapsed="false">
      <c r="A3231" s="0" t="s">
        <v>676</v>
      </c>
      <c r="B3231" s="0" t="s">
        <v>52</v>
      </c>
      <c r="E3231" s="13" t="n">
        <f aca="false">Sens!$E$3230/Sens!$N$3230-1</f>
        <v>0.135183714417088</v>
      </c>
      <c r="F3231" s="13" t="n">
        <f aca="false">Sens!$O$3230/(Q!$F$14+Q!$G$14)-1</f>
        <v>0.127709997366804</v>
      </c>
      <c r="G3231" s="13" t="n">
        <f aca="false">Sens!$G$3230/Sens!$D$3230-1</f>
        <v>0.107104468022641</v>
      </c>
      <c r="H3231" s="13" t="n">
        <f aca="false">Sens!$F$3231+(g_sub-Sens!$F$3231)*1/4</f>
        <v>0.113282498025103</v>
      </c>
      <c r="I3231" s="13" t="n">
        <f aca="false">Sens!$F$3231+(g_sub-Sens!$F$3231)*2/4</f>
        <v>0.0988549986834021</v>
      </c>
      <c r="J3231" s="13" t="n">
        <f aca="false">Sens!$F$3231+(g_sub-Sens!$F$3231)*3/4</f>
        <v>0.084427499341701</v>
      </c>
      <c r="K3231" s="13" t="n">
        <f aca="false">Sens!$F$3231+(g_sub-Sens!$F$3231)*4/4</f>
        <v>0.07</v>
      </c>
      <c r="L3231" s="13" t="n">
        <f aca="false">g_sub</f>
        <v>0.07</v>
      </c>
      <c r="M3231" s="13" t="n">
        <f aca="false">g_sub</f>
        <v>0.07</v>
      </c>
      <c r="P3231" s="8" t="s">
        <v>677</v>
      </c>
    </row>
    <row r="3232" customFormat="false" ht="17.15" hidden="false" customHeight="false" outlineLevel="0" collapsed="false">
      <c r="A3232" s="0" t="s">
        <v>524</v>
      </c>
      <c r="B3232" s="0" t="s">
        <v>86</v>
      </c>
      <c r="C3232" s="38" t="n">
        <f aca="false">Q!$D$15</f>
        <v>5.425</v>
      </c>
      <c r="D3232" s="38" t="n">
        <f aca="false">Q!$E$15</f>
        <v>5.935</v>
      </c>
      <c r="E3232" s="38" t="n">
        <f aca="false">Q!$P$15</f>
        <v>3.474</v>
      </c>
      <c r="F3232" s="38" t="n">
        <f aca="false">Sens!$O$3232*(1+Sens!$F$3233)*Sens!$F$3234</f>
        <v>3.22246550883619</v>
      </c>
      <c r="G3232" s="38" t="n">
        <f aca="false">Sens!$E$3232+Sens!$F$3232</f>
        <v>6.69646550883619</v>
      </c>
      <c r="H3232" s="38" t="n">
        <f aca="false">Sens!$G$3232*(1+Sens!$H$3233)</f>
        <v>7.16251344209196</v>
      </c>
      <c r="I3232" s="38" t="n">
        <f aca="false">Sens!$H$3232*(1+Sens!$I$3233)</f>
        <v>7.61421070299826</v>
      </c>
      <c r="J3232" s="38" t="n">
        <f aca="false">Sens!$I$3232*(1+Sens!$J$3233)</f>
        <v>8.04465753523932</v>
      </c>
      <c r="K3232" s="38" t="n">
        <f aca="false">Sens!$J$3232*(1+Sens!$K$3233)</f>
        <v>8.44689041200128</v>
      </c>
      <c r="L3232" s="38" t="n">
        <f aca="false">Sens!$K$3232*(1+Sens!$L$3233)</f>
        <v>8.86923493260135</v>
      </c>
      <c r="M3232" s="38" t="n">
        <f aca="false">Sens!$L$3232*(1+Sens!$M$3233)</f>
        <v>9.31269667923142</v>
      </c>
      <c r="N3232" s="38" t="n">
        <f aca="false">Q!$N$15</f>
        <v>2.811</v>
      </c>
      <c r="O3232" s="38" t="n">
        <f aca="false">Q!$O$15</f>
        <v>3.124</v>
      </c>
      <c r="P3232" s="8" t="s">
        <v>667</v>
      </c>
    </row>
    <row r="3233" customFormat="false" ht="17.15" hidden="false" customHeight="false" outlineLevel="0" collapsed="false">
      <c r="A3233" s="0" t="s">
        <v>678</v>
      </c>
      <c r="B3233" s="0" t="s">
        <v>52</v>
      </c>
      <c r="E3233" s="13" t="n">
        <f aca="false">Sens!$E$3232/Sens!$N$3232-1</f>
        <v>0.235859124866596</v>
      </c>
      <c r="F3233" s="13" t="n">
        <f aca="false">Sens!$O$3232/(Q!$F$15+Q!$G$15)-1</f>
        <v>0.0761281433000345</v>
      </c>
      <c r="G3233" s="13" t="n">
        <f aca="false">Sens!$G$3232/Sens!$D$3232-1</f>
        <v>0.128300843948811</v>
      </c>
      <c r="H3233" s="13" t="n">
        <f aca="false">Sens!$F$3233+(g_ot-Sens!$F$3233)*1/4</f>
        <v>0.0695961074750259</v>
      </c>
      <c r="I3233" s="13" t="n">
        <f aca="false">Sens!$F$3233+(g_ot-Sens!$F$3233)*2/4</f>
        <v>0.0630640716500172</v>
      </c>
      <c r="J3233" s="13" t="n">
        <f aca="false">Sens!$F$3233+(g_ot-Sens!$F$3233)*3/4</f>
        <v>0.0565320358250086</v>
      </c>
      <c r="K3233" s="13" t="n">
        <f aca="false">Sens!$F$3233+(g_ot-Sens!$F$3233)*4/4</f>
        <v>0.05</v>
      </c>
      <c r="L3233" s="13" t="n">
        <f aca="false">g_ot</f>
        <v>0.05</v>
      </c>
      <c r="M3233" s="13" t="n">
        <f aca="false">g_ot</f>
        <v>0.05</v>
      </c>
      <c r="P3233" s="8" t="s">
        <v>679</v>
      </c>
    </row>
    <row r="3234" customFormat="false" ht="17.15" hidden="false" customHeight="false" outlineLevel="0" collapsed="false">
      <c r="A3234" s="0" t="s">
        <v>680</v>
      </c>
      <c r="B3234" s="0" t="s">
        <v>57</v>
      </c>
      <c r="F3234" s="40" t="n">
        <f aca="false">(g26q3_mid*Q!$O$8/Q!$J$8-Thesis!$F$86-Thesis!$F$90)/(Sens!$O$3222*(1+Sens!$F$3223)+Sens!$O$3224*(1+Sens!$F$3225)+Sens!$O$3226*(1+Sens!$F$3227)+Sens!$O$3228*(1+Sens!$F$3229)+Sens!$O$3230*(1+Sens!$F$3231)+Sens!$O$3232*(1+Sens!$F$3233))</f>
        <v>0.958546670622329</v>
      </c>
      <c r="P3234" s="8" t="s">
        <v>681</v>
      </c>
    </row>
    <row r="3235" customFormat="false" ht="17.15" hidden="false" customHeight="false" outlineLevel="0" collapsed="false">
      <c r="A3235" s="3" t="s">
        <v>682</v>
      </c>
      <c r="B3235" s="8" t="s">
        <v>86</v>
      </c>
      <c r="C3235" s="38" t="n">
        <f aca="false">Sens!$C$3222+Sens!$C$3224+Sens!$C$3226+Sens!$C$3228+Sens!$C$3230+Sens!$C$3232</f>
        <v>530.403</v>
      </c>
      <c r="D3235" s="38" t="n">
        <f aca="false">Sens!$D$3222+Sens!$D$3224+Sens!$D$3226+Sens!$D$3228+Sens!$D$3230+Sens!$D$3232</f>
        <v>588.199</v>
      </c>
      <c r="E3235" s="38" t="n">
        <f aca="false">Sens!$E$3222+Sens!$E$3224+Sens!$E$3226+Sens!$E$3228+Sens!$E$3230+Sens!$E$3232</f>
        <v>302.306</v>
      </c>
      <c r="F3235" s="38" t="n">
        <f aca="false">Sens!$F$3222+Sens!$F$3224+Sens!$F$3226+Sens!$F$3228+Sens!$F$3230+Sens!$F$3232</f>
        <v>349.048241645537</v>
      </c>
      <c r="G3235" s="38" t="n">
        <f aca="false">Sens!$G$3222+Sens!$G$3224+Sens!$G$3226+Sens!$G$3228+Sens!$G$3230+Sens!$G$3232</f>
        <v>651.354241645537</v>
      </c>
      <c r="H3235" s="38" t="n">
        <f aca="false">Sens!$H$3222+Sens!$H$3224+Sens!$H$3226+Sens!$H$3228+Sens!$H$3230+Sens!$H$3232</f>
        <v>721.096889521386</v>
      </c>
      <c r="I3235" s="38" t="n">
        <f aca="false">Sens!$I$3222+Sens!$I$3224+Sens!$I$3226+Sens!$I$3228+Sens!$I$3230+Sens!$I$3232</f>
        <v>788.529391152531</v>
      </c>
      <c r="J3235" s="38" t="n">
        <f aca="false">Sens!$J$3222+Sens!$J$3224+Sens!$J$3226+Sens!$J$3228+Sens!$J$3230+Sens!$J$3232</f>
        <v>851.108405741443</v>
      </c>
      <c r="K3235" s="38" t="n">
        <f aca="false">Sens!$K$3222+Sens!$K$3224+Sens!$K$3226+Sens!$K$3228+Sens!$K$3230+Sens!$K$3232</f>
        <v>906.176455431088</v>
      </c>
      <c r="L3235" s="38" t="n">
        <f aca="false">Sens!$L$3222+Sens!$L$3224+Sens!$L$3226+Sens!$L$3228+Sens!$L$3230+Sens!$L$3232</f>
        <v>965.093106475589</v>
      </c>
      <c r="M3235" s="38" t="n">
        <f aca="false">Sens!$M$3222+Sens!$M$3224+Sens!$M$3226+Sens!$M$3228+Sens!$M$3230+Sens!$M$3232</f>
        <v>1028.14790794689</v>
      </c>
      <c r="N3235" s="38" t="n">
        <f aca="false">Sens!$N$3222+Sens!$N$3224+Sens!$N$3226+Sens!$N$3228+Sens!$N$3230+Sens!$N$3232</f>
        <v>263.229</v>
      </c>
      <c r="O3235" s="38" t="n">
        <f aca="false">Sens!$O$3222+Sens!$O$3224+Sens!$O$3226+Sens!$O$3228+Sens!$O$3230+Sens!$O$3232</f>
        <v>324.97</v>
      </c>
    </row>
    <row r="3236" customFormat="false" ht="17.15" hidden="false" customHeight="false" outlineLevel="0" collapsed="false">
      <c r="A3236" s="5" t="s">
        <v>683</v>
      </c>
      <c r="B3236" s="0" t="s">
        <v>52</v>
      </c>
      <c r="C3236" s="13" t="n">
        <f aca="false">Q!$D$5/(Q!$D$5+Q!$D$6)</f>
        <v>0.730570905519011</v>
      </c>
      <c r="D3236" s="13" t="n">
        <f aca="false">Q!$E$5/(Q!$E$5+Q!$E$6)</f>
        <v>0.724763217890544</v>
      </c>
      <c r="E3236" s="13" t="n">
        <f aca="false">Q!$P$5/(Q!$P$5+Q!$P$6)</f>
        <v>0.728797972914861</v>
      </c>
      <c r="F3236" s="13" t="n">
        <f aca="false">Sens!$O$3236</f>
        <v>0.718066283041511</v>
      </c>
      <c r="G3236" s="13" t="n">
        <f aca="false">Sens!$G$3237/Sens!$G$3235</f>
        <v>0.723047066202847</v>
      </c>
      <c r="H3236" s="13" t="n">
        <f aca="false">Sens!$G$3236</f>
        <v>0.723047066202847</v>
      </c>
      <c r="I3236" s="13" t="n">
        <f aca="false">Sens!$G$3236</f>
        <v>0.723047066202847</v>
      </c>
      <c r="J3236" s="13" t="n">
        <f aca="false">Sens!$G$3236</f>
        <v>0.723047066202847</v>
      </c>
      <c r="K3236" s="13" t="n">
        <f aca="false">Sens!$G$3236</f>
        <v>0.723047066202847</v>
      </c>
      <c r="L3236" s="13" t="n">
        <f aca="false">Sens!$G$3236</f>
        <v>0.723047066202847</v>
      </c>
      <c r="M3236" s="13" t="n">
        <f aca="false">Sens!$G$3236</f>
        <v>0.723047066202847</v>
      </c>
      <c r="N3236" s="13" t="n">
        <f aca="false">Q!$N$5/(Q!$N$5+Q!$N$6)</f>
        <v>0.733030935041352</v>
      </c>
      <c r="O3236" s="13" t="n">
        <f aca="false">Q!$O$5/(Q!$O$5+Q!$O$6)</f>
        <v>0.718066283041511</v>
      </c>
      <c r="P3236" s="8" t="s">
        <v>684</v>
      </c>
    </row>
    <row r="3237" customFormat="false" ht="17.15" hidden="false" customHeight="false" outlineLevel="0" collapsed="false">
      <c r="A3237" s="1" t="s">
        <v>512</v>
      </c>
      <c r="B3237" s="8" t="s">
        <v>86</v>
      </c>
      <c r="C3237" s="38" t="n">
        <f aca="false">Q!$D$5</f>
        <v>387.497</v>
      </c>
      <c r="D3237" s="38" t="n">
        <f aca="false">Q!$E$5</f>
        <v>426.305</v>
      </c>
      <c r="E3237" s="38" t="n">
        <f aca="false">Q!$P$5</f>
        <v>220.32</v>
      </c>
      <c r="F3237" s="38" t="n">
        <f aca="false">Sens!$F$3235*Sens!$F$3236</f>
        <v>250.639773480586</v>
      </c>
      <c r="G3237" s="38" t="n">
        <f aca="false">Sens!$E$3237+Sens!$F$3237</f>
        <v>470.959773480586</v>
      </c>
      <c r="H3237" s="38" t="n">
        <f aca="false">Sens!$H$3235*Sens!$H$3236</f>
        <v>521.386990416437</v>
      </c>
      <c r="I3237" s="38" t="n">
        <f aca="false">Sens!$I$3235*Sens!$I$3236</f>
        <v>570.143862887555</v>
      </c>
      <c r="J3237" s="38" t="n">
        <f aca="false">Sens!$J$3235*Sens!$J$3236</f>
        <v>615.391435791933</v>
      </c>
      <c r="K3237" s="38" t="n">
        <f aca="false">Sens!$K$3235*Sens!$K$3236</f>
        <v>655.208227561543</v>
      </c>
      <c r="L3237" s="38" t="n">
        <f aca="false">Sens!$L$3235*Sens!$L$3236</f>
        <v>697.807739249767</v>
      </c>
      <c r="M3237" s="38" t="n">
        <f aca="false">Sens!$M$3235*Sens!$M$3236</f>
        <v>743.399328463592</v>
      </c>
      <c r="N3237" s="38" t="n">
        <f aca="false">Q!$N$5</f>
        <v>192.955</v>
      </c>
      <c r="O3237" s="38" t="n">
        <f aca="false">Q!$O$5</f>
        <v>233.35</v>
      </c>
      <c r="P3237" s="5" t="s">
        <v>685</v>
      </c>
    </row>
    <row r="3238" customFormat="false" ht="17.15" hidden="false" customHeight="false" outlineLevel="0" collapsed="false">
      <c r="A3238" s="1" t="s">
        <v>515</v>
      </c>
      <c r="B3238" s="8" t="s">
        <v>86</v>
      </c>
      <c r="C3238" s="38" t="n">
        <f aca="false">Q!$D$6</f>
        <v>142.906</v>
      </c>
      <c r="D3238" s="38" t="n">
        <f aca="false">Q!$E$6</f>
        <v>161.894</v>
      </c>
      <c r="E3238" s="38" t="n">
        <f aca="false">Q!$P$6</f>
        <v>81.986</v>
      </c>
      <c r="F3238" s="38" t="n">
        <f aca="false">Sens!$F$3235*(1-Sens!$F$3236)</f>
        <v>98.408468164951</v>
      </c>
      <c r="G3238" s="38" t="n">
        <f aca="false">Sens!$E$3238+Sens!$F$3238</f>
        <v>180.394468164951</v>
      </c>
      <c r="H3238" s="38" t="n">
        <f aca="false">Sens!$H$3235*(1-Sens!$H$3236)</f>
        <v>199.709899104949</v>
      </c>
      <c r="I3238" s="38" t="n">
        <f aca="false">Sens!$I$3235*(1-Sens!$I$3236)</f>
        <v>218.385528264976</v>
      </c>
      <c r="J3238" s="38" t="n">
        <f aca="false">Sens!$J$3235*(1-Sens!$J$3236)</f>
        <v>235.71696994951</v>
      </c>
      <c r="K3238" s="38" t="n">
        <f aca="false">Sens!$K$3235*(1-Sens!$K$3236)</f>
        <v>250.968227869545</v>
      </c>
      <c r="L3238" s="38" t="n">
        <f aca="false">Sens!$L$3235*(1-Sens!$L$3236)</f>
        <v>267.285367225822</v>
      </c>
      <c r="M3238" s="38" t="n">
        <f aca="false">Sens!$M$3235*(1-Sens!$M$3236)</f>
        <v>284.748579483295</v>
      </c>
      <c r="N3238" s="38" t="n">
        <f aca="false">Q!$N$6</f>
        <v>70.274</v>
      </c>
      <c r="O3238" s="38" t="n">
        <f aca="false">Q!$O$6</f>
        <v>91.62</v>
      </c>
      <c r="P3238" s="5" t="s">
        <v>686</v>
      </c>
    </row>
    <row r="3239" customFormat="false" ht="17.15" hidden="false" customHeight="false" outlineLevel="0" collapsed="false">
      <c r="A3239" s="5" t="s">
        <v>687</v>
      </c>
      <c r="B3239" s="0" t="s">
        <v>86</v>
      </c>
      <c r="C3239" s="38" t="n">
        <f aca="false">Sens!$C$3228*Sens!$C$3236</f>
        <v>41.0683128828457</v>
      </c>
      <c r="D3239" s="38" t="n">
        <f aca="false">Sens!$D$3228*Sens!$D$3236</f>
        <v>49.7441234599175</v>
      </c>
      <c r="E3239" s="38" t="n">
        <f aca="false">Sens!$E$3228*Sens!$E$3236</f>
        <v>27.0034224924414</v>
      </c>
      <c r="F3239" s="38" t="n">
        <f aca="false">Sens!$F$3228*Sens!$F$3236</f>
        <v>33.1439448330513</v>
      </c>
      <c r="G3239" s="38" t="n">
        <f aca="false">Sens!$G$3228*Sens!$G$3236</f>
        <v>60.164183844083</v>
      </c>
      <c r="H3239" s="38" t="n">
        <f aca="false">Sens!$H$3228*Sens!$H$3236</f>
        <v>72.2301766552629</v>
      </c>
      <c r="I3239" s="38" t="n">
        <f aca="false">Sens!$I$3228*Sens!$I$3236</f>
        <v>84.2950764463991</v>
      </c>
      <c r="J3239" s="38" t="n">
        <f aca="false">Sens!$J$3228*Sens!$J$3236</f>
        <v>95.5499047729386</v>
      </c>
      <c r="K3239" s="38" t="n">
        <f aca="false">Sens!$K$3228*Sens!$K$3236</f>
        <v>105.104895250232</v>
      </c>
      <c r="L3239" s="38" t="n">
        <f aca="false">Sens!$L$3228*Sens!$L$3236</f>
        <v>115.615384775256</v>
      </c>
      <c r="M3239" s="38" t="n">
        <f aca="false">Sens!$M$3228*Sens!$M$3236</f>
        <v>127.176923252781</v>
      </c>
      <c r="N3239" s="38" t="n">
        <f aca="false">Sens!$N$3228*Sens!$N$3236</f>
        <v>21.7087111412496</v>
      </c>
      <c r="O3239" s="38" t="n">
        <f aca="false">Sens!$O$3228*Sens!$O$3236</f>
        <v>28.0189463642798</v>
      </c>
      <c r="P3239" s="5" t="s">
        <v>688</v>
      </c>
    </row>
    <row r="3240" customFormat="false" ht="15" hidden="false" customHeight="false" outlineLevel="0" collapsed="false">
      <c r="A3240" s="5" t="s">
        <v>689</v>
      </c>
      <c r="B3240" s="0" t="s">
        <v>86</v>
      </c>
      <c r="C3240" s="38" t="n">
        <f aca="false">Sens!$C$3228-Sens!$C$3239</f>
        <v>15.1456871171543</v>
      </c>
      <c r="D3240" s="38" t="n">
        <f aca="false">Sens!$D$3228-Sens!$D$3239</f>
        <v>18.8908765400825</v>
      </c>
      <c r="E3240" s="38" t="n">
        <f aca="false">Sens!$E$3228-Sens!$E$3239</f>
        <v>10.0485775075586</v>
      </c>
      <c r="F3240" s="38" t="n">
        <f aca="false">Sens!$F$3228-Sens!$F$3239</f>
        <v>13.0132771613635</v>
      </c>
      <c r="G3240" s="38" t="n">
        <f aca="false">Sens!$G$3228-Sens!$G$3239</f>
        <v>23.0450381503318</v>
      </c>
      <c r="H3240" s="38" t="n">
        <f aca="false">Sens!$H$3228-Sens!$H$3239</f>
        <v>27.6667457326347</v>
      </c>
      <c r="I3240" s="38" t="n">
        <f aca="false">Sens!$I$3228-Sens!$I$3239</f>
        <v>32.2880346490971</v>
      </c>
      <c r="J3240" s="38" t="n">
        <f aca="false">Sens!$J$3228-Sens!$J$3239</f>
        <v>36.5990371690132</v>
      </c>
      <c r="K3240" s="38" t="n">
        <f aca="false">Sens!$K$3228-Sens!$K$3239</f>
        <v>40.2589408859145</v>
      </c>
      <c r="L3240" s="38" t="n">
        <f aca="false">Sens!$L$3228-Sens!$L$3239</f>
        <v>44.2848349745059</v>
      </c>
      <c r="M3240" s="38" t="n">
        <f aca="false">Sens!$M$3228-Sens!$M$3239</f>
        <v>48.7133184719565</v>
      </c>
      <c r="N3240" s="38" t="n">
        <f aca="false">Sens!$N$3228-Sens!$N$3239</f>
        <v>7.90628885875037</v>
      </c>
      <c r="O3240" s="38" t="n">
        <f aca="false">Sens!$O$3228-Sens!$O$3239</f>
        <v>11.0010536357202</v>
      </c>
    </row>
    <row r="3241" customFormat="false" ht="19.4" hidden="false" customHeight="false" outlineLevel="0" collapsed="false">
      <c r="A3241" s="31" t="s">
        <v>1201</v>
      </c>
    </row>
    <row r="3242" customFormat="false" ht="17.15" hidden="false" customHeight="false" outlineLevel="0" collapsed="false">
      <c r="A3242" s="6" t="s">
        <v>16</v>
      </c>
      <c r="B3242" s="6" t="s">
        <v>17</v>
      </c>
      <c r="C3242" s="20" t="s">
        <v>497</v>
      </c>
      <c r="D3242" s="20" t="s">
        <v>498</v>
      </c>
      <c r="E3242" s="20" t="s">
        <v>580</v>
      </c>
      <c r="F3242" s="20" t="s">
        <v>581</v>
      </c>
      <c r="G3242" s="20" t="s">
        <v>582</v>
      </c>
      <c r="H3242" s="20" t="s">
        <v>583</v>
      </c>
      <c r="I3242" s="20" t="s">
        <v>584</v>
      </c>
      <c r="J3242" s="20" t="s">
        <v>585</v>
      </c>
      <c r="K3242" s="20" t="s">
        <v>586</v>
      </c>
      <c r="L3242" s="20" t="s">
        <v>587</v>
      </c>
      <c r="M3242" s="20" t="s">
        <v>588</v>
      </c>
      <c r="N3242" s="20" t="s">
        <v>589</v>
      </c>
      <c r="O3242" s="20" t="s">
        <v>590</v>
      </c>
      <c r="P3242" s="6" t="s">
        <v>23</v>
      </c>
      <c r="R3242" s="20" t="n">
        <v>2023</v>
      </c>
      <c r="S3242" s="20" t="n">
        <v>2024</v>
      </c>
      <c r="T3242" s="20" t="n">
        <v>2025</v>
      </c>
      <c r="U3242" s="20" t="n">
        <v>2026</v>
      </c>
      <c r="V3242" s="20" t="n">
        <v>2027</v>
      </c>
      <c r="W3242" s="20" t="n">
        <v>2028</v>
      </c>
      <c r="X3242" s="20" t="n">
        <v>2029</v>
      </c>
      <c r="Y3242" s="20" t="n">
        <v>2030</v>
      </c>
      <c r="Z3242" s="20" t="n">
        <v>2031</v>
      </c>
      <c r="AA3242" s="20" t="n">
        <v>2032</v>
      </c>
    </row>
    <row r="3243" customFormat="false" ht="17.15" hidden="false" customHeight="false" outlineLevel="0" collapsed="false">
      <c r="A3243" s="1" t="s">
        <v>591</v>
      </c>
    </row>
    <row r="3244" customFormat="false" ht="17.15" hidden="false" customHeight="false" outlineLevel="0" collapsed="false">
      <c r="A3244" s="5" t="s">
        <v>592</v>
      </c>
      <c r="B3244" s="0" t="s">
        <v>144</v>
      </c>
      <c r="H3244" s="32" t="n">
        <f aca="false">pace_B</f>
        <v>3634.3</v>
      </c>
      <c r="I3244" s="32" t="n">
        <f aca="false">pace_B</f>
        <v>3634.3</v>
      </c>
      <c r="J3244" s="32" t="n">
        <f aca="false">pace_B</f>
        <v>3634.3</v>
      </c>
      <c r="K3244" s="32" t="n">
        <f aca="false">pace_B+(Sens!$J$3245*tg-pace_B)*1/3</f>
        <v>2570.86716666667</v>
      </c>
      <c r="L3244" s="32" t="n">
        <f aca="false">pace_B+(Sens!$J$3245*tg-pace_B)*2/3</f>
        <v>1507.43433333333</v>
      </c>
      <c r="M3244" s="32" t="n">
        <f aca="false">pace_B+(Sens!$J$3245*tg-pace_B)*3/3</f>
        <v>444.0015</v>
      </c>
      <c r="P3244" s="5" t="s">
        <v>593</v>
      </c>
    </row>
    <row r="3245" customFormat="false" ht="17.15" hidden="false" customHeight="false" outlineLevel="0" collapsed="false">
      <c r="A3245" s="15" t="s">
        <v>594</v>
      </c>
      <c r="B3245" s="14" t="s">
        <v>129</v>
      </c>
      <c r="C3245" s="33" t="n">
        <f aca="false">mw_ye24</f>
        <v>360</v>
      </c>
      <c r="D3245" s="33" t="n">
        <f aca="false">mw_ye25</f>
        <v>1440</v>
      </c>
      <c r="E3245" s="33" t="n">
        <f aca="false">mw_open</f>
        <v>2080</v>
      </c>
      <c r="F3245" s="33" t="n">
        <f aca="false">Sens!$E$3245+pace_B*0.5</f>
        <v>3897.15</v>
      </c>
      <c r="G3245" s="33" t="n">
        <f aca="false">Sens!$F$3245</f>
        <v>3897.15</v>
      </c>
      <c r="H3245" s="33" t="n">
        <f aca="false">Sens!$G$3245+Sens!$H$3244</f>
        <v>7531.45</v>
      </c>
      <c r="I3245" s="33" t="n">
        <f aca="false">Sens!$H$3245+Sens!$I$3244</f>
        <v>11165.75</v>
      </c>
      <c r="J3245" s="33" t="n">
        <f aca="false">Sens!$I$3245+Sens!$J$3244</f>
        <v>14800.05</v>
      </c>
      <c r="K3245" s="33" t="n">
        <f aca="false">Sens!$J$3245+Sens!$K$3244</f>
        <v>17370.9171666667</v>
      </c>
      <c r="L3245" s="33" t="n">
        <f aca="false">Sens!$K$3245+Sens!$L$3244</f>
        <v>18878.3515</v>
      </c>
      <c r="M3245" s="33" t="n">
        <f aca="false">Sens!$L$3245+Sens!$M$3244</f>
        <v>19322.353</v>
      </c>
      <c r="N3245" s="33" t="n">
        <f aca="false">(mw_ye24+mw_ye25)/2</f>
        <v>900</v>
      </c>
      <c r="O3245" s="33" t="n">
        <f aca="false">mw_ye25</f>
        <v>1440</v>
      </c>
      <c r="P3245" s="5" t="s">
        <v>595</v>
      </c>
    </row>
    <row r="3246" customFormat="false" ht="17.15" hidden="false" customHeight="false" outlineLevel="0" collapsed="false">
      <c r="A3246" s="5" t="s">
        <v>596</v>
      </c>
      <c r="B3246" s="0" t="s">
        <v>129</v>
      </c>
      <c r="C3246" s="32" t="n">
        <f aca="false">(mw_ye23+mw_ye24)/2</f>
        <v>240</v>
      </c>
      <c r="D3246" s="32" t="n">
        <f aca="false">(Sens!$C$3245+Sens!$D$3245)/2</f>
        <v>900</v>
      </c>
      <c r="E3246" s="32" t="n">
        <f aca="false">(Sens!$D$3245+Sens!$E$3245)/2</f>
        <v>1760</v>
      </c>
      <c r="F3246" s="32" t="n">
        <f aca="false">(Sens!$E$3245+Sens!$F$3245)/2</f>
        <v>2988.575</v>
      </c>
      <c r="G3246" s="32" t="n">
        <f aca="false">(Sens!$E$3246+Sens!$F$3246)/2</f>
        <v>2374.2875</v>
      </c>
      <c r="H3246" s="32" t="n">
        <f aca="false">(Sens!$G$3245+Sens!$H$3245)/2</f>
        <v>5714.3</v>
      </c>
      <c r="I3246" s="32" t="n">
        <f aca="false">(Sens!$H$3245+Sens!$I$3245)/2</f>
        <v>9348.6</v>
      </c>
      <c r="J3246" s="32" t="n">
        <f aca="false">(Sens!$I$3245+Sens!$J$3245)/2</f>
        <v>12982.9</v>
      </c>
      <c r="K3246" s="32" t="n">
        <f aca="false">(Sens!$J$3245+Sens!$K$3245)/2</f>
        <v>16085.4835833333</v>
      </c>
      <c r="L3246" s="32" t="n">
        <f aca="false">(Sens!$K$3245+Sens!$L$3245)/2</f>
        <v>18124.6343333333</v>
      </c>
      <c r="M3246" s="32" t="n">
        <f aca="false">(Sens!$L$3245+Sens!$M$3245)/2</f>
        <v>19100.35225</v>
      </c>
      <c r="N3246" s="32" t="n">
        <f aca="false">(Sens!$C$3245+Sens!$N$3245)/2</f>
        <v>630</v>
      </c>
      <c r="O3246" s="32" t="n">
        <f aca="false">(Sens!$N$3245+Sens!$O$3245)/2</f>
        <v>1170</v>
      </c>
    </row>
    <row r="3247" customFormat="false" ht="15" hidden="false" customHeight="false" outlineLevel="0" collapsed="false">
      <c r="A3247" s="5" t="s">
        <v>597</v>
      </c>
      <c r="B3247" s="5" t="s">
        <v>123</v>
      </c>
      <c r="C3247" s="34" t="n">
        <v>1</v>
      </c>
      <c r="D3247" s="34" t="n">
        <v>1</v>
      </c>
      <c r="E3247" s="34" t="n">
        <v>0.5</v>
      </c>
      <c r="F3247" s="34" t="n">
        <v>0.5</v>
      </c>
      <c r="G3247" s="34" t="n">
        <v>1</v>
      </c>
      <c r="H3247" s="34" t="n">
        <v>1</v>
      </c>
      <c r="I3247" s="34" t="n">
        <v>1</v>
      </c>
      <c r="J3247" s="34" t="n">
        <v>1</v>
      </c>
      <c r="K3247" s="34" t="n">
        <v>1</v>
      </c>
      <c r="L3247" s="34" t="n">
        <v>1</v>
      </c>
      <c r="M3247" s="34" t="n">
        <v>1</v>
      </c>
      <c r="N3247" s="34" t="n">
        <v>0.5</v>
      </c>
      <c r="O3247" s="34" t="n">
        <v>0.5</v>
      </c>
    </row>
    <row r="3248" customFormat="false" ht="17.15" hidden="false" customHeight="false" outlineLevel="0" collapsed="false">
      <c r="A3248" s="5" t="s">
        <v>598</v>
      </c>
      <c r="B3248" s="0" t="s">
        <v>129</v>
      </c>
      <c r="C3248" s="32" t="n">
        <f aca="false">Sens!$C$3245-mw_ye23</f>
        <v>240</v>
      </c>
      <c r="D3248" s="32" t="n">
        <f aca="false">Sens!$D$3245-Sens!$C$3245</f>
        <v>1080</v>
      </c>
      <c r="E3248" s="32" t="n">
        <f aca="false">Sens!$E$3245-Sens!$D$3245</f>
        <v>640</v>
      </c>
      <c r="F3248" s="32" t="n">
        <f aca="false">Sens!$F$3245-Sens!$E$3245</f>
        <v>1817.15</v>
      </c>
      <c r="G3248" s="32" t="n">
        <f aca="false">Sens!$E$3248+Sens!$F$3248</f>
        <v>2457.15</v>
      </c>
      <c r="H3248" s="32" t="n">
        <f aca="false">Sens!$H$3245-Sens!$G$3245</f>
        <v>3634.3</v>
      </c>
      <c r="I3248" s="32" t="n">
        <f aca="false">Sens!$I$3245-Sens!$H$3245</f>
        <v>3634.3</v>
      </c>
      <c r="J3248" s="32" t="n">
        <f aca="false">Sens!$J$3245-Sens!$I$3245</f>
        <v>3634.3</v>
      </c>
      <c r="K3248" s="32" t="n">
        <f aca="false">Sens!$K$3245-Sens!$J$3245</f>
        <v>2570.86716666667</v>
      </c>
      <c r="L3248" s="32" t="n">
        <f aca="false">Sens!$L$3245-Sens!$K$3245</f>
        <v>1507.43433333333</v>
      </c>
      <c r="M3248" s="32" t="n">
        <f aca="false">Sens!$M$3245-Sens!$L$3245</f>
        <v>444.001499999999</v>
      </c>
      <c r="N3248" s="32" t="n">
        <f aca="false">Sens!$N$3245-Sens!$C$3245</f>
        <v>540</v>
      </c>
      <c r="O3248" s="32" t="n">
        <f aca="false">Sens!$O$3245-Sens!$N$3245</f>
        <v>540</v>
      </c>
    </row>
    <row r="3249" customFormat="false" ht="17.15" hidden="false" customHeight="false" outlineLevel="0" collapsed="false">
      <c r="A3249" s="5" t="s">
        <v>599</v>
      </c>
      <c r="B3249" s="0" t="s">
        <v>129</v>
      </c>
      <c r="C3249" s="32" t="n">
        <f aca="false">Sens!$C$3248/ext_sh</f>
        <v>300</v>
      </c>
      <c r="D3249" s="32" t="n">
        <f aca="false">Sens!$D$3248/ext_sh</f>
        <v>1350</v>
      </c>
      <c r="E3249" s="32" t="n">
        <f aca="false">Sens!$E$3248/ext_sh</f>
        <v>800</v>
      </c>
      <c r="F3249" s="32" t="n">
        <f aca="false">Sens!$F$3248/ext_sh</f>
        <v>2271.4375</v>
      </c>
      <c r="G3249" s="32" t="n">
        <f aca="false">Sens!$G$3248/ext_sh</f>
        <v>3071.4375</v>
      </c>
      <c r="H3249" s="32" t="n">
        <f aca="false">Sens!$H$3248/ext_sh</f>
        <v>4542.875</v>
      </c>
      <c r="I3249" s="32" t="n">
        <f aca="false">Sens!$I$3248/ext_sh</f>
        <v>4542.875</v>
      </c>
      <c r="J3249" s="32" t="n">
        <f aca="false">Sens!$J$3248/ext_sh</f>
        <v>4542.875</v>
      </c>
      <c r="K3249" s="32" t="n">
        <f aca="false">Sens!$K$3248/ext_sh</f>
        <v>3213.58395833333</v>
      </c>
      <c r="L3249" s="32" t="n">
        <f aca="false">Sens!$L$3248/ext_sh</f>
        <v>1884.29291666667</v>
      </c>
      <c r="M3249" s="32" t="n">
        <f aca="false">Sens!$M$3248/ext_sh</f>
        <v>555.001874999998</v>
      </c>
      <c r="N3249" s="32" t="n">
        <f aca="false">Sens!$N$3248/ext_sh</f>
        <v>675</v>
      </c>
      <c r="O3249" s="32" t="n">
        <f aca="false">Sens!$O$3248/ext_sh</f>
        <v>675</v>
      </c>
      <c r="P3249" s="8" t="s">
        <v>600</v>
      </c>
      <c r="R3249" s="32" t="n">
        <f aca="false">mw_ye23/ext_sh</f>
        <v>150</v>
      </c>
      <c r="S3249" s="32" t="n">
        <f aca="false">Sens!$C$3249</f>
        <v>300</v>
      </c>
      <c r="T3249" s="32" t="n">
        <f aca="false">Sens!$D$3249</f>
        <v>1350</v>
      </c>
      <c r="U3249" s="32" t="n">
        <f aca="false">Sens!$G$3249</f>
        <v>3071.4375</v>
      </c>
      <c r="V3249" s="32" t="n">
        <f aca="false">Sens!$H$3249</f>
        <v>4542.875</v>
      </c>
      <c r="W3249" s="32" t="n">
        <f aca="false">Sens!$I$3249</f>
        <v>4542.875</v>
      </c>
      <c r="X3249" s="32" t="n">
        <f aca="false">Sens!$J$3249</f>
        <v>4542.875</v>
      </c>
      <c r="Y3249" s="32" t="n">
        <f aca="false">Sens!$K$3249</f>
        <v>3213.58395833333</v>
      </c>
      <c r="Z3249" s="32" t="n">
        <f aca="false">Sens!$L$3249</f>
        <v>1884.29291666667</v>
      </c>
      <c r="AA3249" s="32" t="n">
        <f aca="false">Sens!$M$3249</f>
        <v>555.001874999998</v>
      </c>
    </row>
    <row r="3250" customFormat="false" ht="17.15" hidden="false" customHeight="false" outlineLevel="0" collapsed="false">
      <c r="A3250" s="1" t="s">
        <v>601</v>
      </c>
    </row>
    <row r="3251" customFormat="false" ht="17.15" hidden="false" customHeight="false" outlineLevel="0" collapsed="false">
      <c r="A3251" s="0" t="s">
        <v>602</v>
      </c>
      <c r="B3251" s="0" t="s">
        <v>52</v>
      </c>
      <c r="F3251" s="35" t="n">
        <f aca="false">na_vr26</f>
        <v>0</v>
      </c>
      <c r="G3251" s="35" t="n">
        <f aca="false">na_vr26</f>
        <v>0</v>
      </c>
      <c r="H3251" s="35" t="n">
        <f aca="false">na_vr27</f>
        <v>0.5</v>
      </c>
      <c r="I3251" s="35" t="n">
        <f aca="false">na_vr28</f>
        <v>1</v>
      </c>
      <c r="J3251" s="35" t="n">
        <f aca="false">na_vr28</f>
        <v>1</v>
      </c>
      <c r="K3251" s="35" t="n">
        <f aca="false">na_vr28</f>
        <v>1</v>
      </c>
      <c r="L3251" s="35" t="n">
        <f aca="false">na_vr28</f>
        <v>1</v>
      </c>
      <c r="M3251" s="35" t="n">
        <f aca="false">na_vr28</f>
        <v>1</v>
      </c>
    </row>
    <row r="3252" customFormat="false" ht="17.15" hidden="false" customHeight="false" outlineLevel="0" collapsed="false">
      <c r="A3252" s="5" t="s">
        <v>603</v>
      </c>
      <c r="B3252" s="0" t="s">
        <v>173</v>
      </c>
      <c r="F3252" s="36" t="n">
        <f aca="false">cust_sh*tk_he_gb300*cf_chip+(1-cust_sh)*((1-Sens!$F$3251)*tk_he_gb300+Sens!$F$3251*tk_he_vr200)</f>
        <v>10.8864110021101</v>
      </c>
      <c r="G3252" s="36" t="n">
        <f aca="false">cust_sh*tk_he_gb300*cf_chip+(1-cust_sh)*((1-Sens!$G$3251)*tk_he_gb300+Sens!$G$3251*tk_he_vr200)</f>
        <v>10.8864110021101</v>
      </c>
      <c r="H3252" s="36" t="n">
        <f aca="false">cust_sh*tk_he_gb300*cf_chip+(1-cust_sh)*((1-Sens!$H$3251)*tk_he_gb300+Sens!$H$3251*tk_he_vr200)</f>
        <v>11.2211760027286</v>
      </c>
      <c r="I3252" s="36" t="n">
        <f aca="false">cust_sh*tk_he_gb300*cf_chip+(1-cust_sh)*((1-Sens!$I$3251)*tk_he_gb300+Sens!$I$3251*tk_he_vr200)</f>
        <v>11.5559410033471</v>
      </c>
      <c r="J3252" s="36" t="n">
        <f aca="false">cust_sh*tk_he_gb300*cf_chip+(1-cust_sh)*((1-Sens!$J$3251)*tk_he_gb300+Sens!$J$3251*tk_he_vr200)</f>
        <v>11.5559410033471</v>
      </c>
      <c r="K3252" s="36" t="n">
        <f aca="false">cust_sh*tk_he_gb300*cf_chip+(1-cust_sh)*((1-Sens!$K$3251)*tk_he_gb300+Sens!$K$3251*tk_he_vr200)</f>
        <v>11.5559410033471</v>
      </c>
      <c r="L3252" s="36" t="n">
        <f aca="false">cust_sh*tk_he_gb300*cf_chip+(1-cust_sh)*((1-Sens!$L$3251)*tk_he_gb300+Sens!$L$3251*tk_he_vr200)</f>
        <v>11.5559410033471</v>
      </c>
      <c r="M3252" s="36" t="n">
        <f aca="false">cust_sh*tk_he_gb300*cf_chip+(1-cust_sh)*((1-Sens!$M$3251)*tk_he_gb300+Sens!$M$3251*tk_he_vr200)</f>
        <v>11.5559410033471</v>
      </c>
    </row>
    <row r="3253" customFormat="false" ht="17.15" hidden="false" customHeight="false" outlineLevel="0" collapsed="false">
      <c r="A3253" s="5" t="s">
        <v>604</v>
      </c>
      <c r="B3253" s="0" t="s">
        <v>173</v>
      </c>
      <c r="F3253" s="36" t="n">
        <f aca="false">cust_sh*tk_ox_gb300+(1-cust_sh)*((1-Sens!$F$3251)*tk_ox_gb300+Sens!$F$3251*tk_ox_vr200)</f>
        <v>1.98263481314457</v>
      </c>
      <c r="G3253" s="36" t="n">
        <f aca="false">cust_sh*tk_ox_gb300+(1-cust_sh)*((1-Sens!$G$3251)*tk_ox_gb300+Sens!$G$3251*tk_ox_vr200)</f>
        <v>1.98263481314457</v>
      </c>
      <c r="H3253" s="36" t="n">
        <f aca="false">cust_sh*tk_ox_gb300+(1-cust_sh)*((1-Sens!$H$3251)*tk_ox_gb300+Sens!$H$3251*tk_ox_vr200)</f>
        <v>2.01034999693694</v>
      </c>
      <c r="I3253" s="36" t="n">
        <f aca="false">cust_sh*tk_ox_gb300+(1-cust_sh)*((1-Sens!$I$3251)*tk_ox_gb300+Sens!$I$3251*tk_ox_vr200)</f>
        <v>2.0380651807293</v>
      </c>
      <c r="J3253" s="36" t="n">
        <f aca="false">cust_sh*tk_ox_gb300+(1-cust_sh)*((1-Sens!$J$3251)*tk_ox_gb300+Sens!$J$3251*tk_ox_vr200)</f>
        <v>2.0380651807293</v>
      </c>
      <c r="K3253" s="36" t="n">
        <f aca="false">cust_sh*tk_ox_gb300+(1-cust_sh)*((1-Sens!$K$3251)*tk_ox_gb300+Sens!$K$3251*tk_ox_vr200)</f>
        <v>2.0380651807293</v>
      </c>
      <c r="L3253" s="36" t="n">
        <f aca="false">cust_sh*tk_ox_gb300+(1-cust_sh)*((1-Sens!$L$3251)*tk_ox_gb300+Sens!$L$3251*tk_ox_vr200)</f>
        <v>2.0380651807293</v>
      </c>
      <c r="M3253" s="36" t="n">
        <f aca="false">cust_sh*tk_ox_gb300+(1-cust_sh)*((1-Sens!$M$3251)*tk_ox_gb300+Sens!$M$3251*tk_ox_vr200)</f>
        <v>2.0380651807293</v>
      </c>
    </row>
    <row r="3254" customFormat="false" ht="17.15" hidden="false" customHeight="false" outlineLevel="0" collapsed="false">
      <c r="A3254" s="5" t="s">
        <v>605</v>
      </c>
      <c r="B3254" s="0" t="s">
        <v>192</v>
      </c>
      <c r="F3254" s="36" t="n">
        <f aca="false">cust_sh*tk_cx_gb300*cf_cx+(1-cust_sh)*((1-Sens!$F$3251)*tk_cx_gb300+Sens!$F$3251*tk_cx_vr200)</f>
        <v>32.237224</v>
      </c>
      <c r="G3254" s="36" t="n">
        <f aca="false">cust_sh*tk_cx_gb300*cf_cx+(1-cust_sh)*((1-Sens!$G$3251)*tk_cx_gb300+Sens!$G$3251*tk_cx_vr200)</f>
        <v>32.237224</v>
      </c>
      <c r="H3254" s="36" t="n">
        <f aca="false">cust_sh*tk_cx_gb300*cf_cx+(1-cust_sh)*((1-Sens!$H$3251)*tk_cx_gb300+Sens!$H$3251*tk_cx_vr200)</f>
        <v>33.574506</v>
      </c>
      <c r="I3254" s="36" t="n">
        <f aca="false">cust_sh*tk_cx_gb300*cf_cx+(1-cust_sh)*((1-Sens!$I$3251)*tk_cx_gb300+Sens!$I$3251*tk_cx_vr200)</f>
        <v>34.911788</v>
      </c>
      <c r="J3254" s="36" t="n">
        <f aca="false">cust_sh*tk_cx_gb300*cf_cx+(1-cust_sh)*((1-Sens!$J$3251)*tk_cx_gb300+Sens!$J$3251*tk_cx_vr200)</f>
        <v>34.911788</v>
      </c>
      <c r="K3254" s="36" t="n">
        <f aca="false">cust_sh*tk_cx_gb300*cf_cx+(1-cust_sh)*((1-Sens!$K$3251)*tk_cx_gb300+Sens!$K$3251*tk_cx_vr200)</f>
        <v>34.911788</v>
      </c>
      <c r="L3254" s="36" t="n">
        <f aca="false">cust_sh*tk_cx_gb300*cf_cx+(1-cust_sh)*((1-Sens!$L$3251)*tk_cx_gb300+Sens!$L$3251*tk_cx_vr200)</f>
        <v>34.911788</v>
      </c>
      <c r="M3254" s="36" t="n">
        <f aca="false">cust_sh*tk_cx_gb300*cf_cx+(1-cust_sh)*((1-Sens!$M$3251)*tk_cx_gb300+Sens!$M$3251*tk_cx_vr200)</f>
        <v>34.911788</v>
      </c>
    </row>
    <row r="3255" customFormat="false" ht="17.15" hidden="false" customHeight="false" outlineLevel="0" collapsed="false">
      <c r="A3255" s="5" t="s">
        <v>606</v>
      </c>
      <c r="B3255" s="0" t="s">
        <v>129</v>
      </c>
      <c r="F3255" s="32" t="n">
        <f aca="false">Sens!$F$3245-mw_open</f>
        <v>1817.15</v>
      </c>
      <c r="G3255" s="32" t="n">
        <f aca="false">Sens!$F$3255</f>
        <v>1817.15</v>
      </c>
      <c r="H3255" s="32" t="n">
        <f aca="false">Sens!$H$3245-mw_open</f>
        <v>5451.45</v>
      </c>
      <c r="I3255" s="32" t="n">
        <f aca="false">Sens!$I$3245-mw_open</f>
        <v>9085.75</v>
      </c>
      <c r="J3255" s="32" t="n">
        <f aca="false">Sens!$J$3245-mw_open</f>
        <v>12720.05</v>
      </c>
      <c r="K3255" s="32" t="n">
        <f aca="false">Sens!$K$3245-mw_open</f>
        <v>15290.9171666667</v>
      </c>
      <c r="L3255" s="32" t="n">
        <f aca="false">Sens!$L$3245-mw_open</f>
        <v>16798.3515</v>
      </c>
      <c r="M3255" s="32" t="n">
        <f aca="false">Sens!$M$3245-mw_open</f>
        <v>17242.353</v>
      </c>
    </row>
    <row r="3256" customFormat="false" ht="17.15" hidden="false" customHeight="false" outlineLevel="0" collapsed="false">
      <c r="A3256" s="0" t="s">
        <v>607</v>
      </c>
      <c r="B3256" s="0" t="s">
        <v>608</v>
      </c>
      <c r="F3256" s="32" t="n">
        <f aca="false">Sens!$F$3248*Sens!$F$3252</f>
        <v>19782.2417524844</v>
      </c>
      <c r="G3256" s="32" t="n">
        <f aca="false">Sens!$F$3256</f>
        <v>19782.2417524844</v>
      </c>
      <c r="H3256" s="32" t="n">
        <f aca="false">Sens!$G$3256+Sens!$H$3248*Sens!$H$3252</f>
        <v>60563.3616992009</v>
      </c>
      <c r="I3256" s="32" t="n">
        <f aca="false">Sens!$H$3256+Sens!$I$3248*Sens!$I$3252</f>
        <v>102561.118087665</v>
      </c>
      <c r="J3256" s="32" t="n">
        <f aca="false">Sens!$I$3256+Sens!$J$3248*Sens!$J$3252</f>
        <v>144558.87447613</v>
      </c>
      <c r="K3256" s="32" t="n">
        <f aca="false">Sens!$J$3256+Sens!$K$3248*Sens!$K$3252</f>
        <v>174267.663781572</v>
      </c>
      <c r="L3256" s="32" t="n">
        <f aca="false">Sens!$K$3256+Sens!$L$3248*Sens!$L$3252</f>
        <v>191687.486003992</v>
      </c>
      <c r="M3256" s="32" t="n">
        <f aca="false">Sens!$L$3256+Sens!$M$3248*Sens!$M$3252</f>
        <v>196818.341143389</v>
      </c>
    </row>
    <row r="3257" customFormat="false" ht="17.15" hidden="false" customHeight="false" outlineLevel="0" collapsed="false">
      <c r="A3257" s="0" t="s">
        <v>609</v>
      </c>
      <c r="B3257" s="0" t="s">
        <v>608</v>
      </c>
      <c r="F3257" s="32" t="n">
        <f aca="false">Sens!$F$3248*Sens!$F$3253</f>
        <v>3602.74485070566</v>
      </c>
      <c r="G3257" s="32" t="n">
        <f aca="false">Sens!$F$3257</f>
        <v>3602.74485070566</v>
      </c>
      <c r="H3257" s="32" t="n">
        <f aca="false">Sens!$G$3257+Sens!$H$3248*Sens!$H$3253</f>
        <v>10908.9598445736</v>
      </c>
      <c r="I3257" s="32" t="n">
        <f aca="false">Sens!$H$3257+Sens!$I$3248*Sens!$I$3253</f>
        <v>18315.9001308981</v>
      </c>
      <c r="J3257" s="32" t="n">
        <f aca="false">Sens!$I$3257+Sens!$J$3248*Sens!$J$3253</f>
        <v>25722.8404172225</v>
      </c>
      <c r="K3257" s="32" t="n">
        <f aca="false">Sens!$J$3257+Sens!$K$3248*Sens!$K$3253</f>
        <v>30962.4352738861</v>
      </c>
      <c r="L3257" s="32" t="n">
        <f aca="false">Sens!$K$3257+Sens!$L$3248*Sens!$L$3253</f>
        <v>34034.6847008886</v>
      </c>
      <c r="M3257" s="32" t="n">
        <f aca="false">Sens!$L$3257+Sens!$M$3248*Sens!$M$3253</f>
        <v>34939.5886982302</v>
      </c>
    </row>
    <row r="3258" customFormat="false" ht="17.15" hidden="false" customHeight="false" outlineLevel="0" collapsed="false">
      <c r="A3258" s="5" t="s">
        <v>610</v>
      </c>
      <c r="B3258" s="0" t="s">
        <v>173</v>
      </c>
      <c r="F3258" s="36" t="n">
        <f aca="false">IF(Sens!$F$3255&gt;0,Sens!$F$3256/Sens!$F$3255,Sens!$F$3252)</f>
        <v>10.8864110021101</v>
      </c>
      <c r="G3258" s="36" t="n">
        <f aca="false">IF(Sens!$G$3255&gt;0,Sens!$G$3256/Sens!$G$3255,Sens!$G$3252)</f>
        <v>10.8864110021101</v>
      </c>
      <c r="H3258" s="36" t="n">
        <f aca="false">IF(Sens!$H$3255&gt;0,Sens!$H$3256/Sens!$H$3255,Sens!$H$3252)</f>
        <v>11.1095876691891</v>
      </c>
      <c r="I3258" s="36" t="n">
        <f aca="false">IF(Sens!$I$3255&gt;0,Sens!$I$3256/Sens!$I$3255,Sens!$I$3252)</f>
        <v>11.2881290028523</v>
      </c>
      <c r="J3258" s="36" t="n">
        <f aca="false">IF(Sens!$J$3255&gt;0,Sens!$J$3256/Sens!$J$3255,Sens!$J$3252)</f>
        <v>11.3646467172794</v>
      </c>
      <c r="K3258" s="36" t="n">
        <f aca="false">IF(Sens!$K$3255&gt;0,Sens!$K$3256/Sens!$K$3255,Sens!$K$3252)</f>
        <v>11.3968090914432</v>
      </c>
      <c r="L3258" s="36" t="n">
        <f aca="false">IF(Sens!$L$3255&gt;0,Sens!$L$3256/Sens!$L$3255,Sens!$L$3252)</f>
        <v>11.4110891181192</v>
      </c>
      <c r="M3258" s="36" t="n">
        <f aca="false">IF(Sens!$M$3255&gt;0,Sens!$M$3256/Sens!$M$3255,Sens!$M$3252)</f>
        <v>11.4148191458201</v>
      </c>
    </row>
    <row r="3259" customFormat="false" ht="17.15" hidden="false" customHeight="false" outlineLevel="0" collapsed="false">
      <c r="A3259" s="5" t="s">
        <v>611</v>
      </c>
      <c r="B3259" s="0" t="s">
        <v>173</v>
      </c>
      <c r="F3259" s="36" t="n">
        <f aca="false">IF(Sens!$F$3255&gt;0,Sens!$F$3257/Sens!$F$3255,Sens!$F$3253)</f>
        <v>1.98263481314457</v>
      </c>
      <c r="G3259" s="36" t="n">
        <f aca="false">IF(Sens!$G$3255&gt;0,Sens!$G$3257/Sens!$G$3255,Sens!$G$3253)</f>
        <v>1.98263481314457</v>
      </c>
      <c r="H3259" s="36" t="n">
        <f aca="false">IF(Sens!$H$3255&gt;0,Sens!$H$3257/Sens!$H$3255,Sens!$H$3253)</f>
        <v>2.00111160233948</v>
      </c>
      <c r="I3259" s="36" t="n">
        <f aca="false">IF(Sens!$I$3255&gt;0,Sens!$I$3257/Sens!$I$3255,Sens!$I$3253)</f>
        <v>2.01589303369541</v>
      </c>
      <c r="J3259" s="36" t="n">
        <f aca="false">IF(Sens!$J$3255&gt;0,Sens!$J$3257/Sens!$J$3255,Sens!$J$3253)</f>
        <v>2.02222793284795</v>
      </c>
      <c r="K3259" s="36" t="n">
        <f aca="false">IF(Sens!$K$3255&gt;0,Sens!$K$3257/Sens!$K$3255,Sens!$K$3253)</f>
        <v>2.02489065478573</v>
      </c>
      <c r="L3259" s="36" t="n">
        <f aca="false">IF(Sens!$L$3255&gt;0,Sens!$L$3257/Sens!$L$3255,Sens!$L$3253)</f>
        <v>2.0260728977417</v>
      </c>
      <c r="M3259" s="36" t="n">
        <f aca="false">IF(Sens!$M$3255&gt;0,Sens!$M$3257/Sens!$M$3255,Sens!$M$3253)</f>
        <v>2.02638170661685</v>
      </c>
    </row>
    <row r="3260" customFormat="false" ht="17.15" hidden="false" customHeight="false" outlineLevel="0" collapsed="false">
      <c r="A3260" s="15" t="s">
        <v>612</v>
      </c>
      <c r="B3260" s="14" t="s">
        <v>173</v>
      </c>
      <c r="C3260" s="14"/>
      <c r="D3260" s="14"/>
      <c r="E3260" s="14"/>
      <c r="F3260" s="37" t="n">
        <f aca="false">Sens!$F$3258*k_B</f>
        <v>10.7987645808025</v>
      </c>
      <c r="G3260" s="37" t="n">
        <f aca="false">Sens!$G$3258*k_B</f>
        <v>10.7987645808025</v>
      </c>
      <c r="H3260" s="37" t="n">
        <f aca="false">Sens!$H$3258*k_B</f>
        <v>11.0201444540452</v>
      </c>
      <c r="I3260" s="37" t="n">
        <f aca="false">Sens!$I$3258*k_B</f>
        <v>11.1972483526393</v>
      </c>
      <c r="J3260" s="37" t="n">
        <f aca="false">Sens!$J$3258*k_B</f>
        <v>11.2731500234653</v>
      </c>
      <c r="K3260" s="37" t="n">
        <f aca="false">Sens!$K$3258*k_B</f>
        <v>11.3050534585724</v>
      </c>
      <c r="L3260" s="37" t="n">
        <f aca="false">Sens!$L$3258*k_B</f>
        <v>11.3192185168503</v>
      </c>
      <c r="M3260" s="37" t="n">
        <f aca="false">Sens!$M$3258*k_B</f>
        <v>11.3229185141234</v>
      </c>
      <c r="N3260" s="14"/>
      <c r="O3260" s="14"/>
      <c r="P3260" s="5" t="s">
        <v>613</v>
      </c>
    </row>
    <row r="3261" customFormat="false" ht="17.15" hidden="false" customHeight="false" outlineLevel="0" collapsed="false">
      <c r="A3261" s="5" t="s">
        <v>614</v>
      </c>
      <c r="B3261" s="0" t="s">
        <v>129</v>
      </c>
      <c r="F3261" s="32" t="n">
        <f aca="false">Sens!$F$3255/2</f>
        <v>908.575</v>
      </c>
      <c r="H3261" s="32" t="n">
        <f aca="false">(Sens!$G$3255+Sens!$H$3255)/2</f>
        <v>3634.3</v>
      </c>
      <c r="I3261" s="32" t="n">
        <f aca="false">(Sens!$H$3255+Sens!$I$3255)/2</f>
        <v>7268.6</v>
      </c>
      <c r="J3261" s="32" t="n">
        <f aca="false">(Sens!$I$3255+Sens!$J$3255)/2</f>
        <v>10902.9</v>
      </c>
      <c r="K3261" s="32" t="n">
        <f aca="false">(Sens!$J$3255+Sens!$K$3255)/2</f>
        <v>14005.4835833333</v>
      </c>
      <c r="L3261" s="32" t="n">
        <f aca="false">(Sens!$K$3255+Sens!$L$3255)/2</f>
        <v>16044.6343333333</v>
      </c>
      <c r="M3261" s="32" t="n">
        <f aca="false">(Sens!$L$3255+Sens!$M$3255)/2</f>
        <v>17020.35225</v>
      </c>
    </row>
    <row r="3262" customFormat="false" ht="17.15" hidden="false" customHeight="false" outlineLevel="0" collapsed="false">
      <c r="A3262" s="1" t="s">
        <v>615</v>
      </c>
    </row>
    <row r="3263" customFormat="false" ht="17.15" hidden="false" customHeight="false" outlineLevel="0" collapsed="false">
      <c r="A3263" s="1" t="s">
        <v>616</v>
      </c>
      <c r="B3263" s="8" t="s">
        <v>86</v>
      </c>
      <c r="C3263" s="38" t="n">
        <f aca="false">Sens!$C$3246*rpm_open*Sens!$C$3247/1000</f>
        <v>2.32100535697364</v>
      </c>
      <c r="D3263" s="38" t="n">
        <f aca="false">Sens!$D$3246*rpm_open*Sens!$D$3247/1000</f>
        <v>8.70377008865116</v>
      </c>
      <c r="E3263" s="38" t="n">
        <f aca="false">Sens!$E$3246*rpm_open*Sens!$E$3247/1000</f>
        <v>8.51035297557002</v>
      </c>
      <c r="F3263" s="38" t="n">
        <f aca="false">(mw_open*rpm_open+Sens!$F$3261*Sens!$F$3260)*Sens!$F$3247/1000</f>
        <v>14.9634336447205</v>
      </c>
      <c r="G3263" s="38" t="n">
        <f aca="false">Sens!$E$3263+Sens!$F$3263</f>
        <v>23.4737866202905</v>
      </c>
      <c r="H3263" s="38" t="n">
        <f aca="false">(mw_open*rpm_open+Sens!$H$3261*Sens!$H$3260)/1000</f>
        <v>60.1658907497746</v>
      </c>
      <c r="I3263" s="38" t="n">
        <f aca="false">(mw_open*rpm_open+Sens!$I$3261*Sens!$I$3260)/1000</f>
        <v>101.503699136432</v>
      </c>
      <c r="J3263" s="38" t="n">
        <f aca="false">(mw_open*rpm_open+Sens!$J$3261*Sens!$J$3260)/1000</f>
        <v>143.025407151278</v>
      </c>
      <c r="K3263" s="38" t="n">
        <f aca="false">(mw_open*rpm_open+Sens!$K$3261*Sens!$K$3260)/1000</f>
        <v>178.44812038318</v>
      </c>
      <c r="L3263" s="38" t="n">
        <f aca="false">(mw_open*rpm_open+Sens!$L$3261*Sens!$L$3260)/1000</f>
        <v>201.728101802396</v>
      </c>
      <c r="M3263" s="38" t="n">
        <f aca="false">(mw_open*rpm_open+Sens!$M$3261*Sens!$M$3260)/1000</f>
        <v>212.835441368865</v>
      </c>
      <c r="N3263" s="38" t="n">
        <f aca="false">Sens!$N$3246*rpm_open*Sens!$N$3247/1000</f>
        <v>3.04631953102791</v>
      </c>
      <c r="O3263" s="38" t="n">
        <f aca="false">Sens!$O$3246*rpm_open*Sens!$O$3247/1000</f>
        <v>5.65745055762326</v>
      </c>
      <c r="P3263" s="5" t="s">
        <v>617</v>
      </c>
    </row>
    <row r="3264" customFormat="false" ht="17.15" hidden="false" customHeight="false" outlineLevel="0" collapsed="false">
      <c r="A3264" s="5" t="s">
        <v>618</v>
      </c>
      <c r="B3264" s="0" t="s">
        <v>173</v>
      </c>
      <c r="C3264" s="36" t="n">
        <f aca="false">Sens!$C$3263*1000/(Sens!$C$3246*Sens!$C$3247)</f>
        <v>9.67085565405685</v>
      </c>
      <c r="D3264" s="36" t="n">
        <f aca="false">Sens!$D$3263*1000/(Sens!$D$3246*Sens!$D$3247)</f>
        <v>9.67085565405685</v>
      </c>
      <c r="E3264" s="36" t="n">
        <f aca="false">Sens!$E$3263*1000/(Sens!$E$3246*Sens!$E$3247)</f>
        <v>9.67085565405685</v>
      </c>
      <c r="F3264" s="36" t="n">
        <f aca="false">Sens!$F$3263*1000/(Sens!$F$3246*Sens!$F$3247)</f>
        <v>10.0137581588017</v>
      </c>
      <c r="G3264" s="36" t="n">
        <f aca="false">Sens!$G$3263*1000/(Sens!$G$3246*Sens!$G$3247)</f>
        <v>9.88666562928478</v>
      </c>
      <c r="H3264" s="36" t="n">
        <f aca="false">Sens!$H$3263*1000/(Sens!$H$3246*Sens!$H$3247)</f>
        <v>10.5290045586992</v>
      </c>
      <c r="I3264" s="36" t="n">
        <f aca="false">Sens!$I$3263*1000/(Sens!$I$3246*Sens!$I$3247)</f>
        <v>10.8576363451674</v>
      </c>
      <c r="J3264" s="36" t="n">
        <f aca="false">Sens!$J$3263*1000/(Sens!$J$3246*Sens!$J$3247)</f>
        <v>11.0164452588619</v>
      </c>
      <c r="K3264" s="36" t="n">
        <f aca="false">Sens!$K$3263*1000/(Sens!$K$3246*Sens!$K$3247)</f>
        <v>11.0937367508227</v>
      </c>
      <c r="L3264" s="36" t="n">
        <f aca="false">Sens!$L$3263*1000/(Sens!$L$3246*Sens!$L$3247)</f>
        <v>11.1300508519168</v>
      </c>
      <c r="M3264" s="36" t="n">
        <f aca="false">Sens!$M$3263*1000/(Sens!$M$3246*Sens!$M$3247)</f>
        <v>11.1430113216297</v>
      </c>
      <c r="N3264" s="36" t="n">
        <f aca="false">Sens!$N$3263*1000/(Sens!$N$3246*Sens!$N$3247)</f>
        <v>9.67085565405685</v>
      </c>
      <c r="O3264" s="36" t="n">
        <f aca="false">Sens!$O$3263*1000/(Sens!$O$3246*Sens!$O$3247)</f>
        <v>9.67085565405685</v>
      </c>
    </row>
    <row r="3265" customFormat="false" ht="17.15" hidden="false" customHeight="false" outlineLevel="0" collapsed="false">
      <c r="A3265" s="0" t="s">
        <v>619</v>
      </c>
      <c r="B3265" s="0" t="s">
        <v>86</v>
      </c>
      <c r="C3265" s="38" t="n">
        <f aca="false">Sens!$C$3246/ext_sh*(ox_open+rent_mw)*Sens!$C$3247/1000</f>
        <v>0.642569210675032</v>
      </c>
      <c r="D3265" s="38" t="n">
        <f aca="false">Sens!$D$3246/ext_sh*(ox_open+rent_mw)*Sens!$D$3247/1000</f>
        <v>2.40963454003137</v>
      </c>
      <c r="E3265" s="38" t="n">
        <f aca="false">Sens!$E$3246/ext_sh*(ox_open+rent_mw)*Sens!$E$3247/1000</f>
        <v>2.35608710580845</v>
      </c>
      <c r="F3265" s="38" t="n">
        <f aca="false">((mw_open*ox_open+Sens!$F$3261*Sens!$F$3259)/ext_sh+Sens!$F$3246/ext_sh*rent_mw)*Sens!$F$3247/1000</f>
        <v>4.05421991106232</v>
      </c>
      <c r="G3265" s="38" t="n">
        <f aca="false">Sens!$E$3265+Sens!$F$3265</f>
        <v>6.41030701687077</v>
      </c>
      <c r="H3265" s="38" t="n">
        <f aca="false">((mw_open*ox_open+Sens!$H$3261*Sens!$H$3259)/ext_sh+Sens!$H$3246/ext_sh*rent_mw)*Sens!$H$3247/1000</f>
        <v>15.8108975546616</v>
      </c>
      <c r="I3265" s="38" t="n">
        <f aca="false">((mw_open*ox_open+Sens!$I$3261*Sens!$I$3259)/ext_sh+Sens!$I$3246/ext_sh*rent_mw)*Sens!$I$3247/1000</f>
        <v>26.1871623400817</v>
      </c>
      <c r="J3265" s="38" t="n">
        <f aca="false">((mw_open*ox_open+Sens!$J$3261*Sens!$J$3259)/ext_sh+Sens!$J$3246/ext_sh*rent_mw)*Sens!$J$3247/1000</f>
        <v>36.5826128954935</v>
      </c>
      <c r="K3265" s="38" t="n">
        <f aca="false">((mw_open*ox_open+Sens!$K$3261*Sens!$K$3259)/ext_sh+Sens!$K$3246/ext_sh*rent_mw)*Sens!$K$3247/1000</f>
        <v>45.4546361137628</v>
      </c>
      <c r="L3265" s="38" t="n">
        <f aca="false">((mw_open*ox_open+Sens!$L$3261*Sens!$L$3259)/ext_sh+Sens!$L$3246/ext_sh*rent_mw)*Sens!$L$3247/1000</f>
        <v>51.2855695554452</v>
      </c>
      <c r="M3265" s="38" t="n">
        <f aca="false">((mw_open*ox_open+Sens!$M$3261*Sens!$M$3259)/ext_sh+Sens!$M$3246/ext_sh*rent_mw)*Sens!$M$3247/1000</f>
        <v>54.0722927838398</v>
      </c>
      <c r="N3265" s="38" t="n">
        <f aca="false">Sens!$N$3246/ext_sh*(ox_open+rent_mw)*Sens!$N$3247/1000</f>
        <v>0.84337208901098</v>
      </c>
      <c r="O3265" s="38" t="n">
        <f aca="false">Sens!$O$3246/ext_sh*(ox_open+rent_mw)*Sens!$O$3247/1000</f>
        <v>1.56626245102039</v>
      </c>
    </row>
    <row r="3266" customFormat="false" ht="17.15" hidden="false" customHeight="false" outlineLevel="0" collapsed="false">
      <c r="A3266" s="0" t="s">
        <v>620</v>
      </c>
      <c r="B3266" s="0" t="s">
        <v>86</v>
      </c>
      <c r="C3266" s="38" t="n">
        <f aca="false">Q!$D$7</f>
        <v>107.556</v>
      </c>
      <c r="D3266" s="38" t="n">
        <f aca="false">Q!$E$7</f>
        <v>128.725</v>
      </c>
      <c r="E3266" s="38" t="n">
        <f aca="false">Q!$P$7</f>
        <v>79.819</v>
      </c>
      <c r="N3266" s="38" t="n">
        <f aca="false">Q!$N$7</f>
        <v>60.14</v>
      </c>
      <c r="O3266" s="38" t="n">
        <f aca="false">Q!$O$7</f>
        <v>68.585</v>
      </c>
    </row>
    <row r="3267" customFormat="false" ht="17.15" hidden="false" customHeight="false" outlineLevel="0" collapsed="false">
      <c r="A3267" s="1" t="s">
        <v>621</v>
      </c>
      <c r="B3267" s="8" t="s">
        <v>86</v>
      </c>
      <c r="C3267" s="38" t="n">
        <f aca="false">Sens!$C$3266-Sens!$C$3263</f>
        <v>105.234994643026</v>
      </c>
      <c r="D3267" s="38" t="n">
        <f aca="false">Sens!$D$3266-Sens!$D$3263</f>
        <v>120.021229911349</v>
      </c>
      <c r="E3267" s="38" t="n">
        <f aca="false">Sens!$E$3266-Sens!$E$3263</f>
        <v>71.30864702443</v>
      </c>
      <c r="F3267" s="38" t="n">
        <f aca="false">Sens!$O$3267*(1+Sens!$F$3268)</f>
        <v>71.7692997942464</v>
      </c>
      <c r="G3267" s="38" t="n">
        <f aca="false">Sens!$E$3267+Sens!$F$3267</f>
        <v>143.077946818676</v>
      </c>
      <c r="H3267" s="38" t="n">
        <f aca="false">Sens!$G$3267*(1+Sens!$H$3268)</f>
        <v>162.090161680343</v>
      </c>
      <c r="I3267" s="38" t="n">
        <f aca="false">Sens!$H$3267*(1+Sens!$I$3268)</f>
        <v>182.392507788469</v>
      </c>
      <c r="J3267" s="38" t="n">
        <f aca="false">Sens!$I$3267*(1+Sens!$J$3268)</f>
        <v>203.846737850887</v>
      </c>
      <c r="K3267" s="38" t="n">
        <f aca="false">Sens!$J$3267*(1+Sens!$K$3268)</f>
        <v>226.269879014485</v>
      </c>
      <c r="L3267" s="38" t="n">
        <f aca="false">Sens!$K$3267*(1+Sens!$L$3268)</f>
        <v>251.159565706078</v>
      </c>
      <c r="M3267" s="38" t="n">
        <f aca="false">Sens!$L$3267*(1+Sens!$M$3268)</f>
        <v>278.787117933747</v>
      </c>
      <c r="N3267" s="38" t="n">
        <f aca="false">Sens!$N$3266-Sens!$N$3263</f>
        <v>57.0936804689721</v>
      </c>
      <c r="O3267" s="38" t="n">
        <f aca="false">Sens!$O$3266-Sens!$O$3263</f>
        <v>62.9275494423768</v>
      </c>
      <c r="P3267" s="5" t="s">
        <v>622</v>
      </c>
    </row>
    <row r="3268" customFormat="false" ht="17.15" hidden="false" customHeight="false" outlineLevel="0" collapsed="false">
      <c r="A3268" s="0" t="s">
        <v>623</v>
      </c>
      <c r="B3268" s="0" t="s">
        <v>52</v>
      </c>
      <c r="D3268" s="13" t="n">
        <f aca="false">Sens!$D$3267/Sens!$C$3267-1</f>
        <v>0.140506827776062</v>
      </c>
      <c r="E3268" s="13" t="n">
        <f aca="false">Sens!$E$3267/Sens!$N$3267-1</f>
        <v>0.248976181579029</v>
      </c>
      <c r="F3268" s="13" t="n">
        <f aca="false">Sens!$D$3268</f>
        <v>0.140506827776062</v>
      </c>
      <c r="G3268" s="13" t="n">
        <f aca="false">Sens!$G$3267/Sens!$D$3267-1</f>
        <v>0.19210532106993</v>
      </c>
      <c r="H3268" s="13" t="n">
        <f aca="false">Sens!$F$3268+(g_awso_lt_hi-Sens!$F$3268)*1/4</f>
        <v>0.132880120832046</v>
      </c>
      <c r="I3268" s="13" t="n">
        <f aca="false">Sens!$F$3268+(g_awso_lt_hi-Sens!$F$3268)*2/4</f>
        <v>0.125253413888031</v>
      </c>
      <c r="J3268" s="13" t="n">
        <f aca="false">Sens!$F$3268+(g_awso_lt_hi-Sens!$F$3268)*3/4</f>
        <v>0.117626706944015</v>
      </c>
      <c r="K3268" s="13" t="n">
        <f aca="false">Sens!$F$3268+(g_awso_lt_hi-Sens!$F$3268)*4/4</f>
        <v>0.11</v>
      </c>
      <c r="L3268" s="13" t="n">
        <f aca="false">g_awso_lt_hi</f>
        <v>0.11</v>
      </c>
      <c r="M3268" s="13" t="n">
        <f aca="false">g_awso_lt_hi</f>
        <v>0.11</v>
      </c>
      <c r="P3268" s="5" t="s">
        <v>624</v>
      </c>
    </row>
    <row r="3269" customFormat="false" ht="17.15" hidden="false" customHeight="false" outlineLevel="0" collapsed="false">
      <c r="A3269" s="1" t="s">
        <v>625</v>
      </c>
    </row>
    <row r="3270" customFormat="false" ht="17.15" hidden="false" customHeight="false" outlineLevel="0" collapsed="false">
      <c r="A3270" s="0" t="s">
        <v>626</v>
      </c>
      <c r="B3270" s="0" t="s">
        <v>86</v>
      </c>
      <c r="F3270" s="38" t="n">
        <f aca="false">cx_rt*Sens!$F$3235+cx_awso*Sens!$F$3267</f>
        <v>34.9734495387866</v>
      </c>
    </row>
    <row r="3271" customFormat="false" ht="17.15" hidden="false" customHeight="false" outlineLevel="0" collapsed="false">
      <c r="A3271" s="0" t="s">
        <v>627</v>
      </c>
      <c r="B3271" s="0" t="s">
        <v>52</v>
      </c>
      <c r="C3271" s="13" t="n">
        <f aca="false">tk_cx_h100/(tk_cx_h100+tk_fac*(1-colo_sh))</f>
        <v>0.730756458006641</v>
      </c>
      <c r="D3271" s="13" t="n">
        <f aca="false">tk_cx_h100/(tk_cx_h100+tk_fac*(1-colo_sh))</f>
        <v>0.730756458006641</v>
      </c>
      <c r="E3271" s="13" t="n">
        <f aca="false">Sens!$F$3271</f>
        <v>0.760792334328868</v>
      </c>
      <c r="F3271" s="13" t="n">
        <f aca="false">Sens!$F$3254/(Sens!$F$3254+tk_fac*(1-colo_sh))</f>
        <v>0.760792334328868</v>
      </c>
      <c r="G3271" s="13" t="n">
        <f aca="false">Sens!$G$3254/(Sens!$G$3254+tk_fac*(1-colo_sh))</f>
        <v>0.760792334328868</v>
      </c>
      <c r="H3271" s="13" t="n">
        <f aca="false">Sens!$H$3254/(Sens!$H$3254+tk_fac*(1-colo_sh))</f>
        <v>0.768110668862996</v>
      </c>
      <c r="I3271" s="13" t="n">
        <f aca="false">Sens!$I$3254/(Sens!$I$3254+tk_fac*(1-colo_sh))</f>
        <v>0.77499450139483</v>
      </c>
      <c r="J3271" s="13" t="n">
        <f aca="false">Sens!$J$3254/(Sens!$J$3254+tk_fac*(1-colo_sh))</f>
        <v>0.77499450139483</v>
      </c>
      <c r="K3271" s="13" t="n">
        <f aca="false">Sens!$K$3254/(Sens!$K$3254+tk_fac*(1-colo_sh))</f>
        <v>0.77499450139483</v>
      </c>
      <c r="L3271" s="13" t="n">
        <f aca="false">Sens!$L$3254/(Sens!$L$3254+tk_fac*(1-colo_sh))</f>
        <v>0.77499450139483</v>
      </c>
      <c r="M3271" s="13" t="n">
        <f aca="false">Sens!$M$3254/(Sens!$M$3254+tk_fac*(1-colo_sh))</f>
        <v>0.77499450139483</v>
      </c>
    </row>
    <row r="3272" customFormat="false" ht="17.15" hidden="false" customHeight="false" outlineLevel="0" collapsed="false">
      <c r="A3272" s="1" t="s">
        <v>628</v>
      </c>
      <c r="B3272" s="8" t="s">
        <v>86</v>
      </c>
      <c r="C3272" s="38" t="n">
        <f aca="false">Q!$D$46-cx_rt*Q!$D$16-cx_awso*Sens!$C$3267</f>
        <v>25.2781053077374</v>
      </c>
      <c r="D3272" s="38" t="n">
        <f aca="false">Q!$E$46-cx_rt*Q!$E$16-cx_awso*Sens!$D$3267</f>
        <v>69.5686316310026</v>
      </c>
      <c r="E3272" s="38" t="n">
        <f aca="false">Q!$P$46-cx_rt*Q!$P$16-cx_awso*Sens!$E$3267</f>
        <v>64.1899206485108</v>
      </c>
      <c r="F3272" s="38" t="n">
        <f aca="false">MAX(Sens!$F$3249*(Sens!$F$3254+tk_fac*(1-colo_sh))/1000,capex_g26-Q!$P$46-Sens!$F$3270)</f>
        <v>96.2481299895</v>
      </c>
      <c r="G3272" s="38" t="n">
        <f aca="false">Sens!$E$3272+Sens!$F$3272</f>
        <v>160.438050638011</v>
      </c>
      <c r="H3272" s="38" t="n">
        <f aca="false">Sens!$H$3249*(Sens!$H$3254+tk_fac*(1-colo_sh))/1000+Sens!$H$3273</f>
        <v>198.57136494475</v>
      </c>
      <c r="I3272" s="38" t="n">
        <f aca="false">Sens!$I$3249*(Sens!$I$3254+tk_fac*(1-colo_sh))/1000+Sens!$I$3273</f>
        <v>204.6464699105</v>
      </c>
      <c r="J3272" s="38" t="n">
        <f aca="false">Sens!$J$3249*(Sens!$J$3254+tk_fac*(1-colo_sh))/1000+Sens!$J$3273</f>
        <v>209.8832381105</v>
      </c>
      <c r="K3272" s="38" t="n">
        <f aca="false">Sens!$K$3249*(Sens!$K$3254+tk_fac*(1-colo_sh))/1000+Sens!$K$3273</f>
        <v>155.238385275201</v>
      </c>
      <c r="L3272" s="38" t="n">
        <f aca="false">Sens!$L$3249*(Sens!$L$3254+tk_fac*(1-colo_sh))/1000+Sens!$L$3273</f>
        <v>132.014141639902</v>
      </c>
      <c r="M3272" s="38" t="n">
        <f aca="false">Sens!$M$3249*(Sens!$M$3254+tk_fac*(1-colo_sh))/1000+Sens!$M$3273</f>
        <v>132.230981659852</v>
      </c>
      <c r="P3272" s="5" t="s">
        <v>629</v>
      </c>
      <c r="R3272" s="38" t="n">
        <f aca="false">Q!$C$46-cx_rt*Q!$C$16-cx_awso*(Q!$C$7-mw_ye23/2*rpm_open/1000)</f>
        <v>1.50429979529945</v>
      </c>
      <c r="S3272" s="38" t="n">
        <f aca="false">Sens!$C$3272</f>
        <v>25.2781053077374</v>
      </c>
      <c r="T3272" s="38" t="n">
        <f aca="false">Sens!$D$3272</f>
        <v>69.5686316310026</v>
      </c>
      <c r="U3272" s="38" t="n">
        <f aca="false">Sens!$G$3272</f>
        <v>160.438050638011</v>
      </c>
      <c r="V3272" s="38" t="n">
        <f aca="false">Sens!$H$3272</f>
        <v>198.57136494475</v>
      </c>
      <c r="W3272" s="38" t="n">
        <f aca="false">Sens!$I$3272</f>
        <v>204.6464699105</v>
      </c>
      <c r="X3272" s="38" t="n">
        <f aca="false">Sens!$J$3272</f>
        <v>209.8832381105</v>
      </c>
      <c r="Y3272" s="38" t="n">
        <f aca="false">Sens!$K$3272</f>
        <v>155.238385275201</v>
      </c>
      <c r="Z3272" s="38" t="n">
        <f aca="false">Sens!$L$3272</f>
        <v>132.014141639902</v>
      </c>
      <c r="AA3272" s="38" t="n">
        <f aca="false">Sens!$M$3272</f>
        <v>132.230981659852</v>
      </c>
    </row>
    <row r="3273" customFormat="false" ht="17.15" hidden="false" customHeight="false" outlineLevel="0" collapsed="false">
      <c r="A3273" s="0" t="s">
        <v>630</v>
      </c>
      <c r="B3273" s="0" t="s">
        <v>86</v>
      </c>
      <c r="H3273" s="38" t="n">
        <f aca="false">SUMPRODUCT(--(Sens!$R$3242:$AA$3242=2027-tk_life),Sens!$R$3249:$AA$3249)*Sens!$H$3254/1000</f>
        <v>0</v>
      </c>
      <c r="I3273" s="38" t="n">
        <f aca="false">SUMPRODUCT(--(Sens!$R$3242:$AA$3242=2028-tk_life),Sens!$R$3249:$AA$3249)*Sens!$I$3254/1000</f>
        <v>0</v>
      </c>
      <c r="J3273" s="38" t="n">
        <f aca="false">SUMPRODUCT(--(Sens!$R$3242:$AA$3242=2029-tk_life),Sens!$R$3249:$AA$3249)*Sens!$J$3254/1000</f>
        <v>5.2367682</v>
      </c>
      <c r="K3273" s="38" t="n">
        <f aca="false">SUMPRODUCT(--(Sens!$R$3242:$AA$3242=2030-tk_life),Sens!$R$3249:$AA$3249)*Sens!$K$3254/1000</f>
        <v>10.4735364</v>
      </c>
      <c r="L3273" s="38" t="n">
        <f aca="false">SUMPRODUCT(--(Sens!$R$3242:$AA$3242=2031-tk_life),Sens!$R$3249:$AA$3249)*Sens!$L$3254/1000</f>
        <v>47.1309138</v>
      </c>
      <c r="M3273" s="38" t="n">
        <f aca="false">SUMPRODUCT(--(Sens!$R$3242:$AA$3242=2032-tk_life),Sens!$R$3249:$AA$3249)*Sens!$M$3254/1000</f>
        <v>107.22937485525</v>
      </c>
    </row>
    <row r="3274" customFormat="false" ht="17.15" hidden="false" customHeight="false" outlineLevel="0" collapsed="false">
      <c r="A3274" s="0" t="s">
        <v>631</v>
      </c>
      <c r="B3274" s="0" t="s">
        <v>86</v>
      </c>
      <c r="C3274" s="38" t="n">
        <f aca="false">MIN(Sens!$C$3272,Sens!$C$3249*(tk_cx_h100+tk_fac*(1-colo_sh))/1000)</f>
        <v>11.2938642</v>
      </c>
      <c r="D3274" s="38" t="n">
        <f aca="false">MIN(Sens!$D$3272,Sens!$D$3249*(tk_cx_h100+tk_fac*(1-colo_sh))/1000)</f>
        <v>50.8223889</v>
      </c>
      <c r="E3274" s="38" t="n">
        <f aca="false">MIN(Sens!$E$3272,Sens!$E$3249*(Sens!$F$3254+tk_fac*(1-colo_sh))/1000)</f>
        <v>33.8985792</v>
      </c>
      <c r="F3274" s="38" t="n">
        <f aca="false">Sens!$F$3272</f>
        <v>96.2481299895</v>
      </c>
      <c r="G3274" s="38" t="n">
        <f aca="false">Sens!$E$3274+Sens!$F$3274</f>
        <v>130.1467091895</v>
      </c>
      <c r="H3274" s="38" t="n">
        <f aca="false">Sens!$H$3272</f>
        <v>198.57136494475</v>
      </c>
      <c r="I3274" s="38" t="n">
        <f aca="false">Sens!$I$3272</f>
        <v>204.6464699105</v>
      </c>
      <c r="J3274" s="38" t="n">
        <f aca="false">Sens!$J$3272</f>
        <v>209.8832381105</v>
      </c>
      <c r="K3274" s="38" t="n">
        <f aca="false">Sens!$K$3272</f>
        <v>155.238385275201</v>
      </c>
      <c r="L3274" s="38" t="n">
        <f aca="false">Sens!$L$3272</f>
        <v>132.014141639902</v>
      </c>
      <c r="M3274" s="38" t="n">
        <f aca="false">Sens!$M$3272</f>
        <v>132.230981659852</v>
      </c>
      <c r="P3274" s="5" t="s">
        <v>632</v>
      </c>
      <c r="R3274" s="38" t="n">
        <f aca="false">MIN(Sens!$R$3272,Sens!$R$3249*(tk_cx_h100+tk_fac*(1-colo_sh))/1000)</f>
        <v>1.50429979529945</v>
      </c>
      <c r="S3274" s="38" t="n">
        <f aca="false">Sens!$C$3274</f>
        <v>11.2938642</v>
      </c>
      <c r="T3274" s="38" t="n">
        <f aca="false">Sens!$D$3274</f>
        <v>50.8223889</v>
      </c>
      <c r="U3274" s="38" t="n">
        <f aca="false">Sens!$G$3274</f>
        <v>130.1467091895</v>
      </c>
      <c r="V3274" s="38" t="n">
        <f aca="false">Sens!$H$3274</f>
        <v>198.57136494475</v>
      </c>
      <c r="W3274" s="38" t="n">
        <f aca="false">Sens!$I$3274</f>
        <v>204.6464699105</v>
      </c>
      <c r="X3274" s="38" t="n">
        <f aca="false">Sens!$J$3274</f>
        <v>209.8832381105</v>
      </c>
      <c r="Y3274" s="38" t="n">
        <f aca="false">Sens!$K$3274</f>
        <v>155.238385275201</v>
      </c>
      <c r="Z3274" s="38" t="n">
        <f aca="false">Sens!$L$3274</f>
        <v>132.014141639902</v>
      </c>
      <c r="AA3274" s="38" t="n">
        <f aca="false">Sens!$M$3274</f>
        <v>132.230981659852</v>
      </c>
    </row>
    <row r="3275" customFormat="false" ht="17.15" hidden="false" customHeight="false" outlineLevel="0" collapsed="false">
      <c r="A3275" s="5" t="s">
        <v>633</v>
      </c>
      <c r="B3275" s="0" t="s">
        <v>86</v>
      </c>
      <c r="C3275" s="38" t="n">
        <f aca="false">Sens!$C$3272-Sens!$C$3274</f>
        <v>13.9842411077374</v>
      </c>
      <c r="D3275" s="38" t="n">
        <f aca="false">Sens!$D$3272-Sens!$D$3274</f>
        <v>18.7462427310026</v>
      </c>
      <c r="E3275" s="38" t="n">
        <f aca="false">Sens!$E$3272-Sens!$E$3274</f>
        <v>30.2913414485108</v>
      </c>
      <c r="F3275" s="38" t="n">
        <f aca="false">Sens!$F$3272-Sens!$F$3274</f>
        <v>0</v>
      </c>
      <c r="G3275" s="38" t="n">
        <f aca="false">Sens!$G$3272-Sens!$G$3274</f>
        <v>30.2913414485108</v>
      </c>
      <c r="H3275" s="38" t="n">
        <f aca="false">Sens!$H$3272-Sens!$H$3274</f>
        <v>0</v>
      </c>
      <c r="I3275" s="38" t="n">
        <f aca="false">Sens!$I$3272-Sens!$I$3274</f>
        <v>0</v>
      </c>
      <c r="J3275" s="38" t="n">
        <f aca="false">Sens!$J$3272-Sens!$J$3274</f>
        <v>0</v>
      </c>
      <c r="K3275" s="38" t="n">
        <f aca="false">Sens!$K$3272-Sens!$K$3274</f>
        <v>0</v>
      </c>
      <c r="L3275" s="38" t="n">
        <f aca="false">Sens!$L$3272-Sens!$L$3274</f>
        <v>0</v>
      </c>
      <c r="M3275" s="38" t="n">
        <f aca="false">Sens!$M$3272-Sens!$M$3274</f>
        <v>0</v>
      </c>
    </row>
    <row r="3276" customFormat="false" ht="17.15" hidden="false" customHeight="false" outlineLevel="0" collapsed="false">
      <c r="A3276" s="5" t="s">
        <v>634</v>
      </c>
      <c r="B3276" s="0" t="s">
        <v>86</v>
      </c>
      <c r="C3276" s="38" t="n">
        <f aca="false">Sens!$C$3274*Sens!$C$3271</f>
        <v>8.2530642</v>
      </c>
      <c r="D3276" s="38" t="n">
        <f aca="false">Sens!$D$3274*Sens!$D$3271</f>
        <v>37.1387889</v>
      </c>
      <c r="E3276" s="38" t="n">
        <f aca="false">Sens!$E$3274*Sens!$E$3271</f>
        <v>25.7897792</v>
      </c>
      <c r="F3276" s="38" t="n">
        <f aca="false">Sens!$F$3274*Sens!$F$3271</f>
        <v>73.2248394895</v>
      </c>
      <c r="G3276" s="38" t="n">
        <f aca="false">Sens!$E$3276+Sens!$F$3276</f>
        <v>99.0146186895</v>
      </c>
      <c r="H3276" s="38" t="n">
        <f aca="false">(Sens!$H$3274-Sens!$H$3273)*Sens!$H$3271+Sens!$H$3273</f>
        <v>152.52478394475</v>
      </c>
      <c r="I3276" s="38" t="n">
        <f aca="false">(Sens!$I$3274-Sens!$I$3273)*Sens!$I$3271+Sens!$I$3273</f>
        <v>158.5998889105</v>
      </c>
      <c r="J3276" s="38" t="n">
        <f aca="false">(Sens!$J$3274-Sens!$J$3273)*Sens!$J$3271+Sens!$J$3273</f>
        <v>163.8366571105</v>
      </c>
      <c r="K3276" s="38" t="n">
        <f aca="false">(Sens!$K$3274-Sens!$K$3273)*Sens!$K$3271+Sens!$K$3273</f>
        <v>122.665498273534</v>
      </c>
      <c r="L3276" s="38" t="n">
        <f aca="false">(Sens!$L$3274-Sens!$L$3273)*Sens!$L$3271+Sens!$L$3273</f>
        <v>112.914948636568</v>
      </c>
      <c r="M3276" s="38" t="n">
        <f aca="false">(Sens!$M$3274-Sens!$M$3273)*Sens!$M$3271+Sens!$M$3273</f>
        <v>126.605482654852</v>
      </c>
      <c r="R3276" s="38" t="n">
        <f aca="false">Sens!$R$3274*Sens!$C$3271</f>
        <v>1.09927679019314</v>
      </c>
      <c r="S3276" s="38" t="n">
        <f aca="false">Sens!$C$3276</f>
        <v>8.2530642</v>
      </c>
      <c r="T3276" s="38" t="n">
        <f aca="false">Sens!$D$3276</f>
        <v>37.1387889</v>
      </c>
      <c r="U3276" s="38" t="n">
        <f aca="false">Sens!$G$3276</f>
        <v>99.0146186895</v>
      </c>
      <c r="V3276" s="38" t="n">
        <f aca="false">Sens!$H$3276</f>
        <v>152.52478394475</v>
      </c>
      <c r="W3276" s="38" t="n">
        <f aca="false">Sens!$I$3276</f>
        <v>158.5998889105</v>
      </c>
      <c r="X3276" s="38" t="n">
        <f aca="false">Sens!$J$3276</f>
        <v>163.8366571105</v>
      </c>
      <c r="Y3276" s="38" t="n">
        <f aca="false">Sens!$K$3276</f>
        <v>122.665498273534</v>
      </c>
      <c r="Z3276" s="38" t="n">
        <f aca="false">Sens!$L$3276</f>
        <v>112.914948636568</v>
      </c>
      <c r="AA3276" s="38" t="n">
        <f aca="false">Sens!$M$3276</f>
        <v>126.605482654852</v>
      </c>
    </row>
    <row r="3277" customFormat="false" ht="15" hidden="false" customHeight="false" outlineLevel="0" collapsed="false">
      <c r="A3277" s="5" t="s">
        <v>635</v>
      </c>
      <c r="B3277" s="0" t="s">
        <v>86</v>
      </c>
      <c r="C3277" s="38" t="n">
        <f aca="false">Sens!$C$3274-Sens!$C$3276</f>
        <v>3.0408</v>
      </c>
      <c r="D3277" s="38" t="n">
        <f aca="false">Sens!$D$3274-Sens!$D$3276</f>
        <v>13.6836</v>
      </c>
      <c r="E3277" s="38" t="n">
        <f aca="false">Sens!$E$3274-Sens!$E$3276</f>
        <v>8.1088</v>
      </c>
      <c r="F3277" s="38" t="n">
        <f aca="false">Sens!$F$3274-Sens!$F$3276</f>
        <v>23.0232905</v>
      </c>
      <c r="G3277" s="38" t="n">
        <f aca="false">Sens!$G$3274-Sens!$G$3276</f>
        <v>31.1320905</v>
      </c>
      <c r="H3277" s="38" t="n">
        <f aca="false">Sens!$H$3274-Sens!$H$3276</f>
        <v>46.046581</v>
      </c>
      <c r="I3277" s="38" t="n">
        <f aca="false">Sens!$I$3274-Sens!$I$3276</f>
        <v>46.046581</v>
      </c>
      <c r="J3277" s="38" t="n">
        <f aca="false">Sens!$J$3274-Sens!$J$3276</f>
        <v>46.046581</v>
      </c>
      <c r="K3277" s="38" t="n">
        <f aca="false">Sens!$K$3274-Sens!$K$3276</f>
        <v>32.5728870016667</v>
      </c>
      <c r="L3277" s="38" t="n">
        <f aca="false">Sens!$L$3274-Sens!$L$3276</f>
        <v>19.0991930033334</v>
      </c>
      <c r="M3277" s="38" t="n">
        <f aca="false">Sens!$M$3274-Sens!$M$3276</f>
        <v>5.62549900499998</v>
      </c>
      <c r="R3277" s="38" t="n">
        <f aca="false">Sens!$R$3274-Sens!$R$3276</f>
        <v>0.405023005106309</v>
      </c>
      <c r="S3277" s="38" t="n">
        <f aca="false">Sens!$S$3274-Sens!$S$3276</f>
        <v>3.0408</v>
      </c>
      <c r="T3277" s="38" t="n">
        <f aca="false">Sens!$T$3274-Sens!$T$3276</f>
        <v>13.6836</v>
      </c>
      <c r="U3277" s="38" t="n">
        <f aca="false">Sens!$U$3274-Sens!$U$3276</f>
        <v>31.1320905</v>
      </c>
      <c r="V3277" s="38" t="n">
        <f aca="false">Sens!$V$3274-Sens!$V$3276</f>
        <v>46.046581</v>
      </c>
      <c r="W3277" s="38" t="n">
        <f aca="false">Sens!$W$3274-Sens!$W$3276</f>
        <v>46.046581</v>
      </c>
      <c r="X3277" s="38" t="n">
        <f aca="false">Sens!$X$3274-Sens!$X$3276</f>
        <v>46.046581</v>
      </c>
      <c r="Y3277" s="38" t="n">
        <f aca="false">Sens!$Y$3274-Sens!$Y$3276</f>
        <v>32.5728870016667</v>
      </c>
      <c r="Z3277" s="38" t="n">
        <f aca="false">Sens!$Z$3274-Sens!$Z$3276</f>
        <v>19.0991930033334</v>
      </c>
      <c r="AA3277" s="38" t="n">
        <f aca="false">Sens!$AA$3274-Sens!$AA$3276</f>
        <v>5.62549900499998</v>
      </c>
    </row>
    <row r="3278" customFormat="false" ht="17.15" hidden="false" customHeight="false" outlineLevel="0" collapsed="false">
      <c r="A3278" s="0" t="s">
        <v>636</v>
      </c>
      <c r="B3278" s="0" t="s">
        <v>52</v>
      </c>
      <c r="C3278" s="13" t="n">
        <f aca="false">Sens!$C$3272/Sens!$C$3394</f>
        <v>0.325505489553393</v>
      </c>
      <c r="D3278" s="13" t="n">
        <f aca="false">Sens!$D$3272/Sens!$D$3394</f>
        <v>0.54214956071542</v>
      </c>
      <c r="E3278" s="13" t="n">
        <f aca="false">Sens!$E$3272/Sens!$E$3394</f>
        <v>0.666492790452817</v>
      </c>
      <c r="F3278" s="13" t="n">
        <f aca="false">Sens!$F$3272/Sens!$F$3394</f>
        <v>0.733477910687338</v>
      </c>
      <c r="G3278" s="13" t="n">
        <f aca="false">Sens!$G$3272/Sens!$G$3394</f>
        <v>0.705124321514523</v>
      </c>
      <c r="H3278" s="13" t="n">
        <f aca="false">Sens!$H$3272/Sens!$H$3394</f>
        <v>0.725806231867852</v>
      </c>
      <c r="I3278" s="13" t="n">
        <f aca="false">Sens!$I$3272/Sens!$I$3394</f>
        <v>0.711303248812262</v>
      </c>
      <c r="J3278" s="13" t="n">
        <f aca="false">Sens!$J$3272/Sens!$J$3394</f>
        <v>0.697446956754909</v>
      </c>
      <c r="K3278" s="13" t="n">
        <f aca="false">Sens!$K$3272/Sens!$K$3394</f>
        <v>0.61111795187599</v>
      </c>
      <c r="L3278" s="13" t="n">
        <f aca="false">Sens!$L$3272/Sens!$L$3394</f>
        <v>0.55176542709262</v>
      </c>
      <c r="M3278" s="13" t="n">
        <f aca="false">Sens!$M$3272/Sens!$M$3394</f>
        <v>0.531635350471129</v>
      </c>
    </row>
    <row r="3279" customFormat="false" ht="17.15" hidden="false" customHeight="false" outlineLevel="0" collapsed="false">
      <c r="A3279" s="0" t="s">
        <v>637</v>
      </c>
      <c r="B3279" s="0" t="s">
        <v>86</v>
      </c>
      <c r="C3279" s="38" t="n">
        <f aca="false">Sens!$S$3279</f>
        <v>0.183212798365523</v>
      </c>
      <c r="D3279" s="38" t="n">
        <f aca="false">Sens!$T$3279</f>
        <v>1.55872349836552</v>
      </c>
      <c r="E3279" s="38" t="n">
        <f aca="false">Sens!$G$3279/2</f>
        <v>3.87426082418276</v>
      </c>
      <c r="F3279" s="38" t="n">
        <f aca="false">Sens!$G$3279/2</f>
        <v>3.87426082418276</v>
      </c>
      <c r="G3279" s="38" t="n">
        <f aca="false">Sens!$U$3279</f>
        <v>7.74852164836552</v>
      </c>
      <c r="H3279" s="38" t="n">
        <f aca="false">Sens!$V$3279</f>
        <v>24.2509580966155</v>
      </c>
      <c r="I3279" s="38" t="n">
        <f aca="false">Sens!$W$3279</f>
        <v>49.6717554207405</v>
      </c>
      <c r="J3279" s="38" t="n">
        <f aca="false">Sens!$X$3279</f>
        <v>76.1050702391572</v>
      </c>
      <c r="K3279" s="38" t="n">
        <f aca="false">Sens!$Y$3279</f>
        <v>103.227966959208</v>
      </c>
      <c r="L3279" s="38" t="n">
        <f aca="false">Sens!$Z$3279</f>
        <v>122.296705971464</v>
      </c>
      <c r="M3279" s="38" t="n">
        <f aca="false">Sens!$AA$3279</f>
        <v>134.926065927559</v>
      </c>
      <c r="N3279" s="38" t="n">
        <f aca="false">Sens!$D$3279/2</f>
        <v>0.779361749182762</v>
      </c>
      <c r="O3279" s="38" t="n">
        <f aca="false">Sens!$D$3279/2</f>
        <v>0.779361749182762</v>
      </c>
      <c r="R3279" s="38" t="n">
        <f aca="false">SUMPRODUCT(--(Sens!$R$3242:$AA$3242&lt;Sens!R$3242),--(Sens!$R$3242:$AA$3242&gt;=Sens!R$3242-tk_life),Sens!$R$3276:$AA$3276)/tk_life</f>
        <v>0</v>
      </c>
      <c r="S3279" s="38" t="n">
        <f aca="false">SUMPRODUCT(--(Sens!$R$3242:$AA$3242&lt;Sens!S$3242),--(Sens!$R$3242:$AA$3242&gt;=Sens!S$3242-tk_life),Sens!$R$3276:$AA$3276)/tk_life</f>
        <v>0.183212798365523</v>
      </c>
      <c r="T3279" s="38" t="n">
        <f aca="false">SUMPRODUCT(--(Sens!$R$3242:$AA$3242&lt;Sens!T$3242),--(Sens!$R$3242:$AA$3242&gt;=Sens!T$3242-tk_life),Sens!$R$3276:$AA$3276)/tk_life</f>
        <v>1.55872349836552</v>
      </c>
      <c r="U3279" s="38" t="n">
        <f aca="false">SUMPRODUCT(--(Sens!$R$3242:$AA$3242&lt;Sens!U$3242),--(Sens!$R$3242:$AA$3242&gt;=Sens!U$3242-tk_life),Sens!$R$3276:$AA$3276)/tk_life</f>
        <v>7.74852164836552</v>
      </c>
      <c r="V3279" s="38" t="n">
        <f aca="false">SUMPRODUCT(--(Sens!$R$3242:$AA$3242&lt;Sens!V$3242),--(Sens!$R$3242:$AA$3242&gt;=Sens!V$3242-tk_life),Sens!$R$3276:$AA$3276)/tk_life</f>
        <v>24.2509580966155</v>
      </c>
      <c r="W3279" s="38" t="n">
        <f aca="false">SUMPRODUCT(--(Sens!$R$3242:$AA$3242&lt;Sens!W$3242),--(Sens!$R$3242:$AA$3242&gt;=Sens!W$3242-tk_life),Sens!$R$3276:$AA$3276)/tk_life</f>
        <v>49.6717554207405</v>
      </c>
      <c r="X3279" s="38" t="n">
        <f aca="false">SUMPRODUCT(--(Sens!$R$3242:$AA$3242&lt;Sens!X$3242),--(Sens!$R$3242:$AA$3242&gt;=Sens!X$3242-tk_life),Sens!$R$3276:$AA$3276)/tk_life</f>
        <v>76.1050702391572</v>
      </c>
      <c r="Y3279" s="38" t="n">
        <f aca="false">SUMPRODUCT(--(Sens!$R$3242:$AA$3242&lt;Sens!Y$3242),--(Sens!$R$3242:$AA$3242&gt;=Sens!Y$3242-tk_life),Sens!$R$3276:$AA$3276)/tk_life</f>
        <v>103.227966959208</v>
      </c>
      <c r="Z3279" s="38" t="n">
        <f aca="false">SUMPRODUCT(--(Sens!$R$3242:$AA$3242&lt;Sens!Z$3242),--(Sens!$R$3242:$AA$3242&gt;=Sens!Z$3242-tk_life),Sens!$R$3276:$AA$3276)/tk_life</f>
        <v>122.296705971464</v>
      </c>
      <c r="AA3279" s="38" t="n">
        <f aca="false">SUMPRODUCT(--(Sens!$R$3242:$AA$3242&lt;Sens!AA$3242),--(Sens!$R$3242:$AA$3242&gt;=Sens!AA$3242-tk_life),Sens!$R$3276:$AA$3276)/tk_life</f>
        <v>134.926065927559</v>
      </c>
    </row>
    <row r="3280" customFormat="false" ht="17.15" hidden="false" customHeight="false" outlineLevel="0" collapsed="false">
      <c r="A3280" s="0" t="s">
        <v>638</v>
      </c>
      <c r="B3280" s="0" t="s">
        <v>86</v>
      </c>
      <c r="C3280" s="38" t="n">
        <f aca="false">Sens!$S$3280</f>
        <v>0.0202511502553155</v>
      </c>
      <c r="D3280" s="38" t="n">
        <f aca="false">Sens!$T$3280</f>
        <v>0.172291150255315</v>
      </c>
      <c r="E3280" s="38" t="n">
        <f aca="false">Sens!$G$3280/2</f>
        <v>0.428235575127658</v>
      </c>
      <c r="F3280" s="38" t="n">
        <f aca="false">Sens!$G$3280/2</f>
        <v>0.428235575127658</v>
      </c>
      <c r="G3280" s="38" t="n">
        <f aca="false">Sens!$U$3280</f>
        <v>0.856471150255315</v>
      </c>
      <c r="H3280" s="38" t="n">
        <f aca="false">Sens!$V$3280</f>
        <v>2.41307567525532</v>
      </c>
      <c r="I3280" s="38" t="n">
        <f aca="false">Sens!$W$3280</f>
        <v>4.71540472525532</v>
      </c>
      <c r="J3280" s="38" t="n">
        <f aca="false">Sens!$X$3280</f>
        <v>7.01773377525532</v>
      </c>
      <c r="K3280" s="38" t="n">
        <f aca="false">Sens!$Y$3280</f>
        <v>9.32006282525532</v>
      </c>
      <c r="L3280" s="38" t="n">
        <f aca="false">Sens!$Z$3280</f>
        <v>10.9487071753387</v>
      </c>
      <c r="M3280" s="38" t="n">
        <f aca="false">Sens!$AA$3280</f>
        <v>11.9036668255053</v>
      </c>
      <c r="N3280" s="38" t="n">
        <f aca="false">Sens!$D$3280/2</f>
        <v>0.0861455751276577</v>
      </c>
      <c r="O3280" s="38" t="n">
        <f aca="false">Sens!$D$3280/2</f>
        <v>0.0861455751276577</v>
      </c>
      <c r="R3280" s="38" t="n">
        <f aca="false">SUMPRODUCT(--(Sens!$R$3242:$AA$3242&lt;Sens!R$3242),Sens!$R$3277:$AA$3277)/fac_life</f>
        <v>0</v>
      </c>
      <c r="S3280" s="38" t="n">
        <f aca="false">SUMPRODUCT(--(Sens!$R$3242:$AA$3242&lt;Sens!S$3242),Sens!$R$3277:$AA$3277)/fac_life</f>
        <v>0.0202511502553155</v>
      </c>
      <c r="T3280" s="38" t="n">
        <f aca="false">SUMPRODUCT(--(Sens!$R$3242:$AA$3242&lt;Sens!T$3242),Sens!$R$3277:$AA$3277)/fac_life</f>
        <v>0.172291150255315</v>
      </c>
      <c r="U3280" s="38" t="n">
        <f aca="false">SUMPRODUCT(--(Sens!$R$3242:$AA$3242&lt;Sens!U$3242),Sens!$R$3277:$AA$3277)/fac_life</f>
        <v>0.856471150255315</v>
      </c>
      <c r="V3280" s="38" t="n">
        <f aca="false">SUMPRODUCT(--(Sens!$R$3242:$AA$3242&lt;Sens!V$3242),Sens!$R$3277:$AA$3277)/fac_life</f>
        <v>2.41307567525532</v>
      </c>
      <c r="W3280" s="38" t="n">
        <f aca="false">SUMPRODUCT(--(Sens!$R$3242:$AA$3242&lt;Sens!W$3242),Sens!$R$3277:$AA$3277)/fac_life</f>
        <v>4.71540472525532</v>
      </c>
      <c r="X3280" s="38" t="n">
        <f aca="false">SUMPRODUCT(--(Sens!$R$3242:$AA$3242&lt;Sens!X$3242),Sens!$R$3277:$AA$3277)/fac_life</f>
        <v>7.01773377525532</v>
      </c>
      <c r="Y3280" s="38" t="n">
        <f aca="false">SUMPRODUCT(--(Sens!$R$3242:$AA$3242&lt;Sens!Y$3242),Sens!$R$3277:$AA$3277)/fac_life</f>
        <v>9.32006282525532</v>
      </c>
      <c r="Z3280" s="38" t="n">
        <f aca="false">SUMPRODUCT(--(Sens!$R$3242:$AA$3242&lt;Sens!Z$3242),Sens!$R$3277:$AA$3277)/fac_life</f>
        <v>10.9487071753387</v>
      </c>
      <c r="AA3280" s="38" t="n">
        <f aca="false">SUMPRODUCT(--(Sens!$R$3242:$AA$3242&lt;Sens!AA$3242),Sens!$R$3277:$AA$3277)/fac_life</f>
        <v>11.9036668255053</v>
      </c>
    </row>
    <row r="3281" customFormat="false" ht="17.15" hidden="false" customHeight="false" outlineLevel="0" collapsed="false">
      <c r="A3281" s="1" t="s">
        <v>639</v>
      </c>
      <c r="B3281" s="8" t="s">
        <v>86</v>
      </c>
      <c r="C3281" s="38" t="n">
        <f aca="false">Sens!$C$3279+Sens!$C$3280</f>
        <v>0.203463948620839</v>
      </c>
      <c r="D3281" s="38" t="n">
        <f aca="false">Sens!$D$3279+Sens!$D$3280</f>
        <v>1.73101464862084</v>
      </c>
      <c r="E3281" s="38" t="n">
        <f aca="false">Sens!$E$3279+Sens!$E$3280</f>
        <v>4.30249639931042</v>
      </c>
      <c r="F3281" s="38" t="n">
        <f aca="false">Sens!$F$3279+Sens!$F$3280</f>
        <v>4.30249639931042</v>
      </c>
      <c r="G3281" s="38" t="n">
        <f aca="false">Sens!$G$3279+Sens!$G$3280</f>
        <v>8.60499279862084</v>
      </c>
      <c r="H3281" s="38" t="n">
        <f aca="false">Sens!$H$3279+Sens!$H$3280</f>
        <v>26.6640337718708</v>
      </c>
      <c r="I3281" s="38" t="n">
        <f aca="false">Sens!$I$3279+Sens!$I$3280</f>
        <v>54.3871601459959</v>
      </c>
      <c r="J3281" s="38" t="n">
        <f aca="false">Sens!$J$3279+Sens!$J$3280</f>
        <v>83.1228040144125</v>
      </c>
      <c r="K3281" s="38" t="n">
        <f aca="false">Sens!$K$3279+Sens!$K$3280</f>
        <v>112.548029784464</v>
      </c>
      <c r="L3281" s="38" t="n">
        <f aca="false">Sens!$L$3279+Sens!$L$3280</f>
        <v>133.245413146803</v>
      </c>
      <c r="M3281" s="38" t="n">
        <f aca="false">Sens!$M$3279+Sens!$M$3280</f>
        <v>146.829732753064</v>
      </c>
      <c r="N3281" s="38" t="n">
        <f aca="false">Sens!$N$3279+Sens!$N$3280</f>
        <v>0.865507324310419</v>
      </c>
      <c r="O3281" s="38" t="n">
        <f aca="false">Sens!$O$3279+Sens!$O$3280</f>
        <v>0.865507324310419</v>
      </c>
      <c r="R3281" s="38" t="n">
        <f aca="false">Sens!$R$3279+Sens!$R$3280</f>
        <v>0</v>
      </c>
      <c r="S3281" s="38" t="n">
        <f aca="false">Sens!$S$3279+Sens!$S$3280</f>
        <v>0.203463948620839</v>
      </c>
      <c r="T3281" s="38" t="n">
        <f aca="false">Sens!$T$3279+Sens!$T$3280</f>
        <v>1.73101464862084</v>
      </c>
      <c r="U3281" s="38" t="n">
        <f aca="false">Sens!$U$3279+Sens!$U$3280</f>
        <v>8.60499279862084</v>
      </c>
      <c r="V3281" s="38" t="n">
        <f aca="false">Sens!$V$3279+Sens!$V$3280</f>
        <v>26.6640337718708</v>
      </c>
      <c r="W3281" s="38" t="n">
        <f aca="false">Sens!$W$3279+Sens!$W$3280</f>
        <v>54.3871601459959</v>
      </c>
      <c r="X3281" s="38" t="n">
        <f aca="false">Sens!$X$3279+Sens!$X$3280</f>
        <v>83.1228040144125</v>
      </c>
      <c r="Y3281" s="38" t="n">
        <f aca="false">Sens!$Y$3279+Sens!$Y$3280</f>
        <v>112.548029784464</v>
      </c>
      <c r="Z3281" s="38" t="n">
        <f aca="false">Sens!$Z$3279+Sens!$Z$3280</f>
        <v>133.245413146803</v>
      </c>
      <c r="AA3281" s="38" t="n">
        <f aca="false">Sens!$AA$3279+Sens!$AA$3280</f>
        <v>146.829732753064</v>
      </c>
    </row>
    <row r="3282" customFormat="false" ht="17.15" hidden="false" customHeight="false" outlineLevel="0" collapsed="false">
      <c r="A3282" s="0" t="s">
        <v>640</v>
      </c>
      <c r="B3282" s="0" t="s">
        <v>86</v>
      </c>
      <c r="C3282" s="38" t="n">
        <f aca="false">Sens!$S$3282</f>
        <v>12.5947000466786</v>
      </c>
      <c r="D3282" s="38" t="n">
        <f aca="false">Sens!$T$3282</f>
        <v>61.6860742980578</v>
      </c>
      <c r="G3282" s="38" t="n">
        <f aca="false">Sens!$U$3282</f>
        <v>183.227790688937</v>
      </c>
      <c r="H3282" s="38" t="n">
        <f aca="false">Sens!$V$3282</f>
        <v>355.135121861816</v>
      </c>
      <c r="I3282" s="38" t="n">
        <f aca="false">Sens!$W$3282</f>
        <v>505.39443162632</v>
      </c>
      <c r="J3282" s="38" t="n">
        <f aca="false">Sens!$X$3282</f>
        <v>632.154865722408</v>
      </c>
      <c r="K3282" s="38" t="n">
        <f aca="false">Sens!$Y$3282</f>
        <v>674.845221213145</v>
      </c>
      <c r="L3282" s="38" t="n">
        <f aca="false">Sens!$Z$3282</f>
        <v>673.613949706244</v>
      </c>
      <c r="M3282" s="38" t="n">
        <f aca="false">Sens!$AA$3282</f>
        <v>659.015198613032</v>
      </c>
      <c r="R3282" s="38" t="n">
        <f aca="false">SUM(Sens!$R$3274:$R$3274)-SUM(Sens!$R$3281:$R$3281)</f>
        <v>1.50429979529945</v>
      </c>
      <c r="S3282" s="38" t="n">
        <f aca="false">SUM(Sens!$R$3274:$S$3274)-SUM(Sens!$R$3281:$S$3281)</f>
        <v>12.5947000466786</v>
      </c>
      <c r="T3282" s="38" t="n">
        <f aca="false">SUM(Sens!$R$3274:$T$3274)-SUM(Sens!$R$3281:$T$3281)</f>
        <v>61.6860742980578</v>
      </c>
      <c r="U3282" s="38" t="n">
        <f aca="false">SUM(Sens!$R$3274:$U$3274)-SUM(Sens!$R$3281:$U$3281)</f>
        <v>183.227790688937</v>
      </c>
      <c r="V3282" s="38" t="n">
        <f aca="false">SUM(Sens!$R$3274:$V$3274)-SUM(Sens!$R$3281:$V$3281)</f>
        <v>355.135121861816</v>
      </c>
      <c r="W3282" s="38" t="n">
        <f aca="false">SUM(Sens!$R$3274:$W$3274)-SUM(Sens!$R$3281:$W$3281)</f>
        <v>505.39443162632</v>
      </c>
      <c r="X3282" s="38" t="n">
        <f aca="false">SUM(Sens!$R$3274:$X$3274)-SUM(Sens!$R$3281:$X$3281)</f>
        <v>632.154865722408</v>
      </c>
      <c r="Y3282" s="38" t="n">
        <f aca="false">SUM(Sens!$R$3274:$Y$3274)-SUM(Sens!$R$3281:$Y$3281)</f>
        <v>674.845221213145</v>
      </c>
      <c r="Z3282" s="38" t="n">
        <f aca="false">SUM(Sens!$R$3274:$Z$3274)-SUM(Sens!$R$3281:$Z$3281)</f>
        <v>673.613949706244</v>
      </c>
      <c r="AA3282" s="38" t="n">
        <f aca="false">SUM(Sens!$R$3274:$AA$3274)-SUM(Sens!$R$3281:$AA$3281)</f>
        <v>659.015198613032</v>
      </c>
    </row>
    <row r="3283" customFormat="false" ht="17.15" hidden="false" customHeight="false" outlineLevel="0" collapsed="false">
      <c r="A3283" s="1" t="s">
        <v>641</v>
      </c>
    </row>
    <row r="3284" customFormat="false" ht="17.15" hidden="false" customHeight="false" outlineLevel="0" collapsed="false">
      <c r="A3284" s="0" t="s">
        <v>642</v>
      </c>
      <c r="B3284" s="0" t="s">
        <v>86</v>
      </c>
      <c r="C3284" s="38" t="n">
        <f aca="false">Sens!$C$3263-ext_sh*Sens!$C$3265</f>
        <v>1.80694998843362</v>
      </c>
      <c r="D3284" s="38" t="n">
        <f aca="false">Sens!$D$3263-ext_sh*Sens!$D$3265</f>
        <v>6.77606245662607</v>
      </c>
      <c r="E3284" s="38" t="n">
        <f aca="false">Sens!$E$3263-ext_sh*Sens!$E$3265</f>
        <v>6.62548329092326</v>
      </c>
      <c r="F3284" s="38" t="n">
        <f aca="false">Sens!$F$3263-ext_sh*Sens!$F$3265</f>
        <v>11.7200577158706</v>
      </c>
      <c r="G3284" s="38" t="n">
        <f aca="false">Sens!$G$3263-ext_sh*Sens!$G$3265</f>
        <v>18.3455410067939</v>
      </c>
      <c r="H3284" s="38" t="n">
        <f aca="false">Sens!$H$3263-ext_sh*Sens!$H$3265</f>
        <v>47.5171727060453</v>
      </c>
      <c r="I3284" s="38" t="n">
        <f aca="false">Sens!$I$3263-ext_sh*Sens!$I$3265</f>
        <v>80.5539692643667</v>
      </c>
      <c r="J3284" s="38" t="n">
        <f aca="false">Sens!$J$3263-ext_sh*Sens!$J$3265</f>
        <v>113.759316834883</v>
      </c>
      <c r="K3284" s="38" t="n">
        <f aca="false">Sens!$K$3263-ext_sh*Sens!$K$3265</f>
        <v>142.084411492169</v>
      </c>
      <c r="L3284" s="38" t="n">
        <f aca="false">Sens!$L$3263-ext_sh*Sens!$L$3265</f>
        <v>160.69964615804</v>
      </c>
      <c r="M3284" s="38" t="n">
        <f aca="false">Sens!$M$3263-ext_sh*Sens!$M$3265</f>
        <v>169.577607141793</v>
      </c>
      <c r="N3284" s="38" t="n">
        <f aca="false">Sens!$N$3263-ext_sh*Sens!$N$3265</f>
        <v>2.37162185981912</v>
      </c>
      <c r="O3284" s="38" t="n">
        <f aca="false">Sens!$O$3263-ext_sh*Sens!$O$3265</f>
        <v>4.40444059680694</v>
      </c>
    </row>
    <row r="3285" customFormat="false" ht="17.15" hidden="false" customHeight="false" outlineLevel="0" collapsed="false">
      <c r="A3285" s="1" t="s">
        <v>643</v>
      </c>
      <c r="B3285" s="8" t="s">
        <v>86</v>
      </c>
      <c r="C3285" s="38" t="n">
        <f aca="false">Sens!$C$3284-ext_sh*Sens!$C$3281</f>
        <v>1.64417882953695</v>
      </c>
      <c r="D3285" s="38" t="n">
        <f aca="false">Sens!$D$3284-ext_sh*Sens!$D$3281</f>
        <v>5.39125073772939</v>
      </c>
      <c r="E3285" s="38" t="n">
        <f aca="false">Sens!$E$3284-ext_sh*Sens!$E$3281</f>
        <v>3.18348617147493</v>
      </c>
      <c r="F3285" s="38" t="n">
        <f aca="false">Sens!$F$3284-ext_sh*Sens!$F$3281</f>
        <v>8.27806059642226</v>
      </c>
      <c r="G3285" s="38" t="n">
        <f aca="false">Sens!$G$3284-ext_sh*Sens!$G$3281</f>
        <v>11.4615467678972</v>
      </c>
      <c r="H3285" s="38" t="n">
        <f aca="false">Sens!$H$3284-ext_sh*Sens!$H$3281</f>
        <v>26.1859456885487</v>
      </c>
      <c r="I3285" s="38" t="n">
        <f aca="false">Sens!$I$3284-ext_sh*Sens!$I$3281</f>
        <v>37.04424114757</v>
      </c>
      <c r="J3285" s="38" t="n">
        <f aca="false">Sens!$J$3284-ext_sh*Sens!$J$3281</f>
        <v>47.2610736233534</v>
      </c>
      <c r="K3285" s="38" t="n">
        <f aca="false">Sens!$K$3284-ext_sh*Sens!$K$3281</f>
        <v>52.0459876645985</v>
      </c>
      <c r="L3285" s="38" t="n">
        <f aca="false">Sens!$L$3284-ext_sh*Sens!$L$3281</f>
        <v>54.1033156405981</v>
      </c>
      <c r="M3285" s="38" t="n">
        <f aca="false">Sens!$M$3284-ext_sh*Sens!$M$3281</f>
        <v>52.1138209393421</v>
      </c>
      <c r="N3285" s="38" t="n">
        <f aca="false">Sens!$N$3284-ext_sh*Sens!$N$3281</f>
        <v>1.67921600037079</v>
      </c>
      <c r="O3285" s="38" t="n">
        <f aca="false">Sens!$O$3284-ext_sh*Sens!$O$3281</f>
        <v>3.71203473735861</v>
      </c>
    </row>
    <row r="3286" customFormat="false" ht="17.15" hidden="false" customHeight="false" outlineLevel="0" collapsed="false">
      <c r="A3286" s="0" t="s">
        <v>644</v>
      </c>
      <c r="B3286" s="0" t="s">
        <v>52</v>
      </c>
      <c r="C3286" s="13" t="n">
        <f aca="false">Sens!$C$3285/Sens!$C$3263</f>
        <v>0.708390794789371</v>
      </c>
      <c r="D3286" s="13" t="n">
        <f aca="false">Sens!$D$3285/Sens!$D$3263</f>
        <v>0.619415573115729</v>
      </c>
      <c r="E3286" s="13" t="n">
        <f aca="false">Sens!$E$3285/Sens!$E$3263</f>
        <v>0.374072166056273</v>
      </c>
      <c r="F3286" s="13" t="n">
        <f aca="false">Sens!$F$3285/Sens!$F$3263</f>
        <v>0.553219320710057</v>
      </c>
      <c r="G3286" s="13" t="n">
        <f aca="false">Sens!$G$3285/Sens!$G$3263</f>
        <v>0.488270041527512</v>
      </c>
      <c r="H3286" s="13" t="n">
        <f aca="false">Sens!$H$3285/Sens!$H$3263</f>
        <v>0.435229086816882</v>
      </c>
      <c r="I3286" s="13" t="n">
        <f aca="false">Sens!$I$3285/Sens!$I$3263</f>
        <v>0.364954592421095</v>
      </c>
      <c r="J3286" s="13" t="n">
        <f aca="false">Sens!$J$3285/Sens!$J$3263</f>
        <v>0.330438308582232</v>
      </c>
      <c r="K3286" s="13" t="n">
        <f aca="false">Sens!$K$3285/Sens!$K$3263</f>
        <v>0.2916589289528</v>
      </c>
      <c r="L3286" s="13" t="n">
        <f aca="false">Sens!$L$3285/Sens!$L$3263</f>
        <v>0.268199200593258</v>
      </c>
      <c r="M3286" s="13" t="n">
        <f aca="false">Sens!$M$3285/Sens!$M$3263</f>
        <v>0.244854995033574</v>
      </c>
      <c r="N3286" s="13" t="n">
        <f aca="false">Sens!$N$3285/Sens!$N$3263</f>
        <v>0.551227795793364</v>
      </c>
      <c r="O3286" s="13" t="n">
        <f aca="false">Sens!$O$3285/Sens!$O$3263</f>
        <v>0.656132068597002</v>
      </c>
    </row>
    <row r="3287" customFormat="false" ht="17.15" hidden="false" customHeight="false" outlineLevel="0" collapsed="false">
      <c r="A3287" s="5" t="s">
        <v>645</v>
      </c>
      <c r="B3287" s="0" t="s">
        <v>86</v>
      </c>
      <c r="C3287" s="39" t="n">
        <v>0</v>
      </c>
      <c r="D3287" s="39" t="n">
        <v>0</v>
      </c>
      <c r="E3287" s="39" t="n">
        <v>0</v>
      </c>
      <c r="F3287" s="38" t="n">
        <f aca="false">IF(internal_ai_reading=2,1,0)*(1-ext_sh)/ext_sh*(mw_open*he_open+Sens!$F$3261*Sens!$F$3258)*Sens!$F$3247/1000</f>
        <v>3.77122048175818</v>
      </c>
      <c r="G3287" s="38" t="n">
        <f aca="false">Sens!$E$3287+Sens!$F$3287</f>
        <v>3.77122048175818</v>
      </c>
      <c r="H3287" s="38" t="n">
        <f aca="false">IF(internal_ai_reading=2,1,0)*(1-ext_sh)/ext_sh*(mw_open*he_open+Sens!$H$3261*Sens!$H$3258)*Sens!$H$3247/1000</f>
        <v>15.1635543609893</v>
      </c>
      <c r="I3287" s="38" t="n">
        <f aca="false">IF(internal_ai_reading=2,1,0)*(1-ext_sh)/ext_sh*(mw_open*he_open+Sens!$I$3261*Sens!$I$3258)*Sens!$I$3247/1000</f>
        <v>25.5818843619889</v>
      </c>
      <c r="J3287" s="38" t="n">
        <f aca="false">IF(internal_ai_reading=2,1,0)*(1-ext_sh)/ext_sh*(mw_open*he_open+Sens!$J$3261*Sens!$J$3258)*Sens!$J$3247/1000</f>
        <v>36.0465624179122</v>
      </c>
      <c r="K3287" s="38" t="n">
        <f aca="false">IF(internal_ai_reading=2,1,0)*(1-ext_sh)/ext_sh*(mw_open*he_open+Sens!$K$3261*Sens!$K$3258)*Sens!$K$3247/1000</f>
        <v>44.9741164026038</v>
      </c>
      <c r="L3287" s="38" t="n">
        <f aca="false">IF(internal_ai_reading=2,1,0)*(1-ext_sh)/ext_sh*(mw_open*he_open+Sens!$L$3261*Sens!$L$3258)*Sens!$L$3247/1000</f>
        <v>50.8413488057813</v>
      </c>
      <c r="M3287" s="38" t="n">
        <f aca="false">IF(internal_ai_reading=2,1,0)*(1-ext_sh)/ext_sh*(mw_open*he_open+Sens!$M$3261*Sens!$M$3258)*Sens!$M$3247/1000</f>
        <v>53.6407214274315</v>
      </c>
      <c r="N3287" s="39" t="n">
        <v>0</v>
      </c>
      <c r="O3287" s="39" t="n">
        <v>0</v>
      </c>
      <c r="P3287" s="8" t="s">
        <v>646</v>
      </c>
    </row>
    <row r="3288" customFormat="false" ht="17.15" hidden="false" customHeight="false" outlineLevel="0" collapsed="false">
      <c r="A3288" s="5" t="s">
        <v>647</v>
      </c>
      <c r="B3288" s="0" t="s">
        <v>86</v>
      </c>
      <c r="C3288" s="38" t="n">
        <f aca="false">(1-ext_sh)*(Sens!$C$3265+Sens!$C$3281)</f>
        <v>0.169206631859174</v>
      </c>
      <c r="D3288" s="38" t="n">
        <f aca="false">(1-ext_sh)*(Sens!$D$3265+Sens!$D$3281)</f>
        <v>0.828129837730442</v>
      </c>
      <c r="E3288" s="38" t="n">
        <f aca="false">(1-ext_sh)*(Sens!$E$3265+Sens!$E$3281)</f>
        <v>1.33171670102377</v>
      </c>
      <c r="F3288" s="38" t="n">
        <f aca="false">(1-ext_sh)*(Sens!$F$3265+Sens!$F$3281)</f>
        <v>1.67134326207455</v>
      </c>
      <c r="G3288" s="38" t="n">
        <f aca="false">(1-ext_sh)*(Sens!$G$3265+Sens!$G$3281)</f>
        <v>3.00305996309832</v>
      </c>
      <c r="H3288" s="38" t="n">
        <f aca="false">(1-ext_sh)*(Sens!$H$3265+Sens!$H$3281)</f>
        <v>8.49498626530648</v>
      </c>
      <c r="I3288" s="38" t="n">
        <f aca="false">(1-ext_sh)*(Sens!$I$3265+Sens!$I$3281)</f>
        <v>16.1148644972155</v>
      </c>
      <c r="J3288" s="38" t="n">
        <f aca="false">(1-ext_sh)*(Sens!$J$3265+Sens!$J$3281)</f>
        <v>23.9410833819812</v>
      </c>
      <c r="K3288" s="38" t="n">
        <f aca="false">(1-ext_sh)*(Sens!$K$3265+Sens!$K$3281)</f>
        <v>31.6005331796453</v>
      </c>
      <c r="L3288" s="38" t="n">
        <f aca="false">(1-ext_sh)*(Sens!$L$3265+Sens!$L$3281)</f>
        <v>36.9061965404496</v>
      </c>
      <c r="M3288" s="38" t="n">
        <f aca="false">(1-ext_sh)*(Sens!$M$3265+Sens!$M$3281)</f>
        <v>40.1804051073808</v>
      </c>
      <c r="N3288" s="38" t="n">
        <f aca="false">(1-ext_sh)*(Sens!$N$3265+Sens!$N$3281)</f>
        <v>0.34177588266428</v>
      </c>
      <c r="O3288" s="38" t="n">
        <f aca="false">(1-ext_sh)*(Sens!$O$3265+Sens!$O$3281)</f>
        <v>0.486353955066162</v>
      </c>
    </row>
    <row r="3289" customFormat="false" ht="17.15" hidden="false" customHeight="false" outlineLevel="0" collapsed="false">
      <c r="A3289" s="0" t="s">
        <v>648</v>
      </c>
      <c r="B3289" s="0" t="s">
        <v>86</v>
      </c>
      <c r="C3289" s="38" t="n">
        <f aca="false">Q!$D$24</f>
        <v>39.834</v>
      </c>
      <c r="D3289" s="38" t="n">
        <f aca="false">Q!$E$24</f>
        <v>45.606</v>
      </c>
      <c r="E3289" s="38" t="n">
        <f aca="false">Q!$P$24</f>
        <v>30.782</v>
      </c>
      <c r="N3289" s="38" t="n">
        <f aca="false">Q!$N$24</f>
        <v>21.707</v>
      </c>
      <c r="O3289" s="38" t="n">
        <f aca="false">Q!$O$24</f>
        <v>23.899</v>
      </c>
    </row>
    <row r="3290" customFormat="false" ht="17.15" hidden="false" customHeight="false" outlineLevel="0" collapsed="false">
      <c r="A3290" s="0" t="s">
        <v>649</v>
      </c>
      <c r="B3290" s="0" t="s">
        <v>86</v>
      </c>
      <c r="C3290" s="38" t="n">
        <f aca="false">Sens!$C$3289-Sens!$C$3285</f>
        <v>38.1898211704631</v>
      </c>
      <c r="D3290" s="38" t="n">
        <f aca="false">Sens!$D$3289-Sens!$D$3285</f>
        <v>40.2147492622706</v>
      </c>
      <c r="E3290" s="38" t="n">
        <f aca="false">Sens!$E$3289-Sens!$E$3285</f>
        <v>27.5985138285251</v>
      </c>
      <c r="F3290" s="38" t="n">
        <f aca="false">Sens!$F$3267*Sens!$F$3291</f>
        <v>25.5484769754606</v>
      </c>
      <c r="G3290" s="38" t="n">
        <f aca="false">Sens!$E$3290+Sens!$F$3290</f>
        <v>53.1469908039857</v>
      </c>
      <c r="H3290" s="38" t="n">
        <f aca="false">Sens!$H$3267*Sens!$H$3291</f>
        <v>57.7009497864841</v>
      </c>
      <c r="I3290" s="38" t="n">
        <f aca="false">Sens!$I$3267*Sens!$I$3291</f>
        <v>64.9281907318231</v>
      </c>
      <c r="J3290" s="38" t="n">
        <f aca="false">Sens!$J$3267*Sens!$J$3291</f>
        <v>72.5654799954404</v>
      </c>
      <c r="K3290" s="38" t="n">
        <f aca="false">Sens!$K$3267*Sens!$K$3291</f>
        <v>80.5476827949388</v>
      </c>
      <c r="L3290" s="38" t="n">
        <f aca="false">Sens!$L$3267*Sens!$L$3291</f>
        <v>89.4079279023821</v>
      </c>
      <c r="M3290" s="38" t="n">
        <f aca="false">Sens!$M$3267*Sens!$M$3291</f>
        <v>99.2427999716441</v>
      </c>
      <c r="N3290" s="38" t="n">
        <f aca="false">Sens!$N$3289-Sens!$N$3285</f>
        <v>20.0277839996292</v>
      </c>
      <c r="O3290" s="38" t="n">
        <f aca="false">Sens!$O$3289-Sens!$O$3285</f>
        <v>20.1869652626414</v>
      </c>
      <c r="P3290" s="5" t="s">
        <v>650</v>
      </c>
    </row>
    <row r="3291" customFormat="false" ht="17.15" hidden="false" customHeight="false" outlineLevel="0" collapsed="false">
      <c r="A3291" s="0" t="s">
        <v>651</v>
      </c>
      <c r="B3291" s="0" t="s">
        <v>52</v>
      </c>
      <c r="C3291" s="13" t="n">
        <f aca="false">Sens!$C$3290/Sens!$C$3267</f>
        <v>0.362900395443635</v>
      </c>
      <c r="D3291" s="13" t="n">
        <f aca="false">Sens!$D$3290/Sens!$D$3267</f>
        <v>0.335063632425483</v>
      </c>
      <c r="E3291" s="13" t="n">
        <f aca="false">Sens!$E$3290/Sens!$E$3267</f>
        <v>0.387028992698038</v>
      </c>
      <c r="F3291" s="13" t="n">
        <f aca="false">(Sens!$O$3290+Sens!$E$3290)/(Sens!$O$3267+Sens!$E$3267)</f>
        <v>0.355980580118587</v>
      </c>
      <c r="G3291" s="13" t="n">
        <f aca="false">Sens!$G$3290/Sens!$G$3267</f>
        <v>0.371454804780916</v>
      </c>
      <c r="H3291" s="13" t="n">
        <f aca="false">Sens!$F$3291</f>
        <v>0.355980580118587</v>
      </c>
      <c r="I3291" s="13" t="n">
        <f aca="false">Sens!$F$3291</f>
        <v>0.355980580118587</v>
      </c>
      <c r="J3291" s="13" t="n">
        <f aca="false">Sens!$F$3291</f>
        <v>0.355980580118587</v>
      </c>
      <c r="K3291" s="13" t="n">
        <f aca="false">Sens!$F$3291</f>
        <v>0.355980580118587</v>
      </c>
      <c r="L3291" s="13" t="n">
        <f aca="false">Sens!$F$3291</f>
        <v>0.355980580118587</v>
      </c>
      <c r="M3291" s="13" t="n">
        <f aca="false">Sens!$F$3291</f>
        <v>0.355980580118587</v>
      </c>
      <c r="N3291" s="13" t="n">
        <f aca="false">Sens!$N$3290/Sens!$N$3267</f>
        <v>0.35078810535806</v>
      </c>
      <c r="O3291" s="13" t="n">
        <f aca="false">Sens!$O$3290/Sens!$O$3267</f>
        <v>0.320796939361619</v>
      </c>
      <c r="P3291" s="8" t="s">
        <v>652</v>
      </c>
    </row>
    <row r="3292" customFormat="false" ht="17.15" hidden="false" customHeight="false" outlineLevel="0" collapsed="false">
      <c r="A3292" s="0" t="s">
        <v>653</v>
      </c>
      <c r="B3292" s="0" t="s">
        <v>52</v>
      </c>
      <c r="D3292" s="13" t="n">
        <f aca="false">(Q!$E$31-ext_sh*Sens!$D$3281)/Sens!$D$3267</f>
        <v>0.167180325480118</v>
      </c>
    </row>
    <row r="3293" customFormat="false" ht="17.15" hidden="false" customHeight="false" outlineLevel="0" collapsed="false">
      <c r="A3293" s="0" t="s">
        <v>654</v>
      </c>
      <c r="B3293" s="0" t="s">
        <v>86</v>
      </c>
      <c r="C3293" s="38" t="n">
        <f aca="false">Q!$D$31</f>
        <v>13.32</v>
      </c>
      <c r="D3293" s="38" t="n">
        <f aca="false">Q!$E$31</f>
        <v>21.45</v>
      </c>
      <c r="E3293" s="38" t="n">
        <f aca="false">Q!$P$31</f>
        <v>15.353</v>
      </c>
      <c r="F3293" s="38" t="n">
        <f aca="false">ext_sh*Sens!$F$3281+Sens!$D$3292*Sens!$F$3267</f>
        <v>15.4404120185306</v>
      </c>
      <c r="G3293" s="38" t="n">
        <f aca="false">Sens!$E$3293+Sens!$F$3293</f>
        <v>30.7934120185306</v>
      </c>
      <c r="H3293" s="38" t="n">
        <f aca="false">ext_sh*Sens!$H$3281+Sens!$D$3292*Sens!$H$3267</f>
        <v>48.4295130043413</v>
      </c>
      <c r="I3293" s="38" t="n">
        <f aca="false">ext_sh*Sens!$I$3281+Sens!$D$3292*Sens!$I$3267</f>
        <v>74.0021669340078</v>
      </c>
      <c r="J3293" s="38" t="n">
        <f aca="false">ext_sh*Sens!$J$3281+Sens!$D$3292*Sens!$J$3267</f>
        <v>100.577407193502</v>
      </c>
      <c r="K3293" s="38" t="n">
        <f aca="false">ext_sh*Sens!$K$3281+Sens!$D$3292*Sens!$K$3267</f>
        <v>127.866295847559</v>
      </c>
      <c r="L3293" s="38" t="n">
        <f aca="false">ext_sh*Sens!$L$3281+Sens!$D$3292*Sens!$L$3267</f>
        <v>148.585268459629</v>
      </c>
      <c r="M3293" s="38" t="n">
        <f aca="false">ext_sh*Sens!$M$3281+Sens!$D$3292*Sens!$M$3267</f>
        <v>164.071507318279</v>
      </c>
      <c r="N3293" s="38" t="n">
        <f aca="false">Q!$N$31</f>
        <v>9.234</v>
      </c>
      <c r="O3293" s="38" t="n">
        <f aca="false">Q!$O$31</f>
        <v>12.216</v>
      </c>
    </row>
    <row r="3294" customFormat="false" ht="17.15" hidden="false" customHeight="false" outlineLevel="0" collapsed="false">
      <c r="A3294" s="1" t="s">
        <v>655</v>
      </c>
    </row>
    <row r="3295" customFormat="false" ht="17.15" hidden="false" customHeight="false" outlineLevel="0" collapsed="false">
      <c r="A3295" s="15" t="s">
        <v>656</v>
      </c>
      <c r="B3295" s="14" t="s">
        <v>52</v>
      </c>
      <c r="C3295" s="14"/>
      <c r="D3295" s="14"/>
      <c r="E3295" s="14"/>
      <c r="F3295" s="14"/>
      <c r="G3295" s="17" t="n">
        <f aca="false">Sens!$G$3285*(1-tax)/(ext_sh*(Sens!$D$3282+Sens!$G$3282)/2)</f>
        <v>0.0966870495301478</v>
      </c>
      <c r="H3295" s="17" t="n">
        <f aca="false">Sens!$H$3285*(1-tax)/(ext_sh*(Sens!$G$3282+Sens!$H$3282)/2)</f>
        <v>0.100492020334136</v>
      </c>
      <c r="I3295" s="17" t="n">
        <f aca="false">Sens!$I$3285*(1-tax)/(ext_sh*(Sens!$H$3282+Sens!$I$3282)/2)</f>
        <v>0.0889392292218236</v>
      </c>
      <c r="J3295" s="17" t="n">
        <f aca="false">Sens!$J$3285*(1-tax)/(ext_sh*(Sens!$I$3282+Sens!$J$3282)/2)</f>
        <v>0.0858364613777012</v>
      </c>
      <c r="K3295" s="17" t="n">
        <f aca="false">Sens!$K$3285*(1-tax)/(ext_sh*(Sens!$J$3282+Sens!$K$3282)/2)</f>
        <v>0.08227162714687</v>
      </c>
      <c r="L3295" s="17" t="n">
        <f aca="false">Sens!$L$3285*(1-tax)/(ext_sh*(Sens!$K$3282+Sens!$L$3282)/2)</f>
        <v>0.0828942732763872</v>
      </c>
      <c r="M3295" s="17" t="n">
        <f aca="false">Sens!$M$3285*(1-tax)/(ext_sh*(Sens!$L$3282+Sens!$M$3282)/2)</f>
        <v>0.0807945482347635</v>
      </c>
      <c r="N3295" s="14"/>
      <c r="O3295" s="14"/>
      <c r="P3295" s="8" t="s">
        <v>657</v>
      </c>
    </row>
    <row r="3296" customFormat="false" ht="17.15" hidden="false" customHeight="false" outlineLevel="0" collapsed="false">
      <c r="A3296" s="5" t="s">
        <v>658</v>
      </c>
      <c r="B3296" s="0" t="s">
        <v>57</v>
      </c>
      <c r="H3296" s="36" t="n">
        <f aca="false">Sens!$H$3263*1000/(mw_open*he_open+Sens!$H$3261*Sens!$H$3258)</f>
        <v>0.991949006767191</v>
      </c>
      <c r="I3296" s="36" t="n">
        <f aca="false">Sens!$I$3263*1000/(mw_open*he_open+Sens!$I$3261*Sens!$I$3258)</f>
        <v>0.991949006767191</v>
      </c>
      <c r="J3296" s="36" t="n">
        <f aca="false">Sens!$J$3263*1000/(mw_open*he_open+Sens!$J$3261*Sens!$J$3258)</f>
        <v>0.991949006767191</v>
      </c>
      <c r="K3296" s="36" t="n">
        <f aca="false">Sens!$K$3263*1000/(mw_open*he_open+Sens!$K$3261*Sens!$K$3258)</f>
        <v>0.991949006767191</v>
      </c>
      <c r="L3296" s="36" t="n">
        <f aca="false">Sens!$L$3263*1000/(mw_open*he_open+Sens!$L$3261*Sens!$L$3258)</f>
        <v>0.991949006767191</v>
      </c>
      <c r="M3296" s="36" t="n">
        <f aca="false">Sens!$M$3263*1000/(mw_open*he_open+Sens!$M$3261*Sens!$M$3258)</f>
        <v>0.991949006767191</v>
      </c>
    </row>
    <row r="3297" customFormat="false" ht="17.15" hidden="false" customHeight="false" outlineLevel="0" collapsed="false">
      <c r="A3297" s="5" t="s">
        <v>659</v>
      </c>
      <c r="B3297" s="0" t="s">
        <v>57</v>
      </c>
      <c r="H3297" s="36" t="n">
        <f aca="false">Sens!$H$3296*(Sens!$H$3263+wacc*ext_sh*(Sens!$G$3282+Sens!$H$3282)/2/(1-tax)-Sens!$H$3285)/Sens!$H$3263</f>
        <v>1.04696246089529</v>
      </c>
      <c r="I3297" s="36" t="n">
        <f aca="false">Sens!$I$3296*(Sens!$I$3263+wacc*ext_sh*(Sens!$H$3282+Sens!$I$3282)/2/(1-tax)-Sens!$I$3285)/Sens!$I$3263</f>
        <v>1.09109607940198</v>
      </c>
      <c r="J3297" s="36" t="n">
        <f aca="false">Sens!$J$3296*(Sens!$J$3263+wacc*ext_sh*(Sens!$I$3282+Sens!$J$3282)/2/(1-tax)-Sens!$J$3285)/Sens!$J$3263</f>
        <v>1.09681234280071</v>
      </c>
      <c r="K3297" s="36" t="n">
        <f aca="false">Sens!$K$3296*(Sens!$K$3263+wacc*ext_sh*(Sens!$J$3282+Sens!$K$3282)/2/(1-tax)-Sens!$K$3285)/Sens!$K$3263</f>
        <v>1.10105220068984</v>
      </c>
      <c r="L3297" s="36" t="n">
        <f aca="false">Sens!$L$3296*(Sens!$L$3263+wacc*ext_sh*(Sens!$K$3282+Sens!$L$3282)/2/(1-tax)-Sens!$L$3285)/Sens!$L$3263</f>
        <v>1.08952452639895</v>
      </c>
      <c r="M3297" s="36" t="n">
        <f aca="false">Sens!$M$3296*(Sens!$M$3263+wacc*ext_sh*(Sens!$L$3282+Sens!$M$3282)/2/(1-tax)-Sens!$M$3285)/Sens!$M$3263</f>
        <v>1.08965878549519</v>
      </c>
    </row>
    <row r="3298" customFormat="false" ht="17.15" hidden="false" customHeight="false" outlineLevel="0" collapsed="false">
      <c r="A3298" s="5" t="s">
        <v>660</v>
      </c>
      <c r="B3298" s="0" t="s">
        <v>52</v>
      </c>
      <c r="C3298" s="13" t="n">
        <f aca="false">Sens!$C$3264/tk_pq</f>
        <v>0.195316432429398</v>
      </c>
      <c r="D3298" s="13" t="n">
        <f aca="false">Sens!$D$3264/tk_pq</f>
        <v>0.195316432429398</v>
      </c>
      <c r="E3298" s="13" t="n">
        <f aca="false">Sens!$E$3264/tk_pq</f>
        <v>0.195316432429398</v>
      </c>
      <c r="F3298" s="13" t="n">
        <f aca="false">Sens!$F$3264/tk_pq</f>
        <v>0.202241827274866</v>
      </c>
      <c r="G3298" s="13" t="n">
        <f aca="false">Sens!$G$3264/tk_pq</f>
        <v>0.199675016194063</v>
      </c>
      <c r="H3298" s="13" t="n">
        <f aca="false">Sens!$H$3264/tk_pq</f>
        <v>0.212647947710325</v>
      </c>
      <c r="I3298" s="13" t="n">
        <f aca="false">Sens!$I$3264/tk_pq</f>
        <v>0.219285125475351</v>
      </c>
      <c r="J3298" s="13" t="n">
        <f aca="false">Sens!$J$3264/tk_pq</f>
        <v>0.222492493217189</v>
      </c>
      <c r="K3298" s="13" t="n">
        <f aca="false">Sens!$K$3264/tk_pq</f>
        <v>0.224053502812094</v>
      </c>
      <c r="L3298" s="13" t="n">
        <f aca="false">Sens!$L$3264/tk_pq</f>
        <v>0.224786916785614</v>
      </c>
      <c r="M3298" s="13" t="n">
        <f aca="false">Sens!$M$3264/tk_pq</f>
        <v>0.225048671566937</v>
      </c>
      <c r="N3298" s="13" t="n">
        <f aca="false">Sens!$N$3264/tk_pq</f>
        <v>0.195316432429398</v>
      </c>
      <c r="O3298" s="13" t="n">
        <f aca="false">Sens!$O$3264/tk_pq</f>
        <v>0.195316432429398</v>
      </c>
      <c r="P3298" s="5" t="s">
        <v>661</v>
      </c>
    </row>
    <row r="3301" customFormat="false" ht="17.15" hidden="false" customHeight="false" outlineLevel="0" collapsed="false">
      <c r="A3301" s="1" t="s">
        <v>690</v>
      </c>
    </row>
    <row r="3302" customFormat="false" ht="17.15" hidden="false" customHeight="false" outlineLevel="0" collapsed="false">
      <c r="A3302" s="0" t="s">
        <v>691</v>
      </c>
      <c r="B3302" s="0" t="s">
        <v>86</v>
      </c>
      <c r="C3302" s="38" t="n">
        <f aca="false">Sens!$C$3263</f>
        <v>2.32100535697364</v>
      </c>
      <c r="D3302" s="38" t="n">
        <f aca="false">Sens!$D$3263</f>
        <v>8.70377008865116</v>
      </c>
      <c r="E3302" s="38" t="n">
        <f aca="false">Sens!$E$3263</f>
        <v>8.51035297557002</v>
      </c>
      <c r="F3302" s="38" t="n">
        <f aca="false">Sens!$F$3263</f>
        <v>14.9634336447205</v>
      </c>
      <c r="G3302" s="38" t="n">
        <f aca="false">Sens!$G$3263</f>
        <v>23.4737866202905</v>
      </c>
      <c r="H3302" s="38" t="n">
        <f aca="false">Sens!$H$3263</f>
        <v>60.1658907497746</v>
      </c>
      <c r="I3302" s="38" t="n">
        <f aca="false">Sens!$I$3263</f>
        <v>101.503699136432</v>
      </c>
      <c r="J3302" s="38" t="n">
        <f aca="false">Sens!$J$3263</f>
        <v>143.025407151278</v>
      </c>
      <c r="K3302" s="38" t="n">
        <f aca="false">Sens!$K$3263</f>
        <v>178.44812038318</v>
      </c>
      <c r="L3302" s="38" t="n">
        <f aca="false">Sens!$L$3263</f>
        <v>201.728101802396</v>
      </c>
      <c r="M3302" s="38" t="n">
        <f aca="false">Sens!$M$3263</f>
        <v>212.835441368865</v>
      </c>
      <c r="N3302" s="38" t="n">
        <f aca="false">Sens!$N$3263</f>
        <v>3.04631953102791</v>
      </c>
      <c r="O3302" s="38" t="n">
        <f aca="false">Sens!$O$3263</f>
        <v>5.65745055762326</v>
      </c>
      <c r="P3302" s="8" t="s">
        <v>692</v>
      </c>
    </row>
    <row r="3303" customFormat="false" ht="17.15" hidden="false" customHeight="false" outlineLevel="0" collapsed="false">
      <c r="A3303" s="0" t="s">
        <v>693</v>
      </c>
      <c r="B3303" s="0" t="s">
        <v>86</v>
      </c>
      <c r="C3303" s="38" t="n">
        <f aca="false">Sens!$C$3267</f>
        <v>105.234994643026</v>
      </c>
      <c r="D3303" s="38" t="n">
        <f aca="false">Sens!$D$3267</f>
        <v>120.021229911349</v>
      </c>
      <c r="E3303" s="38" t="n">
        <f aca="false">Sens!$E$3267</f>
        <v>71.30864702443</v>
      </c>
      <c r="F3303" s="38" t="n">
        <f aca="false">Sens!$F$3267</f>
        <v>71.7692997942464</v>
      </c>
      <c r="G3303" s="38" t="n">
        <f aca="false">Sens!$G$3267</f>
        <v>143.077946818676</v>
      </c>
      <c r="H3303" s="38" t="n">
        <f aca="false">Sens!$H$3267</f>
        <v>162.090161680343</v>
      </c>
      <c r="I3303" s="38" t="n">
        <f aca="false">Sens!$I$3267</f>
        <v>182.392507788469</v>
      </c>
      <c r="J3303" s="38" t="n">
        <f aca="false">Sens!$J$3267</f>
        <v>203.846737850887</v>
      </c>
      <c r="K3303" s="38" t="n">
        <f aca="false">Sens!$K$3267</f>
        <v>226.269879014485</v>
      </c>
      <c r="L3303" s="38" t="n">
        <f aca="false">Sens!$L$3267</f>
        <v>251.159565706078</v>
      </c>
      <c r="M3303" s="38" t="n">
        <f aca="false">Sens!$M$3267</f>
        <v>278.787117933747</v>
      </c>
      <c r="N3303" s="38" t="n">
        <f aca="false">Sens!$N$3267</f>
        <v>57.0936804689721</v>
      </c>
      <c r="O3303" s="38" t="n">
        <f aca="false">Sens!$O$3267</f>
        <v>62.9275494423768</v>
      </c>
      <c r="P3303" s="8" t="s">
        <v>692</v>
      </c>
    </row>
    <row r="3304" customFormat="false" ht="17.15" hidden="false" customHeight="false" outlineLevel="0" collapsed="false">
      <c r="A3304" s="1" t="s">
        <v>516</v>
      </c>
      <c r="B3304" s="8" t="s">
        <v>86</v>
      </c>
      <c r="C3304" s="38" t="n">
        <f aca="false">Q!$D$7</f>
        <v>107.556</v>
      </c>
      <c r="D3304" s="38" t="n">
        <f aca="false">Q!$E$7</f>
        <v>128.725</v>
      </c>
      <c r="E3304" s="38" t="n">
        <f aca="false">Q!$P$7</f>
        <v>79.819</v>
      </c>
      <c r="F3304" s="38" t="n">
        <f aca="false">Sens!$F$3302+Sens!$F$3303</f>
        <v>86.7327334389669</v>
      </c>
      <c r="G3304" s="38" t="n">
        <f aca="false">Sens!$G$3302+Sens!$G$3303</f>
        <v>166.551733438967</v>
      </c>
      <c r="H3304" s="38" t="n">
        <f aca="false">Sens!$H$3302+Sens!$H$3303</f>
        <v>222.256052430118</v>
      </c>
      <c r="I3304" s="38" t="n">
        <f aca="false">Sens!$I$3302+Sens!$I$3303</f>
        <v>283.896206924901</v>
      </c>
      <c r="J3304" s="38" t="n">
        <f aca="false">Sens!$J$3302+Sens!$J$3303</f>
        <v>346.872145002165</v>
      </c>
      <c r="K3304" s="38" t="n">
        <f aca="false">Sens!$K$3302+Sens!$K$3303</f>
        <v>404.717999397665</v>
      </c>
      <c r="L3304" s="38" t="n">
        <f aca="false">Sens!$L$3302+Sens!$L$3303</f>
        <v>452.887667508475</v>
      </c>
      <c r="M3304" s="38" t="n">
        <f aca="false">Sens!$M$3302+Sens!$M$3303</f>
        <v>491.622559302612</v>
      </c>
      <c r="N3304" s="38" t="n">
        <f aca="false">Q!$N$7</f>
        <v>60.14</v>
      </c>
      <c r="O3304" s="38" t="n">
        <f aca="false">Q!$O$7</f>
        <v>68.585</v>
      </c>
      <c r="P3304" s="5" t="s">
        <v>694</v>
      </c>
    </row>
    <row r="3305" customFormat="false" ht="15" hidden="false" customHeight="false" outlineLevel="0" collapsed="false">
      <c r="A3305" s="3" t="s">
        <v>695</v>
      </c>
      <c r="B3305" s="8" t="s">
        <v>86</v>
      </c>
      <c r="C3305" s="38" t="n">
        <f aca="false">Q!$D$8</f>
        <v>637.959</v>
      </c>
      <c r="D3305" s="38" t="n">
        <f aca="false">Q!$E$8</f>
        <v>716.924</v>
      </c>
      <c r="E3305" s="38" t="n">
        <f aca="false">Q!$P$8</f>
        <v>382.125</v>
      </c>
      <c r="F3305" s="38" t="n">
        <f aca="false">Sens!$F$3235+Sens!$F$3304</f>
        <v>435.780975084504</v>
      </c>
      <c r="G3305" s="38" t="n">
        <f aca="false">Sens!$G$3235+Sens!$G$3304</f>
        <v>817.905975084504</v>
      </c>
      <c r="H3305" s="38" t="n">
        <f aca="false">Sens!$H$3235+Sens!$H$3304</f>
        <v>943.352941951504</v>
      </c>
      <c r="I3305" s="38" t="n">
        <f aca="false">Sens!$I$3235+Sens!$I$3304</f>
        <v>1072.42559807743</v>
      </c>
      <c r="J3305" s="38" t="n">
        <f aca="false">Sens!$J$3235+Sens!$J$3304</f>
        <v>1197.98055074361</v>
      </c>
      <c r="K3305" s="38" t="n">
        <f aca="false">Sens!$K$3235+Sens!$K$3304</f>
        <v>1310.89445482875</v>
      </c>
      <c r="L3305" s="38" t="n">
        <f aca="false">Sens!$L$3235+Sens!$L$3304</f>
        <v>1417.98077398406</v>
      </c>
      <c r="M3305" s="38" t="n">
        <f aca="false">Sens!$M$3235+Sens!$M$3304</f>
        <v>1519.7704672495</v>
      </c>
      <c r="N3305" s="38" t="n">
        <f aca="false">Q!$N$8</f>
        <v>323.369</v>
      </c>
      <c r="O3305" s="38" t="n">
        <f aca="false">Q!$O$8</f>
        <v>393.555</v>
      </c>
    </row>
    <row r="3306" customFormat="false" ht="17.15" hidden="false" customHeight="false" outlineLevel="0" collapsed="false">
      <c r="A3306" s="24" t="s">
        <v>703</v>
      </c>
      <c r="B3306" s="25" t="s">
        <v>86</v>
      </c>
      <c r="C3306" s="41" t="n">
        <f aca="false">Sens!$C$3235-(Sens!$C$3237+Sens!$C$3238)</f>
        <v>0</v>
      </c>
      <c r="D3306" s="41" t="n">
        <f aca="false">Sens!$D$3235-(Sens!$D$3237+Sens!$D$3238)</f>
        <v>0</v>
      </c>
      <c r="E3306" s="41" t="n">
        <f aca="false">Sens!$E$3235-(Sens!$E$3237+Sens!$E$3238)</f>
        <v>0</v>
      </c>
      <c r="F3306" s="41" t="n">
        <f aca="false">Sens!$F$3235-(Sens!$F$3237+Sens!$F$3238)</f>
        <v>0</v>
      </c>
      <c r="G3306" s="41" t="n">
        <f aca="false">Sens!$G$3235-(Sens!$G$3237+Sens!$G$3238)</f>
        <v>0</v>
      </c>
      <c r="H3306" s="41" t="n">
        <f aca="false">Sens!$H$3235-(Sens!$H$3237+Sens!$H$3238)</f>
        <v>0</v>
      </c>
      <c r="I3306" s="41" t="n">
        <f aca="false">Sens!$I$3235-(Sens!$I$3237+Sens!$I$3238)</f>
        <v>0</v>
      </c>
      <c r="J3306" s="41" t="n">
        <f aca="false">Sens!$J$3235-(Sens!$J$3237+Sens!$J$3238)</f>
        <v>0</v>
      </c>
      <c r="K3306" s="41" t="n">
        <f aca="false">Sens!$K$3235-(Sens!$K$3237+Sens!$K$3238)</f>
        <v>0</v>
      </c>
      <c r="L3306" s="41" t="n">
        <f aca="false">Sens!$L$3235-(Sens!$L$3237+Sens!$L$3238)</f>
        <v>0</v>
      </c>
      <c r="M3306" s="41" t="n">
        <f aca="false">Sens!$M$3235-(Sens!$M$3237+Sens!$M$3238)</f>
        <v>0</v>
      </c>
      <c r="N3306" s="41" t="n">
        <f aca="false">Sens!$N$3235-(Sens!$N$3237+Sens!$N$3238)</f>
        <v>0</v>
      </c>
      <c r="O3306" s="41" t="n">
        <f aca="false">Sens!$O$3235-(Sens!$O$3237+Sens!$O$3238)</f>
        <v>0</v>
      </c>
    </row>
    <row r="3307" customFormat="false" ht="17.15" hidden="false" customHeight="false" outlineLevel="0" collapsed="false">
      <c r="A3307" s="24" t="s">
        <v>704</v>
      </c>
      <c r="B3307" s="25" t="s">
        <v>86</v>
      </c>
      <c r="C3307" s="41" t="n">
        <f aca="false">Sens!$C$3302+Sens!$C$3303-Sens!$C$3304</f>
        <v>0</v>
      </c>
      <c r="D3307" s="41" t="n">
        <f aca="false">Sens!$D$3302+Sens!$D$3303-Sens!$D$3304</f>
        <v>0</v>
      </c>
      <c r="E3307" s="41" t="n">
        <f aca="false">Sens!$E$3302+Sens!$E$3303-Sens!$E$3304</f>
        <v>0</v>
      </c>
      <c r="F3307" s="41" t="n">
        <f aca="false">Sens!$F$3302+Sens!$F$3303-Sens!$F$3304</f>
        <v>0</v>
      </c>
      <c r="G3307" s="41" t="n">
        <f aca="false">Sens!$G$3302+Sens!$G$3303-Sens!$G$3304</f>
        <v>0</v>
      </c>
      <c r="H3307" s="41" t="n">
        <f aca="false">Sens!$H$3302+Sens!$H$3303-Sens!$H$3304</f>
        <v>0</v>
      </c>
      <c r="I3307" s="41" t="n">
        <f aca="false">Sens!$I$3302+Sens!$I$3303-Sens!$I$3304</f>
        <v>0</v>
      </c>
      <c r="J3307" s="41" t="n">
        <f aca="false">Sens!$J$3302+Sens!$J$3303-Sens!$J$3304</f>
        <v>0</v>
      </c>
      <c r="K3307" s="41" t="n">
        <f aca="false">Sens!$K$3302+Sens!$K$3303-Sens!$K$3304</f>
        <v>0</v>
      </c>
      <c r="L3307" s="41" t="n">
        <f aca="false">Sens!$L$3302+Sens!$L$3303-Sens!$L$3304</f>
        <v>0</v>
      </c>
      <c r="M3307" s="41" t="n">
        <f aca="false">Sens!$M$3302+Sens!$M$3303-Sens!$M$3304</f>
        <v>0</v>
      </c>
      <c r="N3307" s="41" t="n">
        <f aca="false">Sens!$N$3302+Sens!$N$3303-Sens!$N$3304</f>
        <v>0</v>
      </c>
      <c r="O3307" s="41" t="n">
        <f aca="false">Sens!$O$3302+Sens!$O$3303-Sens!$O$3304</f>
        <v>0</v>
      </c>
    </row>
    <row r="3308" customFormat="false" ht="17.15" hidden="false" customHeight="false" outlineLevel="0" collapsed="false">
      <c r="A3308" s="24" t="s">
        <v>705</v>
      </c>
      <c r="B3308" s="25" t="s">
        <v>86</v>
      </c>
      <c r="C3308" s="41" t="n">
        <f aca="false">Sens!$C$3237+Sens!$C$3238+Sens!$C$3304-Sens!$C$3305</f>
        <v>0</v>
      </c>
      <c r="D3308" s="41" t="n">
        <f aca="false">Sens!$D$3237+Sens!$D$3238+Sens!$D$3304-Sens!$D$3305</f>
        <v>0</v>
      </c>
      <c r="E3308" s="41" t="n">
        <f aca="false">Sens!$E$3237+Sens!$E$3238+Sens!$E$3304-Sens!$E$3305</f>
        <v>0</v>
      </c>
      <c r="F3308" s="41" t="n">
        <f aca="false">Sens!$F$3237+Sens!$F$3238+Sens!$F$3304-Sens!$F$3305</f>
        <v>0</v>
      </c>
      <c r="G3308" s="41" t="n">
        <f aca="false">Sens!$G$3237+Sens!$G$3238+Sens!$G$3304-Sens!$G$3305</f>
        <v>0</v>
      </c>
      <c r="H3308" s="41" t="n">
        <f aca="false">Sens!$H$3237+Sens!$H$3238+Sens!$H$3304-Sens!$H$3305</f>
        <v>0</v>
      </c>
      <c r="I3308" s="41" t="n">
        <f aca="false">Sens!$I$3237+Sens!$I$3238+Sens!$I$3304-Sens!$I$3305</f>
        <v>0</v>
      </c>
      <c r="J3308" s="41" t="n">
        <f aca="false">Sens!$J$3237+Sens!$J$3238+Sens!$J$3304-Sens!$J$3305</f>
        <v>0</v>
      </c>
      <c r="K3308" s="41" t="n">
        <f aca="false">Sens!$K$3237+Sens!$K$3238+Sens!$K$3304-Sens!$K$3305</f>
        <v>0</v>
      </c>
      <c r="L3308" s="41" t="n">
        <f aca="false">Sens!$L$3237+Sens!$L$3238+Sens!$L$3304-Sens!$L$3305</f>
        <v>0</v>
      </c>
      <c r="M3308" s="41" t="n">
        <f aca="false">Sens!$M$3237+Sens!$M$3238+Sens!$M$3304-Sens!$M$3305</f>
        <v>0</v>
      </c>
      <c r="N3308" s="41" t="n">
        <f aca="false">Sens!$N$3237+Sens!$N$3238+Sens!$N$3304-Sens!$N$3305</f>
        <v>0</v>
      </c>
      <c r="O3308" s="41" t="n">
        <f aca="false">Sens!$O$3237+Sens!$O$3238+Sens!$O$3304-Sens!$O$3305</f>
        <v>0</v>
      </c>
    </row>
    <row r="3309" customFormat="false" ht="15" hidden="false" customHeight="false" outlineLevel="0" collapsed="false">
      <c r="A3309" s="5" t="s">
        <v>699</v>
      </c>
      <c r="B3309" s="0" t="s">
        <v>52</v>
      </c>
      <c r="G3309" s="13" t="n">
        <f aca="false">Sens!$G$3305/Sens!$D$3305-1</f>
        <v>0.140854504918937</v>
      </c>
      <c r="H3309" s="13" t="n">
        <f aca="false">Sens!$H$3305/Sens!$G$3305-1</f>
        <v>0.153375779965465</v>
      </c>
      <c r="I3309" s="13" t="n">
        <f aca="false">Sens!$I$3305/Sens!$H$3305-1</f>
        <v>0.136823293155706</v>
      </c>
      <c r="J3309" s="13" t="n">
        <f aca="false">Sens!$J$3305/Sens!$I$3305-1</f>
        <v>0.117075676756748</v>
      </c>
      <c r="K3309" s="13" t="n">
        <f aca="false">Sens!$K$3305/Sens!$J$3305-1</f>
        <v>0.094253536933514</v>
      </c>
      <c r="L3309" s="13" t="n">
        <f aca="false">Sens!$L$3305/Sens!$K$3305-1</f>
        <v>0.0816895050252546</v>
      </c>
      <c r="M3309" s="13" t="n">
        <f aca="false">Sens!$M$3305/Sens!$L$3305-1</f>
        <v>0.0717849600876033</v>
      </c>
    </row>
    <row r="3310" customFormat="false" ht="17.15" hidden="false" customHeight="false" outlineLevel="0" collapsed="false">
      <c r="A3310" s="0" t="s">
        <v>700</v>
      </c>
      <c r="B3310" s="0" t="s">
        <v>52</v>
      </c>
      <c r="C3310" s="13" t="n">
        <f aca="false">Sens!$C$3304/Sens!$C$3305</f>
        <v>0.168593906504964</v>
      </c>
      <c r="D3310" s="13" t="n">
        <f aca="false">Sens!$D$3304/Sens!$D$3305</f>
        <v>0.179551807444025</v>
      </c>
      <c r="E3310" s="13" t="n">
        <f aca="false">Sens!$E$3304/Sens!$E$3305</f>
        <v>0.208881910369643</v>
      </c>
      <c r="F3310" s="13" t="n">
        <f aca="false">Sens!$F$3304/Sens!$F$3305</f>
        <v>0.199028269699356</v>
      </c>
      <c r="G3310" s="13" t="n">
        <f aca="false">Sens!$G$3304/Sens!$G$3305</f>
        <v>0.203631882529968</v>
      </c>
      <c r="H3310" s="13" t="n">
        <f aca="false">Sens!$H$3304/Sens!$H$3305</f>
        <v>0.235602225366827</v>
      </c>
      <c r="I3310" s="13" t="n">
        <f aca="false">Sens!$I$3304/Sens!$I$3305</f>
        <v>0.264723452548923</v>
      </c>
      <c r="J3310" s="13" t="n">
        <f aca="false">Sens!$J$3304/Sens!$J$3305</f>
        <v>0.289547392724244</v>
      </c>
      <c r="K3310" s="13" t="n">
        <f aca="false">Sens!$K$3304/Sens!$K$3305</f>
        <v>0.3087342370752</v>
      </c>
      <c r="L3310" s="13" t="n">
        <f aca="false">Sens!$L$3304/Sens!$L$3305</f>
        <v>0.319389145337992</v>
      </c>
      <c r="M3310" s="13" t="n">
        <f aca="false">Sens!$M$3304/Sens!$M$3305</f>
        <v>0.323484743187803</v>
      </c>
      <c r="N3310" s="13" t="n">
        <f aca="false">Sens!$N$3304/Sens!$N$3305</f>
        <v>0.185979484737251</v>
      </c>
      <c r="O3310" s="13" t="n">
        <f aca="false">Sens!$O$3304/Sens!$O$3305</f>
        <v>0.174270432341096</v>
      </c>
    </row>
    <row r="3311" customFormat="false" ht="17.15" hidden="false" customHeight="false" outlineLevel="0" collapsed="false">
      <c r="A3311" s="0" t="s">
        <v>701</v>
      </c>
      <c r="B3311" s="0" t="s">
        <v>52</v>
      </c>
      <c r="C3311" s="13" t="n">
        <f aca="false">Sens!$C$3302/Sens!$C$3304</f>
        <v>0.0215795060896058</v>
      </c>
      <c r="D3311" s="13" t="n">
        <f aca="false">Sens!$D$3302/Sens!$D$3304</f>
        <v>0.0676152269462122</v>
      </c>
      <c r="E3311" s="13" t="n">
        <f aca="false">Sens!$E$3302/Sens!$E$3304</f>
        <v>0.106620641395783</v>
      </c>
      <c r="F3311" s="13" t="n">
        <f aca="false">Sens!$F$3302/Sens!$F$3304</f>
        <v>0.172523487401099</v>
      </c>
      <c r="G3311" s="13" t="n">
        <f aca="false">Sens!$G$3302/Sens!$G$3304</f>
        <v>0.140939911795589</v>
      </c>
      <c r="H3311" s="13" t="n">
        <f aca="false">Sens!$H$3302/Sens!$H$3304</f>
        <v>0.270705297299798</v>
      </c>
      <c r="I3311" s="13" t="n">
        <f aca="false">Sens!$I$3302/Sens!$I$3304</f>
        <v>0.3575380602506</v>
      </c>
      <c r="J3311" s="13" t="n">
        <f aca="false">Sens!$J$3302/Sens!$J$3304</f>
        <v>0.412328891818008</v>
      </c>
      <c r="K3311" s="13" t="n">
        <f aca="false">Sens!$K$3302/Sens!$K$3304</f>
        <v>0.440919654299441</v>
      </c>
      <c r="L3311" s="13" t="n">
        <f aca="false">Sens!$L$3302/Sens!$L$3304</f>
        <v>0.445426352437874</v>
      </c>
      <c r="M3311" s="13" t="n">
        <f aca="false">Sens!$M$3302/Sens!$M$3304</f>
        <v>0.432924481070969</v>
      </c>
      <c r="N3311" s="13" t="n">
        <f aca="false">Sens!$N$3302/Sens!$N$3304</f>
        <v>0.0506537999838362</v>
      </c>
      <c r="O3311" s="13" t="n">
        <f aca="false">Sens!$O$3302/Sens!$O$3304</f>
        <v>0.0824881615167056</v>
      </c>
    </row>
    <row r="3314" customFormat="false" ht="19.4" hidden="false" customHeight="false" outlineLevel="0" collapsed="false">
      <c r="A3314" s="31" t="s">
        <v>1202</v>
      </c>
    </row>
    <row r="3315" customFormat="false" ht="17.15" hidden="false" customHeight="false" outlineLevel="0" collapsed="false">
      <c r="A3315" s="6" t="s">
        <v>16</v>
      </c>
      <c r="B3315" s="6" t="s">
        <v>17</v>
      </c>
      <c r="C3315" s="20" t="s">
        <v>497</v>
      </c>
      <c r="D3315" s="20" t="s">
        <v>498</v>
      </c>
      <c r="E3315" s="20" t="s">
        <v>580</v>
      </c>
      <c r="F3315" s="20" t="s">
        <v>581</v>
      </c>
      <c r="G3315" s="20" t="s">
        <v>582</v>
      </c>
      <c r="H3315" s="20" t="s">
        <v>583</v>
      </c>
      <c r="I3315" s="20" t="s">
        <v>584</v>
      </c>
      <c r="J3315" s="20" t="s">
        <v>585</v>
      </c>
      <c r="K3315" s="20" t="s">
        <v>586</v>
      </c>
      <c r="L3315" s="20" t="s">
        <v>587</v>
      </c>
      <c r="M3315" s="20" t="s">
        <v>588</v>
      </c>
      <c r="N3315" s="20" t="s">
        <v>589</v>
      </c>
      <c r="O3315" s="20" t="s">
        <v>590</v>
      </c>
      <c r="P3315" s="6" t="s">
        <v>23</v>
      </c>
      <c r="R3315" s="20" t="n">
        <v>2023</v>
      </c>
      <c r="S3315" s="20" t="n">
        <v>2024</v>
      </c>
      <c r="T3315" s="20" t="n">
        <v>2025</v>
      </c>
      <c r="U3315" s="20" t="n">
        <v>2026</v>
      </c>
      <c r="V3315" s="20" t="n">
        <v>2027</v>
      </c>
      <c r="W3315" s="20" t="n">
        <v>2028</v>
      </c>
      <c r="X3315" s="20" t="n">
        <v>2029</v>
      </c>
      <c r="Y3315" s="20" t="n">
        <v>2030</v>
      </c>
      <c r="Z3315" s="20" t="n">
        <v>2031</v>
      </c>
      <c r="AA3315" s="20" t="n">
        <v>2032</v>
      </c>
    </row>
    <row r="3316" customFormat="false" ht="17.15" hidden="false" customHeight="false" outlineLevel="0" collapsed="false">
      <c r="A3316" s="1" t="s">
        <v>716</v>
      </c>
    </row>
    <row r="3317" customFormat="false" ht="15" hidden="false" customHeight="false" outlineLevel="0" collapsed="false">
      <c r="A3317" s="0" t="s">
        <v>519</v>
      </c>
      <c r="B3317" s="0" t="s">
        <v>86</v>
      </c>
      <c r="C3317" s="38" t="n">
        <f aca="false">Sens!$C$3222</f>
        <v>247.029</v>
      </c>
      <c r="D3317" s="38" t="n">
        <f aca="false">Sens!$D$3222</f>
        <v>269.287</v>
      </c>
      <c r="E3317" s="38" t="n">
        <f aca="false">Sens!$E$3222</f>
        <v>134.686</v>
      </c>
      <c r="F3317" s="38" t="n">
        <f aca="false">Sens!$F$3222</f>
        <v>158.293876822267</v>
      </c>
      <c r="G3317" s="38" t="n">
        <f aca="false">Sens!$G$3222</f>
        <v>292.979876822267</v>
      </c>
      <c r="H3317" s="38" t="n">
        <f aca="false">Sens!$H$3222</f>
        <v>318.184543087396</v>
      </c>
      <c r="I3317" s="38" t="n">
        <f aca="false">Sens!$I$3222</f>
        <v>341.736278761793</v>
      </c>
      <c r="J3317" s="38" t="n">
        <f aca="false">Sens!$J$3222</f>
        <v>362.927192787048</v>
      </c>
      <c r="K3317" s="38" t="n">
        <f aca="false">Sens!$K$3222</f>
        <v>381.0735524264</v>
      </c>
      <c r="L3317" s="38" t="n">
        <f aca="false">Sens!$L$3222</f>
        <v>400.12723004772</v>
      </c>
      <c r="M3317" s="38" t="n">
        <f aca="false">Sens!$M$3222</f>
        <v>420.133591550106</v>
      </c>
      <c r="N3317" s="38" t="n">
        <f aca="false">Sens!$N$3222</f>
        <v>118.892</v>
      </c>
      <c r="O3317" s="38" t="n">
        <f aca="false">Sens!$O$3222</f>
        <v>150.395</v>
      </c>
    </row>
    <row r="3318" customFormat="false" ht="15" hidden="false" customHeight="false" outlineLevel="0" collapsed="false">
      <c r="A3318" s="0" t="s">
        <v>520</v>
      </c>
      <c r="B3318" s="0" t="s">
        <v>86</v>
      </c>
      <c r="C3318" s="38" t="n">
        <f aca="false">Sens!$C$3224</f>
        <v>21.215</v>
      </c>
      <c r="D3318" s="38" t="n">
        <f aca="false">Sens!$D$3224</f>
        <v>22.561</v>
      </c>
      <c r="E3318" s="38" t="n">
        <f aca="false">Sens!$E$3224</f>
        <v>11.579</v>
      </c>
      <c r="F3318" s="38" t="n">
        <f aca="false">Sens!$F$3224</f>
        <v>11.5938724610325</v>
      </c>
      <c r="G3318" s="38" t="n">
        <f aca="false">Sens!$G$3224</f>
        <v>23.1728724610325</v>
      </c>
      <c r="H3318" s="38" t="n">
        <f aca="false">Sens!$H$3224</f>
        <v>24.353392759506</v>
      </c>
      <c r="I3318" s="38" t="n">
        <f aca="false">Sens!$I$3224</f>
        <v>25.4240338872015</v>
      </c>
      <c r="J3318" s="38" t="n">
        <f aca="false">Sens!$J$3224</f>
        <v>26.3642491017174</v>
      </c>
      <c r="K3318" s="38" t="n">
        <f aca="false">Sens!$K$3224</f>
        <v>27.155176574769</v>
      </c>
      <c r="L3318" s="38" t="n">
        <f aca="false">Sens!$L$3224</f>
        <v>27.969831872012</v>
      </c>
      <c r="M3318" s="38" t="n">
        <f aca="false">Sens!$M$3224</f>
        <v>28.8089268281724</v>
      </c>
      <c r="N3318" s="38" t="n">
        <f aca="false">Sens!$N$3224</f>
        <v>11.128</v>
      </c>
      <c r="O3318" s="38" t="n">
        <f aca="false">Sens!$O$3224</f>
        <v>11.433</v>
      </c>
    </row>
    <row r="3319" customFormat="false" ht="15" hidden="false" customHeight="false" outlineLevel="0" collapsed="false">
      <c r="A3319" s="0" t="s">
        <v>521</v>
      </c>
      <c r="B3319" s="0" t="s">
        <v>86</v>
      </c>
      <c r="C3319" s="38" t="n">
        <f aca="false">Sens!$C$3226</f>
        <v>156.146</v>
      </c>
      <c r="D3319" s="38" t="n">
        <f aca="false">Sens!$D$3226</f>
        <v>172.162</v>
      </c>
      <c r="E3319" s="38" t="n">
        <f aca="false">Sens!$E$3226</f>
        <v>88.358</v>
      </c>
      <c r="F3319" s="38" t="n">
        <f aca="false">Sens!$F$3226</f>
        <v>102.004388260171</v>
      </c>
      <c r="G3319" s="38" t="n">
        <f aca="false">Sens!$G$3226</f>
        <v>190.362388260171</v>
      </c>
      <c r="H3319" s="38" t="n">
        <f aca="false">Sens!$H$3226</f>
        <v>210.343106588311</v>
      </c>
      <c r="I3319" s="38" t="n">
        <f aca="false">Sens!$I$3226</f>
        <v>229.969728494648</v>
      </c>
      <c r="J3319" s="38" t="n">
        <f aca="false">Sens!$J$3226</f>
        <v>248.747636972598</v>
      </c>
      <c r="K3319" s="38" t="n">
        <f aca="false">Sens!$K$3226</f>
        <v>266.15997156068</v>
      </c>
      <c r="L3319" s="38" t="n">
        <f aca="false">Sens!$L$3226</f>
        <v>284.791169569927</v>
      </c>
      <c r="M3319" s="38" t="n">
        <f aca="false">Sens!$M$3226</f>
        <v>304.726551439822</v>
      </c>
      <c r="N3319" s="38" t="n">
        <f aca="false">Sens!$N$3226</f>
        <v>76.86</v>
      </c>
      <c r="O3319" s="38" t="n">
        <f aca="false">Sens!$O$3226</f>
        <v>95.302</v>
      </c>
    </row>
    <row r="3320" customFormat="false" ht="15" hidden="false" customHeight="false" outlineLevel="0" collapsed="false">
      <c r="A3320" s="0" t="s">
        <v>522</v>
      </c>
      <c r="B3320" s="0" t="s">
        <v>86</v>
      </c>
      <c r="C3320" s="38" t="n">
        <f aca="false">Sens!$C$3228</f>
        <v>56.214</v>
      </c>
      <c r="D3320" s="38" t="n">
        <f aca="false">Sens!$D$3228</f>
        <v>68.635</v>
      </c>
      <c r="E3320" s="38" t="n">
        <f aca="false">Sens!$E$3228</f>
        <v>37.052</v>
      </c>
      <c r="F3320" s="38" t="n">
        <f aca="false">Sens!$F$3228</f>
        <v>46.1572219944148</v>
      </c>
      <c r="G3320" s="38" t="n">
        <f aca="false">Sens!$G$3228</f>
        <v>83.2092219944148</v>
      </c>
      <c r="H3320" s="38" t="n">
        <f aca="false">Sens!$H$3228</f>
        <v>99.8969223878976</v>
      </c>
      <c r="I3320" s="38" t="n">
        <f aca="false">Sens!$I$3228</f>
        <v>116.583111095496</v>
      </c>
      <c r="J3320" s="38" t="n">
        <f aca="false">Sens!$J$3228</f>
        <v>132.148941941952</v>
      </c>
      <c r="K3320" s="38" t="n">
        <f aca="false">Sens!$K$3228</f>
        <v>145.363836136147</v>
      </c>
      <c r="L3320" s="38" t="n">
        <f aca="false">Sens!$L$3228</f>
        <v>159.900219749762</v>
      </c>
      <c r="M3320" s="38" t="n">
        <f aca="false">Sens!$M$3228</f>
        <v>175.890241724738</v>
      </c>
      <c r="N3320" s="38" t="n">
        <f aca="false">Sens!$N$3228</f>
        <v>29.615</v>
      </c>
      <c r="O3320" s="38" t="n">
        <f aca="false">Sens!$O$3228</f>
        <v>39.02</v>
      </c>
    </row>
    <row r="3321" customFormat="false" ht="15" hidden="false" customHeight="false" outlineLevel="0" collapsed="false">
      <c r="A3321" s="0" t="s">
        <v>523</v>
      </c>
      <c r="B3321" s="0" t="s">
        <v>86</v>
      </c>
      <c r="C3321" s="38" t="n">
        <f aca="false">Sens!$C$3230</f>
        <v>44.374</v>
      </c>
      <c r="D3321" s="38" t="n">
        <f aca="false">Sens!$D$3230</f>
        <v>49.619</v>
      </c>
      <c r="E3321" s="38" t="n">
        <f aca="false">Sens!$E$3230</f>
        <v>27.157</v>
      </c>
      <c r="F3321" s="38" t="n">
        <f aca="false">Sens!$F$3230</f>
        <v>27.7764165988154</v>
      </c>
      <c r="G3321" s="38" t="n">
        <f aca="false">Sens!$G$3230</f>
        <v>54.9334165988154</v>
      </c>
      <c r="H3321" s="38" t="n">
        <f aca="false">Sens!$H$3230</f>
        <v>61.1564112561829</v>
      </c>
      <c r="I3321" s="38" t="n">
        <f aca="false">Sens!$I$3230</f>
        <v>67.2020282103945</v>
      </c>
      <c r="J3321" s="38" t="n">
        <f aca="false">Sens!$J$3230</f>
        <v>72.8757274028885</v>
      </c>
      <c r="K3321" s="38" t="n">
        <f aca="false">Sens!$K$3230</f>
        <v>77.9770283210907</v>
      </c>
      <c r="L3321" s="38" t="n">
        <f aca="false">Sens!$L$3230</f>
        <v>83.4354203035671</v>
      </c>
      <c r="M3321" s="38" t="n">
        <f aca="false">Sens!$M$3230</f>
        <v>89.2758997248168</v>
      </c>
      <c r="N3321" s="38" t="n">
        <f aca="false">Sens!$N$3230</f>
        <v>23.923</v>
      </c>
      <c r="O3321" s="38" t="n">
        <f aca="false">Sens!$O$3230</f>
        <v>25.696</v>
      </c>
    </row>
    <row r="3322" customFormat="false" ht="15" hidden="false" customHeight="false" outlineLevel="0" collapsed="false">
      <c r="A3322" s="0" t="s">
        <v>524</v>
      </c>
      <c r="B3322" s="0" t="s">
        <v>86</v>
      </c>
      <c r="C3322" s="38" t="n">
        <f aca="false">Sens!$C$3232</f>
        <v>5.425</v>
      </c>
      <c r="D3322" s="38" t="n">
        <f aca="false">Sens!$D$3232</f>
        <v>5.935</v>
      </c>
      <c r="E3322" s="38" t="n">
        <f aca="false">Sens!$E$3232</f>
        <v>3.474</v>
      </c>
      <c r="F3322" s="38" t="n">
        <f aca="false">Sens!$F$3232</f>
        <v>3.22246550883619</v>
      </c>
      <c r="G3322" s="38" t="n">
        <f aca="false">Sens!$G$3232</f>
        <v>6.69646550883619</v>
      </c>
      <c r="H3322" s="38" t="n">
        <f aca="false">Sens!$H$3232</f>
        <v>7.16251344209196</v>
      </c>
      <c r="I3322" s="38" t="n">
        <f aca="false">Sens!$I$3232</f>
        <v>7.61421070299826</v>
      </c>
      <c r="J3322" s="38" t="n">
        <f aca="false">Sens!$J$3232</f>
        <v>8.04465753523932</v>
      </c>
      <c r="K3322" s="38" t="n">
        <f aca="false">Sens!$K$3232</f>
        <v>8.44689041200128</v>
      </c>
      <c r="L3322" s="38" t="n">
        <f aca="false">Sens!$L$3232</f>
        <v>8.86923493260135</v>
      </c>
      <c r="M3322" s="38" t="n">
        <f aca="false">Sens!$M$3232</f>
        <v>9.31269667923142</v>
      </c>
      <c r="N3322" s="38" t="n">
        <f aca="false">Sens!$N$3232</f>
        <v>2.811</v>
      </c>
      <c r="O3322" s="38" t="n">
        <f aca="false">Sens!$O$3232</f>
        <v>3.124</v>
      </c>
    </row>
    <row r="3323" customFormat="false" ht="17.15" hidden="false" customHeight="false" outlineLevel="0" collapsed="false">
      <c r="A3323" s="0" t="s">
        <v>717</v>
      </c>
      <c r="B3323" s="0" t="s">
        <v>86</v>
      </c>
      <c r="C3323" s="38" t="n">
        <f aca="false">Sens!$C$3304</f>
        <v>107.556</v>
      </c>
      <c r="D3323" s="38" t="n">
        <f aca="false">Sens!$D$3304</f>
        <v>128.725</v>
      </c>
      <c r="E3323" s="38" t="n">
        <f aca="false">Sens!$E$3304</f>
        <v>79.819</v>
      </c>
      <c r="F3323" s="38" t="n">
        <f aca="false">Sens!$F$3304</f>
        <v>86.7327334389669</v>
      </c>
      <c r="G3323" s="38" t="n">
        <f aca="false">Sens!$G$3304</f>
        <v>166.551733438967</v>
      </c>
      <c r="H3323" s="38" t="n">
        <f aca="false">Sens!$H$3304</f>
        <v>222.256052430118</v>
      </c>
      <c r="I3323" s="38" t="n">
        <f aca="false">Sens!$I$3304</f>
        <v>283.896206924901</v>
      </c>
      <c r="J3323" s="38" t="n">
        <f aca="false">Sens!$J$3304</f>
        <v>346.872145002165</v>
      </c>
      <c r="K3323" s="38" t="n">
        <f aca="false">Sens!$K$3304</f>
        <v>404.717999397665</v>
      </c>
      <c r="L3323" s="38" t="n">
        <f aca="false">Sens!$L$3304</f>
        <v>452.887667508475</v>
      </c>
      <c r="M3323" s="38" t="n">
        <f aca="false">Sens!$M$3304</f>
        <v>491.622559302612</v>
      </c>
      <c r="N3323" s="38" t="n">
        <f aca="false">Sens!$N$3304</f>
        <v>60.14</v>
      </c>
      <c r="O3323" s="38" t="n">
        <f aca="false">Sens!$O$3304</f>
        <v>68.585</v>
      </c>
    </row>
    <row r="3324" customFormat="false" ht="15" hidden="false" customHeight="false" outlineLevel="0" collapsed="false">
      <c r="A3324" s="1" t="s">
        <v>512</v>
      </c>
      <c r="B3324" s="8" t="s">
        <v>86</v>
      </c>
      <c r="C3324" s="38" t="n">
        <f aca="false">Sens!$C$3237</f>
        <v>387.497</v>
      </c>
      <c r="D3324" s="38" t="n">
        <f aca="false">Sens!$D$3237</f>
        <v>426.305</v>
      </c>
      <c r="E3324" s="38" t="n">
        <f aca="false">Sens!$E$3237</f>
        <v>220.32</v>
      </c>
      <c r="F3324" s="38" t="n">
        <f aca="false">Sens!$F$3237</f>
        <v>250.639773480586</v>
      </c>
      <c r="G3324" s="38" t="n">
        <f aca="false">Sens!$G$3237</f>
        <v>470.959773480586</v>
      </c>
      <c r="H3324" s="38" t="n">
        <f aca="false">Sens!$H$3237</f>
        <v>521.386990416437</v>
      </c>
      <c r="I3324" s="38" t="n">
        <f aca="false">Sens!$I$3237</f>
        <v>570.143862887555</v>
      </c>
      <c r="J3324" s="38" t="n">
        <f aca="false">Sens!$J$3237</f>
        <v>615.391435791933</v>
      </c>
      <c r="K3324" s="38" t="n">
        <f aca="false">Sens!$K$3237</f>
        <v>655.208227561543</v>
      </c>
      <c r="L3324" s="38" t="n">
        <f aca="false">Sens!$L$3237</f>
        <v>697.807739249767</v>
      </c>
      <c r="M3324" s="38" t="n">
        <f aca="false">Sens!$M$3237</f>
        <v>743.399328463592</v>
      </c>
      <c r="N3324" s="38" t="n">
        <f aca="false">Sens!$N$3237</f>
        <v>192.955</v>
      </c>
      <c r="O3324" s="38" t="n">
        <f aca="false">Sens!$O$3237</f>
        <v>233.35</v>
      </c>
    </row>
    <row r="3325" customFormat="false" ht="15" hidden="false" customHeight="false" outlineLevel="0" collapsed="false">
      <c r="A3325" s="1" t="s">
        <v>515</v>
      </c>
      <c r="B3325" s="8" t="s">
        <v>86</v>
      </c>
      <c r="C3325" s="38" t="n">
        <f aca="false">Sens!$C$3238</f>
        <v>142.906</v>
      </c>
      <c r="D3325" s="38" t="n">
        <f aca="false">Sens!$D$3238</f>
        <v>161.894</v>
      </c>
      <c r="E3325" s="38" t="n">
        <f aca="false">Sens!$E$3238</f>
        <v>81.986</v>
      </c>
      <c r="F3325" s="38" t="n">
        <f aca="false">Sens!$F$3238</f>
        <v>98.408468164951</v>
      </c>
      <c r="G3325" s="38" t="n">
        <f aca="false">Sens!$G$3238</f>
        <v>180.394468164951</v>
      </c>
      <c r="H3325" s="38" t="n">
        <f aca="false">Sens!$H$3238</f>
        <v>199.709899104949</v>
      </c>
      <c r="I3325" s="38" t="n">
        <f aca="false">Sens!$I$3238</f>
        <v>218.385528264976</v>
      </c>
      <c r="J3325" s="38" t="n">
        <f aca="false">Sens!$J$3238</f>
        <v>235.71696994951</v>
      </c>
      <c r="K3325" s="38" t="n">
        <f aca="false">Sens!$K$3238</f>
        <v>250.968227869545</v>
      </c>
      <c r="L3325" s="38" t="n">
        <f aca="false">Sens!$L$3238</f>
        <v>267.285367225822</v>
      </c>
      <c r="M3325" s="38" t="n">
        <f aca="false">Sens!$M$3238</f>
        <v>284.748579483295</v>
      </c>
      <c r="N3325" s="38" t="n">
        <f aca="false">Sens!$N$3238</f>
        <v>70.274</v>
      </c>
      <c r="O3325" s="38" t="n">
        <f aca="false">Sens!$O$3238</f>
        <v>91.62</v>
      </c>
    </row>
    <row r="3326" customFormat="false" ht="15" hidden="false" customHeight="false" outlineLevel="0" collapsed="false">
      <c r="A3326" s="1" t="s">
        <v>516</v>
      </c>
      <c r="B3326" s="8" t="s">
        <v>86</v>
      </c>
      <c r="C3326" s="38" t="n">
        <f aca="false">Sens!$C$3304</f>
        <v>107.556</v>
      </c>
      <c r="D3326" s="38" t="n">
        <f aca="false">Sens!$D$3304</f>
        <v>128.725</v>
      </c>
      <c r="E3326" s="38" t="n">
        <f aca="false">Sens!$E$3304</f>
        <v>79.819</v>
      </c>
      <c r="F3326" s="38" t="n">
        <f aca="false">Sens!$F$3304</f>
        <v>86.7327334389669</v>
      </c>
      <c r="G3326" s="38" t="n">
        <f aca="false">Sens!$G$3304</f>
        <v>166.551733438967</v>
      </c>
      <c r="H3326" s="38" t="n">
        <f aca="false">Sens!$H$3304</f>
        <v>222.256052430118</v>
      </c>
      <c r="I3326" s="38" t="n">
        <f aca="false">Sens!$I$3304</f>
        <v>283.896206924901</v>
      </c>
      <c r="J3326" s="38" t="n">
        <f aca="false">Sens!$J$3304</f>
        <v>346.872145002165</v>
      </c>
      <c r="K3326" s="38" t="n">
        <f aca="false">Sens!$K$3304</f>
        <v>404.717999397665</v>
      </c>
      <c r="L3326" s="38" t="n">
        <f aca="false">Sens!$L$3304</f>
        <v>452.887667508475</v>
      </c>
      <c r="M3326" s="38" t="n">
        <f aca="false">Sens!$M$3304</f>
        <v>491.622559302612</v>
      </c>
      <c r="N3326" s="38" t="n">
        <f aca="false">Sens!$N$3304</f>
        <v>60.14</v>
      </c>
      <c r="O3326" s="38" t="n">
        <f aca="false">Sens!$O$3304</f>
        <v>68.585</v>
      </c>
    </row>
    <row r="3327" customFormat="false" ht="17.15" hidden="false" customHeight="false" outlineLevel="0" collapsed="false">
      <c r="A3327" s="0" t="s">
        <v>691</v>
      </c>
      <c r="B3327" s="0" t="s">
        <v>86</v>
      </c>
      <c r="C3327" s="38" t="n">
        <f aca="false">Sens!$C$3302</f>
        <v>2.32100535697364</v>
      </c>
      <c r="D3327" s="38" t="n">
        <f aca="false">Sens!$D$3302</f>
        <v>8.70377008865116</v>
      </c>
      <c r="E3327" s="38" t="n">
        <f aca="false">Sens!$E$3302</f>
        <v>8.51035297557002</v>
      </c>
      <c r="F3327" s="38" t="n">
        <f aca="false">Sens!$F$3302</f>
        <v>14.9634336447205</v>
      </c>
      <c r="G3327" s="38" t="n">
        <f aca="false">Sens!$G$3302</f>
        <v>23.4737866202905</v>
      </c>
      <c r="H3327" s="38" t="n">
        <f aca="false">Sens!$H$3302</f>
        <v>60.1658907497746</v>
      </c>
      <c r="I3327" s="38" t="n">
        <f aca="false">Sens!$I$3302</f>
        <v>101.503699136432</v>
      </c>
      <c r="J3327" s="38" t="n">
        <f aca="false">Sens!$J$3302</f>
        <v>143.025407151278</v>
      </c>
      <c r="K3327" s="38" t="n">
        <f aca="false">Sens!$K$3302</f>
        <v>178.44812038318</v>
      </c>
      <c r="L3327" s="38" t="n">
        <f aca="false">Sens!$L$3302</f>
        <v>201.728101802396</v>
      </c>
      <c r="M3327" s="38" t="n">
        <f aca="false">Sens!$M$3302</f>
        <v>212.835441368865</v>
      </c>
      <c r="N3327" s="38" t="n">
        <f aca="false">Sens!$N$3302</f>
        <v>3.04631953102791</v>
      </c>
      <c r="O3327" s="38" t="n">
        <f aca="false">Sens!$O$3302</f>
        <v>5.65745055762326</v>
      </c>
    </row>
    <row r="3328" customFormat="false" ht="17.15" hidden="false" customHeight="false" outlineLevel="0" collapsed="false">
      <c r="A3328" s="0" t="s">
        <v>693</v>
      </c>
      <c r="B3328" s="0" t="s">
        <v>86</v>
      </c>
      <c r="C3328" s="38" t="n">
        <f aca="false">Sens!$C$3303</f>
        <v>105.234994643026</v>
      </c>
      <c r="D3328" s="38" t="n">
        <f aca="false">Sens!$D$3303</f>
        <v>120.021229911349</v>
      </c>
      <c r="E3328" s="38" t="n">
        <f aca="false">Sens!$E$3303</f>
        <v>71.30864702443</v>
      </c>
      <c r="F3328" s="38" t="n">
        <f aca="false">Sens!$F$3303</f>
        <v>71.7692997942464</v>
      </c>
      <c r="G3328" s="38" t="n">
        <f aca="false">Sens!$G$3303</f>
        <v>143.077946818676</v>
      </c>
      <c r="H3328" s="38" t="n">
        <f aca="false">Sens!$H$3303</f>
        <v>162.090161680343</v>
      </c>
      <c r="I3328" s="38" t="n">
        <f aca="false">Sens!$I$3303</f>
        <v>182.392507788469</v>
      </c>
      <c r="J3328" s="38" t="n">
        <f aca="false">Sens!$J$3303</f>
        <v>203.846737850887</v>
      </c>
      <c r="K3328" s="38" t="n">
        <f aca="false">Sens!$K$3303</f>
        <v>226.269879014485</v>
      </c>
      <c r="L3328" s="38" t="n">
        <f aca="false">Sens!$L$3303</f>
        <v>251.159565706078</v>
      </c>
      <c r="M3328" s="38" t="n">
        <f aca="false">Sens!$M$3303</f>
        <v>278.787117933747</v>
      </c>
      <c r="N3328" s="38" t="n">
        <f aca="false">Sens!$N$3303</f>
        <v>57.0936804689721</v>
      </c>
      <c r="O3328" s="38" t="n">
        <f aca="false">Sens!$O$3303</f>
        <v>62.9275494423768</v>
      </c>
    </row>
    <row r="3329" customFormat="false" ht="15" hidden="false" customHeight="false" outlineLevel="0" collapsed="false">
      <c r="A3329" s="3" t="s">
        <v>517</v>
      </c>
      <c r="B3329" s="8" t="s">
        <v>86</v>
      </c>
      <c r="C3329" s="38" t="n">
        <f aca="false">Sens!$C$3305</f>
        <v>637.959</v>
      </c>
      <c r="D3329" s="38" t="n">
        <f aca="false">Sens!$D$3305</f>
        <v>716.924</v>
      </c>
      <c r="E3329" s="38" t="n">
        <f aca="false">Sens!$E$3305</f>
        <v>382.125</v>
      </c>
      <c r="F3329" s="38" t="n">
        <f aca="false">Sens!$F$3305</f>
        <v>435.780975084504</v>
      </c>
      <c r="G3329" s="38" t="n">
        <f aca="false">Sens!$G$3305</f>
        <v>817.905975084504</v>
      </c>
      <c r="H3329" s="38" t="n">
        <f aca="false">Sens!$H$3305</f>
        <v>943.352941951504</v>
      </c>
      <c r="I3329" s="38" t="n">
        <f aca="false">Sens!$I$3305</f>
        <v>1072.42559807743</v>
      </c>
      <c r="J3329" s="38" t="n">
        <f aca="false">Sens!$J$3305</f>
        <v>1197.98055074361</v>
      </c>
      <c r="K3329" s="38" t="n">
        <f aca="false">Sens!$K$3305</f>
        <v>1310.89445482875</v>
      </c>
      <c r="L3329" s="38" t="n">
        <f aca="false">Sens!$L$3305</f>
        <v>1417.98077398406</v>
      </c>
      <c r="M3329" s="38" t="n">
        <f aca="false">Sens!$M$3305</f>
        <v>1519.7704672495</v>
      </c>
      <c r="N3329" s="38" t="n">
        <f aca="false">Sens!$N$3305</f>
        <v>323.369</v>
      </c>
      <c r="O3329" s="38" t="n">
        <f aca="false">Sens!$O$3305</f>
        <v>393.555</v>
      </c>
    </row>
    <row r="3330" customFormat="false" ht="17.15" hidden="false" customHeight="false" outlineLevel="0" collapsed="false">
      <c r="A3330" s="24" t="s">
        <v>703</v>
      </c>
      <c r="B3330" s="25" t="s">
        <v>86</v>
      </c>
      <c r="C3330" s="41" t="n">
        <f aca="false">Sens!$C$3317+Sens!$C$3318+Sens!$C$3319+Sens!$C$3320+Sens!$C$3321+Sens!$C$3322-(Sens!$C$3324+Sens!$C$3325)</f>
        <v>0</v>
      </c>
      <c r="D3330" s="41" t="n">
        <f aca="false">Sens!$D$3317+Sens!$D$3318+Sens!$D$3319+Sens!$D$3320+Sens!$D$3321+Sens!$D$3322-(Sens!$D$3324+Sens!$D$3325)</f>
        <v>0</v>
      </c>
      <c r="E3330" s="41" t="n">
        <f aca="false">Sens!$E$3317+Sens!$E$3318+Sens!$E$3319+Sens!$E$3320+Sens!$E$3321+Sens!$E$3322-(Sens!$E$3324+Sens!$E$3325)</f>
        <v>0</v>
      </c>
      <c r="F3330" s="41" t="n">
        <f aca="false">Sens!$F$3317+Sens!$F$3318+Sens!$F$3319+Sens!$F$3320+Sens!$F$3321+Sens!$F$3322-(Sens!$F$3324+Sens!$F$3325)</f>
        <v>0</v>
      </c>
      <c r="G3330" s="41" t="n">
        <f aca="false">Sens!$G$3317+Sens!$G$3318+Sens!$G$3319+Sens!$G$3320+Sens!$G$3321+Sens!$G$3322-(Sens!$G$3324+Sens!$G$3325)</f>
        <v>0</v>
      </c>
      <c r="H3330" s="41" t="n">
        <f aca="false">Sens!$H$3317+Sens!$H$3318+Sens!$H$3319+Sens!$H$3320+Sens!$H$3321+Sens!$H$3322-(Sens!$H$3324+Sens!$H$3325)</f>
        <v>0</v>
      </c>
      <c r="I3330" s="41" t="n">
        <f aca="false">Sens!$I$3317+Sens!$I$3318+Sens!$I$3319+Sens!$I$3320+Sens!$I$3321+Sens!$I$3322-(Sens!$I$3324+Sens!$I$3325)</f>
        <v>0</v>
      </c>
      <c r="J3330" s="41" t="n">
        <f aca="false">Sens!$J$3317+Sens!$J$3318+Sens!$J$3319+Sens!$J$3320+Sens!$J$3321+Sens!$J$3322-(Sens!$J$3324+Sens!$J$3325)</f>
        <v>0</v>
      </c>
      <c r="K3330" s="41" t="n">
        <f aca="false">Sens!$K$3317+Sens!$K$3318+Sens!$K$3319+Sens!$K$3320+Sens!$K$3321+Sens!$K$3322-(Sens!$K$3324+Sens!$K$3325)</f>
        <v>0</v>
      </c>
      <c r="L3330" s="41" t="n">
        <f aca="false">Sens!$L$3317+Sens!$L$3318+Sens!$L$3319+Sens!$L$3320+Sens!$L$3321+Sens!$L$3322-(Sens!$L$3324+Sens!$L$3325)</f>
        <v>0</v>
      </c>
      <c r="M3330" s="41" t="n">
        <f aca="false">Sens!$M$3317+Sens!$M$3318+Sens!$M$3319+Sens!$M$3320+Sens!$M$3321+Sens!$M$3322-(Sens!$M$3324+Sens!$M$3325)</f>
        <v>0</v>
      </c>
      <c r="N3330" s="41" t="n">
        <f aca="false">Sens!$N$3317+Sens!$N$3318+Sens!$N$3319+Sens!$N$3320+Sens!$N$3321+Sens!$N$3322-(Sens!$N$3324+Sens!$N$3325)</f>
        <v>0</v>
      </c>
      <c r="O3330" s="41" t="n">
        <f aca="false">Sens!$O$3317+Sens!$O$3318+Sens!$O$3319+Sens!$O$3320+Sens!$O$3321+Sens!$O$3322-(Sens!$O$3324+Sens!$O$3325)</f>
        <v>0</v>
      </c>
    </row>
    <row r="3331" customFormat="false" ht="17.15" hidden="false" customHeight="false" outlineLevel="0" collapsed="false">
      <c r="A3331" s="24" t="s">
        <v>704</v>
      </c>
      <c r="B3331" s="25" t="s">
        <v>86</v>
      </c>
      <c r="C3331" s="41" t="n">
        <f aca="false">Sens!$C$3327+Sens!$C$3328-Sens!$C$3326</f>
        <v>0</v>
      </c>
      <c r="D3331" s="41" t="n">
        <f aca="false">Sens!$D$3327+Sens!$D$3328-Sens!$D$3326</f>
        <v>0</v>
      </c>
      <c r="E3331" s="41" t="n">
        <f aca="false">Sens!$E$3327+Sens!$E$3328-Sens!$E$3326</f>
        <v>0</v>
      </c>
      <c r="F3331" s="41" t="n">
        <f aca="false">Sens!$F$3327+Sens!$F$3328-Sens!$F$3326</f>
        <v>0</v>
      </c>
      <c r="G3331" s="41" t="n">
        <f aca="false">Sens!$G$3327+Sens!$G$3328-Sens!$G$3326</f>
        <v>0</v>
      </c>
      <c r="H3331" s="41" t="n">
        <f aca="false">Sens!$H$3327+Sens!$H$3328-Sens!$H$3326</f>
        <v>0</v>
      </c>
      <c r="I3331" s="41" t="n">
        <f aca="false">Sens!$I$3327+Sens!$I$3328-Sens!$I$3326</f>
        <v>0</v>
      </c>
      <c r="J3331" s="41" t="n">
        <f aca="false">Sens!$J$3327+Sens!$J$3328-Sens!$J$3326</f>
        <v>0</v>
      </c>
      <c r="K3331" s="41" t="n">
        <f aca="false">Sens!$K$3327+Sens!$K$3328-Sens!$K$3326</f>
        <v>0</v>
      </c>
      <c r="L3331" s="41" t="n">
        <f aca="false">Sens!$L$3327+Sens!$L$3328-Sens!$L$3326</f>
        <v>0</v>
      </c>
      <c r="M3331" s="41" t="n">
        <f aca="false">Sens!$M$3327+Sens!$M$3328-Sens!$M$3326</f>
        <v>0</v>
      </c>
      <c r="N3331" s="41" t="n">
        <f aca="false">Sens!$N$3327+Sens!$N$3328-Sens!$N$3326</f>
        <v>0</v>
      </c>
      <c r="O3331" s="41" t="n">
        <f aca="false">Sens!$O$3327+Sens!$O$3328-Sens!$O$3326</f>
        <v>0</v>
      </c>
    </row>
    <row r="3332" customFormat="false" ht="17.15" hidden="false" customHeight="false" outlineLevel="0" collapsed="false">
      <c r="A3332" s="24" t="s">
        <v>763</v>
      </c>
      <c r="B3332" s="25" t="s">
        <v>86</v>
      </c>
      <c r="C3332" s="41" t="n">
        <f aca="false">Sens!$C$3317+Sens!$C$3318+Sens!$C$3319+Sens!$C$3320+Sens!$C$3321+Sens!$C$3322+Sens!$C$3323-Sens!$C$3329</f>
        <v>0</v>
      </c>
      <c r="D3332" s="41" t="n">
        <f aca="false">Sens!$D$3317+Sens!$D$3318+Sens!$D$3319+Sens!$D$3320+Sens!$D$3321+Sens!$D$3322+Sens!$D$3323-Sens!$D$3329</f>
        <v>0</v>
      </c>
      <c r="E3332" s="41" t="n">
        <f aca="false">Sens!$E$3317+Sens!$E$3318+Sens!$E$3319+Sens!$E$3320+Sens!$E$3321+Sens!$E$3322+Sens!$E$3323-Sens!$E$3329</f>
        <v>0</v>
      </c>
      <c r="F3332" s="41" t="n">
        <f aca="false">Sens!$F$3317+Sens!$F$3318+Sens!$F$3319+Sens!$F$3320+Sens!$F$3321+Sens!$F$3322+Sens!$F$3323-Sens!$F$3329</f>
        <v>0</v>
      </c>
      <c r="G3332" s="41" t="n">
        <f aca="false">Sens!$G$3317+Sens!$G$3318+Sens!$G$3319+Sens!$G$3320+Sens!$G$3321+Sens!$G$3322+Sens!$G$3323-Sens!$G$3329</f>
        <v>0</v>
      </c>
      <c r="H3332" s="41" t="n">
        <f aca="false">Sens!$H$3317+Sens!$H$3318+Sens!$H$3319+Sens!$H$3320+Sens!$H$3321+Sens!$H$3322+Sens!$H$3323-Sens!$H$3329</f>
        <v>0</v>
      </c>
      <c r="I3332" s="41" t="n">
        <f aca="false">Sens!$I$3317+Sens!$I$3318+Sens!$I$3319+Sens!$I$3320+Sens!$I$3321+Sens!$I$3322+Sens!$I$3323-Sens!$I$3329</f>
        <v>0</v>
      </c>
      <c r="J3332" s="41" t="n">
        <f aca="false">Sens!$J$3317+Sens!$J$3318+Sens!$J$3319+Sens!$J$3320+Sens!$J$3321+Sens!$J$3322+Sens!$J$3323-Sens!$J$3329</f>
        <v>0</v>
      </c>
      <c r="K3332" s="41" t="n">
        <f aca="false">Sens!$K$3317+Sens!$K$3318+Sens!$K$3319+Sens!$K$3320+Sens!$K$3321+Sens!$K$3322+Sens!$K$3323-Sens!$K$3329</f>
        <v>0</v>
      </c>
      <c r="L3332" s="41" t="n">
        <f aca="false">Sens!$L$3317+Sens!$L$3318+Sens!$L$3319+Sens!$L$3320+Sens!$L$3321+Sens!$L$3322+Sens!$L$3323-Sens!$L$3329</f>
        <v>0</v>
      </c>
      <c r="M3332" s="41" t="n">
        <f aca="false">Sens!$M$3317+Sens!$M$3318+Sens!$M$3319+Sens!$M$3320+Sens!$M$3321+Sens!$M$3322+Sens!$M$3323-Sens!$M$3329</f>
        <v>0</v>
      </c>
      <c r="N3332" s="41" t="n">
        <f aca="false">Sens!$N$3317+Sens!$N$3318+Sens!$N$3319+Sens!$N$3320+Sens!$N$3321+Sens!$N$3322+Sens!$N$3323-Sens!$N$3329</f>
        <v>0</v>
      </c>
      <c r="O3332" s="41" t="n">
        <f aca="false">Sens!$O$3317+Sens!$O$3318+Sens!$O$3319+Sens!$O$3320+Sens!$O$3321+Sens!$O$3322+Sens!$O$3323-Sens!$O$3329</f>
        <v>0</v>
      </c>
    </row>
    <row r="3333" customFormat="false" ht="17.15" hidden="false" customHeight="false" outlineLevel="0" collapsed="false">
      <c r="A3333" s="24" t="s">
        <v>705</v>
      </c>
      <c r="B3333" s="25" t="s">
        <v>86</v>
      </c>
      <c r="C3333" s="41" t="n">
        <f aca="false">Sens!$C$3324+Sens!$C$3325+Sens!$C$3326-Sens!$C$3329</f>
        <v>0</v>
      </c>
      <c r="D3333" s="41" t="n">
        <f aca="false">Sens!$D$3324+Sens!$D$3325+Sens!$D$3326-Sens!$D$3329</f>
        <v>0</v>
      </c>
      <c r="E3333" s="41" t="n">
        <f aca="false">Sens!$E$3324+Sens!$E$3325+Sens!$E$3326-Sens!$E$3329</f>
        <v>0</v>
      </c>
      <c r="F3333" s="41" t="n">
        <f aca="false">Sens!$F$3324+Sens!$F$3325+Sens!$F$3326-Sens!$F$3329</f>
        <v>0</v>
      </c>
      <c r="G3333" s="41" t="n">
        <f aca="false">Sens!$G$3324+Sens!$G$3325+Sens!$G$3326-Sens!$G$3329</f>
        <v>0</v>
      </c>
      <c r="H3333" s="41" t="n">
        <f aca="false">Sens!$H$3324+Sens!$H$3325+Sens!$H$3326-Sens!$H$3329</f>
        <v>0</v>
      </c>
      <c r="I3333" s="41" t="n">
        <f aca="false">Sens!$I$3324+Sens!$I$3325+Sens!$I$3326-Sens!$I$3329</f>
        <v>0</v>
      </c>
      <c r="J3333" s="41" t="n">
        <f aca="false">Sens!$J$3324+Sens!$J$3325+Sens!$J$3326-Sens!$J$3329</f>
        <v>0</v>
      </c>
      <c r="K3333" s="41" t="n">
        <f aca="false">Sens!$K$3324+Sens!$K$3325+Sens!$K$3326-Sens!$K$3329</f>
        <v>0</v>
      </c>
      <c r="L3333" s="41" t="n">
        <f aca="false">Sens!$L$3324+Sens!$L$3325+Sens!$L$3326-Sens!$L$3329</f>
        <v>0</v>
      </c>
      <c r="M3333" s="41" t="n">
        <f aca="false">Sens!$M$3324+Sens!$M$3325+Sens!$M$3326-Sens!$M$3329</f>
        <v>0</v>
      </c>
      <c r="N3333" s="41" t="n">
        <f aca="false">Sens!$N$3324+Sens!$N$3325+Sens!$N$3326-Sens!$N$3329</f>
        <v>0</v>
      </c>
      <c r="O3333" s="41" t="n">
        <f aca="false">Sens!$O$3324+Sens!$O$3325+Sens!$O$3326-Sens!$O$3329</f>
        <v>0</v>
      </c>
    </row>
    <row r="3334" customFormat="false" ht="17.15" hidden="false" customHeight="false" outlineLevel="0" collapsed="false">
      <c r="A3334" s="1" t="s">
        <v>719</v>
      </c>
    </row>
    <row r="3335" customFormat="false" ht="17.15" hidden="false" customHeight="false" outlineLevel="0" collapsed="false">
      <c r="A3335" s="0" t="s">
        <v>720</v>
      </c>
      <c r="B3335" s="0" t="s">
        <v>86</v>
      </c>
      <c r="C3335" s="38" t="n">
        <f aca="false">Sens!$C$3239*m_ad</f>
        <v>20.5341564414228</v>
      </c>
      <c r="D3335" s="38" t="n">
        <f aca="false">Sens!$D$3239*m_ad</f>
        <v>24.8720617299587</v>
      </c>
      <c r="E3335" s="38" t="n">
        <f aca="false">Sens!$E$3239*m_ad</f>
        <v>13.5017112462207</v>
      </c>
      <c r="F3335" s="38" t="n">
        <f aca="false">Sens!$F$3239*m_ad</f>
        <v>16.5719724165257</v>
      </c>
      <c r="G3335" s="38" t="n">
        <f aca="false">Sens!$G$3239*m_ad</f>
        <v>30.0820919220415</v>
      </c>
      <c r="H3335" s="38" t="n">
        <f aca="false">Sens!$H$3239*m_ad</f>
        <v>36.1150883276314</v>
      </c>
      <c r="I3335" s="38" t="n">
        <f aca="false">Sens!$I$3239*m_ad</f>
        <v>42.1475382231996</v>
      </c>
      <c r="J3335" s="38" t="n">
        <f aca="false">Sens!$J$3239*m_ad</f>
        <v>47.7749523864693</v>
      </c>
      <c r="K3335" s="38" t="n">
        <f aca="false">Sens!$K$3239*m_ad</f>
        <v>52.5524476251162</v>
      </c>
      <c r="L3335" s="38" t="n">
        <f aca="false">Sens!$L$3239*m_ad</f>
        <v>57.8076923876279</v>
      </c>
      <c r="M3335" s="38" t="n">
        <f aca="false">Sens!$M$3239*m_ad</f>
        <v>63.5884616263907</v>
      </c>
      <c r="N3335" s="38" t="n">
        <f aca="false">Sens!$N$3239*m_ad</f>
        <v>10.8543555706248</v>
      </c>
      <c r="O3335" s="38" t="n">
        <f aca="false">Sens!$O$3239*m_ad</f>
        <v>14.0094731821399</v>
      </c>
    </row>
    <row r="3336" customFormat="false" ht="17.15" hidden="false" customHeight="false" outlineLevel="0" collapsed="false">
      <c r="A3336" s="0" t="s">
        <v>721</v>
      </c>
      <c r="B3336" s="0" t="s">
        <v>86</v>
      </c>
      <c r="C3336" s="38" t="n">
        <f aca="false">Sens!$C$3237-Sens!$C$3239</f>
        <v>346.428687117154</v>
      </c>
      <c r="D3336" s="38" t="n">
        <f aca="false">Sens!$D$3237-Sens!$D$3239</f>
        <v>376.560876540083</v>
      </c>
      <c r="E3336" s="38" t="n">
        <f aca="false">Sens!$E$3237-Sens!$E$3239</f>
        <v>193.316577507559</v>
      </c>
      <c r="F3336" s="38" t="n">
        <f aca="false">Sens!$F$3237-Sens!$F$3239</f>
        <v>217.495828647535</v>
      </c>
      <c r="G3336" s="38" t="n">
        <f aca="false">Sens!$G$3237-Sens!$G$3239</f>
        <v>410.795589636503</v>
      </c>
      <c r="H3336" s="38" t="n">
        <f aca="false">Sens!$H$3237-Sens!$H$3239</f>
        <v>449.156813761174</v>
      </c>
      <c r="I3336" s="38" t="n">
        <f aca="false">Sens!$I$3237-Sens!$I$3239</f>
        <v>485.848786441156</v>
      </c>
      <c r="J3336" s="38" t="n">
        <f aca="false">Sens!$J$3237-Sens!$J$3239</f>
        <v>519.841531018994</v>
      </c>
      <c r="K3336" s="38" t="n">
        <f aca="false">Sens!$K$3237-Sens!$K$3239</f>
        <v>550.103332311311</v>
      </c>
      <c r="L3336" s="38" t="n">
        <f aca="false">Sens!$L$3237-Sens!$L$3239</f>
        <v>582.192354474511</v>
      </c>
      <c r="M3336" s="38" t="n">
        <f aca="false">Sens!$M$3237-Sens!$M$3239</f>
        <v>616.22240521081</v>
      </c>
      <c r="N3336" s="38" t="n">
        <f aca="false">Sens!$N$3237-Sens!$N$3239</f>
        <v>171.24628885875</v>
      </c>
      <c r="O3336" s="38" t="n">
        <f aca="false">Sens!$O$3237-Sens!$O$3239</f>
        <v>205.33105363572</v>
      </c>
    </row>
    <row r="3337" customFormat="false" ht="17.15" hidden="false" customHeight="false" outlineLevel="0" collapsed="false">
      <c r="A3337" s="0" t="s">
        <v>722</v>
      </c>
      <c r="B3337" s="0" t="s">
        <v>86</v>
      </c>
      <c r="C3337" s="38" t="n">
        <f aca="false">Sens!$C$3288*Sens!$C$3236</f>
        <v>0.123617442257179</v>
      </c>
      <c r="D3337" s="38" t="n">
        <f aca="false">Sens!$D$3288*Sens!$D$3236</f>
        <v>0.600198046024689</v>
      </c>
      <c r="E3337" s="38" t="n">
        <f aca="false">Sens!$E$3288*Sens!$E$3236</f>
        <v>0.970552432202993</v>
      </c>
      <c r="F3337" s="38" t="n">
        <f aca="false">Sens!$F$3288*Sens!$F$3236</f>
        <v>1.20013524388435</v>
      </c>
      <c r="G3337" s="38" t="n">
        <f aca="false">Sens!$G$3288*Sens!$G$3236</f>
        <v>2.17135369594947</v>
      </c>
      <c r="H3337" s="38" t="n">
        <f aca="false">Sens!$H$3288*Sens!$H$3236</f>
        <v>6.14227489656333</v>
      </c>
      <c r="I3337" s="38" t="n">
        <f aca="false">Sens!$I$3288*Sens!$I$3236</f>
        <v>11.6518054969681</v>
      </c>
      <c r="J3337" s="38" t="n">
        <f aca="false">Sens!$J$3288*Sens!$J$3236</f>
        <v>17.3105301010592</v>
      </c>
      <c r="K3337" s="38" t="n">
        <f aca="false">Sens!$K$3288*Sens!$K$3236</f>
        <v>22.8486728059883</v>
      </c>
      <c r="L3337" s="38" t="n">
        <f aca="false">Sens!$L$3288*Sens!$L$3236</f>
        <v>26.6849171332777</v>
      </c>
      <c r="M3337" s="38" t="n">
        <f aca="false">Sens!$M$3288*Sens!$M$3236</f>
        <v>29.0523240317336</v>
      </c>
      <c r="N3337" s="38" t="n">
        <f aca="false">Sens!$N$3288*Sens!$N$3236</f>
        <v>0.25053229484398</v>
      </c>
      <c r="O3337" s="38" t="n">
        <f aca="false">Sens!$O$3288*Sens!$O$3236</f>
        <v>0.349234376756897</v>
      </c>
    </row>
    <row r="3338" customFormat="false" ht="17.15" hidden="false" customHeight="false" outlineLevel="0" collapsed="false">
      <c r="A3338" s="0" t="s">
        <v>723</v>
      </c>
      <c r="B3338" s="0" t="s">
        <v>52</v>
      </c>
      <c r="C3338" s="28" t="n">
        <f aca="false">(Sens!$C$3339-Sens!$C$3335+Sens!$C$3337)/Sens!$C$3336</f>
        <v>0.0131526665379575</v>
      </c>
      <c r="D3338" s="28" t="n">
        <f aca="false">(Sens!$D$3339-Sens!$D$3335+Sens!$D$3337)/Sens!$D$3336</f>
        <v>0.0141999252954702</v>
      </c>
      <c r="E3338" s="28" t="n">
        <f aca="false">(Sens!$E$3339-Sens!$E$3335+Sens!$E$3337)/Sens!$E$3336</f>
        <v>0.0251341154940129</v>
      </c>
      <c r="F3338" s="28" t="n">
        <f aca="false">Sens!$O$3338+(Sens!$E$3338-Sens!$N$3338)</f>
        <v>0.0217171685713677</v>
      </c>
      <c r="G3338" s="28" t="n">
        <f aca="false">(Sens!$G$3339-Sens!$G$3335+Sens!$G$3337)/Sens!$G$3336</f>
        <v>0.0233071940458981</v>
      </c>
      <c r="H3338" s="28" t="n">
        <f aca="false">Sens!$G$3338+step_na</f>
        <v>0.0263071940458981</v>
      </c>
      <c r="I3338" s="28" t="n">
        <f aca="false">Sens!$H$3338+step_na</f>
        <v>0.0293071940458981</v>
      </c>
      <c r="J3338" s="28" t="n">
        <f aca="false">Sens!$I$3338+step_na</f>
        <v>0.0323071940458981</v>
      </c>
      <c r="K3338" s="28" t="n">
        <f aca="false">Sens!$J$3338+step_na</f>
        <v>0.0353071940458981</v>
      </c>
      <c r="L3338" s="28" t="n">
        <f aca="false">Sens!$K$3338</f>
        <v>0.0353071940458981</v>
      </c>
      <c r="M3338" s="28" t="n">
        <f aca="false">Sens!$L$3338</f>
        <v>0.0353071940458981</v>
      </c>
      <c r="N3338" s="28" t="n">
        <f aca="false">(Sens!$N$3339-Sens!$N$3335+Sens!$N$3337)/Sens!$N$3336</f>
        <v>0.0160831323269779</v>
      </c>
      <c r="O3338" s="28" t="n">
        <f aca="false">(Sens!$O$3339-Sens!$O$3335+Sens!$O$3337)/Sens!$O$3336</f>
        <v>0.0126661854043327</v>
      </c>
      <c r="P3338" s="8" t="s">
        <v>724</v>
      </c>
    </row>
    <row r="3339" customFormat="false" ht="17.15" hidden="false" customHeight="false" outlineLevel="0" collapsed="false">
      <c r="A3339" s="1" t="s">
        <v>725</v>
      </c>
      <c r="B3339" s="8" t="s">
        <v>86</v>
      </c>
      <c r="C3339" s="38" t="n">
        <f aca="false">Q!$D$22</f>
        <v>24.967</v>
      </c>
      <c r="D3339" s="38" t="n">
        <f aca="false">Q!$E$22</f>
        <v>29.619</v>
      </c>
      <c r="E3339" s="38" t="n">
        <f aca="false">Q!$P$22</f>
        <v>17.39</v>
      </c>
      <c r="F3339" s="38" t="n">
        <f aca="false">Sens!$F$3335+Sens!$F$3336*Sens!$F$3338-Sens!$F$3337</f>
        <v>20.0952307469491</v>
      </c>
      <c r="G3339" s="38" t="n">
        <f aca="false">Sens!$E$3339+Sens!$F$3339</f>
        <v>37.4852307469491</v>
      </c>
      <c r="H3339" s="38" t="n">
        <f aca="false">Sens!$H$3335+Sens!$H$3336*Sens!$H$3338-Sens!$H$3337</f>
        <v>41.7888688877206</v>
      </c>
      <c r="I3339" s="38" t="n">
        <f aca="false">Sens!$I$3335+Sens!$I$3336*Sens!$I$3338-Sens!$I$3337</f>
        <v>44.7345973874265</v>
      </c>
      <c r="J3339" s="38" t="n">
        <f aca="false">Sens!$J$3335+Sens!$J$3336*Sens!$J$3338-Sens!$J$3337</f>
        <v>47.2590435011574</v>
      </c>
      <c r="K3339" s="38" t="n">
        <f aca="false">Sens!$K$3335+Sens!$K$3336*Sens!$K$3338-Sens!$K$3337</f>
        <v>49.1263799183386</v>
      </c>
      <c r="L3339" s="38" t="n">
        <f aca="false">Sens!$L$3335+Sens!$L$3336*Sens!$L$3338-Sens!$L$3337</f>
        <v>51.67835368582</v>
      </c>
      <c r="M3339" s="38" t="n">
        <f aca="false">Sens!$M$3335+Sens!$M$3336*Sens!$M$3338-Sens!$M$3337</f>
        <v>56.2932216308652</v>
      </c>
      <c r="N3339" s="38" t="n">
        <f aca="false">Q!$N$22</f>
        <v>13.358</v>
      </c>
      <c r="O3339" s="38" t="n">
        <f aca="false">Q!$O$22</f>
        <v>16.261</v>
      </c>
    </row>
    <row r="3340" customFormat="false" ht="17.15" hidden="false" customHeight="false" outlineLevel="0" collapsed="false">
      <c r="A3340" s="0" t="s">
        <v>726</v>
      </c>
      <c r="B3340" s="0" t="s">
        <v>86</v>
      </c>
      <c r="C3340" s="38" t="n">
        <f aca="false">Sens!$C$3240*m_ad</f>
        <v>7.57284355857716</v>
      </c>
      <c r="D3340" s="38" t="n">
        <f aca="false">Sens!$D$3240*m_ad</f>
        <v>9.44543827004127</v>
      </c>
      <c r="E3340" s="38" t="n">
        <f aca="false">Sens!$E$3240*m_ad</f>
        <v>5.02428875377928</v>
      </c>
      <c r="F3340" s="38" t="n">
        <f aca="false">Sens!$F$3240*m_ad</f>
        <v>6.50663858068173</v>
      </c>
      <c r="G3340" s="38" t="n">
        <f aca="false">Sens!$G$3240*m_ad</f>
        <v>11.5225190751659</v>
      </c>
      <c r="H3340" s="38" t="n">
        <f aca="false">Sens!$H$3240*m_ad</f>
        <v>13.8333728663174</v>
      </c>
      <c r="I3340" s="38" t="n">
        <f aca="false">Sens!$I$3240*m_ad</f>
        <v>16.1440173245485</v>
      </c>
      <c r="J3340" s="38" t="n">
        <f aca="false">Sens!$J$3240*m_ad</f>
        <v>18.2995185845066</v>
      </c>
      <c r="K3340" s="38" t="n">
        <f aca="false">Sens!$K$3240*m_ad</f>
        <v>20.1294704429572</v>
      </c>
      <c r="L3340" s="38" t="n">
        <f aca="false">Sens!$L$3240*m_ad</f>
        <v>22.142417487253</v>
      </c>
      <c r="M3340" s="38" t="n">
        <f aca="false">Sens!$M$3240*m_ad</f>
        <v>24.3566592359783</v>
      </c>
      <c r="N3340" s="38" t="n">
        <f aca="false">Sens!$N$3240*m_ad</f>
        <v>3.95314442937518</v>
      </c>
      <c r="O3340" s="38" t="n">
        <f aca="false">Sens!$O$3240*m_ad</f>
        <v>5.50052681786011</v>
      </c>
    </row>
    <row r="3341" customFormat="false" ht="17.15" hidden="false" customHeight="false" outlineLevel="0" collapsed="false">
      <c r="A3341" s="0" t="s">
        <v>727</v>
      </c>
      <c r="B3341" s="0" t="s">
        <v>86</v>
      </c>
      <c r="C3341" s="38" t="n">
        <f aca="false">Sens!$C$3238-Sens!$C$3240</f>
        <v>127.760312882846</v>
      </c>
      <c r="D3341" s="38" t="n">
        <f aca="false">Sens!$D$3238-Sens!$D$3240</f>
        <v>143.003123459917</v>
      </c>
      <c r="E3341" s="38" t="n">
        <f aca="false">Sens!$E$3238-Sens!$E$3240</f>
        <v>71.9374224924414</v>
      </c>
      <c r="F3341" s="38" t="n">
        <f aca="false">Sens!$F$3238-Sens!$F$3240</f>
        <v>85.3951910035875</v>
      </c>
      <c r="G3341" s="38" t="n">
        <f aca="false">Sens!$G$3238-Sens!$G$3240</f>
        <v>157.349430014619</v>
      </c>
      <c r="H3341" s="38" t="n">
        <f aca="false">Sens!$H$3238-Sens!$H$3240</f>
        <v>172.043153372315</v>
      </c>
      <c r="I3341" s="38" t="n">
        <f aca="false">Sens!$I$3238-Sens!$I$3240</f>
        <v>186.097493615879</v>
      </c>
      <c r="J3341" s="38" t="n">
        <f aca="false">Sens!$J$3238-Sens!$J$3240</f>
        <v>199.117932780497</v>
      </c>
      <c r="K3341" s="38" t="n">
        <f aca="false">Sens!$K$3238-Sens!$K$3240</f>
        <v>210.70928698363</v>
      </c>
      <c r="L3341" s="38" t="n">
        <f aca="false">Sens!$L$3238-Sens!$L$3240</f>
        <v>223.000532251316</v>
      </c>
      <c r="M3341" s="38" t="n">
        <f aca="false">Sens!$M$3238-Sens!$M$3240</f>
        <v>236.035261011339</v>
      </c>
      <c r="N3341" s="38" t="n">
        <f aca="false">Sens!$N$3238-Sens!$N$3240</f>
        <v>62.3677111412496</v>
      </c>
      <c r="O3341" s="38" t="n">
        <f aca="false">Sens!$O$3238-Sens!$O$3240</f>
        <v>80.6189463642798</v>
      </c>
    </row>
    <row r="3342" customFormat="false" ht="17.15" hidden="false" customHeight="false" outlineLevel="0" collapsed="false">
      <c r="A3342" s="0" t="s">
        <v>728</v>
      </c>
      <c r="B3342" s="0" t="s">
        <v>86</v>
      </c>
      <c r="C3342" s="38" t="n">
        <f aca="false">Sens!$C$3288*(1-Sens!$C$3236)</f>
        <v>0.0455891896019953</v>
      </c>
      <c r="D3342" s="38" t="n">
        <f aca="false">Sens!$D$3288*(1-Sens!$D$3236)</f>
        <v>0.227931791705753</v>
      </c>
      <c r="E3342" s="38" t="n">
        <f aca="false">Sens!$E$3288*(1-Sens!$E$3236)</f>
        <v>0.361164268820781</v>
      </c>
      <c r="F3342" s="38" t="n">
        <f aca="false">Sens!$F$3288*(1-Sens!$F$3236)</f>
        <v>0.471208018190203</v>
      </c>
      <c r="G3342" s="38" t="n">
        <f aca="false">Sens!$G$3288*(1-Sens!$G$3236)</f>
        <v>0.83170626714885</v>
      </c>
      <c r="H3342" s="38" t="n">
        <f aca="false">Sens!$H$3288*(1-Sens!$H$3236)</f>
        <v>2.35271136874315</v>
      </c>
      <c r="I3342" s="38" t="n">
        <f aca="false">Sens!$I$3288*(1-Sens!$I$3236)</f>
        <v>4.46305900024741</v>
      </c>
      <c r="J3342" s="38" t="n">
        <f aca="false">Sens!$J$3288*(1-Sens!$J$3236)</f>
        <v>6.63055328092195</v>
      </c>
      <c r="K3342" s="38" t="n">
        <f aca="false">Sens!$K$3288*(1-Sens!$K$3236)</f>
        <v>8.75186037365703</v>
      </c>
      <c r="L3342" s="38" t="n">
        <f aca="false">Sens!$L$3288*(1-Sens!$L$3236)</f>
        <v>10.2212794071718</v>
      </c>
      <c r="M3342" s="38" t="n">
        <f aca="false">Sens!$M$3288*(1-Sens!$M$3236)</f>
        <v>11.1280810756472</v>
      </c>
      <c r="N3342" s="38" t="n">
        <f aca="false">Sens!$N$3288*(1-Sens!$N$3236)</f>
        <v>0.0912435878202994</v>
      </c>
      <c r="O3342" s="38" t="n">
        <f aca="false">Sens!$O$3288*(1-Sens!$O$3236)</f>
        <v>0.137119578309265</v>
      </c>
    </row>
    <row r="3343" customFormat="false" ht="17.15" hidden="false" customHeight="false" outlineLevel="0" collapsed="false">
      <c r="A3343" s="0" t="s">
        <v>729</v>
      </c>
      <c r="B3343" s="0" t="s">
        <v>52</v>
      </c>
      <c r="C3343" s="28" t="n">
        <f aca="false">(Sens!$C$3344-Sens!$C$3340+Sens!$C$3342)/Sens!$C$3341</f>
        <v>-0.0292364215826579</v>
      </c>
      <c r="D3343" s="28" t="n">
        <f aca="false">(Sens!$D$3344-Sens!$D$3340+Sens!$D$3342)/Sens!$D$3341</f>
        <v>-0.0312406216748665</v>
      </c>
      <c r="E3343" s="28" t="n">
        <f aca="false">(Sens!$E$3344-Sens!$E$3340+Sens!$E$3342)/Sens!$E$3341</f>
        <v>-0.0211590078184749</v>
      </c>
      <c r="F3343" s="28" t="n">
        <f aca="false">Sens!$O$3343+(Sens!$E$3343-Sens!$N$3343)</f>
        <v>-0.0382539955245511</v>
      </c>
      <c r="G3343" s="28" t="n">
        <f aca="false">(Sens!$G$3344-Sens!$G$3340+Sens!$G$3342)/Sens!$G$3341</f>
        <v>-0.030385172031133</v>
      </c>
      <c r="H3343" s="28" t="n">
        <f aca="false">Sens!$G$3343+step_in</f>
        <v>-0.030385172031133</v>
      </c>
      <c r="I3343" s="28" t="n">
        <f aca="false">Sens!$H$3343+step_in</f>
        <v>-0.030385172031133</v>
      </c>
      <c r="J3343" s="28" t="n">
        <f aca="false">Sens!$I$3343+step_in</f>
        <v>-0.030385172031133</v>
      </c>
      <c r="K3343" s="28" t="n">
        <f aca="false">Sens!$J$3343+step_in</f>
        <v>-0.030385172031133</v>
      </c>
      <c r="L3343" s="28" t="n">
        <f aca="false">Sens!$K$3343</f>
        <v>-0.030385172031133</v>
      </c>
      <c r="M3343" s="28" t="n">
        <f aca="false">Sens!$L$3343</f>
        <v>-0.030385172031133</v>
      </c>
      <c r="N3343" s="28" t="n">
        <f aca="false">(Sens!$N$3344-Sens!$N$3340+Sens!$N$3342)/Sens!$N$3341</f>
        <v>-0.0216602600421776</v>
      </c>
      <c r="O3343" s="28" t="n">
        <f aca="false">(Sens!$O$3344-Sens!$O$3340+Sens!$O$3342)/Sens!$O$3341</f>
        <v>-0.0387552477482538</v>
      </c>
      <c r="P3343" s="8" t="s">
        <v>724</v>
      </c>
    </row>
    <row r="3344" customFormat="false" ht="17.15" hidden="false" customHeight="false" outlineLevel="0" collapsed="false">
      <c r="A3344" s="1" t="s">
        <v>730</v>
      </c>
      <c r="B3344" s="8" t="s">
        <v>86</v>
      </c>
      <c r="C3344" s="38" t="n">
        <f aca="false">Q!$D$23</f>
        <v>3.792</v>
      </c>
      <c r="D3344" s="38" t="n">
        <f aca="false">Q!$E$23</f>
        <v>4.75</v>
      </c>
      <c r="E3344" s="38" t="n">
        <f aca="false">Q!$P$23</f>
        <v>3.141</v>
      </c>
      <c r="F3344" s="38" t="n">
        <f aca="false">Sens!$F$3340+Sens!$F$3341*Sens!$F$3343-Sens!$F$3342</f>
        <v>2.7687233080221</v>
      </c>
      <c r="G3344" s="38" t="n">
        <f aca="false">Sens!$E$3344+Sens!$F$3344</f>
        <v>5.9097233080221</v>
      </c>
      <c r="H3344" s="38" t="n">
        <f aca="false">Sens!$H$3340+Sens!$H$3341*Sens!$H$3343-Sens!$H$3342</f>
        <v>6.25310068557783</v>
      </c>
      <c r="I3344" s="38" t="n">
        <f aca="false">Sens!$I$3340+Sens!$I$3341*Sens!$I$3343-Sens!$I$3342</f>
        <v>6.02635396621997</v>
      </c>
      <c r="J3344" s="38" t="n">
        <f aca="false">Sens!$J$3340+Sens!$J$3341*Sens!$J$3343-Sens!$J$3342</f>
        <v>5.61873266156566</v>
      </c>
      <c r="K3344" s="38" t="n">
        <f aca="false">Sens!$K$3340+Sens!$K$3341*Sens!$K$3343-Sens!$K$3342</f>
        <v>4.97517213574524</v>
      </c>
      <c r="L3344" s="38" t="n">
        <f aca="false">Sens!$L$3340+Sens!$L$3341*Sens!$L$3343-Sens!$L$3342</f>
        <v>5.14522854459066</v>
      </c>
      <c r="M3344" s="38" t="n">
        <f aca="false">Sens!$M$3340+Sens!$M$3341*Sens!$M$3343-Sens!$M$3342</f>
        <v>6.05660614908815</v>
      </c>
      <c r="N3344" s="38" t="n">
        <f aca="false">Q!$N$23</f>
        <v>2.511</v>
      </c>
      <c r="O3344" s="38" t="n">
        <f aca="false">Q!$O$23</f>
        <v>2.239</v>
      </c>
    </row>
    <row r="3345" customFormat="false" ht="17.15" hidden="false" customHeight="false" outlineLevel="0" collapsed="false">
      <c r="A3345" s="0" t="s">
        <v>731</v>
      </c>
      <c r="B3345" s="0" t="s">
        <v>86</v>
      </c>
      <c r="C3345" s="38" t="n">
        <f aca="false">Sens!$C$3285</f>
        <v>1.64417882953695</v>
      </c>
      <c r="D3345" s="38" t="n">
        <f aca="false">Sens!$D$3285</f>
        <v>5.39125073772939</v>
      </c>
      <c r="E3345" s="38" t="n">
        <f aca="false">Sens!$E$3285</f>
        <v>3.18348617147493</v>
      </c>
      <c r="F3345" s="38" t="n">
        <f aca="false">Sens!$F$3285</f>
        <v>8.27806059642226</v>
      </c>
      <c r="G3345" s="38" t="n">
        <f aca="false">Sens!$G$3285</f>
        <v>11.4615467678972</v>
      </c>
      <c r="H3345" s="38" t="n">
        <f aca="false">Sens!$H$3285</f>
        <v>26.1859456885487</v>
      </c>
      <c r="I3345" s="38" t="n">
        <f aca="false">Sens!$I$3285</f>
        <v>37.04424114757</v>
      </c>
      <c r="J3345" s="38" t="n">
        <f aca="false">Sens!$J$3285</f>
        <v>47.2610736233534</v>
      </c>
      <c r="K3345" s="38" t="n">
        <f aca="false">Sens!$K$3285</f>
        <v>52.0459876645985</v>
      </c>
      <c r="L3345" s="38" t="n">
        <f aca="false">Sens!$L$3285</f>
        <v>54.1033156405981</v>
      </c>
      <c r="M3345" s="38" t="n">
        <f aca="false">Sens!$M$3285</f>
        <v>52.1138209393421</v>
      </c>
      <c r="N3345" s="38" t="n">
        <f aca="false">Sens!$N$3285</f>
        <v>1.67921600037079</v>
      </c>
      <c r="O3345" s="38" t="n">
        <f aca="false">Sens!$O$3285</f>
        <v>3.71203473735861</v>
      </c>
    </row>
    <row r="3346" customFormat="false" ht="17.15" hidden="false" customHeight="false" outlineLevel="0" collapsed="false">
      <c r="A3346" s="0" t="s">
        <v>649</v>
      </c>
      <c r="B3346" s="0" t="s">
        <v>86</v>
      </c>
      <c r="C3346" s="38" t="n">
        <f aca="false">Sens!$C$3290</f>
        <v>38.1898211704631</v>
      </c>
      <c r="D3346" s="38" t="n">
        <f aca="false">Sens!$D$3290</f>
        <v>40.2147492622706</v>
      </c>
      <c r="E3346" s="38" t="n">
        <f aca="false">Sens!$E$3290</f>
        <v>27.5985138285251</v>
      </c>
      <c r="F3346" s="38" t="n">
        <f aca="false">Sens!$F$3290</f>
        <v>25.5484769754606</v>
      </c>
      <c r="G3346" s="38" t="n">
        <f aca="false">Sens!$G$3290</f>
        <v>53.1469908039857</v>
      </c>
      <c r="H3346" s="38" t="n">
        <f aca="false">Sens!$H$3290</f>
        <v>57.7009497864841</v>
      </c>
      <c r="I3346" s="38" t="n">
        <f aca="false">Sens!$I$3290</f>
        <v>64.9281907318231</v>
      </c>
      <c r="J3346" s="38" t="n">
        <f aca="false">Sens!$J$3290</f>
        <v>72.5654799954404</v>
      </c>
      <c r="K3346" s="38" t="n">
        <f aca="false">Sens!$K$3290</f>
        <v>80.5476827949388</v>
      </c>
      <c r="L3346" s="38" t="n">
        <f aca="false">Sens!$L$3290</f>
        <v>89.4079279023821</v>
      </c>
      <c r="M3346" s="38" t="n">
        <f aca="false">Sens!$M$3290</f>
        <v>99.2427999716441</v>
      </c>
      <c r="N3346" s="38" t="n">
        <f aca="false">Sens!$N$3290</f>
        <v>20.0277839996292</v>
      </c>
      <c r="O3346" s="38" t="n">
        <f aca="false">Sens!$O$3290</f>
        <v>20.1869652626414</v>
      </c>
    </row>
    <row r="3347" customFormat="false" ht="17.15" hidden="false" customHeight="false" outlineLevel="0" collapsed="false">
      <c r="A3347" s="1" t="s">
        <v>732</v>
      </c>
      <c r="B3347" s="8" t="s">
        <v>86</v>
      </c>
      <c r="C3347" s="38" t="n">
        <f aca="false">Q!$D$24</f>
        <v>39.834</v>
      </c>
      <c r="D3347" s="38" t="n">
        <f aca="false">Q!$E$24</f>
        <v>45.606</v>
      </c>
      <c r="E3347" s="38" t="n">
        <f aca="false">Q!$P$24</f>
        <v>30.782</v>
      </c>
      <c r="F3347" s="38" t="n">
        <f aca="false">Sens!$F$3345+Sens!$F$3346</f>
        <v>33.8265375718829</v>
      </c>
      <c r="G3347" s="38" t="n">
        <f aca="false">Sens!$G$3345+Sens!$G$3346</f>
        <v>64.6085375718829</v>
      </c>
      <c r="H3347" s="38" t="n">
        <f aca="false">Sens!$H$3345+Sens!$H$3346</f>
        <v>83.8868954750328</v>
      </c>
      <c r="I3347" s="38" t="n">
        <f aca="false">Sens!$I$3345+Sens!$I$3346</f>
        <v>101.972431879393</v>
      </c>
      <c r="J3347" s="38" t="n">
        <f aca="false">Sens!$J$3345+Sens!$J$3346</f>
        <v>119.826553618794</v>
      </c>
      <c r="K3347" s="38" t="n">
        <f aca="false">Sens!$K$3345+Sens!$K$3346</f>
        <v>132.593670459537</v>
      </c>
      <c r="L3347" s="38" t="n">
        <f aca="false">Sens!$L$3345+Sens!$L$3346</f>
        <v>143.51124354298</v>
      </c>
      <c r="M3347" s="38" t="n">
        <f aca="false">Sens!$M$3345+Sens!$M$3346</f>
        <v>151.356620910986</v>
      </c>
      <c r="N3347" s="38" t="n">
        <f aca="false">Q!$N$24</f>
        <v>21.707</v>
      </c>
      <c r="O3347" s="38" t="n">
        <f aca="false">Q!$O$24</f>
        <v>23.899</v>
      </c>
    </row>
    <row r="3348" customFormat="false" ht="17.15" hidden="false" customHeight="false" outlineLevel="0" collapsed="false">
      <c r="A3348" s="5" t="s">
        <v>733</v>
      </c>
      <c r="B3348" s="0" t="s">
        <v>86</v>
      </c>
      <c r="C3348" s="38" t="n">
        <f aca="false">Q!$D$26</f>
        <v>0</v>
      </c>
      <c r="D3348" s="38" t="n">
        <f aca="false">Q!$E$26</f>
        <v>0</v>
      </c>
      <c r="E3348" s="38" t="n">
        <f aca="false">Q!$P$26</f>
        <v>0</v>
      </c>
      <c r="F3348" s="39" t="n">
        <v>0</v>
      </c>
      <c r="G3348" s="38" t="n">
        <f aca="false">Sens!$E$3348+Sens!$F$3348</f>
        <v>0</v>
      </c>
      <c r="H3348" s="39" t="n">
        <v>0</v>
      </c>
      <c r="I3348" s="39" t="n">
        <v>0</v>
      </c>
      <c r="J3348" s="39" t="n">
        <v>0</v>
      </c>
      <c r="K3348" s="39" t="n">
        <v>0</v>
      </c>
      <c r="L3348" s="39" t="n">
        <v>0</v>
      </c>
      <c r="M3348" s="39" t="n">
        <v>0</v>
      </c>
      <c r="N3348" s="38" t="n">
        <f aca="false">Q!$N$26</f>
        <v>0</v>
      </c>
      <c r="O3348" s="38" t="n">
        <f aca="false">Q!$O$26</f>
        <v>0</v>
      </c>
    </row>
    <row r="3349" customFormat="false" ht="15" hidden="false" customHeight="false" outlineLevel="0" collapsed="false">
      <c r="A3349" s="3" t="s">
        <v>534</v>
      </c>
      <c r="B3349" s="8" t="s">
        <v>86</v>
      </c>
      <c r="C3349" s="38" t="n">
        <f aca="false">Q!$D$25</f>
        <v>68.593</v>
      </c>
      <c r="D3349" s="38" t="n">
        <f aca="false">Q!$E$25</f>
        <v>79.975</v>
      </c>
      <c r="E3349" s="38" t="n">
        <f aca="false">Q!$P$25</f>
        <v>51.313</v>
      </c>
      <c r="F3349" s="38" t="n">
        <f aca="false">Sens!$F$3339+Sens!$F$3344+Sens!$F$3347+Sens!$F$3348</f>
        <v>56.6904916268541</v>
      </c>
      <c r="G3349" s="38" t="n">
        <f aca="false">Sens!$G$3339+Sens!$G$3344+Sens!$G$3347+Sens!$G$3348</f>
        <v>108.003491626854</v>
      </c>
      <c r="H3349" s="38" t="n">
        <f aca="false">Sens!$H$3339+Sens!$H$3344+Sens!$H$3347+Sens!$H$3348</f>
        <v>131.928865048331</v>
      </c>
      <c r="I3349" s="38" t="n">
        <f aca="false">Sens!$I$3339+Sens!$I$3344+Sens!$I$3347+Sens!$I$3348</f>
        <v>152.73338323304</v>
      </c>
      <c r="J3349" s="38" t="n">
        <f aca="false">Sens!$J$3339+Sens!$J$3344+Sens!$J$3347+Sens!$J$3348</f>
        <v>172.704329781517</v>
      </c>
      <c r="K3349" s="38" t="n">
        <f aca="false">Sens!$K$3339+Sens!$K$3344+Sens!$K$3347+Sens!$K$3348</f>
        <v>186.695222513621</v>
      </c>
      <c r="L3349" s="38" t="n">
        <f aca="false">Sens!$L$3339+Sens!$L$3344+Sens!$L$3347+Sens!$L$3348</f>
        <v>200.334825773391</v>
      </c>
      <c r="M3349" s="38" t="n">
        <f aca="false">Sens!$M$3339+Sens!$M$3344+Sens!$M$3347+Sens!$M$3348</f>
        <v>213.70644869094</v>
      </c>
      <c r="N3349" s="38" t="n">
        <f aca="false">Q!$N$25</f>
        <v>37.576</v>
      </c>
      <c r="O3349" s="38" t="n">
        <f aca="false">Q!$O$25</f>
        <v>42.399</v>
      </c>
    </row>
    <row r="3350" customFormat="false" ht="17.15" hidden="false" customHeight="false" outlineLevel="0" collapsed="false">
      <c r="A3350" s="24" t="s">
        <v>764</v>
      </c>
      <c r="B3350" s="25" t="s">
        <v>86</v>
      </c>
      <c r="C3350" s="41" t="n">
        <f aca="false">Sens!$C$3339+Sens!$C$3344+Sens!$C$3347+Sens!$C$3348-Sens!$C$3349</f>
        <v>0</v>
      </c>
      <c r="D3350" s="41" t="n">
        <f aca="false">Sens!$D$3339+Sens!$D$3344+Sens!$D$3347+Sens!$D$3348-Sens!$D$3349</f>
        <v>0</v>
      </c>
      <c r="E3350" s="41" t="n">
        <f aca="false">Sens!$E$3339+Sens!$E$3344+Sens!$E$3347+Sens!$E$3348-Sens!$E$3349</f>
        <v>0</v>
      </c>
      <c r="F3350" s="41" t="n">
        <f aca="false">Sens!$F$3339+Sens!$F$3344+Sens!$F$3347+Sens!$F$3348-Sens!$F$3349</f>
        <v>0</v>
      </c>
      <c r="G3350" s="41" t="n">
        <f aca="false">Sens!$G$3339+Sens!$G$3344+Sens!$G$3347+Sens!$G$3348-Sens!$G$3349</f>
        <v>0</v>
      </c>
      <c r="H3350" s="41" t="n">
        <f aca="false">Sens!$H$3339+Sens!$H$3344+Sens!$H$3347+Sens!$H$3348-Sens!$H$3349</f>
        <v>0</v>
      </c>
      <c r="I3350" s="41" t="n">
        <f aca="false">Sens!$I$3339+Sens!$I$3344+Sens!$I$3347+Sens!$I$3348-Sens!$I$3349</f>
        <v>0</v>
      </c>
      <c r="J3350" s="41" t="n">
        <f aca="false">Sens!$J$3339+Sens!$J$3344+Sens!$J$3347+Sens!$J$3348-Sens!$J$3349</f>
        <v>0</v>
      </c>
      <c r="K3350" s="41" t="n">
        <f aca="false">Sens!$K$3339+Sens!$K$3344+Sens!$K$3347+Sens!$K$3348-Sens!$K$3349</f>
        <v>0</v>
      </c>
      <c r="L3350" s="41" t="n">
        <f aca="false">Sens!$L$3339+Sens!$L$3344+Sens!$L$3347+Sens!$L$3348-Sens!$L$3349</f>
        <v>0</v>
      </c>
      <c r="M3350" s="41" t="n">
        <f aca="false">Sens!$M$3339+Sens!$M$3344+Sens!$M$3347+Sens!$M$3348-Sens!$M$3349</f>
        <v>0</v>
      </c>
      <c r="N3350" s="41" t="n">
        <f aca="false">Sens!$N$3339+Sens!$N$3344+Sens!$N$3347+Sens!$N$3348-Sens!$N$3349</f>
        <v>0</v>
      </c>
      <c r="O3350" s="41" t="n">
        <f aca="false">Sens!$O$3339+Sens!$O$3344+Sens!$O$3347+Sens!$O$3348-Sens!$O$3349</f>
        <v>0</v>
      </c>
    </row>
    <row r="3351" customFormat="false" ht="17.15" hidden="false" customHeight="false" outlineLevel="0" collapsed="false">
      <c r="A3351" s="5" t="s">
        <v>735</v>
      </c>
      <c r="B3351" s="0" t="s">
        <v>86</v>
      </c>
      <c r="C3351" s="38" t="n">
        <f aca="false">Sens!$C$3287</f>
        <v>0</v>
      </c>
      <c r="D3351" s="38" t="n">
        <f aca="false">Sens!$D$3287</f>
        <v>0</v>
      </c>
      <c r="E3351" s="38" t="n">
        <f aca="false">Sens!$E$3287</f>
        <v>0</v>
      </c>
      <c r="F3351" s="38" t="n">
        <f aca="false">Sens!$F$3287</f>
        <v>3.77122048175818</v>
      </c>
      <c r="G3351" s="38" t="n">
        <f aca="false">Sens!$G$3287</f>
        <v>3.77122048175818</v>
      </c>
      <c r="H3351" s="38" t="n">
        <f aca="false">Sens!$H$3287</f>
        <v>15.1635543609893</v>
      </c>
      <c r="I3351" s="38" t="n">
        <f aca="false">Sens!$I$3287</f>
        <v>25.5818843619889</v>
      </c>
      <c r="J3351" s="38" t="n">
        <f aca="false">Sens!$J$3287</f>
        <v>36.0465624179122</v>
      </c>
      <c r="K3351" s="38" t="n">
        <f aca="false">Sens!$K$3287</f>
        <v>44.9741164026038</v>
      </c>
      <c r="L3351" s="38" t="n">
        <f aca="false">Sens!$L$3287</f>
        <v>50.8413488057813</v>
      </c>
      <c r="M3351" s="38" t="n">
        <f aca="false">Sens!$M$3287</f>
        <v>53.6407214274315</v>
      </c>
      <c r="N3351" s="38" t="n">
        <f aca="false">Sens!$N$3287</f>
        <v>0</v>
      </c>
      <c r="O3351" s="38" t="n">
        <f aca="false">Sens!$O$3287</f>
        <v>0</v>
      </c>
      <c r="P3351" s="5" t="s">
        <v>736</v>
      </c>
    </row>
    <row r="3352" customFormat="false" ht="17.15" hidden="false" customHeight="false" outlineLevel="0" collapsed="false">
      <c r="A3352" s="5" t="s">
        <v>737</v>
      </c>
      <c r="B3352" s="0" t="s">
        <v>86</v>
      </c>
      <c r="C3352" s="38" t="n">
        <f aca="false">Sens!$C$3349+Sens!$C$3351</f>
        <v>68.593</v>
      </c>
      <c r="D3352" s="38" t="n">
        <f aca="false">Sens!$D$3349+Sens!$D$3351</f>
        <v>79.975</v>
      </c>
      <c r="E3352" s="38" t="n">
        <f aca="false">Sens!$E$3349+Sens!$E$3351</f>
        <v>51.313</v>
      </c>
      <c r="F3352" s="38" t="n">
        <f aca="false">Sens!$F$3349+Sens!$F$3351</f>
        <v>60.4617121086123</v>
      </c>
      <c r="G3352" s="38" t="n">
        <f aca="false">Sens!$G$3349+Sens!$G$3351</f>
        <v>111.774712108612</v>
      </c>
      <c r="H3352" s="38" t="n">
        <f aca="false">Sens!$H$3349+Sens!$H$3351</f>
        <v>147.09241940932</v>
      </c>
      <c r="I3352" s="38" t="n">
        <f aca="false">Sens!$I$3349+Sens!$I$3351</f>
        <v>178.315267595028</v>
      </c>
      <c r="J3352" s="38" t="n">
        <f aca="false">Sens!$J$3349+Sens!$J$3351</f>
        <v>208.750892199429</v>
      </c>
      <c r="K3352" s="38" t="n">
        <f aca="false">Sens!$K$3349+Sens!$K$3351</f>
        <v>231.669338916225</v>
      </c>
      <c r="L3352" s="38" t="n">
        <f aca="false">Sens!$L$3349+Sens!$L$3351</f>
        <v>251.176174579172</v>
      </c>
      <c r="M3352" s="38" t="n">
        <f aca="false">Sens!$M$3349+Sens!$M$3351</f>
        <v>267.347170118371</v>
      </c>
      <c r="N3352" s="38" t="n">
        <f aca="false">Sens!$N$3349+Sens!$N$3351</f>
        <v>37.576</v>
      </c>
      <c r="O3352" s="38" t="n">
        <f aca="false">Sens!$O$3349+Sens!$O$3351</f>
        <v>42.399</v>
      </c>
    </row>
    <row r="3353" customFormat="false" ht="17.15" hidden="false" customHeight="false" outlineLevel="0" collapsed="false">
      <c r="A3353" s="0" t="s">
        <v>738</v>
      </c>
      <c r="B3353" s="0" t="s">
        <v>52</v>
      </c>
      <c r="C3353" s="13" t="n">
        <f aca="false">Sens!$C$3339/Sens!$C$3324</f>
        <v>0.0644314665661928</v>
      </c>
      <c r="D3353" s="13" t="n">
        <f aca="false">Sens!$D$3339/Sens!$D$3324</f>
        <v>0.0694784250712518</v>
      </c>
      <c r="E3353" s="13" t="n">
        <f aca="false">Sens!$E$3339/Sens!$E$3324</f>
        <v>0.0789306463326071</v>
      </c>
      <c r="F3353" s="13" t="n">
        <f aca="false">Sens!$F$3339/Sens!$F$3324</f>
        <v>0.0801757457241943</v>
      </c>
      <c r="G3353" s="13" t="n">
        <f aca="false">Sens!$G$3339/Sens!$G$3324</f>
        <v>0.0795932749625682</v>
      </c>
      <c r="H3353" s="13" t="n">
        <f aca="false">Sens!$H$3339/Sens!$H$3324</f>
        <v>0.0801494276915951</v>
      </c>
      <c r="I3353" s="13" t="n">
        <f aca="false">Sens!$I$3339/Sens!$I$3324</f>
        <v>0.0784619467108939</v>
      </c>
      <c r="J3353" s="13" t="n">
        <f aca="false">Sens!$J$3339/Sens!$J$3324</f>
        <v>0.0767950945569155</v>
      </c>
      <c r="K3353" s="13" t="n">
        <f aca="false">Sens!$K$3339/Sens!$K$3324</f>
        <v>0.0749782708028101</v>
      </c>
      <c r="L3353" s="13" t="n">
        <f aca="false">Sens!$L$3339/Sens!$L$3324</f>
        <v>0.0740581549602486</v>
      </c>
      <c r="M3353" s="13" t="n">
        <f aca="false">Sens!$M$3339/Sens!$M$3324</f>
        <v>0.075724068445432</v>
      </c>
      <c r="N3353" s="13" t="n">
        <f aca="false">Sens!$N$3339/Sens!$N$3324</f>
        <v>0.069228576611127</v>
      </c>
      <c r="O3353" s="13" t="n">
        <f aca="false">Sens!$O$3339/Sens!$O$3324</f>
        <v>0.069685022498393</v>
      </c>
    </row>
    <row r="3354" customFormat="false" ht="17.15" hidden="false" customHeight="false" outlineLevel="0" collapsed="false">
      <c r="A3354" s="0" t="s">
        <v>739</v>
      </c>
      <c r="B3354" s="0" t="s">
        <v>52</v>
      </c>
      <c r="C3354" s="13" t="n">
        <f aca="false">Sens!$C$3344/Sens!$C$3325</f>
        <v>0.026534925055631</v>
      </c>
      <c r="D3354" s="13" t="n">
        <f aca="false">Sens!$D$3344/Sens!$D$3325</f>
        <v>0.0293401855535103</v>
      </c>
      <c r="E3354" s="13" t="n">
        <f aca="false">Sens!$E$3344/Sens!$E$3325</f>
        <v>0.03831141902276</v>
      </c>
      <c r="F3354" s="13" t="n">
        <f aca="false">Sens!$F$3344/Sens!$F$3325</f>
        <v>0.0281350107328284</v>
      </c>
      <c r="G3354" s="13" t="n">
        <f aca="false">Sens!$G$3344/Sens!$G$3325</f>
        <v>0.0327600029432073</v>
      </c>
      <c r="H3354" s="13" t="n">
        <f aca="false">Sens!$H$3344/Sens!$H$3325</f>
        <v>0.031310920057557</v>
      </c>
      <c r="I3354" s="13" t="n">
        <f aca="false">Sens!$I$3344/Sens!$I$3325</f>
        <v>0.0275950243319601</v>
      </c>
      <c r="J3354" s="13" t="n">
        <f aca="false">Sens!$J$3344/Sens!$J$3325</f>
        <v>0.0238367762099147</v>
      </c>
      <c r="K3354" s="13" t="n">
        <f aca="false">Sens!$K$3344/Sens!$K$3325</f>
        <v>0.0198239122855479</v>
      </c>
      <c r="L3354" s="13" t="n">
        <f aca="false">Sens!$L$3344/Sens!$L$3325</f>
        <v>0.0192499447238486</v>
      </c>
      <c r="M3354" s="13" t="n">
        <f aca="false">Sens!$M$3344/Sens!$M$3325</f>
        <v>0.0212700135680342</v>
      </c>
      <c r="N3354" s="13" t="n">
        <f aca="false">Sens!$N$3344/Sens!$N$3325</f>
        <v>0.0357315650169337</v>
      </c>
      <c r="O3354" s="13" t="n">
        <f aca="false">Sens!$O$3344/Sens!$O$3325</f>
        <v>0.0244378956559703</v>
      </c>
    </row>
    <row r="3355" customFormat="false" ht="17.15" hidden="false" customHeight="false" outlineLevel="0" collapsed="false">
      <c r="A3355" s="14" t="s">
        <v>740</v>
      </c>
      <c r="B3355" s="14" t="s">
        <v>52</v>
      </c>
      <c r="C3355" s="17" t="n">
        <f aca="false">Sens!$C$3347/Sens!$C$3326</f>
        <v>0.370355907620217</v>
      </c>
      <c r="D3355" s="17" t="n">
        <f aca="false">Sens!$D$3347/Sens!$D$3326</f>
        <v>0.35429015342785</v>
      </c>
      <c r="E3355" s="17" t="n">
        <f aca="false">Sens!$E$3347/Sens!$E$3326</f>
        <v>0.385647527531039</v>
      </c>
      <c r="F3355" s="17" t="n">
        <f aca="false">Sens!$F$3347/Sens!$F$3326</f>
        <v>0.390008895496028</v>
      </c>
      <c r="G3355" s="17" t="n">
        <f aca="false">Sens!$G$3347/Sens!$G$3326</f>
        <v>0.387918733944362</v>
      </c>
      <c r="H3355" s="17" t="n">
        <f aca="false">Sens!$H$3347/Sens!$H$3326</f>
        <v>0.377433570684914</v>
      </c>
      <c r="I3355" s="17" t="n">
        <f aca="false">Sens!$I$3347/Sens!$I$3326</f>
        <v>0.359189131069891</v>
      </c>
      <c r="J3355" s="17" t="n">
        <f aca="false">Sens!$J$3347/Sens!$J$3326</f>
        <v>0.345448763601487</v>
      </c>
      <c r="K3355" s="17" t="n">
        <f aca="false">Sens!$K$3347/Sens!$K$3326</f>
        <v>0.327619899922599</v>
      </c>
      <c r="L3355" s="17" t="n">
        <f aca="false">Sens!$L$3347/Sens!$L$3326</f>
        <v>0.316880440424655</v>
      </c>
      <c r="M3355" s="17" t="n">
        <f aca="false">Sens!$M$3347/Sens!$M$3326</f>
        <v>0.30787159386195</v>
      </c>
      <c r="N3355" s="17" t="n">
        <f aca="false">Sens!$N$3347/Sens!$N$3326</f>
        <v>0.360941137346192</v>
      </c>
      <c r="O3355" s="17" t="n">
        <f aca="false">Sens!$O$3347/Sens!$O$3326</f>
        <v>0.348458117664212</v>
      </c>
    </row>
    <row r="3356" customFormat="false" ht="17.15" hidden="false" customHeight="false" outlineLevel="0" collapsed="false">
      <c r="A3356" s="0" t="s">
        <v>741</v>
      </c>
      <c r="B3356" s="0" t="s">
        <v>52</v>
      </c>
      <c r="C3356" s="13" t="n">
        <f aca="false">Sens!$C$3345/Sens!$C$3327</f>
        <v>0.708390794789371</v>
      </c>
      <c r="D3356" s="13" t="n">
        <f aca="false">Sens!$D$3345/Sens!$D$3327</f>
        <v>0.619415573115729</v>
      </c>
      <c r="E3356" s="13" t="n">
        <f aca="false">Sens!$E$3345/Sens!$E$3327</f>
        <v>0.374072166056273</v>
      </c>
      <c r="F3356" s="13" t="n">
        <f aca="false">Sens!$F$3345/Sens!$F$3327</f>
        <v>0.553219320710057</v>
      </c>
      <c r="G3356" s="13" t="n">
        <f aca="false">Sens!$G$3345/Sens!$G$3327</f>
        <v>0.488270041527512</v>
      </c>
      <c r="H3356" s="13" t="n">
        <f aca="false">Sens!$H$3345/Sens!$H$3327</f>
        <v>0.435229086816882</v>
      </c>
      <c r="I3356" s="13" t="n">
        <f aca="false">Sens!$I$3345/Sens!$I$3327</f>
        <v>0.364954592421095</v>
      </c>
      <c r="J3356" s="13" t="n">
        <f aca="false">Sens!$J$3345/Sens!$J$3327</f>
        <v>0.330438308582232</v>
      </c>
      <c r="K3356" s="13" t="n">
        <f aca="false">Sens!$K$3345/Sens!$K$3327</f>
        <v>0.2916589289528</v>
      </c>
      <c r="L3356" s="13" t="n">
        <f aca="false">Sens!$L$3345/Sens!$L$3327</f>
        <v>0.268199200593258</v>
      </c>
      <c r="M3356" s="13" t="n">
        <f aca="false">Sens!$M$3345/Sens!$M$3327</f>
        <v>0.244854995033574</v>
      </c>
      <c r="N3356" s="13" t="n">
        <f aca="false">Sens!$N$3345/Sens!$N$3327</f>
        <v>0.551227795793364</v>
      </c>
      <c r="O3356" s="13" t="n">
        <f aca="false">Sens!$O$3345/Sens!$O$3327</f>
        <v>0.656132068597002</v>
      </c>
    </row>
    <row r="3357" customFormat="false" ht="15" hidden="false" customHeight="false" outlineLevel="0" collapsed="false">
      <c r="A3357" s="5" t="s">
        <v>742</v>
      </c>
      <c r="B3357" s="0" t="s">
        <v>52</v>
      </c>
      <c r="C3357" s="13" t="n">
        <f aca="false">Sens!$C$3349/Sens!$C$3329</f>
        <v>0.107519448742004</v>
      </c>
      <c r="D3357" s="13" t="n">
        <f aca="false">Sens!$D$3349/Sens!$D$3329</f>
        <v>0.111552967957552</v>
      </c>
      <c r="E3357" s="13" t="n">
        <f aca="false">Sens!$E$3349/Sens!$E$3329</f>
        <v>0.13428328426562</v>
      </c>
      <c r="F3357" s="13" t="n">
        <f aca="false">Sens!$F$3349/Sens!$F$3329</f>
        <v>0.130089413875539</v>
      </c>
      <c r="G3357" s="13" t="n">
        <f aca="false">Sens!$G$3349/Sens!$G$3329</f>
        <v>0.132048786678316</v>
      </c>
      <c r="H3357" s="13" t="n">
        <f aca="false">Sens!$H$3349/Sens!$H$3329</f>
        <v>0.1398510135299</v>
      </c>
      <c r="I3357" s="13" t="n">
        <f aca="false">Sens!$I$3349/Sens!$I$3329</f>
        <v>0.142418628860453</v>
      </c>
      <c r="J3357" s="13" t="n">
        <f aca="false">Sens!$J$3349/Sens!$J$3329</f>
        <v>0.144162882840056</v>
      </c>
      <c r="K3357" s="13" t="n">
        <f aca="false">Sens!$K$3349/Sens!$K$3329</f>
        <v>0.142418195321461</v>
      </c>
      <c r="L3357" s="13" t="n">
        <f aca="false">Sens!$L$3349/Sens!$L$3329</f>
        <v>0.141281764498481</v>
      </c>
      <c r="M3357" s="13" t="n">
        <f aca="false">Sens!$M$3349/Sens!$M$3329</f>
        <v>0.140617582257476</v>
      </c>
      <c r="N3357" s="13" t="n">
        <f aca="false">Sens!$N$3349/Sens!$N$3329</f>
        <v>0.116201614873411</v>
      </c>
      <c r="O3357" s="13" t="n">
        <f aca="false">Sens!$O$3349/Sens!$O$3329</f>
        <v>0.107733353660861</v>
      </c>
    </row>
    <row r="3358" customFormat="false" ht="17.15" hidden="false" customHeight="false" outlineLevel="0" collapsed="false">
      <c r="A3358" s="1" t="s">
        <v>743</v>
      </c>
    </row>
    <row r="3359" customFormat="false" ht="17.15" hidden="false" customHeight="false" outlineLevel="0" collapsed="false">
      <c r="A3359" s="5" t="s">
        <v>744</v>
      </c>
      <c r="B3359" s="0" t="s">
        <v>52</v>
      </c>
      <c r="D3359" s="28" t="n">
        <f aca="false">(Q!$E$29+Q!$E$30-(1-ext_sh)*Sens!$D$3281)/Sens!$D$3235</f>
        <v>0.0341105596409988</v>
      </c>
    </row>
    <row r="3360" customFormat="false" ht="17.15" hidden="false" customHeight="false" outlineLevel="0" collapsed="false">
      <c r="A3360" s="0" t="s">
        <v>538</v>
      </c>
      <c r="B3360" s="0" t="s">
        <v>86</v>
      </c>
      <c r="C3360" s="38" t="n">
        <f aca="false">Q!$D$29</f>
        <v>14.285</v>
      </c>
      <c r="D3360" s="38" t="n">
        <f aca="false">Q!$E$29</f>
        <v>15.503</v>
      </c>
      <c r="E3360" s="38" t="n">
        <f aca="false">Q!$P$29</f>
        <v>8.78</v>
      </c>
      <c r="F3360" s="38" t="n">
        <f aca="false">(Sens!$D$3359*Sens!$F$3235+(1-ext_sh)*Sens!$F$3281)*Sens!$F$3236</f>
        <v>9.16735846116642</v>
      </c>
      <c r="G3360" s="38" t="n">
        <f aca="false">Sens!$E$3360+Sens!$F$3360</f>
        <v>17.9473584611664</v>
      </c>
      <c r="H3360" s="38" t="n">
        <f aca="false">(Sens!$D$3359*Sens!$H$3235+(1-ext_sh)*Sens!$H$3281)*Sens!$H$3236</f>
        <v>21.6406723110177</v>
      </c>
      <c r="I3360" s="38" t="n">
        <f aca="false">(Sens!$D$3359*Sens!$I$3235+(1-ext_sh)*Sens!$I$3281)*Sens!$I$3236</f>
        <v>27.3128215555087</v>
      </c>
      <c r="J3360" s="38" t="n">
        <f aca="false">(Sens!$D$3359*Sens!$J$3235+(1-ext_sh)*Sens!$J$3281)*Sens!$J$3236</f>
        <v>33.0116861885756</v>
      </c>
      <c r="K3360" s="38" t="n">
        <f aca="false">(Sens!$D$3359*Sens!$K$3235+(1-ext_sh)*Sens!$K$3281)*Sens!$K$3236</f>
        <v>38.6250238720245</v>
      </c>
      <c r="L3360" s="38" t="n">
        <f aca="false">(Sens!$D$3359*Sens!$L$3235+(1-ext_sh)*Sens!$L$3281)*Sens!$L$3236</f>
        <v>43.0711535197861</v>
      </c>
      <c r="M3360" s="38" t="n">
        <f aca="false">(Sens!$D$3359*Sens!$M$3235+(1-ext_sh)*Sens!$M$3281)*Sens!$M$3236</f>
        <v>46.590728630326</v>
      </c>
      <c r="N3360" s="38" t="n">
        <f aca="false">Q!$N$29</f>
        <v>7.272</v>
      </c>
      <c r="O3360" s="38" t="n">
        <f aca="false">Q!$O$29</f>
        <v>8.231</v>
      </c>
    </row>
    <row r="3361" customFormat="false" ht="17.15" hidden="false" customHeight="false" outlineLevel="0" collapsed="false">
      <c r="A3361" s="0" t="s">
        <v>540</v>
      </c>
      <c r="B3361" s="0" t="s">
        <v>86</v>
      </c>
      <c r="C3361" s="38" t="n">
        <f aca="false">Q!$D$30</f>
        <v>4.462</v>
      </c>
      <c r="D3361" s="38" t="n">
        <f aca="false">Q!$E$30</f>
        <v>4.907</v>
      </c>
      <c r="E3361" s="38" t="n">
        <f aca="false">Q!$P$30</f>
        <v>2.57</v>
      </c>
      <c r="F3361" s="38" t="n">
        <f aca="false">(Sens!$D$3359*Sens!$F$3235+(1-ext_sh)*Sens!$F$3281)*(1-Sens!$F$3236)</f>
        <v>3.59937168293151</v>
      </c>
      <c r="G3361" s="38" t="n">
        <f aca="false">Sens!$E$3361+Sens!$F$3361</f>
        <v>6.16937168293151</v>
      </c>
      <c r="H3361" s="38" t="n">
        <f aca="false">(Sens!$D$3359*Sens!$H$3235+(1-ext_sh)*Sens!$H$3281)*(1-Sens!$H$3236)</f>
        <v>8.28915290031442</v>
      </c>
      <c r="I3361" s="38" t="n">
        <f aca="false">(Sens!$D$3359*Sens!$I$3235+(1-ext_sh)*Sens!$I$3281)*(1-Sens!$I$3236)</f>
        <v>10.4617892992793</v>
      </c>
      <c r="J3361" s="38" t="n">
        <f aca="false">(Sens!$D$3359*Sens!$J$3235+(1-ext_sh)*Sens!$J$3281)*(1-Sens!$J$3236)</f>
        <v>12.6446586493057</v>
      </c>
      <c r="K3361" s="38" t="n">
        <f aca="false">(Sens!$D$3359*Sens!$K$3235+(1-ext_sh)*Sens!$K$3281)*(1-Sens!$K$3236)</f>
        <v>14.7947681131192</v>
      </c>
      <c r="L3361" s="38" t="n">
        <f aca="false">(Sens!$D$3359*Sens!$L$3235+(1-ext_sh)*Sens!$L$3281)*(1-Sens!$L$3236)</f>
        <v>16.4977950771268</v>
      </c>
      <c r="M3361" s="38" t="n">
        <f aca="false">(Sens!$D$3359*Sens!$M$3235+(1-ext_sh)*Sens!$M$3281)*(1-Sens!$M$3236)</f>
        <v>17.8459184540772</v>
      </c>
      <c r="N3361" s="38" t="n">
        <f aca="false">Q!$N$30</f>
        <v>2.316</v>
      </c>
      <c r="O3361" s="38" t="n">
        <f aca="false">Q!$O$30</f>
        <v>2.591</v>
      </c>
    </row>
    <row r="3362" customFormat="false" ht="17.15" hidden="false" customHeight="false" outlineLevel="0" collapsed="false">
      <c r="A3362" s="0" t="s">
        <v>541</v>
      </c>
      <c r="B3362" s="0" t="s">
        <v>86</v>
      </c>
      <c r="C3362" s="38" t="n">
        <f aca="false">Sens!$C$3293</f>
        <v>13.32</v>
      </c>
      <c r="D3362" s="38" t="n">
        <f aca="false">Sens!$D$3293</f>
        <v>21.45</v>
      </c>
      <c r="E3362" s="38" t="n">
        <f aca="false">Sens!$E$3293</f>
        <v>15.353</v>
      </c>
      <c r="F3362" s="38" t="n">
        <f aca="false">Sens!$F$3293</f>
        <v>15.4404120185306</v>
      </c>
      <c r="G3362" s="38" t="n">
        <f aca="false">Sens!$G$3293</f>
        <v>30.7934120185306</v>
      </c>
      <c r="H3362" s="38" t="n">
        <f aca="false">Sens!$H$3293</f>
        <v>48.4295130043413</v>
      </c>
      <c r="I3362" s="38" t="n">
        <f aca="false">Sens!$I$3293</f>
        <v>74.0021669340078</v>
      </c>
      <c r="J3362" s="38" t="n">
        <f aca="false">Sens!$J$3293</f>
        <v>100.577407193502</v>
      </c>
      <c r="K3362" s="38" t="n">
        <f aca="false">Sens!$K$3293</f>
        <v>127.866295847559</v>
      </c>
      <c r="L3362" s="38" t="n">
        <f aca="false">Sens!$L$3293</f>
        <v>148.585268459629</v>
      </c>
      <c r="M3362" s="38" t="n">
        <f aca="false">Sens!$M$3293</f>
        <v>164.071507318279</v>
      </c>
      <c r="N3362" s="38" t="n">
        <f aca="false">Sens!$N$3293</f>
        <v>9.234</v>
      </c>
      <c r="O3362" s="38" t="n">
        <f aca="false">Sens!$O$3293</f>
        <v>12.216</v>
      </c>
    </row>
    <row r="3363" customFormat="false" ht="17.15" hidden="false" customHeight="false" outlineLevel="0" collapsed="false">
      <c r="A3363" s="5" t="s">
        <v>745</v>
      </c>
      <c r="B3363" s="0" t="s">
        <v>86</v>
      </c>
      <c r="C3363" s="38" t="n">
        <f aca="false">Sens!$C$3360+Sens!$C$3361+Sens!$C$3362</f>
        <v>32.067</v>
      </c>
      <c r="D3363" s="38" t="n">
        <f aca="false">Sens!$D$3360+Sens!$D$3361+Sens!$D$3362</f>
        <v>41.86</v>
      </c>
      <c r="E3363" s="38" t="n">
        <f aca="false">Sens!$E$3360+Sens!$E$3361+Sens!$E$3362</f>
        <v>26.703</v>
      </c>
      <c r="F3363" s="38" t="n">
        <f aca="false">Sens!$F$3360+Sens!$F$3361+Sens!$F$3362</f>
        <v>28.2071421626285</v>
      </c>
      <c r="G3363" s="38" t="n">
        <f aca="false">Sens!$G$3360+Sens!$G$3361+Sens!$G$3362</f>
        <v>54.9101421626285</v>
      </c>
      <c r="H3363" s="38" t="n">
        <f aca="false">Sens!$H$3360+Sens!$H$3361+Sens!$H$3362</f>
        <v>78.3593382156735</v>
      </c>
      <c r="I3363" s="38" t="n">
        <f aca="false">Sens!$I$3360+Sens!$I$3361+Sens!$I$3362</f>
        <v>111.776777788796</v>
      </c>
      <c r="J3363" s="38" t="n">
        <f aca="false">Sens!$J$3360+Sens!$J$3361+Sens!$J$3362</f>
        <v>146.233752031383</v>
      </c>
      <c r="K3363" s="38" t="n">
        <f aca="false">Sens!$K$3360+Sens!$K$3361+Sens!$K$3362</f>
        <v>181.286087832703</v>
      </c>
      <c r="L3363" s="38" t="n">
        <f aca="false">Sens!$L$3360+Sens!$L$3361+Sens!$L$3362</f>
        <v>208.154217056542</v>
      </c>
      <c r="M3363" s="38" t="n">
        <f aca="false">Sens!$M$3360+Sens!$M$3361+Sens!$M$3362</f>
        <v>228.508154402682</v>
      </c>
      <c r="N3363" s="38" t="n">
        <f aca="false">Sens!$N$3360+Sens!$N$3361+Sens!$N$3362</f>
        <v>18.822</v>
      </c>
      <c r="O3363" s="38" t="n">
        <f aca="false">Sens!$O$3360+Sens!$O$3361+Sens!$O$3362</f>
        <v>23.038</v>
      </c>
    </row>
    <row r="3364" customFormat="false" ht="17.15" hidden="false" customHeight="false" outlineLevel="0" collapsed="false">
      <c r="A3364" s="0" t="s">
        <v>746</v>
      </c>
      <c r="B3364" s="0" t="s">
        <v>86</v>
      </c>
      <c r="C3364" s="38" t="n">
        <f aca="false">Sens!$C$3335+Sens!$C$3340</f>
        <v>28.107</v>
      </c>
      <c r="D3364" s="38" t="n">
        <f aca="false">Sens!$D$3335+Sens!$D$3340</f>
        <v>34.3175</v>
      </c>
      <c r="E3364" s="38" t="n">
        <f aca="false">Sens!$E$3335+Sens!$E$3340</f>
        <v>18.526</v>
      </c>
      <c r="F3364" s="38" t="n">
        <f aca="false">Sens!$F$3335+Sens!$F$3340</f>
        <v>23.0786109972074</v>
      </c>
      <c r="G3364" s="38" t="n">
        <f aca="false">Sens!$G$3335+Sens!$G$3340</f>
        <v>41.6046109972074</v>
      </c>
      <c r="H3364" s="38" t="n">
        <f aca="false">Sens!$H$3335+Sens!$H$3340</f>
        <v>49.9484611939488</v>
      </c>
      <c r="I3364" s="38" t="n">
        <f aca="false">Sens!$I$3335+Sens!$I$3340</f>
        <v>58.2915555477481</v>
      </c>
      <c r="J3364" s="38" t="n">
        <f aca="false">Sens!$J$3335+Sens!$J$3340</f>
        <v>66.0744709709759</v>
      </c>
      <c r="K3364" s="38" t="n">
        <f aca="false">Sens!$K$3335+Sens!$K$3340</f>
        <v>72.6819180680735</v>
      </c>
      <c r="L3364" s="38" t="n">
        <f aca="false">Sens!$L$3335+Sens!$L$3340</f>
        <v>79.9501098748808</v>
      </c>
      <c r="M3364" s="38" t="n">
        <f aca="false">Sens!$M$3335+Sens!$M$3340</f>
        <v>87.9451208623689</v>
      </c>
      <c r="N3364" s="38" t="n">
        <f aca="false">Sens!$N$3335+Sens!$N$3340</f>
        <v>14.8075</v>
      </c>
      <c r="O3364" s="38" t="n">
        <f aca="false">Sens!$O$3335+Sens!$O$3340</f>
        <v>19.51</v>
      </c>
    </row>
    <row r="3365" customFormat="false" ht="17.15" hidden="false" customHeight="false" outlineLevel="0" collapsed="false">
      <c r="A3365" s="0" t="s">
        <v>747</v>
      </c>
      <c r="B3365" s="0" t="s">
        <v>86</v>
      </c>
      <c r="C3365" s="38" t="n">
        <f aca="false">Sens!$C$3339+Sens!$C$3344+Sens!$C$3360+Sens!$C$3361-Sens!$C$3364</f>
        <v>19.399</v>
      </c>
      <c r="D3365" s="38" t="n">
        <f aca="false">Sens!$D$3339+Sens!$D$3344+Sens!$D$3360+Sens!$D$3361-Sens!$D$3364</f>
        <v>20.4615</v>
      </c>
      <c r="E3365" s="38" t="n">
        <f aca="false">Sens!$E$3339+Sens!$E$3344+Sens!$E$3360+Sens!$E$3361-Sens!$E$3364</f>
        <v>13.355</v>
      </c>
      <c r="F3365" s="38" t="n">
        <f aca="false">Sens!$F$3339+Sens!$F$3344+Sens!$F$3360+Sens!$F$3361-Sens!$F$3364</f>
        <v>12.5520732018618</v>
      </c>
      <c r="G3365" s="38" t="n">
        <f aca="false">Sens!$G$3339+Sens!$G$3344+Sens!$G$3360+Sens!$G$3361-Sens!$G$3364</f>
        <v>25.9070732018618</v>
      </c>
      <c r="H3365" s="38" t="n">
        <f aca="false">Sens!$H$3339+Sens!$H$3344+Sens!$H$3360+Sens!$H$3361-Sens!$H$3364</f>
        <v>28.0233335906818</v>
      </c>
      <c r="I3365" s="38" t="n">
        <f aca="false">Sens!$I$3339+Sens!$I$3344+Sens!$I$3360+Sens!$I$3361-Sens!$I$3364</f>
        <v>30.2440066606864</v>
      </c>
      <c r="J3365" s="38" t="n">
        <f aca="false">Sens!$J$3339+Sens!$J$3344+Sens!$J$3360+Sens!$J$3361-Sens!$J$3364</f>
        <v>32.4596500296286</v>
      </c>
      <c r="K3365" s="38" t="n">
        <f aca="false">Sens!$K$3339+Sens!$K$3344+Sens!$K$3360+Sens!$K$3361-Sens!$K$3364</f>
        <v>34.839425971154</v>
      </c>
      <c r="L3365" s="38" t="n">
        <f aca="false">Sens!$L$3339+Sens!$L$3344+Sens!$L$3360+Sens!$L$3361-Sens!$L$3364</f>
        <v>36.4424209524427</v>
      </c>
      <c r="M3365" s="38" t="n">
        <f aca="false">Sens!$M$3339+Sens!$M$3344+Sens!$M$3360+Sens!$M$3361-Sens!$M$3364</f>
        <v>38.8413540019876</v>
      </c>
      <c r="N3365" s="38" t="n">
        <f aca="false">Sens!$N$3339+Sens!$N$3344+Sens!$N$3360+Sens!$N$3361-Sens!$N$3364</f>
        <v>10.6495</v>
      </c>
      <c r="O3365" s="38" t="n">
        <f aca="false">Sens!$O$3339+Sens!$O$3344+Sens!$O$3360+Sens!$O$3361-Sens!$O$3364</f>
        <v>9.81200000000001</v>
      </c>
    </row>
    <row r="3366" customFormat="false" ht="17.15" hidden="false" customHeight="false" outlineLevel="0" collapsed="false">
      <c r="A3366" s="0" t="s">
        <v>748</v>
      </c>
      <c r="B3366" s="0" t="s">
        <v>86</v>
      </c>
      <c r="C3366" s="38" t="n">
        <f aca="false">Sens!$C$3346+Sens!$C$3362-ext_sh*Sens!$C$3281</f>
        <v>51.3470500115664</v>
      </c>
      <c r="D3366" s="38" t="n">
        <f aca="false">Sens!$D$3346+Sens!$D$3362-ext_sh*Sens!$D$3281</f>
        <v>60.2799375433739</v>
      </c>
      <c r="E3366" s="38" t="n">
        <f aca="false">Sens!$E$3346+Sens!$E$3362-ext_sh*Sens!$E$3281</f>
        <v>39.5095167090767</v>
      </c>
      <c r="F3366" s="38" t="n">
        <f aca="false">Sens!$F$3346+Sens!$F$3362-ext_sh*Sens!$F$3281</f>
        <v>37.5468918745429</v>
      </c>
      <c r="G3366" s="38" t="n">
        <f aca="false">Sens!$G$3346+Sens!$G$3362-ext_sh*Sens!$G$3281</f>
        <v>77.0564085836196</v>
      </c>
      <c r="H3366" s="38" t="n">
        <f aca="false">Sens!$H$3346+Sens!$H$3362-ext_sh*Sens!$H$3281</f>
        <v>84.7992357733288</v>
      </c>
      <c r="I3366" s="38" t="n">
        <f aca="false">Sens!$I$3346+Sens!$I$3362-ext_sh*Sens!$I$3281</f>
        <v>95.4206295490342</v>
      </c>
      <c r="J3366" s="38" t="n">
        <f aca="false">Sens!$J$3346+Sens!$J$3362-ext_sh*Sens!$J$3281</f>
        <v>106.644643977412</v>
      </c>
      <c r="K3366" s="38" t="n">
        <f aca="false">Sens!$K$3346+Sens!$K$3362-ext_sh*Sens!$K$3281</f>
        <v>118.375554814927</v>
      </c>
      <c r="L3366" s="38" t="n">
        <f aca="false">Sens!$L$3346+Sens!$L$3362-ext_sh*Sens!$L$3281</f>
        <v>131.396865844569</v>
      </c>
      <c r="M3366" s="38" t="n">
        <f aca="false">Sens!$M$3346+Sens!$M$3362-ext_sh*Sens!$M$3281</f>
        <v>145.850521087472</v>
      </c>
      <c r="N3366" s="38" t="n">
        <f aca="false">Sens!$N$3346+Sens!$N$3362-ext_sh*Sens!$N$3281</f>
        <v>28.5693781401809</v>
      </c>
      <c r="O3366" s="38" t="n">
        <f aca="false">Sens!$O$3346+Sens!$O$3362-ext_sh*Sens!$O$3281</f>
        <v>31.7105594031931</v>
      </c>
    </row>
    <row r="3367" customFormat="false" ht="17.15" hidden="false" customHeight="false" outlineLevel="0" collapsed="false">
      <c r="A3367" s="0" t="s">
        <v>749</v>
      </c>
      <c r="B3367" s="0" t="s">
        <v>86</v>
      </c>
      <c r="C3367" s="38" t="n">
        <f aca="false">Sens!$C$3284</f>
        <v>1.80694998843362</v>
      </c>
      <c r="D3367" s="38" t="n">
        <f aca="false">Sens!$D$3284</f>
        <v>6.77606245662607</v>
      </c>
      <c r="E3367" s="38" t="n">
        <f aca="false">Sens!$E$3284</f>
        <v>6.62548329092326</v>
      </c>
      <c r="F3367" s="38" t="n">
        <f aca="false">Sens!$F$3284</f>
        <v>11.7200577158706</v>
      </c>
      <c r="G3367" s="38" t="n">
        <f aca="false">Sens!$G$3284</f>
        <v>18.3455410067939</v>
      </c>
      <c r="H3367" s="38" t="n">
        <f aca="false">Sens!$H$3284</f>
        <v>47.5171727060453</v>
      </c>
      <c r="I3367" s="38" t="n">
        <f aca="false">Sens!$I$3284</f>
        <v>80.5539692643667</v>
      </c>
      <c r="J3367" s="38" t="n">
        <f aca="false">Sens!$J$3284</f>
        <v>113.759316834883</v>
      </c>
      <c r="K3367" s="38" t="n">
        <f aca="false">Sens!$K$3284</f>
        <v>142.084411492169</v>
      </c>
      <c r="L3367" s="38" t="n">
        <f aca="false">Sens!$L$3284</f>
        <v>160.69964615804</v>
      </c>
      <c r="M3367" s="38" t="n">
        <f aca="false">Sens!$M$3284</f>
        <v>169.577607141793</v>
      </c>
      <c r="N3367" s="38" t="n">
        <f aca="false">Sens!$N$3284</f>
        <v>2.37162185981912</v>
      </c>
      <c r="O3367" s="38" t="n">
        <f aca="false">Sens!$O$3284</f>
        <v>4.40444059680694</v>
      </c>
    </row>
    <row r="3368" customFormat="false" ht="17.15" hidden="false" customHeight="false" outlineLevel="0" collapsed="false">
      <c r="A3368" s="0" t="s">
        <v>750</v>
      </c>
      <c r="B3368" s="0" t="s">
        <v>86</v>
      </c>
      <c r="C3368" s="38" t="n">
        <f aca="false">Sens!$C$3349+Sens!$C$3363</f>
        <v>100.66</v>
      </c>
      <c r="D3368" s="38" t="n">
        <f aca="false">Sens!$D$3349+Sens!$D$3363</f>
        <v>121.835</v>
      </c>
      <c r="E3368" s="38" t="n">
        <f aca="false">Sens!$E$3349+Sens!$E$3363</f>
        <v>78.016</v>
      </c>
      <c r="F3368" s="38" t="n">
        <f aca="false">Sens!$F$3349+Sens!$F$3363</f>
        <v>84.8976337894826</v>
      </c>
      <c r="G3368" s="38" t="n">
        <f aca="false">Sens!$G$3349+Sens!$G$3363</f>
        <v>162.913633789483</v>
      </c>
      <c r="H3368" s="38" t="n">
        <f aca="false">Sens!$H$3349+Sens!$H$3363</f>
        <v>210.288203264005</v>
      </c>
      <c r="I3368" s="38" t="n">
        <f aca="false">Sens!$I$3349+Sens!$I$3363</f>
        <v>264.510161021835</v>
      </c>
      <c r="J3368" s="38" t="n">
        <f aca="false">Sens!$J$3349+Sens!$J$3363</f>
        <v>318.9380818129</v>
      </c>
      <c r="K3368" s="38" t="n">
        <f aca="false">Sens!$K$3349+Sens!$K$3363</f>
        <v>367.981310346324</v>
      </c>
      <c r="L3368" s="38" t="n">
        <f aca="false">Sens!$L$3349+Sens!$L$3363</f>
        <v>408.489042829933</v>
      </c>
      <c r="M3368" s="38" t="n">
        <f aca="false">Sens!$M$3349+Sens!$M$3363</f>
        <v>442.214603093622</v>
      </c>
      <c r="N3368" s="38" t="n">
        <f aca="false">Sens!$N$3349+Sens!$N$3363</f>
        <v>56.398</v>
      </c>
      <c r="O3368" s="38" t="n">
        <f aca="false">Sens!$O$3349+Sens!$O$3363</f>
        <v>65.437</v>
      </c>
    </row>
    <row r="3369" customFormat="false" ht="17.15" hidden="false" customHeight="false" outlineLevel="0" collapsed="false">
      <c r="A3369" s="1" t="s">
        <v>751</v>
      </c>
    </row>
    <row r="3370" customFormat="false" ht="15" hidden="false" customHeight="false" outlineLevel="0" collapsed="false">
      <c r="A3370" s="5" t="s">
        <v>544</v>
      </c>
      <c r="B3370" s="0" t="s">
        <v>86</v>
      </c>
      <c r="C3370" s="38" t="n">
        <f aca="false">Q!$D$34</f>
        <v>2.406</v>
      </c>
      <c r="D3370" s="38" t="n">
        <f aca="false">Q!$E$34</f>
        <v>2.274</v>
      </c>
      <c r="E3370" s="38" t="n">
        <f aca="false">Q!$P$34</f>
        <v>2.114</v>
      </c>
      <c r="F3370" s="38" t="n">
        <f aca="false">Sens!$F$3408</f>
        <v>3.24888962733561</v>
      </c>
      <c r="G3370" s="38" t="n">
        <f aca="false">Sens!$E$3370+Sens!$F$3370</f>
        <v>5.36288962733561</v>
      </c>
      <c r="H3370" s="38" t="n">
        <f aca="false">Sens!$H$3408</f>
        <v>7.42354172302123</v>
      </c>
      <c r="I3370" s="38" t="n">
        <f aca="false">Sens!$I$3408</f>
        <v>8.46942109327767</v>
      </c>
      <c r="J3370" s="38" t="n">
        <f aca="false">Sens!$J$3408</f>
        <v>9.54627412339588</v>
      </c>
      <c r="K3370" s="38" t="n">
        <f aca="false">Sens!$K$3408</f>
        <v>9.54627412339588</v>
      </c>
      <c r="L3370" s="38" t="n">
        <f aca="false">Sens!$L$3408</f>
        <v>9.54627412339588</v>
      </c>
      <c r="M3370" s="38" t="n">
        <f aca="false">Sens!$M$3408</f>
        <v>9.54627412339588</v>
      </c>
      <c r="N3370" s="38" t="n">
        <f aca="false">Q!$N$34</f>
        <v>1.057</v>
      </c>
      <c r="O3370" s="38" t="n">
        <f aca="false">Q!$O$34</f>
        <v>1.217</v>
      </c>
    </row>
    <row r="3371" customFormat="false" ht="15" hidden="false" customHeight="false" outlineLevel="0" collapsed="false">
      <c r="A3371" s="5" t="s">
        <v>752</v>
      </c>
      <c r="B3371" s="0" t="s">
        <v>86</v>
      </c>
      <c r="F3371" s="38" t="n">
        <f aca="false">Sens!$F$3409</f>
        <v>2.59</v>
      </c>
      <c r="H3371" s="38" t="n">
        <f aca="false">Sens!$H$3409</f>
        <v>3.76965165045626</v>
      </c>
      <c r="I3371" s="38" t="n">
        <f aca="false">Sens!$I$3409</f>
        <v>2.10589651022864</v>
      </c>
      <c r="J3371" s="38" t="n">
        <f aca="false">Sens!$J$3409</f>
        <v>2.10589651022864</v>
      </c>
      <c r="K3371" s="38" t="n">
        <f aca="false">Sens!$K$3409</f>
        <v>3.13635504334139</v>
      </c>
      <c r="L3371" s="38" t="n">
        <f aca="false">Sens!$L$3409</f>
        <v>8.31703356696752</v>
      </c>
      <c r="M3371" s="38" t="n">
        <f aca="false">Sens!$M$3409</f>
        <v>16.0726824889716</v>
      </c>
    </row>
    <row r="3372" customFormat="false" ht="17.15" hidden="false" customHeight="false" outlineLevel="0" collapsed="false">
      <c r="A3372" s="5" t="s">
        <v>753</v>
      </c>
      <c r="B3372" s="0" t="s">
        <v>86</v>
      </c>
      <c r="C3372" s="38" t="n">
        <f aca="false">Q!$D$39</f>
        <v>2.427</v>
      </c>
      <c r="D3372" s="38" t="n">
        <f aca="false">Q!$E$39</f>
        <v>19.61</v>
      </c>
      <c r="E3372" s="38" t="n">
        <f aca="false">Q!$P$39</f>
        <v>71.492</v>
      </c>
      <c r="F3372" s="39" t="n">
        <v>0</v>
      </c>
      <c r="G3372" s="38" t="n">
        <f aca="false">Sens!$E$3372+Sens!$F$3372</f>
        <v>71.492</v>
      </c>
      <c r="H3372" s="39" t="n">
        <v>0</v>
      </c>
      <c r="I3372" s="39" t="n">
        <v>0</v>
      </c>
      <c r="J3372" s="39" t="n">
        <v>0</v>
      </c>
      <c r="K3372" s="39" t="n">
        <v>0</v>
      </c>
      <c r="L3372" s="39" t="n">
        <v>0</v>
      </c>
      <c r="M3372" s="39" t="n">
        <v>0</v>
      </c>
      <c r="N3372" s="38" t="n">
        <f aca="false">Q!$N$39</f>
        <v>6.017</v>
      </c>
      <c r="O3372" s="38" t="n">
        <f aca="false">Q!$O$39</f>
        <v>13.593</v>
      </c>
      <c r="P3372" s="5" t="s">
        <v>754</v>
      </c>
    </row>
    <row r="3373" customFormat="false" ht="15" hidden="false" customHeight="false" outlineLevel="0" collapsed="false">
      <c r="A3373" s="5" t="s">
        <v>547</v>
      </c>
      <c r="B3373" s="0" t="s">
        <v>86</v>
      </c>
      <c r="C3373" s="38" t="n">
        <f aca="false">Q!$D$36</f>
        <v>68.614</v>
      </c>
      <c r="D3373" s="38" t="n">
        <f aca="false">Q!$E$36</f>
        <v>97.311</v>
      </c>
      <c r="E3373" s="38" t="n">
        <f aca="false">Q!$P$36</f>
        <v>120.691</v>
      </c>
      <c r="F3373" s="38" t="n">
        <f aca="false">Sens!$F$3349-Sens!$F$3370+Sens!$F$3371+Sens!$F$3372</f>
        <v>56.0316019995185</v>
      </c>
      <c r="G3373" s="38" t="n">
        <f aca="false">Sens!$E$3373+Sens!$F$3373</f>
        <v>176.722601999518</v>
      </c>
      <c r="H3373" s="38" t="n">
        <f aca="false">Sens!$H$3349-Sens!$H$3370+Sens!$H$3371+Sens!$H$3372</f>
        <v>128.274974975766</v>
      </c>
      <c r="I3373" s="38" t="n">
        <f aca="false">Sens!$I$3349-Sens!$I$3370+Sens!$I$3371+Sens!$I$3372</f>
        <v>146.369858649991</v>
      </c>
      <c r="J3373" s="38" t="n">
        <f aca="false">Sens!$J$3349-Sens!$J$3370+Sens!$J$3371+Sens!$J$3372</f>
        <v>165.26395216835</v>
      </c>
      <c r="K3373" s="38" t="n">
        <f aca="false">Sens!$K$3349-Sens!$K$3370+Sens!$K$3371+Sens!$K$3372</f>
        <v>180.285303433567</v>
      </c>
      <c r="L3373" s="38" t="n">
        <f aca="false">Sens!$L$3349-Sens!$L$3370+Sens!$L$3371+Sens!$L$3372</f>
        <v>199.105585216962</v>
      </c>
      <c r="M3373" s="38" t="n">
        <f aca="false">Sens!$M$3349-Sens!$M$3370+Sens!$M$3371+Sens!$M$3372</f>
        <v>220.232857056515</v>
      </c>
      <c r="N3373" s="38" t="n">
        <f aca="false">Q!$N$36</f>
        <v>42.536</v>
      </c>
      <c r="O3373" s="38" t="n">
        <f aca="false">Q!$O$36</f>
        <v>54.775</v>
      </c>
    </row>
    <row r="3374" customFormat="false" ht="15" hidden="false" customHeight="false" outlineLevel="0" collapsed="false">
      <c r="A3374" s="5" t="s">
        <v>548</v>
      </c>
      <c r="B3374" s="0" t="s">
        <v>86</v>
      </c>
      <c r="C3374" s="38" t="n">
        <f aca="false">Q!$D$37</f>
        <v>9.265</v>
      </c>
      <c r="D3374" s="38" t="n">
        <f aca="false">Q!$E$37</f>
        <v>19.087</v>
      </c>
      <c r="E3374" s="38" t="n">
        <f aca="false">Q!$P$37</f>
        <v>27.759</v>
      </c>
      <c r="F3374" s="38" t="n">
        <f aca="false">Sens!$F$3373*tax</f>
        <v>9.72621910890414</v>
      </c>
      <c r="G3374" s="38" t="n">
        <f aca="false">Sens!$E$3374+Sens!$F$3374</f>
        <v>37.4852191089041</v>
      </c>
      <c r="H3374" s="38" t="n">
        <f aca="false">Sens!$H$3373*tax</f>
        <v>22.2665508084923</v>
      </c>
      <c r="I3374" s="38" t="n">
        <f aca="false">Sens!$I$3373*tax</f>
        <v>25.4075426253451</v>
      </c>
      <c r="J3374" s="38" t="n">
        <f aca="false">Sens!$J$3373*tax</f>
        <v>28.6872649046628</v>
      </c>
      <c r="K3374" s="38" t="n">
        <f aca="false">Sens!$K$3373*tax</f>
        <v>31.2947390532437</v>
      </c>
      <c r="L3374" s="38" t="n">
        <f aca="false">Sens!$L$3373*tax</f>
        <v>34.5616487574888</v>
      </c>
      <c r="M3374" s="38" t="n">
        <f aca="false">Sens!$M$3373*tax</f>
        <v>38.2290162385512</v>
      </c>
      <c r="N3374" s="38" t="n">
        <f aca="false">Q!$N$37</f>
        <v>7.231</v>
      </c>
      <c r="O3374" s="38" t="n">
        <f aca="false">Q!$O$37</f>
        <v>11.856</v>
      </c>
    </row>
    <row r="3375" customFormat="false" ht="15" hidden="false" customHeight="false" outlineLevel="0" collapsed="false">
      <c r="A3375" s="3" t="s">
        <v>549</v>
      </c>
      <c r="B3375" s="8" t="s">
        <v>86</v>
      </c>
      <c r="C3375" s="38" t="n">
        <f aca="false">Q!$D$38</f>
        <v>59.248</v>
      </c>
      <c r="D3375" s="38" t="n">
        <f aca="false">Q!$E$38</f>
        <v>77.67</v>
      </c>
      <c r="E3375" s="38" t="n">
        <f aca="false">Q!$P$38</f>
        <v>92.902</v>
      </c>
      <c r="F3375" s="38" t="n">
        <f aca="false">Sens!$F$3373-Sens!$F$3374</f>
        <v>46.3053828906144</v>
      </c>
      <c r="G3375" s="38" t="n">
        <f aca="false">Sens!$E$3375+Sens!$F$3375</f>
        <v>139.207382890614</v>
      </c>
      <c r="H3375" s="38" t="n">
        <f aca="false">Sens!$H$3373-Sens!$H$3374</f>
        <v>106.008424167274</v>
      </c>
      <c r="I3375" s="38" t="n">
        <f aca="false">Sens!$I$3373-Sens!$I$3374</f>
        <v>120.962316024645</v>
      </c>
      <c r="J3375" s="38" t="n">
        <f aca="false">Sens!$J$3373-Sens!$J$3374</f>
        <v>136.576687263687</v>
      </c>
      <c r="K3375" s="38" t="n">
        <f aca="false">Sens!$K$3373-Sens!$K$3374</f>
        <v>148.990564380323</v>
      </c>
      <c r="L3375" s="38" t="n">
        <f aca="false">Sens!$L$3373-Sens!$L$3374</f>
        <v>164.543936459474</v>
      </c>
      <c r="M3375" s="38" t="n">
        <f aca="false">Sens!$M$3373-Sens!$M$3374</f>
        <v>182.003840817964</v>
      </c>
      <c r="N3375" s="38" t="n">
        <f aca="false">Q!$N$38</f>
        <v>35.291</v>
      </c>
      <c r="O3375" s="38" t="n">
        <f aca="false">Q!$O$38</f>
        <v>42.379</v>
      </c>
    </row>
    <row r="3376" customFormat="false" ht="17.15" hidden="false" customHeight="false" outlineLevel="0" collapsed="false">
      <c r="A3376" s="5" t="s">
        <v>552</v>
      </c>
      <c r="B3376" s="5" t="s">
        <v>33</v>
      </c>
      <c r="C3376" s="22" t="n">
        <f aca="false">Q!$D$41</f>
        <v>10.721</v>
      </c>
      <c r="D3376" s="22" t="n">
        <f aca="false">Q!$E$41</f>
        <v>10.827</v>
      </c>
      <c r="E3376" s="22" t="n">
        <f aca="false">(Q!$L$41+Q!$M$41)/2</f>
        <v>10.8885</v>
      </c>
      <c r="F3376" s="22" t="n">
        <f aca="false">Sens!$G$3376</f>
        <v>10.924806</v>
      </c>
      <c r="G3376" s="22" t="n">
        <f aca="false">Q!$M$41*(1+sh_g*0.25)</f>
        <v>10.924806</v>
      </c>
      <c r="H3376" s="22" t="n">
        <f aca="false">Sens!$G$3376*(1+sh_g)</f>
        <v>11.012204448</v>
      </c>
      <c r="I3376" s="22" t="n">
        <f aca="false">Sens!$H$3376*(1+sh_g)</f>
        <v>11.100302083584</v>
      </c>
      <c r="J3376" s="22" t="n">
        <f aca="false">Sens!$I$3376*(1+sh_g)</f>
        <v>11.1891045002527</v>
      </c>
      <c r="K3376" s="22" t="n">
        <f aca="false">Sens!$J$3376*(1+sh_g)</f>
        <v>11.2786173362547</v>
      </c>
      <c r="L3376" s="22" t="n">
        <f aca="false">Sens!$K$3376*(1+sh_g)</f>
        <v>11.3688462749447</v>
      </c>
      <c r="M3376" s="22" t="n">
        <f aca="false">Sens!$L$3376*(1+sh_g)</f>
        <v>11.4597970451443</v>
      </c>
      <c r="P3376" s="5" t="s">
        <v>755</v>
      </c>
    </row>
    <row r="3377" customFormat="false" ht="17.15" hidden="false" customHeight="false" outlineLevel="0" collapsed="false">
      <c r="A3377" s="5" t="s">
        <v>756</v>
      </c>
      <c r="B3377" s="0" t="s">
        <v>86</v>
      </c>
      <c r="C3377" s="38" t="n">
        <f aca="false">Sens!$C$3375+Sens!$C$3351*(1-tax)</f>
        <v>59.248</v>
      </c>
      <c r="D3377" s="38" t="n">
        <f aca="false">Sens!$D$3375+Sens!$D$3351*(1-tax)</f>
        <v>77.67</v>
      </c>
      <c r="E3377" s="38" t="n">
        <f aca="false">Sens!$E$3375+Sens!$E$3351*(1-tax)</f>
        <v>92.902</v>
      </c>
      <c r="F3377" s="38" t="n">
        <f aca="false">Sens!$F$3375+Sens!$F$3351*(1-tax)</f>
        <v>49.421977850263</v>
      </c>
      <c r="G3377" s="38" t="n">
        <f aca="false">Sens!$G$3375+Sens!$G$3351*(1-tax)</f>
        <v>142.323977850263</v>
      </c>
      <c r="H3377" s="38" t="n">
        <f aca="false">Sens!$H$3375+Sens!$H$3351*(1-tax)</f>
        <v>118.539820122619</v>
      </c>
      <c r="I3377" s="38" t="n">
        <f aca="false">Sens!$I$3375+Sens!$I$3351*(1-tax)</f>
        <v>142.103581099585</v>
      </c>
      <c r="J3377" s="38" t="n">
        <f aca="false">Sens!$J$3375+Sens!$J$3351*(1-tax)</f>
        <v>166.36612420797</v>
      </c>
      <c r="K3377" s="38" t="n">
        <f aca="false">Sens!$K$3375+Sens!$K$3351*(1-tax)</f>
        <v>186.157870076982</v>
      </c>
      <c r="L3377" s="38" t="n">
        <f aca="false">Sens!$L$3375+Sens!$L$3351*(1-tax)</f>
        <v>206.560013800029</v>
      </c>
      <c r="M3377" s="38" t="n">
        <f aca="false">Sens!$M$3375+Sens!$M$3351*(1-tax)</f>
        <v>226.333363008804</v>
      </c>
      <c r="N3377" s="38" t="n">
        <f aca="false">Sens!$N$3375+Sens!$N$3351*(1-tax)</f>
        <v>35.291</v>
      </c>
      <c r="O3377" s="38" t="n">
        <f aca="false">Sens!$O$3375+Sens!$O$3351*(1-tax)</f>
        <v>42.379</v>
      </c>
    </row>
    <row r="3378" customFormat="false" ht="17.15" hidden="false" customHeight="false" outlineLevel="0" collapsed="false">
      <c r="A3378" s="43" t="s">
        <v>757</v>
      </c>
      <c r="B3378" s="14" t="s">
        <v>27</v>
      </c>
      <c r="C3378" s="44" t="n">
        <f aca="false">Sens!$C$3377/Sens!$C$3376</f>
        <v>5.52635015390355</v>
      </c>
      <c r="D3378" s="44" t="n">
        <f aca="false">Sens!$D$3377/Sens!$D$3376</f>
        <v>7.1737323358271</v>
      </c>
      <c r="E3378" s="44" t="n">
        <f aca="false">Sens!$E$3377/Sens!$E$3376</f>
        <v>8.53212104513937</v>
      </c>
      <c r="F3378" s="14"/>
      <c r="G3378" s="44" t="n">
        <f aca="false">Sens!$G$3377/Sens!$G$3376</f>
        <v>13.0275977303636</v>
      </c>
      <c r="H3378" s="44" t="n">
        <f aca="false">Sens!$H$3377/Sens!$H$3376</f>
        <v>10.7644042282694</v>
      </c>
      <c r="I3378" s="44" t="n">
        <f aca="false">Sens!$I$3377/Sens!$I$3376</f>
        <v>12.8017760264145</v>
      </c>
      <c r="J3378" s="44" t="n">
        <f aca="false">Sens!$J$3377/Sens!$J$3376</f>
        <v>14.8685825755058</v>
      </c>
      <c r="K3378" s="44" t="n">
        <f aca="false">Sens!$K$3377/Sens!$K$3376</f>
        <v>16.5053804493024</v>
      </c>
      <c r="L3378" s="44" t="n">
        <f aca="false">Sens!$L$3377/Sens!$L$3376</f>
        <v>18.1689512554371</v>
      </c>
      <c r="M3378" s="44" t="n">
        <f aca="false">Sens!$M$3377/Sens!$M$3376</f>
        <v>19.7502069292497</v>
      </c>
      <c r="N3378" s="14"/>
      <c r="O3378" s="14"/>
    </row>
    <row r="3379" customFormat="false" ht="17.15" hidden="false" customHeight="false" outlineLevel="0" collapsed="false">
      <c r="A3379" s="0" t="s">
        <v>758</v>
      </c>
      <c r="B3379" s="0" t="s">
        <v>27</v>
      </c>
      <c r="C3379" s="30" t="n">
        <f aca="false">Sens!$C$3375/Sens!$C$3376</f>
        <v>5.52635015390355</v>
      </c>
      <c r="D3379" s="30" t="n">
        <f aca="false">Sens!$D$3375/Sens!$D$3376</f>
        <v>7.1737323358271</v>
      </c>
      <c r="E3379" s="30" t="n">
        <f aca="false">Sens!$E$3375/Sens!$E$3376</f>
        <v>8.53212104513937</v>
      </c>
      <c r="G3379" s="30" t="n">
        <f aca="false">Sens!$G$3375/Sens!$G$3376</f>
        <v>12.7423208147233</v>
      </c>
      <c r="H3379" s="30" t="n">
        <f aca="false">Sens!$H$3375/Sens!$H$3376</f>
        <v>9.62644897012667</v>
      </c>
      <c r="I3379" s="30" t="n">
        <f aca="false">Sens!$I$3375/Sens!$I$3376</f>
        <v>10.8972093834756</v>
      </c>
      <c r="J3379" s="30" t="n">
        <f aca="false">Sens!$J$3375/Sens!$J$3376</f>
        <v>12.2062214416357</v>
      </c>
      <c r="K3379" s="30" t="n">
        <f aca="false">Sens!$K$3375/Sens!$K$3376</f>
        <v>13.2100026039006</v>
      </c>
      <c r="L3379" s="30" t="n">
        <f aca="false">Sens!$L$3375/Sens!$L$3376</f>
        <v>14.4732308345223</v>
      </c>
      <c r="M3379" s="30" t="n">
        <f aca="false">Sens!$M$3375/Sens!$M$3376</f>
        <v>15.8819427692292</v>
      </c>
    </row>
    <row r="3380" customFormat="false" ht="17.15" hidden="false" customHeight="false" outlineLevel="0" collapsed="false">
      <c r="A3380" s="0" t="s">
        <v>759</v>
      </c>
      <c r="B3380" s="0" t="s">
        <v>27</v>
      </c>
      <c r="C3380" s="30" t="n">
        <f aca="false">(Sens!$C$3375-Sens!$C$3372*(1-tax))/Sens!$C$3376</f>
        <v>5.33926775917445</v>
      </c>
      <c r="D3380" s="30" t="n">
        <f aca="false">(Sens!$D$3375-Sens!$D$3372*(1-tax))/Sens!$D$3376</f>
        <v>5.67691812755503</v>
      </c>
      <c r="E3380" s="30" t="n">
        <f aca="false">(Sens!$E$3375-Sens!$E$3372*(1-tax))/Sens!$E$3376</f>
        <v>3.10602057006846</v>
      </c>
      <c r="G3380" s="30" t="n">
        <f aca="false">(Sens!$G$3375-Sens!$G$3372*(1-tax))/Sens!$G$3376</f>
        <v>7.33425269682635</v>
      </c>
      <c r="H3380" s="30" t="n">
        <f aca="false">(Sens!$H$3375-Sens!$H$3372*(1-tax))/Sens!$H$3376</f>
        <v>9.62644897012667</v>
      </c>
      <c r="I3380" s="30" t="n">
        <f aca="false">(Sens!$I$3375-Sens!$I$3372*(1-tax))/Sens!$I$3376</f>
        <v>10.8972093834756</v>
      </c>
      <c r="J3380" s="30" t="n">
        <f aca="false">(Sens!$J$3375-Sens!$J$3372*(1-tax))/Sens!$J$3376</f>
        <v>12.2062214416357</v>
      </c>
      <c r="K3380" s="30" t="n">
        <f aca="false">(Sens!$K$3375-Sens!$K$3372*(1-tax))/Sens!$K$3376</f>
        <v>13.2100026039006</v>
      </c>
      <c r="L3380" s="30" t="n">
        <f aca="false">(Sens!$L$3375-Sens!$L$3372*(1-tax))/Sens!$L$3376</f>
        <v>14.4732308345223</v>
      </c>
      <c r="M3380" s="30" t="n">
        <f aca="false">(Sens!$M$3375-Sens!$M$3372*(1-tax))/Sens!$M$3376</f>
        <v>15.8819427692292</v>
      </c>
      <c r="P3380" s="5" t="s">
        <v>760</v>
      </c>
    </row>
    <row r="3381" customFormat="false" ht="17.15" hidden="false" customHeight="false" outlineLevel="0" collapsed="false">
      <c r="A3381" s="0" t="s">
        <v>761</v>
      </c>
      <c r="B3381" s="0" t="s">
        <v>52</v>
      </c>
      <c r="H3381" s="13" t="n">
        <f aca="false">Sens!$H$3378/Sens!$G$3378-1</f>
        <v>-0.17372301086787</v>
      </c>
      <c r="I3381" s="13" t="n">
        <f aca="false">Sens!$I$3378/Sens!$H$3378-1</f>
        <v>0.189269350624583</v>
      </c>
      <c r="J3381" s="13" t="n">
        <f aca="false">Sens!$J$3378/Sens!$I$3378-1</f>
        <v>0.161446860562686</v>
      </c>
      <c r="K3381" s="13" t="n">
        <f aca="false">Sens!$K$3378/Sens!$J$3378-1</f>
        <v>0.110084324816077</v>
      </c>
      <c r="L3381" s="13" t="n">
        <f aca="false">Sens!$L$3378/Sens!$K$3378-1</f>
        <v>0.100789606834238</v>
      </c>
      <c r="M3381" s="13" t="n">
        <f aca="false">Sens!$M$3378/Sens!$L$3378-1</f>
        <v>0.0870306519942583</v>
      </c>
    </row>
    <row r="3384" customFormat="false" ht="19.4" hidden="false" customHeight="false" outlineLevel="0" collapsed="false">
      <c r="A3384" s="31" t="s">
        <v>1203</v>
      </c>
    </row>
    <row r="3385" customFormat="false" ht="17.15" hidden="false" customHeight="false" outlineLevel="0" collapsed="false">
      <c r="A3385" s="6" t="s">
        <v>16</v>
      </c>
      <c r="B3385" s="6" t="s">
        <v>17</v>
      </c>
      <c r="C3385" s="20" t="s">
        <v>497</v>
      </c>
      <c r="D3385" s="20" t="s">
        <v>498</v>
      </c>
      <c r="E3385" s="20" t="s">
        <v>580</v>
      </c>
      <c r="F3385" s="20" t="s">
        <v>581</v>
      </c>
      <c r="G3385" s="20" t="s">
        <v>582</v>
      </c>
      <c r="H3385" s="20" t="s">
        <v>583</v>
      </c>
      <c r="I3385" s="20" t="s">
        <v>584</v>
      </c>
      <c r="J3385" s="20" t="s">
        <v>585</v>
      </c>
      <c r="K3385" s="20" t="s">
        <v>586</v>
      </c>
      <c r="L3385" s="20" t="s">
        <v>587</v>
      </c>
      <c r="M3385" s="20" t="s">
        <v>588</v>
      </c>
      <c r="N3385" s="20" t="s">
        <v>589</v>
      </c>
      <c r="O3385" s="20" t="s">
        <v>590</v>
      </c>
      <c r="P3385" s="6" t="s">
        <v>23</v>
      </c>
      <c r="R3385" s="20" t="n">
        <v>2023</v>
      </c>
      <c r="S3385" s="20" t="n">
        <v>2024</v>
      </c>
      <c r="T3385" s="20" t="n">
        <v>2025</v>
      </c>
      <c r="U3385" s="20" t="n">
        <v>2026</v>
      </c>
      <c r="V3385" s="20" t="n">
        <v>2027</v>
      </c>
      <c r="W3385" s="20" t="n">
        <v>2028</v>
      </c>
      <c r="X3385" s="20" t="n">
        <v>2029</v>
      </c>
      <c r="Y3385" s="20" t="n">
        <v>2030</v>
      </c>
      <c r="Z3385" s="20" t="n">
        <v>2031</v>
      </c>
      <c r="AA3385" s="20" t="n">
        <v>2032</v>
      </c>
    </row>
    <row r="3386" customFormat="false" ht="15" hidden="false" customHeight="false" outlineLevel="0" collapsed="false">
      <c r="A3386" s="5" t="s">
        <v>549</v>
      </c>
      <c r="B3386" s="0" t="s">
        <v>86</v>
      </c>
      <c r="C3386" s="38" t="n">
        <f aca="false">Sens!$C$3375</f>
        <v>59.248</v>
      </c>
      <c r="D3386" s="38" t="n">
        <f aca="false">Sens!$D$3375</f>
        <v>77.67</v>
      </c>
      <c r="E3386" s="38" t="n">
        <f aca="false">Sens!$E$3375</f>
        <v>92.902</v>
      </c>
      <c r="F3386" s="38" t="n">
        <f aca="false">Sens!$F$3375</f>
        <v>46.3053828906144</v>
      </c>
      <c r="G3386" s="38" t="n">
        <f aca="false">Sens!$G$3375</f>
        <v>139.207382890614</v>
      </c>
      <c r="H3386" s="38" t="n">
        <f aca="false">Sens!$H$3375</f>
        <v>106.008424167274</v>
      </c>
      <c r="I3386" s="38" t="n">
        <f aca="false">Sens!$I$3375</f>
        <v>120.962316024645</v>
      </c>
      <c r="J3386" s="38" t="n">
        <f aca="false">Sens!$J$3375</f>
        <v>136.576687263687</v>
      </c>
      <c r="K3386" s="38" t="n">
        <f aca="false">Sens!$K$3375</f>
        <v>148.990564380323</v>
      </c>
      <c r="L3386" s="38" t="n">
        <f aca="false">Sens!$L$3375</f>
        <v>164.543936459474</v>
      </c>
      <c r="M3386" s="38" t="n">
        <f aca="false">Sens!$M$3375</f>
        <v>182.003840817964</v>
      </c>
    </row>
    <row r="3387" customFormat="false" ht="17.15" hidden="false" customHeight="false" outlineLevel="0" collapsed="false">
      <c r="A3387" s="5" t="s">
        <v>784</v>
      </c>
      <c r="B3387" s="0" t="s">
        <v>86</v>
      </c>
      <c r="C3387" s="38" t="n">
        <f aca="false">Sens!$C$3363</f>
        <v>32.067</v>
      </c>
      <c r="D3387" s="38" t="n">
        <f aca="false">Sens!$D$3363</f>
        <v>41.86</v>
      </c>
      <c r="E3387" s="38" t="n">
        <f aca="false">Sens!$E$3363</f>
        <v>26.703</v>
      </c>
      <c r="F3387" s="38" t="n">
        <f aca="false">Sens!$F$3363</f>
        <v>28.2071421626285</v>
      </c>
      <c r="G3387" s="38" t="n">
        <f aca="false">Sens!$G$3363</f>
        <v>54.9101421626285</v>
      </c>
      <c r="H3387" s="38" t="n">
        <f aca="false">Sens!$H$3363</f>
        <v>78.3593382156735</v>
      </c>
      <c r="I3387" s="38" t="n">
        <f aca="false">Sens!$I$3363</f>
        <v>111.776777788796</v>
      </c>
      <c r="J3387" s="38" t="n">
        <f aca="false">Sens!$J$3363</f>
        <v>146.233752031383</v>
      </c>
      <c r="K3387" s="38" t="n">
        <f aca="false">Sens!$K$3363</f>
        <v>181.286087832703</v>
      </c>
      <c r="L3387" s="38" t="n">
        <f aca="false">Sens!$L$3363</f>
        <v>208.154217056542</v>
      </c>
      <c r="M3387" s="38" t="n">
        <f aca="false">Sens!$M$3363</f>
        <v>228.508154402682</v>
      </c>
    </row>
    <row r="3388" customFormat="false" ht="15" hidden="false" customHeight="false" outlineLevel="0" collapsed="false">
      <c r="A3388" s="5" t="s">
        <v>785</v>
      </c>
      <c r="B3388" s="0" t="s">
        <v>86</v>
      </c>
      <c r="C3388" s="38" t="n">
        <f aca="false">Q!$D$48</f>
        <v>22.011</v>
      </c>
      <c r="D3388" s="38" t="n">
        <f aca="false">Q!$E$48</f>
        <v>19.467</v>
      </c>
      <c r="E3388" s="38" t="n">
        <f aca="false">Q!$P$48</f>
        <v>10.07</v>
      </c>
      <c r="F3388" s="38" t="n">
        <f aca="false">sbc_r*Sens!$F$3305</f>
        <v>10.8507035798037</v>
      </c>
      <c r="G3388" s="38" t="n">
        <f aca="false">Sens!$E$3388+Sens!$F$3388</f>
        <v>20.9207035798037</v>
      </c>
      <c r="H3388" s="38" t="n">
        <f aca="false">sbc_r*Sens!$H$3305</f>
        <v>23.4889628723847</v>
      </c>
      <c r="I3388" s="38" t="n">
        <f aca="false">sbc_r*Sens!$I$3305</f>
        <v>26.7028001253965</v>
      </c>
      <c r="J3388" s="38" t="n">
        <f aca="false">sbc_r*Sens!$J$3305</f>
        <v>29.8290485213774</v>
      </c>
      <c r="K3388" s="38" t="n">
        <f aca="false">sbc_r*Sens!$K$3305</f>
        <v>32.6405418478787</v>
      </c>
      <c r="L3388" s="38" t="n">
        <f aca="false">sbc_r*Sens!$L$3305</f>
        <v>35.306931555188</v>
      </c>
      <c r="M3388" s="38" t="n">
        <f aca="false">sbc_r*Sens!$M$3305</f>
        <v>37.8414382276929</v>
      </c>
    </row>
    <row r="3389" customFormat="false" ht="17.15" hidden="false" customHeight="false" outlineLevel="0" collapsed="false">
      <c r="A3389" s="5" t="s">
        <v>786</v>
      </c>
      <c r="B3389" s="0" t="s">
        <v>86</v>
      </c>
      <c r="C3389" s="38" t="n">
        <f aca="false">Q!$D$44-Sens!$C$3386-Sens!$C$3387-Sens!$C$3388</f>
        <v>2.551</v>
      </c>
      <c r="D3389" s="38" t="n">
        <f aca="false">Q!$E$44-Sens!$D$3386-Sens!$D$3387-Sens!$D$3388</f>
        <v>0.51700000000001</v>
      </c>
      <c r="E3389" s="38" t="n">
        <f aca="false">Q!$P$44-Sens!$E$3386-Sens!$E$3387-Sens!$E$3388</f>
        <v>-58.256</v>
      </c>
      <c r="F3389" s="38" t="n">
        <f aca="false">oth_r*Sens!$F$3305</f>
        <v>5.22265251035878</v>
      </c>
      <c r="G3389" s="38" t="n">
        <f aca="false">Sens!$E$3389+Sens!$F$3389</f>
        <v>-53.0333474896412</v>
      </c>
      <c r="H3389" s="38" t="n">
        <f aca="false">oth_r*Sens!$H$3305</f>
        <v>11.3056899959481</v>
      </c>
      <c r="I3389" s="38" t="n">
        <f aca="false">oth_r*Sens!$I$3305</f>
        <v>12.8525717325912</v>
      </c>
      <c r="J3389" s="38" t="n">
        <f aca="false">oth_r*Sens!$J$3305</f>
        <v>14.357295266249</v>
      </c>
      <c r="K3389" s="38" t="n">
        <f aca="false">oth_r*Sens!$K$3305</f>
        <v>15.7105211258917</v>
      </c>
      <c r="L3389" s="38" t="n">
        <f aca="false">oth_r*Sens!$L$3305</f>
        <v>16.9939058203546</v>
      </c>
      <c r="M3389" s="38" t="n">
        <f aca="false">oth_r*Sens!$M$3305</f>
        <v>18.2138126714013</v>
      </c>
      <c r="P3389" s="8" t="s">
        <v>787</v>
      </c>
    </row>
    <row r="3390" customFormat="false" ht="15" hidden="false" customHeight="false" outlineLevel="0" collapsed="false">
      <c r="A3390" s="3" t="s">
        <v>555</v>
      </c>
      <c r="B3390" s="8" t="s">
        <v>86</v>
      </c>
      <c r="C3390" s="38" t="n">
        <f aca="false">Q!$D$44</f>
        <v>115.877</v>
      </c>
      <c r="D3390" s="38" t="n">
        <f aca="false">Q!$E$44</f>
        <v>139.514</v>
      </c>
      <c r="E3390" s="38" t="n">
        <f aca="false">Q!$P$44</f>
        <v>71.419</v>
      </c>
      <c r="F3390" s="38" t="n">
        <f aca="false">Sens!$F$3386+Sens!$F$3387+Sens!$F$3388+Sens!$F$3389</f>
        <v>90.5858811434053</v>
      </c>
      <c r="G3390" s="38" t="n">
        <f aca="false">Sens!$E$3390+Sens!$F$3390</f>
        <v>162.004881143405</v>
      </c>
      <c r="H3390" s="38" t="n">
        <f aca="false">Sens!$H$3386+Sens!$H$3387+Sens!$H$3388+Sens!$H$3389</f>
        <v>219.16241525128</v>
      </c>
      <c r="I3390" s="38" t="n">
        <f aca="false">Sens!$I$3386+Sens!$I$3387+Sens!$I$3388+Sens!$I$3389</f>
        <v>272.294465671429</v>
      </c>
      <c r="J3390" s="38" t="n">
        <f aca="false">Sens!$J$3386+Sens!$J$3387+Sens!$J$3388+Sens!$J$3389</f>
        <v>326.996783082696</v>
      </c>
      <c r="K3390" s="38" t="n">
        <f aca="false">Sens!$K$3386+Sens!$K$3387+Sens!$K$3388+Sens!$K$3389</f>
        <v>378.627715186796</v>
      </c>
      <c r="L3390" s="38" t="n">
        <f aca="false">Sens!$L$3386+Sens!$L$3387+Sens!$L$3388+Sens!$L$3389</f>
        <v>424.998990891559</v>
      </c>
      <c r="M3390" s="38" t="n">
        <f aca="false">Sens!$M$3386+Sens!$M$3387+Sens!$M$3388+Sens!$M$3389</f>
        <v>466.56724611974</v>
      </c>
    </row>
    <row r="3391" customFormat="false" ht="17.15" hidden="false" customHeight="false" outlineLevel="0" collapsed="false">
      <c r="A3391" s="5" t="s">
        <v>788</v>
      </c>
      <c r="B3391" s="0" t="s">
        <v>86</v>
      </c>
      <c r="C3391" s="38" t="n">
        <f aca="false">Sens!$C$3272</f>
        <v>25.2781053077374</v>
      </c>
      <c r="D3391" s="38" t="n">
        <f aca="false">Sens!$D$3272</f>
        <v>69.5686316310026</v>
      </c>
      <c r="E3391" s="38" t="n">
        <f aca="false">Sens!$E$3272</f>
        <v>64.1899206485108</v>
      </c>
      <c r="F3391" s="38" t="n">
        <f aca="false">Sens!$F$3272</f>
        <v>96.2481299895</v>
      </c>
      <c r="G3391" s="38" t="n">
        <f aca="false">Sens!$G$3272</f>
        <v>160.438050638011</v>
      </c>
      <c r="H3391" s="38" t="n">
        <f aca="false">Sens!$H$3272</f>
        <v>198.57136494475</v>
      </c>
      <c r="I3391" s="38" t="n">
        <f aca="false">Sens!$I$3272</f>
        <v>204.6464699105</v>
      </c>
      <c r="J3391" s="38" t="n">
        <f aca="false">Sens!$J$3272</f>
        <v>209.8832381105</v>
      </c>
      <c r="K3391" s="38" t="n">
        <f aca="false">Sens!$K$3272</f>
        <v>155.238385275201</v>
      </c>
      <c r="L3391" s="38" t="n">
        <f aca="false">Sens!$L$3272</f>
        <v>132.014141639902</v>
      </c>
      <c r="M3391" s="38" t="n">
        <f aca="false">Sens!$M$3272</f>
        <v>132.230981659852</v>
      </c>
    </row>
    <row r="3392" customFormat="false" ht="17.15" hidden="false" customHeight="false" outlineLevel="0" collapsed="false">
      <c r="A3392" s="5" t="s">
        <v>789</v>
      </c>
      <c r="B3392" s="0" t="s">
        <v>86</v>
      </c>
      <c r="C3392" s="38" t="n">
        <f aca="false">cx_awso*Sens!$C$3303</f>
        <v>21.0469989286053</v>
      </c>
      <c r="D3392" s="38" t="n">
        <f aca="false">cx_awso*Sens!$D$3303</f>
        <v>24.0042459822698</v>
      </c>
      <c r="E3392" s="38" t="n">
        <f aca="false">cx_awso*Sens!$E$3303</f>
        <v>14.261729404886</v>
      </c>
      <c r="F3392" s="38" t="n">
        <f aca="false">cx_awso*Sens!$F$3303</f>
        <v>14.3538599588493</v>
      </c>
      <c r="G3392" s="38" t="n">
        <f aca="false">Sens!$E$3392+Sens!$F$3392</f>
        <v>28.6155893637353</v>
      </c>
      <c r="H3392" s="38" t="n">
        <f aca="false">cx_awso*Sens!$H$3303</f>
        <v>32.4180323360686</v>
      </c>
      <c r="I3392" s="38" t="n">
        <f aca="false">cx_awso*Sens!$I$3303</f>
        <v>36.4785015576938</v>
      </c>
      <c r="J3392" s="38" t="n">
        <f aca="false">cx_awso*Sens!$J$3303</f>
        <v>40.7693475701775</v>
      </c>
      <c r="K3392" s="38" t="n">
        <f aca="false">cx_awso*Sens!$K$3303</f>
        <v>45.253975802897</v>
      </c>
      <c r="L3392" s="38" t="n">
        <f aca="false">cx_awso*Sens!$L$3303</f>
        <v>50.2319131412157</v>
      </c>
      <c r="M3392" s="38" t="n">
        <f aca="false">cx_awso*Sens!$M$3303</f>
        <v>55.7574235867494</v>
      </c>
    </row>
    <row r="3393" customFormat="false" ht="17.15" hidden="false" customHeight="false" outlineLevel="0" collapsed="false">
      <c r="A3393" s="5" t="s">
        <v>790</v>
      </c>
      <c r="B3393" s="0" t="s">
        <v>86</v>
      </c>
      <c r="C3393" s="38" t="n">
        <f aca="false">Q!$D$46-Sens!$C$3391-Sens!$C$3392</f>
        <v>31.3328957636573</v>
      </c>
      <c r="D3393" s="38" t="n">
        <f aca="false">Q!$E$46-Sens!$D$3391-Sens!$D$3392</f>
        <v>34.7471223867276</v>
      </c>
      <c r="E3393" s="38" t="n">
        <f aca="false">Q!$P$46-Sens!$E$3391-Sens!$E$3392</f>
        <v>17.8583499466032</v>
      </c>
      <c r="F3393" s="38" t="n">
        <f aca="false">cx_rt*Sens!$F$3235</f>
        <v>20.6195895799373</v>
      </c>
      <c r="G3393" s="38" t="n">
        <f aca="false">Sens!$E$3393+Sens!$F$3393</f>
        <v>38.4779395265405</v>
      </c>
      <c r="H3393" s="38" t="n">
        <f aca="false">cx_rt*Sens!$H$3235</f>
        <v>42.5978994743075</v>
      </c>
      <c r="I3393" s="38" t="n">
        <f aca="false">cx_rt*Sens!$I$3235</f>
        <v>46.5813904136335</v>
      </c>
      <c r="J3393" s="38" t="n">
        <f aca="false">cx_rt*Sens!$J$3235</f>
        <v>50.2781676586844</v>
      </c>
      <c r="K3393" s="38" t="n">
        <f aca="false">cx_rt*Sens!$K$3235</f>
        <v>53.5312440191755</v>
      </c>
      <c r="L3393" s="38" t="n">
        <f aca="false">cx_rt*Sens!$L$3235</f>
        <v>57.0116717051447</v>
      </c>
      <c r="M3393" s="38" t="n">
        <f aca="false">cx_rt*Sens!$M$3235</f>
        <v>60.7365554669226</v>
      </c>
    </row>
    <row r="3394" customFormat="false" ht="15" hidden="false" customHeight="false" outlineLevel="0" collapsed="false">
      <c r="A3394" s="3" t="s">
        <v>791</v>
      </c>
      <c r="B3394" s="8" t="s">
        <v>86</v>
      </c>
      <c r="C3394" s="38" t="n">
        <f aca="false">Q!$D$46</f>
        <v>77.658</v>
      </c>
      <c r="D3394" s="38" t="n">
        <f aca="false">Q!$E$46</f>
        <v>128.32</v>
      </c>
      <c r="E3394" s="38" t="n">
        <f aca="false">Q!$P$46</f>
        <v>96.31</v>
      </c>
      <c r="F3394" s="38" t="n">
        <f aca="false">Sens!$F$3391+Sens!$F$3392+Sens!$F$3393</f>
        <v>131.221579528287</v>
      </c>
      <c r="G3394" s="38" t="n">
        <f aca="false">Sens!$E$3394+Sens!$F$3394</f>
        <v>227.531579528287</v>
      </c>
      <c r="H3394" s="38" t="n">
        <f aca="false">Sens!$H$3391+Sens!$H$3392+Sens!$H$3393</f>
        <v>273.587296755126</v>
      </c>
      <c r="I3394" s="38" t="n">
        <f aca="false">Sens!$I$3391+Sens!$I$3392+Sens!$I$3393</f>
        <v>287.706361881827</v>
      </c>
      <c r="J3394" s="38" t="n">
        <f aca="false">Sens!$J$3391+Sens!$J$3392+Sens!$J$3393</f>
        <v>300.930753339362</v>
      </c>
      <c r="K3394" s="38" t="n">
        <f aca="false">Sens!$K$3391+Sens!$K$3392+Sens!$K$3393</f>
        <v>254.023605097273</v>
      </c>
      <c r="L3394" s="38" t="n">
        <f aca="false">Sens!$L$3391+Sens!$L$3392+Sens!$L$3393</f>
        <v>239.257726486262</v>
      </c>
      <c r="M3394" s="38" t="n">
        <f aca="false">Sens!$M$3391+Sens!$M$3392+Sens!$M$3393</f>
        <v>248.724960713524</v>
      </c>
    </row>
    <row r="3395" customFormat="false" ht="17.15" hidden="false" customHeight="false" outlineLevel="0" collapsed="false">
      <c r="A3395" s="5" t="s">
        <v>563</v>
      </c>
      <c r="B3395" s="0" t="s">
        <v>86</v>
      </c>
      <c r="C3395" s="38" t="n">
        <f aca="false">Q!$D$50</f>
        <v>2.043</v>
      </c>
      <c r="D3395" s="38" t="n">
        <f aca="false">Q!$E$50</f>
        <v>1.557</v>
      </c>
      <c r="E3395" s="38" t="n">
        <f aca="false">lease_pr/2</f>
        <v>0.8</v>
      </c>
      <c r="F3395" s="38" t="n">
        <f aca="false">lease_pr/2</f>
        <v>0.8</v>
      </c>
      <c r="G3395" s="38" t="n">
        <f aca="false">Sens!$E$3395+Sens!$F$3395</f>
        <v>1.6</v>
      </c>
      <c r="H3395" s="38" t="n">
        <f aca="false">lease_pr</f>
        <v>1.6</v>
      </c>
      <c r="I3395" s="38" t="n">
        <f aca="false">lease_pr</f>
        <v>1.6</v>
      </c>
      <c r="J3395" s="38" t="n">
        <f aca="false">lease_pr</f>
        <v>1.6</v>
      </c>
      <c r="K3395" s="38" t="n">
        <f aca="false">lease_pr</f>
        <v>1.6</v>
      </c>
      <c r="L3395" s="38" t="n">
        <f aca="false">lease_pr</f>
        <v>1.6</v>
      </c>
      <c r="M3395" s="38" t="n">
        <f aca="false">lease_pr</f>
        <v>1.6</v>
      </c>
      <c r="P3395" s="8" t="s">
        <v>792</v>
      </c>
    </row>
    <row r="3396" customFormat="false" ht="15" hidden="false" customHeight="false" outlineLevel="0" collapsed="false">
      <c r="A3396" s="47" t="s">
        <v>793</v>
      </c>
      <c r="B3396" s="14" t="s">
        <v>86</v>
      </c>
      <c r="C3396" s="48" t="n">
        <f aca="false">Sens!$C$3390-Sens!$C$3394-Sens!$C$3395</f>
        <v>36.176</v>
      </c>
      <c r="D3396" s="48" t="n">
        <f aca="false">Sens!$D$3390-Sens!$D$3394-Sens!$D$3395</f>
        <v>9.63700000000002</v>
      </c>
      <c r="E3396" s="48" t="n">
        <f aca="false">Sens!$E$3390-Sens!$E$3394-Sens!$E$3395</f>
        <v>-25.691</v>
      </c>
      <c r="F3396" s="48" t="n">
        <f aca="false">Sens!$F$3390-Sens!$F$3394-Sens!$F$3395</f>
        <v>-41.4356983848813</v>
      </c>
      <c r="G3396" s="48" t="n">
        <f aca="false">Sens!$G$3390-Sens!$G$3394-Sens!$G$3395</f>
        <v>-67.1266983848813</v>
      </c>
      <c r="H3396" s="48" t="n">
        <f aca="false">Sens!$H$3390-Sens!$H$3394-Sens!$H$3395</f>
        <v>-56.0248815038461</v>
      </c>
      <c r="I3396" s="48" t="n">
        <f aca="false">Sens!$I$3390-Sens!$I$3394-Sens!$I$3395</f>
        <v>-17.0118962103983</v>
      </c>
      <c r="J3396" s="48" t="n">
        <f aca="false">Sens!$J$3390-Sens!$J$3394-Sens!$J$3395</f>
        <v>24.4660297433342</v>
      </c>
      <c r="K3396" s="48" t="n">
        <f aca="false">Sens!$K$3390-Sens!$K$3394-Sens!$K$3395</f>
        <v>123.004110089523</v>
      </c>
      <c r="L3396" s="48" t="n">
        <f aca="false">Sens!$L$3390-Sens!$L$3394-Sens!$L$3395</f>
        <v>184.141264405296</v>
      </c>
      <c r="M3396" s="48" t="n">
        <f aca="false">Sens!$M$3390-Sens!$M$3394-Sens!$M$3395</f>
        <v>216.242285406216</v>
      </c>
      <c r="N3396" s="14"/>
      <c r="O3396" s="14"/>
    </row>
    <row r="3397" customFormat="false" ht="17.15" hidden="false" customHeight="false" outlineLevel="0" collapsed="false">
      <c r="A3397" s="5" t="s">
        <v>794</v>
      </c>
      <c r="B3397" s="0" t="s">
        <v>86</v>
      </c>
      <c r="C3397" s="38" t="n">
        <f aca="false">dps*Sens!$C$3376</f>
        <v>0</v>
      </c>
      <c r="D3397" s="38" t="n">
        <f aca="false">dps*Sens!$D$3376</f>
        <v>0</v>
      </c>
      <c r="E3397" s="38" t="n">
        <f aca="false">dps*Sens!$E$3376</f>
        <v>0</v>
      </c>
      <c r="F3397" s="38" t="n">
        <f aca="false">0</f>
        <v>0</v>
      </c>
      <c r="G3397" s="38" t="n">
        <f aca="false">dps*Sens!$G$3376</f>
        <v>0</v>
      </c>
      <c r="H3397" s="38" t="n">
        <f aca="false">dps*Sens!$H$3376</f>
        <v>0</v>
      </c>
      <c r="I3397" s="38" t="n">
        <f aca="false">dps*Sens!$I$3376</f>
        <v>0</v>
      </c>
      <c r="J3397" s="38" t="n">
        <f aca="false">dps*Sens!$J$3376</f>
        <v>0</v>
      </c>
      <c r="K3397" s="38" t="n">
        <f aca="false">dps*Sens!$K$3376</f>
        <v>0</v>
      </c>
      <c r="L3397" s="38" t="n">
        <f aca="false">dps*Sens!$L$3376</f>
        <v>0</v>
      </c>
      <c r="M3397" s="38" t="n">
        <f aca="false">dps*Sens!$M$3376</f>
        <v>0</v>
      </c>
      <c r="P3397" s="8" t="s">
        <v>795</v>
      </c>
    </row>
    <row r="3398" customFormat="false" ht="17.15" hidden="false" customHeight="false" outlineLevel="0" collapsed="false">
      <c r="A3398" s="5" t="s">
        <v>796</v>
      </c>
      <c r="B3398" s="0" t="s">
        <v>86</v>
      </c>
      <c r="C3398" s="38" t="n">
        <f aca="false">0</f>
        <v>0</v>
      </c>
      <c r="D3398" s="38" t="n">
        <f aca="false">0</f>
        <v>0</v>
      </c>
      <c r="E3398" s="38" t="n">
        <f aca="false">0</f>
        <v>0</v>
      </c>
      <c r="F3398" s="38" t="n">
        <f aca="false">0</f>
        <v>0</v>
      </c>
      <c r="G3398" s="38" t="n">
        <f aca="false">0</f>
        <v>0</v>
      </c>
      <c r="H3398" s="38" t="n">
        <f aca="false">0</f>
        <v>0</v>
      </c>
      <c r="I3398" s="38" t="n">
        <f aca="false">0</f>
        <v>0</v>
      </c>
      <c r="J3398" s="38" t="n">
        <f aca="false">0</f>
        <v>0</v>
      </c>
      <c r="K3398" s="38" t="n">
        <f aca="false">0</f>
        <v>0</v>
      </c>
      <c r="L3398" s="38" t="n">
        <f aca="false">0</f>
        <v>0</v>
      </c>
      <c r="M3398" s="38" t="n">
        <f aca="false">0</f>
        <v>0</v>
      </c>
      <c r="P3398" s="8" t="s">
        <v>797</v>
      </c>
    </row>
    <row r="3399" customFormat="false" ht="15" hidden="false" customHeight="false" outlineLevel="0" collapsed="false">
      <c r="A3399" s="3" t="s">
        <v>798</v>
      </c>
      <c r="B3399" s="8" t="s">
        <v>86</v>
      </c>
      <c r="C3399" s="38" t="n">
        <f aca="false">Sens!$C$3396-Sens!$C$3397</f>
        <v>36.176</v>
      </c>
      <c r="D3399" s="38" t="n">
        <f aca="false">Sens!$D$3396-Sens!$D$3397</f>
        <v>9.63700000000002</v>
      </c>
      <c r="E3399" s="38" t="n">
        <f aca="false">Sens!$E$3396-Sens!$E$3397</f>
        <v>-25.691</v>
      </c>
      <c r="F3399" s="38" t="n">
        <f aca="false">Sens!$F$3396-Sens!$F$3397</f>
        <v>-41.4356983848813</v>
      </c>
      <c r="G3399" s="38" t="n">
        <f aca="false">Sens!$G$3396-Sens!$G$3397</f>
        <v>-67.1266983848813</v>
      </c>
      <c r="H3399" s="38" t="n">
        <f aca="false">Sens!$H$3396-Sens!$H$3397</f>
        <v>-56.0248815038461</v>
      </c>
      <c r="I3399" s="38" t="n">
        <f aca="false">Sens!$I$3396-Sens!$I$3397</f>
        <v>-17.0118962103983</v>
      </c>
      <c r="J3399" s="38" t="n">
        <f aca="false">Sens!$J$3396-Sens!$J$3397</f>
        <v>24.4660297433342</v>
      </c>
      <c r="K3399" s="38" t="n">
        <f aca="false">Sens!$K$3396-Sens!$K$3397</f>
        <v>123.004110089523</v>
      </c>
      <c r="L3399" s="38" t="n">
        <f aca="false">Sens!$L$3396-Sens!$L$3397</f>
        <v>184.141264405296</v>
      </c>
      <c r="M3399" s="38" t="n">
        <f aca="false">Sens!$M$3396-Sens!$M$3397</f>
        <v>216.242285406216</v>
      </c>
    </row>
    <row r="3400" customFormat="false" ht="17.15" hidden="false" customHeight="false" outlineLevel="0" collapsed="false">
      <c r="A3400" s="5" t="s">
        <v>799</v>
      </c>
      <c r="B3400" s="0" t="s">
        <v>86</v>
      </c>
      <c r="E3400" s="38" t="n">
        <f aca="false">Q!$P$53</f>
        <v>39.767</v>
      </c>
      <c r="F3400" s="38" t="n">
        <f aca="false">inv_2h26</f>
        <v>21.3</v>
      </c>
      <c r="G3400" s="38" t="n">
        <f aca="false">Sens!$E$3400+Sens!$F$3400</f>
        <v>61.067</v>
      </c>
      <c r="H3400" s="39" t="n">
        <v>0</v>
      </c>
      <c r="I3400" s="39" t="n">
        <v>0</v>
      </c>
      <c r="J3400" s="39" t="n">
        <v>0</v>
      </c>
      <c r="K3400" s="39" t="n">
        <v>0</v>
      </c>
      <c r="L3400" s="39" t="n">
        <v>0</v>
      </c>
      <c r="M3400" s="39" t="n">
        <v>0</v>
      </c>
    </row>
    <row r="3401" customFormat="false" ht="17.15" hidden="false" customHeight="false" outlineLevel="0" collapsed="false">
      <c r="A3401" s="5" t="s">
        <v>800</v>
      </c>
      <c r="B3401" s="0" t="s">
        <v>86</v>
      </c>
      <c r="F3401" s="38" t="n">
        <f aca="false">iss_2h26</f>
        <v>29.249999</v>
      </c>
      <c r="G3401" s="38" t="n">
        <f aca="false">Sens!$F$3401</f>
        <v>29.249999</v>
      </c>
      <c r="H3401" s="39" t="n">
        <v>0</v>
      </c>
      <c r="I3401" s="39" t="n">
        <v>0</v>
      </c>
      <c r="J3401" s="39" t="n">
        <v>0</v>
      </c>
      <c r="K3401" s="39" t="n">
        <v>0</v>
      </c>
      <c r="L3401" s="39" t="n">
        <v>0</v>
      </c>
      <c r="M3401" s="39" t="n">
        <v>0</v>
      </c>
    </row>
    <row r="3402" customFormat="false" ht="17.15" hidden="false" customHeight="false" outlineLevel="0" collapsed="false">
      <c r="A3402" s="5" t="s">
        <v>801</v>
      </c>
      <c r="B3402" s="0" t="s">
        <v>86</v>
      </c>
      <c r="F3402" s="38" t="n">
        <f aca="false">cash_q2</f>
        <v>122.988</v>
      </c>
      <c r="G3402" s="38" t="n">
        <f aca="false">cash_q2</f>
        <v>122.988</v>
      </c>
      <c r="H3402" s="38" t="n">
        <f aca="false">Sens!$G$3405</f>
        <v>89.5023006151187</v>
      </c>
      <c r="I3402" s="38" t="n">
        <f aca="false">Sens!$H$3405</f>
        <v>50</v>
      </c>
      <c r="J3402" s="38" t="n">
        <f aca="false">Sens!$I$3405</f>
        <v>50</v>
      </c>
      <c r="K3402" s="38" t="n">
        <f aca="false">Sens!$J$3405</f>
        <v>74.4660297433343</v>
      </c>
      <c r="L3402" s="38" t="n">
        <f aca="false">Sens!$K$3405</f>
        <v>197.470139832857</v>
      </c>
      <c r="M3402" s="38" t="n">
        <f aca="false">Sens!$L$3405</f>
        <v>381.611404238154</v>
      </c>
    </row>
    <row r="3403" customFormat="false" ht="15" hidden="false" customHeight="false" outlineLevel="0" collapsed="false">
      <c r="A3403" s="5" t="s">
        <v>802</v>
      </c>
      <c r="B3403" s="0" t="s">
        <v>86</v>
      </c>
      <c r="F3403" s="38" t="n">
        <f aca="false">Sens!$F$3402+Sens!$F$3399-Sens!$F$3398-Sens!$F$3400+Sens!$F$3401</f>
        <v>89.5023006151187</v>
      </c>
      <c r="H3403" s="38" t="n">
        <f aca="false">Sens!$H$3402+Sens!$H$3399-Sens!$H$3398-Sens!$H$3400+Sens!$H$3401</f>
        <v>33.4774191112726</v>
      </c>
      <c r="I3403" s="38" t="n">
        <f aca="false">Sens!$I$3402+Sens!$I$3399-Sens!$I$3398-Sens!$I$3400+Sens!$I$3401</f>
        <v>32.9881037896017</v>
      </c>
      <c r="J3403" s="38" t="n">
        <f aca="false">Sens!$J$3402+Sens!$J$3399-Sens!$J$3398-Sens!$J$3400+Sens!$J$3401</f>
        <v>74.4660297433343</v>
      </c>
      <c r="K3403" s="38" t="n">
        <f aca="false">Sens!$K$3402+Sens!$K$3399-Sens!$K$3398-Sens!$K$3400+Sens!$K$3401</f>
        <v>197.470139832857</v>
      </c>
      <c r="L3403" s="38" t="n">
        <f aca="false">Sens!$L$3402+Sens!$L$3399-Sens!$L$3398-Sens!$L$3400+Sens!$L$3401</f>
        <v>381.611404238154</v>
      </c>
      <c r="M3403" s="38" t="n">
        <f aca="false">Sens!$M$3402+Sens!$M$3399-Sens!$M$3398-Sens!$M$3400+Sens!$M$3401</f>
        <v>597.85368964437</v>
      </c>
    </row>
    <row r="3404" customFormat="false" ht="17.15" hidden="false" customHeight="false" outlineLevel="0" collapsed="false">
      <c r="A3404" s="5" t="s">
        <v>803</v>
      </c>
      <c r="B3404" s="0" t="s">
        <v>86</v>
      </c>
      <c r="F3404" s="38" t="n">
        <f aca="false">MAX(0,min_cash-Sens!$F$3403)</f>
        <v>0</v>
      </c>
      <c r="G3404" s="38" t="n">
        <f aca="false">Sens!$F$3404</f>
        <v>0</v>
      </c>
      <c r="H3404" s="38" t="n">
        <f aca="false">MAX(0,min_cash-Sens!$H$3403)</f>
        <v>16.5225808887274</v>
      </c>
      <c r="I3404" s="38" t="n">
        <f aca="false">MAX(0,min_cash-Sens!$I$3403)</f>
        <v>17.0118962103983</v>
      </c>
      <c r="J3404" s="38" t="n">
        <f aca="false">MAX(0,min_cash-Sens!$J$3403)</f>
        <v>0</v>
      </c>
      <c r="K3404" s="38" t="n">
        <f aca="false">MAX(0,min_cash-Sens!$K$3403)</f>
        <v>0</v>
      </c>
      <c r="L3404" s="38" t="n">
        <f aca="false">MAX(0,min_cash-Sens!$L$3403)</f>
        <v>0</v>
      </c>
      <c r="M3404" s="38" t="n">
        <f aca="false">MAX(0,min_cash-Sens!$M$3403)</f>
        <v>0</v>
      </c>
      <c r="P3404" s="5" t="s">
        <v>804</v>
      </c>
    </row>
    <row r="3405" customFormat="false" ht="15" hidden="false" customHeight="false" outlineLevel="0" collapsed="false">
      <c r="A3405" s="5" t="s">
        <v>805</v>
      </c>
      <c r="B3405" s="0" t="s">
        <v>86</v>
      </c>
      <c r="D3405" s="38" t="n">
        <f aca="false">Q!$E$61</f>
        <v>123.029</v>
      </c>
      <c r="E3405" s="38" t="n">
        <f aca="false">Q!$M$61</f>
        <v>122.988</v>
      </c>
      <c r="F3405" s="38" t="n">
        <f aca="false">Sens!$F$3403+Sens!$F$3404</f>
        <v>89.5023006151187</v>
      </c>
      <c r="G3405" s="38" t="n">
        <f aca="false">Sens!$F$3405</f>
        <v>89.5023006151187</v>
      </c>
      <c r="H3405" s="38" t="n">
        <f aca="false">Sens!$H$3403+Sens!$H$3404</f>
        <v>50</v>
      </c>
      <c r="I3405" s="38" t="n">
        <f aca="false">Sens!$I$3403+Sens!$I$3404</f>
        <v>50</v>
      </c>
      <c r="J3405" s="38" t="n">
        <f aca="false">Sens!$J$3403+Sens!$J$3404</f>
        <v>74.4660297433343</v>
      </c>
      <c r="K3405" s="38" t="n">
        <f aca="false">Sens!$K$3403+Sens!$K$3404</f>
        <v>197.470139832857</v>
      </c>
      <c r="L3405" s="38" t="n">
        <f aca="false">Sens!$L$3403+Sens!$L$3404</f>
        <v>381.611404238154</v>
      </c>
      <c r="M3405" s="38" t="n">
        <f aca="false">Sens!$M$3403+Sens!$M$3404</f>
        <v>597.85368964437</v>
      </c>
    </row>
    <row r="3406" customFormat="false" ht="15" hidden="false" customHeight="false" outlineLevel="0" collapsed="false">
      <c r="A3406" s="5" t="s">
        <v>806</v>
      </c>
      <c r="B3406" s="0" t="s">
        <v>86</v>
      </c>
      <c r="D3406" s="38" t="n">
        <f aca="false">Q!$E$62</f>
        <v>68.836</v>
      </c>
      <c r="E3406" s="38" t="n">
        <f aca="false">Q!$M$62</f>
        <v>132.995</v>
      </c>
      <c r="F3406" s="38" t="n">
        <f aca="false">debt_q2+Sens!$F$3401+Sens!$F$3404</f>
        <v>162.244999</v>
      </c>
      <c r="G3406" s="38" t="n">
        <f aca="false">Sens!$F$3406</f>
        <v>162.244999</v>
      </c>
      <c r="H3406" s="38" t="n">
        <f aca="false">Sens!$G$3406+Sens!$H$3404</f>
        <v>178.767579888727</v>
      </c>
      <c r="I3406" s="38" t="n">
        <f aca="false">Sens!$H$3406+Sens!$I$3404</f>
        <v>195.779476099126</v>
      </c>
      <c r="J3406" s="38" t="n">
        <f aca="false">Sens!$I$3406+Sens!$J$3404</f>
        <v>195.779476099126</v>
      </c>
      <c r="K3406" s="38" t="n">
        <f aca="false">Sens!$J$3406+Sens!$K$3404</f>
        <v>195.779476099126</v>
      </c>
      <c r="L3406" s="38" t="n">
        <f aca="false">Sens!$K$3406+Sens!$L$3404</f>
        <v>195.779476099126</v>
      </c>
      <c r="M3406" s="38" t="n">
        <f aca="false">Sens!$L$3406+Sens!$M$3404</f>
        <v>195.779476099126</v>
      </c>
    </row>
    <row r="3407" customFormat="false" ht="15" hidden="false" customHeight="false" outlineLevel="0" collapsed="false">
      <c r="A3407" s="5" t="s">
        <v>807</v>
      </c>
      <c r="B3407" s="0" t="s">
        <v>86</v>
      </c>
      <c r="D3407" s="38" t="n">
        <f aca="false">Sens!$D$3406-Sens!$D$3405</f>
        <v>-54.193</v>
      </c>
      <c r="E3407" s="38" t="n">
        <f aca="false">Sens!$E$3406-Sens!$E$3405</f>
        <v>10.007</v>
      </c>
      <c r="F3407" s="38" t="n">
        <f aca="false">Sens!$F$3406-Sens!$F$3405</f>
        <v>72.7426983848813</v>
      </c>
      <c r="G3407" s="38" t="n">
        <f aca="false">Sens!$G$3406-Sens!$G$3405</f>
        <v>72.7426983848813</v>
      </c>
      <c r="H3407" s="38" t="n">
        <f aca="false">Sens!$H$3406-Sens!$H$3405</f>
        <v>128.767579888727</v>
      </c>
      <c r="I3407" s="38" t="n">
        <f aca="false">Sens!$I$3406-Sens!$I$3405</f>
        <v>145.779476099126</v>
      </c>
      <c r="J3407" s="38" t="n">
        <f aca="false">Sens!$J$3406-Sens!$J$3405</f>
        <v>121.313446355791</v>
      </c>
      <c r="K3407" s="38" t="n">
        <f aca="false">Sens!$K$3406-Sens!$K$3405</f>
        <v>-1.69066373373158</v>
      </c>
      <c r="L3407" s="38" t="n">
        <f aca="false">Sens!$L$3406-Sens!$L$3405</f>
        <v>-185.831928139028</v>
      </c>
      <c r="M3407" s="38" t="n">
        <f aca="false">Sens!$M$3406-Sens!$M$3405</f>
        <v>-402.074213545244</v>
      </c>
    </row>
    <row r="3408" customFormat="false" ht="17.15" hidden="false" customHeight="false" outlineLevel="0" collapsed="false">
      <c r="A3408" s="5" t="s">
        <v>808</v>
      </c>
      <c r="B3408" s="0" t="s">
        <v>86</v>
      </c>
      <c r="F3408" s="38" t="n">
        <f aca="false">debt_q2*kd_book*0.5+iss_2h26*kd_new*iss_t</f>
        <v>3.24888962733561</v>
      </c>
      <c r="H3408" s="38" t="n">
        <f aca="false">debt_q2*kd_book+(Sens!$G$3406-debt_q2)*kd_new</f>
        <v>7.42354172302123</v>
      </c>
      <c r="I3408" s="38" t="n">
        <f aca="false">debt_q2*kd_book+(Sens!$H$3406-debt_q2)*kd_new</f>
        <v>8.46942109327767</v>
      </c>
      <c r="J3408" s="38" t="n">
        <f aca="false">debt_q2*kd_book+(Sens!$I$3406-debt_q2)*kd_new</f>
        <v>9.54627412339588</v>
      </c>
      <c r="K3408" s="38" t="n">
        <f aca="false">debt_q2*kd_book+(Sens!$J$3406-debt_q2)*kd_new</f>
        <v>9.54627412339588</v>
      </c>
      <c r="L3408" s="38" t="n">
        <f aca="false">debt_q2*kd_book+(Sens!$K$3406-debt_q2)*kd_new</f>
        <v>9.54627412339588</v>
      </c>
      <c r="M3408" s="38" t="n">
        <f aca="false">debt_q2*kd_book+(Sens!$L$3406-debt_q2)*kd_new</f>
        <v>9.54627412339588</v>
      </c>
    </row>
    <row r="3409" customFormat="false" ht="17.15" hidden="false" customHeight="false" outlineLevel="0" collapsed="false">
      <c r="A3409" s="5" t="s">
        <v>809</v>
      </c>
      <c r="B3409" s="0" t="s">
        <v>86</v>
      </c>
      <c r="F3409" s="38" t="n">
        <f aca="false">cash_q2*y_cash*0.5</f>
        <v>2.59</v>
      </c>
      <c r="H3409" s="38" t="n">
        <f aca="false">Sens!$G$3405*y_cash</f>
        <v>3.76965165045626</v>
      </c>
      <c r="I3409" s="38" t="n">
        <f aca="false">Sens!$H$3405*y_cash</f>
        <v>2.10589651022864</v>
      </c>
      <c r="J3409" s="38" t="n">
        <f aca="false">Sens!$I$3405*y_cash</f>
        <v>2.10589651022864</v>
      </c>
      <c r="K3409" s="38" t="n">
        <f aca="false">Sens!$J$3405*y_cash</f>
        <v>3.13635504334139</v>
      </c>
      <c r="L3409" s="38" t="n">
        <f aca="false">Sens!$K$3405*y_cash</f>
        <v>8.31703356696752</v>
      </c>
      <c r="M3409" s="38" t="n">
        <f aca="false">Sens!$L$3405*y_cash</f>
        <v>16.0726824889716</v>
      </c>
    </row>
    <row r="3410" customFormat="false" ht="17.15" hidden="false" customHeight="false" outlineLevel="0" collapsed="false">
      <c r="A3410" s="47" t="s">
        <v>810</v>
      </c>
      <c r="B3410" s="14" t="s">
        <v>86</v>
      </c>
      <c r="C3410" s="14"/>
      <c r="D3410" s="14"/>
      <c r="E3410" s="14"/>
      <c r="F3410" s="14"/>
      <c r="G3410" s="48" t="n">
        <f aca="false">SUM(Sens!$G$3399:$K$3399)</f>
        <v>7.30666373373157</v>
      </c>
      <c r="H3410" s="14"/>
      <c r="I3410" s="14"/>
      <c r="J3410" s="14"/>
      <c r="K3410" s="14"/>
      <c r="L3410" s="14"/>
      <c r="M3410" s="14"/>
      <c r="N3410" s="14"/>
      <c r="O3410" s="14"/>
    </row>
    <row r="3411" customFormat="false" ht="17.15" hidden="false" customHeight="false" outlineLevel="0" collapsed="false">
      <c r="A3411" s="0" t="s">
        <v>776</v>
      </c>
      <c r="B3411" s="0" t="s">
        <v>86</v>
      </c>
      <c r="G3411" s="38" t="n">
        <f aca="false">SUM(Sens!$G$3404:$K$3404)</f>
        <v>33.5344770991257</v>
      </c>
    </row>
    <row r="3412" customFormat="false" ht="17.15" hidden="false" customHeight="false" outlineLevel="0" collapsed="false">
      <c r="A3412" s="24" t="s">
        <v>813</v>
      </c>
      <c r="B3412" s="25" t="s">
        <v>86</v>
      </c>
      <c r="C3412" s="25"/>
      <c r="D3412" s="25"/>
      <c r="E3412" s="25"/>
      <c r="F3412" s="25"/>
      <c r="G3412" s="41" t="n">
        <f aca="false">Sens!$G$3410-(Sens!$G$3399+Sens!$H$3399+Sens!$I$3399+Sens!$J$3399+Sens!$K$3399)</f>
        <v>-2.8421709430404E-014</v>
      </c>
      <c r="H3412" s="25"/>
      <c r="I3412" s="25"/>
      <c r="J3412" s="25"/>
      <c r="K3412" s="25"/>
      <c r="L3412" s="25"/>
      <c r="M3412" s="25"/>
      <c r="N3412" s="25"/>
      <c r="O3412" s="25"/>
    </row>
    <row r="3415" customFormat="false" ht="19.4" hidden="false" customHeight="false" outlineLevel="0" collapsed="false">
      <c r="A3415" s="31" t="s">
        <v>1204</v>
      </c>
    </row>
    <row r="3416" customFormat="false" ht="17.15" hidden="false" customHeight="false" outlineLevel="0" collapsed="false">
      <c r="A3416" s="6" t="s">
        <v>16</v>
      </c>
      <c r="B3416" s="6" t="s">
        <v>17</v>
      </c>
      <c r="C3416" s="20" t="s">
        <v>497</v>
      </c>
      <c r="D3416" s="20" t="s">
        <v>498</v>
      </c>
      <c r="E3416" s="20" t="s">
        <v>580</v>
      </c>
      <c r="F3416" s="20" t="s">
        <v>581</v>
      </c>
      <c r="G3416" s="20" t="s">
        <v>582</v>
      </c>
      <c r="H3416" s="20" t="s">
        <v>583</v>
      </c>
      <c r="I3416" s="20" t="s">
        <v>584</v>
      </c>
      <c r="J3416" s="20" t="s">
        <v>585</v>
      </c>
      <c r="K3416" s="20" t="s">
        <v>586</v>
      </c>
      <c r="L3416" s="20" t="s">
        <v>587</v>
      </c>
      <c r="M3416" s="20" t="s">
        <v>588</v>
      </c>
      <c r="N3416" s="20" t="s">
        <v>589</v>
      </c>
      <c r="O3416" s="20" t="s">
        <v>590</v>
      </c>
      <c r="P3416" s="6" t="s">
        <v>23</v>
      </c>
      <c r="R3416" s="20" t="n">
        <v>2023</v>
      </c>
      <c r="S3416" s="20" t="n">
        <v>2024</v>
      </c>
      <c r="T3416" s="20" t="n">
        <v>2025</v>
      </c>
      <c r="U3416" s="20" t="n">
        <v>2026</v>
      </c>
      <c r="V3416" s="20" t="n">
        <v>2027</v>
      </c>
      <c r="W3416" s="20" t="n">
        <v>2028</v>
      </c>
      <c r="X3416" s="20" t="n">
        <v>2029</v>
      </c>
      <c r="Y3416" s="20" t="n">
        <v>2030</v>
      </c>
      <c r="Z3416" s="20" t="n">
        <v>2031</v>
      </c>
      <c r="AA3416" s="20" t="n">
        <v>2032</v>
      </c>
    </row>
    <row r="3417" customFormat="false" ht="17.15" hidden="false" customHeight="false" outlineLevel="0" collapsed="false">
      <c r="A3417" s="1" t="s">
        <v>915</v>
      </c>
    </row>
    <row r="3418" customFormat="false" ht="17.15" hidden="false" customHeight="false" outlineLevel="0" collapsed="false">
      <c r="A3418" s="0" t="s">
        <v>916</v>
      </c>
      <c r="B3418" s="0" t="s">
        <v>86</v>
      </c>
      <c r="H3418" s="38" t="n">
        <f aca="false">Sens!$H$3352*(1-tax)</f>
        <v>121.559451416612</v>
      </c>
      <c r="I3418" s="38" t="n">
        <f aca="false">Sens!$I$3352*(1-tax)</f>
        <v>147.362496280244</v>
      </c>
      <c r="J3418" s="38" t="n">
        <f aca="false">Sens!$J$3352*(1-tax)</f>
        <v>172.514967395274</v>
      </c>
      <c r="K3418" s="38" t="n">
        <f aca="false">Sens!$K$3352*(1-tax)</f>
        <v>191.455126387846</v>
      </c>
      <c r="L3418" s="38" t="n">
        <f aca="false">Sens!$L$3352*(1-tax)</f>
        <v>207.575877216366</v>
      </c>
      <c r="M3418" s="38" t="n">
        <f aca="false">Sens!$M$3352*(1-tax)</f>
        <v>220.939838149903</v>
      </c>
    </row>
    <row r="3419" customFormat="false" ht="15" hidden="false" customHeight="false" outlineLevel="0" collapsed="false">
      <c r="A3419" s="5" t="s">
        <v>917</v>
      </c>
      <c r="B3419" s="0" t="s">
        <v>86</v>
      </c>
      <c r="H3419" s="38" t="n">
        <f aca="false">Sens!$H$3363</f>
        <v>78.3593382156735</v>
      </c>
      <c r="I3419" s="38" t="n">
        <f aca="false">Sens!$I$3363</f>
        <v>111.776777788796</v>
      </c>
      <c r="J3419" s="38" t="n">
        <f aca="false">Sens!$J$3363</f>
        <v>146.233752031383</v>
      </c>
      <c r="K3419" s="38" t="n">
        <f aca="false">Sens!$K$3363</f>
        <v>181.286087832703</v>
      </c>
      <c r="L3419" s="38" t="n">
        <f aca="false">Sens!$L$3363</f>
        <v>208.154217056542</v>
      </c>
      <c r="M3419" s="38" t="n">
        <f aca="false">Sens!$M$3363</f>
        <v>228.508154402682</v>
      </c>
    </row>
    <row r="3420" customFormat="false" ht="15" hidden="false" customHeight="false" outlineLevel="0" collapsed="false">
      <c r="A3420" s="5" t="s">
        <v>918</v>
      </c>
      <c r="B3420" s="0" t="s">
        <v>86</v>
      </c>
      <c r="H3420" s="38" t="n">
        <f aca="false">Sens!$H$3394</f>
        <v>273.587296755126</v>
      </c>
      <c r="I3420" s="38" t="n">
        <f aca="false">Sens!$I$3394</f>
        <v>287.706361881827</v>
      </c>
      <c r="J3420" s="38" t="n">
        <f aca="false">Sens!$J$3394</f>
        <v>300.930753339362</v>
      </c>
      <c r="K3420" s="38" t="n">
        <f aca="false">Sens!$K$3394</f>
        <v>254.023605097273</v>
      </c>
      <c r="L3420" s="38" t="n">
        <f aca="false">Sens!$L$3394</f>
        <v>239.257726486262</v>
      </c>
      <c r="M3420" s="38" t="n">
        <f aca="false">Sens!$M$3394</f>
        <v>248.724960713524</v>
      </c>
    </row>
    <row r="3421" customFormat="false" ht="15" hidden="false" customHeight="false" outlineLevel="0" collapsed="false">
      <c r="A3421" s="5" t="s">
        <v>919</v>
      </c>
      <c r="B3421" s="0" t="s">
        <v>86</v>
      </c>
      <c r="H3421" s="38" t="n">
        <f aca="false">Sens!$H$3395</f>
        <v>1.6</v>
      </c>
      <c r="I3421" s="38" t="n">
        <f aca="false">Sens!$I$3395</f>
        <v>1.6</v>
      </c>
      <c r="J3421" s="38" t="n">
        <f aca="false">Sens!$J$3395</f>
        <v>1.6</v>
      </c>
      <c r="K3421" s="38" t="n">
        <f aca="false">Sens!$K$3395</f>
        <v>1.6</v>
      </c>
      <c r="L3421" s="38" t="n">
        <f aca="false">Sens!$L$3395</f>
        <v>1.6</v>
      </c>
      <c r="M3421" s="38" t="n">
        <f aca="false">Sens!$M$3395</f>
        <v>1.6</v>
      </c>
    </row>
    <row r="3422" customFormat="false" ht="15" hidden="false" customHeight="false" outlineLevel="0" collapsed="false">
      <c r="A3422" s="5" t="s">
        <v>920</v>
      </c>
      <c r="B3422" s="0" t="s">
        <v>86</v>
      </c>
      <c r="H3422" s="38" t="n">
        <f aca="false">Sens!$H$3389</f>
        <v>11.3056899959481</v>
      </c>
      <c r="I3422" s="38" t="n">
        <f aca="false">Sens!$I$3389</f>
        <v>12.8525717325912</v>
      </c>
      <c r="J3422" s="38" t="n">
        <f aca="false">Sens!$J$3389</f>
        <v>14.357295266249</v>
      </c>
      <c r="K3422" s="38" t="n">
        <f aca="false">Sens!$K$3389</f>
        <v>15.7105211258917</v>
      </c>
      <c r="L3422" s="38" t="n">
        <f aca="false">Sens!$L$3389</f>
        <v>16.9939058203546</v>
      </c>
      <c r="M3422" s="38" t="n">
        <f aca="false">Sens!$M$3389</f>
        <v>18.2138126714013</v>
      </c>
    </row>
    <row r="3423" customFormat="false" ht="17.15" hidden="false" customHeight="false" outlineLevel="0" collapsed="false">
      <c r="A3423" s="1" t="s">
        <v>921</v>
      </c>
      <c r="B3423" s="8" t="s">
        <v>86</v>
      </c>
      <c r="H3423" s="38" t="n">
        <f aca="false">Sens!$H$3418+Sens!$H$3419-Sens!$H$3420+Sens!$H$3422</f>
        <v>-62.3628171268925</v>
      </c>
      <c r="I3423" s="38" t="n">
        <f aca="false">Sens!$I$3418+Sens!$I$3419-Sens!$I$3420+Sens!$I$3422</f>
        <v>-15.7145160801963</v>
      </c>
      <c r="J3423" s="38" t="n">
        <f aca="false">Sens!$J$3418+Sens!$J$3419-Sens!$J$3420+Sens!$J$3422</f>
        <v>32.1752613535443</v>
      </c>
      <c r="K3423" s="38" t="n">
        <f aca="false">Sens!$K$3418+Sens!$K$3419-Sens!$K$3420+Sens!$K$3422</f>
        <v>134.428130249167</v>
      </c>
      <c r="L3423" s="38" t="n">
        <f aca="false">Sens!$L$3418+Sens!$L$3419-Sens!$L$3420+Sens!$L$3422</f>
        <v>193.466273607001</v>
      </c>
      <c r="M3423" s="38" t="n">
        <f aca="false">Sens!$M$3418+Sens!$M$3419-Sens!$M$3420+Sens!$M$3422</f>
        <v>218.936844510462</v>
      </c>
    </row>
    <row r="3424" customFormat="false" ht="15" hidden="false" customHeight="false" outlineLevel="0" collapsed="false">
      <c r="A3424" s="5" t="s">
        <v>922</v>
      </c>
      <c r="B3424" s="0" t="s">
        <v>57</v>
      </c>
      <c r="H3424" s="40" t="n">
        <f aca="false">1/(1+wacc)^(2027-2026-0.5)</f>
        <v>0.947751320380232</v>
      </c>
      <c r="I3424" s="40" t="n">
        <f aca="false">1/(1+wacc)^(2028-2026-0.5)</f>
        <v>0.851301099754987</v>
      </c>
      <c r="J3424" s="40" t="n">
        <f aca="false">1/(1+wacc)^(2029-2026-0.5)</f>
        <v>0.764666370660713</v>
      </c>
      <c r="K3424" s="40" t="n">
        <f aca="false">1/(1+wacc)^(2030-2026-0.5)</f>
        <v>0.686848235703811</v>
      </c>
      <c r="L3424" s="40" t="n">
        <f aca="false">1/(1+wacc)^(2031-2026-0.5)</f>
        <v>0.616949452715975</v>
      </c>
      <c r="M3424" s="40" t="n">
        <f aca="false">1/(1+wacc)^(2032-2026-0.5)</f>
        <v>0.554164089562688</v>
      </c>
    </row>
    <row r="3425" customFormat="false" ht="15" hidden="false" customHeight="false" outlineLevel="0" collapsed="false">
      <c r="A3425" s="5" t="s">
        <v>923</v>
      </c>
      <c r="B3425" s="0" t="s">
        <v>86</v>
      </c>
      <c r="H3425" s="38" t="n">
        <f aca="false">Sens!$H$3423*Sens!$H$3424</f>
        <v>-59.1044422746433</v>
      </c>
      <c r="I3425" s="38" t="n">
        <f aca="false">Sens!$I$3423*Sens!$I$3424</f>
        <v>-13.3777848211886</v>
      </c>
      <c r="J3425" s="38" t="n">
        <f aca="false">Sens!$J$3423*Sens!$J$3424</f>
        <v>24.6033403242746</v>
      </c>
      <c r="K3425" s="38" t="n">
        <f aca="false">Sens!$K$3423*Sens!$K$3424</f>
        <v>92.3317240906028</v>
      </c>
      <c r="L3425" s="38" t="n">
        <f aca="false">Sens!$L$3423*Sens!$L$3424</f>
        <v>119.358911620838</v>
      </c>
      <c r="M3425" s="38" t="n">
        <f aca="false">Sens!$M$3423*Sens!$M$3424</f>
        <v>121.326937109868</v>
      </c>
    </row>
    <row r="3426" customFormat="false" ht="15" hidden="false" customHeight="false" outlineLevel="0" collapsed="false">
      <c r="A3426" s="5" t="s">
        <v>924</v>
      </c>
      <c r="B3426" s="0" t="s">
        <v>86</v>
      </c>
      <c r="C3426" s="38" t="n">
        <f aca="false">SUM(Sens!$H$3425:$M$3425)</f>
        <v>285.138686049752</v>
      </c>
    </row>
    <row r="3427" customFormat="false" ht="17.15" hidden="false" customHeight="false" outlineLevel="0" collapsed="false">
      <c r="A3427" s="5" t="s">
        <v>925</v>
      </c>
      <c r="B3427" s="0" t="s">
        <v>86</v>
      </c>
      <c r="C3427" s="38" t="n">
        <f aca="false">Sens!$M$3418*(1+tg)*(1-tg/ronic)/(wacc-tg)</f>
        <v>2008.5896720271</v>
      </c>
    </row>
    <row r="3428" customFormat="false" ht="15" hidden="false" customHeight="false" outlineLevel="0" collapsed="false">
      <c r="A3428" s="5" t="s">
        <v>926</v>
      </c>
      <c r="B3428" s="0" t="s">
        <v>86</v>
      </c>
      <c r="C3428" s="38" t="n">
        <f aca="false">Sens!$C$3427/(1+wacc)^6</f>
        <v>1054.93087465793</v>
      </c>
    </row>
    <row r="3429" customFormat="false" ht="17.15" hidden="false" customHeight="false" outlineLevel="0" collapsed="false">
      <c r="A3429" s="5" t="s">
        <v>927</v>
      </c>
      <c r="B3429" s="0" t="s">
        <v>86</v>
      </c>
      <c r="C3429" s="38" t="n">
        <f aca="false">Sens!$C$3426+Sens!$C$3428</f>
        <v>1340.06956070768</v>
      </c>
    </row>
    <row r="3430" customFormat="false" ht="17.15" hidden="false" customHeight="false" outlineLevel="0" collapsed="false">
      <c r="A3430" s="5" t="s">
        <v>928</v>
      </c>
      <c r="B3430" s="0" t="s">
        <v>52</v>
      </c>
      <c r="C3430" s="13" t="n">
        <f aca="false">Sens!$C$3428/Sens!$C$3429</f>
        <v>0.787220981350273</v>
      </c>
    </row>
    <row r="3431" customFormat="false" ht="17.15" hidden="false" customHeight="false" outlineLevel="0" collapsed="false">
      <c r="A3431" s="5" t="s">
        <v>929</v>
      </c>
      <c r="B3431" s="0" t="s">
        <v>86</v>
      </c>
      <c r="C3431" s="38" t="n">
        <f aca="false">Sens!$G$3407+fin_debt</f>
        <v>97.2636983848813</v>
      </c>
    </row>
    <row r="3432" customFormat="false" ht="17.15" hidden="false" customHeight="false" outlineLevel="0" collapsed="false">
      <c r="A3432" s="5" t="s">
        <v>930</v>
      </c>
      <c r="B3432" s="0" t="s">
        <v>86</v>
      </c>
      <c r="C3432" s="38" t="n">
        <f aca="false">(ant_val*ant_sh+oai_val*oai_sh)*(1-liq_disc)</f>
        <v>178.944</v>
      </c>
    </row>
    <row r="3433" customFormat="false" ht="15" hidden="false" customHeight="false" outlineLevel="0" collapsed="false">
      <c r="A3433" s="5" t="s">
        <v>931</v>
      </c>
      <c r="B3433" s="0" t="s">
        <v>86</v>
      </c>
      <c r="C3433" s="38" t="n">
        <f aca="false">Sens!$C$3429-Sens!$C$3431+Sens!$C$3432</f>
        <v>1421.7498623228</v>
      </c>
    </row>
    <row r="3434" customFormat="false" ht="17.15" hidden="false" customHeight="false" outlineLevel="0" collapsed="false">
      <c r="A3434" s="5" t="s">
        <v>932</v>
      </c>
      <c r="B3434" s="0" t="s">
        <v>27</v>
      </c>
      <c r="C3434" s="30" t="n">
        <f aca="false">Sens!$C$3433/sh_out</f>
        <v>131.810539014792</v>
      </c>
    </row>
    <row r="3435" customFormat="false" ht="17.15" hidden="false" customHeight="false" outlineLevel="0" collapsed="false">
      <c r="A3435" s="1" t="s">
        <v>933</v>
      </c>
      <c r="B3435" s="8" t="s">
        <v>27</v>
      </c>
      <c r="C3435" s="30" t="n">
        <f aca="false">Sens!$C$3434*(1+ke)^tp_yf-dps*tp_yf</f>
        <v>144.381158073833</v>
      </c>
    </row>
    <row r="3436" customFormat="false" ht="17.15" hidden="false" customHeight="false" outlineLevel="0" collapsed="false">
      <c r="A3436" s="3" t="s">
        <v>934</v>
      </c>
    </row>
    <row r="3437" customFormat="false" ht="17.15" hidden="false" customHeight="false" outlineLevel="0" collapsed="false">
      <c r="A3437" s="5" t="s">
        <v>935</v>
      </c>
      <c r="B3437" s="0" t="s">
        <v>86</v>
      </c>
      <c r="C3437" s="38" t="n">
        <f aca="false">(1-tp_yf)*(Sens!$H$3364+sbc_ab*Sens!$H$3388*Sens!$H$3228/Sens!$H$3305)+tp_yf*(Sens!$I$3364+sbc_ab*Sens!$I$3388*Sens!$I$3228/Sens!$I$3305)</f>
        <v>59.634664536349</v>
      </c>
    </row>
    <row r="3438" customFormat="false" ht="15" hidden="false" customHeight="false" outlineLevel="0" collapsed="false">
      <c r="A3438" s="5" t="s">
        <v>936</v>
      </c>
      <c r="B3438" s="0" t="s">
        <v>57</v>
      </c>
      <c r="C3438" s="30" t="n">
        <f aca="false">m_ads*m_x</f>
        <v>9.11</v>
      </c>
    </row>
    <row r="3439" customFormat="false" ht="17.15" hidden="false" customHeight="false" outlineLevel="0" collapsed="false">
      <c r="A3439" s="5" t="s">
        <v>937</v>
      </c>
      <c r="B3439" s="0" t="s">
        <v>86</v>
      </c>
      <c r="C3439" s="38" t="n">
        <f aca="false">Sens!$C$3437*Sens!$C$3438</f>
        <v>543.271793926139</v>
      </c>
    </row>
    <row r="3440" customFormat="false" ht="17.15" hidden="false" customHeight="false" outlineLevel="0" collapsed="false">
      <c r="A3440" s="5" t="s">
        <v>938</v>
      </c>
      <c r="B3440" s="0" t="s">
        <v>86</v>
      </c>
      <c r="C3440" s="38" t="n">
        <f aca="false">(1-tp_yf)*(Sens!$H$3365+sbc_ab*Sens!$H$3388*(Sens!$H$3235-Sens!$H$3228)/Sens!$H$3305+IF(internal_ai_reading=2,1,0)*(1-ext_sh)*Sens!$H$3265)+tp_yf*(Sens!$I$3365+sbc_ab*Sens!$I$3388*(Sens!$I$3235-Sens!$I$3228)/Sens!$I$3305+IF(internal_ai_reading=2,1,0)*(1-ext_sh)*Sens!$I$3265)</f>
        <v>51.2224827206816</v>
      </c>
    </row>
    <row r="3441" customFormat="false" ht="17.15" hidden="false" customHeight="false" outlineLevel="0" collapsed="false">
      <c r="A3441" s="5" t="s">
        <v>939</v>
      </c>
      <c r="B3441" s="0" t="s">
        <v>57</v>
      </c>
      <c r="C3441" s="30" t="n">
        <f aca="false">m_retail*m_x</f>
        <v>17.72</v>
      </c>
    </row>
    <row r="3442" customFormat="false" ht="17.15" hidden="false" customHeight="false" outlineLevel="0" collapsed="false">
      <c r="A3442" s="5" t="s">
        <v>940</v>
      </c>
      <c r="B3442" s="0" t="s">
        <v>86</v>
      </c>
      <c r="C3442" s="38" t="n">
        <f aca="false">Sens!$C$3440*Sens!$C$3441</f>
        <v>907.662393810478</v>
      </c>
    </row>
    <row r="3443" customFormat="false" ht="17.15" hidden="false" customHeight="false" outlineLevel="0" collapsed="false">
      <c r="A3443" s="0" t="s">
        <v>941</v>
      </c>
      <c r="B3443" s="0" t="s">
        <v>86</v>
      </c>
      <c r="C3443" s="38" t="n">
        <f aca="false">(1-tp_yf)*(Sens!$H$3366+sbc_ab*Sens!$H$3388*Sens!$H$3303/Sens!$H$3305)+tp_yf*(Sens!$I$3366+sbc_ab*Sens!$I$3388*Sens!$I$3303/Sens!$I$3305)</f>
        <v>97.9805967345104</v>
      </c>
    </row>
    <row r="3444" customFormat="false" ht="17.15" hidden="false" customHeight="false" outlineLevel="0" collapsed="false">
      <c r="A3444" s="0" t="s">
        <v>942</v>
      </c>
      <c r="B3444" s="0" t="s">
        <v>57</v>
      </c>
      <c r="C3444" s="30" t="n">
        <f aca="false">m_cloud*m_x</f>
        <v>13.82</v>
      </c>
    </row>
    <row r="3445" customFormat="false" ht="17.15" hidden="false" customHeight="false" outlineLevel="0" collapsed="false">
      <c r="A3445" s="0" t="s">
        <v>943</v>
      </c>
      <c r="B3445" s="0" t="s">
        <v>86</v>
      </c>
      <c r="C3445" s="38" t="n">
        <f aca="false">Sens!$C$3443*Sens!$C$3444</f>
        <v>1354.09184687093</v>
      </c>
    </row>
    <row r="3446" customFormat="false" ht="17.15" hidden="false" customHeight="false" outlineLevel="0" collapsed="false">
      <c r="A3446" s="0" t="s">
        <v>944</v>
      </c>
      <c r="B3446" s="0" t="s">
        <v>86</v>
      </c>
      <c r="H3446" s="38" t="n">
        <f aca="false">Sens!$H$3284-tax*Sens!$H$3285-ext_sh*Sens!$H$3272</f>
        <v>-115.885394236225</v>
      </c>
      <c r="I3446" s="38" t="n">
        <f aca="false">Sens!$I$3284-tax*Sens!$I$3285-ext_sh*Sens!$I$3272</f>
        <v>-89.5935137276694</v>
      </c>
      <c r="J3446" s="38" t="n">
        <f aca="false">Sens!$J$3284-tax*Sens!$J$3285-ext_sh*Sens!$J$3272</f>
        <v>-62.3510647460279</v>
      </c>
      <c r="K3446" s="38" t="n">
        <f aca="false">Sens!$K$3284-tax*Sens!$K$3285-ext_sh*Sens!$K$3272</f>
        <v>8.85932514072565</v>
      </c>
      <c r="L3446" s="38" t="n">
        <f aca="false">Sens!$L$3284-tax*Sens!$L$3285-ext_sh*Sens!$L$3272</f>
        <v>45.6968344120177</v>
      </c>
      <c r="M3446" s="38" t="n">
        <f aca="false">Sens!$M$3284-tax*Sens!$M$3285-ext_sh*Sens!$M$3272</f>
        <v>54.7466688757428</v>
      </c>
    </row>
    <row r="3447" customFormat="false" ht="17.15" hidden="false" customHeight="false" outlineLevel="0" collapsed="false">
      <c r="A3447" s="5" t="s">
        <v>945</v>
      </c>
      <c r="B3447" s="0" t="s">
        <v>86</v>
      </c>
      <c r="H3447" s="38" t="n">
        <f aca="false">Sens!$H$3446*Sens!$H$3424</f>
        <v>-109.830535400166</v>
      </c>
      <c r="I3447" s="38" t="n">
        <f aca="false">Sens!$I$3446*Sens!$I$3424</f>
        <v>-76.2710567672785</v>
      </c>
      <c r="J3447" s="38" t="n">
        <f aca="false">Sens!$J$3446*Sens!$J$3424</f>
        <v>-47.6777623861763</v>
      </c>
      <c r="K3447" s="38" t="n">
        <f aca="false">Sens!$K$3446*Sens!$K$3424</f>
        <v>6.08501184243383</v>
      </c>
      <c r="L3447" s="38" t="n">
        <f aca="false">Sens!$L$3446*Sens!$L$3424</f>
        <v>28.1926369813469</v>
      </c>
      <c r="M3447" s="38" t="n">
        <f aca="false">Sens!$M$3446*Sens!$M$3424</f>
        <v>30.338637914116</v>
      </c>
    </row>
    <row r="3448" customFormat="false" ht="17.15" hidden="false" customHeight="false" outlineLevel="0" collapsed="false">
      <c r="A3448" s="5" t="s">
        <v>946</v>
      </c>
      <c r="B3448" s="0" t="s">
        <v>86</v>
      </c>
      <c r="C3448" s="38" t="n">
        <f aca="false">Sens!$M$3285*(1-tax)*(1+tg)*(1-tg/ronic)/(wacc-tg)</f>
        <v>391.533160655061</v>
      </c>
    </row>
    <row r="3449" customFormat="false" ht="17.15" hidden="false" customHeight="false" outlineLevel="0" collapsed="false">
      <c r="A3449" s="0" t="s">
        <v>947</v>
      </c>
      <c r="B3449" s="0" t="s">
        <v>86</v>
      </c>
      <c r="C3449" s="38" t="n">
        <f aca="false">(SUM(Sens!$I$3447:$M$3447)+Sens!$C$3448/(1+wacc)^6)*(1+wacc)^tp_yf</f>
        <v>159.796867964901</v>
      </c>
    </row>
    <row r="3450" customFormat="false" ht="17.15" hidden="false" customHeight="false" outlineLevel="0" collapsed="false">
      <c r="A3450" s="5" t="s">
        <v>948</v>
      </c>
      <c r="B3450" s="0" t="s">
        <v>86</v>
      </c>
      <c r="C3450" s="38" t="n">
        <f aca="false">(1-tp_yf)*(Sens!$H$3367)+tp_yf*(Sens!$I$3367)</f>
        <v>74.6707041238437</v>
      </c>
    </row>
    <row r="3451" customFormat="false" ht="17.15" hidden="false" customHeight="false" outlineLevel="0" collapsed="false">
      <c r="A3451" s="5" t="s">
        <v>949</v>
      </c>
      <c r="B3451" s="0" t="s">
        <v>86</v>
      </c>
      <c r="C3451" s="38" t="n">
        <f aca="false">Sens!$C$3450*m_ai</f>
        <v>448.024224743062</v>
      </c>
    </row>
    <row r="3452" customFormat="false" ht="17.15" hidden="false" customHeight="false" outlineLevel="0" collapsed="false">
      <c r="A3452" s="0" t="s">
        <v>950</v>
      </c>
      <c r="B3452" s="0" t="s">
        <v>86</v>
      </c>
      <c r="C3452" s="38" t="n">
        <f aca="false">IF(ai_leg=1,Sens!$C$3449,Sens!$C$3451)</f>
        <v>159.796867964901</v>
      </c>
    </row>
    <row r="3453" customFormat="false" ht="17.15" hidden="false" customHeight="false" outlineLevel="0" collapsed="false">
      <c r="A3453" s="5" t="s">
        <v>951</v>
      </c>
      <c r="B3453" s="0" t="s">
        <v>86</v>
      </c>
      <c r="C3453" s="38" t="n">
        <f aca="false">Sens!$C$3439+Sens!$C$3442+Sens!$C$3445+Sens!$C$3452</f>
        <v>2964.82290257245</v>
      </c>
    </row>
    <row r="3454" customFormat="false" ht="17.15" hidden="false" customHeight="false" outlineLevel="0" collapsed="false">
      <c r="A3454" s="5" t="s">
        <v>952</v>
      </c>
      <c r="B3454" s="0" t="s">
        <v>86</v>
      </c>
      <c r="C3454" s="38" t="n">
        <f aca="false">Sens!$H$3407+fin_debt</f>
        <v>153.288579888727</v>
      </c>
    </row>
    <row r="3455" customFormat="false" ht="15" hidden="false" customHeight="false" outlineLevel="0" collapsed="false">
      <c r="A3455" s="5" t="s">
        <v>953</v>
      </c>
      <c r="B3455" s="0" t="s">
        <v>86</v>
      </c>
      <c r="C3455" s="38" t="n">
        <f aca="false">Sens!$C$3453-Sens!$C$3454+Sens!$C$3432</f>
        <v>2990.47832268372</v>
      </c>
    </row>
    <row r="3456" customFormat="false" ht="15" hidden="false" customHeight="false" outlineLevel="0" collapsed="false">
      <c r="A3456" s="3" t="s">
        <v>954</v>
      </c>
      <c r="B3456" s="8" t="s">
        <v>27</v>
      </c>
      <c r="C3456" s="30" t="n">
        <f aca="false">Sens!$C$3455/sh_val</f>
        <v>271.114523365674</v>
      </c>
    </row>
    <row r="3457" customFormat="false" ht="17.15" hidden="false" customHeight="false" outlineLevel="0" collapsed="false">
      <c r="A3457" s="47" t="s">
        <v>955</v>
      </c>
      <c r="B3457" s="14" t="s">
        <v>27</v>
      </c>
      <c r="C3457" s="44" t="n">
        <f aca="false">w_dcf*Sens!$C$3435+(1-w_dcf)*Sens!$C$3456</f>
        <v>207.747840719754</v>
      </c>
      <c r="D3457" s="14"/>
      <c r="E3457" s="14"/>
      <c r="F3457" s="14"/>
      <c r="G3457" s="14"/>
      <c r="H3457" s="14"/>
      <c r="I3457" s="14"/>
      <c r="J3457" s="14"/>
      <c r="K3457" s="14"/>
      <c r="L3457" s="14"/>
      <c r="M3457" s="14"/>
      <c r="N3457" s="14"/>
      <c r="O3457" s="14"/>
    </row>
    <row r="3458" customFormat="false" ht="17.15" hidden="false" customHeight="false" outlineLevel="0" collapsed="false">
      <c r="A3458" s="5" t="s">
        <v>956</v>
      </c>
      <c r="B3458" s="0" t="s">
        <v>27</v>
      </c>
      <c r="C3458" s="30" t="n">
        <f aca="false">v022_wdcf*Sens!$C$3435+(1-v022_wdcf)*Sens!$C$3456</f>
        <v>214.084508984346</v>
      </c>
    </row>
    <row r="3459" customFormat="false" ht="17.15" hidden="false" customHeight="false" outlineLevel="0" collapsed="false">
      <c r="A3459" s="5" t="s">
        <v>957</v>
      </c>
      <c r="B3459" s="0" t="s">
        <v>27</v>
      </c>
      <c r="C3459" s="30" t="n">
        <f aca="false">(Sens!$C$3455-Sens!$C$3452+Sens!$C$3451)/sh_val</f>
        <v>297.244999504265</v>
      </c>
    </row>
    <row r="3462" customFormat="false" ht="19.4" hidden="false" customHeight="false" outlineLevel="0" collapsed="false">
      <c r="A3462" s="31" t="s">
        <v>1205</v>
      </c>
    </row>
    <row r="3463" customFormat="false" ht="17.15" hidden="false" customHeight="false" outlineLevel="0" collapsed="false">
      <c r="A3463" s="6" t="s">
        <v>16</v>
      </c>
      <c r="B3463" s="6" t="s">
        <v>17</v>
      </c>
      <c r="C3463" s="20" t="s">
        <v>497</v>
      </c>
      <c r="D3463" s="20" t="s">
        <v>498</v>
      </c>
      <c r="E3463" s="20" t="s">
        <v>580</v>
      </c>
      <c r="F3463" s="20" t="s">
        <v>581</v>
      </c>
      <c r="G3463" s="20" t="s">
        <v>582</v>
      </c>
      <c r="H3463" s="20" t="s">
        <v>583</v>
      </c>
      <c r="I3463" s="20" t="s">
        <v>584</v>
      </c>
      <c r="J3463" s="20" t="s">
        <v>585</v>
      </c>
      <c r="K3463" s="20" t="s">
        <v>586</v>
      </c>
      <c r="L3463" s="20" t="s">
        <v>587</v>
      </c>
      <c r="M3463" s="20" t="s">
        <v>588</v>
      </c>
      <c r="N3463" s="20" t="s">
        <v>589</v>
      </c>
      <c r="O3463" s="20" t="s">
        <v>590</v>
      </c>
      <c r="P3463" s="6" t="s">
        <v>23</v>
      </c>
      <c r="R3463" s="20" t="n">
        <v>2023</v>
      </c>
      <c r="S3463" s="20" t="n">
        <v>2024</v>
      </c>
      <c r="T3463" s="20" t="n">
        <v>2025</v>
      </c>
      <c r="U3463" s="20" t="n">
        <v>2026</v>
      </c>
      <c r="V3463" s="20" t="n">
        <v>2027</v>
      </c>
      <c r="W3463" s="20" t="n">
        <v>2028</v>
      </c>
      <c r="X3463" s="20" t="n">
        <v>2029</v>
      </c>
      <c r="Y3463" s="20" t="n">
        <v>2030</v>
      </c>
      <c r="Z3463" s="20" t="n">
        <v>2031</v>
      </c>
      <c r="AA3463" s="20" t="n">
        <v>2032</v>
      </c>
    </row>
    <row r="3464" customFormat="false" ht="17.15" hidden="false" customHeight="false" outlineLevel="0" collapsed="false">
      <c r="A3464" s="1" t="s">
        <v>666</v>
      </c>
    </row>
    <row r="3465" customFormat="false" ht="17.15" hidden="false" customHeight="false" outlineLevel="0" collapsed="false">
      <c r="A3465" s="0" t="s">
        <v>519</v>
      </c>
      <c r="B3465" s="0" t="s">
        <v>86</v>
      </c>
      <c r="C3465" s="38" t="n">
        <f aca="false">Q!$D$10</f>
        <v>247.029</v>
      </c>
      <c r="D3465" s="38" t="n">
        <f aca="false">Q!$E$10</f>
        <v>269.287</v>
      </c>
      <c r="E3465" s="38" t="n">
        <f aca="false">Q!$P$10</f>
        <v>134.686</v>
      </c>
      <c r="F3465" s="38" t="n">
        <f aca="false">Sens!$O$3465*(1+Sens!$F$3466)*Sens!$F$3477</f>
        <v>158.293876822267</v>
      </c>
      <c r="G3465" s="38" t="n">
        <f aca="false">Sens!$E$3465+Sens!$F$3465</f>
        <v>292.979876822267</v>
      </c>
      <c r="H3465" s="38" t="n">
        <f aca="false">Sens!$G$3465*(1+Sens!$H$3466)</f>
        <v>318.184543087396</v>
      </c>
      <c r="I3465" s="38" t="n">
        <f aca="false">Sens!$H$3465*(1+Sens!$I$3466)</f>
        <v>341.736278761793</v>
      </c>
      <c r="J3465" s="38" t="n">
        <f aca="false">Sens!$I$3465*(1+Sens!$J$3466)</f>
        <v>362.927192787048</v>
      </c>
      <c r="K3465" s="38" t="n">
        <f aca="false">Sens!$J$3465*(1+Sens!$K$3466)</f>
        <v>381.0735524264</v>
      </c>
      <c r="L3465" s="38" t="n">
        <f aca="false">Sens!$K$3465*(1+Sens!$L$3466)</f>
        <v>400.12723004772</v>
      </c>
      <c r="M3465" s="38" t="n">
        <f aca="false">Sens!$L$3465*(1+Sens!$M$3466)</f>
        <v>420.133591550106</v>
      </c>
      <c r="N3465" s="38" t="n">
        <f aca="false">Q!$N$10</f>
        <v>118.892</v>
      </c>
      <c r="O3465" s="38" t="n">
        <f aca="false">Q!$O$10</f>
        <v>150.395</v>
      </c>
      <c r="P3465" s="8" t="s">
        <v>667</v>
      </c>
    </row>
    <row r="3466" customFormat="false" ht="17.15" hidden="false" customHeight="false" outlineLevel="0" collapsed="false">
      <c r="A3466" s="0" t="s">
        <v>668</v>
      </c>
      <c r="B3466" s="0" t="s">
        <v>52</v>
      </c>
      <c r="E3466" s="13" t="n">
        <f aca="false">Sens!$E$3465/Sens!$N$3465-1</f>
        <v>0.132843252699929</v>
      </c>
      <c r="F3466" s="13" t="n">
        <f aca="false">Sens!$O$3465/(Q!$F$10+Q!$G$10)-1</f>
        <v>0.0980382135842941</v>
      </c>
      <c r="G3466" s="13" t="n">
        <f aca="false">Sens!$G$3465/Sens!$D$3465-1</f>
        <v>0.0879837378791657</v>
      </c>
      <c r="H3466" s="13" t="n">
        <f aca="false">Sens!$F$3466+(g_os-Sens!$F$3466)*1/4</f>
        <v>0.0860286601882206</v>
      </c>
      <c r="I3466" s="13" t="n">
        <f aca="false">Sens!$F$3466+(g_os-Sens!$F$3466)*2/4</f>
        <v>0.074019106792147</v>
      </c>
      <c r="J3466" s="13" t="n">
        <f aca="false">Sens!$F$3466+(g_os-Sens!$F$3466)*3/4</f>
        <v>0.0620095533960735</v>
      </c>
      <c r="K3466" s="13" t="n">
        <f aca="false">Sens!$F$3466+(g_os-Sens!$F$3466)*4/4</f>
        <v>0.05</v>
      </c>
      <c r="L3466" s="13" t="n">
        <f aca="false">g_os</f>
        <v>0.05</v>
      </c>
      <c r="M3466" s="13" t="n">
        <f aca="false">g_os</f>
        <v>0.05</v>
      </c>
      <c r="P3466" s="8" t="s">
        <v>669</v>
      </c>
    </row>
    <row r="3467" customFormat="false" ht="17.15" hidden="false" customHeight="false" outlineLevel="0" collapsed="false">
      <c r="A3467" s="0" t="s">
        <v>520</v>
      </c>
      <c r="B3467" s="0" t="s">
        <v>86</v>
      </c>
      <c r="C3467" s="38" t="n">
        <f aca="false">Q!$D$11</f>
        <v>21.215</v>
      </c>
      <c r="D3467" s="38" t="n">
        <f aca="false">Q!$E$11</f>
        <v>22.561</v>
      </c>
      <c r="E3467" s="38" t="n">
        <f aca="false">Q!$P$11</f>
        <v>11.579</v>
      </c>
      <c r="F3467" s="38" t="n">
        <f aca="false">Sens!$O$3467*(1+Sens!$F$3468)*Sens!$F$3477</f>
        <v>11.5938724610325</v>
      </c>
      <c r="G3467" s="38" t="n">
        <f aca="false">Sens!$E$3467+Sens!$F$3467</f>
        <v>23.1728724610325</v>
      </c>
      <c r="H3467" s="38" t="n">
        <f aca="false">Sens!$G$3467*(1+Sens!$H$3468)</f>
        <v>24.353392759506</v>
      </c>
      <c r="I3467" s="38" t="n">
        <f aca="false">Sens!$H$3467*(1+Sens!$I$3468)</f>
        <v>25.4240338872015</v>
      </c>
      <c r="J3467" s="38" t="n">
        <f aca="false">Sens!$I$3467*(1+Sens!$J$3468)</f>
        <v>26.3642491017174</v>
      </c>
      <c r="K3467" s="38" t="n">
        <f aca="false">Sens!$J$3467*(1+Sens!$K$3468)</f>
        <v>27.155176574769</v>
      </c>
      <c r="L3467" s="38" t="n">
        <f aca="false">Sens!$K$3467*(1+Sens!$L$3468)</f>
        <v>27.969831872012</v>
      </c>
      <c r="M3467" s="38" t="n">
        <f aca="false">Sens!$L$3467*(1+Sens!$M$3468)</f>
        <v>28.8089268281724</v>
      </c>
      <c r="N3467" s="38" t="n">
        <f aca="false">Q!$N$11</f>
        <v>11.128</v>
      </c>
      <c r="O3467" s="38" t="n">
        <f aca="false">Q!$O$11</f>
        <v>11.433</v>
      </c>
      <c r="P3467" s="8" t="s">
        <v>667</v>
      </c>
    </row>
    <row r="3468" customFormat="false" ht="17.15" hidden="false" customHeight="false" outlineLevel="0" collapsed="false">
      <c r="A3468" s="0" t="s">
        <v>670</v>
      </c>
      <c r="B3468" s="0" t="s">
        <v>52</v>
      </c>
      <c r="E3468" s="13" t="n">
        <f aca="false">Sens!$E$3467/Sens!$N$3467-1</f>
        <v>0.0405283968368082</v>
      </c>
      <c r="F3468" s="13" t="n">
        <f aca="false">Sens!$O$3467/(Q!$F$11+Q!$G$11)-1</f>
        <v>0.0579254187100955</v>
      </c>
      <c r="G3468" s="13" t="n">
        <f aca="false">Sens!$G$3467/Sens!$D$3467-1</f>
        <v>0.0271208040881397</v>
      </c>
      <c r="H3468" s="13" t="n">
        <f aca="false">Sens!$F$3468+(g_ps-Sens!$F$3468)*1/4</f>
        <v>0.0509440640325716</v>
      </c>
      <c r="I3468" s="13" t="n">
        <f aca="false">Sens!$F$3468+(g_ps-Sens!$F$3468)*2/4</f>
        <v>0.0439627093550477</v>
      </c>
      <c r="J3468" s="13" t="n">
        <f aca="false">Sens!$F$3468+(g_ps-Sens!$F$3468)*3/4</f>
        <v>0.0369813546775239</v>
      </c>
      <c r="K3468" s="13" t="n">
        <f aca="false">Sens!$F$3468+(g_ps-Sens!$F$3468)*4/4</f>
        <v>0.03</v>
      </c>
      <c r="L3468" s="13" t="n">
        <f aca="false">g_ps</f>
        <v>0.03</v>
      </c>
      <c r="M3468" s="13" t="n">
        <f aca="false">g_ps</f>
        <v>0.03</v>
      </c>
      <c r="P3468" s="8" t="s">
        <v>671</v>
      </c>
    </row>
    <row r="3469" customFormat="false" ht="17.15" hidden="false" customHeight="false" outlineLevel="0" collapsed="false">
      <c r="A3469" s="0" t="s">
        <v>521</v>
      </c>
      <c r="B3469" s="0" t="s">
        <v>86</v>
      </c>
      <c r="C3469" s="38" t="n">
        <f aca="false">Q!$D$12</f>
        <v>156.146</v>
      </c>
      <c r="D3469" s="38" t="n">
        <f aca="false">Q!$E$12</f>
        <v>172.162</v>
      </c>
      <c r="E3469" s="38" t="n">
        <f aca="false">Q!$P$12</f>
        <v>88.358</v>
      </c>
      <c r="F3469" s="38" t="n">
        <f aca="false">Sens!$O$3469*(1+Sens!$F$3470)*Sens!$F$3477</f>
        <v>102.004388260171</v>
      </c>
      <c r="G3469" s="38" t="n">
        <f aca="false">Sens!$E$3469+Sens!$F$3469</f>
        <v>190.362388260171</v>
      </c>
      <c r="H3469" s="38" t="n">
        <f aca="false">Sens!$G$3469*(1+Sens!$H$3470)</f>
        <v>210.343106588311</v>
      </c>
      <c r="I3469" s="38" t="n">
        <f aca="false">Sens!$H$3469*(1+Sens!$I$3470)</f>
        <v>229.969728494648</v>
      </c>
      <c r="J3469" s="38" t="n">
        <f aca="false">Sens!$I$3469*(1+Sens!$J$3470)</f>
        <v>248.747636972598</v>
      </c>
      <c r="K3469" s="38" t="n">
        <f aca="false">Sens!$J$3469*(1+Sens!$K$3470)</f>
        <v>266.15997156068</v>
      </c>
      <c r="L3469" s="38" t="n">
        <f aca="false">Sens!$K$3469*(1+Sens!$L$3470)</f>
        <v>284.791169569927</v>
      </c>
      <c r="M3469" s="38" t="n">
        <f aca="false">Sens!$L$3469*(1+Sens!$M$3470)</f>
        <v>304.726551439822</v>
      </c>
      <c r="N3469" s="38" t="n">
        <f aca="false">Q!$N$12</f>
        <v>76.86</v>
      </c>
      <c r="O3469" s="38" t="n">
        <f aca="false">Q!$O$12</f>
        <v>95.302</v>
      </c>
      <c r="P3469" s="8" t="s">
        <v>667</v>
      </c>
    </row>
    <row r="3470" customFormat="false" ht="17.15" hidden="false" customHeight="false" outlineLevel="0" collapsed="false">
      <c r="A3470" s="0" t="s">
        <v>672</v>
      </c>
      <c r="B3470" s="0" t="s">
        <v>52</v>
      </c>
      <c r="E3470" s="13" t="n">
        <f aca="false">Sens!$E$3469/Sens!$N$3469-1</f>
        <v>0.1495966692688</v>
      </c>
      <c r="F3470" s="13" t="n">
        <f aca="false">Sens!$O$3469/(Q!$F$12+Q!$G$12)-1</f>
        <v>0.11661530890813</v>
      </c>
      <c r="G3470" s="13" t="n">
        <f aca="false">Sens!$G$3469/Sens!$D$3469-1</f>
        <v>0.105716640490767</v>
      </c>
      <c r="H3470" s="13" t="n">
        <f aca="false">Sens!$F$3470+(g_sp-Sens!$F$3470)*1/4</f>
        <v>0.104961481681098</v>
      </c>
      <c r="I3470" s="13" t="n">
        <f aca="false">Sens!$F$3470+(g_sp-Sens!$F$3470)*2/4</f>
        <v>0.0933076544540651</v>
      </c>
      <c r="J3470" s="13" t="n">
        <f aca="false">Sens!$F$3470+(g_sp-Sens!$F$3470)*3/4</f>
        <v>0.0816538272270325</v>
      </c>
      <c r="K3470" s="13" t="n">
        <f aca="false">Sens!$F$3470+(g_sp-Sens!$F$3470)*4/4</f>
        <v>0.07</v>
      </c>
      <c r="L3470" s="13" t="n">
        <f aca="false">g_sp</f>
        <v>0.07</v>
      </c>
      <c r="M3470" s="13" t="n">
        <f aca="false">g_sp</f>
        <v>0.07</v>
      </c>
      <c r="P3470" s="8" t="s">
        <v>673</v>
      </c>
    </row>
    <row r="3471" customFormat="false" ht="17.15" hidden="false" customHeight="false" outlineLevel="0" collapsed="false">
      <c r="A3471" s="0" t="s">
        <v>522</v>
      </c>
      <c r="B3471" s="0" t="s">
        <v>86</v>
      </c>
      <c r="C3471" s="38" t="n">
        <f aca="false">Q!$D$13</f>
        <v>56.214</v>
      </c>
      <c r="D3471" s="38" t="n">
        <f aca="false">Q!$E$13</f>
        <v>68.635</v>
      </c>
      <c r="E3471" s="38" t="n">
        <f aca="false">Q!$P$13</f>
        <v>37.052</v>
      </c>
      <c r="F3471" s="38" t="n">
        <f aca="false">Sens!$O$3471*(1+Sens!$F$3472)*Sens!$F$3477</f>
        <v>46.1572219944148</v>
      </c>
      <c r="G3471" s="38" t="n">
        <f aca="false">Sens!$E$3471+Sens!$F$3471</f>
        <v>83.2092219944148</v>
      </c>
      <c r="H3471" s="38" t="n">
        <f aca="false">Sens!$G$3471*(1+Sens!$H$3472)</f>
        <v>99.8969223878976</v>
      </c>
      <c r="I3471" s="38" t="n">
        <f aca="false">Sens!$H$3471*(1+Sens!$I$3472)</f>
        <v>116.583111095496</v>
      </c>
      <c r="J3471" s="38" t="n">
        <f aca="false">Sens!$I$3471*(1+Sens!$J$3472)</f>
        <v>132.148941941952</v>
      </c>
      <c r="K3471" s="38" t="n">
        <f aca="false">Sens!$J$3471*(1+Sens!$K$3472)</f>
        <v>145.363836136147</v>
      </c>
      <c r="L3471" s="38" t="n">
        <f aca="false">Sens!$K$3471*(1+Sens!$L$3472)</f>
        <v>159.900219749762</v>
      </c>
      <c r="M3471" s="38" t="n">
        <f aca="false">Sens!$L$3471*(1+Sens!$M$3472)</f>
        <v>175.890241724738</v>
      </c>
      <c r="N3471" s="38" t="n">
        <f aca="false">Q!$N$13</f>
        <v>29.615</v>
      </c>
      <c r="O3471" s="38" t="n">
        <f aca="false">Q!$O$13</f>
        <v>39.02</v>
      </c>
      <c r="P3471" s="8" t="s">
        <v>667</v>
      </c>
    </row>
    <row r="3472" customFormat="false" ht="17.15" hidden="false" customHeight="false" outlineLevel="0" collapsed="false">
      <c r="A3472" s="0" t="s">
        <v>674</v>
      </c>
      <c r="B3472" s="0" t="s">
        <v>52</v>
      </c>
      <c r="E3472" s="13" t="n">
        <f aca="false">Sens!$E$3471/Sens!$N$3471-1</f>
        <v>0.25112274185379</v>
      </c>
      <c r="F3472" s="13" t="n">
        <f aca="false">Sens!$O$3471/(Q!$F$13+Q!$G$13)-1</f>
        <v>0.234068123596572</v>
      </c>
      <c r="G3472" s="13" t="n">
        <f aca="false">Sens!$G$3471/Sens!$D$3471-1</f>
        <v>0.212343876949294</v>
      </c>
      <c r="H3472" s="13" t="n">
        <f aca="false">Sens!$F$3472+(g_ad-Sens!$F$3472)*1/4</f>
        <v>0.200551092697429</v>
      </c>
      <c r="I3472" s="13" t="n">
        <f aca="false">Sens!$F$3472+(g_ad-Sens!$F$3472)*2/4</f>
        <v>0.167034061798286</v>
      </c>
      <c r="J3472" s="13" t="n">
        <f aca="false">Sens!$F$3472+(g_ad-Sens!$F$3472)*3/4</f>
        <v>0.133517030899143</v>
      </c>
      <c r="K3472" s="13" t="n">
        <f aca="false">Sens!$F$3472+(g_ad-Sens!$F$3472)*4/4</f>
        <v>0.1</v>
      </c>
      <c r="L3472" s="13" t="n">
        <f aca="false">g_ad</f>
        <v>0.1</v>
      </c>
      <c r="M3472" s="13" t="n">
        <f aca="false">g_ad</f>
        <v>0.1</v>
      </c>
      <c r="P3472" s="8" t="s">
        <v>675</v>
      </c>
    </row>
    <row r="3473" customFormat="false" ht="17.15" hidden="false" customHeight="false" outlineLevel="0" collapsed="false">
      <c r="A3473" s="0" t="s">
        <v>523</v>
      </c>
      <c r="B3473" s="0" t="s">
        <v>86</v>
      </c>
      <c r="C3473" s="38" t="n">
        <f aca="false">Q!$D$14</f>
        <v>44.374</v>
      </c>
      <c r="D3473" s="38" t="n">
        <f aca="false">Q!$E$14</f>
        <v>49.619</v>
      </c>
      <c r="E3473" s="38" t="n">
        <f aca="false">Q!$P$14</f>
        <v>27.157</v>
      </c>
      <c r="F3473" s="38" t="n">
        <f aca="false">Sens!$O$3473*(1+Sens!$F$3474)*Sens!$F$3477</f>
        <v>27.7764165988154</v>
      </c>
      <c r="G3473" s="38" t="n">
        <f aca="false">Sens!$E$3473+Sens!$F$3473</f>
        <v>54.9334165988154</v>
      </c>
      <c r="H3473" s="38" t="n">
        <f aca="false">Sens!$G$3473*(1+Sens!$H$3474)</f>
        <v>61.1564112561829</v>
      </c>
      <c r="I3473" s="38" t="n">
        <f aca="false">Sens!$H$3473*(1+Sens!$I$3474)</f>
        <v>67.2020282103945</v>
      </c>
      <c r="J3473" s="38" t="n">
        <f aca="false">Sens!$I$3473*(1+Sens!$J$3474)</f>
        <v>72.8757274028885</v>
      </c>
      <c r="K3473" s="38" t="n">
        <f aca="false">Sens!$J$3473*(1+Sens!$K$3474)</f>
        <v>77.9770283210907</v>
      </c>
      <c r="L3473" s="38" t="n">
        <f aca="false">Sens!$K$3473*(1+Sens!$L$3474)</f>
        <v>83.4354203035671</v>
      </c>
      <c r="M3473" s="38" t="n">
        <f aca="false">Sens!$L$3473*(1+Sens!$M$3474)</f>
        <v>89.2758997248168</v>
      </c>
      <c r="N3473" s="38" t="n">
        <f aca="false">Q!$N$14</f>
        <v>23.923</v>
      </c>
      <c r="O3473" s="38" t="n">
        <f aca="false">Q!$O$14</f>
        <v>25.696</v>
      </c>
      <c r="P3473" s="8" t="s">
        <v>667</v>
      </c>
    </row>
    <row r="3474" customFormat="false" ht="17.15" hidden="false" customHeight="false" outlineLevel="0" collapsed="false">
      <c r="A3474" s="0" t="s">
        <v>676</v>
      </c>
      <c r="B3474" s="0" t="s">
        <v>52</v>
      </c>
      <c r="E3474" s="13" t="n">
        <f aca="false">Sens!$E$3473/Sens!$N$3473-1</f>
        <v>0.135183714417088</v>
      </c>
      <c r="F3474" s="13" t="n">
        <f aca="false">Sens!$O$3473/(Q!$F$14+Q!$G$14)-1</f>
        <v>0.127709997366804</v>
      </c>
      <c r="G3474" s="13" t="n">
        <f aca="false">Sens!$G$3473/Sens!$D$3473-1</f>
        <v>0.107104468022641</v>
      </c>
      <c r="H3474" s="13" t="n">
        <f aca="false">Sens!$F$3474+(g_sub-Sens!$F$3474)*1/4</f>
        <v>0.113282498025103</v>
      </c>
      <c r="I3474" s="13" t="n">
        <f aca="false">Sens!$F$3474+(g_sub-Sens!$F$3474)*2/4</f>
        <v>0.0988549986834021</v>
      </c>
      <c r="J3474" s="13" t="n">
        <f aca="false">Sens!$F$3474+(g_sub-Sens!$F$3474)*3/4</f>
        <v>0.084427499341701</v>
      </c>
      <c r="K3474" s="13" t="n">
        <f aca="false">Sens!$F$3474+(g_sub-Sens!$F$3474)*4/4</f>
        <v>0.07</v>
      </c>
      <c r="L3474" s="13" t="n">
        <f aca="false">g_sub</f>
        <v>0.07</v>
      </c>
      <c r="M3474" s="13" t="n">
        <f aca="false">g_sub</f>
        <v>0.07</v>
      </c>
      <c r="P3474" s="8" t="s">
        <v>677</v>
      </c>
    </row>
    <row r="3475" customFormat="false" ht="17.15" hidden="false" customHeight="false" outlineLevel="0" collapsed="false">
      <c r="A3475" s="0" t="s">
        <v>524</v>
      </c>
      <c r="B3475" s="0" t="s">
        <v>86</v>
      </c>
      <c r="C3475" s="38" t="n">
        <f aca="false">Q!$D$15</f>
        <v>5.425</v>
      </c>
      <c r="D3475" s="38" t="n">
        <f aca="false">Q!$E$15</f>
        <v>5.935</v>
      </c>
      <c r="E3475" s="38" t="n">
        <f aca="false">Q!$P$15</f>
        <v>3.474</v>
      </c>
      <c r="F3475" s="38" t="n">
        <f aca="false">Sens!$O$3475*(1+Sens!$F$3476)*Sens!$F$3477</f>
        <v>3.22246550883619</v>
      </c>
      <c r="G3475" s="38" t="n">
        <f aca="false">Sens!$E$3475+Sens!$F$3475</f>
        <v>6.69646550883619</v>
      </c>
      <c r="H3475" s="38" t="n">
        <f aca="false">Sens!$G$3475*(1+Sens!$H$3476)</f>
        <v>7.16251344209196</v>
      </c>
      <c r="I3475" s="38" t="n">
        <f aca="false">Sens!$H$3475*(1+Sens!$I$3476)</f>
        <v>7.61421070299826</v>
      </c>
      <c r="J3475" s="38" t="n">
        <f aca="false">Sens!$I$3475*(1+Sens!$J$3476)</f>
        <v>8.04465753523932</v>
      </c>
      <c r="K3475" s="38" t="n">
        <f aca="false">Sens!$J$3475*(1+Sens!$K$3476)</f>
        <v>8.44689041200128</v>
      </c>
      <c r="L3475" s="38" t="n">
        <f aca="false">Sens!$K$3475*(1+Sens!$L$3476)</f>
        <v>8.86923493260135</v>
      </c>
      <c r="M3475" s="38" t="n">
        <f aca="false">Sens!$L$3475*(1+Sens!$M$3476)</f>
        <v>9.31269667923142</v>
      </c>
      <c r="N3475" s="38" t="n">
        <f aca="false">Q!$N$15</f>
        <v>2.811</v>
      </c>
      <c r="O3475" s="38" t="n">
        <f aca="false">Q!$O$15</f>
        <v>3.124</v>
      </c>
      <c r="P3475" s="8" t="s">
        <v>667</v>
      </c>
    </row>
    <row r="3476" customFormat="false" ht="17.15" hidden="false" customHeight="false" outlineLevel="0" collapsed="false">
      <c r="A3476" s="0" t="s">
        <v>678</v>
      </c>
      <c r="B3476" s="0" t="s">
        <v>52</v>
      </c>
      <c r="E3476" s="13" t="n">
        <f aca="false">Sens!$E$3475/Sens!$N$3475-1</f>
        <v>0.235859124866596</v>
      </c>
      <c r="F3476" s="13" t="n">
        <f aca="false">Sens!$O$3475/(Q!$F$15+Q!$G$15)-1</f>
        <v>0.0761281433000345</v>
      </c>
      <c r="G3476" s="13" t="n">
        <f aca="false">Sens!$G$3475/Sens!$D$3475-1</f>
        <v>0.128300843948811</v>
      </c>
      <c r="H3476" s="13" t="n">
        <f aca="false">Sens!$F$3476+(g_ot-Sens!$F$3476)*1/4</f>
        <v>0.0695961074750259</v>
      </c>
      <c r="I3476" s="13" t="n">
        <f aca="false">Sens!$F$3476+(g_ot-Sens!$F$3476)*2/4</f>
        <v>0.0630640716500172</v>
      </c>
      <c r="J3476" s="13" t="n">
        <f aca="false">Sens!$F$3476+(g_ot-Sens!$F$3476)*3/4</f>
        <v>0.0565320358250086</v>
      </c>
      <c r="K3476" s="13" t="n">
        <f aca="false">Sens!$F$3476+(g_ot-Sens!$F$3476)*4/4</f>
        <v>0.05</v>
      </c>
      <c r="L3476" s="13" t="n">
        <f aca="false">g_ot</f>
        <v>0.05</v>
      </c>
      <c r="M3476" s="13" t="n">
        <f aca="false">g_ot</f>
        <v>0.05</v>
      </c>
      <c r="P3476" s="8" t="s">
        <v>679</v>
      </c>
    </row>
    <row r="3477" customFormat="false" ht="17.15" hidden="false" customHeight="false" outlineLevel="0" collapsed="false">
      <c r="A3477" s="0" t="s">
        <v>680</v>
      </c>
      <c r="B3477" s="0" t="s">
        <v>57</v>
      </c>
      <c r="F3477" s="40" t="n">
        <f aca="false">(g26q3_mid*Q!$O$8/Q!$J$8-Thesis!$F$86-Thesis!$F$90)/(Sens!$O$3465*(1+Sens!$F$3466)+Sens!$O$3467*(1+Sens!$F$3468)+Sens!$O$3469*(1+Sens!$F$3470)+Sens!$O$3471*(1+Sens!$F$3472)+Sens!$O$3473*(1+Sens!$F$3474)+Sens!$O$3475*(1+Sens!$F$3476))</f>
        <v>0.958546670622329</v>
      </c>
      <c r="P3477" s="8" t="s">
        <v>681</v>
      </c>
    </row>
    <row r="3478" customFormat="false" ht="17.15" hidden="false" customHeight="false" outlineLevel="0" collapsed="false">
      <c r="A3478" s="3" t="s">
        <v>682</v>
      </c>
      <c r="B3478" s="8" t="s">
        <v>86</v>
      </c>
      <c r="C3478" s="38" t="n">
        <f aca="false">Sens!$C$3465+Sens!$C$3467+Sens!$C$3469+Sens!$C$3471+Sens!$C$3473+Sens!$C$3475</f>
        <v>530.403</v>
      </c>
      <c r="D3478" s="38" t="n">
        <f aca="false">Sens!$D$3465+Sens!$D$3467+Sens!$D$3469+Sens!$D$3471+Sens!$D$3473+Sens!$D$3475</f>
        <v>588.199</v>
      </c>
      <c r="E3478" s="38" t="n">
        <f aca="false">Sens!$E$3465+Sens!$E$3467+Sens!$E$3469+Sens!$E$3471+Sens!$E$3473+Sens!$E$3475</f>
        <v>302.306</v>
      </c>
      <c r="F3478" s="38" t="n">
        <f aca="false">Sens!$F$3465+Sens!$F$3467+Sens!$F$3469+Sens!$F$3471+Sens!$F$3473+Sens!$F$3475</f>
        <v>349.048241645537</v>
      </c>
      <c r="G3478" s="38" t="n">
        <f aca="false">Sens!$G$3465+Sens!$G$3467+Sens!$G$3469+Sens!$G$3471+Sens!$G$3473+Sens!$G$3475</f>
        <v>651.354241645537</v>
      </c>
      <c r="H3478" s="38" t="n">
        <f aca="false">Sens!$H$3465+Sens!$H$3467+Sens!$H$3469+Sens!$H$3471+Sens!$H$3473+Sens!$H$3475</f>
        <v>721.096889521386</v>
      </c>
      <c r="I3478" s="38" t="n">
        <f aca="false">Sens!$I$3465+Sens!$I$3467+Sens!$I$3469+Sens!$I$3471+Sens!$I$3473+Sens!$I$3475</f>
        <v>788.529391152531</v>
      </c>
      <c r="J3478" s="38" t="n">
        <f aca="false">Sens!$J$3465+Sens!$J$3467+Sens!$J$3469+Sens!$J$3471+Sens!$J$3473+Sens!$J$3475</f>
        <v>851.108405741443</v>
      </c>
      <c r="K3478" s="38" t="n">
        <f aca="false">Sens!$K$3465+Sens!$K$3467+Sens!$K$3469+Sens!$K$3471+Sens!$K$3473+Sens!$K$3475</f>
        <v>906.176455431088</v>
      </c>
      <c r="L3478" s="38" t="n">
        <f aca="false">Sens!$L$3465+Sens!$L$3467+Sens!$L$3469+Sens!$L$3471+Sens!$L$3473+Sens!$L$3475</f>
        <v>965.093106475589</v>
      </c>
      <c r="M3478" s="38" t="n">
        <f aca="false">Sens!$M$3465+Sens!$M$3467+Sens!$M$3469+Sens!$M$3471+Sens!$M$3473+Sens!$M$3475</f>
        <v>1028.14790794689</v>
      </c>
      <c r="N3478" s="38" t="n">
        <f aca="false">Sens!$N$3465+Sens!$N$3467+Sens!$N$3469+Sens!$N$3471+Sens!$N$3473+Sens!$N$3475</f>
        <v>263.229</v>
      </c>
      <c r="O3478" s="38" t="n">
        <f aca="false">Sens!$O$3465+Sens!$O$3467+Sens!$O$3469+Sens!$O$3471+Sens!$O$3473+Sens!$O$3475</f>
        <v>324.97</v>
      </c>
    </row>
    <row r="3479" customFormat="false" ht="17.15" hidden="false" customHeight="false" outlineLevel="0" collapsed="false">
      <c r="A3479" s="5" t="s">
        <v>683</v>
      </c>
      <c r="B3479" s="0" t="s">
        <v>52</v>
      </c>
      <c r="C3479" s="13" t="n">
        <f aca="false">Q!$D$5/(Q!$D$5+Q!$D$6)</f>
        <v>0.730570905519011</v>
      </c>
      <c r="D3479" s="13" t="n">
        <f aca="false">Q!$E$5/(Q!$E$5+Q!$E$6)</f>
        <v>0.724763217890544</v>
      </c>
      <c r="E3479" s="13" t="n">
        <f aca="false">Q!$P$5/(Q!$P$5+Q!$P$6)</f>
        <v>0.728797972914861</v>
      </c>
      <c r="F3479" s="13" t="n">
        <f aca="false">Sens!$O$3479</f>
        <v>0.718066283041511</v>
      </c>
      <c r="G3479" s="13" t="n">
        <f aca="false">Sens!$G$3480/Sens!$G$3478</f>
        <v>0.723047066202847</v>
      </c>
      <c r="H3479" s="13" t="n">
        <f aca="false">Sens!$G$3479</f>
        <v>0.723047066202847</v>
      </c>
      <c r="I3479" s="13" t="n">
        <f aca="false">Sens!$G$3479</f>
        <v>0.723047066202847</v>
      </c>
      <c r="J3479" s="13" t="n">
        <f aca="false">Sens!$G$3479</f>
        <v>0.723047066202847</v>
      </c>
      <c r="K3479" s="13" t="n">
        <f aca="false">Sens!$G$3479</f>
        <v>0.723047066202847</v>
      </c>
      <c r="L3479" s="13" t="n">
        <f aca="false">Sens!$G$3479</f>
        <v>0.723047066202847</v>
      </c>
      <c r="M3479" s="13" t="n">
        <f aca="false">Sens!$G$3479</f>
        <v>0.723047066202847</v>
      </c>
      <c r="N3479" s="13" t="n">
        <f aca="false">Q!$N$5/(Q!$N$5+Q!$N$6)</f>
        <v>0.733030935041352</v>
      </c>
      <c r="O3479" s="13" t="n">
        <f aca="false">Q!$O$5/(Q!$O$5+Q!$O$6)</f>
        <v>0.718066283041511</v>
      </c>
      <c r="P3479" s="8" t="s">
        <v>684</v>
      </c>
    </row>
    <row r="3480" customFormat="false" ht="17.15" hidden="false" customHeight="false" outlineLevel="0" collapsed="false">
      <c r="A3480" s="1" t="s">
        <v>512</v>
      </c>
      <c r="B3480" s="8" t="s">
        <v>86</v>
      </c>
      <c r="C3480" s="38" t="n">
        <f aca="false">Q!$D$5</f>
        <v>387.497</v>
      </c>
      <c r="D3480" s="38" t="n">
        <f aca="false">Q!$E$5</f>
        <v>426.305</v>
      </c>
      <c r="E3480" s="38" t="n">
        <f aca="false">Q!$P$5</f>
        <v>220.32</v>
      </c>
      <c r="F3480" s="38" t="n">
        <f aca="false">Sens!$F$3478*Sens!$F$3479</f>
        <v>250.639773480586</v>
      </c>
      <c r="G3480" s="38" t="n">
        <f aca="false">Sens!$E$3480+Sens!$F$3480</f>
        <v>470.959773480586</v>
      </c>
      <c r="H3480" s="38" t="n">
        <f aca="false">Sens!$H$3478*Sens!$H$3479</f>
        <v>521.386990416437</v>
      </c>
      <c r="I3480" s="38" t="n">
        <f aca="false">Sens!$I$3478*Sens!$I$3479</f>
        <v>570.143862887555</v>
      </c>
      <c r="J3480" s="38" t="n">
        <f aca="false">Sens!$J$3478*Sens!$J$3479</f>
        <v>615.391435791933</v>
      </c>
      <c r="K3480" s="38" t="n">
        <f aca="false">Sens!$K$3478*Sens!$K$3479</f>
        <v>655.208227561543</v>
      </c>
      <c r="L3480" s="38" t="n">
        <f aca="false">Sens!$L$3478*Sens!$L$3479</f>
        <v>697.807739249767</v>
      </c>
      <c r="M3480" s="38" t="n">
        <f aca="false">Sens!$M$3478*Sens!$M$3479</f>
        <v>743.399328463592</v>
      </c>
      <c r="N3480" s="38" t="n">
        <f aca="false">Q!$N$5</f>
        <v>192.955</v>
      </c>
      <c r="O3480" s="38" t="n">
        <f aca="false">Q!$O$5</f>
        <v>233.35</v>
      </c>
      <c r="P3480" s="5" t="s">
        <v>685</v>
      </c>
    </row>
    <row r="3481" customFormat="false" ht="17.15" hidden="false" customHeight="false" outlineLevel="0" collapsed="false">
      <c r="A3481" s="1" t="s">
        <v>515</v>
      </c>
      <c r="B3481" s="8" t="s">
        <v>86</v>
      </c>
      <c r="C3481" s="38" t="n">
        <f aca="false">Q!$D$6</f>
        <v>142.906</v>
      </c>
      <c r="D3481" s="38" t="n">
        <f aca="false">Q!$E$6</f>
        <v>161.894</v>
      </c>
      <c r="E3481" s="38" t="n">
        <f aca="false">Q!$P$6</f>
        <v>81.986</v>
      </c>
      <c r="F3481" s="38" t="n">
        <f aca="false">Sens!$F$3478*(1-Sens!$F$3479)</f>
        <v>98.408468164951</v>
      </c>
      <c r="G3481" s="38" t="n">
        <f aca="false">Sens!$E$3481+Sens!$F$3481</f>
        <v>180.394468164951</v>
      </c>
      <c r="H3481" s="38" t="n">
        <f aca="false">Sens!$H$3478*(1-Sens!$H$3479)</f>
        <v>199.709899104949</v>
      </c>
      <c r="I3481" s="38" t="n">
        <f aca="false">Sens!$I$3478*(1-Sens!$I$3479)</f>
        <v>218.385528264976</v>
      </c>
      <c r="J3481" s="38" t="n">
        <f aca="false">Sens!$J$3478*(1-Sens!$J$3479)</f>
        <v>235.71696994951</v>
      </c>
      <c r="K3481" s="38" t="n">
        <f aca="false">Sens!$K$3478*(1-Sens!$K$3479)</f>
        <v>250.968227869545</v>
      </c>
      <c r="L3481" s="38" t="n">
        <f aca="false">Sens!$L$3478*(1-Sens!$L$3479)</f>
        <v>267.285367225822</v>
      </c>
      <c r="M3481" s="38" t="n">
        <f aca="false">Sens!$M$3478*(1-Sens!$M$3479)</f>
        <v>284.748579483295</v>
      </c>
      <c r="N3481" s="38" t="n">
        <f aca="false">Q!$N$6</f>
        <v>70.274</v>
      </c>
      <c r="O3481" s="38" t="n">
        <f aca="false">Q!$O$6</f>
        <v>91.62</v>
      </c>
      <c r="P3481" s="5" t="s">
        <v>686</v>
      </c>
    </row>
    <row r="3482" customFormat="false" ht="17.15" hidden="false" customHeight="false" outlineLevel="0" collapsed="false">
      <c r="A3482" s="5" t="s">
        <v>687</v>
      </c>
      <c r="B3482" s="0" t="s">
        <v>86</v>
      </c>
      <c r="C3482" s="38" t="n">
        <f aca="false">Sens!$C$3471*Sens!$C$3479</f>
        <v>41.0683128828457</v>
      </c>
      <c r="D3482" s="38" t="n">
        <f aca="false">Sens!$D$3471*Sens!$D$3479</f>
        <v>49.7441234599175</v>
      </c>
      <c r="E3482" s="38" t="n">
        <f aca="false">Sens!$E$3471*Sens!$E$3479</f>
        <v>27.0034224924414</v>
      </c>
      <c r="F3482" s="38" t="n">
        <f aca="false">Sens!$F$3471*Sens!$F$3479</f>
        <v>33.1439448330513</v>
      </c>
      <c r="G3482" s="38" t="n">
        <f aca="false">Sens!$G$3471*Sens!$G$3479</f>
        <v>60.164183844083</v>
      </c>
      <c r="H3482" s="38" t="n">
        <f aca="false">Sens!$H$3471*Sens!$H$3479</f>
        <v>72.2301766552629</v>
      </c>
      <c r="I3482" s="38" t="n">
        <f aca="false">Sens!$I$3471*Sens!$I$3479</f>
        <v>84.2950764463991</v>
      </c>
      <c r="J3482" s="38" t="n">
        <f aca="false">Sens!$J$3471*Sens!$J$3479</f>
        <v>95.5499047729386</v>
      </c>
      <c r="K3482" s="38" t="n">
        <f aca="false">Sens!$K$3471*Sens!$K$3479</f>
        <v>105.104895250232</v>
      </c>
      <c r="L3482" s="38" t="n">
        <f aca="false">Sens!$L$3471*Sens!$L$3479</f>
        <v>115.615384775256</v>
      </c>
      <c r="M3482" s="38" t="n">
        <f aca="false">Sens!$M$3471*Sens!$M$3479</f>
        <v>127.176923252781</v>
      </c>
      <c r="N3482" s="38" t="n">
        <f aca="false">Sens!$N$3471*Sens!$N$3479</f>
        <v>21.7087111412496</v>
      </c>
      <c r="O3482" s="38" t="n">
        <f aca="false">Sens!$O$3471*Sens!$O$3479</f>
        <v>28.0189463642798</v>
      </c>
      <c r="P3482" s="5" t="s">
        <v>688</v>
      </c>
    </row>
    <row r="3483" customFormat="false" ht="15" hidden="false" customHeight="false" outlineLevel="0" collapsed="false">
      <c r="A3483" s="5" t="s">
        <v>689</v>
      </c>
      <c r="B3483" s="0" t="s">
        <v>86</v>
      </c>
      <c r="C3483" s="38" t="n">
        <f aca="false">Sens!$C$3471-Sens!$C$3482</f>
        <v>15.1456871171543</v>
      </c>
      <c r="D3483" s="38" t="n">
        <f aca="false">Sens!$D$3471-Sens!$D$3482</f>
        <v>18.8908765400825</v>
      </c>
      <c r="E3483" s="38" t="n">
        <f aca="false">Sens!$E$3471-Sens!$E$3482</f>
        <v>10.0485775075586</v>
      </c>
      <c r="F3483" s="38" t="n">
        <f aca="false">Sens!$F$3471-Sens!$F$3482</f>
        <v>13.0132771613635</v>
      </c>
      <c r="G3483" s="38" t="n">
        <f aca="false">Sens!$G$3471-Sens!$G$3482</f>
        <v>23.0450381503318</v>
      </c>
      <c r="H3483" s="38" t="n">
        <f aca="false">Sens!$H$3471-Sens!$H$3482</f>
        <v>27.6667457326347</v>
      </c>
      <c r="I3483" s="38" t="n">
        <f aca="false">Sens!$I$3471-Sens!$I$3482</f>
        <v>32.2880346490971</v>
      </c>
      <c r="J3483" s="38" t="n">
        <f aca="false">Sens!$J$3471-Sens!$J$3482</f>
        <v>36.5990371690132</v>
      </c>
      <c r="K3483" s="38" t="n">
        <f aca="false">Sens!$K$3471-Sens!$K$3482</f>
        <v>40.2589408859145</v>
      </c>
      <c r="L3483" s="38" t="n">
        <f aca="false">Sens!$L$3471-Sens!$L$3482</f>
        <v>44.2848349745059</v>
      </c>
      <c r="M3483" s="38" t="n">
        <f aca="false">Sens!$M$3471-Sens!$M$3482</f>
        <v>48.7133184719565</v>
      </c>
      <c r="N3483" s="38" t="n">
        <f aca="false">Sens!$N$3471-Sens!$N$3482</f>
        <v>7.90628885875037</v>
      </c>
      <c r="O3483" s="38" t="n">
        <f aca="false">Sens!$O$3471-Sens!$O$3482</f>
        <v>11.0010536357202</v>
      </c>
    </row>
    <row r="3484" customFormat="false" ht="19.4" hidden="false" customHeight="false" outlineLevel="0" collapsed="false">
      <c r="A3484" s="31" t="s">
        <v>1206</v>
      </c>
    </row>
    <row r="3485" customFormat="false" ht="17.15" hidden="false" customHeight="false" outlineLevel="0" collapsed="false">
      <c r="A3485" s="6" t="s">
        <v>16</v>
      </c>
      <c r="B3485" s="6" t="s">
        <v>17</v>
      </c>
      <c r="C3485" s="20" t="s">
        <v>497</v>
      </c>
      <c r="D3485" s="20" t="s">
        <v>498</v>
      </c>
      <c r="E3485" s="20" t="s">
        <v>580</v>
      </c>
      <c r="F3485" s="20" t="s">
        <v>581</v>
      </c>
      <c r="G3485" s="20" t="s">
        <v>582</v>
      </c>
      <c r="H3485" s="20" t="s">
        <v>583</v>
      </c>
      <c r="I3485" s="20" t="s">
        <v>584</v>
      </c>
      <c r="J3485" s="20" t="s">
        <v>585</v>
      </c>
      <c r="K3485" s="20" t="s">
        <v>586</v>
      </c>
      <c r="L3485" s="20" t="s">
        <v>587</v>
      </c>
      <c r="M3485" s="20" t="s">
        <v>588</v>
      </c>
      <c r="N3485" s="20" t="s">
        <v>589</v>
      </c>
      <c r="O3485" s="20" t="s">
        <v>590</v>
      </c>
      <c r="P3485" s="6" t="s">
        <v>23</v>
      </c>
      <c r="R3485" s="20" t="n">
        <v>2023</v>
      </c>
      <c r="S3485" s="20" t="n">
        <v>2024</v>
      </c>
      <c r="T3485" s="20" t="n">
        <v>2025</v>
      </c>
      <c r="U3485" s="20" t="n">
        <v>2026</v>
      </c>
      <c r="V3485" s="20" t="n">
        <v>2027</v>
      </c>
      <c r="W3485" s="20" t="n">
        <v>2028</v>
      </c>
      <c r="X3485" s="20" t="n">
        <v>2029</v>
      </c>
      <c r="Y3485" s="20" t="n">
        <v>2030</v>
      </c>
      <c r="Z3485" s="20" t="n">
        <v>2031</v>
      </c>
      <c r="AA3485" s="20" t="n">
        <v>2032</v>
      </c>
    </row>
    <row r="3486" customFormat="false" ht="17.15" hidden="false" customHeight="false" outlineLevel="0" collapsed="false">
      <c r="A3486" s="1" t="s">
        <v>591</v>
      </c>
    </row>
    <row r="3487" customFormat="false" ht="17.15" hidden="false" customHeight="false" outlineLevel="0" collapsed="false">
      <c r="A3487" s="5" t="s">
        <v>592</v>
      </c>
      <c r="B3487" s="0" t="s">
        <v>144</v>
      </c>
      <c r="H3487" s="32" t="n">
        <f aca="false">pace_B</f>
        <v>3634.3</v>
      </c>
      <c r="I3487" s="32" t="n">
        <f aca="false">pace_B</f>
        <v>3634.3</v>
      </c>
      <c r="J3487" s="32" t="n">
        <f aca="false">pace_B</f>
        <v>3634.3</v>
      </c>
      <c r="K3487" s="32" t="n">
        <f aca="false">pace_B+(Sens!$J$3488*tg-pace_B)*1/3</f>
        <v>2570.86716666667</v>
      </c>
      <c r="L3487" s="32" t="n">
        <f aca="false">pace_B+(Sens!$J$3488*tg-pace_B)*2/3</f>
        <v>1507.43433333333</v>
      </c>
      <c r="M3487" s="32" t="n">
        <f aca="false">pace_B+(Sens!$J$3488*tg-pace_B)*3/3</f>
        <v>444.0015</v>
      </c>
      <c r="P3487" s="5" t="s">
        <v>593</v>
      </c>
    </row>
    <row r="3488" customFormat="false" ht="17.15" hidden="false" customHeight="false" outlineLevel="0" collapsed="false">
      <c r="A3488" s="15" t="s">
        <v>594</v>
      </c>
      <c r="B3488" s="14" t="s">
        <v>129</v>
      </c>
      <c r="C3488" s="33" t="n">
        <f aca="false">mw_ye24</f>
        <v>360</v>
      </c>
      <c r="D3488" s="33" t="n">
        <f aca="false">mw_ye25</f>
        <v>1440</v>
      </c>
      <c r="E3488" s="33" t="n">
        <f aca="false">mw_open</f>
        <v>2080</v>
      </c>
      <c r="F3488" s="33" t="n">
        <f aca="false">Sens!$E$3488+pace_B*0.5</f>
        <v>3897.15</v>
      </c>
      <c r="G3488" s="33" t="n">
        <f aca="false">Sens!$F$3488</f>
        <v>3897.15</v>
      </c>
      <c r="H3488" s="33" t="n">
        <f aca="false">Sens!$G$3488+Sens!$H$3487</f>
        <v>7531.45</v>
      </c>
      <c r="I3488" s="33" t="n">
        <f aca="false">Sens!$H$3488+Sens!$I$3487</f>
        <v>11165.75</v>
      </c>
      <c r="J3488" s="33" t="n">
        <f aca="false">Sens!$I$3488+Sens!$J$3487</f>
        <v>14800.05</v>
      </c>
      <c r="K3488" s="33" t="n">
        <f aca="false">Sens!$J$3488+Sens!$K$3487</f>
        <v>17370.9171666667</v>
      </c>
      <c r="L3488" s="33" t="n">
        <f aca="false">Sens!$K$3488+Sens!$L$3487</f>
        <v>18878.3515</v>
      </c>
      <c r="M3488" s="33" t="n">
        <f aca="false">Sens!$L$3488+Sens!$M$3487</f>
        <v>19322.353</v>
      </c>
      <c r="N3488" s="33" t="n">
        <f aca="false">(mw_ye24+mw_ye25)/2</f>
        <v>900</v>
      </c>
      <c r="O3488" s="33" t="n">
        <f aca="false">mw_ye25</f>
        <v>1440</v>
      </c>
      <c r="P3488" s="5" t="s">
        <v>595</v>
      </c>
    </row>
    <row r="3489" customFormat="false" ht="17.15" hidden="false" customHeight="false" outlineLevel="0" collapsed="false">
      <c r="A3489" s="5" t="s">
        <v>596</v>
      </c>
      <c r="B3489" s="0" t="s">
        <v>129</v>
      </c>
      <c r="C3489" s="32" t="n">
        <f aca="false">(mw_ye23+mw_ye24)/2</f>
        <v>240</v>
      </c>
      <c r="D3489" s="32" t="n">
        <f aca="false">(Sens!$C$3488+Sens!$D$3488)/2</f>
        <v>900</v>
      </c>
      <c r="E3489" s="32" t="n">
        <f aca="false">(Sens!$D$3488+Sens!$E$3488)/2</f>
        <v>1760</v>
      </c>
      <c r="F3489" s="32" t="n">
        <f aca="false">(Sens!$E$3488+Sens!$F$3488)/2</f>
        <v>2988.575</v>
      </c>
      <c r="G3489" s="32" t="n">
        <f aca="false">(Sens!$E$3489+Sens!$F$3489)/2</f>
        <v>2374.2875</v>
      </c>
      <c r="H3489" s="32" t="n">
        <f aca="false">(Sens!$G$3488+Sens!$H$3488)/2</f>
        <v>5714.3</v>
      </c>
      <c r="I3489" s="32" t="n">
        <f aca="false">(Sens!$H$3488+Sens!$I$3488)/2</f>
        <v>9348.6</v>
      </c>
      <c r="J3489" s="32" t="n">
        <f aca="false">(Sens!$I$3488+Sens!$J$3488)/2</f>
        <v>12982.9</v>
      </c>
      <c r="K3489" s="32" t="n">
        <f aca="false">(Sens!$J$3488+Sens!$K$3488)/2</f>
        <v>16085.4835833333</v>
      </c>
      <c r="L3489" s="32" t="n">
        <f aca="false">(Sens!$K$3488+Sens!$L$3488)/2</f>
        <v>18124.6343333333</v>
      </c>
      <c r="M3489" s="32" t="n">
        <f aca="false">(Sens!$L$3488+Sens!$M$3488)/2</f>
        <v>19100.35225</v>
      </c>
      <c r="N3489" s="32" t="n">
        <f aca="false">(Sens!$C$3488+Sens!$N$3488)/2</f>
        <v>630</v>
      </c>
      <c r="O3489" s="32" t="n">
        <f aca="false">(Sens!$N$3488+Sens!$O$3488)/2</f>
        <v>1170</v>
      </c>
    </row>
    <row r="3490" customFormat="false" ht="15" hidden="false" customHeight="false" outlineLevel="0" collapsed="false">
      <c r="A3490" s="5" t="s">
        <v>597</v>
      </c>
      <c r="B3490" s="5" t="s">
        <v>123</v>
      </c>
      <c r="C3490" s="34" t="n">
        <v>1</v>
      </c>
      <c r="D3490" s="34" t="n">
        <v>1</v>
      </c>
      <c r="E3490" s="34" t="n">
        <v>0.5</v>
      </c>
      <c r="F3490" s="34" t="n">
        <v>0.5</v>
      </c>
      <c r="G3490" s="34" t="n">
        <v>1</v>
      </c>
      <c r="H3490" s="34" t="n">
        <v>1</v>
      </c>
      <c r="I3490" s="34" t="n">
        <v>1</v>
      </c>
      <c r="J3490" s="34" t="n">
        <v>1</v>
      </c>
      <c r="K3490" s="34" t="n">
        <v>1</v>
      </c>
      <c r="L3490" s="34" t="n">
        <v>1</v>
      </c>
      <c r="M3490" s="34" t="n">
        <v>1</v>
      </c>
      <c r="N3490" s="34" t="n">
        <v>0.5</v>
      </c>
      <c r="O3490" s="34" t="n">
        <v>0.5</v>
      </c>
    </row>
    <row r="3491" customFormat="false" ht="17.15" hidden="false" customHeight="false" outlineLevel="0" collapsed="false">
      <c r="A3491" s="5" t="s">
        <v>598</v>
      </c>
      <c r="B3491" s="0" t="s">
        <v>129</v>
      </c>
      <c r="C3491" s="32" t="n">
        <f aca="false">Sens!$C$3488-mw_ye23</f>
        <v>240</v>
      </c>
      <c r="D3491" s="32" t="n">
        <f aca="false">Sens!$D$3488-Sens!$C$3488</f>
        <v>1080</v>
      </c>
      <c r="E3491" s="32" t="n">
        <f aca="false">Sens!$E$3488-Sens!$D$3488</f>
        <v>640</v>
      </c>
      <c r="F3491" s="32" t="n">
        <f aca="false">Sens!$F$3488-Sens!$E$3488</f>
        <v>1817.15</v>
      </c>
      <c r="G3491" s="32" t="n">
        <f aca="false">Sens!$E$3491+Sens!$F$3491</f>
        <v>2457.15</v>
      </c>
      <c r="H3491" s="32" t="n">
        <f aca="false">Sens!$H$3488-Sens!$G$3488</f>
        <v>3634.3</v>
      </c>
      <c r="I3491" s="32" t="n">
        <f aca="false">Sens!$I$3488-Sens!$H$3488</f>
        <v>3634.3</v>
      </c>
      <c r="J3491" s="32" t="n">
        <f aca="false">Sens!$J$3488-Sens!$I$3488</f>
        <v>3634.3</v>
      </c>
      <c r="K3491" s="32" t="n">
        <f aca="false">Sens!$K$3488-Sens!$J$3488</f>
        <v>2570.86716666667</v>
      </c>
      <c r="L3491" s="32" t="n">
        <f aca="false">Sens!$L$3488-Sens!$K$3488</f>
        <v>1507.43433333333</v>
      </c>
      <c r="M3491" s="32" t="n">
        <f aca="false">Sens!$M$3488-Sens!$L$3488</f>
        <v>444.001499999999</v>
      </c>
      <c r="N3491" s="32" t="n">
        <f aca="false">Sens!$N$3488-Sens!$C$3488</f>
        <v>540</v>
      </c>
      <c r="O3491" s="32" t="n">
        <f aca="false">Sens!$O$3488-Sens!$N$3488</f>
        <v>540</v>
      </c>
    </row>
    <row r="3492" customFormat="false" ht="17.15" hidden="false" customHeight="false" outlineLevel="0" collapsed="false">
      <c r="A3492" s="5" t="s">
        <v>599</v>
      </c>
      <c r="B3492" s="0" t="s">
        <v>129</v>
      </c>
      <c r="C3492" s="32" t="n">
        <f aca="false">Sens!$C$3491/ext_sh</f>
        <v>300</v>
      </c>
      <c r="D3492" s="32" t="n">
        <f aca="false">Sens!$D$3491/ext_sh</f>
        <v>1350</v>
      </c>
      <c r="E3492" s="32" t="n">
        <f aca="false">Sens!$E$3491/ext_sh</f>
        <v>800</v>
      </c>
      <c r="F3492" s="32" t="n">
        <f aca="false">Sens!$F$3491/ext_sh</f>
        <v>2271.4375</v>
      </c>
      <c r="G3492" s="32" t="n">
        <f aca="false">Sens!$G$3491/ext_sh</f>
        <v>3071.4375</v>
      </c>
      <c r="H3492" s="32" t="n">
        <f aca="false">Sens!$H$3491/ext_sh</f>
        <v>4542.875</v>
      </c>
      <c r="I3492" s="32" t="n">
        <f aca="false">Sens!$I$3491/ext_sh</f>
        <v>4542.875</v>
      </c>
      <c r="J3492" s="32" t="n">
        <f aca="false">Sens!$J$3491/ext_sh</f>
        <v>4542.875</v>
      </c>
      <c r="K3492" s="32" t="n">
        <f aca="false">Sens!$K$3491/ext_sh</f>
        <v>3213.58395833333</v>
      </c>
      <c r="L3492" s="32" t="n">
        <f aca="false">Sens!$L$3491/ext_sh</f>
        <v>1884.29291666667</v>
      </c>
      <c r="M3492" s="32" t="n">
        <f aca="false">Sens!$M$3491/ext_sh</f>
        <v>555.001874999998</v>
      </c>
      <c r="N3492" s="32" t="n">
        <f aca="false">Sens!$N$3491/ext_sh</f>
        <v>675</v>
      </c>
      <c r="O3492" s="32" t="n">
        <f aca="false">Sens!$O$3491/ext_sh</f>
        <v>675</v>
      </c>
      <c r="P3492" s="8" t="s">
        <v>600</v>
      </c>
      <c r="R3492" s="32" t="n">
        <f aca="false">mw_ye23/ext_sh</f>
        <v>150</v>
      </c>
      <c r="S3492" s="32" t="n">
        <f aca="false">Sens!$C$3492</f>
        <v>300</v>
      </c>
      <c r="T3492" s="32" t="n">
        <f aca="false">Sens!$D$3492</f>
        <v>1350</v>
      </c>
      <c r="U3492" s="32" t="n">
        <f aca="false">Sens!$G$3492</f>
        <v>3071.4375</v>
      </c>
      <c r="V3492" s="32" t="n">
        <f aca="false">Sens!$H$3492</f>
        <v>4542.875</v>
      </c>
      <c r="W3492" s="32" t="n">
        <f aca="false">Sens!$I$3492</f>
        <v>4542.875</v>
      </c>
      <c r="X3492" s="32" t="n">
        <f aca="false">Sens!$J$3492</f>
        <v>4542.875</v>
      </c>
      <c r="Y3492" s="32" t="n">
        <f aca="false">Sens!$K$3492</f>
        <v>3213.58395833333</v>
      </c>
      <c r="Z3492" s="32" t="n">
        <f aca="false">Sens!$L$3492</f>
        <v>1884.29291666667</v>
      </c>
      <c r="AA3492" s="32" t="n">
        <f aca="false">Sens!$M$3492</f>
        <v>555.001874999998</v>
      </c>
    </row>
    <row r="3493" customFormat="false" ht="17.15" hidden="false" customHeight="false" outlineLevel="0" collapsed="false">
      <c r="A3493" s="1" t="s">
        <v>601</v>
      </c>
    </row>
    <row r="3494" customFormat="false" ht="17.15" hidden="false" customHeight="false" outlineLevel="0" collapsed="false">
      <c r="A3494" s="0" t="s">
        <v>602</v>
      </c>
      <c r="B3494" s="0" t="s">
        <v>52</v>
      </c>
      <c r="F3494" s="35" t="n">
        <f aca="false">na_vr26</f>
        <v>0</v>
      </c>
      <c r="G3494" s="35" t="n">
        <f aca="false">na_vr26</f>
        <v>0</v>
      </c>
      <c r="H3494" s="35" t="n">
        <f aca="false">na_vr27</f>
        <v>0.5</v>
      </c>
      <c r="I3494" s="35" t="n">
        <f aca="false">na_vr28</f>
        <v>1</v>
      </c>
      <c r="J3494" s="35" t="n">
        <f aca="false">na_vr28</f>
        <v>1</v>
      </c>
      <c r="K3494" s="35" t="n">
        <f aca="false">na_vr28</f>
        <v>1</v>
      </c>
      <c r="L3494" s="35" t="n">
        <f aca="false">na_vr28</f>
        <v>1</v>
      </c>
      <c r="M3494" s="35" t="n">
        <f aca="false">na_vr28</f>
        <v>1</v>
      </c>
    </row>
    <row r="3495" customFormat="false" ht="17.15" hidden="false" customHeight="false" outlineLevel="0" collapsed="false">
      <c r="A3495" s="5" t="s">
        <v>603</v>
      </c>
      <c r="B3495" s="0" t="s">
        <v>173</v>
      </c>
      <c r="F3495" s="36" t="n">
        <f aca="false">cust_sh*tk_he_gb300*cf_chip+(1-cust_sh)*((1-Sens!$F$3494)*tk_he_gb300+Sens!$F$3494*tk_he_vr200)</f>
        <v>10.8864110021101</v>
      </c>
      <c r="G3495" s="36" t="n">
        <f aca="false">cust_sh*tk_he_gb300*cf_chip+(1-cust_sh)*((1-Sens!$G$3494)*tk_he_gb300+Sens!$G$3494*tk_he_vr200)</f>
        <v>10.8864110021101</v>
      </c>
      <c r="H3495" s="36" t="n">
        <f aca="false">cust_sh*tk_he_gb300*cf_chip+(1-cust_sh)*((1-Sens!$H$3494)*tk_he_gb300+Sens!$H$3494*tk_he_vr200)</f>
        <v>11.2211760027286</v>
      </c>
      <c r="I3495" s="36" t="n">
        <f aca="false">cust_sh*tk_he_gb300*cf_chip+(1-cust_sh)*((1-Sens!$I$3494)*tk_he_gb300+Sens!$I$3494*tk_he_vr200)</f>
        <v>11.5559410033471</v>
      </c>
      <c r="J3495" s="36" t="n">
        <f aca="false">cust_sh*tk_he_gb300*cf_chip+(1-cust_sh)*((1-Sens!$J$3494)*tk_he_gb300+Sens!$J$3494*tk_he_vr200)</f>
        <v>11.5559410033471</v>
      </c>
      <c r="K3495" s="36" t="n">
        <f aca="false">cust_sh*tk_he_gb300*cf_chip+(1-cust_sh)*((1-Sens!$K$3494)*tk_he_gb300+Sens!$K$3494*tk_he_vr200)</f>
        <v>11.5559410033471</v>
      </c>
      <c r="L3495" s="36" t="n">
        <f aca="false">cust_sh*tk_he_gb300*cf_chip+(1-cust_sh)*((1-Sens!$L$3494)*tk_he_gb300+Sens!$L$3494*tk_he_vr200)</f>
        <v>11.5559410033471</v>
      </c>
      <c r="M3495" s="36" t="n">
        <f aca="false">cust_sh*tk_he_gb300*cf_chip+(1-cust_sh)*((1-Sens!$M$3494)*tk_he_gb300+Sens!$M$3494*tk_he_vr200)</f>
        <v>11.5559410033471</v>
      </c>
    </row>
    <row r="3496" customFormat="false" ht="17.15" hidden="false" customHeight="false" outlineLevel="0" collapsed="false">
      <c r="A3496" s="5" t="s">
        <v>604</v>
      </c>
      <c r="B3496" s="0" t="s">
        <v>173</v>
      </c>
      <c r="F3496" s="36" t="n">
        <f aca="false">cust_sh*tk_ox_gb300+(1-cust_sh)*((1-Sens!$F$3494)*tk_ox_gb300+Sens!$F$3494*tk_ox_vr200)</f>
        <v>1.98263481314457</v>
      </c>
      <c r="G3496" s="36" t="n">
        <f aca="false">cust_sh*tk_ox_gb300+(1-cust_sh)*((1-Sens!$G$3494)*tk_ox_gb300+Sens!$G$3494*tk_ox_vr200)</f>
        <v>1.98263481314457</v>
      </c>
      <c r="H3496" s="36" t="n">
        <f aca="false">cust_sh*tk_ox_gb300+(1-cust_sh)*((1-Sens!$H$3494)*tk_ox_gb300+Sens!$H$3494*tk_ox_vr200)</f>
        <v>2.01034999693694</v>
      </c>
      <c r="I3496" s="36" t="n">
        <f aca="false">cust_sh*tk_ox_gb300+(1-cust_sh)*((1-Sens!$I$3494)*tk_ox_gb300+Sens!$I$3494*tk_ox_vr200)</f>
        <v>2.0380651807293</v>
      </c>
      <c r="J3496" s="36" t="n">
        <f aca="false">cust_sh*tk_ox_gb300+(1-cust_sh)*((1-Sens!$J$3494)*tk_ox_gb300+Sens!$J$3494*tk_ox_vr200)</f>
        <v>2.0380651807293</v>
      </c>
      <c r="K3496" s="36" t="n">
        <f aca="false">cust_sh*tk_ox_gb300+(1-cust_sh)*((1-Sens!$K$3494)*tk_ox_gb300+Sens!$K$3494*tk_ox_vr200)</f>
        <v>2.0380651807293</v>
      </c>
      <c r="L3496" s="36" t="n">
        <f aca="false">cust_sh*tk_ox_gb300+(1-cust_sh)*((1-Sens!$L$3494)*tk_ox_gb300+Sens!$L$3494*tk_ox_vr200)</f>
        <v>2.0380651807293</v>
      </c>
      <c r="M3496" s="36" t="n">
        <f aca="false">cust_sh*tk_ox_gb300+(1-cust_sh)*((1-Sens!$M$3494)*tk_ox_gb300+Sens!$M$3494*tk_ox_vr200)</f>
        <v>2.0380651807293</v>
      </c>
    </row>
    <row r="3497" customFormat="false" ht="17.15" hidden="false" customHeight="false" outlineLevel="0" collapsed="false">
      <c r="A3497" s="5" t="s">
        <v>605</v>
      </c>
      <c r="B3497" s="0" t="s">
        <v>192</v>
      </c>
      <c r="F3497" s="36" t="n">
        <f aca="false">cust_sh*tk_cx_gb300*cf_cx+(1-cust_sh)*((1-Sens!$F$3494)*tk_cx_gb300+Sens!$F$3494*tk_cx_vr200)</f>
        <v>32.237224</v>
      </c>
      <c r="G3497" s="36" t="n">
        <f aca="false">cust_sh*tk_cx_gb300*cf_cx+(1-cust_sh)*((1-Sens!$G$3494)*tk_cx_gb300+Sens!$G$3494*tk_cx_vr200)</f>
        <v>32.237224</v>
      </c>
      <c r="H3497" s="36" t="n">
        <f aca="false">cust_sh*tk_cx_gb300*cf_cx+(1-cust_sh)*((1-Sens!$H$3494)*tk_cx_gb300+Sens!$H$3494*tk_cx_vr200)</f>
        <v>33.574506</v>
      </c>
      <c r="I3497" s="36" t="n">
        <f aca="false">cust_sh*tk_cx_gb300*cf_cx+(1-cust_sh)*((1-Sens!$I$3494)*tk_cx_gb300+Sens!$I$3494*tk_cx_vr200)</f>
        <v>34.911788</v>
      </c>
      <c r="J3497" s="36" t="n">
        <f aca="false">cust_sh*tk_cx_gb300*cf_cx+(1-cust_sh)*((1-Sens!$J$3494)*tk_cx_gb300+Sens!$J$3494*tk_cx_vr200)</f>
        <v>34.911788</v>
      </c>
      <c r="K3497" s="36" t="n">
        <f aca="false">cust_sh*tk_cx_gb300*cf_cx+(1-cust_sh)*((1-Sens!$K$3494)*tk_cx_gb300+Sens!$K$3494*tk_cx_vr200)</f>
        <v>34.911788</v>
      </c>
      <c r="L3497" s="36" t="n">
        <f aca="false">cust_sh*tk_cx_gb300*cf_cx+(1-cust_sh)*((1-Sens!$L$3494)*tk_cx_gb300+Sens!$L$3494*tk_cx_vr200)</f>
        <v>34.911788</v>
      </c>
      <c r="M3497" s="36" t="n">
        <f aca="false">cust_sh*tk_cx_gb300*cf_cx+(1-cust_sh)*((1-Sens!$M$3494)*tk_cx_gb300+Sens!$M$3494*tk_cx_vr200)</f>
        <v>34.911788</v>
      </c>
    </row>
    <row r="3498" customFormat="false" ht="17.15" hidden="false" customHeight="false" outlineLevel="0" collapsed="false">
      <c r="A3498" s="5" t="s">
        <v>606</v>
      </c>
      <c r="B3498" s="0" t="s">
        <v>129</v>
      </c>
      <c r="F3498" s="32" t="n">
        <f aca="false">Sens!$F$3488-mw_open</f>
        <v>1817.15</v>
      </c>
      <c r="G3498" s="32" t="n">
        <f aca="false">Sens!$F$3498</f>
        <v>1817.15</v>
      </c>
      <c r="H3498" s="32" t="n">
        <f aca="false">Sens!$H$3488-mw_open</f>
        <v>5451.45</v>
      </c>
      <c r="I3498" s="32" t="n">
        <f aca="false">Sens!$I$3488-mw_open</f>
        <v>9085.75</v>
      </c>
      <c r="J3498" s="32" t="n">
        <f aca="false">Sens!$J$3488-mw_open</f>
        <v>12720.05</v>
      </c>
      <c r="K3498" s="32" t="n">
        <f aca="false">Sens!$K$3488-mw_open</f>
        <v>15290.9171666667</v>
      </c>
      <c r="L3498" s="32" t="n">
        <f aca="false">Sens!$L$3488-mw_open</f>
        <v>16798.3515</v>
      </c>
      <c r="M3498" s="32" t="n">
        <f aca="false">Sens!$M$3488-mw_open</f>
        <v>17242.353</v>
      </c>
    </row>
    <row r="3499" customFormat="false" ht="17.15" hidden="false" customHeight="false" outlineLevel="0" collapsed="false">
      <c r="A3499" s="0" t="s">
        <v>607</v>
      </c>
      <c r="B3499" s="0" t="s">
        <v>608</v>
      </c>
      <c r="F3499" s="32" t="n">
        <f aca="false">Sens!$F$3491*Sens!$F$3495</f>
        <v>19782.2417524844</v>
      </c>
      <c r="G3499" s="32" t="n">
        <f aca="false">Sens!$F$3499</f>
        <v>19782.2417524844</v>
      </c>
      <c r="H3499" s="32" t="n">
        <f aca="false">Sens!$G$3499+Sens!$H$3491*Sens!$H$3495</f>
        <v>60563.3616992009</v>
      </c>
      <c r="I3499" s="32" t="n">
        <f aca="false">Sens!$H$3499+Sens!$I$3491*Sens!$I$3495</f>
        <v>102561.118087665</v>
      </c>
      <c r="J3499" s="32" t="n">
        <f aca="false">Sens!$I$3499+Sens!$J$3491*Sens!$J$3495</f>
        <v>144558.87447613</v>
      </c>
      <c r="K3499" s="32" t="n">
        <f aca="false">Sens!$J$3499+Sens!$K$3491*Sens!$K$3495</f>
        <v>174267.663781572</v>
      </c>
      <c r="L3499" s="32" t="n">
        <f aca="false">Sens!$K$3499+Sens!$L$3491*Sens!$L$3495</f>
        <v>191687.486003992</v>
      </c>
      <c r="M3499" s="32" t="n">
        <f aca="false">Sens!$L$3499+Sens!$M$3491*Sens!$M$3495</f>
        <v>196818.341143389</v>
      </c>
    </row>
    <row r="3500" customFormat="false" ht="17.15" hidden="false" customHeight="false" outlineLevel="0" collapsed="false">
      <c r="A3500" s="0" t="s">
        <v>609</v>
      </c>
      <c r="B3500" s="0" t="s">
        <v>608</v>
      </c>
      <c r="F3500" s="32" t="n">
        <f aca="false">Sens!$F$3491*Sens!$F$3496</f>
        <v>3602.74485070566</v>
      </c>
      <c r="G3500" s="32" t="n">
        <f aca="false">Sens!$F$3500</f>
        <v>3602.74485070566</v>
      </c>
      <c r="H3500" s="32" t="n">
        <f aca="false">Sens!$G$3500+Sens!$H$3491*Sens!$H$3496</f>
        <v>10908.9598445736</v>
      </c>
      <c r="I3500" s="32" t="n">
        <f aca="false">Sens!$H$3500+Sens!$I$3491*Sens!$I$3496</f>
        <v>18315.9001308981</v>
      </c>
      <c r="J3500" s="32" t="n">
        <f aca="false">Sens!$I$3500+Sens!$J$3491*Sens!$J$3496</f>
        <v>25722.8404172225</v>
      </c>
      <c r="K3500" s="32" t="n">
        <f aca="false">Sens!$J$3500+Sens!$K$3491*Sens!$K$3496</f>
        <v>30962.4352738861</v>
      </c>
      <c r="L3500" s="32" t="n">
        <f aca="false">Sens!$K$3500+Sens!$L$3491*Sens!$L$3496</f>
        <v>34034.6847008886</v>
      </c>
      <c r="M3500" s="32" t="n">
        <f aca="false">Sens!$L$3500+Sens!$M$3491*Sens!$M$3496</f>
        <v>34939.5886982302</v>
      </c>
    </row>
    <row r="3501" customFormat="false" ht="17.15" hidden="false" customHeight="false" outlineLevel="0" collapsed="false">
      <c r="A3501" s="5" t="s">
        <v>610</v>
      </c>
      <c r="B3501" s="0" t="s">
        <v>173</v>
      </c>
      <c r="F3501" s="36" t="n">
        <f aca="false">IF(Sens!$F$3498&gt;0,Sens!$F$3499/Sens!$F$3498,Sens!$F$3495)</f>
        <v>10.8864110021101</v>
      </c>
      <c r="G3501" s="36" t="n">
        <f aca="false">IF(Sens!$G$3498&gt;0,Sens!$G$3499/Sens!$G$3498,Sens!$G$3495)</f>
        <v>10.8864110021101</v>
      </c>
      <c r="H3501" s="36" t="n">
        <f aca="false">IF(Sens!$H$3498&gt;0,Sens!$H$3499/Sens!$H$3498,Sens!$H$3495)</f>
        <v>11.1095876691891</v>
      </c>
      <c r="I3501" s="36" t="n">
        <f aca="false">IF(Sens!$I$3498&gt;0,Sens!$I$3499/Sens!$I$3498,Sens!$I$3495)</f>
        <v>11.2881290028523</v>
      </c>
      <c r="J3501" s="36" t="n">
        <f aca="false">IF(Sens!$J$3498&gt;0,Sens!$J$3499/Sens!$J$3498,Sens!$J$3495)</f>
        <v>11.3646467172794</v>
      </c>
      <c r="K3501" s="36" t="n">
        <f aca="false">IF(Sens!$K$3498&gt;0,Sens!$K$3499/Sens!$K$3498,Sens!$K$3495)</f>
        <v>11.3968090914432</v>
      </c>
      <c r="L3501" s="36" t="n">
        <f aca="false">IF(Sens!$L$3498&gt;0,Sens!$L$3499/Sens!$L$3498,Sens!$L$3495)</f>
        <v>11.4110891181192</v>
      </c>
      <c r="M3501" s="36" t="n">
        <f aca="false">IF(Sens!$M$3498&gt;0,Sens!$M$3499/Sens!$M$3498,Sens!$M$3495)</f>
        <v>11.4148191458201</v>
      </c>
    </row>
    <row r="3502" customFormat="false" ht="17.15" hidden="false" customHeight="false" outlineLevel="0" collapsed="false">
      <c r="A3502" s="5" t="s">
        <v>611</v>
      </c>
      <c r="B3502" s="0" t="s">
        <v>173</v>
      </c>
      <c r="F3502" s="36" t="n">
        <f aca="false">IF(Sens!$F$3498&gt;0,Sens!$F$3500/Sens!$F$3498,Sens!$F$3496)</f>
        <v>1.98263481314457</v>
      </c>
      <c r="G3502" s="36" t="n">
        <f aca="false">IF(Sens!$G$3498&gt;0,Sens!$G$3500/Sens!$G$3498,Sens!$G$3496)</f>
        <v>1.98263481314457</v>
      </c>
      <c r="H3502" s="36" t="n">
        <f aca="false">IF(Sens!$H$3498&gt;0,Sens!$H$3500/Sens!$H$3498,Sens!$H$3496)</f>
        <v>2.00111160233948</v>
      </c>
      <c r="I3502" s="36" t="n">
        <f aca="false">IF(Sens!$I$3498&gt;0,Sens!$I$3500/Sens!$I$3498,Sens!$I$3496)</f>
        <v>2.01589303369541</v>
      </c>
      <c r="J3502" s="36" t="n">
        <f aca="false">IF(Sens!$J$3498&gt;0,Sens!$J$3500/Sens!$J$3498,Sens!$J$3496)</f>
        <v>2.02222793284795</v>
      </c>
      <c r="K3502" s="36" t="n">
        <f aca="false">IF(Sens!$K$3498&gt;0,Sens!$K$3500/Sens!$K$3498,Sens!$K$3496)</f>
        <v>2.02489065478573</v>
      </c>
      <c r="L3502" s="36" t="n">
        <f aca="false">IF(Sens!$L$3498&gt;0,Sens!$L$3500/Sens!$L$3498,Sens!$L$3496)</f>
        <v>2.0260728977417</v>
      </c>
      <c r="M3502" s="36" t="n">
        <f aca="false">IF(Sens!$M$3498&gt;0,Sens!$M$3500/Sens!$M$3498,Sens!$M$3496)</f>
        <v>2.02638170661685</v>
      </c>
    </row>
    <row r="3503" customFormat="false" ht="17.15" hidden="false" customHeight="false" outlineLevel="0" collapsed="false">
      <c r="A3503" s="15" t="s">
        <v>612</v>
      </c>
      <c r="B3503" s="14" t="s">
        <v>173</v>
      </c>
      <c r="C3503" s="14"/>
      <c r="D3503" s="14"/>
      <c r="E3503" s="14"/>
      <c r="F3503" s="37" t="n">
        <f aca="false">Sens!$F$3501*k_B</f>
        <v>10.7987645808025</v>
      </c>
      <c r="G3503" s="37" t="n">
        <f aca="false">Sens!$G$3501*k_B</f>
        <v>10.7987645808025</v>
      </c>
      <c r="H3503" s="37" t="n">
        <f aca="false">Sens!$H$3501*k_B</f>
        <v>11.0201444540452</v>
      </c>
      <c r="I3503" s="37" t="n">
        <f aca="false">Sens!$I$3501*k_B</f>
        <v>11.1972483526393</v>
      </c>
      <c r="J3503" s="37" t="n">
        <f aca="false">Sens!$J$3501*k_B</f>
        <v>11.2731500234653</v>
      </c>
      <c r="K3503" s="37" t="n">
        <f aca="false">Sens!$K$3501*k_B</f>
        <v>11.3050534585724</v>
      </c>
      <c r="L3503" s="37" t="n">
        <f aca="false">Sens!$L$3501*k_B</f>
        <v>11.3192185168503</v>
      </c>
      <c r="M3503" s="37" t="n">
        <f aca="false">Sens!$M$3501*k_B</f>
        <v>11.3229185141234</v>
      </c>
      <c r="N3503" s="14"/>
      <c r="O3503" s="14"/>
      <c r="P3503" s="5" t="s">
        <v>613</v>
      </c>
    </row>
    <row r="3504" customFormat="false" ht="17.15" hidden="false" customHeight="false" outlineLevel="0" collapsed="false">
      <c r="A3504" s="5" t="s">
        <v>614</v>
      </c>
      <c r="B3504" s="0" t="s">
        <v>129</v>
      </c>
      <c r="F3504" s="32" t="n">
        <f aca="false">Sens!$F$3498/2</f>
        <v>908.575</v>
      </c>
      <c r="H3504" s="32" t="n">
        <f aca="false">(Sens!$G$3498+Sens!$H$3498)/2</f>
        <v>3634.3</v>
      </c>
      <c r="I3504" s="32" t="n">
        <f aca="false">(Sens!$H$3498+Sens!$I$3498)/2</f>
        <v>7268.6</v>
      </c>
      <c r="J3504" s="32" t="n">
        <f aca="false">(Sens!$I$3498+Sens!$J$3498)/2</f>
        <v>10902.9</v>
      </c>
      <c r="K3504" s="32" t="n">
        <f aca="false">(Sens!$J$3498+Sens!$K$3498)/2</f>
        <v>14005.4835833333</v>
      </c>
      <c r="L3504" s="32" t="n">
        <f aca="false">(Sens!$K$3498+Sens!$L$3498)/2</f>
        <v>16044.6343333333</v>
      </c>
      <c r="M3504" s="32" t="n">
        <f aca="false">(Sens!$L$3498+Sens!$M$3498)/2</f>
        <v>17020.35225</v>
      </c>
    </row>
    <row r="3505" customFormat="false" ht="17.15" hidden="false" customHeight="false" outlineLevel="0" collapsed="false">
      <c r="A3505" s="1" t="s">
        <v>615</v>
      </c>
    </row>
    <row r="3506" customFormat="false" ht="17.15" hidden="false" customHeight="false" outlineLevel="0" collapsed="false">
      <c r="A3506" s="1" t="s">
        <v>616</v>
      </c>
      <c r="B3506" s="8" t="s">
        <v>86</v>
      </c>
      <c r="C3506" s="38" t="n">
        <f aca="false">Sens!$C$3489*rpm_open*Sens!$C$3490/1000</f>
        <v>2.32100535697364</v>
      </c>
      <c r="D3506" s="38" t="n">
        <f aca="false">Sens!$D$3489*rpm_open*Sens!$D$3490/1000</f>
        <v>8.70377008865116</v>
      </c>
      <c r="E3506" s="38" t="n">
        <f aca="false">Sens!$E$3489*rpm_open*Sens!$E$3490/1000</f>
        <v>8.51035297557002</v>
      </c>
      <c r="F3506" s="38" t="n">
        <f aca="false">(mw_open*rpm_open+Sens!$F$3504*Sens!$F$3503)*Sens!$F$3490/1000</f>
        <v>14.9634336447205</v>
      </c>
      <c r="G3506" s="38" t="n">
        <f aca="false">Sens!$E$3506+Sens!$F$3506</f>
        <v>23.4737866202905</v>
      </c>
      <c r="H3506" s="38" t="n">
        <f aca="false">(mw_open*rpm_open+Sens!$H$3504*Sens!$H$3503)/1000</f>
        <v>60.1658907497746</v>
      </c>
      <c r="I3506" s="38" t="n">
        <f aca="false">(mw_open*rpm_open+Sens!$I$3504*Sens!$I$3503)/1000</f>
        <v>101.503699136432</v>
      </c>
      <c r="J3506" s="38" t="n">
        <f aca="false">(mw_open*rpm_open+Sens!$J$3504*Sens!$J$3503)/1000</f>
        <v>143.025407151278</v>
      </c>
      <c r="K3506" s="38" t="n">
        <f aca="false">(mw_open*rpm_open+Sens!$K$3504*Sens!$K$3503)/1000</f>
        <v>178.44812038318</v>
      </c>
      <c r="L3506" s="38" t="n">
        <f aca="false">(mw_open*rpm_open+Sens!$L$3504*Sens!$L$3503)/1000</f>
        <v>201.728101802396</v>
      </c>
      <c r="M3506" s="38" t="n">
        <f aca="false">(mw_open*rpm_open+Sens!$M$3504*Sens!$M$3503)/1000</f>
        <v>212.835441368865</v>
      </c>
      <c r="N3506" s="38" t="n">
        <f aca="false">Sens!$N$3489*rpm_open*Sens!$N$3490/1000</f>
        <v>3.04631953102791</v>
      </c>
      <c r="O3506" s="38" t="n">
        <f aca="false">Sens!$O$3489*rpm_open*Sens!$O$3490/1000</f>
        <v>5.65745055762326</v>
      </c>
      <c r="P3506" s="5" t="s">
        <v>617</v>
      </c>
    </row>
    <row r="3507" customFormat="false" ht="17.15" hidden="false" customHeight="false" outlineLevel="0" collapsed="false">
      <c r="A3507" s="5" t="s">
        <v>618</v>
      </c>
      <c r="B3507" s="0" t="s">
        <v>173</v>
      </c>
      <c r="C3507" s="36" t="n">
        <f aca="false">Sens!$C$3506*1000/(Sens!$C$3489*Sens!$C$3490)</f>
        <v>9.67085565405685</v>
      </c>
      <c r="D3507" s="36" t="n">
        <f aca="false">Sens!$D$3506*1000/(Sens!$D$3489*Sens!$D$3490)</f>
        <v>9.67085565405685</v>
      </c>
      <c r="E3507" s="36" t="n">
        <f aca="false">Sens!$E$3506*1000/(Sens!$E$3489*Sens!$E$3490)</f>
        <v>9.67085565405685</v>
      </c>
      <c r="F3507" s="36" t="n">
        <f aca="false">Sens!$F$3506*1000/(Sens!$F$3489*Sens!$F$3490)</f>
        <v>10.0137581588017</v>
      </c>
      <c r="G3507" s="36" t="n">
        <f aca="false">Sens!$G$3506*1000/(Sens!$G$3489*Sens!$G$3490)</f>
        <v>9.88666562928478</v>
      </c>
      <c r="H3507" s="36" t="n">
        <f aca="false">Sens!$H$3506*1000/(Sens!$H$3489*Sens!$H$3490)</f>
        <v>10.5290045586992</v>
      </c>
      <c r="I3507" s="36" t="n">
        <f aca="false">Sens!$I$3506*1000/(Sens!$I$3489*Sens!$I$3490)</f>
        <v>10.8576363451674</v>
      </c>
      <c r="J3507" s="36" t="n">
        <f aca="false">Sens!$J$3506*1000/(Sens!$J$3489*Sens!$J$3490)</f>
        <v>11.0164452588619</v>
      </c>
      <c r="K3507" s="36" t="n">
        <f aca="false">Sens!$K$3506*1000/(Sens!$K$3489*Sens!$K$3490)</f>
        <v>11.0937367508227</v>
      </c>
      <c r="L3507" s="36" t="n">
        <f aca="false">Sens!$L$3506*1000/(Sens!$L$3489*Sens!$L$3490)</f>
        <v>11.1300508519168</v>
      </c>
      <c r="M3507" s="36" t="n">
        <f aca="false">Sens!$M$3506*1000/(Sens!$M$3489*Sens!$M$3490)</f>
        <v>11.1430113216297</v>
      </c>
      <c r="N3507" s="36" t="n">
        <f aca="false">Sens!$N$3506*1000/(Sens!$N$3489*Sens!$N$3490)</f>
        <v>9.67085565405685</v>
      </c>
      <c r="O3507" s="36" t="n">
        <f aca="false">Sens!$O$3506*1000/(Sens!$O$3489*Sens!$O$3490)</f>
        <v>9.67085565405685</v>
      </c>
    </row>
    <row r="3508" customFormat="false" ht="17.15" hidden="false" customHeight="false" outlineLevel="0" collapsed="false">
      <c r="A3508" s="0" t="s">
        <v>619</v>
      </c>
      <c r="B3508" s="0" t="s">
        <v>86</v>
      </c>
      <c r="C3508" s="38" t="n">
        <f aca="false">Sens!$C$3489/ext_sh*(ox_open+rent_mw)*Sens!$C$3490/1000</f>
        <v>0.642569210675032</v>
      </c>
      <c r="D3508" s="38" t="n">
        <f aca="false">Sens!$D$3489/ext_sh*(ox_open+rent_mw)*Sens!$D$3490/1000</f>
        <v>2.40963454003137</v>
      </c>
      <c r="E3508" s="38" t="n">
        <f aca="false">Sens!$E$3489/ext_sh*(ox_open+rent_mw)*Sens!$E$3490/1000</f>
        <v>2.35608710580845</v>
      </c>
      <c r="F3508" s="38" t="n">
        <f aca="false">((mw_open*ox_open+Sens!$F$3504*Sens!$F$3502)/ext_sh+Sens!$F$3489/ext_sh*rent_mw)*Sens!$F$3490/1000</f>
        <v>4.05421991106232</v>
      </c>
      <c r="G3508" s="38" t="n">
        <f aca="false">Sens!$E$3508+Sens!$F$3508</f>
        <v>6.41030701687077</v>
      </c>
      <c r="H3508" s="38" t="n">
        <f aca="false">((mw_open*ox_open+Sens!$H$3504*Sens!$H$3502)/ext_sh+Sens!$H$3489/ext_sh*rent_mw)*Sens!$H$3490/1000</f>
        <v>15.8108975546616</v>
      </c>
      <c r="I3508" s="38" t="n">
        <f aca="false">((mw_open*ox_open+Sens!$I$3504*Sens!$I$3502)/ext_sh+Sens!$I$3489/ext_sh*rent_mw)*Sens!$I$3490/1000</f>
        <v>26.1871623400817</v>
      </c>
      <c r="J3508" s="38" t="n">
        <f aca="false">((mw_open*ox_open+Sens!$J$3504*Sens!$J$3502)/ext_sh+Sens!$J$3489/ext_sh*rent_mw)*Sens!$J$3490/1000</f>
        <v>36.5826128954935</v>
      </c>
      <c r="K3508" s="38" t="n">
        <f aca="false">((mw_open*ox_open+Sens!$K$3504*Sens!$K$3502)/ext_sh+Sens!$K$3489/ext_sh*rent_mw)*Sens!$K$3490/1000</f>
        <v>45.4546361137628</v>
      </c>
      <c r="L3508" s="38" t="n">
        <f aca="false">((mw_open*ox_open+Sens!$L$3504*Sens!$L$3502)/ext_sh+Sens!$L$3489/ext_sh*rent_mw)*Sens!$L$3490/1000</f>
        <v>51.2855695554452</v>
      </c>
      <c r="M3508" s="38" t="n">
        <f aca="false">((mw_open*ox_open+Sens!$M$3504*Sens!$M$3502)/ext_sh+Sens!$M$3489/ext_sh*rent_mw)*Sens!$M$3490/1000</f>
        <v>54.0722927838398</v>
      </c>
      <c r="N3508" s="38" t="n">
        <f aca="false">Sens!$N$3489/ext_sh*(ox_open+rent_mw)*Sens!$N$3490/1000</f>
        <v>0.84337208901098</v>
      </c>
      <c r="O3508" s="38" t="n">
        <f aca="false">Sens!$O$3489/ext_sh*(ox_open+rent_mw)*Sens!$O$3490/1000</f>
        <v>1.56626245102039</v>
      </c>
    </row>
    <row r="3509" customFormat="false" ht="17.15" hidden="false" customHeight="false" outlineLevel="0" collapsed="false">
      <c r="A3509" s="0" t="s">
        <v>620</v>
      </c>
      <c r="B3509" s="0" t="s">
        <v>86</v>
      </c>
      <c r="C3509" s="38" t="n">
        <f aca="false">Q!$D$7</f>
        <v>107.556</v>
      </c>
      <c r="D3509" s="38" t="n">
        <f aca="false">Q!$E$7</f>
        <v>128.725</v>
      </c>
      <c r="E3509" s="38" t="n">
        <f aca="false">Q!$P$7</f>
        <v>79.819</v>
      </c>
      <c r="N3509" s="38" t="n">
        <f aca="false">Q!$N$7</f>
        <v>60.14</v>
      </c>
      <c r="O3509" s="38" t="n">
        <f aca="false">Q!$O$7</f>
        <v>68.585</v>
      </c>
    </row>
    <row r="3510" customFormat="false" ht="17.15" hidden="false" customHeight="false" outlineLevel="0" collapsed="false">
      <c r="A3510" s="1" t="s">
        <v>621</v>
      </c>
      <c r="B3510" s="8" t="s">
        <v>86</v>
      </c>
      <c r="C3510" s="38" t="n">
        <f aca="false">Sens!$C$3509-Sens!$C$3506</f>
        <v>105.234994643026</v>
      </c>
      <c r="D3510" s="38" t="n">
        <f aca="false">Sens!$D$3509-Sens!$D$3506</f>
        <v>120.021229911349</v>
      </c>
      <c r="E3510" s="38" t="n">
        <f aca="false">Sens!$E$3509-Sens!$E$3506</f>
        <v>71.30864702443</v>
      </c>
      <c r="F3510" s="38" t="n">
        <f aca="false">Sens!$O$3510*(1+Sens!$F$3511)</f>
        <v>71.7692997942464</v>
      </c>
      <c r="G3510" s="38" t="n">
        <f aca="false">Sens!$E$3510+Sens!$F$3510</f>
        <v>143.077946818676</v>
      </c>
      <c r="H3510" s="38" t="n">
        <f aca="false">Sens!$G$3510*(1+Sens!$H$3511)</f>
        <v>161.017077079203</v>
      </c>
      <c r="I3510" s="38" t="n">
        <f aca="false">Sens!$H$3510*(1+Sens!$I$3511)</f>
        <v>178.769759521457</v>
      </c>
      <c r="J3510" s="38" t="n">
        <f aca="false">Sens!$I$3510*(1+Sens!$J$3511)</f>
        <v>195.775538045907</v>
      </c>
      <c r="K3510" s="38" t="n">
        <f aca="false">Sens!$J$3510*(1+Sens!$K$3511)</f>
        <v>211.43758108958</v>
      </c>
      <c r="L3510" s="38" t="n">
        <f aca="false">Sens!$K$3510*(1+Sens!$L$3511)</f>
        <v>228.352587576746</v>
      </c>
      <c r="M3510" s="38" t="n">
        <f aca="false">Sens!$L$3510*(1+Sens!$M$3511)</f>
        <v>246.620794582886</v>
      </c>
      <c r="N3510" s="38" t="n">
        <f aca="false">Sens!$N$3509-Sens!$N$3506</f>
        <v>57.0936804689721</v>
      </c>
      <c r="O3510" s="38" t="n">
        <f aca="false">Sens!$O$3509-Sens!$O$3506</f>
        <v>62.9275494423768</v>
      </c>
      <c r="P3510" s="5" t="s">
        <v>622</v>
      </c>
    </row>
    <row r="3511" customFormat="false" ht="17.15" hidden="false" customHeight="false" outlineLevel="0" collapsed="false">
      <c r="A3511" s="0" t="s">
        <v>623</v>
      </c>
      <c r="B3511" s="0" t="s">
        <v>52</v>
      </c>
      <c r="D3511" s="13" t="n">
        <f aca="false">Sens!$D$3510/Sens!$C$3510-1</f>
        <v>0.140506827776062</v>
      </c>
      <c r="E3511" s="13" t="n">
        <f aca="false">Sens!$E$3510/Sens!$N$3510-1</f>
        <v>0.248976181579029</v>
      </c>
      <c r="F3511" s="13" t="n">
        <f aca="false">Sens!$D$3511</f>
        <v>0.140506827776062</v>
      </c>
      <c r="G3511" s="13" t="n">
        <f aca="false">Sens!$G$3510/Sens!$D$3510-1</f>
        <v>0.19210532106993</v>
      </c>
      <c r="H3511" s="13" t="n">
        <f aca="false">Sens!$F$3511+(g_awso_lt-Sens!$F$3511)*1/4</f>
        <v>0.125380120832046</v>
      </c>
      <c r="I3511" s="13" t="n">
        <f aca="false">Sens!$F$3511+(g_awso_lt-Sens!$F$3511)*2/4</f>
        <v>0.110253413888031</v>
      </c>
      <c r="J3511" s="13" t="n">
        <f aca="false">Sens!$F$3511+(g_awso_lt-Sens!$F$3511)*3/4</f>
        <v>0.0951267069440154</v>
      </c>
      <c r="K3511" s="13" t="n">
        <f aca="false">Sens!$F$3511+(g_awso_lt-Sens!$F$3511)*4/4</f>
        <v>0.08</v>
      </c>
      <c r="L3511" s="13" t="n">
        <f aca="false">g_awso_lt</f>
        <v>0.08</v>
      </c>
      <c r="M3511" s="13" t="n">
        <f aca="false">g_awso_lt</f>
        <v>0.08</v>
      </c>
      <c r="P3511" s="5" t="s">
        <v>624</v>
      </c>
    </row>
    <row r="3512" customFormat="false" ht="17.15" hidden="false" customHeight="false" outlineLevel="0" collapsed="false">
      <c r="A3512" s="1" t="s">
        <v>625</v>
      </c>
    </row>
    <row r="3513" customFormat="false" ht="17.15" hidden="false" customHeight="false" outlineLevel="0" collapsed="false">
      <c r="A3513" s="0" t="s">
        <v>626</v>
      </c>
      <c r="B3513" s="0" t="s">
        <v>86</v>
      </c>
      <c r="F3513" s="38" t="n">
        <f aca="false">cx_rt*Sens!$F$3478+cx_awso*Sens!$F$3510</f>
        <v>34.9734495387866</v>
      </c>
    </row>
    <row r="3514" customFormat="false" ht="17.15" hidden="false" customHeight="false" outlineLevel="0" collapsed="false">
      <c r="A3514" s="0" t="s">
        <v>627</v>
      </c>
      <c r="B3514" s="0" t="s">
        <v>52</v>
      </c>
      <c r="C3514" s="13" t="n">
        <f aca="false">tk_cx_h100/(tk_cx_h100+tk_fac*(1-colo_sh))</f>
        <v>0.730756458006641</v>
      </c>
      <c r="D3514" s="13" t="n">
        <f aca="false">tk_cx_h100/(tk_cx_h100+tk_fac*(1-colo_sh))</f>
        <v>0.730756458006641</v>
      </c>
      <c r="E3514" s="13" t="n">
        <f aca="false">Sens!$F$3514</f>
        <v>0.760792334328868</v>
      </c>
      <c r="F3514" s="13" t="n">
        <f aca="false">Sens!$F$3497/(Sens!$F$3497+tk_fac*(1-colo_sh))</f>
        <v>0.760792334328868</v>
      </c>
      <c r="G3514" s="13" t="n">
        <f aca="false">Sens!$G$3497/(Sens!$G$3497+tk_fac*(1-colo_sh))</f>
        <v>0.760792334328868</v>
      </c>
      <c r="H3514" s="13" t="n">
        <f aca="false">Sens!$H$3497/(Sens!$H$3497+tk_fac*(1-colo_sh))</f>
        <v>0.768110668862996</v>
      </c>
      <c r="I3514" s="13" t="n">
        <f aca="false">Sens!$I$3497/(Sens!$I$3497+tk_fac*(1-colo_sh))</f>
        <v>0.77499450139483</v>
      </c>
      <c r="J3514" s="13" t="n">
        <f aca="false">Sens!$J$3497/(Sens!$J$3497+tk_fac*(1-colo_sh))</f>
        <v>0.77499450139483</v>
      </c>
      <c r="K3514" s="13" t="n">
        <f aca="false">Sens!$K$3497/(Sens!$K$3497+tk_fac*(1-colo_sh))</f>
        <v>0.77499450139483</v>
      </c>
      <c r="L3514" s="13" t="n">
        <f aca="false">Sens!$L$3497/(Sens!$L$3497+tk_fac*(1-colo_sh))</f>
        <v>0.77499450139483</v>
      </c>
      <c r="M3514" s="13" t="n">
        <f aca="false">Sens!$M$3497/(Sens!$M$3497+tk_fac*(1-colo_sh))</f>
        <v>0.77499450139483</v>
      </c>
    </row>
    <row r="3515" customFormat="false" ht="17.15" hidden="false" customHeight="false" outlineLevel="0" collapsed="false">
      <c r="A3515" s="1" t="s">
        <v>628</v>
      </c>
      <c r="B3515" s="8" t="s">
        <v>86</v>
      </c>
      <c r="C3515" s="38" t="n">
        <f aca="false">Q!$D$46-cx_rt*Q!$D$16-cx_awso*Sens!$C$3510</f>
        <v>25.2781053077374</v>
      </c>
      <c r="D3515" s="38" t="n">
        <f aca="false">Q!$E$46-cx_rt*Q!$E$16-cx_awso*Sens!$D$3510</f>
        <v>69.5686316310026</v>
      </c>
      <c r="E3515" s="38" t="n">
        <f aca="false">Q!$P$46-cx_rt*Q!$P$16-cx_awso*Sens!$E$3510</f>
        <v>64.1899206485108</v>
      </c>
      <c r="F3515" s="38" t="n">
        <f aca="false">MAX(Sens!$F$3492*(Sens!$F$3497+tk_fac*(1-colo_sh))/1000,capex_g26-Q!$P$46-Sens!$F$3513)</f>
        <v>96.2481299895</v>
      </c>
      <c r="G3515" s="38" t="n">
        <f aca="false">Sens!$E$3515+Sens!$F$3515</f>
        <v>160.438050638011</v>
      </c>
      <c r="H3515" s="38" t="n">
        <f aca="false">Sens!$H$3492*(Sens!$H$3497+tk_fac*(1-colo_sh))/1000+Sens!$H$3516</f>
        <v>198.57136494475</v>
      </c>
      <c r="I3515" s="38" t="n">
        <f aca="false">Sens!$I$3492*(Sens!$I$3497+tk_fac*(1-colo_sh))/1000+Sens!$I$3516</f>
        <v>204.6464699105</v>
      </c>
      <c r="J3515" s="38" t="n">
        <f aca="false">Sens!$J$3492*(Sens!$J$3497+tk_fac*(1-colo_sh))/1000+Sens!$J$3516</f>
        <v>209.8832381105</v>
      </c>
      <c r="K3515" s="38" t="n">
        <f aca="false">Sens!$K$3492*(Sens!$K$3497+tk_fac*(1-colo_sh))/1000+Sens!$K$3516</f>
        <v>155.238385275201</v>
      </c>
      <c r="L3515" s="38" t="n">
        <f aca="false">Sens!$L$3492*(Sens!$L$3497+tk_fac*(1-colo_sh))/1000+Sens!$L$3516</f>
        <v>132.014141639902</v>
      </c>
      <c r="M3515" s="38" t="n">
        <f aca="false">Sens!$M$3492*(Sens!$M$3497+tk_fac*(1-colo_sh))/1000+Sens!$M$3516</f>
        <v>132.230981659852</v>
      </c>
      <c r="P3515" s="5" t="s">
        <v>629</v>
      </c>
      <c r="R3515" s="38" t="n">
        <f aca="false">Q!$C$46-cx_rt*Q!$C$16-cx_awso*(Q!$C$7-mw_ye23/2*rpm_open/1000)</f>
        <v>1.50429979529945</v>
      </c>
      <c r="S3515" s="38" t="n">
        <f aca="false">Sens!$C$3515</f>
        <v>25.2781053077374</v>
      </c>
      <c r="T3515" s="38" t="n">
        <f aca="false">Sens!$D$3515</f>
        <v>69.5686316310026</v>
      </c>
      <c r="U3515" s="38" t="n">
        <f aca="false">Sens!$G$3515</f>
        <v>160.438050638011</v>
      </c>
      <c r="V3515" s="38" t="n">
        <f aca="false">Sens!$H$3515</f>
        <v>198.57136494475</v>
      </c>
      <c r="W3515" s="38" t="n">
        <f aca="false">Sens!$I$3515</f>
        <v>204.6464699105</v>
      </c>
      <c r="X3515" s="38" t="n">
        <f aca="false">Sens!$J$3515</f>
        <v>209.8832381105</v>
      </c>
      <c r="Y3515" s="38" t="n">
        <f aca="false">Sens!$K$3515</f>
        <v>155.238385275201</v>
      </c>
      <c r="Z3515" s="38" t="n">
        <f aca="false">Sens!$L$3515</f>
        <v>132.014141639902</v>
      </c>
      <c r="AA3515" s="38" t="n">
        <f aca="false">Sens!$M$3515</f>
        <v>132.230981659852</v>
      </c>
    </row>
    <row r="3516" customFormat="false" ht="17.15" hidden="false" customHeight="false" outlineLevel="0" collapsed="false">
      <c r="A3516" s="0" t="s">
        <v>630</v>
      </c>
      <c r="B3516" s="0" t="s">
        <v>86</v>
      </c>
      <c r="H3516" s="38" t="n">
        <f aca="false">SUMPRODUCT(--(Sens!$R$3485:$AA$3485=2027-tk_life),Sens!$R$3492:$AA$3492)*Sens!$H$3497/1000</f>
        <v>0</v>
      </c>
      <c r="I3516" s="38" t="n">
        <f aca="false">SUMPRODUCT(--(Sens!$R$3485:$AA$3485=2028-tk_life),Sens!$R$3492:$AA$3492)*Sens!$I$3497/1000</f>
        <v>0</v>
      </c>
      <c r="J3516" s="38" t="n">
        <f aca="false">SUMPRODUCT(--(Sens!$R$3485:$AA$3485=2029-tk_life),Sens!$R$3492:$AA$3492)*Sens!$J$3497/1000</f>
        <v>5.2367682</v>
      </c>
      <c r="K3516" s="38" t="n">
        <f aca="false">SUMPRODUCT(--(Sens!$R$3485:$AA$3485=2030-tk_life),Sens!$R$3492:$AA$3492)*Sens!$K$3497/1000</f>
        <v>10.4735364</v>
      </c>
      <c r="L3516" s="38" t="n">
        <f aca="false">SUMPRODUCT(--(Sens!$R$3485:$AA$3485=2031-tk_life),Sens!$R$3492:$AA$3492)*Sens!$L$3497/1000</f>
        <v>47.1309138</v>
      </c>
      <c r="M3516" s="38" t="n">
        <f aca="false">SUMPRODUCT(--(Sens!$R$3485:$AA$3485=2032-tk_life),Sens!$R$3492:$AA$3492)*Sens!$M$3497/1000</f>
        <v>107.22937485525</v>
      </c>
    </row>
    <row r="3517" customFormat="false" ht="17.15" hidden="false" customHeight="false" outlineLevel="0" collapsed="false">
      <c r="A3517" s="0" t="s">
        <v>631</v>
      </c>
      <c r="B3517" s="0" t="s">
        <v>86</v>
      </c>
      <c r="C3517" s="38" t="n">
        <f aca="false">MIN(Sens!$C$3515,Sens!$C$3492*(tk_cx_h100+tk_fac*(1-colo_sh))/1000)</f>
        <v>11.2938642</v>
      </c>
      <c r="D3517" s="38" t="n">
        <f aca="false">MIN(Sens!$D$3515,Sens!$D$3492*(tk_cx_h100+tk_fac*(1-colo_sh))/1000)</f>
        <v>50.8223889</v>
      </c>
      <c r="E3517" s="38" t="n">
        <f aca="false">MIN(Sens!$E$3515,Sens!$E$3492*(Sens!$F$3497+tk_fac*(1-colo_sh))/1000)</f>
        <v>33.8985792</v>
      </c>
      <c r="F3517" s="38" t="n">
        <f aca="false">Sens!$F$3515</f>
        <v>96.2481299895</v>
      </c>
      <c r="G3517" s="38" t="n">
        <f aca="false">Sens!$E$3517+Sens!$F$3517</f>
        <v>130.1467091895</v>
      </c>
      <c r="H3517" s="38" t="n">
        <f aca="false">Sens!$H$3515</f>
        <v>198.57136494475</v>
      </c>
      <c r="I3517" s="38" t="n">
        <f aca="false">Sens!$I$3515</f>
        <v>204.6464699105</v>
      </c>
      <c r="J3517" s="38" t="n">
        <f aca="false">Sens!$J$3515</f>
        <v>209.8832381105</v>
      </c>
      <c r="K3517" s="38" t="n">
        <f aca="false">Sens!$K$3515</f>
        <v>155.238385275201</v>
      </c>
      <c r="L3517" s="38" t="n">
        <f aca="false">Sens!$L$3515</f>
        <v>132.014141639902</v>
      </c>
      <c r="M3517" s="38" t="n">
        <f aca="false">Sens!$M$3515</f>
        <v>132.230981659852</v>
      </c>
      <c r="P3517" s="5" t="s">
        <v>632</v>
      </c>
      <c r="R3517" s="38" t="n">
        <f aca="false">MIN(Sens!$R$3515,Sens!$R$3492*(tk_cx_h100+tk_fac*(1-colo_sh))/1000)</f>
        <v>1.50429979529945</v>
      </c>
      <c r="S3517" s="38" t="n">
        <f aca="false">Sens!$C$3517</f>
        <v>11.2938642</v>
      </c>
      <c r="T3517" s="38" t="n">
        <f aca="false">Sens!$D$3517</f>
        <v>50.8223889</v>
      </c>
      <c r="U3517" s="38" t="n">
        <f aca="false">Sens!$G$3517</f>
        <v>130.1467091895</v>
      </c>
      <c r="V3517" s="38" t="n">
        <f aca="false">Sens!$H$3517</f>
        <v>198.57136494475</v>
      </c>
      <c r="W3517" s="38" t="n">
        <f aca="false">Sens!$I$3517</f>
        <v>204.6464699105</v>
      </c>
      <c r="X3517" s="38" t="n">
        <f aca="false">Sens!$J$3517</f>
        <v>209.8832381105</v>
      </c>
      <c r="Y3517" s="38" t="n">
        <f aca="false">Sens!$K$3517</f>
        <v>155.238385275201</v>
      </c>
      <c r="Z3517" s="38" t="n">
        <f aca="false">Sens!$L$3517</f>
        <v>132.014141639902</v>
      </c>
      <c r="AA3517" s="38" t="n">
        <f aca="false">Sens!$M$3517</f>
        <v>132.230981659852</v>
      </c>
    </row>
    <row r="3518" customFormat="false" ht="17.15" hidden="false" customHeight="false" outlineLevel="0" collapsed="false">
      <c r="A3518" s="5" t="s">
        <v>633</v>
      </c>
      <c r="B3518" s="0" t="s">
        <v>86</v>
      </c>
      <c r="C3518" s="38" t="n">
        <f aca="false">Sens!$C$3515-Sens!$C$3517</f>
        <v>13.9842411077374</v>
      </c>
      <c r="D3518" s="38" t="n">
        <f aca="false">Sens!$D$3515-Sens!$D$3517</f>
        <v>18.7462427310026</v>
      </c>
      <c r="E3518" s="38" t="n">
        <f aca="false">Sens!$E$3515-Sens!$E$3517</f>
        <v>30.2913414485108</v>
      </c>
      <c r="F3518" s="38" t="n">
        <f aca="false">Sens!$F$3515-Sens!$F$3517</f>
        <v>0</v>
      </c>
      <c r="G3518" s="38" t="n">
        <f aca="false">Sens!$G$3515-Sens!$G$3517</f>
        <v>30.2913414485108</v>
      </c>
      <c r="H3518" s="38" t="n">
        <f aca="false">Sens!$H$3515-Sens!$H$3517</f>
        <v>0</v>
      </c>
      <c r="I3518" s="38" t="n">
        <f aca="false">Sens!$I$3515-Sens!$I$3517</f>
        <v>0</v>
      </c>
      <c r="J3518" s="38" t="n">
        <f aca="false">Sens!$J$3515-Sens!$J$3517</f>
        <v>0</v>
      </c>
      <c r="K3518" s="38" t="n">
        <f aca="false">Sens!$K$3515-Sens!$K$3517</f>
        <v>0</v>
      </c>
      <c r="L3518" s="38" t="n">
        <f aca="false">Sens!$L$3515-Sens!$L$3517</f>
        <v>0</v>
      </c>
      <c r="M3518" s="38" t="n">
        <f aca="false">Sens!$M$3515-Sens!$M$3517</f>
        <v>0</v>
      </c>
    </row>
    <row r="3519" customFormat="false" ht="17.15" hidden="false" customHeight="false" outlineLevel="0" collapsed="false">
      <c r="A3519" s="5" t="s">
        <v>634</v>
      </c>
      <c r="B3519" s="0" t="s">
        <v>86</v>
      </c>
      <c r="C3519" s="38" t="n">
        <f aca="false">Sens!$C$3517*Sens!$C$3514</f>
        <v>8.2530642</v>
      </c>
      <c r="D3519" s="38" t="n">
        <f aca="false">Sens!$D$3517*Sens!$D$3514</f>
        <v>37.1387889</v>
      </c>
      <c r="E3519" s="38" t="n">
        <f aca="false">Sens!$E$3517*Sens!$E$3514</f>
        <v>25.7897792</v>
      </c>
      <c r="F3519" s="38" t="n">
        <f aca="false">Sens!$F$3517*Sens!$F$3514</f>
        <v>73.2248394895</v>
      </c>
      <c r="G3519" s="38" t="n">
        <f aca="false">Sens!$E$3519+Sens!$F$3519</f>
        <v>99.0146186895</v>
      </c>
      <c r="H3519" s="38" t="n">
        <f aca="false">(Sens!$H$3517-Sens!$H$3516)*Sens!$H$3514+Sens!$H$3516</f>
        <v>152.52478394475</v>
      </c>
      <c r="I3519" s="38" t="n">
        <f aca="false">(Sens!$I$3517-Sens!$I$3516)*Sens!$I$3514+Sens!$I$3516</f>
        <v>158.5998889105</v>
      </c>
      <c r="J3519" s="38" t="n">
        <f aca="false">(Sens!$J$3517-Sens!$J$3516)*Sens!$J$3514+Sens!$J$3516</f>
        <v>163.8366571105</v>
      </c>
      <c r="K3519" s="38" t="n">
        <f aca="false">(Sens!$K$3517-Sens!$K$3516)*Sens!$K$3514+Sens!$K$3516</f>
        <v>122.665498273534</v>
      </c>
      <c r="L3519" s="38" t="n">
        <f aca="false">(Sens!$L$3517-Sens!$L$3516)*Sens!$L$3514+Sens!$L$3516</f>
        <v>112.914948636568</v>
      </c>
      <c r="M3519" s="38" t="n">
        <f aca="false">(Sens!$M$3517-Sens!$M$3516)*Sens!$M$3514+Sens!$M$3516</f>
        <v>126.605482654852</v>
      </c>
      <c r="R3519" s="38" t="n">
        <f aca="false">Sens!$R$3517*Sens!$C$3514</f>
        <v>1.09927679019314</v>
      </c>
      <c r="S3519" s="38" t="n">
        <f aca="false">Sens!$C$3519</f>
        <v>8.2530642</v>
      </c>
      <c r="T3519" s="38" t="n">
        <f aca="false">Sens!$D$3519</f>
        <v>37.1387889</v>
      </c>
      <c r="U3519" s="38" t="n">
        <f aca="false">Sens!$G$3519</f>
        <v>99.0146186895</v>
      </c>
      <c r="V3519" s="38" t="n">
        <f aca="false">Sens!$H$3519</f>
        <v>152.52478394475</v>
      </c>
      <c r="W3519" s="38" t="n">
        <f aca="false">Sens!$I$3519</f>
        <v>158.5998889105</v>
      </c>
      <c r="X3519" s="38" t="n">
        <f aca="false">Sens!$J$3519</f>
        <v>163.8366571105</v>
      </c>
      <c r="Y3519" s="38" t="n">
        <f aca="false">Sens!$K$3519</f>
        <v>122.665498273534</v>
      </c>
      <c r="Z3519" s="38" t="n">
        <f aca="false">Sens!$L$3519</f>
        <v>112.914948636568</v>
      </c>
      <c r="AA3519" s="38" t="n">
        <f aca="false">Sens!$M$3519</f>
        <v>126.605482654852</v>
      </c>
    </row>
    <row r="3520" customFormat="false" ht="15" hidden="false" customHeight="false" outlineLevel="0" collapsed="false">
      <c r="A3520" s="5" t="s">
        <v>635</v>
      </c>
      <c r="B3520" s="0" t="s">
        <v>86</v>
      </c>
      <c r="C3520" s="38" t="n">
        <f aca="false">Sens!$C$3517-Sens!$C$3519</f>
        <v>3.0408</v>
      </c>
      <c r="D3520" s="38" t="n">
        <f aca="false">Sens!$D$3517-Sens!$D$3519</f>
        <v>13.6836</v>
      </c>
      <c r="E3520" s="38" t="n">
        <f aca="false">Sens!$E$3517-Sens!$E$3519</f>
        <v>8.1088</v>
      </c>
      <c r="F3520" s="38" t="n">
        <f aca="false">Sens!$F$3517-Sens!$F$3519</f>
        <v>23.0232905</v>
      </c>
      <c r="G3520" s="38" t="n">
        <f aca="false">Sens!$G$3517-Sens!$G$3519</f>
        <v>31.1320905</v>
      </c>
      <c r="H3520" s="38" t="n">
        <f aca="false">Sens!$H$3517-Sens!$H$3519</f>
        <v>46.046581</v>
      </c>
      <c r="I3520" s="38" t="n">
        <f aca="false">Sens!$I$3517-Sens!$I$3519</f>
        <v>46.046581</v>
      </c>
      <c r="J3520" s="38" t="n">
        <f aca="false">Sens!$J$3517-Sens!$J$3519</f>
        <v>46.046581</v>
      </c>
      <c r="K3520" s="38" t="n">
        <f aca="false">Sens!$K$3517-Sens!$K$3519</f>
        <v>32.5728870016667</v>
      </c>
      <c r="L3520" s="38" t="n">
        <f aca="false">Sens!$L$3517-Sens!$L$3519</f>
        <v>19.0991930033334</v>
      </c>
      <c r="M3520" s="38" t="n">
        <f aca="false">Sens!$M$3517-Sens!$M$3519</f>
        <v>5.62549900499998</v>
      </c>
      <c r="R3520" s="38" t="n">
        <f aca="false">Sens!$R$3517-Sens!$R$3519</f>
        <v>0.405023005106309</v>
      </c>
      <c r="S3520" s="38" t="n">
        <f aca="false">Sens!$S$3517-Sens!$S$3519</f>
        <v>3.0408</v>
      </c>
      <c r="T3520" s="38" t="n">
        <f aca="false">Sens!$T$3517-Sens!$T$3519</f>
        <v>13.6836</v>
      </c>
      <c r="U3520" s="38" t="n">
        <f aca="false">Sens!$U$3517-Sens!$U$3519</f>
        <v>31.1320905</v>
      </c>
      <c r="V3520" s="38" t="n">
        <f aca="false">Sens!$V$3517-Sens!$V$3519</f>
        <v>46.046581</v>
      </c>
      <c r="W3520" s="38" t="n">
        <f aca="false">Sens!$W$3517-Sens!$W$3519</f>
        <v>46.046581</v>
      </c>
      <c r="X3520" s="38" t="n">
        <f aca="false">Sens!$X$3517-Sens!$X$3519</f>
        <v>46.046581</v>
      </c>
      <c r="Y3520" s="38" t="n">
        <f aca="false">Sens!$Y$3517-Sens!$Y$3519</f>
        <v>32.5728870016667</v>
      </c>
      <c r="Z3520" s="38" t="n">
        <f aca="false">Sens!$Z$3517-Sens!$Z$3519</f>
        <v>19.0991930033334</v>
      </c>
      <c r="AA3520" s="38" t="n">
        <f aca="false">Sens!$AA$3517-Sens!$AA$3519</f>
        <v>5.62549900499998</v>
      </c>
    </row>
    <row r="3521" customFormat="false" ht="17.15" hidden="false" customHeight="false" outlineLevel="0" collapsed="false">
      <c r="A3521" s="0" t="s">
        <v>636</v>
      </c>
      <c r="B3521" s="0" t="s">
        <v>52</v>
      </c>
      <c r="C3521" s="13" t="n">
        <f aca="false">Sens!$C$3515/Sens!$C$3637</f>
        <v>0.325505489553393</v>
      </c>
      <c r="D3521" s="13" t="n">
        <f aca="false">Sens!$D$3515/Sens!$D$3637</f>
        <v>0.54214956071542</v>
      </c>
      <c r="E3521" s="13" t="n">
        <f aca="false">Sens!$E$3515/Sens!$E$3637</f>
        <v>0.666492790452817</v>
      </c>
      <c r="F3521" s="13" t="n">
        <f aca="false">Sens!$F$3515/Sens!$F$3637</f>
        <v>0.733477910687338</v>
      </c>
      <c r="G3521" s="13" t="n">
        <f aca="false">Sens!$G$3515/Sens!$G$3637</f>
        <v>0.705124321514523</v>
      </c>
      <c r="H3521" s="13" t="n">
        <f aca="false">Sens!$H$3515/Sens!$H$3637</f>
        <v>0.726376041178204</v>
      </c>
      <c r="I3521" s="13" t="n">
        <f aca="false">Sens!$I$3515/Sens!$I$3637</f>
        <v>0.713099092661699</v>
      </c>
      <c r="J3521" s="13" t="n">
        <f aca="false">Sens!$J$3515/Sens!$J$3637</f>
        <v>0.701208348786245</v>
      </c>
      <c r="K3521" s="13" t="n">
        <f aca="false">Sens!$K$3515/Sens!$K$3637</f>
        <v>0.618338844562383</v>
      </c>
      <c r="L3521" s="13" t="n">
        <f aca="false">Sens!$L$3515/Sens!$L$3637</f>
        <v>0.562489158462506</v>
      </c>
      <c r="M3521" s="13" t="n">
        <f aca="false">Sens!$M$3515/Sens!$M$3637</f>
        <v>0.545751190895923</v>
      </c>
    </row>
    <row r="3522" customFormat="false" ht="17.15" hidden="false" customHeight="false" outlineLevel="0" collapsed="false">
      <c r="A3522" s="0" t="s">
        <v>637</v>
      </c>
      <c r="B3522" s="0" t="s">
        <v>86</v>
      </c>
      <c r="C3522" s="38" t="n">
        <f aca="false">Sens!$S$3522</f>
        <v>0.183212798365523</v>
      </c>
      <c r="D3522" s="38" t="n">
        <f aca="false">Sens!$T$3522</f>
        <v>1.55872349836552</v>
      </c>
      <c r="E3522" s="38" t="n">
        <f aca="false">Sens!$G$3522/2</f>
        <v>3.87426082418276</v>
      </c>
      <c r="F3522" s="38" t="n">
        <f aca="false">Sens!$G$3522/2</f>
        <v>3.87426082418276</v>
      </c>
      <c r="G3522" s="38" t="n">
        <f aca="false">Sens!$U$3522</f>
        <v>7.74852164836552</v>
      </c>
      <c r="H3522" s="38" t="n">
        <f aca="false">Sens!$V$3522</f>
        <v>24.2509580966155</v>
      </c>
      <c r="I3522" s="38" t="n">
        <f aca="false">Sens!$W$3522</f>
        <v>49.6717554207405</v>
      </c>
      <c r="J3522" s="38" t="n">
        <f aca="false">Sens!$X$3522</f>
        <v>76.1050702391572</v>
      </c>
      <c r="K3522" s="38" t="n">
        <f aca="false">Sens!$Y$3522</f>
        <v>103.227966959208</v>
      </c>
      <c r="L3522" s="38" t="n">
        <f aca="false">Sens!$Z$3522</f>
        <v>122.296705971464</v>
      </c>
      <c r="M3522" s="38" t="n">
        <f aca="false">Sens!$AA$3522</f>
        <v>134.926065927559</v>
      </c>
      <c r="N3522" s="38" t="n">
        <f aca="false">Sens!$D$3522/2</f>
        <v>0.779361749182762</v>
      </c>
      <c r="O3522" s="38" t="n">
        <f aca="false">Sens!$D$3522/2</f>
        <v>0.779361749182762</v>
      </c>
      <c r="R3522" s="38" t="n">
        <f aca="false">SUMPRODUCT(--(Sens!$R$3485:$AA$3485&lt;Sens!R$3485),--(Sens!$R$3485:$AA$3485&gt;=Sens!R$3485-tk_life),Sens!$R$3519:$AA$3519)/tk_life</f>
        <v>0</v>
      </c>
      <c r="S3522" s="38" t="n">
        <f aca="false">SUMPRODUCT(--(Sens!$R$3485:$AA$3485&lt;Sens!S$3485),--(Sens!$R$3485:$AA$3485&gt;=Sens!S$3485-tk_life),Sens!$R$3519:$AA$3519)/tk_life</f>
        <v>0.183212798365523</v>
      </c>
      <c r="T3522" s="38" t="n">
        <f aca="false">SUMPRODUCT(--(Sens!$R$3485:$AA$3485&lt;Sens!T$3485),--(Sens!$R$3485:$AA$3485&gt;=Sens!T$3485-tk_life),Sens!$R$3519:$AA$3519)/tk_life</f>
        <v>1.55872349836552</v>
      </c>
      <c r="U3522" s="38" t="n">
        <f aca="false">SUMPRODUCT(--(Sens!$R$3485:$AA$3485&lt;Sens!U$3485),--(Sens!$R$3485:$AA$3485&gt;=Sens!U$3485-tk_life),Sens!$R$3519:$AA$3519)/tk_life</f>
        <v>7.74852164836552</v>
      </c>
      <c r="V3522" s="38" t="n">
        <f aca="false">SUMPRODUCT(--(Sens!$R$3485:$AA$3485&lt;Sens!V$3485),--(Sens!$R$3485:$AA$3485&gt;=Sens!V$3485-tk_life),Sens!$R$3519:$AA$3519)/tk_life</f>
        <v>24.2509580966155</v>
      </c>
      <c r="W3522" s="38" t="n">
        <f aca="false">SUMPRODUCT(--(Sens!$R$3485:$AA$3485&lt;Sens!W$3485),--(Sens!$R$3485:$AA$3485&gt;=Sens!W$3485-tk_life),Sens!$R$3519:$AA$3519)/tk_life</f>
        <v>49.6717554207405</v>
      </c>
      <c r="X3522" s="38" t="n">
        <f aca="false">SUMPRODUCT(--(Sens!$R$3485:$AA$3485&lt;Sens!X$3485),--(Sens!$R$3485:$AA$3485&gt;=Sens!X$3485-tk_life),Sens!$R$3519:$AA$3519)/tk_life</f>
        <v>76.1050702391572</v>
      </c>
      <c r="Y3522" s="38" t="n">
        <f aca="false">SUMPRODUCT(--(Sens!$R$3485:$AA$3485&lt;Sens!Y$3485),--(Sens!$R$3485:$AA$3485&gt;=Sens!Y$3485-tk_life),Sens!$R$3519:$AA$3519)/tk_life</f>
        <v>103.227966959208</v>
      </c>
      <c r="Z3522" s="38" t="n">
        <f aca="false">SUMPRODUCT(--(Sens!$R$3485:$AA$3485&lt;Sens!Z$3485),--(Sens!$R$3485:$AA$3485&gt;=Sens!Z$3485-tk_life),Sens!$R$3519:$AA$3519)/tk_life</f>
        <v>122.296705971464</v>
      </c>
      <c r="AA3522" s="38" t="n">
        <f aca="false">SUMPRODUCT(--(Sens!$R$3485:$AA$3485&lt;Sens!AA$3485),--(Sens!$R$3485:$AA$3485&gt;=Sens!AA$3485-tk_life),Sens!$R$3519:$AA$3519)/tk_life</f>
        <v>134.926065927559</v>
      </c>
    </row>
    <row r="3523" customFormat="false" ht="17.15" hidden="false" customHeight="false" outlineLevel="0" collapsed="false">
      <c r="A3523" s="0" t="s">
        <v>638</v>
      </c>
      <c r="B3523" s="0" t="s">
        <v>86</v>
      </c>
      <c r="C3523" s="38" t="n">
        <f aca="false">Sens!$S$3523</f>
        <v>0.0202511502553155</v>
      </c>
      <c r="D3523" s="38" t="n">
        <f aca="false">Sens!$T$3523</f>
        <v>0.172291150255315</v>
      </c>
      <c r="E3523" s="38" t="n">
        <f aca="false">Sens!$G$3523/2</f>
        <v>0.428235575127658</v>
      </c>
      <c r="F3523" s="38" t="n">
        <f aca="false">Sens!$G$3523/2</f>
        <v>0.428235575127658</v>
      </c>
      <c r="G3523" s="38" t="n">
        <f aca="false">Sens!$U$3523</f>
        <v>0.856471150255315</v>
      </c>
      <c r="H3523" s="38" t="n">
        <f aca="false">Sens!$V$3523</f>
        <v>2.41307567525532</v>
      </c>
      <c r="I3523" s="38" t="n">
        <f aca="false">Sens!$W$3523</f>
        <v>4.71540472525532</v>
      </c>
      <c r="J3523" s="38" t="n">
        <f aca="false">Sens!$X$3523</f>
        <v>7.01773377525532</v>
      </c>
      <c r="K3523" s="38" t="n">
        <f aca="false">Sens!$Y$3523</f>
        <v>9.32006282525532</v>
      </c>
      <c r="L3523" s="38" t="n">
        <f aca="false">Sens!$Z$3523</f>
        <v>10.9487071753387</v>
      </c>
      <c r="M3523" s="38" t="n">
        <f aca="false">Sens!$AA$3523</f>
        <v>11.9036668255053</v>
      </c>
      <c r="N3523" s="38" t="n">
        <f aca="false">Sens!$D$3523/2</f>
        <v>0.0861455751276577</v>
      </c>
      <c r="O3523" s="38" t="n">
        <f aca="false">Sens!$D$3523/2</f>
        <v>0.0861455751276577</v>
      </c>
      <c r="R3523" s="38" t="n">
        <f aca="false">SUMPRODUCT(--(Sens!$R$3485:$AA$3485&lt;Sens!R$3485),Sens!$R$3520:$AA$3520)/fac_life</f>
        <v>0</v>
      </c>
      <c r="S3523" s="38" t="n">
        <f aca="false">SUMPRODUCT(--(Sens!$R$3485:$AA$3485&lt;Sens!S$3485),Sens!$R$3520:$AA$3520)/fac_life</f>
        <v>0.0202511502553155</v>
      </c>
      <c r="T3523" s="38" t="n">
        <f aca="false">SUMPRODUCT(--(Sens!$R$3485:$AA$3485&lt;Sens!T$3485),Sens!$R$3520:$AA$3520)/fac_life</f>
        <v>0.172291150255315</v>
      </c>
      <c r="U3523" s="38" t="n">
        <f aca="false">SUMPRODUCT(--(Sens!$R$3485:$AA$3485&lt;Sens!U$3485),Sens!$R$3520:$AA$3520)/fac_life</f>
        <v>0.856471150255315</v>
      </c>
      <c r="V3523" s="38" t="n">
        <f aca="false">SUMPRODUCT(--(Sens!$R$3485:$AA$3485&lt;Sens!V$3485),Sens!$R$3520:$AA$3520)/fac_life</f>
        <v>2.41307567525532</v>
      </c>
      <c r="W3523" s="38" t="n">
        <f aca="false">SUMPRODUCT(--(Sens!$R$3485:$AA$3485&lt;Sens!W$3485),Sens!$R$3520:$AA$3520)/fac_life</f>
        <v>4.71540472525532</v>
      </c>
      <c r="X3523" s="38" t="n">
        <f aca="false">SUMPRODUCT(--(Sens!$R$3485:$AA$3485&lt;Sens!X$3485),Sens!$R$3520:$AA$3520)/fac_life</f>
        <v>7.01773377525532</v>
      </c>
      <c r="Y3523" s="38" t="n">
        <f aca="false">SUMPRODUCT(--(Sens!$R$3485:$AA$3485&lt;Sens!Y$3485),Sens!$R$3520:$AA$3520)/fac_life</f>
        <v>9.32006282525532</v>
      </c>
      <c r="Z3523" s="38" t="n">
        <f aca="false">SUMPRODUCT(--(Sens!$R$3485:$AA$3485&lt;Sens!Z$3485),Sens!$R$3520:$AA$3520)/fac_life</f>
        <v>10.9487071753387</v>
      </c>
      <c r="AA3523" s="38" t="n">
        <f aca="false">SUMPRODUCT(--(Sens!$R$3485:$AA$3485&lt;Sens!AA$3485),Sens!$R$3520:$AA$3520)/fac_life</f>
        <v>11.9036668255053</v>
      </c>
    </row>
    <row r="3524" customFormat="false" ht="17.15" hidden="false" customHeight="false" outlineLevel="0" collapsed="false">
      <c r="A3524" s="1" t="s">
        <v>639</v>
      </c>
      <c r="B3524" s="8" t="s">
        <v>86</v>
      </c>
      <c r="C3524" s="38" t="n">
        <f aca="false">Sens!$C$3522+Sens!$C$3523</f>
        <v>0.203463948620839</v>
      </c>
      <c r="D3524" s="38" t="n">
        <f aca="false">Sens!$D$3522+Sens!$D$3523</f>
        <v>1.73101464862084</v>
      </c>
      <c r="E3524" s="38" t="n">
        <f aca="false">Sens!$E$3522+Sens!$E$3523</f>
        <v>4.30249639931042</v>
      </c>
      <c r="F3524" s="38" t="n">
        <f aca="false">Sens!$F$3522+Sens!$F$3523</f>
        <v>4.30249639931042</v>
      </c>
      <c r="G3524" s="38" t="n">
        <f aca="false">Sens!$G$3522+Sens!$G$3523</f>
        <v>8.60499279862084</v>
      </c>
      <c r="H3524" s="38" t="n">
        <f aca="false">Sens!$H$3522+Sens!$H$3523</f>
        <v>26.6640337718708</v>
      </c>
      <c r="I3524" s="38" t="n">
        <f aca="false">Sens!$I$3522+Sens!$I$3523</f>
        <v>54.3871601459959</v>
      </c>
      <c r="J3524" s="38" t="n">
        <f aca="false">Sens!$J$3522+Sens!$J$3523</f>
        <v>83.1228040144125</v>
      </c>
      <c r="K3524" s="38" t="n">
        <f aca="false">Sens!$K$3522+Sens!$K$3523</f>
        <v>112.548029784464</v>
      </c>
      <c r="L3524" s="38" t="n">
        <f aca="false">Sens!$L$3522+Sens!$L$3523</f>
        <v>133.245413146803</v>
      </c>
      <c r="M3524" s="38" t="n">
        <f aca="false">Sens!$M$3522+Sens!$M$3523</f>
        <v>146.829732753064</v>
      </c>
      <c r="N3524" s="38" t="n">
        <f aca="false">Sens!$N$3522+Sens!$N$3523</f>
        <v>0.865507324310419</v>
      </c>
      <c r="O3524" s="38" t="n">
        <f aca="false">Sens!$O$3522+Sens!$O$3523</f>
        <v>0.865507324310419</v>
      </c>
      <c r="R3524" s="38" t="n">
        <f aca="false">Sens!$R$3522+Sens!$R$3523</f>
        <v>0</v>
      </c>
      <c r="S3524" s="38" t="n">
        <f aca="false">Sens!$S$3522+Sens!$S$3523</f>
        <v>0.203463948620839</v>
      </c>
      <c r="T3524" s="38" t="n">
        <f aca="false">Sens!$T$3522+Sens!$T$3523</f>
        <v>1.73101464862084</v>
      </c>
      <c r="U3524" s="38" t="n">
        <f aca="false">Sens!$U$3522+Sens!$U$3523</f>
        <v>8.60499279862084</v>
      </c>
      <c r="V3524" s="38" t="n">
        <f aca="false">Sens!$V$3522+Sens!$V$3523</f>
        <v>26.6640337718708</v>
      </c>
      <c r="W3524" s="38" t="n">
        <f aca="false">Sens!$W$3522+Sens!$W$3523</f>
        <v>54.3871601459959</v>
      </c>
      <c r="X3524" s="38" t="n">
        <f aca="false">Sens!$X$3522+Sens!$X$3523</f>
        <v>83.1228040144125</v>
      </c>
      <c r="Y3524" s="38" t="n">
        <f aca="false">Sens!$Y$3522+Sens!$Y$3523</f>
        <v>112.548029784464</v>
      </c>
      <c r="Z3524" s="38" t="n">
        <f aca="false">Sens!$Z$3522+Sens!$Z$3523</f>
        <v>133.245413146803</v>
      </c>
      <c r="AA3524" s="38" t="n">
        <f aca="false">Sens!$AA$3522+Sens!$AA$3523</f>
        <v>146.829732753064</v>
      </c>
    </row>
    <row r="3525" customFormat="false" ht="17.15" hidden="false" customHeight="false" outlineLevel="0" collapsed="false">
      <c r="A3525" s="0" t="s">
        <v>640</v>
      </c>
      <c r="B3525" s="0" t="s">
        <v>86</v>
      </c>
      <c r="C3525" s="38" t="n">
        <f aca="false">Sens!$S$3525</f>
        <v>12.5947000466786</v>
      </c>
      <c r="D3525" s="38" t="n">
        <f aca="false">Sens!$T$3525</f>
        <v>61.6860742980578</v>
      </c>
      <c r="G3525" s="38" t="n">
        <f aca="false">Sens!$U$3525</f>
        <v>183.227790688937</v>
      </c>
      <c r="H3525" s="38" t="n">
        <f aca="false">Sens!$V$3525</f>
        <v>355.135121861816</v>
      </c>
      <c r="I3525" s="38" t="n">
        <f aca="false">Sens!$W$3525</f>
        <v>505.39443162632</v>
      </c>
      <c r="J3525" s="38" t="n">
        <f aca="false">Sens!$X$3525</f>
        <v>632.154865722408</v>
      </c>
      <c r="K3525" s="38" t="n">
        <f aca="false">Sens!$Y$3525</f>
        <v>674.845221213145</v>
      </c>
      <c r="L3525" s="38" t="n">
        <f aca="false">Sens!$Z$3525</f>
        <v>673.613949706244</v>
      </c>
      <c r="M3525" s="38" t="n">
        <f aca="false">Sens!$AA$3525</f>
        <v>659.015198613032</v>
      </c>
      <c r="R3525" s="38" t="n">
        <f aca="false">SUM(Sens!$R$3517:$R$3517)-SUM(Sens!$R$3524:$R$3524)</f>
        <v>1.50429979529945</v>
      </c>
      <c r="S3525" s="38" t="n">
        <f aca="false">SUM(Sens!$R$3517:$S$3517)-SUM(Sens!$R$3524:$S$3524)</f>
        <v>12.5947000466786</v>
      </c>
      <c r="T3525" s="38" t="n">
        <f aca="false">SUM(Sens!$R$3517:$T$3517)-SUM(Sens!$R$3524:$T$3524)</f>
        <v>61.6860742980578</v>
      </c>
      <c r="U3525" s="38" t="n">
        <f aca="false">SUM(Sens!$R$3517:$U$3517)-SUM(Sens!$R$3524:$U$3524)</f>
        <v>183.227790688937</v>
      </c>
      <c r="V3525" s="38" t="n">
        <f aca="false">SUM(Sens!$R$3517:$V$3517)-SUM(Sens!$R$3524:$V$3524)</f>
        <v>355.135121861816</v>
      </c>
      <c r="W3525" s="38" t="n">
        <f aca="false">SUM(Sens!$R$3517:$W$3517)-SUM(Sens!$R$3524:$W$3524)</f>
        <v>505.39443162632</v>
      </c>
      <c r="X3525" s="38" t="n">
        <f aca="false">SUM(Sens!$R$3517:$X$3517)-SUM(Sens!$R$3524:$X$3524)</f>
        <v>632.154865722408</v>
      </c>
      <c r="Y3525" s="38" t="n">
        <f aca="false">SUM(Sens!$R$3517:$Y$3517)-SUM(Sens!$R$3524:$Y$3524)</f>
        <v>674.845221213145</v>
      </c>
      <c r="Z3525" s="38" t="n">
        <f aca="false">SUM(Sens!$R$3517:$Z$3517)-SUM(Sens!$R$3524:$Z$3524)</f>
        <v>673.613949706244</v>
      </c>
      <c r="AA3525" s="38" t="n">
        <f aca="false">SUM(Sens!$R$3517:$AA$3517)-SUM(Sens!$R$3524:$AA$3524)</f>
        <v>659.015198613032</v>
      </c>
    </row>
    <row r="3526" customFormat="false" ht="17.15" hidden="false" customHeight="false" outlineLevel="0" collapsed="false">
      <c r="A3526" s="1" t="s">
        <v>641</v>
      </c>
    </row>
    <row r="3527" customFormat="false" ht="17.15" hidden="false" customHeight="false" outlineLevel="0" collapsed="false">
      <c r="A3527" s="0" t="s">
        <v>642</v>
      </c>
      <c r="B3527" s="0" t="s">
        <v>86</v>
      </c>
      <c r="C3527" s="38" t="n">
        <f aca="false">Sens!$C$3506-ext_sh*Sens!$C$3508</f>
        <v>1.80694998843362</v>
      </c>
      <c r="D3527" s="38" t="n">
        <f aca="false">Sens!$D$3506-ext_sh*Sens!$D$3508</f>
        <v>6.77606245662607</v>
      </c>
      <c r="E3527" s="38" t="n">
        <f aca="false">Sens!$E$3506-ext_sh*Sens!$E$3508</f>
        <v>6.62548329092326</v>
      </c>
      <c r="F3527" s="38" t="n">
        <f aca="false">Sens!$F$3506-ext_sh*Sens!$F$3508</f>
        <v>11.7200577158706</v>
      </c>
      <c r="G3527" s="38" t="n">
        <f aca="false">Sens!$G$3506-ext_sh*Sens!$G$3508</f>
        <v>18.3455410067939</v>
      </c>
      <c r="H3527" s="38" t="n">
        <f aca="false">Sens!$H$3506-ext_sh*Sens!$H$3508</f>
        <v>47.5171727060453</v>
      </c>
      <c r="I3527" s="38" t="n">
        <f aca="false">Sens!$I$3506-ext_sh*Sens!$I$3508</f>
        <v>80.5539692643667</v>
      </c>
      <c r="J3527" s="38" t="n">
        <f aca="false">Sens!$J$3506-ext_sh*Sens!$J$3508</f>
        <v>113.759316834883</v>
      </c>
      <c r="K3527" s="38" t="n">
        <f aca="false">Sens!$K$3506-ext_sh*Sens!$K$3508</f>
        <v>142.084411492169</v>
      </c>
      <c r="L3527" s="38" t="n">
        <f aca="false">Sens!$L$3506-ext_sh*Sens!$L$3508</f>
        <v>160.69964615804</v>
      </c>
      <c r="M3527" s="38" t="n">
        <f aca="false">Sens!$M$3506-ext_sh*Sens!$M$3508</f>
        <v>169.577607141793</v>
      </c>
      <c r="N3527" s="38" t="n">
        <f aca="false">Sens!$N$3506-ext_sh*Sens!$N$3508</f>
        <v>2.37162185981912</v>
      </c>
      <c r="O3527" s="38" t="n">
        <f aca="false">Sens!$O$3506-ext_sh*Sens!$O$3508</f>
        <v>4.40444059680694</v>
      </c>
    </row>
    <row r="3528" customFormat="false" ht="17.15" hidden="false" customHeight="false" outlineLevel="0" collapsed="false">
      <c r="A3528" s="1" t="s">
        <v>643</v>
      </c>
      <c r="B3528" s="8" t="s">
        <v>86</v>
      </c>
      <c r="C3528" s="38" t="n">
        <f aca="false">Sens!$C$3527-ext_sh*Sens!$C$3524</f>
        <v>1.64417882953695</v>
      </c>
      <c r="D3528" s="38" t="n">
        <f aca="false">Sens!$D$3527-ext_sh*Sens!$D$3524</f>
        <v>5.39125073772939</v>
      </c>
      <c r="E3528" s="38" t="n">
        <f aca="false">Sens!$E$3527-ext_sh*Sens!$E$3524</f>
        <v>3.18348617147493</v>
      </c>
      <c r="F3528" s="38" t="n">
        <f aca="false">Sens!$F$3527-ext_sh*Sens!$F$3524</f>
        <v>8.27806059642226</v>
      </c>
      <c r="G3528" s="38" t="n">
        <f aca="false">Sens!$G$3527-ext_sh*Sens!$G$3524</f>
        <v>11.4615467678972</v>
      </c>
      <c r="H3528" s="38" t="n">
        <f aca="false">Sens!$H$3527-ext_sh*Sens!$H$3524</f>
        <v>26.1859456885487</v>
      </c>
      <c r="I3528" s="38" t="n">
        <f aca="false">Sens!$I$3527-ext_sh*Sens!$I$3524</f>
        <v>37.04424114757</v>
      </c>
      <c r="J3528" s="38" t="n">
        <f aca="false">Sens!$J$3527-ext_sh*Sens!$J$3524</f>
        <v>47.2610736233534</v>
      </c>
      <c r="K3528" s="38" t="n">
        <f aca="false">Sens!$K$3527-ext_sh*Sens!$K$3524</f>
        <v>52.0459876645985</v>
      </c>
      <c r="L3528" s="38" t="n">
        <f aca="false">Sens!$L$3527-ext_sh*Sens!$L$3524</f>
        <v>54.1033156405981</v>
      </c>
      <c r="M3528" s="38" t="n">
        <f aca="false">Sens!$M$3527-ext_sh*Sens!$M$3524</f>
        <v>52.1138209393421</v>
      </c>
      <c r="N3528" s="38" t="n">
        <f aca="false">Sens!$N$3527-ext_sh*Sens!$N$3524</f>
        <v>1.67921600037079</v>
      </c>
      <c r="O3528" s="38" t="n">
        <f aca="false">Sens!$O$3527-ext_sh*Sens!$O$3524</f>
        <v>3.71203473735861</v>
      </c>
    </row>
    <row r="3529" customFormat="false" ht="17.15" hidden="false" customHeight="false" outlineLevel="0" collapsed="false">
      <c r="A3529" s="0" t="s">
        <v>644</v>
      </c>
      <c r="B3529" s="0" t="s">
        <v>52</v>
      </c>
      <c r="C3529" s="13" t="n">
        <f aca="false">Sens!$C$3528/Sens!$C$3506</f>
        <v>0.708390794789371</v>
      </c>
      <c r="D3529" s="13" t="n">
        <f aca="false">Sens!$D$3528/Sens!$D$3506</f>
        <v>0.619415573115729</v>
      </c>
      <c r="E3529" s="13" t="n">
        <f aca="false">Sens!$E$3528/Sens!$E$3506</f>
        <v>0.374072166056273</v>
      </c>
      <c r="F3529" s="13" t="n">
        <f aca="false">Sens!$F$3528/Sens!$F$3506</f>
        <v>0.553219320710057</v>
      </c>
      <c r="G3529" s="13" t="n">
        <f aca="false">Sens!$G$3528/Sens!$G$3506</f>
        <v>0.488270041527512</v>
      </c>
      <c r="H3529" s="13" t="n">
        <f aca="false">Sens!$H$3528/Sens!$H$3506</f>
        <v>0.435229086816882</v>
      </c>
      <c r="I3529" s="13" t="n">
        <f aca="false">Sens!$I$3528/Sens!$I$3506</f>
        <v>0.364954592421095</v>
      </c>
      <c r="J3529" s="13" t="n">
        <f aca="false">Sens!$J$3528/Sens!$J$3506</f>
        <v>0.330438308582232</v>
      </c>
      <c r="K3529" s="13" t="n">
        <f aca="false">Sens!$K$3528/Sens!$K$3506</f>
        <v>0.2916589289528</v>
      </c>
      <c r="L3529" s="13" t="n">
        <f aca="false">Sens!$L$3528/Sens!$L$3506</f>
        <v>0.268199200593258</v>
      </c>
      <c r="M3529" s="13" t="n">
        <f aca="false">Sens!$M$3528/Sens!$M$3506</f>
        <v>0.244854995033574</v>
      </c>
      <c r="N3529" s="13" t="n">
        <f aca="false">Sens!$N$3528/Sens!$N$3506</f>
        <v>0.551227795793364</v>
      </c>
      <c r="O3529" s="13" t="n">
        <f aca="false">Sens!$O$3528/Sens!$O$3506</f>
        <v>0.656132068597002</v>
      </c>
    </row>
    <row r="3530" customFormat="false" ht="17.15" hidden="false" customHeight="false" outlineLevel="0" collapsed="false">
      <c r="A3530" s="5" t="s">
        <v>645</v>
      </c>
      <c r="B3530" s="0" t="s">
        <v>86</v>
      </c>
      <c r="C3530" s="39" t="n">
        <v>0</v>
      </c>
      <c r="D3530" s="39" t="n">
        <v>0</v>
      </c>
      <c r="E3530" s="39" t="n">
        <v>0</v>
      </c>
      <c r="F3530" s="38" t="n">
        <f aca="false">IF(internal_ai_reading=2,1,0)*(1-ext_sh)/ext_sh*(mw_open*he_open+Sens!$F$3504*Sens!$F$3501)*Sens!$F$3490/1000</f>
        <v>3.77122048175818</v>
      </c>
      <c r="G3530" s="38" t="n">
        <f aca="false">Sens!$E$3530+Sens!$F$3530</f>
        <v>3.77122048175818</v>
      </c>
      <c r="H3530" s="38" t="n">
        <f aca="false">IF(internal_ai_reading=2,1,0)*(1-ext_sh)/ext_sh*(mw_open*he_open+Sens!$H$3504*Sens!$H$3501)*Sens!$H$3490/1000</f>
        <v>15.1635543609893</v>
      </c>
      <c r="I3530" s="38" t="n">
        <f aca="false">IF(internal_ai_reading=2,1,0)*(1-ext_sh)/ext_sh*(mw_open*he_open+Sens!$I$3504*Sens!$I$3501)*Sens!$I$3490/1000</f>
        <v>25.5818843619889</v>
      </c>
      <c r="J3530" s="38" t="n">
        <f aca="false">IF(internal_ai_reading=2,1,0)*(1-ext_sh)/ext_sh*(mw_open*he_open+Sens!$J$3504*Sens!$J$3501)*Sens!$J$3490/1000</f>
        <v>36.0465624179122</v>
      </c>
      <c r="K3530" s="38" t="n">
        <f aca="false">IF(internal_ai_reading=2,1,0)*(1-ext_sh)/ext_sh*(mw_open*he_open+Sens!$K$3504*Sens!$K$3501)*Sens!$K$3490/1000</f>
        <v>44.9741164026038</v>
      </c>
      <c r="L3530" s="38" t="n">
        <f aca="false">IF(internal_ai_reading=2,1,0)*(1-ext_sh)/ext_sh*(mw_open*he_open+Sens!$L$3504*Sens!$L$3501)*Sens!$L$3490/1000</f>
        <v>50.8413488057813</v>
      </c>
      <c r="M3530" s="38" t="n">
        <f aca="false">IF(internal_ai_reading=2,1,0)*(1-ext_sh)/ext_sh*(mw_open*he_open+Sens!$M$3504*Sens!$M$3501)*Sens!$M$3490/1000</f>
        <v>53.6407214274315</v>
      </c>
      <c r="N3530" s="39" t="n">
        <v>0</v>
      </c>
      <c r="O3530" s="39" t="n">
        <v>0</v>
      </c>
      <c r="P3530" s="8" t="s">
        <v>646</v>
      </c>
    </row>
    <row r="3531" customFormat="false" ht="17.15" hidden="false" customHeight="false" outlineLevel="0" collapsed="false">
      <c r="A3531" s="5" t="s">
        <v>647</v>
      </c>
      <c r="B3531" s="0" t="s">
        <v>86</v>
      </c>
      <c r="C3531" s="38" t="n">
        <f aca="false">(1-ext_sh)*(Sens!$C$3508+Sens!$C$3524)</f>
        <v>0.169206631859174</v>
      </c>
      <c r="D3531" s="38" t="n">
        <f aca="false">(1-ext_sh)*(Sens!$D$3508+Sens!$D$3524)</f>
        <v>0.828129837730442</v>
      </c>
      <c r="E3531" s="38" t="n">
        <f aca="false">(1-ext_sh)*(Sens!$E$3508+Sens!$E$3524)</f>
        <v>1.33171670102377</v>
      </c>
      <c r="F3531" s="38" t="n">
        <f aca="false">(1-ext_sh)*(Sens!$F$3508+Sens!$F$3524)</f>
        <v>1.67134326207455</v>
      </c>
      <c r="G3531" s="38" t="n">
        <f aca="false">(1-ext_sh)*(Sens!$G$3508+Sens!$G$3524)</f>
        <v>3.00305996309832</v>
      </c>
      <c r="H3531" s="38" t="n">
        <f aca="false">(1-ext_sh)*(Sens!$H$3508+Sens!$H$3524)</f>
        <v>8.49498626530648</v>
      </c>
      <c r="I3531" s="38" t="n">
        <f aca="false">(1-ext_sh)*(Sens!$I$3508+Sens!$I$3524)</f>
        <v>16.1148644972155</v>
      </c>
      <c r="J3531" s="38" t="n">
        <f aca="false">(1-ext_sh)*(Sens!$J$3508+Sens!$J$3524)</f>
        <v>23.9410833819812</v>
      </c>
      <c r="K3531" s="38" t="n">
        <f aca="false">(1-ext_sh)*(Sens!$K$3508+Sens!$K$3524)</f>
        <v>31.6005331796453</v>
      </c>
      <c r="L3531" s="38" t="n">
        <f aca="false">(1-ext_sh)*(Sens!$L$3508+Sens!$L$3524)</f>
        <v>36.9061965404496</v>
      </c>
      <c r="M3531" s="38" t="n">
        <f aca="false">(1-ext_sh)*(Sens!$M$3508+Sens!$M$3524)</f>
        <v>40.1804051073808</v>
      </c>
      <c r="N3531" s="38" t="n">
        <f aca="false">(1-ext_sh)*(Sens!$N$3508+Sens!$N$3524)</f>
        <v>0.34177588266428</v>
      </c>
      <c r="O3531" s="38" t="n">
        <f aca="false">(1-ext_sh)*(Sens!$O$3508+Sens!$O$3524)</f>
        <v>0.486353955066162</v>
      </c>
    </row>
    <row r="3532" customFormat="false" ht="17.15" hidden="false" customHeight="false" outlineLevel="0" collapsed="false">
      <c r="A3532" s="0" t="s">
        <v>648</v>
      </c>
      <c r="B3532" s="0" t="s">
        <v>86</v>
      </c>
      <c r="C3532" s="38" t="n">
        <f aca="false">Q!$D$24</f>
        <v>39.834</v>
      </c>
      <c r="D3532" s="38" t="n">
        <f aca="false">Q!$E$24</f>
        <v>45.606</v>
      </c>
      <c r="E3532" s="38" t="n">
        <f aca="false">Q!$P$24</f>
        <v>30.782</v>
      </c>
      <c r="N3532" s="38" t="n">
        <f aca="false">Q!$N$24</f>
        <v>21.707</v>
      </c>
      <c r="O3532" s="38" t="n">
        <f aca="false">Q!$O$24</f>
        <v>23.899</v>
      </c>
    </row>
    <row r="3533" customFormat="false" ht="17.15" hidden="false" customHeight="false" outlineLevel="0" collapsed="false">
      <c r="A3533" s="0" t="s">
        <v>649</v>
      </c>
      <c r="B3533" s="0" t="s">
        <v>86</v>
      </c>
      <c r="C3533" s="38" t="n">
        <f aca="false">Sens!$C$3532-Sens!$C$3528</f>
        <v>38.1898211704631</v>
      </c>
      <c r="D3533" s="38" t="n">
        <f aca="false">Sens!$D$3532-Sens!$D$3528</f>
        <v>40.2147492622706</v>
      </c>
      <c r="E3533" s="38" t="n">
        <f aca="false">Sens!$E$3532-Sens!$E$3528</f>
        <v>27.5985138285251</v>
      </c>
      <c r="F3533" s="38" t="n">
        <f aca="false">Sens!$F$3510*Sens!$F$3534</f>
        <v>25.5484769754606</v>
      </c>
      <c r="G3533" s="38" t="n">
        <f aca="false">Sens!$E$3533+Sens!$F$3533</f>
        <v>53.1469908039857</v>
      </c>
      <c r="H3533" s="38" t="n">
        <f aca="false">Sens!$H$3510*Sens!$H$3534</f>
        <v>57.3189525076539</v>
      </c>
      <c r="I3533" s="38" t="n">
        <f aca="false">Sens!$I$3510*Sens!$I$3534</f>
        <v>63.6385627021087</v>
      </c>
      <c r="J3533" s="38" t="n">
        <f aca="false">Sens!$J$3510*Sens!$J$3534</f>
        <v>69.6922896066105</v>
      </c>
      <c r="K3533" s="38" t="n">
        <f aca="false">Sens!$K$3510*Sens!$K$3534</f>
        <v>75.2676727751394</v>
      </c>
      <c r="L3533" s="38" t="n">
        <f aca="false">Sens!$L$3510*Sens!$L$3534</f>
        <v>81.2890865971505</v>
      </c>
      <c r="M3533" s="38" t="n">
        <f aca="false">Sens!$M$3510*Sens!$M$3534</f>
        <v>87.7922135249226</v>
      </c>
      <c r="N3533" s="38" t="n">
        <f aca="false">Sens!$N$3532-Sens!$N$3528</f>
        <v>20.0277839996292</v>
      </c>
      <c r="O3533" s="38" t="n">
        <f aca="false">Sens!$O$3532-Sens!$O$3528</f>
        <v>20.1869652626414</v>
      </c>
      <c r="P3533" s="5" t="s">
        <v>650</v>
      </c>
    </row>
    <row r="3534" customFormat="false" ht="17.15" hidden="false" customHeight="false" outlineLevel="0" collapsed="false">
      <c r="A3534" s="0" t="s">
        <v>651</v>
      </c>
      <c r="B3534" s="0" t="s">
        <v>52</v>
      </c>
      <c r="C3534" s="13" t="n">
        <f aca="false">Sens!$C$3533/Sens!$C$3510</f>
        <v>0.362900395443635</v>
      </c>
      <c r="D3534" s="13" t="n">
        <f aca="false">Sens!$D$3533/Sens!$D$3510</f>
        <v>0.335063632425483</v>
      </c>
      <c r="E3534" s="13" t="n">
        <f aca="false">Sens!$E$3533/Sens!$E$3510</f>
        <v>0.387028992698038</v>
      </c>
      <c r="F3534" s="13" t="n">
        <f aca="false">(Sens!$O$3533+Sens!$E$3533)/(Sens!$O$3510+Sens!$E$3510)</f>
        <v>0.355980580118587</v>
      </c>
      <c r="G3534" s="13" t="n">
        <f aca="false">Sens!$G$3533/Sens!$G$3510</f>
        <v>0.371454804780916</v>
      </c>
      <c r="H3534" s="13" t="n">
        <f aca="false">Sens!$F$3534</f>
        <v>0.355980580118587</v>
      </c>
      <c r="I3534" s="13" t="n">
        <f aca="false">Sens!$F$3534</f>
        <v>0.355980580118587</v>
      </c>
      <c r="J3534" s="13" t="n">
        <f aca="false">Sens!$F$3534</f>
        <v>0.355980580118587</v>
      </c>
      <c r="K3534" s="13" t="n">
        <f aca="false">Sens!$F$3534</f>
        <v>0.355980580118587</v>
      </c>
      <c r="L3534" s="13" t="n">
        <f aca="false">Sens!$F$3534</f>
        <v>0.355980580118587</v>
      </c>
      <c r="M3534" s="13" t="n">
        <f aca="false">Sens!$F$3534</f>
        <v>0.355980580118587</v>
      </c>
      <c r="N3534" s="13" t="n">
        <f aca="false">Sens!$N$3533/Sens!$N$3510</f>
        <v>0.35078810535806</v>
      </c>
      <c r="O3534" s="13" t="n">
        <f aca="false">Sens!$O$3533/Sens!$O$3510</f>
        <v>0.320796939361619</v>
      </c>
      <c r="P3534" s="8" t="s">
        <v>652</v>
      </c>
    </row>
    <row r="3535" customFormat="false" ht="17.15" hidden="false" customHeight="false" outlineLevel="0" collapsed="false">
      <c r="A3535" s="0" t="s">
        <v>653</v>
      </c>
      <c r="B3535" s="0" t="s">
        <v>52</v>
      </c>
      <c r="D3535" s="13" t="n">
        <f aca="false">(Q!$E$31-ext_sh*Sens!$D$3524)/Sens!$D$3510</f>
        <v>0.167180325480118</v>
      </c>
    </row>
    <row r="3536" customFormat="false" ht="17.15" hidden="false" customHeight="false" outlineLevel="0" collapsed="false">
      <c r="A3536" s="0" t="s">
        <v>654</v>
      </c>
      <c r="B3536" s="0" t="s">
        <v>86</v>
      </c>
      <c r="C3536" s="38" t="n">
        <f aca="false">Q!$D$31</f>
        <v>13.32</v>
      </c>
      <c r="D3536" s="38" t="n">
        <f aca="false">Q!$E$31</f>
        <v>21.45</v>
      </c>
      <c r="E3536" s="38" t="n">
        <f aca="false">Q!$P$31</f>
        <v>15.353</v>
      </c>
      <c r="F3536" s="38" t="n">
        <f aca="false">ext_sh*Sens!$F$3524+Sens!$D$3535*Sens!$F$3510</f>
        <v>15.4404120185306</v>
      </c>
      <c r="G3536" s="38" t="n">
        <f aca="false">Sens!$E$3536+Sens!$F$3536</f>
        <v>30.7934120185306</v>
      </c>
      <c r="H3536" s="38" t="n">
        <f aca="false">ext_sh*Sens!$H$3524+Sens!$D$3535*Sens!$H$3510</f>
        <v>48.250114371455</v>
      </c>
      <c r="I3536" s="38" t="n">
        <f aca="false">ext_sh*Sens!$I$3524+Sens!$D$3535*Sens!$I$3510</f>
        <v>73.3965146995963</v>
      </c>
      <c r="J3536" s="38" t="n">
        <f aca="false">ext_sh*Sens!$J$3524+Sens!$D$3535*Sens!$J$3510</f>
        <v>99.22806138309</v>
      </c>
      <c r="K3536" s="38" t="n">
        <f aca="false">ext_sh*Sens!$K$3524+Sens!$D$3535*Sens!$K$3510</f>
        <v>125.386627452856</v>
      </c>
      <c r="L3536" s="38" t="n">
        <f aca="false">ext_sh*Sens!$L$3524+Sens!$D$3535*Sens!$L$3510</f>
        <v>144.77239043275</v>
      </c>
      <c r="M3536" s="38" t="n">
        <f aca="false">ext_sh*Sens!$M$3524+Sens!$D$3535*Sens!$M$3510</f>
        <v>158.693930910983</v>
      </c>
      <c r="N3536" s="38" t="n">
        <f aca="false">Q!$N$31</f>
        <v>9.234</v>
      </c>
      <c r="O3536" s="38" t="n">
        <f aca="false">Q!$O$31</f>
        <v>12.216</v>
      </c>
    </row>
    <row r="3537" customFormat="false" ht="17.15" hidden="false" customHeight="false" outlineLevel="0" collapsed="false">
      <c r="A3537" s="1" t="s">
        <v>655</v>
      </c>
    </row>
    <row r="3538" customFormat="false" ht="17.15" hidden="false" customHeight="false" outlineLevel="0" collapsed="false">
      <c r="A3538" s="15" t="s">
        <v>656</v>
      </c>
      <c r="B3538" s="14" t="s">
        <v>52</v>
      </c>
      <c r="C3538" s="14"/>
      <c r="D3538" s="14"/>
      <c r="E3538" s="14"/>
      <c r="F3538" s="14"/>
      <c r="G3538" s="17" t="n">
        <f aca="false">Sens!$G$3528*(1-tax)/(ext_sh*(Sens!$D$3525+Sens!$G$3525)/2)</f>
        <v>0.0966870495301478</v>
      </c>
      <c r="H3538" s="17" t="n">
        <f aca="false">Sens!$H$3528*(1-tax)/(ext_sh*(Sens!$G$3525+Sens!$H$3525)/2)</f>
        <v>0.100492020334136</v>
      </c>
      <c r="I3538" s="17" t="n">
        <f aca="false">Sens!$I$3528*(1-tax)/(ext_sh*(Sens!$H$3525+Sens!$I$3525)/2)</f>
        <v>0.0889392292218236</v>
      </c>
      <c r="J3538" s="17" t="n">
        <f aca="false">Sens!$J$3528*(1-tax)/(ext_sh*(Sens!$I$3525+Sens!$J$3525)/2)</f>
        <v>0.0858364613777012</v>
      </c>
      <c r="K3538" s="17" t="n">
        <f aca="false">Sens!$K$3528*(1-tax)/(ext_sh*(Sens!$J$3525+Sens!$K$3525)/2)</f>
        <v>0.08227162714687</v>
      </c>
      <c r="L3538" s="17" t="n">
        <f aca="false">Sens!$L$3528*(1-tax)/(ext_sh*(Sens!$K$3525+Sens!$L$3525)/2)</f>
        <v>0.0828942732763872</v>
      </c>
      <c r="M3538" s="17" t="n">
        <f aca="false">Sens!$M$3528*(1-tax)/(ext_sh*(Sens!$L$3525+Sens!$M$3525)/2)</f>
        <v>0.0807945482347635</v>
      </c>
      <c r="N3538" s="14"/>
      <c r="O3538" s="14"/>
      <c r="P3538" s="8" t="s">
        <v>657</v>
      </c>
    </row>
    <row r="3539" customFormat="false" ht="17.15" hidden="false" customHeight="false" outlineLevel="0" collapsed="false">
      <c r="A3539" s="5" t="s">
        <v>658</v>
      </c>
      <c r="B3539" s="0" t="s">
        <v>57</v>
      </c>
      <c r="H3539" s="36" t="n">
        <f aca="false">Sens!$H$3506*1000/(mw_open*he_open+Sens!$H$3504*Sens!$H$3501)</f>
        <v>0.991949006767191</v>
      </c>
      <c r="I3539" s="36" t="n">
        <f aca="false">Sens!$I$3506*1000/(mw_open*he_open+Sens!$I$3504*Sens!$I$3501)</f>
        <v>0.991949006767191</v>
      </c>
      <c r="J3539" s="36" t="n">
        <f aca="false">Sens!$J$3506*1000/(mw_open*he_open+Sens!$J$3504*Sens!$J$3501)</f>
        <v>0.991949006767191</v>
      </c>
      <c r="K3539" s="36" t="n">
        <f aca="false">Sens!$K$3506*1000/(mw_open*he_open+Sens!$K$3504*Sens!$K$3501)</f>
        <v>0.991949006767191</v>
      </c>
      <c r="L3539" s="36" t="n">
        <f aca="false">Sens!$L$3506*1000/(mw_open*he_open+Sens!$L$3504*Sens!$L$3501)</f>
        <v>0.991949006767191</v>
      </c>
      <c r="M3539" s="36" t="n">
        <f aca="false">Sens!$M$3506*1000/(mw_open*he_open+Sens!$M$3504*Sens!$M$3501)</f>
        <v>0.991949006767191</v>
      </c>
    </row>
    <row r="3540" customFormat="false" ht="17.15" hidden="false" customHeight="false" outlineLevel="0" collapsed="false">
      <c r="A3540" s="5" t="s">
        <v>659</v>
      </c>
      <c r="B3540" s="0" t="s">
        <v>57</v>
      </c>
      <c r="H3540" s="36" t="n">
        <f aca="false">Sens!$H$3539*(Sens!$H$3506+wacc*ext_sh*(Sens!$G$3525+Sens!$H$3525)/2/(1-tax)-Sens!$H$3528)/Sens!$H$3506</f>
        <v>1.04696246089529</v>
      </c>
      <c r="I3540" s="36" t="n">
        <f aca="false">Sens!$I$3539*(Sens!$I$3506+wacc*ext_sh*(Sens!$H$3525+Sens!$I$3525)/2/(1-tax)-Sens!$I$3528)/Sens!$I$3506</f>
        <v>1.09109607940198</v>
      </c>
      <c r="J3540" s="36" t="n">
        <f aca="false">Sens!$J$3539*(Sens!$J$3506+wacc*ext_sh*(Sens!$I$3525+Sens!$J$3525)/2/(1-tax)-Sens!$J$3528)/Sens!$J$3506</f>
        <v>1.09681234280071</v>
      </c>
      <c r="K3540" s="36" t="n">
        <f aca="false">Sens!$K$3539*(Sens!$K$3506+wacc*ext_sh*(Sens!$J$3525+Sens!$K$3525)/2/(1-tax)-Sens!$K$3528)/Sens!$K$3506</f>
        <v>1.10105220068984</v>
      </c>
      <c r="L3540" s="36" t="n">
        <f aca="false">Sens!$L$3539*(Sens!$L$3506+wacc*ext_sh*(Sens!$K$3525+Sens!$L$3525)/2/(1-tax)-Sens!$L$3528)/Sens!$L$3506</f>
        <v>1.08952452639895</v>
      </c>
      <c r="M3540" s="36" t="n">
        <f aca="false">Sens!$M$3539*(Sens!$M$3506+wacc*ext_sh*(Sens!$L$3525+Sens!$M$3525)/2/(1-tax)-Sens!$M$3528)/Sens!$M$3506</f>
        <v>1.08965878549519</v>
      </c>
    </row>
    <row r="3541" customFormat="false" ht="17.15" hidden="false" customHeight="false" outlineLevel="0" collapsed="false">
      <c r="A3541" s="5" t="s">
        <v>660</v>
      </c>
      <c r="B3541" s="0" t="s">
        <v>52</v>
      </c>
      <c r="C3541" s="13" t="n">
        <f aca="false">Sens!$C$3507/tk_pq</f>
        <v>0.195316432429398</v>
      </c>
      <c r="D3541" s="13" t="n">
        <f aca="false">Sens!$D$3507/tk_pq</f>
        <v>0.195316432429398</v>
      </c>
      <c r="E3541" s="13" t="n">
        <f aca="false">Sens!$E$3507/tk_pq</f>
        <v>0.195316432429398</v>
      </c>
      <c r="F3541" s="13" t="n">
        <f aca="false">Sens!$F$3507/tk_pq</f>
        <v>0.202241827274866</v>
      </c>
      <c r="G3541" s="13" t="n">
        <f aca="false">Sens!$G$3507/tk_pq</f>
        <v>0.199675016194063</v>
      </c>
      <c r="H3541" s="13" t="n">
        <f aca="false">Sens!$H$3507/tk_pq</f>
        <v>0.212647947710325</v>
      </c>
      <c r="I3541" s="13" t="n">
        <f aca="false">Sens!$I$3507/tk_pq</f>
        <v>0.219285125475351</v>
      </c>
      <c r="J3541" s="13" t="n">
        <f aca="false">Sens!$J$3507/tk_pq</f>
        <v>0.222492493217189</v>
      </c>
      <c r="K3541" s="13" t="n">
        <f aca="false">Sens!$K$3507/tk_pq</f>
        <v>0.224053502812094</v>
      </c>
      <c r="L3541" s="13" t="n">
        <f aca="false">Sens!$L$3507/tk_pq</f>
        <v>0.224786916785614</v>
      </c>
      <c r="M3541" s="13" t="n">
        <f aca="false">Sens!$M$3507/tk_pq</f>
        <v>0.225048671566937</v>
      </c>
      <c r="N3541" s="13" t="n">
        <f aca="false">Sens!$N$3507/tk_pq</f>
        <v>0.195316432429398</v>
      </c>
      <c r="O3541" s="13" t="n">
        <f aca="false">Sens!$O$3507/tk_pq</f>
        <v>0.195316432429398</v>
      </c>
      <c r="P3541" s="5" t="s">
        <v>661</v>
      </c>
    </row>
    <row r="3544" customFormat="false" ht="17.15" hidden="false" customHeight="false" outlineLevel="0" collapsed="false">
      <c r="A3544" s="1" t="s">
        <v>690</v>
      </c>
    </row>
    <row r="3545" customFormat="false" ht="17.15" hidden="false" customHeight="false" outlineLevel="0" collapsed="false">
      <c r="A3545" s="0" t="s">
        <v>691</v>
      </c>
      <c r="B3545" s="0" t="s">
        <v>86</v>
      </c>
      <c r="C3545" s="38" t="n">
        <f aca="false">Sens!$C$3506</f>
        <v>2.32100535697364</v>
      </c>
      <c r="D3545" s="38" t="n">
        <f aca="false">Sens!$D$3506</f>
        <v>8.70377008865116</v>
      </c>
      <c r="E3545" s="38" t="n">
        <f aca="false">Sens!$E$3506</f>
        <v>8.51035297557002</v>
      </c>
      <c r="F3545" s="38" t="n">
        <f aca="false">Sens!$F$3506</f>
        <v>14.9634336447205</v>
      </c>
      <c r="G3545" s="38" t="n">
        <f aca="false">Sens!$G$3506</f>
        <v>23.4737866202905</v>
      </c>
      <c r="H3545" s="38" t="n">
        <f aca="false">Sens!$H$3506</f>
        <v>60.1658907497746</v>
      </c>
      <c r="I3545" s="38" t="n">
        <f aca="false">Sens!$I$3506</f>
        <v>101.503699136432</v>
      </c>
      <c r="J3545" s="38" t="n">
        <f aca="false">Sens!$J$3506</f>
        <v>143.025407151278</v>
      </c>
      <c r="K3545" s="38" t="n">
        <f aca="false">Sens!$K$3506</f>
        <v>178.44812038318</v>
      </c>
      <c r="L3545" s="38" t="n">
        <f aca="false">Sens!$L$3506</f>
        <v>201.728101802396</v>
      </c>
      <c r="M3545" s="38" t="n">
        <f aca="false">Sens!$M$3506</f>
        <v>212.835441368865</v>
      </c>
      <c r="N3545" s="38" t="n">
        <f aca="false">Sens!$N$3506</f>
        <v>3.04631953102791</v>
      </c>
      <c r="O3545" s="38" t="n">
        <f aca="false">Sens!$O$3506</f>
        <v>5.65745055762326</v>
      </c>
      <c r="P3545" s="8" t="s">
        <v>692</v>
      </c>
    </row>
    <row r="3546" customFormat="false" ht="17.15" hidden="false" customHeight="false" outlineLevel="0" collapsed="false">
      <c r="A3546" s="0" t="s">
        <v>693</v>
      </c>
      <c r="B3546" s="0" t="s">
        <v>86</v>
      </c>
      <c r="C3546" s="38" t="n">
        <f aca="false">Sens!$C$3510</f>
        <v>105.234994643026</v>
      </c>
      <c r="D3546" s="38" t="n">
        <f aca="false">Sens!$D$3510</f>
        <v>120.021229911349</v>
      </c>
      <c r="E3546" s="38" t="n">
        <f aca="false">Sens!$E$3510</f>
        <v>71.30864702443</v>
      </c>
      <c r="F3546" s="38" t="n">
        <f aca="false">Sens!$F$3510</f>
        <v>71.7692997942464</v>
      </c>
      <c r="G3546" s="38" t="n">
        <f aca="false">Sens!$G$3510</f>
        <v>143.077946818676</v>
      </c>
      <c r="H3546" s="38" t="n">
        <f aca="false">Sens!$H$3510</f>
        <v>161.017077079203</v>
      </c>
      <c r="I3546" s="38" t="n">
        <f aca="false">Sens!$I$3510</f>
        <v>178.769759521457</v>
      </c>
      <c r="J3546" s="38" t="n">
        <f aca="false">Sens!$J$3510</f>
        <v>195.775538045907</v>
      </c>
      <c r="K3546" s="38" t="n">
        <f aca="false">Sens!$K$3510</f>
        <v>211.43758108958</v>
      </c>
      <c r="L3546" s="38" t="n">
        <f aca="false">Sens!$L$3510</f>
        <v>228.352587576746</v>
      </c>
      <c r="M3546" s="38" t="n">
        <f aca="false">Sens!$M$3510</f>
        <v>246.620794582886</v>
      </c>
      <c r="N3546" s="38" t="n">
        <f aca="false">Sens!$N$3510</f>
        <v>57.0936804689721</v>
      </c>
      <c r="O3546" s="38" t="n">
        <f aca="false">Sens!$O$3510</f>
        <v>62.9275494423768</v>
      </c>
      <c r="P3546" s="8" t="s">
        <v>692</v>
      </c>
    </row>
    <row r="3547" customFormat="false" ht="17.15" hidden="false" customHeight="false" outlineLevel="0" collapsed="false">
      <c r="A3547" s="1" t="s">
        <v>516</v>
      </c>
      <c r="B3547" s="8" t="s">
        <v>86</v>
      </c>
      <c r="C3547" s="38" t="n">
        <f aca="false">Q!$D$7</f>
        <v>107.556</v>
      </c>
      <c r="D3547" s="38" t="n">
        <f aca="false">Q!$E$7</f>
        <v>128.725</v>
      </c>
      <c r="E3547" s="38" t="n">
        <f aca="false">Q!$P$7</f>
        <v>79.819</v>
      </c>
      <c r="F3547" s="38" t="n">
        <f aca="false">Sens!$F$3545+Sens!$F$3546</f>
        <v>86.7327334389669</v>
      </c>
      <c r="G3547" s="38" t="n">
        <f aca="false">Sens!$G$3545+Sens!$G$3546</f>
        <v>166.551733438967</v>
      </c>
      <c r="H3547" s="38" t="n">
        <f aca="false">Sens!$H$3545+Sens!$H$3546</f>
        <v>221.182967828978</v>
      </c>
      <c r="I3547" s="38" t="n">
        <f aca="false">Sens!$I$3545+Sens!$I$3546</f>
        <v>280.27345865789</v>
      </c>
      <c r="J3547" s="38" t="n">
        <f aca="false">Sens!$J$3545+Sens!$J$3546</f>
        <v>338.800945197185</v>
      </c>
      <c r="K3547" s="38" t="n">
        <f aca="false">Sens!$K$3545+Sens!$K$3546</f>
        <v>389.88570147276</v>
      </c>
      <c r="L3547" s="38" t="n">
        <f aca="false">Sens!$L$3545+Sens!$L$3546</f>
        <v>430.080689379143</v>
      </c>
      <c r="M3547" s="38" t="n">
        <f aca="false">Sens!$M$3545+Sens!$M$3546</f>
        <v>459.456235951751</v>
      </c>
      <c r="N3547" s="38" t="n">
        <f aca="false">Q!$N$7</f>
        <v>60.14</v>
      </c>
      <c r="O3547" s="38" t="n">
        <f aca="false">Q!$O$7</f>
        <v>68.585</v>
      </c>
      <c r="P3547" s="5" t="s">
        <v>694</v>
      </c>
    </row>
    <row r="3548" customFormat="false" ht="15" hidden="false" customHeight="false" outlineLevel="0" collapsed="false">
      <c r="A3548" s="3" t="s">
        <v>695</v>
      </c>
      <c r="B3548" s="8" t="s">
        <v>86</v>
      </c>
      <c r="C3548" s="38" t="n">
        <f aca="false">Q!$D$8</f>
        <v>637.959</v>
      </c>
      <c r="D3548" s="38" t="n">
        <f aca="false">Q!$E$8</f>
        <v>716.924</v>
      </c>
      <c r="E3548" s="38" t="n">
        <f aca="false">Q!$P$8</f>
        <v>382.125</v>
      </c>
      <c r="F3548" s="38" t="n">
        <f aca="false">Sens!$F$3478+Sens!$F$3547</f>
        <v>435.780975084504</v>
      </c>
      <c r="G3548" s="38" t="n">
        <f aca="false">Sens!$G$3478+Sens!$G$3547</f>
        <v>817.905975084504</v>
      </c>
      <c r="H3548" s="38" t="n">
        <f aca="false">Sens!$H$3478+Sens!$H$3547</f>
        <v>942.279857350364</v>
      </c>
      <c r="I3548" s="38" t="n">
        <f aca="false">Sens!$I$3478+Sens!$I$3547</f>
        <v>1068.80284981042</v>
      </c>
      <c r="J3548" s="38" t="n">
        <f aca="false">Sens!$J$3478+Sens!$J$3547</f>
        <v>1189.90935093863</v>
      </c>
      <c r="K3548" s="38" t="n">
        <f aca="false">Sens!$K$3478+Sens!$K$3547</f>
        <v>1296.06215690385</v>
      </c>
      <c r="L3548" s="38" t="n">
        <f aca="false">Sens!$L$3478+Sens!$L$3547</f>
        <v>1395.17379585473</v>
      </c>
      <c r="M3548" s="38" t="n">
        <f aca="false">Sens!$M$3478+Sens!$M$3547</f>
        <v>1487.60414389864</v>
      </c>
      <c r="N3548" s="38" t="n">
        <f aca="false">Q!$N$8</f>
        <v>323.369</v>
      </c>
      <c r="O3548" s="38" t="n">
        <f aca="false">Q!$O$8</f>
        <v>393.555</v>
      </c>
    </row>
    <row r="3549" customFormat="false" ht="17.15" hidden="false" customHeight="false" outlineLevel="0" collapsed="false">
      <c r="A3549" s="24" t="s">
        <v>703</v>
      </c>
      <c r="B3549" s="25" t="s">
        <v>86</v>
      </c>
      <c r="C3549" s="41" t="n">
        <f aca="false">Sens!$C$3478-(Sens!$C$3480+Sens!$C$3481)</f>
        <v>0</v>
      </c>
      <c r="D3549" s="41" t="n">
        <f aca="false">Sens!$D$3478-(Sens!$D$3480+Sens!$D$3481)</f>
        <v>0</v>
      </c>
      <c r="E3549" s="41" t="n">
        <f aca="false">Sens!$E$3478-(Sens!$E$3480+Sens!$E$3481)</f>
        <v>0</v>
      </c>
      <c r="F3549" s="41" t="n">
        <f aca="false">Sens!$F$3478-(Sens!$F$3480+Sens!$F$3481)</f>
        <v>0</v>
      </c>
      <c r="G3549" s="41" t="n">
        <f aca="false">Sens!$G$3478-(Sens!$G$3480+Sens!$G$3481)</f>
        <v>0</v>
      </c>
      <c r="H3549" s="41" t="n">
        <f aca="false">Sens!$H$3478-(Sens!$H$3480+Sens!$H$3481)</f>
        <v>0</v>
      </c>
      <c r="I3549" s="41" t="n">
        <f aca="false">Sens!$I$3478-(Sens!$I$3480+Sens!$I$3481)</f>
        <v>0</v>
      </c>
      <c r="J3549" s="41" t="n">
        <f aca="false">Sens!$J$3478-(Sens!$J$3480+Sens!$J$3481)</f>
        <v>0</v>
      </c>
      <c r="K3549" s="41" t="n">
        <f aca="false">Sens!$K$3478-(Sens!$K$3480+Sens!$K$3481)</f>
        <v>0</v>
      </c>
      <c r="L3549" s="41" t="n">
        <f aca="false">Sens!$L$3478-(Sens!$L$3480+Sens!$L$3481)</f>
        <v>0</v>
      </c>
      <c r="M3549" s="41" t="n">
        <f aca="false">Sens!$M$3478-(Sens!$M$3480+Sens!$M$3481)</f>
        <v>0</v>
      </c>
      <c r="N3549" s="41" t="n">
        <f aca="false">Sens!$N$3478-(Sens!$N$3480+Sens!$N$3481)</f>
        <v>0</v>
      </c>
      <c r="O3549" s="41" t="n">
        <f aca="false">Sens!$O$3478-(Sens!$O$3480+Sens!$O$3481)</f>
        <v>0</v>
      </c>
    </row>
    <row r="3550" customFormat="false" ht="17.15" hidden="false" customHeight="false" outlineLevel="0" collapsed="false">
      <c r="A3550" s="24" t="s">
        <v>704</v>
      </c>
      <c r="B3550" s="25" t="s">
        <v>86</v>
      </c>
      <c r="C3550" s="41" t="n">
        <f aca="false">Sens!$C$3545+Sens!$C$3546-Sens!$C$3547</f>
        <v>0</v>
      </c>
      <c r="D3550" s="41" t="n">
        <f aca="false">Sens!$D$3545+Sens!$D$3546-Sens!$D$3547</f>
        <v>0</v>
      </c>
      <c r="E3550" s="41" t="n">
        <f aca="false">Sens!$E$3545+Sens!$E$3546-Sens!$E$3547</f>
        <v>0</v>
      </c>
      <c r="F3550" s="41" t="n">
        <f aca="false">Sens!$F$3545+Sens!$F$3546-Sens!$F$3547</f>
        <v>0</v>
      </c>
      <c r="G3550" s="41" t="n">
        <f aca="false">Sens!$G$3545+Sens!$G$3546-Sens!$G$3547</f>
        <v>0</v>
      </c>
      <c r="H3550" s="41" t="n">
        <f aca="false">Sens!$H$3545+Sens!$H$3546-Sens!$H$3547</f>
        <v>0</v>
      </c>
      <c r="I3550" s="41" t="n">
        <f aca="false">Sens!$I$3545+Sens!$I$3546-Sens!$I$3547</f>
        <v>0</v>
      </c>
      <c r="J3550" s="41" t="n">
        <f aca="false">Sens!$J$3545+Sens!$J$3546-Sens!$J$3547</f>
        <v>0</v>
      </c>
      <c r="K3550" s="41" t="n">
        <f aca="false">Sens!$K$3545+Sens!$K$3546-Sens!$K$3547</f>
        <v>0</v>
      </c>
      <c r="L3550" s="41" t="n">
        <f aca="false">Sens!$L$3545+Sens!$L$3546-Sens!$L$3547</f>
        <v>0</v>
      </c>
      <c r="M3550" s="41" t="n">
        <f aca="false">Sens!$M$3545+Sens!$M$3546-Sens!$M$3547</f>
        <v>0</v>
      </c>
      <c r="N3550" s="41" t="n">
        <f aca="false">Sens!$N$3545+Sens!$N$3546-Sens!$N$3547</f>
        <v>0</v>
      </c>
      <c r="O3550" s="41" t="n">
        <f aca="false">Sens!$O$3545+Sens!$O$3546-Sens!$O$3547</f>
        <v>0</v>
      </c>
    </row>
    <row r="3551" customFormat="false" ht="17.15" hidden="false" customHeight="false" outlineLevel="0" collapsed="false">
      <c r="A3551" s="24" t="s">
        <v>705</v>
      </c>
      <c r="B3551" s="25" t="s">
        <v>86</v>
      </c>
      <c r="C3551" s="41" t="n">
        <f aca="false">Sens!$C$3480+Sens!$C$3481+Sens!$C$3547-Sens!$C$3548</f>
        <v>0</v>
      </c>
      <c r="D3551" s="41" t="n">
        <f aca="false">Sens!$D$3480+Sens!$D$3481+Sens!$D$3547-Sens!$D$3548</f>
        <v>0</v>
      </c>
      <c r="E3551" s="41" t="n">
        <f aca="false">Sens!$E$3480+Sens!$E$3481+Sens!$E$3547-Sens!$E$3548</f>
        <v>0</v>
      </c>
      <c r="F3551" s="41" t="n">
        <f aca="false">Sens!$F$3480+Sens!$F$3481+Sens!$F$3547-Sens!$F$3548</f>
        <v>0</v>
      </c>
      <c r="G3551" s="41" t="n">
        <f aca="false">Sens!$G$3480+Sens!$G$3481+Sens!$G$3547-Sens!$G$3548</f>
        <v>0</v>
      </c>
      <c r="H3551" s="41" t="n">
        <f aca="false">Sens!$H$3480+Sens!$H$3481+Sens!$H$3547-Sens!$H$3548</f>
        <v>0</v>
      </c>
      <c r="I3551" s="41" t="n">
        <f aca="false">Sens!$I$3480+Sens!$I$3481+Sens!$I$3547-Sens!$I$3548</f>
        <v>0</v>
      </c>
      <c r="J3551" s="41" t="n">
        <f aca="false">Sens!$J$3480+Sens!$J$3481+Sens!$J$3547-Sens!$J$3548</f>
        <v>0</v>
      </c>
      <c r="K3551" s="41" t="n">
        <f aca="false">Sens!$K$3480+Sens!$K$3481+Sens!$K$3547-Sens!$K$3548</f>
        <v>0</v>
      </c>
      <c r="L3551" s="41" t="n">
        <f aca="false">Sens!$L$3480+Sens!$L$3481+Sens!$L$3547-Sens!$L$3548</f>
        <v>0</v>
      </c>
      <c r="M3551" s="41" t="n">
        <f aca="false">Sens!$M$3480+Sens!$M$3481+Sens!$M$3547-Sens!$M$3548</f>
        <v>0</v>
      </c>
      <c r="N3551" s="41" t="n">
        <f aca="false">Sens!$N$3480+Sens!$N$3481+Sens!$N$3547-Sens!$N$3548</f>
        <v>0</v>
      </c>
      <c r="O3551" s="41" t="n">
        <f aca="false">Sens!$O$3480+Sens!$O$3481+Sens!$O$3547-Sens!$O$3548</f>
        <v>0</v>
      </c>
    </row>
    <row r="3552" customFormat="false" ht="15" hidden="false" customHeight="false" outlineLevel="0" collapsed="false">
      <c r="A3552" s="5" t="s">
        <v>699</v>
      </c>
      <c r="B3552" s="0" t="s">
        <v>52</v>
      </c>
      <c r="G3552" s="13" t="n">
        <f aca="false">Sens!$G$3548/Sens!$D$3548-1</f>
        <v>0.140854504918937</v>
      </c>
      <c r="H3552" s="13" t="n">
        <f aca="false">Sens!$H$3548/Sens!$G$3548-1</f>
        <v>0.152063789793209</v>
      </c>
      <c r="I3552" s="13" t="n">
        <f aca="false">Sens!$I$3548/Sens!$H$3548-1</f>
        <v>0.134273264437417</v>
      </c>
      <c r="J3552" s="13" t="n">
        <f aca="false">Sens!$J$3548/Sens!$I$3548-1</f>
        <v>0.113310421234083</v>
      </c>
      <c r="K3552" s="13" t="n">
        <f aca="false">Sens!$K$3548/Sens!$J$3548-1</f>
        <v>0.0892108343223652</v>
      </c>
      <c r="L3552" s="13" t="n">
        <f aca="false">Sens!$L$3548/Sens!$K$3548-1</f>
        <v>0.076471362444261</v>
      </c>
      <c r="M3552" s="13" t="n">
        <f aca="false">Sens!$M$3548/Sens!$L$3548-1</f>
        <v>0.066250060256672</v>
      </c>
    </row>
    <row r="3553" customFormat="false" ht="17.15" hidden="false" customHeight="false" outlineLevel="0" collapsed="false">
      <c r="A3553" s="0" t="s">
        <v>700</v>
      </c>
      <c r="B3553" s="0" t="s">
        <v>52</v>
      </c>
      <c r="C3553" s="13" t="n">
        <f aca="false">Sens!$C$3547/Sens!$C$3548</f>
        <v>0.168593906504964</v>
      </c>
      <c r="D3553" s="13" t="n">
        <f aca="false">Sens!$D$3547/Sens!$D$3548</f>
        <v>0.179551807444025</v>
      </c>
      <c r="E3553" s="13" t="n">
        <f aca="false">Sens!$E$3547/Sens!$E$3548</f>
        <v>0.208881910369643</v>
      </c>
      <c r="F3553" s="13" t="n">
        <f aca="false">Sens!$F$3547/Sens!$F$3548</f>
        <v>0.199028269699356</v>
      </c>
      <c r="G3553" s="13" t="n">
        <f aca="false">Sens!$G$3547/Sens!$G$3548</f>
        <v>0.203631882529968</v>
      </c>
      <c r="H3553" s="13" t="n">
        <f aca="false">Sens!$H$3547/Sens!$H$3548</f>
        <v>0.234731715958496</v>
      </c>
      <c r="I3553" s="13" t="n">
        <f aca="false">Sens!$I$3547/Sens!$I$3548</f>
        <v>0.262231204480418</v>
      </c>
      <c r="J3553" s="13" t="n">
        <f aca="false">Sens!$J$3547/Sens!$J$3548</f>
        <v>0.284728366013706</v>
      </c>
      <c r="K3553" s="13" t="n">
        <f aca="false">Sens!$K$3547/Sens!$K$3548</f>
        <v>0.300823304959505</v>
      </c>
      <c r="L3553" s="13" t="n">
        <f aca="false">Sens!$L$3547/Sens!$L$3548</f>
        <v>0.308263164529735</v>
      </c>
      <c r="M3553" s="13" t="n">
        <f aca="false">Sens!$M$3547/Sens!$M$3548</f>
        <v>0.308856517936036</v>
      </c>
      <c r="N3553" s="13" t="n">
        <f aca="false">Sens!$N$3547/Sens!$N$3548</f>
        <v>0.185979484737251</v>
      </c>
      <c r="O3553" s="13" t="n">
        <f aca="false">Sens!$O$3547/Sens!$O$3548</f>
        <v>0.174270432341096</v>
      </c>
    </row>
    <row r="3554" customFormat="false" ht="17.15" hidden="false" customHeight="false" outlineLevel="0" collapsed="false">
      <c r="A3554" s="0" t="s">
        <v>701</v>
      </c>
      <c r="B3554" s="0" t="s">
        <v>52</v>
      </c>
      <c r="C3554" s="13" t="n">
        <f aca="false">Sens!$C$3545/Sens!$C$3547</f>
        <v>0.0215795060896058</v>
      </c>
      <c r="D3554" s="13" t="n">
        <f aca="false">Sens!$D$3545/Sens!$D$3547</f>
        <v>0.0676152269462122</v>
      </c>
      <c r="E3554" s="13" t="n">
        <f aca="false">Sens!$E$3545/Sens!$E$3547</f>
        <v>0.106620641395783</v>
      </c>
      <c r="F3554" s="13" t="n">
        <f aca="false">Sens!$F$3545/Sens!$F$3547</f>
        <v>0.172523487401099</v>
      </c>
      <c r="G3554" s="13" t="n">
        <f aca="false">Sens!$G$3545/Sens!$G$3547</f>
        <v>0.140939911795589</v>
      </c>
      <c r="H3554" s="13" t="n">
        <f aca="false">Sens!$H$3545/Sens!$H$3547</f>
        <v>0.272018642937714</v>
      </c>
      <c r="I3554" s="13" t="n">
        <f aca="false">Sens!$I$3545/Sens!$I$3547</f>
        <v>0.362159512436497</v>
      </c>
      <c r="J3554" s="13" t="n">
        <f aca="false">Sens!$J$3545/Sens!$J$3547</f>
        <v>0.422151735934609</v>
      </c>
      <c r="K3554" s="13" t="n">
        <f aca="false">Sens!$K$3545/Sens!$K$3547</f>
        <v>0.45769342068485</v>
      </c>
      <c r="L3554" s="13" t="n">
        <f aca="false">Sens!$L$3545/Sens!$L$3547</f>
        <v>0.469047103913472</v>
      </c>
      <c r="M3554" s="13" t="n">
        <f aca="false">Sens!$M$3545/Sens!$M$3547</f>
        <v>0.463233328258093</v>
      </c>
      <c r="N3554" s="13" t="n">
        <f aca="false">Sens!$N$3545/Sens!$N$3547</f>
        <v>0.0506537999838362</v>
      </c>
      <c r="O3554" s="13" t="n">
        <f aca="false">Sens!$O$3545/Sens!$O$3547</f>
        <v>0.0824881615167056</v>
      </c>
    </row>
    <row r="3557" customFormat="false" ht="19.4" hidden="false" customHeight="false" outlineLevel="0" collapsed="false">
      <c r="A3557" s="31" t="s">
        <v>1207</v>
      </c>
    </row>
    <row r="3558" customFormat="false" ht="17.15" hidden="false" customHeight="false" outlineLevel="0" collapsed="false">
      <c r="A3558" s="6" t="s">
        <v>16</v>
      </c>
      <c r="B3558" s="6" t="s">
        <v>17</v>
      </c>
      <c r="C3558" s="20" t="s">
        <v>497</v>
      </c>
      <c r="D3558" s="20" t="s">
        <v>498</v>
      </c>
      <c r="E3558" s="20" t="s">
        <v>580</v>
      </c>
      <c r="F3558" s="20" t="s">
        <v>581</v>
      </c>
      <c r="G3558" s="20" t="s">
        <v>582</v>
      </c>
      <c r="H3558" s="20" t="s">
        <v>583</v>
      </c>
      <c r="I3558" s="20" t="s">
        <v>584</v>
      </c>
      <c r="J3558" s="20" t="s">
        <v>585</v>
      </c>
      <c r="K3558" s="20" t="s">
        <v>586</v>
      </c>
      <c r="L3558" s="20" t="s">
        <v>587</v>
      </c>
      <c r="M3558" s="20" t="s">
        <v>588</v>
      </c>
      <c r="N3558" s="20" t="s">
        <v>589</v>
      </c>
      <c r="O3558" s="20" t="s">
        <v>590</v>
      </c>
      <c r="P3558" s="6" t="s">
        <v>23</v>
      </c>
      <c r="R3558" s="20" t="n">
        <v>2023</v>
      </c>
      <c r="S3558" s="20" t="n">
        <v>2024</v>
      </c>
      <c r="T3558" s="20" t="n">
        <v>2025</v>
      </c>
      <c r="U3558" s="20" t="n">
        <v>2026</v>
      </c>
      <c r="V3558" s="20" t="n">
        <v>2027</v>
      </c>
      <c r="W3558" s="20" t="n">
        <v>2028</v>
      </c>
      <c r="X3558" s="20" t="n">
        <v>2029</v>
      </c>
      <c r="Y3558" s="20" t="n">
        <v>2030</v>
      </c>
      <c r="Z3558" s="20" t="n">
        <v>2031</v>
      </c>
      <c r="AA3558" s="20" t="n">
        <v>2032</v>
      </c>
    </row>
    <row r="3559" customFormat="false" ht="17.15" hidden="false" customHeight="false" outlineLevel="0" collapsed="false">
      <c r="A3559" s="1" t="s">
        <v>716</v>
      </c>
    </row>
    <row r="3560" customFormat="false" ht="15" hidden="false" customHeight="false" outlineLevel="0" collapsed="false">
      <c r="A3560" s="0" t="s">
        <v>519</v>
      </c>
      <c r="B3560" s="0" t="s">
        <v>86</v>
      </c>
      <c r="C3560" s="38" t="n">
        <f aca="false">Sens!$C$3465</f>
        <v>247.029</v>
      </c>
      <c r="D3560" s="38" t="n">
        <f aca="false">Sens!$D$3465</f>
        <v>269.287</v>
      </c>
      <c r="E3560" s="38" t="n">
        <f aca="false">Sens!$E$3465</f>
        <v>134.686</v>
      </c>
      <c r="F3560" s="38" t="n">
        <f aca="false">Sens!$F$3465</f>
        <v>158.293876822267</v>
      </c>
      <c r="G3560" s="38" t="n">
        <f aca="false">Sens!$G$3465</f>
        <v>292.979876822267</v>
      </c>
      <c r="H3560" s="38" t="n">
        <f aca="false">Sens!$H$3465</f>
        <v>318.184543087396</v>
      </c>
      <c r="I3560" s="38" t="n">
        <f aca="false">Sens!$I$3465</f>
        <v>341.736278761793</v>
      </c>
      <c r="J3560" s="38" t="n">
        <f aca="false">Sens!$J$3465</f>
        <v>362.927192787048</v>
      </c>
      <c r="K3560" s="38" t="n">
        <f aca="false">Sens!$K$3465</f>
        <v>381.0735524264</v>
      </c>
      <c r="L3560" s="38" t="n">
        <f aca="false">Sens!$L$3465</f>
        <v>400.12723004772</v>
      </c>
      <c r="M3560" s="38" t="n">
        <f aca="false">Sens!$M$3465</f>
        <v>420.133591550106</v>
      </c>
      <c r="N3560" s="38" t="n">
        <f aca="false">Sens!$N$3465</f>
        <v>118.892</v>
      </c>
      <c r="O3560" s="38" t="n">
        <f aca="false">Sens!$O$3465</f>
        <v>150.395</v>
      </c>
    </row>
    <row r="3561" customFormat="false" ht="15" hidden="false" customHeight="false" outlineLevel="0" collapsed="false">
      <c r="A3561" s="0" t="s">
        <v>520</v>
      </c>
      <c r="B3561" s="0" t="s">
        <v>86</v>
      </c>
      <c r="C3561" s="38" t="n">
        <f aca="false">Sens!$C$3467</f>
        <v>21.215</v>
      </c>
      <c r="D3561" s="38" t="n">
        <f aca="false">Sens!$D$3467</f>
        <v>22.561</v>
      </c>
      <c r="E3561" s="38" t="n">
        <f aca="false">Sens!$E$3467</f>
        <v>11.579</v>
      </c>
      <c r="F3561" s="38" t="n">
        <f aca="false">Sens!$F$3467</f>
        <v>11.5938724610325</v>
      </c>
      <c r="G3561" s="38" t="n">
        <f aca="false">Sens!$G$3467</f>
        <v>23.1728724610325</v>
      </c>
      <c r="H3561" s="38" t="n">
        <f aca="false">Sens!$H$3467</f>
        <v>24.353392759506</v>
      </c>
      <c r="I3561" s="38" t="n">
        <f aca="false">Sens!$I$3467</f>
        <v>25.4240338872015</v>
      </c>
      <c r="J3561" s="38" t="n">
        <f aca="false">Sens!$J$3467</f>
        <v>26.3642491017174</v>
      </c>
      <c r="K3561" s="38" t="n">
        <f aca="false">Sens!$K$3467</f>
        <v>27.155176574769</v>
      </c>
      <c r="L3561" s="38" t="n">
        <f aca="false">Sens!$L$3467</f>
        <v>27.969831872012</v>
      </c>
      <c r="M3561" s="38" t="n">
        <f aca="false">Sens!$M$3467</f>
        <v>28.8089268281724</v>
      </c>
      <c r="N3561" s="38" t="n">
        <f aca="false">Sens!$N$3467</f>
        <v>11.128</v>
      </c>
      <c r="O3561" s="38" t="n">
        <f aca="false">Sens!$O$3467</f>
        <v>11.433</v>
      </c>
    </row>
    <row r="3562" customFormat="false" ht="15" hidden="false" customHeight="false" outlineLevel="0" collapsed="false">
      <c r="A3562" s="0" t="s">
        <v>521</v>
      </c>
      <c r="B3562" s="0" t="s">
        <v>86</v>
      </c>
      <c r="C3562" s="38" t="n">
        <f aca="false">Sens!$C$3469</f>
        <v>156.146</v>
      </c>
      <c r="D3562" s="38" t="n">
        <f aca="false">Sens!$D$3469</f>
        <v>172.162</v>
      </c>
      <c r="E3562" s="38" t="n">
        <f aca="false">Sens!$E$3469</f>
        <v>88.358</v>
      </c>
      <c r="F3562" s="38" t="n">
        <f aca="false">Sens!$F$3469</f>
        <v>102.004388260171</v>
      </c>
      <c r="G3562" s="38" t="n">
        <f aca="false">Sens!$G$3469</f>
        <v>190.362388260171</v>
      </c>
      <c r="H3562" s="38" t="n">
        <f aca="false">Sens!$H$3469</f>
        <v>210.343106588311</v>
      </c>
      <c r="I3562" s="38" t="n">
        <f aca="false">Sens!$I$3469</f>
        <v>229.969728494648</v>
      </c>
      <c r="J3562" s="38" t="n">
        <f aca="false">Sens!$J$3469</f>
        <v>248.747636972598</v>
      </c>
      <c r="K3562" s="38" t="n">
        <f aca="false">Sens!$K$3469</f>
        <v>266.15997156068</v>
      </c>
      <c r="L3562" s="38" t="n">
        <f aca="false">Sens!$L$3469</f>
        <v>284.791169569927</v>
      </c>
      <c r="M3562" s="38" t="n">
        <f aca="false">Sens!$M$3469</f>
        <v>304.726551439822</v>
      </c>
      <c r="N3562" s="38" t="n">
        <f aca="false">Sens!$N$3469</f>
        <v>76.86</v>
      </c>
      <c r="O3562" s="38" t="n">
        <f aca="false">Sens!$O$3469</f>
        <v>95.302</v>
      </c>
    </row>
    <row r="3563" customFormat="false" ht="15" hidden="false" customHeight="false" outlineLevel="0" collapsed="false">
      <c r="A3563" s="0" t="s">
        <v>522</v>
      </c>
      <c r="B3563" s="0" t="s">
        <v>86</v>
      </c>
      <c r="C3563" s="38" t="n">
        <f aca="false">Sens!$C$3471</f>
        <v>56.214</v>
      </c>
      <c r="D3563" s="38" t="n">
        <f aca="false">Sens!$D$3471</f>
        <v>68.635</v>
      </c>
      <c r="E3563" s="38" t="n">
        <f aca="false">Sens!$E$3471</f>
        <v>37.052</v>
      </c>
      <c r="F3563" s="38" t="n">
        <f aca="false">Sens!$F$3471</f>
        <v>46.1572219944148</v>
      </c>
      <c r="G3563" s="38" t="n">
        <f aca="false">Sens!$G$3471</f>
        <v>83.2092219944148</v>
      </c>
      <c r="H3563" s="38" t="n">
        <f aca="false">Sens!$H$3471</f>
        <v>99.8969223878976</v>
      </c>
      <c r="I3563" s="38" t="n">
        <f aca="false">Sens!$I$3471</f>
        <v>116.583111095496</v>
      </c>
      <c r="J3563" s="38" t="n">
        <f aca="false">Sens!$J$3471</f>
        <v>132.148941941952</v>
      </c>
      <c r="K3563" s="38" t="n">
        <f aca="false">Sens!$K$3471</f>
        <v>145.363836136147</v>
      </c>
      <c r="L3563" s="38" t="n">
        <f aca="false">Sens!$L$3471</f>
        <v>159.900219749762</v>
      </c>
      <c r="M3563" s="38" t="n">
        <f aca="false">Sens!$M$3471</f>
        <v>175.890241724738</v>
      </c>
      <c r="N3563" s="38" t="n">
        <f aca="false">Sens!$N$3471</f>
        <v>29.615</v>
      </c>
      <c r="O3563" s="38" t="n">
        <f aca="false">Sens!$O$3471</f>
        <v>39.02</v>
      </c>
    </row>
    <row r="3564" customFormat="false" ht="15" hidden="false" customHeight="false" outlineLevel="0" collapsed="false">
      <c r="A3564" s="0" t="s">
        <v>523</v>
      </c>
      <c r="B3564" s="0" t="s">
        <v>86</v>
      </c>
      <c r="C3564" s="38" t="n">
        <f aca="false">Sens!$C$3473</f>
        <v>44.374</v>
      </c>
      <c r="D3564" s="38" t="n">
        <f aca="false">Sens!$D$3473</f>
        <v>49.619</v>
      </c>
      <c r="E3564" s="38" t="n">
        <f aca="false">Sens!$E$3473</f>
        <v>27.157</v>
      </c>
      <c r="F3564" s="38" t="n">
        <f aca="false">Sens!$F$3473</f>
        <v>27.7764165988154</v>
      </c>
      <c r="G3564" s="38" t="n">
        <f aca="false">Sens!$G$3473</f>
        <v>54.9334165988154</v>
      </c>
      <c r="H3564" s="38" t="n">
        <f aca="false">Sens!$H$3473</f>
        <v>61.1564112561829</v>
      </c>
      <c r="I3564" s="38" t="n">
        <f aca="false">Sens!$I$3473</f>
        <v>67.2020282103945</v>
      </c>
      <c r="J3564" s="38" t="n">
        <f aca="false">Sens!$J$3473</f>
        <v>72.8757274028885</v>
      </c>
      <c r="K3564" s="38" t="n">
        <f aca="false">Sens!$K$3473</f>
        <v>77.9770283210907</v>
      </c>
      <c r="L3564" s="38" t="n">
        <f aca="false">Sens!$L$3473</f>
        <v>83.4354203035671</v>
      </c>
      <c r="M3564" s="38" t="n">
        <f aca="false">Sens!$M$3473</f>
        <v>89.2758997248168</v>
      </c>
      <c r="N3564" s="38" t="n">
        <f aca="false">Sens!$N$3473</f>
        <v>23.923</v>
      </c>
      <c r="O3564" s="38" t="n">
        <f aca="false">Sens!$O$3473</f>
        <v>25.696</v>
      </c>
    </row>
    <row r="3565" customFormat="false" ht="15" hidden="false" customHeight="false" outlineLevel="0" collapsed="false">
      <c r="A3565" s="0" t="s">
        <v>524</v>
      </c>
      <c r="B3565" s="0" t="s">
        <v>86</v>
      </c>
      <c r="C3565" s="38" t="n">
        <f aca="false">Sens!$C$3475</f>
        <v>5.425</v>
      </c>
      <c r="D3565" s="38" t="n">
        <f aca="false">Sens!$D$3475</f>
        <v>5.935</v>
      </c>
      <c r="E3565" s="38" t="n">
        <f aca="false">Sens!$E$3475</f>
        <v>3.474</v>
      </c>
      <c r="F3565" s="38" t="n">
        <f aca="false">Sens!$F$3475</f>
        <v>3.22246550883619</v>
      </c>
      <c r="G3565" s="38" t="n">
        <f aca="false">Sens!$G$3475</f>
        <v>6.69646550883619</v>
      </c>
      <c r="H3565" s="38" t="n">
        <f aca="false">Sens!$H$3475</f>
        <v>7.16251344209196</v>
      </c>
      <c r="I3565" s="38" t="n">
        <f aca="false">Sens!$I$3475</f>
        <v>7.61421070299826</v>
      </c>
      <c r="J3565" s="38" t="n">
        <f aca="false">Sens!$J$3475</f>
        <v>8.04465753523932</v>
      </c>
      <c r="K3565" s="38" t="n">
        <f aca="false">Sens!$K$3475</f>
        <v>8.44689041200128</v>
      </c>
      <c r="L3565" s="38" t="n">
        <f aca="false">Sens!$L$3475</f>
        <v>8.86923493260135</v>
      </c>
      <c r="M3565" s="38" t="n">
        <f aca="false">Sens!$M$3475</f>
        <v>9.31269667923142</v>
      </c>
      <c r="N3565" s="38" t="n">
        <f aca="false">Sens!$N$3475</f>
        <v>2.811</v>
      </c>
      <c r="O3565" s="38" t="n">
        <f aca="false">Sens!$O$3475</f>
        <v>3.124</v>
      </c>
    </row>
    <row r="3566" customFormat="false" ht="17.15" hidden="false" customHeight="false" outlineLevel="0" collapsed="false">
      <c r="A3566" s="0" t="s">
        <v>717</v>
      </c>
      <c r="B3566" s="0" t="s">
        <v>86</v>
      </c>
      <c r="C3566" s="38" t="n">
        <f aca="false">Sens!$C$3547</f>
        <v>107.556</v>
      </c>
      <c r="D3566" s="38" t="n">
        <f aca="false">Sens!$D$3547</f>
        <v>128.725</v>
      </c>
      <c r="E3566" s="38" t="n">
        <f aca="false">Sens!$E$3547</f>
        <v>79.819</v>
      </c>
      <c r="F3566" s="38" t="n">
        <f aca="false">Sens!$F$3547</f>
        <v>86.7327334389669</v>
      </c>
      <c r="G3566" s="38" t="n">
        <f aca="false">Sens!$G$3547</f>
        <v>166.551733438967</v>
      </c>
      <c r="H3566" s="38" t="n">
        <f aca="false">Sens!$H$3547</f>
        <v>221.182967828978</v>
      </c>
      <c r="I3566" s="38" t="n">
        <f aca="false">Sens!$I$3547</f>
        <v>280.27345865789</v>
      </c>
      <c r="J3566" s="38" t="n">
        <f aca="false">Sens!$J$3547</f>
        <v>338.800945197185</v>
      </c>
      <c r="K3566" s="38" t="n">
        <f aca="false">Sens!$K$3547</f>
        <v>389.88570147276</v>
      </c>
      <c r="L3566" s="38" t="n">
        <f aca="false">Sens!$L$3547</f>
        <v>430.080689379143</v>
      </c>
      <c r="M3566" s="38" t="n">
        <f aca="false">Sens!$M$3547</f>
        <v>459.456235951751</v>
      </c>
      <c r="N3566" s="38" t="n">
        <f aca="false">Sens!$N$3547</f>
        <v>60.14</v>
      </c>
      <c r="O3566" s="38" t="n">
        <f aca="false">Sens!$O$3547</f>
        <v>68.585</v>
      </c>
    </row>
    <row r="3567" customFormat="false" ht="15" hidden="false" customHeight="false" outlineLevel="0" collapsed="false">
      <c r="A3567" s="1" t="s">
        <v>512</v>
      </c>
      <c r="B3567" s="8" t="s">
        <v>86</v>
      </c>
      <c r="C3567" s="38" t="n">
        <f aca="false">Sens!$C$3480</f>
        <v>387.497</v>
      </c>
      <c r="D3567" s="38" t="n">
        <f aca="false">Sens!$D$3480</f>
        <v>426.305</v>
      </c>
      <c r="E3567" s="38" t="n">
        <f aca="false">Sens!$E$3480</f>
        <v>220.32</v>
      </c>
      <c r="F3567" s="38" t="n">
        <f aca="false">Sens!$F$3480</f>
        <v>250.639773480586</v>
      </c>
      <c r="G3567" s="38" t="n">
        <f aca="false">Sens!$G$3480</f>
        <v>470.959773480586</v>
      </c>
      <c r="H3567" s="38" t="n">
        <f aca="false">Sens!$H$3480</f>
        <v>521.386990416437</v>
      </c>
      <c r="I3567" s="38" t="n">
        <f aca="false">Sens!$I$3480</f>
        <v>570.143862887555</v>
      </c>
      <c r="J3567" s="38" t="n">
        <f aca="false">Sens!$J$3480</f>
        <v>615.391435791933</v>
      </c>
      <c r="K3567" s="38" t="n">
        <f aca="false">Sens!$K$3480</f>
        <v>655.208227561543</v>
      </c>
      <c r="L3567" s="38" t="n">
        <f aca="false">Sens!$L$3480</f>
        <v>697.807739249767</v>
      </c>
      <c r="M3567" s="38" t="n">
        <f aca="false">Sens!$M$3480</f>
        <v>743.399328463592</v>
      </c>
      <c r="N3567" s="38" t="n">
        <f aca="false">Sens!$N$3480</f>
        <v>192.955</v>
      </c>
      <c r="O3567" s="38" t="n">
        <f aca="false">Sens!$O$3480</f>
        <v>233.35</v>
      </c>
    </row>
    <row r="3568" customFormat="false" ht="15" hidden="false" customHeight="false" outlineLevel="0" collapsed="false">
      <c r="A3568" s="1" t="s">
        <v>515</v>
      </c>
      <c r="B3568" s="8" t="s">
        <v>86</v>
      </c>
      <c r="C3568" s="38" t="n">
        <f aca="false">Sens!$C$3481</f>
        <v>142.906</v>
      </c>
      <c r="D3568" s="38" t="n">
        <f aca="false">Sens!$D$3481</f>
        <v>161.894</v>
      </c>
      <c r="E3568" s="38" t="n">
        <f aca="false">Sens!$E$3481</f>
        <v>81.986</v>
      </c>
      <c r="F3568" s="38" t="n">
        <f aca="false">Sens!$F$3481</f>
        <v>98.408468164951</v>
      </c>
      <c r="G3568" s="38" t="n">
        <f aca="false">Sens!$G$3481</f>
        <v>180.394468164951</v>
      </c>
      <c r="H3568" s="38" t="n">
        <f aca="false">Sens!$H$3481</f>
        <v>199.709899104949</v>
      </c>
      <c r="I3568" s="38" t="n">
        <f aca="false">Sens!$I$3481</f>
        <v>218.385528264976</v>
      </c>
      <c r="J3568" s="38" t="n">
        <f aca="false">Sens!$J$3481</f>
        <v>235.71696994951</v>
      </c>
      <c r="K3568" s="38" t="n">
        <f aca="false">Sens!$K$3481</f>
        <v>250.968227869545</v>
      </c>
      <c r="L3568" s="38" t="n">
        <f aca="false">Sens!$L$3481</f>
        <v>267.285367225822</v>
      </c>
      <c r="M3568" s="38" t="n">
        <f aca="false">Sens!$M$3481</f>
        <v>284.748579483295</v>
      </c>
      <c r="N3568" s="38" t="n">
        <f aca="false">Sens!$N$3481</f>
        <v>70.274</v>
      </c>
      <c r="O3568" s="38" t="n">
        <f aca="false">Sens!$O$3481</f>
        <v>91.62</v>
      </c>
    </row>
    <row r="3569" customFormat="false" ht="15" hidden="false" customHeight="false" outlineLevel="0" collapsed="false">
      <c r="A3569" s="1" t="s">
        <v>516</v>
      </c>
      <c r="B3569" s="8" t="s">
        <v>86</v>
      </c>
      <c r="C3569" s="38" t="n">
        <f aca="false">Sens!$C$3547</f>
        <v>107.556</v>
      </c>
      <c r="D3569" s="38" t="n">
        <f aca="false">Sens!$D$3547</f>
        <v>128.725</v>
      </c>
      <c r="E3569" s="38" t="n">
        <f aca="false">Sens!$E$3547</f>
        <v>79.819</v>
      </c>
      <c r="F3569" s="38" t="n">
        <f aca="false">Sens!$F$3547</f>
        <v>86.7327334389669</v>
      </c>
      <c r="G3569" s="38" t="n">
        <f aca="false">Sens!$G$3547</f>
        <v>166.551733438967</v>
      </c>
      <c r="H3569" s="38" t="n">
        <f aca="false">Sens!$H$3547</f>
        <v>221.182967828978</v>
      </c>
      <c r="I3569" s="38" t="n">
        <f aca="false">Sens!$I$3547</f>
        <v>280.27345865789</v>
      </c>
      <c r="J3569" s="38" t="n">
        <f aca="false">Sens!$J$3547</f>
        <v>338.800945197185</v>
      </c>
      <c r="K3569" s="38" t="n">
        <f aca="false">Sens!$K$3547</f>
        <v>389.88570147276</v>
      </c>
      <c r="L3569" s="38" t="n">
        <f aca="false">Sens!$L$3547</f>
        <v>430.080689379143</v>
      </c>
      <c r="M3569" s="38" t="n">
        <f aca="false">Sens!$M$3547</f>
        <v>459.456235951751</v>
      </c>
      <c r="N3569" s="38" t="n">
        <f aca="false">Sens!$N$3547</f>
        <v>60.14</v>
      </c>
      <c r="O3569" s="38" t="n">
        <f aca="false">Sens!$O$3547</f>
        <v>68.585</v>
      </c>
    </row>
    <row r="3570" customFormat="false" ht="17.15" hidden="false" customHeight="false" outlineLevel="0" collapsed="false">
      <c r="A3570" s="0" t="s">
        <v>691</v>
      </c>
      <c r="B3570" s="0" t="s">
        <v>86</v>
      </c>
      <c r="C3570" s="38" t="n">
        <f aca="false">Sens!$C$3545</f>
        <v>2.32100535697364</v>
      </c>
      <c r="D3570" s="38" t="n">
        <f aca="false">Sens!$D$3545</f>
        <v>8.70377008865116</v>
      </c>
      <c r="E3570" s="38" t="n">
        <f aca="false">Sens!$E$3545</f>
        <v>8.51035297557002</v>
      </c>
      <c r="F3570" s="38" t="n">
        <f aca="false">Sens!$F$3545</f>
        <v>14.9634336447205</v>
      </c>
      <c r="G3570" s="38" t="n">
        <f aca="false">Sens!$G$3545</f>
        <v>23.4737866202905</v>
      </c>
      <c r="H3570" s="38" t="n">
        <f aca="false">Sens!$H$3545</f>
        <v>60.1658907497746</v>
      </c>
      <c r="I3570" s="38" t="n">
        <f aca="false">Sens!$I$3545</f>
        <v>101.503699136432</v>
      </c>
      <c r="J3570" s="38" t="n">
        <f aca="false">Sens!$J$3545</f>
        <v>143.025407151278</v>
      </c>
      <c r="K3570" s="38" t="n">
        <f aca="false">Sens!$K$3545</f>
        <v>178.44812038318</v>
      </c>
      <c r="L3570" s="38" t="n">
        <f aca="false">Sens!$L$3545</f>
        <v>201.728101802396</v>
      </c>
      <c r="M3570" s="38" t="n">
        <f aca="false">Sens!$M$3545</f>
        <v>212.835441368865</v>
      </c>
      <c r="N3570" s="38" t="n">
        <f aca="false">Sens!$N$3545</f>
        <v>3.04631953102791</v>
      </c>
      <c r="O3570" s="38" t="n">
        <f aca="false">Sens!$O$3545</f>
        <v>5.65745055762326</v>
      </c>
    </row>
    <row r="3571" customFormat="false" ht="17.15" hidden="false" customHeight="false" outlineLevel="0" collapsed="false">
      <c r="A3571" s="0" t="s">
        <v>693</v>
      </c>
      <c r="B3571" s="0" t="s">
        <v>86</v>
      </c>
      <c r="C3571" s="38" t="n">
        <f aca="false">Sens!$C$3546</f>
        <v>105.234994643026</v>
      </c>
      <c r="D3571" s="38" t="n">
        <f aca="false">Sens!$D$3546</f>
        <v>120.021229911349</v>
      </c>
      <c r="E3571" s="38" t="n">
        <f aca="false">Sens!$E$3546</f>
        <v>71.30864702443</v>
      </c>
      <c r="F3571" s="38" t="n">
        <f aca="false">Sens!$F$3546</f>
        <v>71.7692997942464</v>
      </c>
      <c r="G3571" s="38" t="n">
        <f aca="false">Sens!$G$3546</f>
        <v>143.077946818676</v>
      </c>
      <c r="H3571" s="38" t="n">
        <f aca="false">Sens!$H$3546</f>
        <v>161.017077079203</v>
      </c>
      <c r="I3571" s="38" t="n">
        <f aca="false">Sens!$I$3546</f>
        <v>178.769759521457</v>
      </c>
      <c r="J3571" s="38" t="n">
        <f aca="false">Sens!$J$3546</f>
        <v>195.775538045907</v>
      </c>
      <c r="K3571" s="38" t="n">
        <f aca="false">Sens!$K$3546</f>
        <v>211.43758108958</v>
      </c>
      <c r="L3571" s="38" t="n">
        <f aca="false">Sens!$L$3546</f>
        <v>228.352587576746</v>
      </c>
      <c r="M3571" s="38" t="n">
        <f aca="false">Sens!$M$3546</f>
        <v>246.620794582886</v>
      </c>
      <c r="N3571" s="38" t="n">
        <f aca="false">Sens!$N$3546</f>
        <v>57.0936804689721</v>
      </c>
      <c r="O3571" s="38" t="n">
        <f aca="false">Sens!$O$3546</f>
        <v>62.9275494423768</v>
      </c>
    </row>
    <row r="3572" customFormat="false" ht="15" hidden="false" customHeight="false" outlineLevel="0" collapsed="false">
      <c r="A3572" s="3" t="s">
        <v>517</v>
      </c>
      <c r="B3572" s="8" t="s">
        <v>86</v>
      </c>
      <c r="C3572" s="38" t="n">
        <f aca="false">Sens!$C$3548</f>
        <v>637.959</v>
      </c>
      <c r="D3572" s="38" t="n">
        <f aca="false">Sens!$D$3548</f>
        <v>716.924</v>
      </c>
      <c r="E3572" s="38" t="n">
        <f aca="false">Sens!$E$3548</f>
        <v>382.125</v>
      </c>
      <c r="F3572" s="38" t="n">
        <f aca="false">Sens!$F$3548</f>
        <v>435.780975084504</v>
      </c>
      <c r="G3572" s="38" t="n">
        <f aca="false">Sens!$G$3548</f>
        <v>817.905975084504</v>
      </c>
      <c r="H3572" s="38" t="n">
        <f aca="false">Sens!$H$3548</f>
        <v>942.279857350364</v>
      </c>
      <c r="I3572" s="38" t="n">
        <f aca="false">Sens!$I$3548</f>
        <v>1068.80284981042</v>
      </c>
      <c r="J3572" s="38" t="n">
        <f aca="false">Sens!$J$3548</f>
        <v>1189.90935093863</v>
      </c>
      <c r="K3572" s="38" t="n">
        <f aca="false">Sens!$K$3548</f>
        <v>1296.06215690385</v>
      </c>
      <c r="L3572" s="38" t="n">
        <f aca="false">Sens!$L$3548</f>
        <v>1395.17379585473</v>
      </c>
      <c r="M3572" s="38" t="n">
        <f aca="false">Sens!$M$3548</f>
        <v>1487.60414389864</v>
      </c>
      <c r="N3572" s="38" t="n">
        <f aca="false">Sens!$N$3548</f>
        <v>323.369</v>
      </c>
      <c r="O3572" s="38" t="n">
        <f aca="false">Sens!$O$3548</f>
        <v>393.555</v>
      </c>
    </row>
    <row r="3573" customFormat="false" ht="17.15" hidden="false" customHeight="false" outlineLevel="0" collapsed="false">
      <c r="A3573" s="24" t="s">
        <v>703</v>
      </c>
      <c r="B3573" s="25" t="s">
        <v>86</v>
      </c>
      <c r="C3573" s="41" t="n">
        <f aca="false">Sens!$C$3560+Sens!$C$3561+Sens!$C$3562+Sens!$C$3563+Sens!$C$3564+Sens!$C$3565-(Sens!$C$3567+Sens!$C$3568)</f>
        <v>0</v>
      </c>
      <c r="D3573" s="41" t="n">
        <f aca="false">Sens!$D$3560+Sens!$D$3561+Sens!$D$3562+Sens!$D$3563+Sens!$D$3564+Sens!$D$3565-(Sens!$D$3567+Sens!$D$3568)</f>
        <v>0</v>
      </c>
      <c r="E3573" s="41" t="n">
        <f aca="false">Sens!$E$3560+Sens!$E$3561+Sens!$E$3562+Sens!$E$3563+Sens!$E$3564+Sens!$E$3565-(Sens!$E$3567+Sens!$E$3568)</f>
        <v>0</v>
      </c>
      <c r="F3573" s="41" t="n">
        <f aca="false">Sens!$F$3560+Sens!$F$3561+Sens!$F$3562+Sens!$F$3563+Sens!$F$3564+Sens!$F$3565-(Sens!$F$3567+Sens!$F$3568)</f>
        <v>0</v>
      </c>
      <c r="G3573" s="41" t="n">
        <f aca="false">Sens!$G$3560+Sens!$G$3561+Sens!$G$3562+Sens!$G$3563+Sens!$G$3564+Sens!$G$3565-(Sens!$G$3567+Sens!$G$3568)</f>
        <v>0</v>
      </c>
      <c r="H3573" s="41" t="n">
        <f aca="false">Sens!$H$3560+Sens!$H$3561+Sens!$H$3562+Sens!$H$3563+Sens!$H$3564+Sens!$H$3565-(Sens!$H$3567+Sens!$H$3568)</f>
        <v>0</v>
      </c>
      <c r="I3573" s="41" t="n">
        <f aca="false">Sens!$I$3560+Sens!$I$3561+Sens!$I$3562+Sens!$I$3563+Sens!$I$3564+Sens!$I$3565-(Sens!$I$3567+Sens!$I$3568)</f>
        <v>0</v>
      </c>
      <c r="J3573" s="41" t="n">
        <f aca="false">Sens!$J$3560+Sens!$J$3561+Sens!$J$3562+Sens!$J$3563+Sens!$J$3564+Sens!$J$3565-(Sens!$J$3567+Sens!$J$3568)</f>
        <v>0</v>
      </c>
      <c r="K3573" s="41" t="n">
        <f aca="false">Sens!$K$3560+Sens!$K$3561+Sens!$K$3562+Sens!$K$3563+Sens!$K$3564+Sens!$K$3565-(Sens!$K$3567+Sens!$K$3568)</f>
        <v>0</v>
      </c>
      <c r="L3573" s="41" t="n">
        <f aca="false">Sens!$L$3560+Sens!$L$3561+Sens!$L$3562+Sens!$L$3563+Sens!$L$3564+Sens!$L$3565-(Sens!$L$3567+Sens!$L$3568)</f>
        <v>0</v>
      </c>
      <c r="M3573" s="41" t="n">
        <f aca="false">Sens!$M$3560+Sens!$M$3561+Sens!$M$3562+Sens!$M$3563+Sens!$M$3564+Sens!$M$3565-(Sens!$M$3567+Sens!$M$3568)</f>
        <v>0</v>
      </c>
      <c r="N3573" s="41" t="n">
        <f aca="false">Sens!$N$3560+Sens!$N$3561+Sens!$N$3562+Sens!$N$3563+Sens!$N$3564+Sens!$N$3565-(Sens!$N$3567+Sens!$N$3568)</f>
        <v>0</v>
      </c>
      <c r="O3573" s="41" t="n">
        <f aca="false">Sens!$O$3560+Sens!$O$3561+Sens!$O$3562+Sens!$O$3563+Sens!$O$3564+Sens!$O$3565-(Sens!$O$3567+Sens!$O$3568)</f>
        <v>0</v>
      </c>
    </row>
    <row r="3574" customFormat="false" ht="17.15" hidden="false" customHeight="false" outlineLevel="0" collapsed="false">
      <c r="A3574" s="24" t="s">
        <v>704</v>
      </c>
      <c r="B3574" s="25" t="s">
        <v>86</v>
      </c>
      <c r="C3574" s="41" t="n">
        <f aca="false">Sens!$C$3570+Sens!$C$3571-Sens!$C$3569</f>
        <v>0</v>
      </c>
      <c r="D3574" s="41" t="n">
        <f aca="false">Sens!$D$3570+Sens!$D$3571-Sens!$D$3569</f>
        <v>0</v>
      </c>
      <c r="E3574" s="41" t="n">
        <f aca="false">Sens!$E$3570+Sens!$E$3571-Sens!$E$3569</f>
        <v>0</v>
      </c>
      <c r="F3574" s="41" t="n">
        <f aca="false">Sens!$F$3570+Sens!$F$3571-Sens!$F$3569</f>
        <v>0</v>
      </c>
      <c r="G3574" s="41" t="n">
        <f aca="false">Sens!$G$3570+Sens!$G$3571-Sens!$G$3569</f>
        <v>0</v>
      </c>
      <c r="H3574" s="41" t="n">
        <f aca="false">Sens!$H$3570+Sens!$H$3571-Sens!$H$3569</f>
        <v>0</v>
      </c>
      <c r="I3574" s="41" t="n">
        <f aca="false">Sens!$I$3570+Sens!$I$3571-Sens!$I$3569</f>
        <v>0</v>
      </c>
      <c r="J3574" s="41" t="n">
        <f aca="false">Sens!$J$3570+Sens!$J$3571-Sens!$J$3569</f>
        <v>0</v>
      </c>
      <c r="K3574" s="41" t="n">
        <f aca="false">Sens!$K$3570+Sens!$K$3571-Sens!$K$3569</f>
        <v>0</v>
      </c>
      <c r="L3574" s="41" t="n">
        <f aca="false">Sens!$L$3570+Sens!$L$3571-Sens!$L$3569</f>
        <v>0</v>
      </c>
      <c r="M3574" s="41" t="n">
        <f aca="false">Sens!$M$3570+Sens!$M$3571-Sens!$M$3569</f>
        <v>0</v>
      </c>
      <c r="N3574" s="41" t="n">
        <f aca="false">Sens!$N$3570+Sens!$N$3571-Sens!$N$3569</f>
        <v>0</v>
      </c>
      <c r="O3574" s="41" t="n">
        <f aca="false">Sens!$O$3570+Sens!$O$3571-Sens!$O$3569</f>
        <v>0</v>
      </c>
    </row>
    <row r="3575" customFormat="false" ht="17.15" hidden="false" customHeight="false" outlineLevel="0" collapsed="false">
      <c r="A3575" s="24" t="s">
        <v>763</v>
      </c>
      <c r="B3575" s="25" t="s">
        <v>86</v>
      </c>
      <c r="C3575" s="41" t="n">
        <f aca="false">Sens!$C$3560+Sens!$C$3561+Sens!$C$3562+Sens!$C$3563+Sens!$C$3564+Sens!$C$3565+Sens!$C$3566-Sens!$C$3572</f>
        <v>0</v>
      </c>
      <c r="D3575" s="41" t="n">
        <f aca="false">Sens!$D$3560+Sens!$D$3561+Sens!$D$3562+Sens!$D$3563+Sens!$D$3564+Sens!$D$3565+Sens!$D$3566-Sens!$D$3572</f>
        <v>0</v>
      </c>
      <c r="E3575" s="41" t="n">
        <f aca="false">Sens!$E$3560+Sens!$E$3561+Sens!$E$3562+Sens!$E$3563+Sens!$E$3564+Sens!$E$3565+Sens!$E$3566-Sens!$E$3572</f>
        <v>0</v>
      </c>
      <c r="F3575" s="41" t="n">
        <f aca="false">Sens!$F$3560+Sens!$F$3561+Sens!$F$3562+Sens!$F$3563+Sens!$F$3564+Sens!$F$3565+Sens!$F$3566-Sens!$F$3572</f>
        <v>0</v>
      </c>
      <c r="G3575" s="41" t="n">
        <f aca="false">Sens!$G$3560+Sens!$G$3561+Sens!$G$3562+Sens!$G$3563+Sens!$G$3564+Sens!$G$3565+Sens!$G$3566-Sens!$G$3572</f>
        <v>0</v>
      </c>
      <c r="H3575" s="41" t="n">
        <f aca="false">Sens!$H$3560+Sens!$H$3561+Sens!$H$3562+Sens!$H$3563+Sens!$H$3564+Sens!$H$3565+Sens!$H$3566-Sens!$H$3572</f>
        <v>0</v>
      </c>
      <c r="I3575" s="41" t="n">
        <f aca="false">Sens!$I$3560+Sens!$I$3561+Sens!$I$3562+Sens!$I$3563+Sens!$I$3564+Sens!$I$3565+Sens!$I$3566-Sens!$I$3572</f>
        <v>0</v>
      </c>
      <c r="J3575" s="41" t="n">
        <f aca="false">Sens!$J$3560+Sens!$J$3561+Sens!$J$3562+Sens!$J$3563+Sens!$J$3564+Sens!$J$3565+Sens!$J$3566-Sens!$J$3572</f>
        <v>0</v>
      </c>
      <c r="K3575" s="41" t="n">
        <f aca="false">Sens!$K$3560+Sens!$K$3561+Sens!$K$3562+Sens!$K$3563+Sens!$K$3564+Sens!$K$3565+Sens!$K$3566-Sens!$K$3572</f>
        <v>0</v>
      </c>
      <c r="L3575" s="41" t="n">
        <f aca="false">Sens!$L$3560+Sens!$L$3561+Sens!$L$3562+Sens!$L$3563+Sens!$L$3564+Sens!$L$3565+Sens!$L$3566-Sens!$L$3572</f>
        <v>0</v>
      </c>
      <c r="M3575" s="41" t="n">
        <f aca="false">Sens!$M$3560+Sens!$M$3561+Sens!$M$3562+Sens!$M$3563+Sens!$M$3564+Sens!$M$3565+Sens!$M$3566-Sens!$M$3572</f>
        <v>0</v>
      </c>
      <c r="N3575" s="41" t="n">
        <f aca="false">Sens!$N$3560+Sens!$N$3561+Sens!$N$3562+Sens!$N$3563+Sens!$N$3564+Sens!$N$3565+Sens!$N$3566-Sens!$N$3572</f>
        <v>0</v>
      </c>
      <c r="O3575" s="41" t="n">
        <f aca="false">Sens!$O$3560+Sens!$O$3561+Sens!$O$3562+Sens!$O$3563+Sens!$O$3564+Sens!$O$3565+Sens!$O$3566-Sens!$O$3572</f>
        <v>0</v>
      </c>
    </row>
    <row r="3576" customFormat="false" ht="17.15" hidden="false" customHeight="false" outlineLevel="0" collapsed="false">
      <c r="A3576" s="24" t="s">
        <v>705</v>
      </c>
      <c r="B3576" s="25" t="s">
        <v>86</v>
      </c>
      <c r="C3576" s="41" t="n">
        <f aca="false">Sens!$C$3567+Sens!$C$3568+Sens!$C$3569-Sens!$C$3572</f>
        <v>0</v>
      </c>
      <c r="D3576" s="41" t="n">
        <f aca="false">Sens!$D$3567+Sens!$D$3568+Sens!$D$3569-Sens!$D$3572</f>
        <v>0</v>
      </c>
      <c r="E3576" s="41" t="n">
        <f aca="false">Sens!$E$3567+Sens!$E$3568+Sens!$E$3569-Sens!$E$3572</f>
        <v>0</v>
      </c>
      <c r="F3576" s="41" t="n">
        <f aca="false">Sens!$F$3567+Sens!$F$3568+Sens!$F$3569-Sens!$F$3572</f>
        <v>0</v>
      </c>
      <c r="G3576" s="41" t="n">
        <f aca="false">Sens!$G$3567+Sens!$G$3568+Sens!$G$3569-Sens!$G$3572</f>
        <v>0</v>
      </c>
      <c r="H3576" s="41" t="n">
        <f aca="false">Sens!$H$3567+Sens!$H$3568+Sens!$H$3569-Sens!$H$3572</f>
        <v>0</v>
      </c>
      <c r="I3576" s="41" t="n">
        <f aca="false">Sens!$I$3567+Sens!$I$3568+Sens!$I$3569-Sens!$I$3572</f>
        <v>0</v>
      </c>
      <c r="J3576" s="41" t="n">
        <f aca="false">Sens!$J$3567+Sens!$J$3568+Sens!$J$3569-Sens!$J$3572</f>
        <v>0</v>
      </c>
      <c r="K3576" s="41" t="n">
        <f aca="false">Sens!$K$3567+Sens!$K$3568+Sens!$K$3569-Sens!$K$3572</f>
        <v>0</v>
      </c>
      <c r="L3576" s="41" t="n">
        <f aca="false">Sens!$L$3567+Sens!$L$3568+Sens!$L$3569-Sens!$L$3572</f>
        <v>0</v>
      </c>
      <c r="M3576" s="41" t="n">
        <f aca="false">Sens!$M$3567+Sens!$M$3568+Sens!$M$3569-Sens!$M$3572</f>
        <v>0</v>
      </c>
      <c r="N3576" s="41" t="n">
        <f aca="false">Sens!$N$3567+Sens!$N$3568+Sens!$N$3569-Sens!$N$3572</f>
        <v>0</v>
      </c>
      <c r="O3576" s="41" t="n">
        <f aca="false">Sens!$O$3567+Sens!$O$3568+Sens!$O$3569-Sens!$O$3572</f>
        <v>0</v>
      </c>
    </row>
    <row r="3577" customFormat="false" ht="17.15" hidden="false" customHeight="false" outlineLevel="0" collapsed="false">
      <c r="A3577" s="1" t="s">
        <v>719</v>
      </c>
    </row>
    <row r="3578" customFormat="false" ht="17.15" hidden="false" customHeight="false" outlineLevel="0" collapsed="false">
      <c r="A3578" s="0" t="s">
        <v>720</v>
      </c>
      <c r="B3578" s="0" t="s">
        <v>86</v>
      </c>
      <c r="C3578" s="38" t="n">
        <f aca="false">Sens!$C$3482*m_ad_lo</f>
        <v>16.4273251531383</v>
      </c>
      <c r="D3578" s="38" t="n">
        <f aca="false">Sens!$D$3482*m_ad_lo</f>
        <v>19.897649383967</v>
      </c>
      <c r="E3578" s="38" t="n">
        <f aca="false">Sens!$E$3482*m_ad_lo</f>
        <v>10.8013689969766</v>
      </c>
      <c r="F3578" s="38" t="n">
        <f aca="false">Sens!$F$3482*m_ad_lo</f>
        <v>13.2575779332205</v>
      </c>
      <c r="G3578" s="38" t="n">
        <f aca="false">Sens!$G$3482*m_ad_lo</f>
        <v>24.0656735376332</v>
      </c>
      <c r="H3578" s="38" t="n">
        <f aca="false">Sens!$H$3482*m_ad_lo</f>
        <v>28.8920706621051</v>
      </c>
      <c r="I3578" s="38" t="n">
        <f aca="false">Sens!$I$3482*m_ad_lo</f>
        <v>33.7180305785597</v>
      </c>
      <c r="J3578" s="38" t="n">
        <f aca="false">Sens!$J$3482*m_ad_lo</f>
        <v>38.2199619091755</v>
      </c>
      <c r="K3578" s="38" t="n">
        <f aca="false">Sens!$K$3482*m_ad_lo</f>
        <v>42.041958100093</v>
      </c>
      <c r="L3578" s="38" t="n">
        <f aca="false">Sens!$L$3482*m_ad_lo</f>
        <v>46.2461539101023</v>
      </c>
      <c r="M3578" s="38" t="n">
        <f aca="false">Sens!$M$3482*m_ad_lo</f>
        <v>50.8707693011125</v>
      </c>
      <c r="N3578" s="38" t="n">
        <f aca="false">Sens!$N$3482*m_ad_lo</f>
        <v>8.68348445649986</v>
      </c>
      <c r="O3578" s="38" t="n">
        <f aca="false">Sens!$O$3482*m_ad_lo</f>
        <v>11.2075785457119</v>
      </c>
    </row>
    <row r="3579" customFormat="false" ht="17.15" hidden="false" customHeight="false" outlineLevel="0" collapsed="false">
      <c r="A3579" s="0" t="s">
        <v>721</v>
      </c>
      <c r="B3579" s="0" t="s">
        <v>86</v>
      </c>
      <c r="C3579" s="38" t="n">
        <f aca="false">Sens!$C$3480-Sens!$C$3482</f>
        <v>346.428687117154</v>
      </c>
      <c r="D3579" s="38" t="n">
        <f aca="false">Sens!$D$3480-Sens!$D$3482</f>
        <v>376.560876540083</v>
      </c>
      <c r="E3579" s="38" t="n">
        <f aca="false">Sens!$E$3480-Sens!$E$3482</f>
        <v>193.316577507559</v>
      </c>
      <c r="F3579" s="38" t="n">
        <f aca="false">Sens!$F$3480-Sens!$F$3482</f>
        <v>217.495828647535</v>
      </c>
      <c r="G3579" s="38" t="n">
        <f aca="false">Sens!$G$3480-Sens!$G$3482</f>
        <v>410.795589636503</v>
      </c>
      <c r="H3579" s="38" t="n">
        <f aca="false">Sens!$H$3480-Sens!$H$3482</f>
        <v>449.156813761174</v>
      </c>
      <c r="I3579" s="38" t="n">
        <f aca="false">Sens!$I$3480-Sens!$I$3482</f>
        <v>485.848786441156</v>
      </c>
      <c r="J3579" s="38" t="n">
        <f aca="false">Sens!$J$3480-Sens!$J$3482</f>
        <v>519.841531018994</v>
      </c>
      <c r="K3579" s="38" t="n">
        <f aca="false">Sens!$K$3480-Sens!$K$3482</f>
        <v>550.103332311311</v>
      </c>
      <c r="L3579" s="38" t="n">
        <f aca="false">Sens!$L$3480-Sens!$L$3482</f>
        <v>582.192354474511</v>
      </c>
      <c r="M3579" s="38" t="n">
        <f aca="false">Sens!$M$3480-Sens!$M$3482</f>
        <v>616.22240521081</v>
      </c>
      <c r="N3579" s="38" t="n">
        <f aca="false">Sens!$N$3480-Sens!$N$3482</f>
        <v>171.24628885875</v>
      </c>
      <c r="O3579" s="38" t="n">
        <f aca="false">Sens!$O$3480-Sens!$O$3482</f>
        <v>205.33105363572</v>
      </c>
    </row>
    <row r="3580" customFormat="false" ht="17.15" hidden="false" customHeight="false" outlineLevel="0" collapsed="false">
      <c r="A3580" s="0" t="s">
        <v>722</v>
      </c>
      <c r="B3580" s="0" t="s">
        <v>86</v>
      </c>
      <c r="C3580" s="38" t="n">
        <f aca="false">Sens!$C$3531*Sens!$C$3479</f>
        <v>0.123617442257179</v>
      </c>
      <c r="D3580" s="38" t="n">
        <f aca="false">Sens!$D$3531*Sens!$D$3479</f>
        <v>0.600198046024689</v>
      </c>
      <c r="E3580" s="38" t="n">
        <f aca="false">Sens!$E$3531*Sens!$E$3479</f>
        <v>0.970552432202993</v>
      </c>
      <c r="F3580" s="38" t="n">
        <f aca="false">Sens!$F$3531*Sens!$F$3479</f>
        <v>1.20013524388435</v>
      </c>
      <c r="G3580" s="38" t="n">
        <f aca="false">Sens!$G$3531*Sens!$G$3479</f>
        <v>2.17135369594947</v>
      </c>
      <c r="H3580" s="38" t="n">
        <f aca="false">Sens!$H$3531*Sens!$H$3479</f>
        <v>6.14227489656333</v>
      </c>
      <c r="I3580" s="38" t="n">
        <f aca="false">Sens!$I$3531*Sens!$I$3479</f>
        <v>11.6518054969681</v>
      </c>
      <c r="J3580" s="38" t="n">
        <f aca="false">Sens!$J$3531*Sens!$J$3479</f>
        <v>17.3105301010592</v>
      </c>
      <c r="K3580" s="38" t="n">
        <f aca="false">Sens!$K$3531*Sens!$K$3479</f>
        <v>22.8486728059883</v>
      </c>
      <c r="L3580" s="38" t="n">
        <f aca="false">Sens!$L$3531*Sens!$L$3479</f>
        <v>26.6849171332777</v>
      </c>
      <c r="M3580" s="38" t="n">
        <f aca="false">Sens!$M$3531*Sens!$M$3479</f>
        <v>29.0523240317336</v>
      </c>
      <c r="N3580" s="38" t="n">
        <f aca="false">Sens!$N$3531*Sens!$N$3479</f>
        <v>0.25053229484398</v>
      </c>
      <c r="O3580" s="38" t="n">
        <f aca="false">Sens!$O$3531*Sens!$O$3479</f>
        <v>0.349234376756897</v>
      </c>
    </row>
    <row r="3581" customFormat="false" ht="17.15" hidden="false" customHeight="false" outlineLevel="0" collapsed="false">
      <c r="A3581" s="0" t="s">
        <v>723</v>
      </c>
      <c r="B3581" s="0" t="s">
        <v>52</v>
      </c>
      <c r="C3581" s="28" t="n">
        <f aca="false">(Sens!$C$3582-Sens!$C$3578+Sens!$C$3580)/Sens!$C$3579</f>
        <v>0.0250074333081693</v>
      </c>
      <c r="D3581" s="28" t="n">
        <f aca="false">(Sens!$D$3582-Sens!$D$3578+Sens!$D$3580)/Sens!$D$3579</f>
        <v>0.0274100399300484</v>
      </c>
      <c r="E3581" s="28" t="n">
        <f aca="false">(Sens!$E$3582-Sens!$E$3578+Sens!$E$3580)/Sens!$E$3579</f>
        <v>0.0391026136127972</v>
      </c>
      <c r="F3581" s="28" t="n">
        <f aca="false">Sens!$O$3581+(Sens!$E$3581-Sens!$N$3581)</f>
        <v>0.0366545145885776</v>
      </c>
      <c r="G3581" s="28" t="n">
        <f aca="false">(Sens!$G$3582-Sens!$G$3578+Sens!$G$3580)/Sens!$G$3579</f>
        <v>0.0377933143963548</v>
      </c>
      <c r="H3581" s="28" t="n">
        <f aca="false">Sens!$G$3581+step_na</f>
        <v>0.0407933143963548</v>
      </c>
      <c r="I3581" s="28" t="n">
        <f aca="false">Sens!$H$3581+step_na</f>
        <v>0.0437933143963548</v>
      </c>
      <c r="J3581" s="28" t="n">
        <f aca="false">Sens!$I$3581+step_na</f>
        <v>0.0467933143963548</v>
      </c>
      <c r="K3581" s="28" t="n">
        <f aca="false">Sens!$J$3581+step_na</f>
        <v>0.0497933143963548</v>
      </c>
      <c r="L3581" s="28" t="n">
        <f aca="false">Sens!$K$3581</f>
        <v>0.0497933143963548</v>
      </c>
      <c r="M3581" s="28" t="n">
        <f aca="false">Sens!$L$3581</f>
        <v>0.0497933143963548</v>
      </c>
      <c r="N3581" s="28" t="n">
        <f aca="false">(Sens!$N$3582-Sens!$N$3578+Sens!$N$3580)/Sens!$N$3579</f>
        <v>0.0287600266911855</v>
      </c>
      <c r="O3581" s="28" t="n">
        <f aca="false">(Sens!$O$3582-Sens!$O$3578+Sens!$O$3580)/Sens!$O$3579</f>
        <v>0.026311927666966</v>
      </c>
      <c r="P3581" s="8" t="s">
        <v>724</v>
      </c>
    </row>
    <row r="3582" customFormat="false" ht="17.15" hidden="false" customHeight="false" outlineLevel="0" collapsed="false">
      <c r="A3582" s="1" t="s">
        <v>725</v>
      </c>
      <c r="B3582" s="8" t="s">
        <v>86</v>
      </c>
      <c r="C3582" s="38" t="n">
        <f aca="false">Q!$D$22</f>
        <v>24.967</v>
      </c>
      <c r="D3582" s="38" t="n">
        <f aca="false">Q!$E$22</f>
        <v>29.619</v>
      </c>
      <c r="E3582" s="38" t="n">
        <f aca="false">Q!$P$22</f>
        <v>17.39</v>
      </c>
      <c r="F3582" s="38" t="n">
        <f aca="false">Sens!$F$3578+Sens!$F$3579*Sens!$F$3581-Sens!$F$3580</f>
        <v>20.029646713452</v>
      </c>
      <c r="G3582" s="38" t="n">
        <f aca="false">Sens!$E$3582+Sens!$F$3582</f>
        <v>37.419646713452</v>
      </c>
      <c r="H3582" s="38" t="n">
        <f aca="false">Sens!$H$3578+Sens!$H$3579*Sens!$H$3581-Sens!$H$3580</f>
        <v>41.0723908825663</v>
      </c>
      <c r="I3582" s="38" t="n">
        <f aca="false">Sens!$I$3578+Sens!$I$3579*Sens!$I$3581-Sens!$I$3580</f>
        <v>43.3431537352965</v>
      </c>
      <c r="J3582" s="38" t="n">
        <f aca="false">Sens!$J$3578+Sens!$J$3579*Sens!$J$3581-Sens!$J$3580</f>
        <v>45.2345400053704</v>
      </c>
      <c r="K3582" s="38" t="n">
        <f aca="false">Sens!$K$3578+Sens!$K$3579*Sens!$K$3581-Sens!$K$3580</f>
        <v>46.5847534703643</v>
      </c>
      <c r="L3582" s="38" t="n">
        <f aca="false">Sens!$L$3578+Sens!$L$3579*Sens!$L$3581-Sens!$L$3580</f>
        <v>48.5505237223279</v>
      </c>
      <c r="M3582" s="38" t="n">
        <f aca="false">Sens!$M$3578+Sens!$M$3579*Sens!$M$3581-Sens!$M$3580</f>
        <v>52.5022012301188</v>
      </c>
      <c r="N3582" s="38" t="n">
        <f aca="false">Q!$N$22</f>
        <v>13.358</v>
      </c>
      <c r="O3582" s="38" t="n">
        <f aca="false">Q!$O$22</f>
        <v>16.261</v>
      </c>
    </row>
    <row r="3583" customFormat="false" ht="17.15" hidden="false" customHeight="false" outlineLevel="0" collapsed="false">
      <c r="A3583" s="0" t="s">
        <v>726</v>
      </c>
      <c r="B3583" s="0" t="s">
        <v>86</v>
      </c>
      <c r="C3583" s="38" t="n">
        <f aca="false">Sens!$C$3483*m_ad_lo</f>
        <v>6.05827484686173</v>
      </c>
      <c r="D3583" s="38" t="n">
        <f aca="false">Sens!$D$3483*m_ad_lo</f>
        <v>7.55635061603301</v>
      </c>
      <c r="E3583" s="38" t="n">
        <f aca="false">Sens!$E$3483*m_ad_lo</f>
        <v>4.01943100302343</v>
      </c>
      <c r="F3583" s="38" t="n">
        <f aca="false">Sens!$F$3483*m_ad_lo</f>
        <v>5.20531086454539</v>
      </c>
      <c r="G3583" s="38" t="n">
        <f aca="false">Sens!$G$3483*m_ad_lo</f>
        <v>9.2180152601327</v>
      </c>
      <c r="H3583" s="38" t="n">
        <f aca="false">Sens!$H$3483*m_ad_lo</f>
        <v>11.0666982930539</v>
      </c>
      <c r="I3583" s="38" t="n">
        <f aca="false">Sens!$I$3483*m_ad_lo</f>
        <v>12.9152138596388</v>
      </c>
      <c r="J3583" s="38" t="n">
        <f aca="false">Sens!$J$3483*m_ad_lo</f>
        <v>14.6396148676053</v>
      </c>
      <c r="K3583" s="38" t="n">
        <f aca="false">Sens!$K$3483*m_ad_lo</f>
        <v>16.1035763543658</v>
      </c>
      <c r="L3583" s="38" t="n">
        <f aca="false">Sens!$L$3483*m_ad_lo</f>
        <v>17.7139339898024</v>
      </c>
      <c r="M3583" s="38" t="n">
        <f aca="false">Sens!$M$3483*m_ad_lo</f>
        <v>19.4853273887826</v>
      </c>
      <c r="N3583" s="38" t="n">
        <f aca="false">Sens!$N$3483*m_ad_lo</f>
        <v>3.16251554350015</v>
      </c>
      <c r="O3583" s="38" t="n">
        <f aca="false">Sens!$O$3483*m_ad_lo</f>
        <v>4.40042145428809</v>
      </c>
    </row>
    <row r="3584" customFormat="false" ht="17.15" hidden="false" customHeight="false" outlineLevel="0" collapsed="false">
      <c r="A3584" s="0" t="s">
        <v>727</v>
      </c>
      <c r="B3584" s="0" t="s">
        <v>86</v>
      </c>
      <c r="C3584" s="38" t="n">
        <f aca="false">Sens!$C$3481-Sens!$C$3483</f>
        <v>127.760312882846</v>
      </c>
      <c r="D3584" s="38" t="n">
        <f aca="false">Sens!$D$3481-Sens!$D$3483</f>
        <v>143.003123459917</v>
      </c>
      <c r="E3584" s="38" t="n">
        <f aca="false">Sens!$E$3481-Sens!$E$3483</f>
        <v>71.9374224924414</v>
      </c>
      <c r="F3584" s="38" t="n">
        <f aca="false">Sens!$F$3481-Sens!$F$3483</f>
        <v>85.3951910035875</v>
      </c>
      <c r="G3584" s="38" t="n">
        <f aca="false">Sens!$G$3481-Sens!$G$3483</f>
        <v>157.349430014619</v>
      </c>
      <c r="H3584" s="38" t="n">
        <f aca="false">Sens!$H$3481-Sens!$H$3483</f>
        <v>172.043153372315</v>
      </c>
      <c r="I3584" s="38" t="n">
        <f aca="false">Sens!$I$3481-Sens!$I$3483</f>
        <v>186.097493615879</v>
      </c>
      <c r="J3584" s="38" t="n">
        <f aca="false">Sens!$J$3481-Sens!$J$3483</f>
        <v>199.117932780497</v>
      </c>
      <c r="K3584" s="38" t="n">
        <f aca="false">Sens!$K$3481-Sens!$K$3483</f>
        <v>210.70928698363</v>
      </c>
      <c r="L3584" s="38" t="n">
        <f aca="false">Sens!$L$3481-Sens!$L$3483</f>
        <v>223.000532251316</v>
      </c>
      <c r="M3584" s="38" t="n">
        <f aca="false">Sens!$M$3481-Sens!$M$3483</f>
        <v>236.035261011339</v>
      </c>
      <c r="N3584" s="38" t="n">
        <f aca="false">Sens!$N$3481-Sens!$N$3483</f>
        <v>62.3677111412496</v>
      </c>
      <c r="O3584" s="38" t="n">
        <f aca="false">Sens!$O$3481-Sens!$O$3483</f>
        <v>80.6189463642798</v>
      </c>
    </row>
    <row r="3585" customFormat="false" ht="17.15" hidden="false" customHeight="false" outlineLevel="0" collapsed="false">
      <c r="A3585" s="0" t="s">
        <v>728</v>
      </c>
      <c r="B3585" s="0" t="s">
        <v>86</v>
      </c>
      <c r="C3585" s="38" t="n">
        <f aca="false">Sens!$C$3531*(1-Sens!$C$3479)</f>
        <v>0.0455891896019953</v>
      </c>
      <c r="D3585" s="38" t="n">
        <f aca="false">Sens!$D$3531*(1-Sens!$D$3479)</f>
        <v>0.227931791705753</v>
      </c>
      <c r="E3585" s="38" t="n">
        <f aca="false">Sens!$E$3531*(1-Sens!$E$3479)</f>
        <v>0.361164268820781</v>
      </c>
      <c r="F3585" s="38" t="n">
        <f aca="false">Sens!$F$3531*(1-Sens!$F$3479)</f>
        <v>0.471208018190203</v>
      </c>
      <c r="G3585" s="38" t="n">
        <f aca="false">Sens!$G$3531*(1-Sens!$G$3479)</f>
        <v>0.83170626714885</v>
      </c>
      <c r="H3585" s="38" t="n">
        <f aca="false">Sens!$H$3531*(1-Sens!$H$3479)</f>
        <v>2.35271136874315</v>
      </c>
      <c r="I3585" s="38" t="n">
        <f aca="false">Sens!$I$3531*(1-Sens!$I$3479)</f>
        <v>4.46305900024741</v>
      </c>
      <c r="J3585" s="38" t="n">
        <f aca="false">Sens!$J$3531*(1-Sens!$J$3479)</f>
        <v>6.63055328092195</v>
      </c>
      <c r="K3585" s="38" t="n">
        <f aca="false">Sens!$K$3531*(1-Sens!$K$3479)</f>
        <v>8.75186037365703</v>
      </c>
      <c r="L3585" s="38" t="n">
        <f aca="false">Sens!$L$3531*(1-Sens!$L$3479)</f>
        <v>10.2212794071718</v>
      </c>
      <c r="M3585" s="38" t="n">
        <f aca="false">Sens!$M$3531*(1-Sens!$M$3479)</f>
        <v>11.1280810756472</v>
      </c>
      <c r="N3585" s="38" t="n">
        <f aca="false">Sens!$N$3531*(1-Sens!$N$3479)</f>
        <v>0.0912435878202994</v>
      </c>
      <c r="O3585" s="38" t="n">
        <f aca="false">Sens!$O$3531*(1-Sens!$O$3479)</f>
        <v>0.137119578309265</v>
      </c>
    </row>
    <row r="3586" customFormat="false" ht="17.15" hidden="false" customHeight="false" outlineLevel="0" collapsed="false">
      <c r="A3586" s="0" t="s">
        <v>729</v>
      </c>
      <c r="B3586" s="0" t="s">
        <v>52</v>
      </c>
      <c r="C3586" s="28" t="n">
        <f aca="false">(Sens!$C$3587-Sens!$C$3583+Sens!$C$3585)/Sens!$C$3584</f>
        <v>-0.0173816548124461</v>
      </c>
      <c r="D3586" s="28" t="n">
        <f aca="false">(Sens!$D$3587-Sens!$D$3583+Sens!$D$3585)/Sens!$D$3584</f>
        <v>-0.0180305070402883</v>
      </c>
      <c r="E3586" s="28" t="n">
        <f aca="false">(Sens!$E$3587-Sens!$E$3583+Sens!$E$3585)/Sens!$E$3584</f>
        <v>-0.00719050969969066</v>
      </c>
      <c r="F3586" s="28" t="n">
        <f aca="false">Sens!$O$3586+(Sens!$E$3586-Sens!$N$3586)</f>
        <v>-0.0233166495073412</v>
      </c>
      <c r="G3586" s="28" t="n">
        <f aca="false">(Sens!$G$3587-Sens!$G$3583+Sens!$G$3585)/Sens!$G$3584</f>
        <v>-0.0159030502025923</v>
      </c>
      <c r="H3586" s="28" t="n">
        <f aca="false">Sens!$G$3586+step_in</f>
        <v>-0.0159030502025923</v>
      </c>
      <c r="I3586" s="28" t="n">
        <f aca="false">Sens!$H$3586+step_in</f>
        <v>-0.0159030502025923</v>
      </c>
      <c r="J3586" s="28" t="n">
        <f aca="false">Sens!$I$3586+step_in</f>
        <v>-0.0159030502025923</v>
      </c>
      <c r="K3586" s="28" t="n">
        <f aca="false">Sens!$J$3586+step_in</f>
        <v>-0.0159030502025923</v>
      </c>
      <c r="L3586" s="28" t="n">
        <f aca="false">Sens!$K$3586</f>
        <v>-0.0159030502025923</v>
      </c>
      <c r="M3586" s="28" t="n">
        <f aca="false">Sens!$L$3586</f>
        <v>-0.0159030502025923</v>
      </c>
      <c r="N3586" s="28" t="n">
        <f aca="false">(Sens!$N$3587-Sens!$N$3583+Sens!$N$3585)/Sens!$N$3584</f>
        <v>-0.00898336567796996</v>
      </c>
      <c r="O3586" s="28" t="n">
        <f aca="false">(Sens!$O$3587-Sens!$O$3583+Sens!$O$3585)/Sens!$O$3584</f>
        <v>-0.0251095054856205</v>
      </c>
      <c r="P3586" s="8" t="s">
        <v>724</v>
      </c>
    </row>
    <row r="3587" customFormat="false" ht="17.15" hidden="false" customHeight="false" outlineLevel="0" collapsed="false">
      <c r="A3587" s="1" t="s">
        <v>730</v>
      </c>
      <c r="B3587" s="8" t="s">
        <v>86</v>
      </c>
      <c r="C3587" s="38" t="n">
        <f aca="false">Q!$D$23</f>
        <v>3.792</v>
      </c>
      <c r="D3587" s="38" t="n">
        <f aca="false">Q!$E$23</f>
        <v>4.75</v>
      </c>
      <c r="E3587" s="38" t="n">
        <f aca="false">Q!$P$23</f>
        <v>3.141</v>
      </c>
      <c r="F3587" s="38" t="n">
        <f aca="false">Sens!$F$3583+Sens!$F$3584*Sens!$F$3586-Sens!$F$3585</f>
        <v>2.74297310811208</v>
      </c>
      <c r="G3587" s="38" t="n">
        <f aca="false">Sens!$E$3587+Sens!$F$3587</f>
        <v>5.88397310811208</v>
      </c>
      <c r="H3587" s="38" t="n">
        <f aca="false">Sens!$H$3583+Sens!$H$3584*Sens!$H$3586-Sens!$H$3585</f>
        <v>5.97797601921853</v>
      </c>
      <c r="I3587" s="38" t="n">
        <f aca="false">Sens!$I$3583+Sens!$I$3584*Sens!$I$3586-Sens!$I$3585</f>
        <v>5.4926370758415</v>
      </c>
      <c r="J3587" s="38" t="n">
        <f aca="false">Sens!$J$3583+Sens!$J$3584*Sens!$J$3586-Sens!$J$3585</f>
        <v>4.84247910543868</v>
      </c>
      <c r="K3587" s="38" t="n">
        <f aca="false">Sens!$K$3583+Sens!$K$3584*Sens!$K$3586-Sens!$K$3585</f>
        <v>4.00079561165567</v>
      </c>
      <c r="L3587" s="38" t="n">
        <f aca="false">Sens!$L$3583+Sens!$L$3584*Sens!$L$3586-Sens!$L$3585</f>
        <v>3.94626592303305</v>
      </c>
      <c r="M3587" s="38" t="n">
        <f aca="false">Sens!$M$3583+Sens!$M$3584*Sens!$M$3586-Sens!$M$3585</f>
        <v>4.60356570769011</v>
      </c>
      <c r="N3587" s="38" t="n">
        <f aca="false">Q!$N$23</f>
        <v>2.511</v>
      </c>
      <c r="O3587" s="38" t="n">
        <f aca="false">Q!$O$23</f>
        <v>2.239</v>
      </c>
    </row>
    <row r="3588" customFormat="false" ht="17.15" hidden="false" customHeight="false" outlineLevel="0" collapsed="false">
      <c r="A3588" s="0" t="s">
        <v>731</v>
      </c>
      <c r="B3588" s="0" t="s">
        <v>86</v>
      </c>
      <c r="C3588" s="38" t="n">
        <f aca="false">Sens!$C$3528</f>
        <v>1.64417882953695</v>
      </c>
      <c r="D3588" s="38" t="n">
        <f aca="false">Sens!$D$3528</f>
        <v>5.39125073772939</v>
      </c>
      <c r="E3588" s="38" t="n">
        <f aca="false">Sens!$E$3528</f>
        <v>3.18348617147493</v>
      </c>
      <c r="F3588" s="38" t="n">
        <f aca="false">Sens!$F$3528</f>
        <v>8.27806059642226</v>
      </c>
      <c r="G3588" s="38" t="n">
        <f aca="false">Sens!$G$3528</f>
        <v>11.4615467678972</v>
      </c>
      <c r="H3588" s="38" t="n">
        <f aca="false">Sens!$H$3528</f>
        <v>26.1859456885487</v>
      </c>
      <c r="I3588" s="38" t="n">
        <f aca="false">Sens!$I$3528</f>
        <v>37.04424114757</v>
      </c>
      <c r="J3588" s="38" t="n">
        <f aca="false">Sens!$J$3528</f>
        <v>47.2610736233534</v>
      </c>
      <c r="K3588" s="38" t="n">
        <f aca="false">Sens!$K$3528</f>
        <v>52.0459876645985</v>
      </c>
      <c r="L3588" s="38" t="n">
        <f aca="false">Sens!$L$3528</f>
        <v>54.1033156405981</v>
      </c>
      <c r="M3588" s="38" t="n">
        <f aca="false">Sens!$M$3528</f>
        <v>52.1138209393421</v>
      </c>
      <c r="N3588" s="38" t="n">
        <f aca="false">Sens!$N$3528</f>
        <v>1.67921600037079</v>
      </c>
      <c r="O3588" s="38" t="n">
        <f aca="false">Sens!$O$3528</f>
        <v>3.71203473735861</v>
      </c>
    </row>
    <row r="3589" customFormat="false" ht="17.15" hidden="false" customHeight="false" outlineLevel="0" collapsed="false">
      <c r="A3589" s="0" t="s">
        <v>649</v>
      </c>
      <c r="B3589" s="0" t="s">
        <v>86</v>
      </c>
      <c r="C3589" s="38" t="n">
        <f aca="false">Sens!$C$3533</f>
        <v>38.1898211704631</v>
      </c>
      <c r="D3589" s="38" t="n">
        <f aca="false">Sens!$D$3533</f>
        <v>40.2147492622706</v>
      </c>
      <c r="E3589" s="38" t="n">
        <f aca="false">Sens!$E$3533</f>
        <v>27.5985138285251</v>
      </c>
      <c r="F3589" s="38" t="n">
        <f aca="false">Sens!$F$3533</f>
        <v>25.5484769754606</v>
      </c>
      <c r="G3589" s="38" t="n">
        <f aca="false">Sens!$G$3533</f>
        <v>53.1469908039857</v>
      </c>
      <c r="H3589" s="38" t="n">
        <f aca="false">Sens!$H$3533</f>
        <v>57.3189525076539</v>
      </c>
      <c r="I3589" s="38" t="n">
        <f aca="false">Sens!$I$3533</f>
        <v>63.6385627021087</v>
      </c>
      <c r="J3589" s="38" t="n">
        <f aca="false">Sens!$J$3533</f>
        <v>69.6922896066105</v>
      </c>
      <c r="K3589" s="38" t="n">
        <f aca="false">Sens!$K$3533</f>
        <v>75.2676727751394</v>
      </c>
      <c r="L3589" s="38" t="n">
        <f aca="false">Sens!$L$3533</f>
        <v>81.2890865971505</v>
      </c>
      <c r="M3589" s="38" t="n">
        <f aca="false">Sens!$M$3533</f>
        <v>87.7922135249226</v>
      </c>
      <c r="N3589" s="38" t="n">
        <f aca="false">Sens!$N$3533</f>
        <v>20.0277839996292</v>
      </c>
      <c r="O3589" s="38" t="n">
        <f aca="false">Sens!$O$3533</f>
        <v>20.1869652626414</v>
      </c>
    </row>
    <row r="3590" customFormat="false" ht="17.15" hidden="false" customHeight="false" outlineLevel="0" collapsed="false">
      <c r="A3590" s="1" t="s">
        <v>732</v>
      </c>
      <c r="B3590" s="8" t="s">
        <v>86</v>
      </c>
      <c r="C3590" s="38" t="n">
        <f aca="false">Q!$D$24</f>
        <v>39.834</v>
      </c>
      <c r="D3590" s="38" t="n">
        <f aca="false">Q!$E$24</f>
        <v>45.606</v>
      </c>
      <c r="E3590" s="38" t="n">
        <f aca="false">Q!$P$24</f>
        <v>30.782</v>
      </c>
      <c r="F3590" s="38" t="n">
        <f aca="false">Sens!$F$3588+Sens!$F$3589</f>
        <v>33.8265375718829</v>
      </c>
      <c r="G3590" s="38" t="n">
        <f aca="false">Sens!$G$3588+Sens!$G$3589</f>
        <v>64.6085375718829</v>
      </c>
      <c r="H3590" s="38" t="n">
        <f aca="false">Sens!$H$3588+Sens!$H$3589</f>
        <v>83.5048981962026</v>
      </c>
      <c r="I3590" s="38" t="n">
        <f aca="false">Sens!$I$3588+Sens!$I$3589</f>
        <v>100.682803849679</v>
      </c>
      <c r="J3590" s="38" t="n">
        <f aca="false">Sens!$J$3588+Sens!$J$3589</f>
        <v>116.953363229964</v>
      </c>
      <c r="K3590" s="38" t="n">
        <f aca="false">Sens!$K$3588+Sens!$K$3589</f>
        <v>127.313660439738</v>
      </c>
      <c r="L3590" s="38" t="n">
        <f aca="false">Sens!$L$3588+Sens!$L$3589</f>
        <v>135.392402237749</v>
      </c>
      <c r="M3590" s="38" t="n">
        <f aca="false">Sens!$M$3588+Sens!$M$3589</f>
        <v>139.906034464265</v>
      </c>
      <c r="N3590" s="38" t="n">
        <f aca="false">Q!$N$24</f>
        <v>21.707</v>
      </c>
      <c r="O3590" s="38" t="n">
        <f aca="false">Q!$O$24</f>
        <v>23.899</v>
      </c>
    </row>
    <row r="3591" customFormat="false" ht="17.15" hidden="false" customHeight="false" outlineLevel="0" collapsed="false">
      <c r="A3591" s="5" t="s">
        <v>733</v>
      </c>
      <c r="B3591" s="0" t="s">
        <v>86</v>
      </c>
      <c r="C3591" s="38" t="n">
        <f aca="false">Q!$D$26</f>
        <v>0</v>
      </c>
      <c r="D3591" s="38" t="n">
        <f aca="false">Q!$E$26</f>
        <v>0</v>
      </c>
      <c r="E3591" s="38" t="n">
        <f aca="false">Q!$P$26</f>
        <v>0</v>
      </c>
      <c r="F3591" s="39" t="n">
        <v>0</v>
      </c>
      <c r="G3591" s="38" t="n">
        <f aca="false">Sens!$E$3591+Sens!$F$3591</f>
        <v>0</v>
      </c>
      <c r="H3591" s="39" t="n">
        <v>0</v>
      </c>
      <c r="I3591" s="39" t="n">
        <v>0</v>
      </c>
      <c r="J3591" s="39" t="n">
        <v>0</v>
      </c>
      <c r="K3591" s="39" t="n">
        <v>0</v>
      </c>
      <c r="L3591" s="39" t="n">
        <v>0</v>
      </c>
      <c r="M3591" s="39" t="n">
        <v>0</v>
      </c>
      <c r="N3591" s="38" t="n">
        <f aca="false">Q!$N$26</f>
        <v>0</v>
      </c>
      <c r="O3591" s="38" t="n">
        <f aca="false">Q!$O$26</f>
        <v>0</v>
      </c>
    </row>
    <row r="3592" customFormat="false" ht="15" hidden="false" customHeight="false" outlineLevel="0" collapsed="false">
      <c r="A3592" s="3" t="s">
        <v>534</v>
      </c>
      <c r="B3592" s="8" t="s">
        <v>86</v>
      </c>
      <c r="C3592" s="38" t="n">
        <f aca="false">Q!$D$25</f>
        <v>68.593</v>
      </c>
      <c r="D3592" s="38" t="n">
        <f aca="false">Q!$E$25</f>
        <v>79.975</v>
      </c>
      <c r="E3592" s="38" t="n">
        <f aca="false">Q!$P$25</f>
        <v>51.313</v>
      </c>
      <c r="F3592" s="38" t="n">
        <f aca="false">Sens!$F$3582+Sens!$F$3587+Sens!$F$3590+Sens!$F$3591</f>
        <v>56.599157393447</v>
      </c>
      <c r="G3592" s="38" t="n">
        <f aca="false">Sens!$G$3582+Sens!$G$3587+Sens!$G$3590+Sens!$G$3591</f>
        <v>107.912157393447</v>
      </c>
      <c r="H3592" s="38" t="n">
        <f aca="false">Sens!$H$3582+Sens!$H$3587+Sens!$H$3590+Sens!$H$3591</f>
        <v>130.555265097987</v>
      </c>
      <c r="I3592" s="38" t="n">
        <f aca="false">Sens!$I$3582+Sens!$I$3587+Sens!$I$3590+Sens!$I$3591</f>
        <v>149.518594660817</v>
      </c>
      <c r="J3592" s="38" t="n">
        <f aca="false">Sens!$J$3582+Sens!$J$3587+Sens!$J$3590+Sens!$J$3591</f>
        <v>167.030382340773</v>
      </c>
      <c r="K3592" s="38" t="n">
        <f aca="false">Sens!$K$3582+Sens!$K$3587+Sens!$K$3590+Sens!$K$3591</f>
        <v>177.899209521758</v>
      </c>
      <c r="L3592" s="38" t="n">
        <f aca="false">Sens!$L$3582+Sens!$L$3587+Sens!$L$3590+Sens!$L$3591</f>
        <v>187.88919188311</v>
      </c>
      <c r="M3592" s="38" t="n">
        <f aca="false">Sens!$M$3582+Sens!$M$3587+Sens!$M$3590+Sens!$M$3591</f>
        <v>197.011801402073</v>
      </c>
      <c r="N3592" s="38" t="n">
        <f aca="false">Q!$N$25</f>
        <v>37.576</v>
      </c>
      <c r="O3592" s="38" t="n">
        <f aca="false">Q!$O$25</f>
        <v>42.399</v>
      </c>
    </row>
    <row r="3593" customFormat="false" ht="17.15" hidden="false" customHeight="false" outlineLevel="0" collapsed="false">
      <c r="A3593" s="24" t="s">
        <v>764</v>
      </c>
      <c r="B3593" s="25" t="s">
        <v>86</v>
      </c>
      <c r="C3593" s="41" t="n">
        <f aca="false">Sens!$C$3582+Sens!$C$3587+Sens!$C$3590+Sens!$C$3591-Sens!$C$3592</f>
        <v>0</v>
      </c>
      <c r="D3593" s="41" t="n">
        <f aca="false">Sens!$D$3582+Sens!$D$3587+Sens!$D$3590+Sens!$D$3591-Sens!$D$3592</f>
        <v>0</v>
      </c>
      <c r="E3593" s="41" t="n">
        <f aca="false">Sens!$E$3582+Sens!$E$3587+Sens!$E$3590+Sens!$E$3591-Sens!$E$3592</f>
        <v>0</v>
      </c>
      <c r="F3593" s="41" t="n">
        <f aca="false">Sens!$F$3582+Sens!$F$3587+Sens!$F$3590+Sens!$F$3591-Sens!$F$3592</f>
        <v>0</v>
      </c>
      <c r="G3593" s="41" t="n">
        <f aca="false">Sens!$G$3582+Sens!$G$3587+Sens!$G$3590+Sens!$G$3591-Sens!$G$3592</f>
        <v>0</v>
      </c>
      <c r="H3593" s="41" t="n">
        <f aca="false">Sens!$H$3582+Sens!$H$3587+Sens!$H$3590+Sens!$H$3591-Sens!$H$3592</f>
        <v>0</v>
      </c>
      <c r="I3593" s="41" t="n">
        <f aca="false">Sens!$I$3582+Sens!$I$3587+Sens!$I$3590+Sens!$I$3591-Sens!$I$3592</f>
        <v>0</v>
      </c>
      <c r="J3593" s="41" t="n">
        <f aca="false">Sens!$J$3582+Sens!$J$3587+Sens!$J$3590+Sens!$J$3591-Sens!$J$3592</f>
        <v>0</v>
      </c>
      <c r="K3593" s="41" t="n">
        <f aca="false">Sens!$K$3582+Sens!$K$3587+Sens!$K$3590+Sens!$K$3591-Sens!$K$3592</f>
        <v>0</v>
      </c>
      <c r="L3593" s="41" t="n">
        <f aca="false">Sens!$L$3582+Sens!$L$3587+Sens!$L$3590+Sens!$L$3591-Sens!$L$3592</f>
        <v>0</v>
      </c>
      <c r="M3593" s="41" t="n">
        <f aca="false">Sens!$M$3582+Sens!$M$3587+Sens!$M$3590+Sens!$M$3591-Sens!$M$3592</f>
        <v>0</v>
      </c>
      <c r="N3593" s="41" t="n">
        <f aca="false">Sens!$N$3582+Sens!$N$3587+Sens!$N$3590+Sens!$N$3591-Sens!$N$3592</f>
        <v>0</v>
      </c>
      <c r="O3593" s="41" t="n">
        <f aca="false">Sens!$O$3582+Sens!$O$3587+Sens!$O$3590+Sens!$O$3591-Sens!$O$3592</f>
        <v>0</v>
      </c>
    </row>
    <row r="3594" customFormat="false" ht="17.15" hidden="false" customHeight="false" outlineLevel="0" collapsed="false">
      <c r="A3594" s="5" t="s">
        <v>735</v>
      </c>
      <c r="B3594" s="0" t="s">
        <v>86</v>
      </c>
      <c r="C3594" s="38" t="n">
        <f aca="false">Sens!$C$3530</f>
        <v>0</v>
      </c>
      <c r="D3594" s="38" t="n">
        <f aca="false">Sens!$D$3530</f>
        <v>0</v>
      </c>
      <c r="E3594" s="38" t="n">
        <f aca="false">Sens!$E$3530</f>
        <v>0</v>
      </c>
      <c r="F3594" s="38" t="n">
        <f aca="false">Sens!$F$3530</f>
        <v>3.77122048175818</v>
      </c>
      <c r="G3594" s="38" t="n">
        <f aca="false">Sens!$G$3530</f>
        <v>3.77122048175818</v>
      </c>
      <c r="H3594" s="38" t="n">
        <f aca="false">Sens!$H$3530</f>
        <v>15.1635543609893</v>
      </c>
      <c r="I3594" s="38" t="n">
        <f aca="false">Sens!$I$3530</f>
        <v>25.5818843619889</v>
      </c>
      <c r="J3594" s="38" t="n">
        <f aca="false">Sens!$J$3530</f>
        <v>36.0465624179122</v>
      </c>
      <c r="K3594" s="38" t="n">
        <f aca="false">Sens!$K$3530</f>
        <v>44.9741164026038</v>
      </c>
      <c r="L3594" s="38" t="n">
        <f aca="false">Sens!$L$3530</f>
        <v>50.8413488057813</v>
      </c>
      <c r="M3594" s="38" t="n">
        <f aca="false">Sens!$M$3530</f>
        <v>53.6407214274315</v>
      </c>
      <c r="N3594" s="38" t="n">
        <f aca="false">Sens!$N$3530</f>
        <v>0</v>
      </c>
      <c r="O3594" s="38" t="n">
        <f aca="false">Sens!$O$3530</f>
        <v>0</v>
      </c>
      <c r="P3594" s="5" t="s">
        <v>736</v>
      </c>
    </row>
    <row r="3595" customFormat="false" ht="17.15" hidden="false" customHeight="false" outlineLevel="0" collapsed="false">
      <c r="A3595" s="5" t="s">
        <v>737</v>
      </c>
      <c r="B3595" s="0" t="s">
        <v>86</v>
      </c>
      <c r="C3595" s="38" t="n">
        <f aca="false">Sens!$C$3592+Sens!$C$3594</f>
        <v>68.593</v>
      </c>
      <c r="D3595" s="38" t="n">
        <f aca="false">Sens!$D$3592+Sens!$D$3594</f>
        <v>79.975</v>
      </c>
      <c r="E3595" s="38" t="n">
        <f aca="false">Sens!$E$3592+Sens!$E$3594</f>
        <v>51.313</v>
      </c>
      <c r="F3595" s="38" t="n">
        <f aca="false">Sens!$F$3592+Sens!$F$3594</f>
        <v>60.3703778752052</v>
      </c>
      <c r="G3595" s="38" t="n">
        <f aca="false">Sens!$G$3592+Sens!$G$3594</f>
        <v>111.683377875205</v>
      </c>
      <c r="H3595" s="38" t="n">
        <f aca="false">Sens!$H$3592+Sens!$H$3594</f>
        <v>145.718819458977</v>
      </c>
      <c r="I3595" s="38" t="n">
        <f aca="false">Sens!$I$3592+Sens!$I$3594</f>
        <v>175.100479022806</v>
      </c>
      <c r="J3595" s="38" t="n">
        <f aca="false">Sens!$J$3592+Sens!$J$3594</f>
        <v>203.076944758685</v>
      </c>
      <c r="K3595" s="38" t="n">
        <f aca="false">Sens!$K$3592+Sens!$K$3594</f>
        <v>222.873325924362</v>
      </c>
      <c r="L3595" s="38" t="n">
        <f aca="false">Sens!$L$3592+Sens!$L$3594</f>
        <v>238.730540688891</v>
      </c>
      <c r="M3595" s="38" t="n">
        <f aca="false">Sens!$M$3592+Sens!$M$3594</f>
        <v>250.652522829505</v>
      </c>
      <c r="N3595" s="38" t="n">
        <f aca="false">Sens!$N$3592+Sens!$N$3594</f>
        <v>37.576</v>
      </c>
      <c r="O3595" s="38" t="n">
        <f aca="false">Sens!$O$3592+Sens!$O$3594</f>
        <v>42.399</v>
      </c>
    </row>
    <row r="3596" customFormat="false" ht="17.15" hidden="false" customHeight="false" outlineLevel="0" collapsed="false">
      <c r="A3596" s="0" t="s">
        <v>738</v>
      </c>
      <c r="B3596" s="0" t="s">
        <v>52</v>
      </c>
      <c r="C3596" s="13" t="n">
        <f aca="false">Sens!$C$3582/Sens!$C$3567</f>
        <v>0.0644314665661928</v>
      </c>
      <c r="D3596" s="13" t="n">
        <f aca="false">Sens!$D$3582/Sens!$D$3567</f>
        <v>0.0694784250712518</v>
      </c>
      <c r="E3596" s="13" t="n">
        <f aca="false">Sens!$E$3582/Sens!$E$3567</f>
        <v>0.0789306463326071</v>
      </c>
      <c r="F3596" s="13" t="n">
        <f aca="false">Sens!$F$3582/Sens!$F$3567</f>
        <v>0.0799140792193681</v>
      </c>
      <c r="G3596" s="13" t="n">
        <f aca="false">Sens!$G$3582/Sens!$G$3567</f>
        <v>0.0794540188366949</v>
      </c>
      <c r="H3596" s="13" t="n">
        <f aca="false">Sens!$H$3582/Sens!$H$3567</f>
        <v>0.078775250701521</v>
      </c>
      <c r="I3596" s="13" t="n">
        <f aca="false">Sens!$I$3582/Sens!$I$3567</f>
        <v>0.0760214334602857</v>
      </c>
      <c r="J3596" s="13" t="n">
        <f aca="false">Sens!$J$3582/Sens!$J$3567</f>
        <v>0.0735053128374449</v>
      </c>
      <c r="K3596" s="13" t="n">
        <f aca="false">Sens!$K$3582/Sens!$K$3567</f>
        <v>0.0710991582687179</v>
      </c>
      <c r="L3596" s="13" t="n">
        <f aca="false">Sens!$L$3582/Sens!$L$3567</f>
        <v>0.0695757885610813</v>
      </c>
      <c r="M3596" s="13" t="n">
        <f aca="false">Sens!$M$3582/Sens!$M$3567</f>
        <v>0.0706244937544224</v>
      </c>
      <c r="N3596" s="13" t="n">
        <f aca="false">Sens!$N$3582/Sens!$N$3567</f>
        <v>0.069228576611127</v>
      </c>
      <c r="O3596" s="13" t="n">
        <f aca="false">Sens!$O$3582/Sens!$O$3567</f>
        <v>0.069685022498393</v>
      </c>
    </row>
    <row r="3597" customFormat="false" ht="17.15" hidden="false" customHeight="false" outlineLevel="0" collapsed="false">
      <c r="A3597" s="0" t="s">
        <v>739</v>
      </c>
      <c r="B3597" s="0" t="s">
        <v>52</v>
      </c>
      <c r="C3597" s="13" t="n">
        <f aca="false">Sens!$C$3587/Sens!$C$3568</f>
        <v>0.026534925055631</v>
      </c>
      <c r="D3597" s="13" t="n">
        <f aca="false">Sens!$D$3587/Sens!$D$3568</f>
        <v>0.0293401855535103</v>
      </c>
      <c r="E3597" s="13" t="n">
        <f aca="false">Sens!$E$3587/Sens!$E$3568</f>
        <v>0.03831141902276</v>
      </c>
      <c r="F3597" s="13" t="n">
        <f aca="false">Sens!$F$3587/Sens!$F$3568</f>
        <v>0.0278733442280022</v>
      </c>
      <c r="G3597" s="13" t="n">
        <f aca="false">Sens!$G$3587/Sens!$G$3568</f>
        <v>0.0326172590987204</v>
      </c>
      <c r="H3597" s="13" t="n">
        <f aca="false">Sens!$H$3587/Sens!$H$3568</f>
        <v>0.0299332984794963</v>
      </c>
      <c r="I3597" s="13" t="n">
        <f aca="false">Sens!$I$3587/Sens!$I$3568</f>
        <v>0.0251511037360363</v>
      </c>
      <c r="J3597" s="13" t="n">
        <f aca="false">Sens!$J$3587/Sens!$J$3568</f>
        <v>0.0205436168065283</v>
      </c>
      <c r="K3597" s="13" t="n">
        <f aca="false">Sens!$K$3587/Sens!$K$3568</f>
        <v>0.0159414426504032</v>
      </c>
      <c r="L3597" s="13" t="n">
        <f aca="false">Sens!$L$3587/Sens!$L$3568</f>
        <v>0.0147642422927663</v>
      </c>
      <c r="M3597" s="13" t="n">
        <f aca="false">Sens!$M$3587/Sens!$M$3568</f>
        <v>0.0161671244016168</v>
      </c>
      <c r="N3597" s="13" t="n">
        <f aca="false">Sens!$N$3587/Sens!$N$3568</f>
        <v>0.0357315650169337</v>
      </c>
      <c r="O3597" s="13" t="n">
        <f aca="false">Sens!$O$3587/Sens!$O$3568</f>
        <v>0.0244378956559703</v>
      </c>
    </row>
    <row r="3598" customFormat="false" ht="17.15" hidden="false" customHeight="false" outlineLevel="0" collapsed="false">
      <c r="A3598" s="14" t="s">
        <v>740</v>
      </c>
      <c r="B3598" s="14" t="s">
        <v>52</v>
      </c>
      <c r="C3598" s="17" t="n">
        <f aca="false">Sens!$C$3590/Sens!$C$3569</f>
        <v>0.370355907620217</v>
      </c>
      <c r="D3598" s="17" t="n">
        <f aca="false">Sens!$D$3590/Sens!$D$3569</f>
        <v>0.35429015342785</v>
      </c>
      <c r="E3598" s="17" t="n">
        <f aca="false">Sens!$E$3590/Sens!$E$3569</f>
        <v>0.385647527531039</v>
      </c>
      <c r="F3598" s="17" t="n">
        <f aca="false">Sens!$F$3590/Sens!$F$3569</f>
        <v>0.390008895496028</v>
      </c>
      <c r="G3598" s="17" t="n">
        <f aca="false">Sens!$G$3590/Sens!$G$3569</f>
        <v>0.387918733944362</v>
      </c>
      <c r="H3598" s="17" t="n">
        <f aca="false">Sens!$H$3590/Sens!$H$3569</f>
        <v>0.377537651365497</v>
      </c>
      <c r="I3598" s="17" t="n">
        <f aca="false">Sens!$I$3590/Sens!$I$3569</f>
        <v>0.359230604038662</v>
      </c>
      <c r="J3598" s="17" t="n">
        <f aca="false">Sens!$J$3590/Sens!$J$3569</f>
        <v>0.345197865849801</v>
      </c>
      <c r="K3598" s="17" t="n">
        <f aca="false">Sens!$K$3590/Sens!$K$3569</f>
        <v>0.32654098357242</v>
      </c>
      <c r="L3598" s="17" t="n">
        <f aca="false">Sens!$L$3590/Sens!$L$3569</f>
        <v>0.314806978274702</v>
      </c>
      <c r="M3598" s="17" t="n">
        <f aca="false">Sens!$M$3590/Sens!$M$3569</f>
        <v>0.304503505485029</v>
      </c>
      <c r="N3598" s="17" t="n">
        <f aca="false">Sens!$N$3590/Sens!$N$3569</f>
        <v>0.360941137346192</v>
      </c>
      <c r="O3598" s="17" t="n">
        <f aca="false">Sens!$O$3590/Sens!$O$3569</f>
        <v>0.348458117664212</v>
      </c>
    </row>
    <row r="3599" customFormat="false" ht="17.15" hidden="false" customHeight="false" outlineLevel="0" collapsed="false">
      <c r="A3599" s="0" t="s">
        <v>741</v>
      </c>
      <c r="B3599" s="0" t="s">
        <v>52</v>
      </c>
      <c r="C3599" s="13" t="n">
        <f aca="false">Sens!$C$3588/Sens!$C$3570</f>
        <v>0.708390794789371</v>
      </c>
      <c r="D3599" s="13" t="n">
        <f aca="false">Sens!$D$3588/Sens!$D$3570</f>
        <v>0.619415573115729</v>
      </c>
      <c r="E3599" s="13" t="n">
        <f aca="false">Sens!$E$3588/Sens!$E$3570</f>
        <v>0.374072166056273</v>
      </c>
      <c r="F3599" s="13" t="n">
        <f aca="false">Sens!$F$3588/Sens!$F$3570</f>
        <v>0.553219320710057</v>
      </c>
      <c r="G3599" s="13" t="n">
        <f aca="false">Sens!$G$3588/Sens!$G$3570</f>
        <v>0.488270041527512</v>
      </c>
      <c r="H3599" s="13" t="n">
        <f aca="false">Sens!$H$3588/Sens!$H$3570</f>
        <v>0.435229086816882</v>
      </c>
      <c r="I3599" s="13" t="n">
        <f aca="false">Sens!$I$3588/Sens!$I$3570</f>
        <v>0.364954592421095</v>
      </c>
      <c r="J3599" s="13" t="n">
        <f aca="false">Sens!$J$3588/Sens!$J$3570</f>
        <v>0.330438308582232</v>
      </c>
      <c r="K3599" s="13" t="n">
        <f aca="false">Sens!$K$3588/Sens!$K$3570</f>
        <v>0.2916589289528</v>
      </c>
      <c r="L3599" s="13" t="n">
        <f aca="false">Sens!$L$3588/Sens!$L$3570</f>
        <v>0.268199200593258</v>
      </c>
      <c r="M3599" s="13" t="n">
        <f aca="false">Sens!$M$3588/Sens!$M$3570</f>
        <v>0.244854995033574</v>
      </c>
      <c r="N3599" s="13" t="n">
        <f aca="false">Sens!$N$3588/Sens!$N$3570</f>
        <v>0.551227795793364</v>
      </c>
      <c r="O3599" s="13" t="n">
        <f aca="false">Sens!$O$3588/Sens!$O$3570</f>
        <v>0.656132068597002</v>
      </c>
    </row>
    <row r="3600" customFormat="false" ht="15" hidden="false" customHeight="false" outlineLevel="0" collapsed="false">
      <c r="A3600" s="5" t="s">
        <v>742</v>
      </c>
      <c r="B3600" s="0" t="s">
        <v>52</v>
      </c>
      <c r="C3600" s="13" t="n">
        <f aca="false">Sens!$C$3592/Sens!$C$3572</f>
        <v>0.107519448742004</v>
      </c>
      <c r="D3600" s="13" t="n">
        <f aca="false">Sens!$D$3592/Sens!$D$3572</f>
        <v>0.111552967957552</v>
      </c>
      <c r="E3600" s="13" t="n">
        <f aca="false">Sens!$E$3592/Sens!$E$3572</f>
        <v>0.13428328426562</v>
      </c>
      <c r="F3600" s="13" t="n">
        <f aca="false">Sens!$F$3592/Sens!$F$3572</f>
        <v>0.129879826402407</v>
      </c>
      <c r="G3600" s="13" t="n">
        <f aca="false">Sens!$G$3592/Sens!$G$3572</f>
        <v>0.131937118300545</v>
      </c>
      <c r="H3600" s="13" t="n">
        <f aca="false">Sens!$H$3592/Sens!$H$3572</f>
        <v>0.138552537316357</v>
      </c>
      <c r="I3600" s="13" t="n">
        <f aca="false">Sens!$I$3592/Sens!$I$3572</f>
        <v>0.13989352169798</v>
      </c>
      <c r="J3600" s="13" t="n">
        <f aca="false">Sens!$J$3592/Sens!$J$3572</f>
        <v>0.140372358792723</v>
      </c>
      <c r="K3600" s="13" t="n">
        <f aca="false">Sens!$K$3592/Sens!$K$3572</f>
        <v>0.137261325449653</v>
      </c>
      <c r="L3600" s="13" t="n">
        <f aca="false">Sens!$L$3592/Sens!$L$3572</f>
        <v>0.134670814805551</v>
      </c>
      <c r="M3600" s="13" t="n">
        <f aca="false">Sens!$M$3592/Sens!$M$3572</f>
        <v>0.132435636328462</v>
      </c>
      <c r="N3600" s="13" t="n">
        <f aca="false">Sens!$N$3592/Sens!$N$3572</f>
        <v>0.116201614873411</v>
      </c>
      <c r="O3600" s="13" t="n">
        <f aca="false">Sens!$O$3592/Sens!$O$3572</f>
        <v>0.107733353660861</v>
      </c>
    </row>
    <row r="3601" customFormat="false" ht="17.15" hidden="false" customHeight="false" outlineLevel="0" collapsed="false">
      <c r="A3601" s="1" t="s">
        <v>743</v>
      </c>
    </row>
    <row r="3602" customFormat="false" ht="17.15" hidden="false" customHeight="false" outlineLevel="0" collapsed="false">
      <c r="A3602" s="5" t="s">
        <v>744</v>
      </c>
      <c r="B3602" s="0" t="s">
        <v>52</v>
      </c>
      <c r="D3602" s="28" t="n">
        <f aca="false">(Q!$E$29+Q!$E$30-(1-ext_sh)*Sens!$D$3524)/Sens!$D$3478</f>
        <v>0.0341105596409988</v>
      </c>
    </row>
    <row r="3603" customFormat="false" ht="17.15" hidden="false" customHeight="false" outlineLevel="0" collapsed="false">
      <c r="A3603" s="0" t="s">
        <v>538</v>
      </c>
      <c r="B3603" s="0" t="s">
        <v>86</v>
      </c>
      <c r="C3603" s="38" t="n">
        <f aca="false">Q!$D$29</f>
        <v>14.285</v>
      </c>
      <c r="D3603" s="38" t="n">
        <f aca="false">Q!$E$29</f>
        <v>15.503</v>
      </c>
      <c r="E3603" s="38" t="n">
        <f aca="false">Q!$P$29</f>
        <v>8.78</v>
      </c>
      <c r="F3603" s="38" t="n">
        <f aca="false">(Sens!$D$3602*Sens!$F$3478+(1-ext_sh)*Sens!$F$3524)*Sens!$F$3479</f>
        <v>9.16735846116642</v>
      </c>
      <c r="G3603" s="38" t="n">
        <f aca="false">Sens!$E$3603+Sens!$F$3603</f>
        <v>17.9473584611664</v>
      </c>
      <c r="H3603" s="38" t="n">
        <f aca="false">(Sens!$D$3602*Sens!$H$3478+(1-ext_sh)*Sens!$H$3524)*Sens!$H$3479</f>
        <v>21.6406723110177</v>
      </c>
      <c r="I3603" s="38" t="n">
        <f aca="false">(Sens!$D$3602*Sens!$I$3478+(1-ext_sh)*Sens!$I$3524)*Sens!$I$3479</f>
        <v>27.3128215555087</v>
      </c>
      <c r="J3603" s="38" t="n">
        <f aca="false">(Sens!$D$3602*Sens!$J$3478+(1-ext_sh)*Sens!$J$3524)*Sens!$J$3479</f>
        <v>33.0116861885756</v>
      </c>
      <c r="K3603" s="38" t="n">
        <f aca="false">(Sens!$D$3602*Sens!$K$3478+(1-ext_sh)*Sens!$K$3524)*Sens!$K$3479</f>
        <v>38.6250238720245</v>
      </c>
      <c r="L3603" s="38" t="n">
        <f aca="false">(Sens!$D$3602*Sens!$L$3478+(1-ext_sh)*Sens!$L$3524)*Sens!$L$3479</f>
        <v>43.0711535197861</v>
      </c>
      <c r="M3603" s="38" t="n">
        <f aca="false">(Sens!$D$3602*Sens!$M$3478+(1-ext_sh)*Sens!$M$3524)*Sens!$M$3479</f>
        <v>46.590728630326</v>
      </c>
      <c r="N3603" s="38" t="n">
        <f aca="false">Q!$N$29</f>
        <v>7.272</v>
      </c>
      <c r="O3603" s="38" t="n">
        <f aca="false">Q!$O$29</f>
        <v>8.231</v>
      </c>
    </row>
    <row r="3604" customFormat="false" ht="17.15" hidden="false" customHeight="false" outlineLevel="0" collapsed="false">
      <c r="A3604" s="0" t="s">
        <v>540</v>
      </c>
      <c r="B3604" s="0" t="s">
        <v>86</v>
      </c>
      <c r="C3604" s="38" t="n">
        <f aca="false">Q!$D$30</f>
        <v>4.462</v>
      </c>
      <c r="D3604" s="38" t="n">
        <f aca="false">Q!$E$30</f>
        <v>4.907</v>
      </c>
      <c r="E3604" s="38" t="n">
        <f aca="false">Q!$P$30</f>
        <v>2.57</v>
      </c>
      <c r="F3604" s="38" t="n">
        <f aca="false">(Sens!$D$3602*Sens!$F$3478+(1-ext_sh)*Sens!$F$3524)*(1-Sens!$F$3479)</f>
        <v>3.59937168293151</v>
      </c>
      <c r="G3604" s="38" t="n">
        <f aca="false">Sens!$E$3604+Sens!$F$3604</f>
        <v>6.16937168293151</v>
      </c>
      <c r="H3604" s="38" t="n">
        <f aca="false">(Sens!$D$3602*Sens!$H$3478+(1-ext_sh)*Sens!$H$3524)*(1-Sens!$H$3479)</f>
        <v>8.28915290031442</v>
      </c>
      <c r="I3604" s="38" t="n">
        <f aca="false">(Sens!$D$3602*Sens!$I$3478+(1-ext_sh)*Sens!$I$3524)*(1-Sens!$I$3479)</f>
        <v>10.4617892992793</v>
      </c>
      <c r="J3604" s="38" t="n">
        <f aca="false">(Sens!$D$3602*Sens!$J$3478+(1-ext_sh)*Sens!$J$3524)*(1-Sens!$J$3479)</f>
        <v>12.6446586493057</v>
      </c>
      <c r="K3604" s="38" t="n">
        <f aca="false">(Sens!$D$3602*Sens!$K$3478+(1-ext_sh)*Sens!$K$3524)*(1-Sens!$K$3479)</f>
        <v>14.7947681131192</v>
      </c>
      <c r="L3604" s="38" t="n">
        <f aca="false">(Sens!$D$3602*Sens!$L$3478+(1-ext_sh)*Sens!$L$3524)*(1-Sens!$L$3479)</f>
        <v>16.4977950771268</v>
      </c>
      <c r="M3604" s="38" t="n">
        <f aca="false">(Sens!$D$3602*Sens!$M$3478+(1-ext_sh)*Sens!$M$3524)*(1-Sens!$M$3479)</f>
        <v>17.8459184540772</v>
      </c>
      <c r="N3604" s="38" t="n">
        <f aca="false">Q!$N$30</f>
        <v>2.316</v>
      </c>
      <c r="O3604" s="38" t="n">
        <f aca="false">Q!$O$30</f>
        <v>2.591</v>
      </c>
    </row>
    <row r="3605" customFormat="false" ht="17.15" hidden="false" customHeight="false" outlineLevel="0" collapsed="false">
      <c r="A3605" s="0" t="s">
        <v>541</v>
      </c>
      <c r="B3605" s="0" t="s">
        <v>86</v>
      </c>
      <c r="C3605" s="38" t="n">
        <f aca="false">Sens!$C$3536</f>
        <v>13.32</v>
      </c>
      <c r="D3605" s="38" t="n">
        <f aca="false">Sens!$D$3536</f>
        <v>21.45</v>
      </c>
      <c r="E3605" s="38" t="n">
        <f aca="false">Sens!$E$3536</f>
        <v>15.353</v>
      </c>
      <c r="F3605" s="38" t="n">
        <f aca="false">Sens!$F$3536</f>
        <v>15.4404120185306</v>
      </c>
      <c r="G3605" s="38" t="n">
        <f aca="false">Sens!$G$3536</f>
        <v>30.7934120185306</v>
      </c>
      <c r="H3605" s="38" t="n">
        <f aca="false">Sens!$H$3536</f>
        <v>48.250114371455</v>
      </c>
      <c r="I3605" s="38" t="n">
        <f aca="false">Sens!$I$3536</f>
        <v>73.3965146995963</v>
      </c>
      <c r="J3605" s="38" t="n">
        <f aca="false">Sens!$J$3536</f>
        <v>99.22806138309</v>
      </c>
      <c r="K3605" s="38" t="n">
        <f aca="false">Sens!$K$3536</f>
        <v>125.386627452856</v>
      </c>
      <c r="L3605" s="38" t="n">
        <f aca="false">Sens!$L$3536</f>
        <v>144.77239043275</v>
      </c>
      <c r="M3605" s="38" t="n">
        <f aca="false">Sens!$M$3536</f>
        <v>158.693930910983</v>
      </c>
      <c r="N3605" s="38" t="n">
        <f aca="false">Sens!$N$3536</f>
        <v>9.234</v>
      </c>
      <c r="O3605" s="38" t="n">
        <f aca="false">Sens!$O$3536</f>
        <v>12.216</v>
      </c>
    </row>
    <row r="3606" customFormat="false" ht="17.15" hidden="false" customHeight="false" outlineLevel="0" collapsed="false">
      <c r="A3606" s="5" t="s">
        <v>745</v>
      </c>
      <c r="B3606" s="0" t="s">
        <v>86</v>
      </c>
      <c r="C3606" s="38" t="n">
        <f aca="false">Sens!$C$3603+Sens!$C$3604+Sens!$C$3605</f>
        <v>32.067</v>
      </c>
      <c r="D3606" s="38" t="n">
        <f aca="false">Sens!$D$3603+Sens!$D$3604+Sens!$D$3605</f>
        <v>41.86</v>
      </c>
      <c r="E3606" s="38" t="n">
        <f aca="false">Sens!$E$3603+Sens!$E$3604+Sens!$E$3605</f>
        <v>26.703</v>
      </c>
      <c r="F3606" s="38" t="n">
        <f aca="false">Sens!$F$3603+Sens!$F$3604+Sens!$F$3605</f>
        <v>28.2071421626285</v>
      </c>
      <c r="G3606" s="38" t="n">
        <f aca="false">Sens!$G$3603+Sens!$G$3604+Sens!$G$3605</f>
        <v>54.9101421626285</v>
      </c>
      <c r="H3606" s="38" t="n">
        <f aca="false">Sens!$H$3603+Sens!$H$3604+Sens!$H$3605</f>
        <v>78.1799395827871</v>
      </c>
      <c r="I3606" s="38" t="n">
        <f aca="false">Sens!$I$3603+Sens!$I$3604+Sens!$I$3605</f>
        <v>111.171125554384</v>
      </c>
      <c r="J3606" s="38" t="n">
        <f aca="false">Sens!$J$3603+Sens!$J$3604+Sens!$J$3605</f>
        <v>144.884406220971</v>
      </c>
      <c r="K3606" s="38" t="n">
        <f aca="false">Sens!$K$3603+Sens!$K$3604+Sens!$K$3605</f>
        <v>178.806419437999</v>
      </c>
      <c r="L3606" s="38" t="n">
        <f aca="false">Sens!$L$3603+Sens!$L$3604+Sens!$L$3605</f>
        <v>204.341339029663</v>
      </c>
      <c r="M3606" s="38" t="n">
        <f aca="false">Sens!$M$3603+Sens!$M$3604+Sens!$M$3605</f>
        <v>223.130577995387</v>
      </c>
      <c r="N3606" s="38" t="n">
        <f aca="false">Sens!$N$3603+Sens!$N$3604+Sens!$N$3605</f>
        <v>18.822</v>
      </c>
      <c r="O3606" s="38" t="n">
        <f aca="false">Sens!$O$3603+Sens!$O$3604+Sens!$O$3605</f>
        <v>23.038</v>
      </c>
    </row>
    <row r="3607" customFormat="false" ht="17.15" hidden="false" customHeight="false" outlineLevel="0" collapsed="false">
      <c r="A3607" s="0" t="s">
        <v>746</v>
      </c>
      <c r="B3607" s="0" t="s">
        <v>86</v>
      </c>
      <c r="C3607" s="38" t="n">
        <f aca="false">Sens!$C$3578+Sens!$C$3583</f>
        <v>22.4856</v>
      </c>
      <c r="D3607" s="38" t="n">
        <f aca="false">Sens!$D$3578+Sens!$D$3583</f>
        <v>27.454</v>
      </c>
      <c r="E3607" s="38" t="n">
        <f aca="false">Sens!$E$3578+Sens!$E$3583</f>
        <v>14.8208</v>
      </c>
      <c r="F3607" s="38" t="n">
        <f aca="false">Sens!$F$3578+Sens!$F$3583</f>
        <v>18.4628887977659</v>
      </c>
      <c r="G3607" s="38" t="n">
        <f aca="false">Sens!$G$3578+Sens!$G$3583</f>
        <v>33.2836887977659</v>
      </c>
      <c r="H3607" s="38" t="n">
        <f aca="false">Sens!$H$3578+Sens!$H$3583</f>
        <v>39.958768955159</v>
      </c>
      <c r="I3607" s="38" t="n">
        <f aca="false">Sens!$I$3578+Sens!$I$3583</f>
        <v>46.6332444381985</v>
      </c>
      <c r="J3607" s="38" t="n">
        <f aca="false">Sens!$J$3578+Sens!$J$3583</f>
        <v>52.8595767767807</v>
      </c>
      <c r="K3607" s="38" t="n">
        <f aca="false">Sens!$K$3578+Sens!$K$3583</f>
        <v>58.1455344544588</v>
      </c>
      <c r="L3607" s="38" t="n">
        <f aca="false">Sens!$L$3578+Sens!$L$3583</f>
        <v>63.9600878999047</v>
      </c>
      <c r="M3607" s="38" t="n">
        <f aca="false">Sens!$M$3578+Sens!$M$3583</f>
        <v>70.3560966898951</v>
      </c>
      <c r="N3607" s="38" t="n">
        <f aca="false">Sens!$N$3578+Sens!$N$3583</f>
        <v>11.846</v>
      </c>
      <c r="O3607" s="38" t="n">
        <f aca="false">Sens!$O$3578+Sens!$O$3583</f>
        <v>15.608</v>
      </c>
    </row>
    <row r="3608" customFormat="false" ht="17.15" hidden="false" customHeight="false" outlineLevel="0" collapsed="false">
      <c r="A3608" s="0" t="s">
        <v>747</v>
      </c>
      <c r="B3608" s="0" t="s">
        <v>86</v>
      </c>
      <c r="C3608" s="38" t="n">
        <f aca="false">Sens!$C$3582+Sens!$C$3587+Sens!$C$3603+Sens!$C$3604-Sens!$C$3607</f>
        <v>25.0204</v>
      </c>
      <c r="D3608" s="38" t="n">
        <f aca="false">Sens!$D$3582+Sens!$D$3587+Sens!$D$3603+Sens!$D$3604-Sens!$D$3607</f>
        <v>27.325</v>
      </c>
      <c r="E3608" s="38" t="n">
        <f aca="false">Sens!$E$3582+Sens!$E$3587+Sens!$E$3603+Sens!$E$3604-Sens!$E$3607</f>
        <v>17.0602</v>
      </c>
      <c r="F3608" s="38" t="n">
        <f aca="false">Sens!$F$3582+Sens!$F$3587+Sens!$F$3603+Sens!$F$3604-Sens!$F$3607</f>
        <v>17.0764611678961</v>
      </c>
      <c r="G3608" s="38" t="n">
        <f aca="false">Sens!$G$3582+Sens!$G$3587+Sens!$G$3603+Sens!$G$3604-Sens!$G$3607</f>
        <v>34.1366611678961</v>
      </c>
      <c r="H3608" s="38" t="n">
        <f aca="false">Sens!$H$3582+Sens!$H$3587+Sens!$H$3603+Sens!$H$3604-Sens!$H$3607</f>
        <v>37.021423157958</v>
      </c>
      <c r="I3608" s="38" t="n">
        <f aca="false">Sens!$I$3582+Sens!$I$3587+Sens!$I$3603+Sens!$I$3604-Sens!$I$3607</f>
        <v>39.9771572277276</v>
      </c>
      <c r="J3608" s="38" t="n">
        <f aca="false">Sens!$J$3582+Sens!$J$3587+Sens!$J$3603+Sens!$J$3604-Sens!$J$3607</f>
        <v>42.8737871719097</v>
      </c>
      <c r="K3608" s="38" t="n">
        <f aca="false">Sens!$K$3582+Sens!$K$3587+Sens!$K$3603+Sens!$K$3604-Sens!$K$3607</f>
        <v>45.8598066127048</v>
      </c>
      <c r="L3608" s="38" t="n">
        <f aca="false">Sens!$L$3582+Sens!$L$3587+Sens!$L$3603+Sens!$L$3604-Sens!$L$3607</f>
        <v>48.1056503423692</v>
      </c>
      <c r="M3608" s="38" t="n">
        <f aca="false">Sens!$M$3582+Sens!$M$3587+Sens!$M$3603+Sens!$M$3604-Sens!$M$3607</f>
        <v>51.1863173323169</v>
      </c>
      <c r="N3608" s="38" t="n">
        <f aca="false">Sens!$N$3582+Sens!$N$3587+Sens!$N$3603+Sens!$N$3604-Sens!$N$3607</f>
        <v>13.611</v>
      </c>
      <c r="O3608" s="38" t="n">
        <f aca="false">Sens!$O$3582+Sens!$O$3587+Sens!$O$3603+Sens!$O$3604-Sens!$O$3607</f>
        <v>13.714</v>
      </c>
    </row>
    <row r="3609" customFormat="false" ht="17.15" hidden="false" customHeight="false" outlineLevel="0" collapsed="false">
      <c r="A3609" s="0" t="s">
        <v>748</v>
      </c>
      <c r="B3609" s="0" t="s">
        <v>86</v>
      </c>
      <c r="C3609" s="38" t="n">
        <f aca="false">Sens!$C$3589+Sens!$C$3605-ext_sh*Sens!$C$3524</f>
        <v>51.3470500115664</v>
      </c>
      <c r="D3609" s="38" t="n">
        <f aca="false">Sens!$D$3589+Sens!$D$3605-ext_sh*Sens!$D$3524</f>
        <v>60.2799375433739</v>
      </c>
      <c r="E3609" s="38" t="n">
        <f aca="false">Sens!$E$3589+Sens!$E$3605-ext_sh*Sens!$E$3524</f>
        <v>39.5095167090767</v>
      </c>
      <c r="F3609" s="38" t="n">
        <f aca="false">Sens!$F$3589+Sens!$F$3605-ext_sh*Sens!$F$3524</f>
        <v>37.5468918745429</v>
      </c>
      <c r="G3609" s="38" t="n">
        <f aca="false">Sens!$G$3589+Sens!$G$3605-ext_sh*Sens!$G$3524</f>
        <v>77.0564085836196</v>
      </c>
      <c r="H3609" s="38" t="n">
        <f aca="false">Sens!$H$3589+Sens!$H$3605-ext_sh*Sens!$H$3524</f>
        <v>84.2378398616123</v>
      </c>
      <c r="I3609" s="38" t="n">
        <f aca="false">Sens!$I$3589+Sens!$I$3605-ext_sh*Sens!$I$3524</f>
        <v>93.5253492849083</v>
      </c>
      <c r="J3609" s="38" t="n">
        <f aca="false">Sens!$J$3589+Sens!$J$3605-ext_sh*Sens!$J$3524</f>
        <v>102.42210777817</v>
      </c>
      <c r="K3609" s="38" t="n">
        <f aca="false">Sens!$K$3589+Sens!$K$3605-ext_sh*Sens!$K$3524</f>
        <v>110.615876400424</v>
      </c>
      <c r="L3609" s="38" t="n">
        <f aca="false">Sens!$L$3589+Sens!$L$3605-ext_sh*Sens!$L$3524</f>
        <v>119.465146512458</v>
      </c>
      <c r="M3609" s="38" t="n">
        <f aca="false">Sens!$M$3589+Sens!$M$3605-ext_sh*Sens!$M$3524</f>
        <v>129.022358233455</v>
      </c>
      <c r="N3609" s="38" t="n">
        <f aca="false">Sens!$N$3589+Sens!$N$3605-ext_sh*Sens!$N$3524</f>
        <v>28.5693781401809</v>
      </c>
      <c r="O3609" s="38" t="n">
        <f aca="false">Sens!$O$3589+Sens!$O$3605-ext_sh*Sens!$O$3524</f>
        <v>31.7105594031931</v>
      </c>
    </row>
    <row r="3610" customFormat="false" ht="17.15" hidden="false" customHeight="false" outlineLevel="0" collapsed="false">
      <c r="A3610" s="0" t="s">
        <v>749</v>
      </c>
      <c r="B3610" s="0" t="s">
        <v>86</v>
      </c>
      <c r="C3610" s="38" t="n">
        <f aca="false">Sens!$C$3527</f>
        <v>1.80694998843362</v>
      </c>
      <c r="D3610" s="38" t="n">
        <f aca="false">Sens!$D$3527</f>
        <v>6.77606245662607</v>
      </c>
      <c r="E3610" s="38" t="n">
        <f aca="false">Sens!$E$3527</f>
        <v>6.62548329092326</v>
      </c>
      <c r="F3610" s="38" t="n">
        <f aca="false">Sens!$F$3527</f>
        <v>11.7200577158706</v>
      </c>
      <c r="G3610" s="38" t="n">
        <f aca="false">Sens!$G$3527</f>
        <v>18.3455410067939</v>
      </c>
      <c r="H3610" s="38" t="n">
        <f aca="false">Sens!$H$3527</f>
        <v>47.5171727060453</v>
      </c>
      <c r="I3610" s="38" t="n">
        <f aca="false">Sens!$I$3527</f>
        <v>80.5539692643667</v>
      </c>
      <c r="J3610" s="38" t="n">
        <f aca="false">Sens!$J$3527</f>
        <v>113.759316834883</v>
      </c>
      <c r="K3610" s="38" t="n">
        <f aca="false">Sens!$K$3527</f>
        <v>142.084411492169</v>
      </c>
      <c r="L3610" s="38" t="n">
        <f aca="false">Sens!$L$3527</f>
        <v>160.69964615804</v>
      </c>
      <c r="M3610" s="38" t="n">
        <f aca="false">Sens!$M$3527</f>
        <v>169.577607141793</v>
      </c>
      <c r="N3610" s="38" t="n">
        <f aca="false">Sens!$N$3527</f>
        <v>2.37162185981912</v>
      </c>
      <c r="O3610" s="38" t="n">
        <f aca="false">Sens!$O$3527</f>
        <v>4.40444059680694</v>
      </c>
    </row>
    <row r="3611" customFormat="false" ht="17.15" hidden="false" customHeight="false" outlineLevel="0" collapsed="false">
      <c r="A3611" s="0" t="s">
        <v>750</v>
      </c>
      <c r="B3611" s="0" t="s">
        <v>86</v>
      </c>
      <c r="C3611" s="38" t="n">
        <f aca="false">Sens!$C$3592+Sens!$C$3606</f>
        <v>100.66</v>
      </c>
      <c r="D3611" s="38" t="n">
        <f aca="false">Sens!$D$3592+Sens!$D$3606</f>
        <v>121.835</v>
      </c>
      <c r="E3611" s="38" t="n">
        <f aca="false">Sens!$E$3592+Sens!$E$3606</f>
        <v>78.016</v>
      </c>
      <c r="F3611" s="38" t="n">
        <f aca="false">Sens!$F$3592+Sens!$F$3606</f>
        <v>84.8062995560755</v>
      </c>
      <c r="G3611" s="38" t="n">
        <f aca="false">Sens!$G$3592+Sens!$G$3606</f>
        <v>162.822299556076</v>
      </c>
      <c r="H3611" s="38" t="n">
        <f aca="false">Sens!$H$3592+Sens!$H$3606</f>
        <v>208.735204680775</v>
      </c>
      <c r="I3611" s="38" t="n">
        <f aca="false">Sens!$I$3592+Sens!$I$3606</f>
        <v>260.689720215201</v>
      </c>
      <c r="J3611" s="38" t="n">
        <f aca="false">Sens!$J$3592+Sens!$J$3606</f>
        <v>311.914788561744</v>
      </c>
      <c r="K3611" s="38" t="n">
        <f aca="false">Sens!$K$3592+Sens!$K$3606</f>
        <v>356.705628959757</v>
      </c>
      <c r="L3611" s="38" t="n">
        <f aca="false">Sens!$L$3592+Sens!$L$3606</f>
        <v>392.230530912772</v>
      </c>
      <c r="M3611" s="38" t="n">
        <f aca="false">Sens!$M$3592+Sens!$M$3606</f>
        <v>420.14237939746</v>
      </c>
      <c r="N3611" s="38" t="n">
        <f aca="false">Sens!$N$3592+Sens!$N$3606</f>
        <v>56.398</v>
      </c>
      <c r="O3611" s="38" t="n">
        <f aca="false">Sens!$O$3592+Sens!$O$3606</f>
        <v>65.437</v>
      </c>
    </row>
    <row r="3612" customFormat="false" ht="17.15" hidden="false" customHeight="false" outlineLevel="0" collapsed="false">
      <c r="A3612" s="1" t="s">
        <v>751</v>
      </c>
    </row>
    <row r="3613" customFormat="false" ht="15" hidden="false" customHeight="false" outlineLevel="0" collapsed="false">
      <c r="A3613" s="5" t="s">
        <v>544</v>
      </c>
      <c r="B3613" s="0" t="s">
        <v>86</v>
      </c>
      <c r="C3613" s="38" t="n">
        <f aca="false">Q!$D$34</f>
        <v>2.406</v>
      </c>
      <c r="D3613" s="38" t="n">
        <f aca="false">Q!$E$34</f>
        <v>2.274</v>
      </c>
      <c r="E3613" s="38" t="n">
        <f aca="false">Q!$P$34</f>
        <v>2.114</v>
      </c>
      <c r="F3613" s="38" t="n">
        <f aca="false">Sens!$F$3651</f>
        <v>3.24888962733561</v>
      </c>
      <c r="G3613" s="38" t="n">
        <f aca="false">Sens!$E$3613+Sens!$F$3613</f>
        <v>5.36288962733561</v>
      </c>
      <c r="H3613" s="38" t="n">
        <f aca="false">Sens!$H$3651</f>
        <v>7.42354172302123</v>
      </c>
      <c r="I3613" s="38" t="n">
        <f aca="false">Sens!$I$3651</f>
        <v>8.5464972554976</v>
      </c>
      <c r="J3613" s="38" t="n">
        <f aca="false">Sens!$J$3651</f>
        <v>9.79648667758774</v>
      </c>
      <c r="K3613" s="38" t="n">
        <f aca="false">Sens!$K$3651</f>
        <v>9.79648667758774</v>
      </c>
      <c r="L3613" s="38" t="n">
        <f aca="false">Sens!$L$3651</f>
        <v>9.79648667758774</v>
      </c>
      <c r="M3613" s="38" t="n">
        <f aca="false">Sens!$M$3651</f>
        <v>9.79648667758774</v>
      </c>
      <c r="N3613" s="38" t="n">
        <f aca="false">Q!$N$34</f>
        <v>1.057</v>
      </c>
      <c r="O3613" s="38" t="n">
        <f aca="false">Q!$O$34</f>
        <v>1.217</v>
      </c>
    </row>
    <row r="3614" customFormat="false" ht="15" hidden="false" customHeight="false" outlineLevel="0" collapsed="false">
      <c r="A3614" s="5" t="s">
        <v>752</v>
      </c>
      <c r="B3614" s="0" t="s">
        <v>86</v>
      </c>
      <c r="F3614" s="38" t="n">
        <f aca="false">Sens!$F$3652</f>
        <v>2.59</v>
      </c>
      <c r="H3614" s="38" t="n">
        <f aca="false">Sens!$H$3652</f>
        <v>3.76647258808467</v>
      </c>
      <c r="I3614" s="38" t="n">
        <f aca="false">Sens!$I$3652</f>
        <v>2.10589651022864</v>
      </c>
      <c r="J3614" s="38" t="n">
        <f aca="false">Sens!$J$3652</f>
        <v>2.10589651022864</v>
      </c>
      <c r="K3614" s="38" t="n">
        <f aca="false">Sens!$K$3652</f>
        <v>2.92877170000678</v>
      </c>
      <c r="L3614" s="38" t="n">
        <f aca="false">Sens!$L$3652</f>
        <v>7.78481471515765</v>
      </c>
      <c r="M3614" s="38" t="n">
        <f aca="false">Sens!$M$3652</f>
        <v>15.0761314249622</v>
      </c>
    </row>
    <row r="3615" customFormat="false" ht="17.15" hidden="false" customHeight="false" outlineLevel="0" collapsed="false">
      <c r="A3615" s="5" t="s">
        <v>753</v>
      </c>
      <c r="B3615" s="0" t="s">
        <v>86</v>
      </c>
      <c r="C3615" s="38" t="n">
        <f aca="false">Q!$D$39</f>
        <v>2.427</v>
      </c>
      <c r="D3615" s="38" t="n">
        <f aca="false">Q!$E$39</f>
        <v>19.61</v>
      </c>
      <c r="E3615" s="38" t="n">
        <f aca="false">Q!$P$39</f>
        <v>71.492</v>
      </c>
      <c r="F3615" s="39" t="n">
        <v>0</v>
      </c>
      <c r="G3615" s="38" t="n">
        <f aca="false">Sens!$E$3615+Sens!$F$3615</f>
        <v>71.492</v>
      </c>
      <c r="H3615" s="39" t="n">
        <v>0</v>
      </c>
      <c r="I3615" s="39" t="n">
        <v>0</v>
      </c>
      <c r="J3615" s="39" t="n">
        <v>0</v>
      </c>
      <c r="K3615" s="39" t="n">
        <v>0</v>
      </c>
      <c r="L3615" s="39" t="n">
        <v>0</v>
      </c>
      <c r="M3615" s="39" t="n">
        <v>0</v>
      </c>
      <c r="N3615" s="38" t="n">
        <f aca="false">Q!$N$39</f>
        <v>6.017</v>
      </c>
      <c r="O3615" s="38" t="n">
        <f aca="false">Q!$O$39</f>
        <v>13.593</v>
      </c>
      <c r="P3615" s="5" t="s">
        <v>754</v>
      </c>
    </row>
    <row r="3616" customFormat="false" ht="15" hidden="false" customHeight="false" outlineLevel="0" collapsed="false">
      <c r="A3616" s="5" t="s">
        <v>547</v>
      </c>
      <c r="B3616" s="0" t="s">
        <v>86</v>
      </c>
      <c r="C3616" s="38" t="n">
        <f aca="false">Q!$D$36</f>
        <v>68.614</v>
      </c>
      <c r="D3616" s="38" t="n">
        <f aca="false">Q!$E$36</f>
        <v>97.311</v>
      </c>
      <c r="E3616" s="38" t="n">
        <f aca="false">Q!$P$36</f>
        <v>120.691</v>
      </c>
      <c r="F3616" s="38" t="n">
        <f aca="false">Sens!$F$3592-Sens!$F$3613+Sens!$F$3614+Sens!$F$3615</f>
        <v>55.9402677661114</v>
      </c>
      <c r="G3616" s="38" t="n">
        <f aca="false">Sens!$E$3616+Sens!$F$3616</f>
        <v>176.631267766111</v>
      </c>
      <c r="H3616" s="38" t="n">
        <f aca="false">Sens!$H$3592-Sens!$H$3613+Sens!$H$3614+Sens!$H$3615</f>
        <v>126.898195963051</v>
      </c>
      <c r="I3616" s="38" t="n">
        <f aca="false">Sens!$I$3592-Sens!$I$3613+Sens!$I$3614+Sens!$I$3615</f>
        <v>143.077993915548</v>
      </c>
      <c r="J3616" s="38" t="n">
        <f aca="false">Sens!$J$3592-Sens!$J$3613+Sens!$J$3614+Sens!$J$3615</f>
        <v>159.339792173414</v>
      </c>
      <c r="K3616" s="38" t="n">
        <f aca="false">Sens!$K$3592-Sens!$K$3613+Sens!$K$3614+Sens!$K$3615</f>
        <v>171.031494544177</v>
      </c>
      <c r="L3616" s="38" t="n">
        <f aca="false">Sens!$L$3592-Sens!$L$3613+Sens!$L$3614+Sens!$L$3615</f>
        <v>185.877519920679</v>
      </c>
      <c r="M3616" s="38" t="n">
        <f aca="false">Sens!$M$3592-Sens!$M$3613+Sens!$M$3614+Sens!$M$3615</f>
        <v>202.291446149448</v>
      </c>
      <c r="N3616" s="38" t="n">
        <f aca="false">Q!$N$36</f>
        <v>42.536</v>
      </c>
      <c r="O3616" s="38" t="n">
        <f aca="false">Q!$O$36</f>
        <v>54.775</v>
      </c>
    </row>
    <row r="3617" customFormat="false" ht="15" hidden="false" customHeight="false" outlineLevel="0" collapsed="false">
      <c r="A3617" s="5" t="s">
        <v>548</v>
      </c>
      <c r="B3617" s="0" t="s">
        <v>86</v>
      </c>
      <c r="C3617" s="38" t="n">
        <f aca="false">Q!$D$37</f>
        <v>9.265</v>
      </c>
      <c r="D3617" s="38" t="n">
        <f aca="false">Q!$E$37</f>
        <v>19.087</v>
      </c>
      <c r="E3617" s="38" t="n">
        <f aca="false">Q!$P$37</f>
        <v>27.759</v>
      </c>
      <c r="F3617" s="38" t="n">
        <f aca="false">Sens!$F$3616*tax</f>
        <v>9.71036489923387</v>
      </c>
      <c r="G3617" s="38" t="n">
        <f aca="false">Sens!$E$3617+Sens!$F$3617</f>
        <v>37.4693648992339</v>
      </c>
      <c r="H3617" s="38" t="n">
        <f aca="false">Sens!$H$3616*tax</f>
        <v>22.0275632753084</v>
      </c>
      <c r="I3617" s="38" t="n">
        <f aca="false">Sens!$I$3616*tax</f>
        <v>24.8361258437164</v>
      </c>
      <c r="J3617" s="38" t="n">
        <f aca="false">Sens!$J$3616*tax</f>
        <v>27.6589223963147</v>
      </c>
      <c r="K3617" s="38" t="n">
        <f aca="false">Sens!$K$3616*tax</f>
        <v>29.6884210177375</v>
      </c>
      <c r="L3617" s="38" t="n">
        <f aca="false">Sens!$L$3616*tax</f>
        <v>32.2654613049214</v>
      </c>
      <c r="M3617" s="38" t="n">
        <f aca="false">Sens!$M$3616*tax</f>
        <v>35.1146649193346</v>
      </c>
      <c r="N3617" s="38" t="n">
        <f aca="false">Q!$N$37</f>
        <v>7.231</v>
      </c>
      <c r="O3617" s="38" t="n">
        <f aca="false">Q!$O$37</f>
        <v>11.856</v>
      </c>
    </row>
    <row r="3618" customFormat="false" ht="15" hidden="false" customHeight="false" outlineLevel="0" collapsed="false">
      <c r="A3618" s="3" t="s">
        <v>549</v>
      </c>
      <c r="B3618" s="8" t="s">
        <v>86</v>
      </c>
      <c r="C3618" s="38" t="n">
        <f aca="false">Q!$D$38</f>
        <v>59.248</v>
      </c>
      <c r="D3618" s="38" t="n">
        <f aca="false">Q!$E$38</f>
        <v>77.67</v>
      </c>
      <c r="E3618" s="38" t="n">
        <f aca="false">Q!$P$38</f>
        <v>92.902</v>
      </c>
      <c r="F3618" s="38" t="n">
        <f aca="false">Sens!$F$3616-Sens!$F$3617</f>
        <v>46.2299028668775</v>
      </c>
      <c r="G3618" s="38" t="n">
        <f aca="false">Sens!$E$3618+Sens!$F$3618</f>
        <v>139.131902866877</v>
      </c>
      <c r="H3618" s="38" t="n">
        <f aca="false">Sens!$H$3616-Sens!$H$3617</f>
        <v>104.870632687743</v>
      </c>
      <c r="I3618" s="38" t="n">
        <f aca="false">Sens!$I$3616-Sens!$I$3617</f>
        <v>118.241868071831</v>
      </c>
      <c r="J3618" s="38" t="n">
        <f aca="false">Sens!$J$3616-Sens!$J$3617</f>
        <v>131.680869777099</v>
      </c>
      <c r="K3618" s="38" t="n">
        <f aca="false">Sens!$K$3616-Sens!$K$3617</f>
        <v>141.343073526439</v>
      </c>
      <c r="L3618" s="38" t="n">
        <f aca="false">Sens!$L$3616-Sens!$L$3617</f>
        <v>153.612058615758</v>
      </c>
      <c r="M3618" s="38" t="n">
        <f aca="false">Sens!$M$3616-Sens!$M$3617</f>
        <v>167.176781230113</v>
      </c>
      <c r="N3618" s="38" t="n">
        <f aca="false">Q!$N$38</f>
        <v>35.291</v>
      </c>
      <c r="O3618" s="38" t="n">
        <f aca="false">Q!$O$38</f>
        <v>42.379</v>
      </c>
    </row>
    <row r="3619" customFormat="false" ht="17.15" hidden="false" customHeight="false" outlineLevel="0" collapsed="false">
      <c r="A3619" s="5" t="s">
        <v>552</v>
      </c>
      <c r="B3619" s="5" t="s">
        <v>33</v>
      </c>
      <c r="C3619" s="22" t="n">
        <f aca="false">Q!$D$41</f>
        <v>10.721</v>
      </c>
      <c r="D3619" s="22" t="n">
        <f aca="false">Q!$E$41</f>
        <v>10.827</v>
      </c>
      <c r="E3619" s="22" t="n">
        <f aca="false">(Q!$L$41+Q!$M$41)/2</f>
        <v>10.8885</v>
      </c>
      <c r="F3619" s="22" t="n">
        <f aca="false">Sens!$G$3619</f>
        <v>10.924806</v>
      </c>
      <c r="G3619" s="22" t="n">
        <f aca="false">Q!$M$41*(1+sh_g*0.25)</f>
        <v>10.924806</v>
      </c>
      <c r="H3619" s="22" t="n">
        <f aca="false">Sens!$G$3619*(1+sh_g)</f>
        <v>11.012204448</v>
      </c>
      <c r="I3619" s="22" t="n">
        <f aca="false">Sens!$H$3619*(1+sh_g)</f>
        <v>11.100302083584</v>
      </c>
      <c r="J3619" s="22" t="n">
        <f aca="false">Sens!$I$3619*(1+sh_g)</f>
        <v>11.1891045002527</v>
      </c>
      <c r="K3619" s="22" t="n">
        <f aca="false">Sens!$J$3619*(1+sh_g)</f>
        <v>11.2786173362547</v>
      </c>
      <c r="L3619" s="22" t="n">
        <f aca="false">Sens!$K$3619*(1+sh_g)</f>
        <v>11.3688462749447</v>
      </c>
      <c r="M3619" s="22" t="n">
        <f aca="false">Sens!$L$3619*(1+sh_g)</f>
        <v>11.4597970451443</v>
      </c>
      <c r="P3619" s="5" t="s">
        <v>755</v>
      </c>
    </row>
    <row r="3620" customFormat="false" ht="17.15" hidden="false" customHeight="false" outlineLevel="0" collapsed="false">
      <c r="A3620" s="5" t="s">
        <v>756</v>
      </c>
      <c r="B3620" s="0" t="s">
        <v>86</v>
      </c>
      <c r="C3620" s="38" t="n">
        <f aca="false">Sens!$C$3618+Sens!$C$3594*(1-tax)</f>
        <v>59.248</v>
      </c>
      <c r="D3620" s="38" t="n">
        <f aca="false">Sens!$D$3618+Sens!$D$3594*(1-tax)</f>
        <v>77.67</v>
      </c>
      <c r="E3620" s="38" t="n">
        <f aca="false">Sens!$E$3618+Sens!$E$3594*(1-tax)</f>
        <v>92.902</v>
      </c>
      <c r="F3620" s="38" t="n">
        <f aca="false">Sens!$F$3618+Sens!$F$3594*(1-tax)</f>
        <v>49.3464978265262</v>
      </c>
      <c r="G3620" s="38" t="n">
        <f aca="false">Sens!$G$3618+Sens!$G$3594*(1-tax)</f>
        <v>142.248497826526</v>
      </c>
      <c r="H3620" s="38" t="n">
        <f aca="false">Sens!$H$3618+Sens!$H$3594*(1-tax)</f>
        <v>117.402028643087</v>
      </c>
      <c r="I3620" s="38" t="n">
        <f aca="false">Sens!$I$3618+Sens!$I$3594*(1-tax)</f>
        <v>139.383133146771</v>
      </c>
      <c r="J3620" s="38" t="n">
        <f aca="false">Sens!$J$3618+Sens!$J$3594*(1-tax)</f>
        <v>161.470306721383</v>
      </c>
      <c r="K3620" s="38" t="n">
        <f aca="false">Sens!$K$3618+Sens!$K$3594*(1-tax)</f>
        <v>178.510379223098</v>
      </c>
      <c r="L3620" s="38" t="n">
        <f aca="false">Sens!$L$3618+Sens!$L$3594*(1-tax)</f>
        <v>195.628135956313</v>
      </c>
      <c r="M3620" s="38" t="n">
        <f aca="false">Sens!$M$3618+Sens!$M$3594*(1-tax)</f>
        <v>211.506303420954</v>
      </c>
      <c r="N3620" s="38" t="n">
        <f aca="false">Sens!$N$3618+Sens!$N$3594*(1-tax)</f>
        <v>35.291</v>
      </c>
      <c r="O3620" s="38" t="n">
        <f aca="false">Sens!$O$3618+Sens!$O$3594*(1-tax)</f>
        <v>42.379</v>
      </c>
    </row>
    <row r="3621" customFormat="false" ht="17.15" hidden="false" customHeight="false" outlineLevel="0" collapsed="false">
      <c r="A3621" s="43" t="s">
        <v>757</v>
      </c>
      <c r="B3621" s="14" t="s">
        <v>27</v>
      </c>
      <c r="C3621" s="44" t="n">
        <f aca="false">Sens!$C$3620/Sens!$C$3619</f>
        <v>5.52635015390355</v>
      </c>
      <c r="D3621" s="44" t="n">
        <f aca="false">Sens!$D$3620/Sens!$D$3619</f>
        <v>7.1737323358271</v>
      </c>
      <c r="E3621" s="44" t="n">
        <f aca="false">Sens!$E$3620/Sens!$E$3619</f>
        <v>8.53212104513937</v>
      </c>
      <c r="F3621" s="14"/>
      <c r="G3621" s="44" t="n">
        <f aca="false">Sens!$G$3620/Sens!$G$3619</f>
        <v>13.0206886810188</v>
      </c>
      <c r="H3621" s="44" t="n">
        <f aca="false">Sens!$H$3620/Sens!$H$3619</f>
        <v>10.6610832733322</v>
      </c>
      <c r="I3621" s="44" t="n">
        <f aca="false">Sens!$I$3620/Sens!$I$3619</f>
        <v>12.5566972950134</v>
      </c>
      <c r="J3621" s="44" t="n">
        <f aca="false">Sens!$J$3620/Sens!$J$3619</f>
        <v>14.4310303579466</v>
      </c>
      <c r="K3621" s="44" t="n">
        <f aca="false">Sens!$K$3620/Sens!$K$3619</f>
        <v>15.8273282886621</v>
      </c>
      <c r="L3621" s="44" t="n">
        <f aca="false">Sens!$L$3620/Sens!$L$3619</f>
        <v>17.2073868557313</v>
      </c>
      <c r="M3621" s="44" t="n">
        <f aca="false">Sens!$M$3620/Sens!$M$3619</f>
        <v>18.4563742785107</v>
      </c>
      <c r="N3621" s="14"/>
      <c r="O3621" s="14"/>
    </row>
    <row r="3622" customFormat="false" ht="17.15" hidden="false" customHeight="false" outlineLevel="0" collapsed="false">
      <c r="A3622" s="0" t="s">
        <v>758</v>
      </c>
      <c r="B3622" s="0" t="s">
        <v>27</v>
      </c>
      <c r="C3622" s="30" t="n">
        <f aca="false">Sens!$C$3618/Sens!$C$3619</f>
        <v>5.52635015390355</v>
      </c>
      <c r="D3622" s="30" t="n">
        <f aca="false">Sens!$D$3618/Sens!$D$3619</f>
        <v>7.1737323358271</v>
      </c>
      <c r="E3622" s="30" t="n">
        <f aca="false">Sens!$E$3618/Sens!$E$3619</f>
        <v>8.53212104513937</v>
      </c>
      <c r="G3622" s="30" t="n">
        <f aca="false">Sens!$G$3618/Sens!$G$3619</f>
        <v>12.7354117653785</v>
      </c>
      <c r="H3622" s="30" t="n">
        <f aca="false">Sens!$H$3618/Sens!$H$3619</f>
        <v>9.52312801518944</v>
      </c>
      <c r="I3622" s="30" t="n">
        <f aca="false">Sens!$I$3618/Sens!$I$3619</f>
        <v>10.6521306520745</v>
      </c>
      <c r="J3622" s="30" t="n">
        <f aca="false">Sens!$J$3618/Sens!$J$3619</f>
        <v>11.7686692240765</v>
      </c>
      <c r="K3622" s="30" t="n">
        <f aca="false">Sens!$K$3618/Sens!$K$3619</f>
        <v>12.5319504432602</v>
      </c>
      <c r="L3622" s="30" t="n">
        <f aca="false">Sens!$L$3618/Sens!$L$3619</f>
        <v>13.5116664348164</v>
      </c>
      <c r="M3622" s="30" t="n">
        <f aca="false">Sens!$M$3618/Sens!$M$3619</f>
        <v>14.5881101184902</v>
      </c>
    </row>
    <row r="3623" customFormat="false" ht="17.15" hidden="false" customHeight="false" outlineLevel="0" collapsed="false">
      <c r="A3623" s="0" t="s">
        <v>759</v>
      </c>
      <c r="B3623" s="0" t="s">
        <v>27</v>
      </c>
      <c r="C3623" s="30" t="n">
        <f aca="false">(Sens!$C$3618-Sens!$C$3615*(1-tax))/Sens!$C$3619</f>
        <v>5.33926775917445</v>
      </c>
      <c r="D3623" s="30" t="n">
        <f aca="false">(Sens!$D$3618-Sens!$D$3615*(1-tax))/Sens!$D$3619</f>
        <v>5.67691812755503</v>
      </c>
      <c r="E3623" s="30" t="n">
        <f aca="false">(Sens!$E$3618-Sens!$E$3615*(1-tax))/Sens!$E$3619</f>
        <v>3.10602057006846</v>
      </c>
      <c r="G3623" s="30" t="n">
        <f aca="false">(Sens!$G$3618-Sens!$G$3615*(1-tax))/Sens!$G$3619</f>
        <v>7.32734364748151</v>
      </c>
      <c r="H3623" s="30" t="n">
        <f aca="false">(Sens!$H$3618-Sens!$H$3615*(1-tax))/Sens!$H$3619</f>
        <v>9.52312801518944</v>
      </c>
      <c r="I3623" s="30" t="n">
        <f aca="false">(Sens!$I$3618-Sens!$I$3615*(1-tax))/Sens!$I$3619</f>
        <v>10.6521306520745</v>
      </c>
      <c r="J3623" s="30" t="n">
        <f aca="false">(Sens!$J$3618-Sens!$J$3615*(1-tax))/Sens!$J$3619</f>
        <v>11.7686692240765</v>
      </c>
      <c r="K3623" s="30" t="n">
        <f aca="false">(Sens!$K$3618-Sens!$K$3615*(1-tax))/Sens!$K$3619</f>
        <v>12.5319504432602</v>
      </c>
      <c r="L3623" s="30" t="n">
        <f aca="false">(Sens!$L$3618-Sens!$L$3615*(1-tax))/Sens!$L$3619</f>
        <v>13.5116664348164</v>
      </c>
      <c r="M3623" s="30" t="n">
        <f aca="false">(Sens!$M$3618-Sens!$M$3615*(1-tax))/Sens!$M$3619</f>
        <v>14.5881101184902</v>
      </c>
      <c r="P3623" s="5" t="s">
        <v>760</v>
      </c>
    </row>
    <row r="3624" customFormat="false" ht="17.15" hidden="false" customHeight="false" outlineLevel="0" collapsed="false">
      <c r="A3624" s="0" t="s">
        <v>761</v>
      </c>
      <c r="B3624" s="0" t="s">
        <v>52</v>
      </c>
      <c r="H3624" s="13" t="n">
        <f aca="false">Sens!$H$3621/Sens!$G$3621-1</f>
        <v>-0.181219708534031</v>
      </c>
      <c r="I3624" s="13" t="n">
        <f aca="false">Sens!$I$3621/Sens!$H$3621-1</f>
        <v>0.177806886324853</v>
      </c>
      <c r="J3624" s="13" t="n">
        <f aca="false">Sens!$J$3621/Sens!$I$3621-1</f>
        <v>0.149269590474044</v>
      </c>
      <c r="K3624" s="13" t="n">
        <f aca="false">Sens!$K$3621/Sens!$J$3621-1</f>
        <v>0.0967566345632844</v>
      </c>
      <c r="L3624" s="13" t="n">
        <f aca="false">Sens!$L$3621/Sens!$K$3621-1</f>
        <v>0.0871946636791385</v>
      </c>
      <c r="M3624" s="13" t="n">
        <f aca="false">Sens!$M$3621/Sens!$L$3621-1</f>
        <v>0.0725843751437141</v>
      </c>
    </row>
    <row r="3627" customFormat="false" ht="19.4" hidden="false" customHeight="false" outlineLevel="0" collapsed="false">
      <c r="A3627" s="31" t="s">
        <v>1208</v>
      </c>
    </row>
    <row r="3628" customFormat="false" ht="17.15" hidden="false" customHeight="false" outlineLevel="0" collapsed="false">
      <c r="A3628" s="6" t="s">
        <v>16</v>
      </c>
      <c r="B3628" s="6" t="s">
        <v>17</v>
      </c>
      <c r="C3628" s="20" t="s">
        <v>497</v>
      </c>
      <c r="D3628" s="20" t="s">
        <v>498</v>
      </c>
      <c r="E3628" s="20" t="s">
        <v>580</v>
      </c>
      <c r="F3628" s="20" t="s">
        <v>581</v>
      </c>
      <c r="G3628" s="20" t="s">
        <v>582</v>
      </c>
      <c r="H3628" s="20" t="s">
        <v>583</v>
      </c>
      <c r="I3628" s="20" t="s">
        <v>584</v>
      </c>
      <c r="J3628" s="20" t="s">
        <v>585</v>
      </c>
      <c r="K3628" s="20" t="s">
        <v>586</v>
      </c>
      <c r="L3628" s="20" t="s">
        <v>587</v>
      </c>
      <c r="M3628" s="20" t="s">
        <v>588</v>
      </c>
      <c r="N3628" s="20" t="s">
        <v>589</v>
      </c>
      <c r="O3628" s="20" t="s">
        <v>590</v>
      </c>
      <c r="P3628" s="6" t="s">
        <v>23</v>
      </c>
      <c r="R3628" s="20" t="n">
        <v>2023</v>
      </c>
      <c r="S3628" s="20" t="n">
        <v>2024</v>
      </c>
      <c r="T3628" s="20" t="n">
        <v>2025</v>
      </c>
      <c r="U3628" s="20" t="n">
        <v>2026</v>
      </c>
      <c r="V3628" s="20" t="n">
        <v>2027</v>
      </c>
      <c r="W3628" s="20" t="n">
        <v>2028</v>
      </c>
      <c r="X3628" s="20" t="n">
        <v>2029</v>
      </c>
      <c r="Y3628" s="20" t="n">
        <v>2030</v>
      </c>
      <c r="Z3628" s="20" t="n">
        <v>2031</v>
      </c>
      <c r="AA3628" s="20" t="n">
        <v>2032</v>
      </c>
    </row>
    <row r="3629" customFormat="false" ht="15" hidden="false" customHeight="false" outlineLevel="0" collapsed="false">
      <c r="A3629" s="5" t="s">
        <v>549</v>
      </c>
      <c r="B3629" s="0" t="s">
        <v>86</v>
      </c>
      <c r="C3629" s="38" t="n">
        <f aca="false">Sens!$C$3618</f>
        <v>59.248</v>
      </c>
      <c r="D3629" s="38" t="n">
        <f aca="false">Sens!$D$3618</f>
        <v>77.67</v>
      </c>
      <c r="E3629" s="38" t="n">
        <f aca="false">Sens!$E$3618</f>
        <v>92.902</v>
      </c>
      <c r="F3629" s="38" t="n">
        <f aca="false">Sens!$F$3618</f>
        <v>46.2299028668775</v>
      </c>
      <c r="G3629" s="38" t="n">
        <f aca="false">Sens!$G$3618</f>
        <v>139.131902866877</v>
      </c>
      <c r="H3629" s="38" t="n">
        <f aca="false">Sens!$H$3618</f>
        <v>104.870632687743</v>
      </c>
      <c r="I3629" s="38" t="n">
        <f aca="false">Sens!$I$3618</f>
        <v>118.241868071831</v>
      </c>
      <c r="J3629" s="38" t="n">
        <f aca="false">Sens!$J$3618</f>
        <v>131.680869777099</v>
      </c>
      <c r="K3629" s="38" t="n">
        <f aca="false">Sens!$K$3618</f>
        <v>141.343073526439</v>
      </c>
      <c r="L3629" s="38" t="n">
        <f aca="false">Sens!$L$3618</f>
        <v>153.612058615758</v>
      </c>
      <c r="M3629" s="38" t="n">
        <f aca="false">Sens!$M$3618</f>
        <v>167.176781230113</v>
      </c>
    </row>
    <row r="3630" customFormat="false" ht="17.15" hidden="false" customHeight="false" outlineLevel="0" collapsed="false">
      <c r="A3630" s="5" t="s">
        <v>784</v>
      </c>
      <c r="B3630" s="0" t="s">
        <v>86</v>
      </c>
      <c r="C3630" s="38" t="n">
        <f aca="false">Sens!$C$3606</f>
        <v>32.067</v>
      </c>
      <c r="D3630" s="38" t="n">
        <f aca="false">Sens!$D$3606</f>
        <v>41.86</v>
      </c>
      <c r="E3630" s="38" t="n">
        <f aca="false">Sens!$E$3606</f>
        <v>26.703</v>
      </c>
      <c r="F3630" s="38" t="n">
        <f aca="false">Sens!$F$3606</f>
        <v>28.2071421626285</v>
      </c>
      <c r="G3630" s="38" t="n">
        <f aca="false">Sens!$G$3606</f>
        <v>54.9101421626285</v>
      </c>
      <c r="H3630" s="38" t="n">
        <f aca="false">Sens!$H$3606</f>
        <v>78.1799395827871</v>
      </c>
      <c r="I3630" s="38" t="n">
        <f aca="false">Sens!$I$3606</f>
        <v>111.171125554384</v>
      </c>
      <c r="J3630" s="38" t="n">
        <f aca="false">Sens!$J$3606</f>
        <v>144.884406220971</v>
      </c>
      <c r="K3630" s="38" t="n">
        <f aca="false">Sens!$K$3606</f>
        <v>178.806419437999</v>
      </c>
      <c r="L3630" s="38" t="n">
        <f aca="false">Sens!$L$3606</f>
        <v>204.341339029663</v>
      </c>
      <c r="M3630" s="38" t="n">
        <f aca="false">Sens!$M$3606</f>
        <v>223.130577995387</v>
      </c>
    </row>
    <row r="3631" customFormat="false" ht="15" hidden="false" customHeight="false" outlineLevel="0" collapsed="false">
      <c r="A3631" s="5" t="s">
        <v>785</v>
      </c>
      <c r="B3631" s="0" t="s">
        <v>86</v>
      </c>
      <c r="C3631" s="38" t="n">
        <f aca="false">Q!$D$48</f>
        <v>22.011</v>
      </c>
      <c r="D3631" s="38" t="n">
        <f aca="false">Q!$E$48</f>
        <v>19.467</v>
      </c>
      <c r="E3631" s="38" t="n">
        <f aca="false">Q!$P$48</f>
        <v>10.07</v>
      </c>
      <c r="F3631" s="38" t="n">
        <f aca="false">sbc_r*Sens!$F$3548</f>
        <v>10.8507035798037</v>
      </c>
      <c r="G3631" s="38" t="n">
        <f aca="false">Sens!$E$3631+Sens!$F$3631</f>
        <v>20.9207035798037</v>
      </c>
      <c r="H3631" s="38" t="n">
        <f aca="false">sbc_r*Sens!$H$3548</f>
        <v>23.46224366345</v>
      </c>
      <c r="I3631" s="38" t="n">
        <f aca="false">sbc_r*Sens!$I$3548</f>
        <v>26.6125957111676</v>
      </c>
      <c r="J3631" s="38" t="n">
        <f aca="false">sbc_r*Sens!$J$3548</f>
        <v>29.6280801413323</v>
      </c>
      <c r="K3631" s="38" t="n">
        <f aca="false">sbc_r*Sens!$K$3548</f>
        <v>32.2712258901105</v>
      </c>
      <c r="L3631" s="38" t="n">
        <f aca="false">sbc_r*Sens!$L$3548</f>
        <v>34.7390505016737</v>
      </c>
      <c r="M3631" s="38" t="n">
        <f aca="false">sbc_r*Sens!$M$3548</f>
        <v>37.0405146906692</v>
      </c>
    </row>
    <row r="3632" customFormat="false" ht="17.15" hidden="false" customHeight="false" outlineLevel="0" collapsed="false">
      <c r="A3632" s="5" t="s">
        <v>786</v>
      </c>
      <c r="B3632" s="0" t="s">
        <v>86</v>
      </c>
      <c r="C3632" s="38" t="n">
        <f aca="false">Q!$D$44-Sens!$C$3629-Sens!$C$3630-Sens!$C$3631</f>
        <v>2.551</v>
      </c>
      <c r="D3632" s="38" t="n">
        <f aca="false">Q!$E$44-Sens!$D$3629-Sens!$D$3630-Sens!$D$3631</f>
        <v>0.51700000000001</v>
      </c>
      <c r="E3632" s="38" t="n">
        <f aca="false">Q!$P$44-Sens!$E$3629-Sens!$E$3630-Sens!$E$3631</f>
        <v>-58.256</v>
      </c>
      <c r="F3632" s="38" t="n">
        <f aca="false">oth_r*Sens!$F$3548</f>
        <v>5.22265251035878</v>
      </c>
      <c r="G3632" s="38" t="n">
        <f aca="false">Sens!$E$3632+Sens!$F$3632</f>
        <v>-53.0333474896412</v>
      </c>
      <c r="H3632" s="38" t="n">
        <f aca="false">oth_r*Sens!$H$3548</f>
        <v>11.2928295263397</v>
      </c>
      <c r="I3632" s="38" t="n">
        <f aca="false">oth_r*Sens!$I$3548</f>
        <v>12.8091546115766</v>
      </c>
      <c r="J3632" s="38" t="n">
        <f aca="false">oth_r*Sens!$J$3548</f>
        <v>14.2605653162668</v>
      </c>
      <c r="K3632" s="38" t="n">
        <f aca="false">oth_r*Sens!$K$3548</f>
        <v>15.5327622460396</v>
      </c>
      <c r="L3632" s="38" t="n">
        <f aca="false">oth_r*Sens!$L$3548</f>
        <v>16.720573737517</v>
      </c>
      <c r="M3632" s="38" t="n">
        <f aca="false">oth_r*Sens!$M$3548</f>
        <v>17.8283127551536</v>
      </c>
      <c r="P3632" s="8" t="s">
        <v>787</v>
      </c>
    </row>
    <row r="3633" customFormat="false" ht="15" hidden="false" customHeight="false" outlineLevel="0" collapsed="false">
      <c r="A3633" s="3" t="s">
        <v>555</v>
      </c>
      <c r="B3633" s="8" t="s">
        <v>86</v>
      </c>
      <c r="C3633" s="38" t="n">
        <f aca="false">Q!$D$44</f>
        <v>115.877</v>
      </c>
      <c r="D3633" s="38" t="n">
        <f aca="false">Q!$E$44</f>
        <v>139.514</v>
      </c>
      <c r="E3633" s="38" t="n">
        <f aca="false">Q!$P$44</f>
        <v>71.419</v>
      </c>
      <c r="F3633" s="38" t="n">
        <f aca="false">Sens!$F$3629+Sens!$F$3630+Sens!$F$3631+Sens!$F$3632</f>
        <v>90.5104011196685</v>
      </c>
      <c r="G3633" s="38" t="n">
        <f aca="false">Sens!$E$3633+Sens!$F$3633</f>
        <v>161.929401119668</v>
      </c>
      <c r="H3633" s="38" t="n">
        <f aca="false">Sens!$H$3629+Sens!$H$3630+Sens!$H$3631+Sens!$H$3632</f>
        <v>217.805645460319</v>
      </c>
      <c r="I3633" s="38" t="n">
        <f aca="false">Sens!$I$3629+Sens!$I$3630+Sens!$I$3631+Sens!$I$3632</f>
        <v>268.83474394896</v>
      </c>
      <c r="J3633" s="38" t="n">
        <f aca="false">Sens!$J$3629+Sens!$J$3630+Sens!$J$3631+Sens!$J$3632</f>
        <v>320.45392145567</v>
      </c>
      <c r="K3633" s="38" t="n">
        <f aca="false">Sens!$K$3629+Sens!$K$3630+Sens!$K$3631+Sens!$K$3632</f>
        <v>367.953481100589</v>
      </c>
      <c r="L3633" s="38" t="n">
        <f aca="false">Sens!$L$3629+Sens!$L$3630+Sens!$L$3631+Sens!$L$3632</f>
        <v>409.413021884611</v>
      </c>
      <c r="M3633" s="38" t="n">
        <f aca="false">Sens!$M$3629+Sens!$M$3630+Sens!$M$3631+Sens!$M$3632</f>
        <v>445.176186671323</v>
      </c>
    </row>
    <row r="3634" customFormat="false" ht="17.15" hidden="false" customHeight="false" outlineLevel="0" collapsed="false">
      <c r="A3634" s="5" t="s">
        <v>788</v>
      </c>
      <c r="B3634" s="0" t="s">
        <v>86</v>
      </c>
      <c r="C3634" s="38" t="n">
        <f aca="false">Sens!$C$3515</f>
        <v>25.2781053077374</v>
      </c>
      <c r="D3634" s="38" t="n">
        <f aca="false">Sens!$D$3515</f>
        <v>69.5686316310026</v>
      </c>
      <c r="E3634" s="38" t="n">
        <f aca="false">Sens!$E$3515</f>
        <v>64.1899206485108</v>
      </c>
      <c r="F3634" s="38" t="n">
        <f aca="false">Sens!$F$3515</f>
        <v>96.2481299895</v>
      </c>
      <c r="G3634" s="38" t="n">
        <f aca="false">Sens!$G$3515</f>
        <v>160.438050638011</v>
      </c>
      <c r="H3634" s="38" t="n">
        <f aca="false">Sens!$H$3515</f>
        <v>198.57136494475</v>
      </c>
      <c r="I3634" s="38" t="n">
        <f aca="false">Sens!$I$3515</f>
        <v>204.6464699105</v>
      </c>
      <c r="J3634" s="38" t="n">
        <f aca="false">Sens!$J$3515</f>
        <v>209.8832381105</v>
      </c>
      <c r="K3634" s="38" t="n">
        <f aca="false">Sens!$K$3515</f>
        <v>155.238385275201</v>
      </c>
      <c r="L3634" s="38" t="n">
        <f aca="false">Sens!$L$3515</f>
        <v>132.014141639902</v>
      </c>
      <c r="M3634" s="38" t="n">
        <f aca="false">Sens!$M$3515</f>
        <v>132.230981659852</v>
      </c>
    </row>
    <row r="3635" customFormat="false" ht="17.15" hidden="false" customHeight="false" outlineLevel="0" collapsed="false">
      <c r="A3635" s="5" t="s">
        <v>789</v>
      </c>
      <c r="B3635" s="0" t="s">
        <v>86</v>
      </c>
      <c r="C3635" s="38" t="n">
        <f aca="false">cx_awso*Sens!$C$3546</f>
        <v>21.0469989286053</v>
      </c>
      <c r="D3635" s="38" t="n">
        <f aca="false">cx_awso*Sens!$D$3546</f>
        <v>24.0042459822698</v>
      </c>
      <c r="E3635" s="38" t="n">
        <f aca="false">cx_awso*Sens!$E$3546</f>
        <v>14.261729404886</v>
      </c>
      <c r="F3635" s="38" t="n">
        <f aca="false">cx_awso*Sens!$F$3546</f>
        <v>14.3538599588493</v>
      </c>
      <c r="G3635" s="38" t="n">
        <f aca="false">Sens!$E$3635+Sens!$F$3635</f>
        <v>28.6155893637353</v>
      </c>
      <c r="H3635" s="38" t="n">
        <f aca="false">cx_awso*Sens!$H$3546</f>
        <v>32.2034154158406</v>
      </c>
      <c r="I3635" s="38" t="n">
        <f aca="false">cx_awso*Sens!$I$3546</f>
        <v>35.7539519042915</v>
      </c>
      <c r="J3635" s="38" t="n">
        <f aca="false">cx_awso*Sens!$J$3546</f>
        <v>39.1551076091815</v>
      </c>
      <c r="K3635" s="38" t="n">
        <f aca="false">cx_awso*Sens!$K$3546</f>
        <v>42.287516217916</v>
      </c>
      <c r="L3635" s="38" t="n">
        <f aca="false">cx_awso*Sens!$L$3546</f>
        <v>45.6705175153492</v>
      </c>
      <c r="M3635" s="38" t="n">
        <f aca="false">cx_awso*Sens!$M$3546</f>
        <v>49.3241589165772</v>
      </c>
    </row>
    <row r="3636" customFormat="false" ht="17.15" hidden="false" customHeight="false" outlineLevel="0" collapsed="false">
      <c r="A3636" s="5" t="s">
        <v>790</v>
      </c>
      <c r="B3636" s="0" t="s">
        <v>86</v>
      </c>
      <c r="C3636" s="38" t="n">
        <f aca="false">Q!$D$46-Sens!$C$3634-Sens!$C$3635</f>
        <v>31.3328957636573</v>
      </c>
      <c r="D3636" s="38" t="n">
        <f aca="false">Q!$E$46-Sens!$D$3634-Sens!$D$3635</f>
        <v>34.7471223867276</v>
      </c>
      <c r="E3636" s="38" t="n">
        <f aca="false">Q!$P$46-Sens!$E$3634-Sens!$E$3635</f>
        <v>17.8583499466032</v>
      </c>
      <c r="F3636" s="38" t="n">
        <f aca="false">cx_rt*Sens!$F$3478</f>
        <v>20.6195895799373</v>
      </c>
      <c r="G3636" s="38" t="n">
        <f aca="false">Sens!$E$3636+Sens!$F$3636</f>
        <v>38.4779395265405</v>
      </c>
      <c r="H3636" s="38" t="n">
        <f aca="false">cx_rt*Sens!$H$3478</f>
        <v>42.5978994743075</v>
      </c>
      <c r="I3636" s="38" t="n">
        <f aca="false">cx_rt*Sens!$I$3478</f>
        <v>46.5813904136335</v>
      </c>
      <c r="J3636" s="38" t="n">
        <f aca="false">cx_rt*Sens!$J$3478</f>
        <v>50.2781676586844</v>
      </c>
      <c r="K3636" s="38" t="n">
        <f aca="false">cx_rt*Sens!$K$3478</f>
        <v>53.5312440191755</v>
      </c>
      <c r="L3636" s="38" t="n">
        <f aca="false">cx_rt*Sens!$L$3478</f>
        <v>57.0116717051447</v>
      </c>
      <c r="M3636" s="38" t="n">
        <f aca="false">cx_rt*Sens!$M$3478</f>
        <v>60.7365554669226</v>
      </c>
    </row>
    <row r="3637" customFormat="false" ht="15" hidden="false" customHeight="false" outlineLevel="0" collapsed="false">
      <c r="A3637" s="3" t="s">
        <v>791</v>
      </c>
      <c r="B3637" s="8" t="s">
        <v>86</v>
      </c>
      <c r="C3637" s="38" t="n">
        <f aca="false">Q!$D$46</f>
        <v>77.658</v>
      </c>
      <c r="D3637" s="38" t="n">
        <f aca="false">Q!$E$46</f>
        <v>128.32</v>
      </c>
      <c r="E3637" s="38" t="n">
        <f aca="false">Q!$P$46</f>
        <v>96.31</v>
      </c>
      <c r="F3637" s="38" t="n">
        <f aca="false">Sens!$F$3634+Sens!$F$3635+Sens!$F$3636</f>
        <v>131.221579528287</v>
      </c>
      <c r="G3637" s="38" t="n">
        <f aca="false">Sens!$E$3637+Sens!$F$3637</f>
        <v>227.531579528287</v>
      </c>
      <c r="H3637" s="38" t="n">
        <f aca="false">Sens!$H$3634+Sens!$H$3635+Sens!$H$3636</f>
        <v>273.372679834898</v>
      </c>
      <c r="I3637" s="38" t="n">
        <f aca="false">Sens!$I$3634+Sens!$I$3635+Sens!$I$3636</f>
        <v>286.981812228425</v>
      </c>
      <c r="J3637" s="38" t="n">
        <f aca="false">Sens!$J$3634+Sens!$J$3635+Sens!$J$3636</f>
        <v>299.316513378366</v>
      </c>
      <c r="K3637" s="38" t="n">
        <f aca="false">Sens!$K$3634+Sens!$K$3635+Sens!$K$3636</f>
        <v>251.057145512292</v>
      </c>
      <c r="L3637" s="38" t="n">
        <f aca="false">Sens!$L$3634+Sens!$L$3635+Sens!$L$3636</f>
        <v>234.696330860396</v>
      </c>
      <c r="M3637" s="38" t="n">
        <f aca="false">Sens!$M$3634+Sens!$M$3635+Sens!$M$3636</f>
        <v>242.291696043352</v>
      </c>
    </row>
    <row r="3638" customFormat="false" ht="17.15" hidden="false" customHeight="false" outlineLevel="0" collapsed="false">
      <c r="A3638" s="5" t="s">
        <v>563</v>
      </c>
      <c r="B3638" s="0" t="s">
        <v>86</v>
      </c>
      <c r="C3638" s="38" t="n">
        <f aca="false">Q!$D$50</f>
        <v>2.043</v>
      </c>
      <c r="D3638" s="38" t="n">
        <f aca="false">Q!$E$50</f>
        <v>1.557</v>
      </c>
      <c r="E3638" s="38" t="n">
        <f aca="false">lease_pr/2</f>
        <v>0.8</v>
      </c>
      <c r="F3638" s="38" t="n">
        <f aca="false">lease_pr/2</f>
        <v>0.8</v>
      </c>
      <c r="G3638" s="38" t="n">
        <f aca="false">Sens!$E$3638+Sens!$F$3638</f>
        <v>1.6</v>
      </c>
      <c r="H3638" s="38" t="n">
        <f aca="false">lease_pr</f>
        <v>1.6</v>
      </c>
      <c r="I3638" s="38" t="n">
        <f aca="false">lease_pr</f>
        <v>1.6</v>
      </c>
      <c r="J3638" s="38" t="n">
        <f aca="false">lease_pr</f>
        <v>1.6</v>
      </c>
      <c r="K3638" s="38" t="n">
        <f aca="false">lease_pr</f>
        <v>1.6</v>
      </c>
      <c r="L3638" s="38" t="n">
        <f aca="false">lease_pr</f>
        <v>1.6</v>
      </c>
      <c r="M3638" s="38" t="n">
        <f aca="false">lease_pr</f>
        <v>1.6</v>
      </c>
      <c r="P3638" s="8" t="s">
        <v>792</v>
      </c>
    </row>
    <row r="3639" customFormat="false" ht="15" hidden="false" customHeight="false" outlineLevel="0" collapsed="false">
      <c r="A3639" s="47" t="s">
        <v>793</v>
      </c>
      <c r="B3639" s="14" t="s">
        <v>86</v>
      </c>
      <c r="C3639" s="48" t="n">
        <f aca="false">Sens!$C$3633-Sens!$C$3637-Sens!$C$3638</f>
        <v>36.176</v>
      </c>
      <c r="D3639" s="48" t="n">
        <f aca="false">Sens!$D$3633-Sens!$D$3637-Sens!$D$3638</f>
        <v>9.63700000000002</v>
      </c>
      <c r="E3639" s="48" t="n">
        <f aca="false">Sens!$E$3633-Sens!$E$3637-Sens!$E$3638</f>
        <v>-25.691</v>
      </c>
      <c r="F3639" s="48" t="n">
        <f aca="false">Sens!$F$3633-Sens!$F$3637-Sens!$F$3638</f>
        <v>-41.5111784086182</v>
      </c>
      <c r="G3639" s="48" t="n">
        <f aca="false">Sens!$G$3633-Sens!$G$3637-Sens!$G$3638</f>
        <v>-67.2021784086182</v>
      </c>
      <c r="H3639" s="48" t="n">
        <f aca="false">Sens!$H$3633-Sens!$H$3637-Sens!$H$3638</f>
        <v>-57.1670343745788</v>
      </c>
      <c r="I3639" s="48" t="n">
        <f aca="false">Sens!$I$3633-Sens!$I$3637-Sens!$I$3638</f>
        <v>-19.7470682794651</v>
      </c>
      <c r="J3639" s="48" t="n">
        <f aca="false">Sens!$J$3633-Sens!$J$3637-Sens!$J$3638</f>
        <v>19.5374080773037</v>
      </c>
      <c r="K3639" s="48" t="n">
        <f aca="false">Sens!$K$3633-Sens!$K$3637-Sens!$K$3638</f>
        <v>115.296335588296</v>
      </c>
      <c r="L3639" s="48" t="n">
        <f aca="false">Sens!$L$3633-Sens!$L$3637-Sens!$L$3638</f>
        <v>173.116691024216</v>
      </c>
      <c r="M3639" s="48" t="n">
        <f aca="false">Sens!$M$3633-Sens!$M$3637-Sens!$M$3638</f>
        <v>201.28449062797</v>
      </c>
      <c r="N3639" s="14"/>
      <c r="O3639" s="14"/>
    </row>
    <row r="3640" customFormat="false" ht="17.15" hidden="false" customHeight="false" outlineLevel="0" collapsed="false">
      <c r="A3640" s="5" t="s">
        <v>794</v>
      </c>
      <c r="B3640" s="0" t="s">
        <v>86</v>
      </c>
      <c r="C3640" s="38" t="n">
        <f aca="false">dps*Sens!$C$3619</f>
        <v>0</v>
      </c>
      <c r="D3640" s="38" t="n">
        <f aca="false">dps*Sens!$D$3619</f>
        <v>0</v>
      </c>
      <c r="E3640" s="38" t="n">
        <f aca="false">dps*Sens!$E$3619</f>
        <v>0</v>
      </c>
      <c r="F3640" s="38" t="n">
        <f aca="false">0</f>
        <v>0</v>
      </c>
      <c r="G3640" s="38" t="n">
        <f aca="false">dps*Sens!$G$3619</f>
        <v>0</v>
      </c>
      <c r="H3640" s="38" t="n">
        <f aca="false">dps*Sens!$H$3619</f>
        <v>0</v>
      </c>
      <c r="I3640" s="38" t="n">
        <f aca="false">dps*Sens!$I$3619</f>
        <v>0</v>
      </c>
      <c r="J3640" s="38" t="n">
        <f aca="false">dps*Sens!$J$3619</f>
        <v>0</v>
      </c>
      <c r="K3640" s="38" t="n">
        <f aca="false">dps*Sens!$K$3619</f>
        <v>0</v>
      </c>
      <c r="L3640" s="38" t="n">
        <f aca="false">dps*Sens!$L$3619</f>
        <v>0</v>
      </c>
      <c r="M3640" s="38" t="n">
        <f aca="false">dps*Sens!$M$3619</f>
        <v>0</v>
      </c>
      <c r="P3640" s="8" t="s">
        <v>795</v>
      </c>
    </row>
    <row r="3641" customFormat="false" ht="17.15" hidden="false" customHeight="false" outlineLevel="0" collapsed="false">
      <c r="A3641" s="5" t="s">
        <v>796</v>
      </c>
      <c r="B3641" s="0" t="s">
        <v>86</v>
      </c>
      <c r="C3641" s="38" t="n">
        <f aca="false">0</f>
        <v>0</v>
      </c>
      <c r="D3641" s="38" t="n">
        <f aca="false">0</f>
        <v>0</v>
      </c>
      <c r="E3641" s="38" t="n">
        <f aca="false">0</f>
        <v>0</v>
      </c>
      <c r="F3641" s="38" t="n">
        <f aca="false">0</f>
        <v>0</v>
      </c>
      <c r="G3641" s="38" t="n">
        <f aca="false">0</f>
        <v>0</v>
      </c>
      <c r="H3641" s="38" t="n">
        <f aca="false">0</f>
        <v>0</v>
      </c>
      <c r="I3641" s="38" t="n">
        <f aca="false">0</f>
        <v>0</v>
      </c>
      <c r="J3641" s="38" t="n">
        <f aca="false">0</f>
        <v>0</v>
      </c>
      <c r="K3641" s="38" t="n">
        <f aca="false">0</f>
        <v>0</v>
      </c>
      <c r="L3641" s="38" t="n">
        <f aca="false">0</f>
        <v>0</v>
      </c>
      <c r="M3641" s="38" t="n">
        <f aca="false">0</f>
        <v>0</v>
      </c>
      <c r="P3641" s="8" t="s">
        <v>797</v>
      </c>
    </row>
    <row r="3642" customFormat="false" ht="15" hidden="false" customHeight="false" outlineLevel="0" collapsed="false">
      <c r="A3642" s="3" t="s">
        <v>798</v>
      </c>
      <c r="B3642" s="8" t="s">
        <v>86</v>
      </c>
      <c r="C3642" s="38" t="n">
        <f aca="false">Sens!$C$3639-Sens!$C$3640</f>
        <v>36.176</v>
      </c>
      <c r="D3642" s="38" t="n">
        <f aca="false">Sens!$D$3639-Sens!$D$3640</f>
        <v>9.63700000000002</v>
      </c>
      <c r="E3642" s="38" t="n">
        <f aca="false">Sens!$E$3639-Sens!$E$3640</f>
        <v>-25.691</v>
      </c>
      <c r="F3642" s="38" t="n">
        <f aca="false">Sens!$F$3639-Sens!$F$3640</f>
        <v>-41.5111784086182</v>
      </c>
      <c r="G3642" s="38" t="n">
        <f aca="false">Sens!$G$3639-Sens!$G$3640</f>
        <v>-67.2021784086182</v>
      </c>
      <c r="H3642" s="38" t="n">
        <f aca="false">Sens!$H$3639-Sens!$H$3640</f>
        <v>-57.1670343745788</v>
      </c>
      <c r="I3642" s="38" t="n">
        <f aca="false">Sens!$I$3639-Sens!$I$3640</f>
        <v>-19.7470682794651</v>
      </c>
      <c r="J3642" s="38" t="n">
        <f aca="false">Sens!$J$3639-Sens!$J$3640</f>
        <v>19.5374080773037</v>
      </c>
      <c r="K3642" s="38" t="n">
        <f aca="false">Sens!$K$3639-Sens!$K$3640</f>
        <v>115.296335588296</v>
      </c>
      <c r="L3642" s="38" t="n">
        <f aca="false">Sens!$L$3639-Sens!$L$3640</f>
        <v>173.116691024216</v>
      </c>
      <c r="M3642" s="38" t="n">
        <f aca="false">Sens!$M$3639-Sens!$M$3640</f>
        <v>201.28449062797</v>
      </c>
    </row>
    <row r="3643" customFormat="false" ht="17.15" hidden="false" customHeight="false" outlineLevel="0" collapsed="false">
      <c r="A3643" s="5" t="s">
        <v>799</v>
      </c>
      <c r="B3643" s="0" t="s">
        <v>86</v>
      </c>
      <c r="E3643" s="38" t="n">
        <f aca="false">Q!$P$53</f>
        <v>39.767</v>
      </c>
      <c r="F3643" s="38" t="n">
        <f aca="false">inv_2h26</f>
        <v>21.3</v>
      </c>
      <c r="G3643" s="38" t="n">
        <f aca="false">Sens!$E$3643+Sens!$F$3643</f>
        <v>61.067</v>
      </c>
      <c r="H3643" s="39" t="n">
        <v>0</v>
      </c>
      <c r="I3643" s="39" t="n">
        <v>0</v>
      </c>
      <c r="J3643" s="39" t="n">
        <v>0</v>
      </c>
      <c r="K3643" s="39" t="n">
        <v>0</v>
      </c>
      <c r="L3643" s="39" t="n">
        <v>0</v>
      </c>
      <c r="M3643" s="39" t="n">
        <v>0</v>
      </c>
    </row>
    <row r="3644" customFormat="false" ht="17.15" hidden="false" customHeight="false" outlineLevel="0" collapsed="false">
      <c r="A3644" s="5" t="s">
        <v>800</v>
      </c>
      <c r="B3644" s="0" t="s">
        <v>86</v>
      </c>
      <c r="F3644" s="38" t="n">
        <f aca="false">iss_2h26</f>
        <v>29.249999</v>
      </c>
      <c r="G3644" s="38" t="n">
        <f aca="false">Sens!$F$3644</f>
        <v>29.249999</v>
      </c>
      <c r="H3644" s="39" t="n">
        <v>0</v>
      </c>
      <c r="I3644" s="39" t="n">
        <v>0</v>
      </c>
      <c r="J3644" s="39" t="n">
        <v>0</v>
      </c>
      <c r="K3644" s="39" t="n">
        <v>0</v>
      </c>
      <c r="L3644" s="39" t="n">
        <v>0</v>
      </c>
      <c r="M3644" s="39" t="n">
        <v>0</v>
      </c>
    </row>
    <row r="3645" customFormat="false" ht="17.15" hidden="false" customHeight="false" outlineLevel="0" collapsed="false">
      <c r="A3645" s="5" t="s">
        <v>801</v>
      </c>
      <c r="B3645" s="0" t="s">
        <v>86</v>
      </c>
      <c r="F3645" s="38" t="n">
        <f aca="false">cash_q2</f>
        <v>122.988</v>
      </c>
      <c r="G3645" s="38" t="n">
        <f aca="false">cash_q2</f>
        <v>122.988</v>
      </c>
      <c r="H3645" s="38" t="n">
        <f aca="false">Sens!$G$3648</f>
        <v>89.4268205913819</v>
      </c>
      <c r="I3645" s="38" t="n">
        <f aca="false">Sens!$H$3648</f>
        <v>50</v>
      </c>
      <c r="J3645" s="38" t="n">
        <f aca="false">Sens!$I$3648</f>
        <v>50</v>
      </c>
      <c r="K3645" s="38" t="n">
        <f aca="false">Sens!$J$3648</f>
        <v>69.5374080773038</v>
      </c>
      <c r="L3645" s="38" t="n">
        <f aca="false">Sens!$K$3648</f>
        <v>184.8337436656</v>
      </c>
      <c r="M3645" s="38" t="n">
        <f aca="false">Sens!$L$3648</f>
        <v>357.950434689816</v>
      </c>
    </row>
    <row r="3646" customFormat="false" ht="15" hidden="false" customHeight="false" outlineLevel="0" collapsed="false">
      <c r="A3646" s="5" t="s">
        <v>802</v>
      </c>
      <c r="B3646" s="0" t="s">
        <v>86</v>
      </c>
      <c r="F3646" s="38" t="n">
        <f aca="false">Sens!$F$3645+Sens!$F$3642-Sens!$F$3641-Sens!$F$3643+Sens!$F$3644</f>
        <v>89.4268205913819</v>
      </c>
      <c r="H3646" s="38" t="n">
        <f aca="false">Sens!$H$3645+Sens!$H$3642-Sens!$H$3641-Sens!$H$3643+Sens!$H$3644</f>
        <v>32.2597862168031</v>
      </c>
      <c r="I3646" s="38" t="n">
        <f aca="false">Sens!$I$3645+Sens!$I$3642-Sens!$I$3641-Sens!$I$3643+Sens!$I$3644</f>
        <v>30.2529317205349</v>
      </c>
      <c r="J3646" s="38" t="n">
        <f aca="false">Sens!$J$3645+Sens!$J$3642-Sens!$J$3641-Sens!$J$3643+Sens!$J$3644</f>
        <v>69.5374080773038</v>
      </c>
      <c r="K3646" s="38" t="n">
        <f aca="false">Sens!$K$3645+Sens!$K$3642-Sens!$K$3641-Sens!$K$3643+Sens!$K$3644</f>
        <v>184.8337436656</v>
      </c>
      <c r="L3646" s="38" t="n">
        <f aca="false">Sens!$L$3645+Sens!$L$3642-Sens!$L$3641-Sens!$L$3643+Sens!$L$3644</f>
        <v>357.950434689816</v>
      </c>
      <c r="M3646" s="38" t="n">
        <f aca="false">Sens!$M$3645+Sens!$M$3642-Sens!$M$3641-Sens!$M$3643+Sens!$M$3644</f>
        <v>559.234925317786</v>
      </c>
    </row>
    <row r="3647" customFormat="false" ht="17.15" hidden="false" customHeight="false" outlineLevel="0" collapsed="false">
      <c r="A3647" s="5" t="s">
        <v>803</v>
      </c>
      <c r="B3647" s="0" t="s">
        <v>86</v>
      </c>
      <c r="F3647" s="38" t="n">
        <f aca="false">MAX(0,min_cash-Sens!$F$3646)</f>
        <v>0</v>
      </c>
      <c r="G3647" s="38" t="n">
        <f aca="false">Sens!$F$3647</f>
        <v>0</v>
      </c>
      <c r="H3647" s="38" t="n">
        <f aca="false">MAX(0,min_cash-Sens!$H$3646)</f>
        <v>17.7402137831969</v>
      </c>
      <c r="I3647" s="38" t="n">
        <f aca="false">MAX(0,min_cash-Sens!$I$3646)</f>
        <v>19.7470682794651</v>
      </c>
      <c r="J3647" s="38" t="n">
        <f aca="false">MAX(0,min_cash-Sens!$J$3646)</f>
        <v>0</v>
      </c>
      <c r="K3647" s="38" t="n">
        <f aca="false">MAX(0,min_cash-Sens!$K$3646)</f>
        <v>0</v>
      </c>
      <c r="L3647" s="38" t="n">
        <f aca="false">MAX(0,min_cash-Sens!$L$3646)</f>
        <v>0</v>
      </c>
      <c r="M3647" s="38" t="n">
        <f aca="false">MAX(0,min_cash-Sens!$M$3646)</f>
        <v>0</v>
      </c>
      <c r="P3647" s="5" t="s">
        <v>804</v>
      </c>
    </row>
    <row r="3648" customFormat="false" ht="15" hidden="false" customHeight="false" outlineLevel="0" collapsed="false">
      <c r="A3648" s="5" t="s">
        <v>805</v>
      </c>
      <c r="B3648" s="0" t="s">
        <v>86</v>
      </c>
      <c r="D3648" s="38" t="n">
        <f aca="false">Q!$E$61</f>
        <v>123.029</v>
      </c>
      <c r="E3648" s="38" t="n">
        <f aca="false">Q!$M$61</f>
        <v>122.988</v>
      </c>
      <c r="F3648" s="38" t="n">
        <f aca="false">Sens!$F$3646+Sens!$F$3647</f>
        <v>89.4268205913819</v>
      </c>
      <c r="G3648" s="38" t="n">
        <f aca="false">Sens!$F$3648</f>
        <v>89.4268205913819</v>
      </c>
      <c r="H3648" s="38" t="n">
        <f aca="false">Sens!$H$3646+Sens!$H$3647</f>
        <v>50</v>
      </c>
      <c r="I3648" s="38" t="n">
        <f aca="false">Sens!$I$3646+Sens!$I$3647</f>
        <v>50</v>
      </c>
      <c r="J3648" s="38" t="n">
        <f aca="false">Sens!$J$3646+Sens!$J$3647</f>
        <v>69.5374080773038</v>
      </c>
      <c r="K3648" s="38" t="n">
        <f aca="false">Sens!$K$3646+Sens!$K$3647</f>
        <v>184.8337436656</v>
      </c>
      <c r="L3648" s="38" t="n">
        <f aca="false">Sens!$L$3646+Sens!$L$3647</f>
        <v>357.950434689816</v>
      </c>
      <c r="M3648" s="38" t="n">
        <f aca="false">Sens!$M$3646+Sens!$M$3647</f>
        <v>559.234925317786</v>
      </c>
    </row>
    <row r="3649" customFormat="false" ht="15" hidden="false" customHeight="false" outlineLevel="0" collapsed="false">
      <c r="A3649" s="5" t="s">
        <v>806</v>
      </c>
      <c r="B3649" s="0" t="s">
        <v>86</v>
      </c>
      <c r="D3649" s="38" t="n">
        <f aca="false">Q!$E$62</f>
        <v>68.836</v>
      </c>
      <c r="E3649" s="38" t="n">
        <f aca="false">Q!$M$62</f>
        <v>132.995</v>
      </c>
      <c r="F3649" s="38" t="n">
        <f aca="false">debt_q2+Sens!$F$3644+Sens!$F$3647</f>
        <v>162.244999</v>
      </c>
      <c r="G3649" s="38" t="n">
        <f aca="false">Sens!$F$3649</f>
        <v>162.244999</v>
      </c>
      <c r="H3649" s="38" t="n">
        <f aca="false">Sens!$G$3649+Sens!$H$3647</f>
        <v>179.985212783197</v>
      </c>
      <c r="I3649" s="38" t="n">
        <f aca="false">Sens!$H$3649+Sens!$I$3647</f>
        <v>199.732281062662</v>
      </c>
      <c r="J3649" s="38" t="n">
        <f aca="false">Sens!$I$3649+Sens!$J$3647</f>
        <v>199.732281062662</v>
      </c>
      <c r="K3649" s="38" t="n">
        <f aca="false">Sens!$J$3649+Sens!$K$3647</f>
        <v>199.732281062662</v>
      </c>
      <c r="L3649" s="38" t="n">
        <f aca="false">Sens!$K$3649+Sens!$L$3647</f>
        <v>199.732281062662</v>
      </c>
      <c r="M3649" s="38" t="n">
        <f aca="false">Sens!$L$3649+Sens!$M$3647</f>
        <v>199.732281062662</v>
      </c>
    </row>
    <row r="3650" customFormat="false" ht="15" hidden="false" customHeight="false" outlineLevel="0" collapsed="false">
      <c r="A3650" s="5" t="s">
        <v>807</v>
      </c>
      <c r="B3650" s="0" t="s">
        <v>86</v>
      </c>
      <c r="D3650" s="38" t="n">
        <f aca="false">Sens!$D$3649-Sens!$D$3648</f>
        <v>-54.193</v>
      </c>
      <c r="E3650" s="38" t="n">
        <f aca="false">Sens!$E$3649-Sens!$E$3648</f>
        <v>10.007</v>
      </c>
      <c r="F3650" s="38" t="n">
        <f aca="false">Sens!$F$3649-Sens!$F$3648</f>
        <v>72.8181784086182</v>
      </c>
      <c r="G3650" s="38" t="n">
        <f aca="false">Sens!$G$3649-Sens!$G$3648</f>
        <v>72.8181784086182</v>
      </c>
      <c r="H3650" s="38" t="n">
        <f aca="false">Sens!$H$3649-Sens!$H$3648</f>
        <v>129.985212783197</v>
      </c>
      <c r="I3650" s="38" t="n">
        <f aca="false">Sens!$I$3649-Sens!$I$3648</f>
        <v>149.732281062662</v>
      </c>
      <c r="J3650" s="38" t="n">
        <f aca="false">Sens!$J$3649-Sens!$J$3648</f>
        <v>130.194872985358</v>
      </c>
      <c r="K3650" s="38" t="n">
        <f aca="false">Sens!$K$3649-Sens!$K$3648</f>
        <v>14.8985373970619</v>
      </c>
      <c r="L3650" s="38" t="n">
        <f aca="false">Sens!$L$3649-Sens!$L$3648</f>
        <v>-158.218153627154</v>
      </c>
      <c r="M3650" s="38" t="n">
        <f aca="false">Sens!$M$3649-Sens!$M$3648</f>
        <v>-359.502644255124</v>
      </c>
    </row>
    <row r="3651" customFormat="false" ht="17.15" hidden="false" customHeight="false" outlineLevel="0" collapsed="false">
      <c r="A3651" s="5" t="s">
        <v>808</v>
      </c>
      <c r="B3651" s="0" t="s">
        <v>86</v>
      </c>
      <c r="F3651" s="38" t="n">
        <f aca="false">debt_q2*kd_book*0.5+iss_2h26*kd_new*iss_t</f>
        <v>3.24888962733561</v>
      </c>
      <c r="H3651" s="38" t="n">
        <f aca="false">debt_q2*kd_book+(Sens!$G$3649-debt_q2)*kd_new</f>
        <v>7.42354172302123</v>
      </c>
      <c r="I3651" s="38" t="n">
        <f aca="false">debt_q2*kd_book+(Sens!$H$3649-debt_q2)*kd_new</f>
        <v>8.5464972554976</v>
      </c>
      <c r="J3651" s="38" t="n">
        <f aca="false">debt_q2*kd_book+(Sens!$I$3649-debt_q2)*kd_new</f>
        <v>9.79648667758774</v>
      </c>
      <c r="K3651" s="38" t="n">
        <f aca="false">debt_q2*kd_book+(Sens!$J$3649-debt_q2)*kd_new</f>
        <v>9.79648667758774</v>
      </c>
      <c r="L3651" s="38" t="n">
        <f aca="false">debt_q2*kd_book+(Sens!$K$3649-debt_q2)*kd_new</f>
        <v>9.79648667758774</v>
      </c>
      <c r="M3651" s="38" t="n">
        <f aca="false">debt_q2*kd_book+(Sens!$L$3649-debt_q2)*kd_new</f>
        <v>9.79648667758774</v>
      </c>
    </row>
    <row r="3652" customFormat="false" ht="17.15" hidden="false" customHeight="false" outlineLevel="0" collapsed="false">
      <c r="A3652" s="5" t="s">
        <v>809</v>
      </c>
      <c r="B3652" s="0" t="s">
        <v>86</v>
      </c>
      <c r="F3652" s="38" t="n">
        <f aca="false">cash_q2*y_cash*0.5</f>
        <v>2.59</v>
      </c>
      <c r="H3652" s="38" t="n">
        <f aca="false">Sens!$G$3648*y_cash</f>
        <v>3.76647258808467</v>
      </c>
      <c r="I3652" s="38" t="n">
        <f aca="false">Sens!$H$3648*y_cash</f>
        <v>2.10589651022864</v>
      </c>
      <c r="J3652" s="38" t="n">
        <f aca="false">Sens!$I$3648*y_cash</f>
        <v>2.10589651022864</v>
      </c>
      <c r="K3652" s="38" t="n">
        <f aca="false">Sens!$J$3648*y_cash</f>
        <v>2.92877170000678</v>
      </c>
      <c r="L3652" s="38" t="n">
        <f aca="false">Sens!$K$3648*y_cash</f>
        <v>7.78481471515765</v>
      </c>
      <c r="M3652" s="38" t="n">
        <f aca="false">Sens!$L$3648*y_cash</f>
        <v>15.0761314249622</v>
      </c>
    </row>
    <row r="3653" customFormat="false" ht="17.15" hidden="false" customHeight="false" outlineLevel="0" collapsed="false">
      <c r="A3653" s="47" t="s">
        <v>810</v>
      </c>
      <c r="B3653" s="14" t="s">
        <v>86</v>
      </c>
      <c r="C3653" s="14"/>
      <c r="D3653" s="14"/>
      <c r="E3653" s="14"/>
      <c r="F3653" s="14"/>
      <c r="G3653" s="48" t="n">
        <f aca="false">SUM(Sens!$G$3642:$K$3642)</f>
        <v>-9.28253739706196</v>
      </c>
      <c r="H3653" s="14"/>
      <c r="I3653" s="14"/>
      <c r="J3653" s="14"/>
      <c r="K3653" s="14"/>
      <c r="L3653" s="14"/>
      <c r="M3653" s="14"/>
      <c r="N3653" s="14"/>
      <c r="O3653" s="14"/>
    </row>
    <row r="3654" customFormat="false" ht="17.15" hidden="false" customHeight="false" outlineLevel="0" collapsed="false">
      <c r="A3654" s="0" t="s">
        <v>776</v>
      </c>
      <c r="B3654" s="0" t="s">
        <v>86</v>
      </c>
      <c r="G3654" s="38" t="n">
        <f aca="false">SUM(Sens!$G$3647:$K$3647)</f>
        <v>37.4872820626621</v>
      </c>
    </row>
    <row r="3655" customFormat="false" ht="17.15" hidden="false" customHeight="false" outlineLevel="0" collapsed="false">
      <c r="A3655" s="24" t="s">
        <v>813</v>
      </c>
      <c r="B3655" s="25" t="s">
        <v>86</v>
      </c>
      <c r="C3655" s="25"/>
      <c r="D3655" s="25"/>
      <c r="E3655" s="25"/>
      <c r="F3655" s="25"/>
      <c r="G3655" s="41" t="n">
        <f aca="false">Sens!$G$3653-(Sens!$G$3642+Sens!$H$3642+Sens!$I$3642+Sens!$J$3642+Sens!$K$3642)</f>
        <v>0</v>
      </c>
      <c r="H3655" s="25"/>
      <c r="I3655" s="25"/>
      <c r="J3655" s="25"/>
      <c r="K3655" s="25"/>
      <c r="L3655" s="25"/>
      <c r="M3655" s="25"/>
      <c r="N3655" s="25"/>
      <c r="O3655" s="25"/>
    </row>
    <row r="3658" customFormat="false" ht="19.4" hidden="false" customHeight="false" outlineLevel="0" collapsed="false">
      <c r="A3658" s="31" t="s">
        <v>1209</v>
      </c>
    </row>
    <row r="3659" customFormat="false" ht="17.15" hidden="false" customHeight="false" outlineLevel="0" collapsed="false">
      <c r="A3659" s="6" t="s">
        <v>16</v>
      </c>
      <c r="B3659" s="6" t="s">
        <v>17</v>
      </c>
      <c r="C3659" s="20" t="s">
        <v>497</v>
      </c>
      <c r="D3659" s="20" t="s">
        <v>498</v>
      </c>
      <c r="E3659" s="20" t="s">
        <v>580</v>
      </c>
      <c r="F3659" s="20" t="s">
        <v>581</v>
      </c>
      <c r="G3659" s="20" t="s">
        <v>582</v>
      </c>
      <c r="H3659" s="20" t="s">
        <v>583</v>
      </c>
      <c r="I3659" s="20" t="s">
        <v>584</v>
      </c>
      <c r="J3659" s="20" t="s">
        <v>585</v>
      </c>
      <c r="K3659" s="20" t="s">
        <v>586</v>
      </c>
      <c r="L3659" s="20" t="s">
        <v>587</v>
      </c>
      <c r="M3659" s="20" t="s">
        <v>588</v>
      </c>
      <c r="N3659" s="20" t="s">
        <v>589</v>
      </c>
      <c r="O3659" s="20" t="s">
        <v>590</v>
      </c>
      <c r="P3659" s="6" t="s">
        <v>23</v>
      </c>
      <c r="R3659" s="20" t="n">
        <v>2023</v>
      </c>
      <c r="S3659" s="20" t="n">
        <v>2024</v>
      </c>
      <c r="T3659" s="20" t="n">
        <v>2025</v>
      </c>
      <c r="U3659" s="20" t="n">
        <v>2026</v>
      </c>
      <c r="V3659" s="20" t="n">
        <v>2027</v>
      </c>
      <c r="W3659" s="20" t="n">
        <v>2028</v>
      </c>
      <c r="X3659" s="20" t="n">
        <v>2029</v>
      </c>
      <c r="Y3659" s="20" t="n">
        <v>2030</v>
      </c>
      <c r="Z3659" s="20" t="n">
        <v>2031</v>
      </c>
      <c r="AA3659" s="20" t="n">
        <v>2032</v>
      </c>
    </row>
    <row r="3660" customFormat="false" ht="17.15" hidden="false" customHeight="false" outlineLevel="0" collapsed="false">
      <c r="A3660" s="1" t="s">
        <v>915</v>
      </c>
    </row>
    <row r="3661" customFormat="false" ht="17.15" hidden="false" customHeight="false" outlineLevel="0" collapsed="false">
      <c r="A3661" s="0" t="s">
        <v>916</v>
      </c>
      <c r="B3661" s="0" t="s">
        <v>86</v>
      </c>
      <c r="H3661" s="38" t="n">
        <f aca="false">Sens!$H$3595*(1-tax)</f>
        <v>120.424287163416</v>
      </c>
      <c r="I3661" s="38" t="n">
        <f aca="false">Sens!$I$3595*(1-tax)</f>
        <v>144.705745260517</v>
      </c>
      <c r="J3661" s="38" t="n">
        <f aca="false">Sens!$J$3595*(1-tax)</f>
        <v>167.825929435105</v>
      </c>
      <c r="K3661" s="38" t="n">
        <f aca="false">Sens!$K$3595*(1-tax)</f>
        <v>184.185965147328</v>
      </c>
      <c r="L3661" s="38" t="n">
        <f aca="false">Sens!$L$3595*(1-tax)</f>
        <v>197.290612793428</v>
      </c>
      <c r="M3661" s="38" t="n">
        <f aca="false">Sens!$M$3595*(1-tax)</f>
        <v>207.14312330778</v>
      </c>
    </row>
    <row r="3662" customFormat="false" ht="15" hidden="false" customHeight="false" outlineLevel="0" collapsed="false">
      <c r="A3662" s="5" t="s">
        <v>917</v>
      </c>
      <c r="B3662" s="0" t="s">
        <v>86</v>
      </c>
      <c r="H3662" s="38" t="n">
        <f aca="false">Sens!$H$3606</f>
        <v>78.1799395827871</v>
      </c>
      <c r="I3662" s="38" t="n">
        <f aca="false">Sens!$I$3606</f>
        <v>111.171125554384</v>
      </c>
      <c r="J3662" s="38" t="n">
        <f aca="false">Sens!$J$3606</f>
        <v>144.884406220971</v>
      </c>
      <c r="K3662" s="38" t="n">
        <f aca="false">Sens!$K$3606</f>
        <v>178.806419437999</v>
      </c>
      <c r="L3662" s="38" t="n">
        <f aca="false">Sens!$L$3606</f>
        <v>204.341339029663</v>
      </c>
      <c r="M3662" s="38" t="n">
        <f aca="false">Sens!$M$3606</f>
        <v>223.130577995387</v>
      </c>
    </row>
    <row r="3663" customFormat="false" ht="15" hidden="false" customHeight="false" outlineLevel="0" collapsed="false">
      <c r="A3663" s="5" t="s">
        <v>918</v>
      </c>
      <c r="B3663" s="0" t="s">
        <v>86</v>
      </c>
      <c r="H3663" s="38" t="n">
        <f aca="false">Sens!$H$3637</f>
        <v>273.372679834898</v>
      </c>
      <c r="I3663" s="38" t="n">
        <f aca="false">Sens!$I$3637</f>
        <v>286.981812228425</v>
      </c>
      <c r="J3663" s="38" t="n">
        <f aca="false">Sens!$J$3637</f>
        <v>299.316513378366</v>
      </c>
      <c r="K3663" s="38" t="n">
        <f aca="false">Sens!$K$3637</f>
        <v>251.057145512292</v>
      </c>
      <c r="L3663" s="38" t="n">
        <f aca="false">Sens!$L$3637</f>
        <v>234.696330860396</v>
      </c>
      <c r="M3663" s="38" t="n">
        <f aca="false">Sens!$M$3637</f>
        <v>242.291696043352</v>
      </c>
    </row>
    <row r="3664" customFormat="false" ht="15" hidden="false" customHeight="false" outlineLevel="0" collapsed="false">
      <c r="A3664" s="5" t="s">
        <v>919</v>
      </c>
      <c r="B3664" s="0" t="s">
        <v>86</v>
      </c>
      <c r="H3664" s="38" t="n">
        <f aca="false">Sens!$H$3638</f>
        <v>1.6</v>
      </c>
      <c r="I3664" s="38" t="n">
        <f aca="false">Sens!$I$3638</f>
        <v>1.6</v>
      </c>
      <c r="J3664" s="38" t="n">
        <f aca="false">Sens!$J$3638</f>
        <v>1.6</v>
      </c>
      <c r="K3664" s="38" t="n">
        <f aca="false">Sens!$K$3638</f>
        <v>1.6</v>
      </c>
      <c r="L3664" s="38" t="n">
        <f aca="false">Sens!$L$3638</f>
        <v>1.6</v>
      </c>
      <c r="M3664" s="38" t="n">
        <f aca="false">Sens!$M$3638</f>
        <v>1.6</v>
      </c>
    </row>
    <row r="3665" customFormat="false" ht="15" hidden="false" customHeight="false" outlineLevel="0" collapsed="false">
      <c r="A3665" s="5" t="s">
        <v>920</v>
      </c>
      <c r="B3665" s="0" t="s">
        <v>86</v>
      </c>
      <c r="H3665" s="38" t="n">
        <f aca="false">Sens!$H$3632</f>
        <v>11.2928295263397</v>
      </c>
      <c r="I3665" s="38" t="n">
        <f aca="false">Sens!$I$3632</f>
        <v>12.8091546115766</v>
      </c>
      <c r="J3665" s="38" t="n">
        <f aca="false">Sens!$J$3632</f>
        <v>14.2605653162668</v>
      </c>
      <c r="K3665" s="38" t="n">
        <f aca="false">Sens!$K$3632</f>
        <v>15.5327622460396</v>
      </c>
      <c r="L3665" s="38" t="n">
        <f aca="false">Sens!$L$3632</f>
        <v>16.720573737517</v>
      </c>
      <c r="M3665" s="38" t="n">
        <f aca="false">Sens!$M$3632</f>
        <v>17.8283127551536</v>
      </c>
    </row>
    <row r="3666" customFormat="false" ht="17.15" hidden="false" customHeight="false" outlineLevel="0" collapsed="false">
      <c r="A3666" s="1" t="s">
        <v>921</v>
      </c>
      <c r="B3666" s="8" t="s">
        <v>86</v>
      </c>
      <c r="H3666" s="38" t="n">
        <f aca="false">Sens!$H$3661+Sens!$H$3662-Sens!$H$3663+Sens!$H$3665</f>
        <v>-63.4756235623558</v>
      </c>
      <c r="I3666" s="38" t="n">
        <f aca="false">Sens!$I$3661+Sens!$I$3662-Sens!$I$3663+Sens!$I$3665</f>
        <v>-18.295786801947</v>
      </c>
      <c r="J3666" s="38" t="n">
        <f aca="false">Sens!$J$3661+Sens!$J$3662-Sens!$J$3663+Sens!$J$3665</f>
        <v>27.6543875939768</v>
      </c>
      <c r="K3666" s="38" t="n">
        <f aca="false">Sens!$K$3661+Sens!$K$3662-Sens!$K$3663+Sens!$K$3665</f>
        <v>127.468001319074</v>
      </c>
      <c r="L3666" s="38" t="n">
        <f aca="false">Sens!$L$3661+Sens!$L$3662-Sens!$L$3663+Sens!$L$3665</f>
        <v>183.656194700212</v>
      </c>
      <c r="M3666" s="38" t="n">
        <f aca="false">Sens!$M$3661+Sens!$M$3662-Sens!$M$3663+Sens!$M$3665</f>
        <v>205.810318014968</v>
      </c>
    </row>
    <row r="3667" customFormat="false" ht="15" hidden="false" customHeight="false" outlineLevel="0" collapsed="false">
      <c r="A3667" s="5" t="s">
        <v>922</v>
      </c>
      <c r="B3667" s="0" t="s">
        <v>57</v>
      </c>
      <c r="H3667" s="40" t="n">
        <f aca="false">1/(1+wacc)^(2027-2026-0.5)</f>
        <v>0.947751320380232</v>
      </c>
      <c r="I3667" s="40" t="n">
        <f aca="false">1/(1+wacc)^(2028-2026-0.5)</f>
        <v>0.851301099754987</v>
      </c>
      <c r="J3667" s="40" t="n">
        <f aca="false">1/(1+wacc)^(2029-2026-0.5)</f>
        <v>0.764666370660713</v>
      </c>
      <c r="K3667" s="40" t="n">
        <f aca="false">1/(1+wacc)^(2030-2026-0.5)</f>
        <v>0.686848235703811</v>
      </c>
      <c r="L3667" s="40" t="n">
        <f aca="false">1/(1+wacc)^(2031-2026-0.5)</f>
        <v>0.616949452715975</v>
      </c>
      <c r="M3667" s="40" t="n">
        <f aca="false">1/(1+wacc)^(2032-2026-0.5)</f>
        <v>0.554164089562688</v>
      </c>
    </row>
    <row r="3668" customFormat="false" ht="15" hidden="false" customHeight="false" outlineLevel="0" collapsed="false">
      <c r="A3668" s="5" t="s">
        <v>923</v>
      </c>
      <c r="B3668" s="0" t="s">
        <v>86</v>
      </c>
      <c r="H3668" s="38" t="n">
        <f aca="false">Sens!$H$3666*Sens!$H$3667</f>
        <v>-60.1591060431813</v>
      </c>
      <c r="I3668" s="38" t="n">
        <f aca="false">Sens!$I$3666*Sens!$I$3667</f>
        <v>-15.5752234253803</v>
      </c>
      <c r="J3668" s="38" t="n">
        <f aca="false">Sens!$J$3666*Sens!$J$3667</f>
        <v>21.1463801943309</v>
      </c>
      <c r="K3668" s="38" t="n">
        <f aca="false">Sens!$K$3666*Sens!$K$3667</f>
        <v>87.5511718146972</v>
      </c>
      <c r="L3668" s="38" t="n">
        <f aca="false">Sens!$L$3666*Sens!$L$3667</f>
        <v>113.306588808194</v>
      </c>
      <c r="M3668" s="38" t="n">
        <f aca="false">Sens!$M$3666*Sens!$M$3667</f>
        <v>114.052687505372</v>
      </c>
    </row>
    <row r="3669" customFormat="false" ht="15" hidden="false" customHeight="false" outlineLevel="0" collapsed="false">
      <c r="A3669" s="5" t="s">
        <v>924</v>
      </c>
      <c r="B3669" s="0" t="s">
        <v>86</v>
      </c>
      <c r="C3669" s="38" t="n">
        <f aca="false">SUM(Sens!$H$3668:$M$3668)</f>
        <v>260.322498854033</v>
      </c>
    </row>
    <row r="3670" customFormat="false" ht="17.15" hidden="false" customHeight="false" outlineLevel="0" collapsed="false">
      <c r="A3670" s="5" t="s">
        <v>925</v>
      </c>
      <c r="B3670" s="0" t="s">
        <v>86</v>
      </c>
      <c r="C3670" s="38" t="n">
        <f aca="false">Sens!$M$3661*(1+tg)*(1-tg/ronic)/(wacc-tg)</f>
        <v>1883.16213857797</v>
      </c>
    </row>
    <row r="3671" customFormat="false" ht="15" hidden="false" customHeight="false" outlineLevel="0" collapsed="false">
      <c r="A3671" s="5" t="s">
        <v>926</v>
      </c>
      <c r="B3671" s="0" t="s">
        <v>86</v>
      </c>
      <c r="C3671" s="38" t="n">
        <f aca="false">Sens!$C$3670/(1+wacc)^6</f>
        <v>989.055111474235</v>
      </c>
    </row>
    <row r="3672" customFormat="false" ht="17.15" hidden="false" customHeight="false" outlineLevel="0" collapsed="false">
      <c r="A3672" s="5" t="s">
        <v>927</v>
      </c>
      <c r="B3672" s="0" t="s">
        <v>86</v>
      </c>
      <c r="C3672" s="38" t="n">
        <f aca="false">Sens!$C$3669+Sens!$C$3671</f>
        <v>1249.37761032827</v>
      </c>
    </row>
    <row r="3673" customFormat="false" ht="17.15" hidden="false" customHeight="false" outlineLevel="0" collapsed="false">
      <c r="A3673" s="5" t="s">
        <v>928</v>
      </c>
      <c r="B3673" s="0" t="s">
        <v>52</v>
      </c>
      <c r="C3673" s="13" t="n">
        <f aca="false">Sens!$C$3671/Sens!$C$3672</f>
        <v>0.791638255158395</v>
      </c>
    </row>
    <row r="3674" customFormat="false" ht="17.15" hidden="false" customHeight="false" outlineLevel="0" collapsed="false">
      <c r="A3674" s="5" t="s">
        <v>929</v>
      </c>
      <c r="B3674" s="0" t="s">
        <v>86</v>
      </c>
      <c r="C3674" s="38" t="n">
        <f aca="false">Sens!$G$3650+fin_debt</f>
        <v>97.3391784086182</v>
      </c>
    </row>
    <row r="3675" customFormat="false" ht="17.15" hidden="false" customHeight="false" outlineLevel="0" collapsed="false">
      <c r="A3675" s="5" t="s">
        <v>930</v>
      </c>
      <c r="B3675" s="0" t="s">
        <v>86</v>
      </c>
      <c r="C3675" s="38" t="n">
        <f aca="false">(ant_val*ant_sh+oai_val*oai_sh)*(1-liq_disc)</f>
        <v>178.944</v>
      </c>
    </row>
    <row r="3676" customFormat="false" ht="15" hidden="false" customHeight="false" outlineLevel="0" collapsed="false">
      <c r="A3676" s="5" t="s">
        <v>931</v>
      </c>
      <c r="B3676" s="0" t="s">
        <v>86</v>
      </c>
      <c r="C3676" s="38" t="n">
        <f aca="false">Sens!$C$3672-Sens!$C$3674+Sens!$C$3675</f>
        <v>1330.98243191965</v>
      </c>
    </row>
    <row r="3677" customFormat="false" ht="17.15" hidden="false" customHeight="false" outlineLevel="0" collapsed="false">
      <c r="A3677" s="5" t="s">
        <v>932</v>
      </c>
      <c r="B3677" s="0" t="s">
        <v>27</v>
      </c>
      <c r="C3677" s="30" t="n">
        <f aca="false">Sens!$C$3676/sh_out</f>
        <v>123.39548356553</v>
      </c>
    </row>
    <row r="3678" customFormat="false" ht="17.15" hidden="false" customHeight="false" outlineLevel="0" collapsed="false">
      <c r="A3678" s="1" t="s">
        <v>933</v>
      </c>
      <c r="B3678" s="8" t="s">
        <v>27</v>
      </c>
      <c r="C3678" s="30" t="n">
        <f aca="false">Sens!$C$3677*(1+ke)^tp_yf-dps*tp_yf</f>
        <v>135.163568493355</v>
      </c>
    </row>
    <row r="3679" customFormat="false" ht="17.15" hidden="false" customHeight="false" outlineLevel="0" collapsed="false">
      <c r="A3679" s="3" t="s">
        <v>934</v>
      </c>
    </row>
    <row r="3680" customFormat="false" ht="17.15" hidden="false" customHeight="false" outlineLevel="0" collapsed="false">
      <c r="A3680" s="5" t="s">
        <v>935</v>
      </c>
      <c r="B3680" s="0" t="s">
        <v>86</v>
      </c>
      <c r="C3680" s="38" t="n">
        <f aca="false">(1-tp_yf)*(Sens!$H$3607+sbc_ab*Sens!$H$3631*Sens!$H$3471/Sens!$H$3548)+tp_yf*(Sens!$I$3607+sbc_ab*Sens!$I$3631*Sens!$I$3471/Sens!$I$3548)</f>
        <v>48.2735047325511</v>
      </c>
    </row>
    <row r="3681" customFormat="false" ht="15" hidden="false" customHeight="false" outlineLevel="0" collapsed="false">
      <c r="A3681" s="5" t="s">
        <v>936</v>
      </c>
      <c r="B3681" s="0" t="s">
        <v>57</v>
      </c>
      <c r="C3681" s="30" t="n">
        <f aca="false">m_ads*m_x</f>
        <v>9.11</v>
      </c>
    </row>
    <row r="3682" customFormat="false" ht="17.15" hidden="false" customHeight="false" outlineLevel="0" collapsed="false">
      <c r="A3682" s="5" t="s">
        <v>937</v>
      </c>
      <c r="B3682" s="0" t="s">
        <v>86</v>
      </c>
      <c r="C3682" s="38" t="n">
        <f aca="false">Sens!$C$3680*Sens!$C$3681</f>
        <v>439.77162811354</v>
      </c>
    </row>
    <row r="3683" customFormat="false" ht="17.15" hidden="false" customHeight="false" outlineLevel="0" collapsed="false">
      <c r="A3683" s="5" t="s">
        <v>938</v>
      </c>
      <c r="B3683" s="0" t="s">
        <v>86</v>
      </c>
      <c r="C3683" s="38" t="n">
        <f aca="false">(1-tp_yf)*(Sens!$H$3608+sbc_ab*Sens!$H$3631*(Sens!$H$3478-Sens!$H$3471)/Sens!$H$3548+IF(internal_ai_reading=2,1,0)*(1-ext_sh)*Sens!$H$3508)+tp_yf*(Sens!$I$3608+sbc_ab*Sens!$I$3631*(Sens!$I$3478-Sens!$I$3471)/Sens!$I$3548+IF(internal_ai_reading=2,1,0)*(1-ext_sh)*Sens!$I$3508)</f>
        <v>60.824732013792</v>
      </c>
    </row>
    <row r="3684" customFormat="false" ht="17.15" hidden="false" customHeight="false" outlineLevel="0" collapsed="false">
      <c r="A3684" s="5" t="s">
        <v>939</v>
      </c>
      <c r="B3684" s="0" t="s">
        <v>57</v>
      </c>
      <c r="C3684" s="30" t="n">
        <f aca="false">m_retail*m_x</f>
        <v>17.72</v>
      </c>
    </row>
    <row r="3685" customFormat="false" ht="17.15" hidden="false" customHeight="false" outlineLevel="0" collapsed="false">
      <c r="A3685" s="5" t="s">
        <v>940</v>
      </c>
      <c r="B3685" s="0" t="s">
        <v>86</v>
      </c>
      <c r="C3685" s="38" t="n">
        <f aca="false">Sens!$C$3683*Sens!$C$3684</f>
        <v>1077.81425128439</v>
      </c>
    </row>
    <row r="3686" customFormat="false" ht="17.15" hidden="false" customHeight="false" outlineLevel="0" collapsed="false">
      <c r="A3686" s="0" t="s">
        <v>941</v>
      </c>
      <c r="B3686" s="0" t="s">
        <v>86</v>
      </c>
      <c r="C3686" s="38" t="n">
        <f aca="false">(1-tp_yf)*(Sens!$H$3609+sbc_ab*Sens!$H$3631*Sens!$H$3546/Sens!$H$3548)+tp_yf*(Sens!$I$3609+sbc_ab*Sens!$I$3631*Sens!$I$3546/Sens!$I$3548)</f>
        <v>96.2439586897193</v>
      </c>
    </row>
    <row r="3687" customFormat="false" ht="17.15" hidden="false" customHeight="false" outlineLevel="0" collapsed="false">
      <c r="A3687" s="0" t="s">
        <v>942</v>
      </c>
      <c r="B3687" s="0" t="s">
        <v>57</v>
      </c>
      <c r="C3687" s="30" t="n">
        <f aca="false">m_cloud*m_x</f>
        <v>13.82</v>
      </c>
    </row>
    <row r="3688" customFormat="false" ht="17.15" hidden="false" customHeight="false" outlineLevel="0" collapsed="false">
      <c r="A3688" s="0" t="s">
        <v>943</v>
      </c>
      <c r="B3688" s="0" t="s">
        <v>86</v>
      </c>
      <c r="C3688" s="38" t="n">
        <f aca="false">Sens!$C$3686*Sens!$C$3687</f>
        <v>1330.09150909192</v>
      </c>
    </row>
    <row r="3689" customFormat="false" ht="17.15" hidden="false" customHeight="false" outlineLevel="0" collapsed="false">
      <c r="A3689" s="0" t="s">
        <v>944</v>
      </c>
      <c r="B3689" s="0" t="s">
        <v>86</v>
      </c>
      <c r="H3689" s="38" t="n">
        <f aca="false">Sens!$H$3527-tax*Sens!$H$3528-ext_sh*Sens!$H$3515</f>
        <v>-115.885394236225</v>
      </c>
      <c r="I3689" s="38" t="n">
        <f aca="false">Sens!$I$3527-tax*Sens!$I$3528-ext_sh*Sens!$I$3515</f>
        <v>-89.5935137276694</v>
      </c>
      <c r="J3689" s="38" t="n">
        <f aca="false">Sens!$J$3527-tax*Sens!$J$3528-ext_sh*Sens!$J$3515</f>
        <v>-62.3510647460279</v>
      </c>
      <c r="K3689" s="38" t="n">
        <f aca="false">Sens!$K$3527-tax*Sens!$K$3528-ext_sh*Sens!$K$3515</f>
        <v>8.85932514072565</v>
      </c>
      <c r="L3689" s="38" t="n">
        <f aca="false">Sens!$L$3527-tax*Sens!$L$3528-ext_sh*Sens!$L$3515</f>
        <v>45.6968344120177</v>
      </c>
      <c r="M3689" s="38" t="n">
        <f aca="false">Sens!$M$3527-tax*Sens!$M$3528-ext_sh*Sens!$M$3515</f>
        <v>54.7466688757428</v>
      </c>
    </row>
    <row r="3690" customFormat="false" ht="17.15" hidden="false" customHeight="false" outlineLevel="0" collapsed="false">
      <c r="A3690" s="5" t="s">
        <v>945</v>
      </c>
      <c r="B3690" s="0" t="s">
        <v>86</v>
      </c>
      <c r="H3690" s="38" t="n">
        <f aca="false">Sens!$H$3689*Sens!$H$3667</f>
        <v>-109.830535400166</v>
      </c>
      <c r="I3690" s="38" t="n">
        <f aca="false">Sens!$I$3689*Sens!$I$3667</f>
        <v>-76.2710567672785</v>
      </c>
      <c r="J3690" s="38" t="n">
        <f aca="false">Sens!$J$3689*Sens!$J$3667</f>
        <v>-47.6777623861763</v>
      </c>
      <c r="K3690" s="38" t="n">
        <f aca="false">Sens!$K$3689*Sens!$K$3667</f>
        <v>6.08501184243383</v>
      </c>
      <c r="L3690" s="38" t="n">
        <f aca="false">Sens!$L$3689*Sens!$L$3667</f>
        <v>28.1926369813469</v>
      </c>
      <c r="M3690" s="38" t="n">
        <f aca="false">Sens!$M$3689*Sens!$M$3667</f>
        <v>30.338637914116</v>
      </c>
    </row>
    <row r="3691" customFormat="false" ht="17.15" hidden="false" customHeight="false" outlineLevel="0" collapsed="false">
      <c r="A3691" s="5" t="s">
        <v>946</v>
      </c>
      <c r="B3691" s="0" t="s">
        <v>86</v>
      </c>
      <c r="C3691" s="38" t="n">
        <f aca="false">Sens!$M$3528*(1-tax)*(1+tg)*(1-tg/ronic)/(wacc-tg)</f>
        <v>391.533160655061</v>
      </c>
    </row>
    <row r="3692" customFormat="false" ht="17.15" hidden="false" customHeight="false" outlineLevel="0" collapsed="false">
      <c r="A3692" s="0" t="s">
        <v>947</v>
      </c>
      <c r="B3692" s="0" t="s">
        <v>86</v>
      </c>
      <c r="C3692" s="38" t="n">
        <f aca="false">(SUM(Sens!$I$3690:$M$3690)+Sens!$C$3691/(1+wacc)^6)*(1+wacc)^tp_yf</f>
        <v>159.796867964901</v>
      </c>
    </row>
    <row r="3693" customFormat="false" ht="17.15" hidden="false" customHeight="false" outlineLevel="0" collapsed="false">
      <c r="A3693" s="5" t="s">
        <v>948</v>
      </c>
      <c r="B3693" s="0" t="s">
        <v>86</v>
      </c>
      <c r="C3693" s="38" t="n">
        <f aca="false">(1-tp_yf)*(Sens!$H$3610)+tp_yf*(Sens!$I$3610)</f>
        <v>74.6707041238437</v>
      </c>
    </row>
    <row r="3694" customFormat="false" ht="17.15" hidden="false" customHeight="false" outlineLevel="0" collapsed="false">
      <c r="A3694" s="5" t="s">
        <v>949</v>
      </c>
      <c r="B3694" s="0" t="s">
        <v>86</v>
      </c>
      <c r="C3694" s="38" t="n">
        <f aca="false">Sens!$C$3693*m_ai</f>
        <v>448.024224743062</v>
      </c>
    </row>
    <row r="3695" customFormat="false" ht="17.15" hidden="false" customHeight="false" outlineLevel="0" collapsed="false">
      <c r="A3695" s="0" t="s">
        <v>950</v>
      </c>
      <c r="B3695" s="0" t="s">
        <v>86</v>
      </c>
      <c r="C3695" s="38" t="n">
        <f aca="false">IF(ai_leg=1,Sens!$C$3692,Sens!$C$3694)</f>
        <v>159.796867964901</v>
      </c>
    </row>
    <row r="3696" customFormat="false" ht="17.15" hidden="false" customHeight="false" outlineLevel="0" collapsed="false">
      <c r="A3696" s="5" t="s">
        <v>951</v>
      </c>
      <c r="B3696" s="0" t="s">
        <v>86</v>
      </c>
      <c r="C3696" s="38" t="n">
        <f aca="false">Sens!$C$3682+Sens!$C$3685+Sens!$C$3688+Sens!$C$3695</f>
        <v>3007.47425645476</v>
      </c>
    </row>
    <row r="3697" customFormat="false" ht="17.15" hidden="false" customHeight="false" outlineLevel="0" collapsed="false">
      <c r="A3697" s="5" t="s">
        <v>952</v>
      </c>
      <c r="B3697" s="0" t="s">
        <v>86</v>
      </c>
      <c r="C3697" s="38" t="n">
        <f aca="false">Sens!$H$3650+fin_debt</f>
        <v>154.506212783197</v>
      </c>
    </row>
    <row r="3698" customFormat="false" ht="15" hidden="false" customHeight="false" outlineLevel="0" collapsed="false">
      <c r="A3698" s="5" t="s">
        <v>953</v>
      </c>
      <c r="B3698" s="0" t="s">
        <v>86</v>
      </c>
      <c r="C3698" s="38" t="n">
        <f aca="false">Sens!$C$3696-Sens!$C$3697+Sens!$C$3675</f>
        <v>3031.91204367156</v>
      </c>
    </row>
    <row r="3699" customFormat="false" ht="15" hidden="false" customHeight="false" outlineLevel="0" collapsed="false">
      <c r="A3699" s="3" t="s">
        <v>954</v>
      </c>
      <c r="B3699" s="8" t="s">
        <v>27</v>
      </c>
      <c r="C3699" s="30" t="n">
        <f aca="false">Sens!$C$3698/sh_val</f>
        <v>274.870873455784</v>
      </c>
    </row>
    <row r="3700" customFormat="false" ht="17.15" hidden="false" customHeight="false" outlineLevel="0" collapsed="false">
      <c r="A3700" s="47" t="s">
        <v>955</v>
      </c>
      <c r="B3700" s="14" t="s">
        <v>27</v>
      </c>
      <c r="C3700" s="44" t="n">
        <f aca="false">w_dcf*Sens!$C$3678+(1-w_dcf)*Sens!$C$3699</f>
        <v>205.017220974569</v>
      </c>
      <c r="D3700" s="14"/>
      <c r="E3700" s="14"/>
      <c r="F3700" s="14"/>
      <c r="G3700" s="14"/>
      <c r="H3700" s="14"/>
      <c r="I3700" s="14"/>
      <c r="J3700" s="14"/>
      <c r="K3700" s="14"/>
      <c r="L3700" s="14"/>
      <c r="M3700" s="14"/>
      <c r="N3700" s="14"/>
      <c r="O3700" s="14"/>
    </row>
    <row r="3701" customFormat="false" ht="17.15" hidden="false" customHeight="false" outlineLevel="0" collapsed="false">
      <c r="A3701" s="5" t="s">
        <v>956</v>
      </c>
      <c r="B3701" s="0" t="s">
        <v>27</v>
      </c>
      <c r="C3701" s="30" t="n">
        <f aca="false">v022_wdcf*Sens!$C$3678+(1-v022_wdcf)*Sens!$C$3699</f>
        <v>212.002586222691</v>
      </c>
    </row>
    <row r="3702" customFormat="false" ht="17.15" hidden="false" customHeight="false" outlineLevel="0" collapsed="false">
      <c r="A3702" s="5" t="s">
        <v>957</v>
      </c>
      <c r="B3702" s="0" t="s">
        <v>27</v>
      </c>
      <c r="C3702" s="30" t="n">
        <f aca="false">(Sens!$C$3698-Sens!$C$3695+Sens!$C$3694)/sh_val</f>
        <v>301.001349594374</v>
      </c>
    </row>
    <row r="3705" customFormat="false" ht="19.4" hidden="false" customHeight="false" outlineLevel="0" collapsed="false">
      <c r="A3705" s="31" t="s">
        <v>1210</v>
      </c>
    </row>
    <row r="3706" customFormat="false" ht="17.15" hidden="false" customHeight="false" outlineLevel="0" collapsed="false">
      <c r="A3706" s="6" t="s">
        <v>16</v>
      </c>
      <c r="B3706" s="6" t="s">
        <v>17</v>
      </c>
      <c r="C3706" s="20" t="s">
        <v>497</v>
      </c>
      <c r="D3706" s="20" t="s">
        <v>498</v>
      </c>
      <c r="E3706" s="20" t="s">
        <v>580</v>
      </c>
      <c r="F3706" s="20" t="s">
        <v>581</v>
      </c>
      <c r="G3706" s="20" t="s">
        <v>582</v>
      </c>
      <c r="H3706" s="20" t="s">
        <v>583</v>
      </c>
      <c r="I3706" s="20" t="s">
        <v>584</v>
      </c>
      <c r="J3706" s="20" t="s">
        <v>585</v>
      </c>
      <c r="K3706" s="20" t="s">
        <v>586</v>
      </c>
      <c r="L3706" s="20" t="s">
        <v>587</v>
      </c>
      <c r="M3706" s="20" t="s">
        <v>588</v>
      </c>
      <c r="N3706" s="20" t="s">
        <v>589</v>
      </c>
      <c r="O3706" s="20" t="s">
        <v>590</v>
      </c>
      <c r="P3706" s="6" t="s">
        <v>23</v>
      </c>
      <c r="R3706" s="20" t="n">
        <v>2023</v>
      </c>
      <c r="S3706" s="20" t="n">
        <v>2024</v>
      </c>
      <c r="T3706" s="20" t="n">
        <v>2025</v>
      </c>
      <c r="U3706" s="20" t="n">
        <v>2026</v>
      </c>
      <c r="V3706" s="20" t="n">
        <v>2027</v>
      </c>
      <c r="W3706" s="20" t="n">
        <v>2028</v>
      </c>
      <c r="X3706" s="20" t="n">
        <v>2029</v>
      </c>
      <c r="Y3706" s="20" t="n">
        <v>2030</v>
      </c>
      <c r="Z3706" s="20" t="n">
        <v>2031</v>
      </c>
      <c r="AA3706" s="20" t="n">
        <v>2032</v>
      </c>
    </row>
    <row r="3707" customFormat="false" ht="17.15" hidden="false" customHeight="false" outlineLevel="0" collapsed="false">
      <c r="A3707" s="1" t="s">
        <v>666</v>
      </c>
    </row>
    <row r="3708" customFormat="false" ht="17.15" hidden="false" customHeight="false" outlineLevel="0" collapsed="false">
      <c r="A3708" s="0" t="s">
        <v>519</v>
      </c>
      <c r="B3708" s="0" t="s">
        <v>86</v>
      </c>
      <c r="C3708" s="38" t="n">
        <f aca="false">Q!$D$10</f>
        <v>247.029</v>
      </c>
      <c r="D3708" s="38" t="n">
        <f aca="false">Q!$E$10</f>
        <v>269.287</v>
      </c>
      <c r="E3708" s="38" t="n">
        <f aca="false">Q!$P$10</f>
        <v>134.686</v>
      </c>
      <c r="F3708" s="38" t="n">
        <f aca="false">Sens!$O$3708*(1+Sens!$F$3709)*Sens!$F$3720</f>
        <v>158.293876822267</v>
      </c>
      <c r="G3708" s="38" t="n">
        <f aca="false">Sens!$E$3708+Sens!$F$3708</f>
        <v>292.979876822267</v>
      </c>
      <c r="H3708" s="38" t="n">
        <f aca="false">Sens!$G$3708*(1+Sens!$H$3709)</f>
        <v>318.184543087396</v>
      </c>
      <c r="I3708" s="38" t="n">
        <f aca="false">Sens!$H$3708*(1+Sens!$I$3709)</f>
        <v>341.736278761793</v>
      </c>
      <c r="J3708" s="38" t="n">
        <f aca="false">Sens!$I$3708*(1+Sens!$J$3709)</f>
        <v>362.927192787048</v>
      </c>
      <c r="K3708" s="38" t="n">
        <f aca="false">Sens!$J$3708*(1+Sens!$K$3709)</f>
        <v>381.0735524264</v>
      </c>
      <c r="L3708" s="38" t="n">
        <f aca="false">Sens!$K$3708*(1+Sens!$L$3709)</f>
        <v>400.12723004772</v>
      </c>
      <c r="M3708" s="38" t="n">
        <f aca="false">Sens!$L$3708*(1+Sens!$M$3709)</f>
        <v>420.133591550106</v>
      </c>
      <c r="N3708" s="38" t="n">
        <f aca="false">Q!$N$10</f>
        <v>118.892</v>
      </c>
      <c r="O3708" s="38" t="n">
        <f aca="false">Q!$O$10</f>
        <v>150.395</v>
      </c>
      <c r="P3708" s="8" t="s">
        <v>667</v>
      </c>
    </row>
    <row r="3709" customFormat="false" ht="17.15" hidden="false" customHeight="false" outlineLevel="0" collapsed="false">
      <c r="A3709" s="0" t="s">
        <v>668</v>
      </c>
      <c r="B3709" s="0" t="s">
        <v>52</v>
      </c>
      <c r="E3709" s="13" t="n">
        <f aca="false">Sens!$E$3708/Sens!$N$3708-1</f>
        <v>0.132843252699929</v>
      </c>
      <c r="F3709" s="13" t="n">
        <f aca="false">Sens!$O$3708/(Q!$F$10+Q!$G$10)-1</f>
        <v>0.0980382135842941</v>
      </c>
      <c r="G3709" s="13" t="n">
        <f aca="false">Sens!$G$3708/Sens!$D$3708-1</f>
        <v>0.0879837378791657</v>
      </c>
      <c r="H3709" s="13" t="n">
        <f aca="false">Sens!$F$3709+(g_os-Sens!$F$3709)*1/4</f>
        <v>0.0860286601882206</v>
      </c>
      <c r="I3709" s="13" t="n">
        <f aca="false">Sens!$F$3709+(g_os-Sens!$F$3709)*2/4</f>
        <v>0.074019106792147</v>
      </c>
      <c r="J3709" s="13" t="n">
        <f aca="false">Sens!$F$3709+(g_os-Sens!$F$3709)*3/4</f>
        <v>0.0620095533960735</v>
      </c>
      <c r="K3709" s="13" t="n">
        <f aca="false">Sens!$F$3709+(g_os-Sens!$F$3709)*4/4</f>
        <v>0.05</v>
      </c>
      <c r="L3709" s="13" t="n">
        <f aca="false">g_os</f>
        <v>0.05</v>
      </c>
      <c r="M3709" s="13" t="n">
        <f aca="false">g_os</f>
        <v>0.05</v>
      </c>
      <c r="P3709" s="8" t="s">
        <v>669</v>
      </c>
    </row>
    <row r="3710" customFormat="false" ht="17.15" hidden="false" customHeight="false" outlineLevel="0" collapsed="false">
      <c r="A3710" s="0" t="s">
        <v>520</v>
      </c>
      <c r="B3710" s="0" t="s">
        <v>86</v>
      </c>
      <c r="C3710" s="38" t="n">
        <f aca="false">Q!$D$11</f>
        <v>21.215</v>
      </c>
      <c r="D3710" s="38" t="n">
        <f aca="false">Q!$E$11</f>
        <v>22.561</v>
      </c>
      <c r="E3710" s="38" t="n">
        <f aca="false">Q!$P$11</f>
        <v>11.579</v>
      </c>
      <c r="F3710" s="38" t="n">
        <f aca="false">Sens!$O$3710*(1+Sens!$F$3711)*Sens!$F$3720</f>
        <v>11.5938724610325</v>
      </c>
      <c r="G3710" s="38" t="n">
        <f aca="false">Sens!$E$3710+Sens!$F$3710</f>
        <v>23.1728724610325</v>
      </c>
      <c r="H3710" s="38" t="n">
        <f aca="false">Sens!$G$3710*(1+Sens!$H$3711)</f>
        <v>24.353392759506</v>
      </c>
      <c r="I3710" s="38" t="n">
        <f aca="false">Sens!$H$3710*(1+Sens!$I$3711)</f>
        <v>25.4240338872015</v>
      </c>
      <c r="J3710" s="38" t="n">
        <f aca="false">Sens!$I$3710*(1+Sens!$J$3711)</f>
        <v>26.3642491017174</v>
      </c>
      <c r="K3710" s="38" t="n">
        <f aca="false">Sens!$J$3710*(1+Sens!$K$3711)</f>
        <v>27.155176574769</v>
      </c>
      <c r="L3710" s="38" t="n">
        <f aca="false">Sens!$K$3710*(1+Sens!$L$3711)</f>
        <v>27.969831872012</v>
      </c>
      <c r="M3710" s="38" t="n">
        <f aca="false">Sens!$L$3710*(1+Sens!$M$3711)</f>
        <v>28.8089268281724</v>
      </c>
      <c r="N3710" s="38" t="n">
        <f aca="false">Q!$N$11</f>
        <v>11.128</v>
      </c>
      <c r="O3710" s="38" t="n">
        <f aca="false">Q!$O$11</f>
        <v>11.433</v>
      </c>
      <c r="P3710" s="8" t="s">
        <v>667</v>
      </c>
    </row>
    <row r="3711" customFormat="false" ht="17.15" hidden="false" customHeight="false" outlineLevel="0" collapsed="false">
      <c r="A3711" s="0" t="s">
        <v>670</v>
      </c>
      <c r="B3711" s="0" t="s">
        <v>52</v>
      </c>
      <c r="E3711" s="13" t="n">
        <f aca="false">Sens!$E$3710/Sens!$N$3710-1</f>
        <v>0.0405283968368082</v>
      </c>
      <c r="F3711" s="13" t="n">
        <f aca="false">Sens!$O$3710/(Q!$F$11+Q!$G$11)-1</f>
        <v>0.0579254187100955</v>
      </c>
      <c r="G3711" s="13" t="n">
        <f aca="false">Sens!$G$3710/Sens!$D$3710-1</f>
        <v>0.0271208040881397</v>
      </c>
      <c r="H3711" s="13" t="n">
        <f aca="false">Sens!$F$3711+(g_ps-Sens!$F$3711)*1/4</f>
        <v>0.0509440640325716</v>
      </c>
      <c r="I3711" s="13" t="n">
        <f aca="false">Sens!$F$3711+(g_ps-Sens!$F$3711)*2/4</f>
        <v>0.0439627093550477</v>
      </c>
      <c r="J3711" s="13" t="n">
        <f aca="false">Sens!$F$3711+(g_ps-Sens!$F$3711)*3/4</f>
        <v>0.0369813546775239</v>
      </c>
      <c r="K3711" s="13" t="n">
        <f aca="false">Sens!$F$3711+(g_ps-Sens!$F$3711)*4/4</f>
        <v>0.03</v>
      </c>
      <c r="L3711" s="13" t="n">
        <f aca="false">g_ps</f>
        <v>0.03</v>
      </c>
      <c r="M3711" s="13" t="n">
        <f aca="false">g_ps</f>
        <v>0.03</v>
      </c>
      <c r="P3711" s="8" t="s">
        <v>671</v>
      </c>
    </row>
    <row r="3712" customFormat="false" ht="17.15" hidden="false" customHeight="false" outlineLevel="0" collapsed="false">
      <c r="A3712" s="0" t="s">
        <v>521</v>
      </c>
      <c r="B3712" s="0" t="s">
        <v>86</v>
      </c>
      <c r="C3712" s="38" t="n">
        <f aca="false">Q!$D$12</f>
        <v>156.146</v>
      </c>
      <c r="D3712" s="38" t="n">
        <f aca="false">Q!$E$12</f>
        <v>172.162</v>
      </c>
      <c r="E3712" s="38" t="n">
        <f aca="false">Q!$P$12</f>
        <v>88.358</v>
      </c>
      <c r="F3712" s="38" t="n">
        <f aca="false">Sens!$O$3712*(1+Sens!$F$3713)*Sens!$F$3720</f>
        <v>102.004388260171</v>
      </c>
      <c r="G3712" s="38" t="n">
        <f aca="false">Sens!$E$3712+Sens!$F$3712</f>
        <v>190.362388260171</v>
      </c>
      <c r="H3712" s="38" t="n">
        <f aca="false">Sens!$G$3712*(1+Sens!$H$3713)</f>
        <v>210.343106588311</v>
      </c>
      <c r="I3712" s="38" t="n">
        <f aca="false">Sens!$H$3712*(1+Sens!$I$3713)</f>
        <v>229.969728494648</v>
      </c>
      <c r="J3712" s="38" t="n">
        <f aca="false">Sens!$I$3712*(1+Sens!$J$3713)</f>
        <v>248.747636972598</v>
      </c>
      <c r="K3712" s="38" t="n">
        <f aca="false">Sens!$J$3712*(1+Sens!$K$3713)</f>
        <v>266.15997156068</v>
      </c>
      <c r="L3712" s="38" t="n">
        <f aca="false">Sens!$K$3712*(1+Sens!$L$3713)</f>
        <v>284.791169569927</v>
      </c>
      <c r="M3712" s="38" t="n">
        <f aca="false">Sens!$L$3712*(1+Sens!$M$3713)</f>
        <v>304.726551439822</v>
      </c>
      <c r="N3712" s="38" t="n">
        <f aca="false">Q!$N$12</f>
        <v>76.86</v>
      </c>
      <c r="O3712" s="38" t="n">
        <f aca="false">Q!$O$12</f>
        <v>95.302</v>
      </c>
      <c r="P3712" s="8" t="s">
        <v>667</v>
      </c>
    </row>
    <row r="3713" customFormat="false" ht="17.15" hidden="false" customHeight="false" outlineLevel="0" collapsed="false">
      <c r="A3713" s="0" t="s">
        <v>672</v>
      </c>
      <c r="B3713" s="0" t="s">
        <v>52</v>
      </c>
      <c r="E3713" s="13" t="n">
        <f aca="false">Sens!$E$3712/Sens!$N$3712-1</f>
        <v>0.1495966692688</v>
      </c>
      <c r="F3713" s="13" t="n">
        <f aca="false">Sens!$O$3712/(Q!$F$12+Q!$G$12)-1</f>
        <v>0.11661530890813</v>
      </c>
      <c r="G3713" s="13" t="n">
        <f aca="false">Sens!$G$3712/Sens!$D$3712-1</f>
        <v>0.105716640490767</v>
      </c>
      <c r="H3713" s="13" t="n">
        <f aca="false">Sens!$F$3713+(g_sp-Sens!$F$3713)*1/4</f>
        <v>0.104961481681098</v>
      </c>
      <c r="I3713" s="13" t="n">
        <f aca="false">Sens!$F$3713+(g_sp-Sens!$F$3713)*2/4</f>
        <v>0.0933076544540651</v>
      </c>
      <c r="J3713" s="13" t="n">
        <f aca="false">Sens!$F$3713+(g_sp-Sens!$F$3713)*3/4</f>
        <v>0.0816538272270325</v>
      </c>
      <c r="K3713" s="13" t="n">
        <f aca="false">Sens!$F$3713+(g_sp-Sens!$F$3713)*4/4</f>
        <v>0.07</v>
      </c>
      <c r="L3713" s="13" t="n">
        <f aca="false">g_sp</f>
        <v>0.07</v>
      </c>
      <c r="M3713" s="13" t="n">
        <f aca="false">g_sp</f>
        <v>0.07</v>
      </c>
      <c r="P3713" s="8" t="s">
        <v>673</v>
      </c>
    </row>
    <row r="3714" customFormat="false" ht="17.15" hidden="false" customHeight="false" outlineLevel="0" collapsed="false">
      <c r="A3714" s="0" t="s">
        <v>522</v>
      </c>
      <c r="B3714" s="0" t="s">
        <v>86</v>
      </c>
      <c r="C3714" s="38" t="n">
        <f aca="false">Q!$D$13</f>
        <v>56.214</v>
      </c>
      <c r="D3714" s="38" t="n">
        <f aca="false">Q!$E$13</f>
        <v>68.635</v>
      </c>
      <c r="E3714" s="38" t="n">
        <f aca="false">Q!$P$13</f>
        <v>37.052</v>
      </c>
      <c r="F3714" s="38" t="n">
        <f aca="false">Sens!$O$3714*(1+Sens!$F$3715)*Sens!$F$3720</f>
        <v>46.1572219944148</v>
      </c>
      <c r="G3714" s="38" t="n">
        <f aca="false">Sens!$E$3714+Sens!$F$3714</f>
        <v>83.2092219944148</v>
      </c>
      <c r="H3714" s="38" t="n">
        <f aca="false">Sens!$G$3714*(1+Sens!$H$3715)</f>
        <v>99.8969223878976</v>
      </c>
      <c r="I3714" s="38" t="n">
        <f aca="false">Sens!$H$3714*(1+Sens!$I$3715)</f>
        <v>116.583111095496</v>
      </c>
      <c r="J3714" s="38" t="n">
        <f aca="false">Sens!$I$3714*(1+Sens!$J$3715)</f>
        <v>132.148941941952</v>
      </c>
      <c r="K3714" s="38" t="n">
        <f aca="false">Sens!$J$3714*(1+Sens!$K$3715)</f>
        <v>145.363836136147</v>
      </c>
      <c r="L3714" s="38" t="n">
        <f aca="false">Sens!$K$3714*(1+Sens!$L$3715)</f>
        <v>159.900219749762</v>
      </c>
      <c r="M3714" s="38" t="n">
        <f aca="false">Sens!$L$3714*(1+Sens!$M$3715)</f>
        <v>175.890241724738</v>
      </c>
      <c r="N3714" s="38" t="n">
        <f aca="false">Q!$N$13</f>
        <v>29.615</v>
      </c>
      <c r="O3714" s="38" t="n">
        <f aca="false">Q!$O$13</f>
        <v>39.02</v>
      </c>
      <c r="P3714" s="8" t="s">
        <v>667</v>
      </c>
    </row>
    <row r="3715" customFormat="false" ht="17.15" hidden="false" customHeight="false" outlineLevel="0" collapsed="false">
      <c r="A3715" s="0" t="s">
        <v>674</v>
      </c>
      <c r="B3715" s="0" t="s">
        <v>52</v>
      </c>
      <c r="E3715" s="13" t="n">
        <f aca="false">Sens!$E$3714/Sens!$N$3714-1</f>
        <v>0.25112274185379</v>
      </c>
      <c r="F3715" s="13" t="n">
        <f aca="false">Sens!$O$3714/(Q!$F$13+Q!$G$13)-1</f>
        <v>0.234068123596572</v>
      </c>
      <c r="G3715" s="13" t="n">
        <f aca="false">Sens!$G$3714/Sens!$D$3714-1</f>
        <v>0.212343876949294</v>
      </c>
      <c r="H3715" s="13" t="n">
        <f aca="false">Sens!$F$3715+(g_ad-Sens!$F$3715)*1/4</f>
        <v>0.200551092697429</v>
      </c>
      <c r="I3715" s="13" t="n">
        <f aca="false">Sens!$F$3715+(g_ad-Sens!$F$3715)*2/4</f>
        <v>0.167034061798286</v>
      </c>
      <c r="J3715" s="13" t="n">
        <f aca="false">Sens!$F$3715+(g_ad-Sens!$F$3715)*3/4</f>
        <v>0.133517030899143</v>
      </c>
      <c r="K3715" s="13" t="n">
        <f aca="false">Sens!$F$3715+(g_ad-Sens!$F$3715)*4/4</f>
        <v>0.1</v>
      </c>
      <c r="L3715" s="13" t="n">
        <f aca="false">g_ad</f>
        <v>0.1</v>
      </c>
      <c r="M3715" s="13" t="n">
        <f aca="false">g_ad</f>
        <v>0.1</v>
      </c>
      <c r="P3715" s="8" t="s">
        <v>675</v>
      </c>
    </row>
    <row r="3716" customFormat="false" ht="17.15" hidden="false" customHeight="false" outlineLevel="0" collapsed="false">
      <c r="A3716" s="0" t="s">
        <v>523</v>
      </c>
      <c r="B3716" s="0" t="s">
        <v>86</v>
      </c>
      <c r="C3716" s="38" t="n">
        <f aca="false">Q!$D$14</f>
        <v>44.374</v>
      </c>
      <c r="D3716" s="38" t="n">
        <f aca="false">Q!$E$14</f>
        <v>49.619</v>
      </c>
      <c r="E3716" s="38" t="n">
        <f aca="false">Q!$P$14</f>
        <v>27.157</v>
      </c>
      <c r="F3716" s="38" t="n">
        <f aca="false">Sens!$O$3716*(1+Sens!$F$3717)*Sens!$F$3720</f>
        <v>27.7764165988154</v>
      </c>
      <c r="G3716" s="38" t="n">
        <f aca="false">Sens!$E$3716+Sens!$F$3716</f>
        <v>54.9334165988154</v>
      </c>
      <c r="H3716" s="38" t="n">
        <f aca="false">Sens!$G$3716*(1+Sens!$H$3717)</f>
        <v>61.1564112561829</v>
      </c>
      <c r="I3716" s="38" t="n">
        <f aca="false">Sens!$H$3716*(1+Sens!$I$3717)</f>
        <v>67.2020282103945</v>
      </c>
      <c r="J3716" s="38" t="n">
        <f aca="false">Sens!$I$3716*(1+Sens!$J$3717)</f>
        <v>72.8757274028885</v>
      </c>
      <c r="K3716" s="38" t="n">
        <f aca="false">Sens!$J$3716*(1+Sens!$K$3717)</f>
        <v>77.9770283210907</v>
      </c>
      <c r="L3716" s="38" t="n">
        <f aca="false">Sens!$K$3716*(1+Sens!$L$3717)</f>
        <v>83.4354203035671</v>
      </c>
      <c r="M3716" s="38" t="n">
        <f aca="false">Sens!$L$3716*(1+Sens!$M$3717)</f>
        <v>89.2758997248168</v>
      </c>
      <c r="N3716" s="38" t="n">
        <f aca="false">Q!$N$14</f>
        <v>23.923</v>
      </c>
      <c r="O3716" s="38" t="n">
        <f aca="false">Q!$O$14</f>
        <v>25.696</v>
      </c>
      <c r="P3716" s="8" t="s">
        <v>667</v>
      </c>
    </row>
    <row r="3717" customFormat="false" ht="17.15" hidden="false" customHeight="false" outlineLevel="0" collapsed="false">
      <c r="A3717" s="0" t="s">
        <v>676</v>
      </c>
      <c r="B3717" s="0" t="s">
        <v>52</v>
      </c>
      <c r="E3717" s="13" t="n">
        <f aca="false">Sens!$E$3716/Sens!$N$3716-1</f>
        <v>0.135183714417088</v>
      </c>
      <c r="F3717" s="13" t="n">
        <f aca="false">Sens!$O$3716/(Q!$F$14+Q!$G$14)-1</f>
        <v>0.127709997366804</v>
      </c>
      <c r="G3717" s="13" t="n">
        <f aca="false">Sens!$G$3716/Sens!$D$3716-1</f>
        <v>0.107104468022641</v>
      </c>
      <c r="H3717" s="13" t="n">
        <f aca="false">Sens!$F$3717+(g_sub-Sens!$F$3717)*1/4</f>
        <v>0.113282498025103</v>
      </c>
      <c r="I3717" s="13" t="n">
        <f aca="false">Sens!$F$3717+(g_sub-Sens!$F$3717)*2/4</f>
        <v>0.0988549986834021</v>
      </c>
      <c r="J3717" s="13" t="n">
        <f aca="false">Sens!$F$3717+(g_sub-Sens!$F$3717)*3/4</f>
        <v>0.084427499341701</v>
      </c>
      <c r="K3717" s="13" t="n">
        <f aca="false">Sens!$F$3717+(g_sub-Sens!$F$3717)*4/4</f>
        <v>0.07</v>
      </c>
      <c r="L3717" s="13" t="n">
        <f aca="false">g_sub</f>
        <v>0.07</v>
      </c>
      <c r="M3717" s="13" t="n">
        <f aca="false">g_sub</f>
        <v>0.07</v>
      </c>
      <c r="P3717" s="8" t="s">
        <v>677</v>
      </c>
    </row>
    <row r="3718" customFormat="false" ht="17.15" hidden="false" customHeight="false" outlineLevel="0" collapsed="false">
      <c r="A3718" s="0" t="s">
        <v>524</v>
      </c>
      <c r="B3718" s="0" t="s">
        <v>86</v>
      </c>
      <c r="C3718" s="38" t="n">
        <f aca="false">Q!$D$15</f>
        <v>5.425</v>
      </c>
      <c r="D3718" s="38" t="n">
        <f aca="false">Q!$E$15</f>
        <v>5.935</v>
      </c>
      <c r="E3718" s="38" t="n">
        <f aca="false">Q!$P$15</f>
        <v>3.474</v>
      </c>
      <c r="F3718" s="38" t="n">
        <f aca="false">Sens!$O$3718*(1+Sens!$F$3719)*Sens!$F$3720</f>
        <v>3.22246550883619</v>
      </c>
      <c r="G3718" s="38" t="n">
        <f aca="false">Sens!$E$3718+Sens!$F$3718</f>
        <v>6.69646550883619</v>
      </c>
      <c r="H3718" s="38" t="n">
        <f aca="false">Sens!$G$3718*(1+Sens!$H$3719)</f>
        <v>7.16251344209196</v>
      </c>
      <c r="I3718" s="38" t="n">
        <f aca="false">Sens!$H$3718*(1+Sens!$I$3719)</f>
        <v>7.61421070299826</v>
      </c>
      <c r="J3718" s="38" t="n">
        <f aca="false">Sens!$I$3718*(1+Sens!$J$3719)</f>
        <v>8.04465753523932</v>
      </c>
      <c r="K3718" s="38" t="n">
        <f aca="false">Sens!$J$3718*(1+Sens!$K$3719)</f>
        <v>8.44689041200128</v>
      </c>
      <c r="L3718" s="38" t="n">
        <f aca="false">Sens!$K$3718*(1+Sens!$L$3719)</f>
        <v>8.86923493260135</v>
      </c>
      <c r="M3718" s="38" t="n">
        <f aca="false">Sens!$L$3718*(1+Sens!$M$3719)</f>
        <v>9.31269667923142</v>
      </c>
      <c r="N3718" s="38" t="n">
        <f aca="false">Q!$N$15</f>
        <v>2.811</v>
      </c>
      <c r="O3718" s="38" t="n">
        <f aca="false">Q!$O$15</f>
        <v>3.124</v>
      </c>
      <c r="P3718" s="8" t="s">
        <v>667</v>
      </c>
    </row>
    <row r="3719" customFormat="false" ht="17.15" hidden="false" customHeight="false" outlineLevel="0" collapsed="false">
      <c r="A3719" s="0" t="s">
        <v>678</v>
      </c>
      <c r="B3719" s="0" t="s">
        <v>52</v>
      </c>
      <c r="E3719" s="13" t="n">
        <f aca="false">Sens!$E$3718/Sens!$N$3718-1</f>
        <v>0.235859124866596</v>
      </c>
      <c r="F3719" s="13" t="n">
        <f aca="false">Sens!$O$3718/(Q!$F$15+Q!$G$15)-1</f>
        <v>0.0761281433000345</v>
      </c>
      <c r="G3719" s="13" t="n">
        <f aca="false">Sens!$G$3718/Sens!$D$3718-1</f>
        <v>0.128300843948811</v>
      </c>
      <c r="H3719" s="13" t="n">
        <f aca="false">Sens!$F$3719+(g_ot-Sens!$F$3719)*1/4</f>
        <v>0.0695961074750259</v>
      </c>
      <c r="I3719" s="13" t="n">
        <f aca="false">Sens!$F$3719+(g_ot-Sens!$F$3719)*2/4</f>
        <v>0.0630640716500172</v>
      </c>
      <c r="J3719" s="13" t="n">
        <f aca="false">Sens!$F$3719+(g_ot-Sens!$F$3719)*3/4</f>
        <v>0.0565320358250086</v>
      </c>
      <c r="K3719" s="13" t="n">
        <f aca="false">Sens!$F$3719+(g_ot-Sens!$F$3719)*4/4</f>
        <v>0.05</v>
      </c>
      <c r="L3719" s="13" t="n">
        <f aca="false">g_ot</f>
        <v>0.05</v>
      </c>
      <c r="M3719" s="13" t="n">
        <f aca="false">g_ot</f>
        <v>0.05</v>
      </c>
      <c r="P3719" s="8" t="s">
        <v>679</v>
      </c>
    </row>
    <row r="3720" customFormat="false" ht="17.15" hidden="false" customHeight="false" outlineLevel="0" collapsed="false">
      <c r="A3720" s="0" t="s">
        <v>680</v>
      </c>
      <c r="B3720" s="0" t="s">
        <v>57</v>
      </c>
      <c r="F3720" s="40" t="n">
        <f aca="false">(g26q3_mid*Q!$O$8/Q!$J$8-Thesis!$F$86-Thesis!$F$90)/(Sens!$O$3708*(1+Sens!$F$3709)+Sens!$O$3710*(1+Sens!$F$3711)+Sens!$O$3712*(1+Sens!$F$3713)+Sens!$O$3714*(1+Sens!$F$3715)+Sens!$O$3716*(1+Sens!$F$3717)+Sens!$O$3718*(1+Sens!$F$3719))</f>
        <v>0.958546670622329</v>
      </c>
      <c r="P3720" s="8" t="s">
        <v>681</v>
      </c>
    </row>
    <row r="3721" customFormat="false" ht="17.15" hidden="false" customHeight="false" outlineLevel="0" collapsed="false">
      <c r="A3721" s="3" t="s">
        <v>682</v>
      </c>
      <c r="B3721" s="8" t="s">
        <v>86</v>
      </c>
      <c r="C3721" s="38" t="n">
        <f aca="false">Sens!$C$3708+Sens!$C$3710+Sens!$C$3712+Sens!$C$3714+Sens!$C$3716+Sens!$C$3718</f>
        <v>530.403</v>
      </c>
      <c r="D3721" s="38" t="n">
        <f aca="false">Sens!$D$3708+Sens!$D$3710+Sens!$D$3712+Sens!$D$3714+Sens!$D$3716+Sens!$D$3718</f>
        <v>588.199</v>
      </c>
      <c r="E3721" s="38" t="n">
        <f aca="false">Sens!$E$3708+Sens!$E$3710+Sens!$E$3712+Sens!$E$3714+Sens!$E$3716+Sens!$E$3718</f>
        <v>302.306</v>
      </c>
      <c r="F3721" s="38" t="n">
        <f aca="false">Sens!$F$3708+Sens!$F$3710+Sens!$F$3712+Sens!$F$3714+Sens!$F$3716+Sens!$F$3718</f>
        <v>349.048241645537</v>
      </c>
      <c r="G3721" s="38" t="n">
        <f aca="false">Sens!$G$3708+Sens!$G$3710+Sens!$G$3712+Sens!$G$3714+Sens!$G$3716+Sens!$G$3718</f>
        <v>651.354241645537</v>
      </c>
      <c r="H3721" s="38" t="n">
        <f aca="false">Sens!$H$3708+Sens!$H$3710+Sens!$H$3712+Sens!$H$3714+Sens!$H$3716+Sens!$H$3718</f>
        <v>721.096889521386</v>
      </c>
      <c r="I3721" s="38" t="n">
        <f aca="false">Sens!$I$3708+Sens!$I$3710+Sens!$I$3712+Sens!$I$3714+Sens!$I$3716+Sens!$I$3718</f>
        <v>788.529391152531</v>
      </c>
      <c r="J3721" s="38" t="n">
        <f aca="false">Sens!$J$3708+Sens!$J$3710+Sens!$J$3712+Sens!$J$3714+Sens!$J$3716+Sens!$J$3718</f>
        <v>851.108405741443</v>
      </c>
      <c r="K3721" s="38" t="n">
        <f aca="false">Sens!$K$3708+Sens!$K$3710+Sens!$K$3712+Sens!$K$3714+Sens!$K$3716+Sens!$K$3718</f>
        <v>906.176455431088</v>
      </c>
      <c r="L3721" s="38" t="n">
        <f aca="false">Sens!$L$3708+Sens!$L$3710+Sens!$L$3712+Sens!$L$3714+Sens!$L$3716+Sens!$L$3718</f>
        <v>965.093106475589</v>
      </c>
      <c r="M3721" s="38" t="n">
        <f aca="false">Sens!$M$3708+Sens!$M$3710+Sens!$M$3712+Sens!$M$3714+Sens!$M$3716+Sens!$M$3718</f>
        <v>1028.14790794689</v>
      </c>
      <c r="N3721" s="38" t="n">
        <f aca="false">Sens!$N$3708+Sens!$N$3710+Sens!$N$3712+Sens!$N$3714+Sens!$N$3716+Sens!$N$3718</f>
        <v>263.229</v>
      </c>
      <c r="O3721" s="38" t="n">
        <f aca="false">Sens!$O$3708+Sens!$O$3710+Sens!$O$3712+Sens!$O$3714+Sens!$O$3716+Sens!$O$3718</f>
        <v>324.97</v>
      </c>
    </row>
    <row r="3722" customFormat="false" ht="17.15" hidden="false" customHeight="false" outlineLevel="0" collapsed="false">
      <c r="A3722" s="5" t="s">
        <v>683</v>
      </c>
      <c r="B3722" s="0" t="s">
        <v>52</v>
      </c>
      <c r="C3722" s="13" t="n">
        <f aca="false">Q!$D$5/(Q!$D$5+Q!$D$6)</f>
        <v>0.730570905519011</v>
      </c>
      <c r="D3722" s="13" t="n">
        <f aca="false">Q!$E$5/(Q!$E$5+Q!$E$6)</f>
        <v>0.724763217890544</v>
      </c>
      <c r="E3722" s="13" t="n">
        <f aca="false">Q!$P$5/(Q!$P$5+Q!$P$6)</f>
        <v>0.728797972914861</v>
      </c>
      <c r="F3722" s="13" t="n">
        <f aca="false">Sens!$O$3722</f>
        <v>0.718066283041511</v>
      </c>
      <c r="G3722" s="13" t="n">
        <f aca="false">Sens!$G$3723/Sens!$G$3721</f>
        <v>0.723047066202847</v>
      </c>
      <c r="H3722" s="13" t="n">
        <f aca="false">Sens!$G$3722</f>
        <v>0.723047066202847</v>
      </c>
      <c r="I3722" s="13" t="n">
        <f aca="false">Sens!$G$3722</f>
        <v>0.723047066202847</v>
      </c>
      <c r="J3722" s="13" t="n">
        <f aca="false">Sens!$G$3722</f>
        <v>0.723047066202847</v>
      </c>
      <c r="K3722" s="13" t="n">
        <f aca="false">Sens!$G$3722</f>
        <v>0.723047066202847</v>
      </c>
      <c r="L3722" s="13" t="n">
        <f aca="false">Sens!$G$3722</f>
        <v>0.723047066202847</v>
      </c>
      <c r="M3722" s="13" t="n">
        <f aca="false">Sens!$G$3722</f>
        <v>0.723047066202847</v>
      </c>
      <c r="N3722" s="13" t="n">
        <f aca="false">Q!$N$5/(Q!$N$5+Q!$N$6)</f>
        <v>0.733030935041352</v>
      </c>
      <c r="O3722" s="13" t="n">
        <f aca="false">Q!$O$5/(Q!$O$5+Q!$O$6)</f>
        <v>0.718066283041511</v>
      </c>
      <c r="P3722" s="8" t="s">
        <v>684</v>
      </c>
    </row>
    <row r="3723" customFormat="false" ht="17.15" hidden="false" customHeight="false" outlineLevel="0" collapsed="false">
      <c r="A3723" s="1" t="s">
        <v>512</v>
      </c>
      <c r="B3723" s="8" t="s">
        <v>86</v>
      </c>
      <c r="C3723" s="38" t="n">
        <f aca="false">Q!$D$5</f>
        <v>387.497</v>
      </c>
      <c r="D3723" s="38" t="n">
        <f aca="false">Q!$E$5</f>
        <v>426.305</v>
      </c>
      <c r="E3723" s="38" t="n">
        <f aca="false">Q!$P$5</f>
        <v>220.32</v>
      </c>
      <c r="F3723" s="38" t="n">
        <f aca="false">Sens!$F$3721*Sens!$F$3722</f>
        <v>250.639773480586</v>
      </c>
      <c r="G3723" s="38" t="n">
        <f aca="false">Sens!$E$3723+Sens!$F$3723</f>
        <v>470.959773480586</v>
      </c>
      <c r="H3723" s="38" t="n">
        <f aca="false">Sens!$H$3721*Sens!$H$3722</f>
        <v>521.386990416437</v>
      </c>
      <c r="I3723" s="38" t="n">
        <f aca="false">Sens!$I$3721*Sens!$I$3722</f>
        <v>570.143862887555</v>
      </c>
      <c r="J3723" s="38" t="n">
        <f aca="false">Sens!$J$3721*Sens!$J$3722</f>
        <v>615.391435791933</v>
      </c>
      <c r="K3723" s="38" t="n">
        <f aca="false">Sens!$K$3721*Sens!$K$3722</f>
        <v>655.208227561543</v>
      </c>
      <c r="L3723" s="38" t="n">
        <f aca="false">Sens!$L$3721*Sens!$L$3722</f>
        <v>697.807739249767</v>
      </c>
      <c r="M3723" s="38" t="n">
        <f aca="false">Sens!$M$3721*Sens!$M$3722</f>
        <v>743.399328463592</v>
      </c>
      <c r="N3723" s="38" t="n">
        <f aca="false">Q!$N$5</f>
        <v>192.955</v>
      </c>
      <c r="O3723" s="38" t="n">
        <f aca="false">Q!$O$5</f>
        <v>233.35</v>
      </c>
      <c r="P3723" s="5" t="s">
        <v>685</v>
      </c>
    </row>
    <row r="3724" customFormat="false" ht="17.15" hidden="false" customHeight="false" outlineLevel="0" collapsed="false">
      <c r="A3724" s="1" t="s">
        <v>515</v>
      </c>
      <c r="B3724" s="8" t="s">
        <v>86</v>
      </c>
      <c r="C3724" s="38" t="n">
        <f aca="false">Q!$D$6</f>
        <v>142.906</v>
      </c>
      <c r="D3724" s="38" t="n">
        <f aca="false">Q!$E$6</f>
        <v>161.894</v>
      </c>
      <c r="E3724" s="38" t="n">
        <f aca="false">Q!$P$6</f>
        <v>81.986</v>
      </c>
      <c r="F3724" s="38" t="n">
        <f aca="false">Sens!$F$3721*(1-Sens!$F$3722)</f>
        <v>98.408468164951</v>
      </c>
      <c r="G3724" s="38" t="n">
        <f aca="false">Sens!$E$3724+Sens!$F$3724</f>
        <v>180.394468164951</v>
      </c>
      <c r="H3724" s="38" t="n">
        <f aca="false">Sens!$H$3721*(1-Sens!$H$3722)</f>
        <v>199.709899104949</v>
      </c>
      <c r="I3724" s="38" t="n">
        <f aca="false">Sens!$I$3721*(1-Sens!$I$3722)</f>
        <v>218.385528264976</v>
      </c>
      <c r="J3724" s="38" t="n">
        <f aca="false">Sens!$J$3721*(1-Sens!$J$3722)</f>
        <v>235.71696994951</v>
      </c>
      <c r="K3724" s="38" t="n">
        <f aca="false">Sens!$K$3721*(1-Sens!$K$3722)</f>
        <v>250.968227869545</v>
      </c>
      <c r="L3724" s="38" t="n">
        <f aca="false">Sens!$L$3721*(1-Sens!$L$3722)</f>
        <v>267.285367225822</v>
      </c>
      <c r="M3724" s="38" t="n">
        <f aca="false">Sens!$M$3721*(1-Sens!$M$3722)</f>
        <v>284.748579483295</v>
      </c>
      <c r="N3724" s="38" t="n">
        <f aca="false">Q!$N$6</f>
        <v>70.274</v>
      </c>
      <c r="O3724" s="38" t="n">
        <f aca="false">Q!$O$6</f>
        <v>91.62</v>
      </c>
      <c r="P3724" s="5" t="s">
        <v>686</v>
      </c>
    </row>
    <row r="3725" customFormat="false" ht="17.15" hidden="false" customHeight="false" outlineLevel="0" collapsed="false">
      <c r="A3725" s="5" t="s">
        <v>687</v>
      </c>
      <c r="B3725" s="0" t="s">
        <v>86</v>
      </c>
      <c r="C3725" s="38" t="n">
        <f aca="false">Sens!$C$3714*Sens!$C$3722</f>
        <v>41.0683128828457</v>
      </c>
      <c r="D3725" s="38" t="n">
        <f aca="false">Sens!$D$3714*Sens!$D$3722</f>
        <v>49.7441234599175</v>
      </c>
      <c r="E3725" s="38" t="n">
        <f aca="false">Sens!$E$3714*Sens!$E$3722</f>
        <v>27.0034224924414</v>
      </c>
      <c r="F3725" s="38" t="n">
        <f aca="false">Sens!$F$3714*Sens!$F$3722</f>
        <v>33.1439448330513</v>
      </c>
      <c r="G3725" s="38" t="n">
        <f aca="false">Sens!$G$3714*Sens!$G$3722</f>
        <v>60.164183844083</v>
      </c>
      <c r="H3725" s="38" t="n">
        <f aca="false">Sens!$H$3714*Sens!$H$3722</f>
        <v>72.2301766552629</v>
      </c>
      <c r="I3725" s="38" t="n">
        <f aca="false">Sens!$I$3714*Sens!$I$3722</f>
        <v>84.2950764463991</v>
      </c>
      <c r="J3725" s="38" t="n">
        <f aca="false">Sens!$J$3714*Sens!$J$3722</f>
        <v>95.5499047729386</v>
      </c>
      <c r="K3725" s="38" t="n">
        <f aca="false">Sens!$K$3714*Sens!$K$3722</f>
        <v>105.104895250232</v>
      </c>
      <c r="L3725" s="38" t="n">
        <f aca="false">Sens!$L$3714*Sens!$L$3722</f>
        <v>115.615384775256</v>
      </c>
      <c r="M3725" s="38" t="n">
        <f aca="false">Sens!$M$3714*Sens!$M$3722</f>
        <v>127.176923252781</v>
      </c>
      <c r="N3725" s="38" t="n">
        <f aca="false">Sens!$N$3714*Sens!$N$3722</f>
        <v>21.7087111412496</v>
      </c>
      <c r="O3725" s="38" t="n">
        <f aca="false">Sens!$O$3714*Sens!$O$3722</f>
        <v>28.0189463642798</v>
      </c>
      <c r="P3725" s="5" t="s">
        <v>688</v>
      </c>
    </row>
    <row r="3726" customFormat="false" ht="15" hidden="false" customHeight="false" outlineLevel="0" collapsed="false">
      <c r="A3726" s="5" t="s">
        <v>689</v>
      </c>
      <c r="B3726" s="0" t="s">
        <v>86</v>
      </c>
      <c r="C3726" s="38" t="n">
        <f aca="false">Sens!$C$3714-Sens!$C$3725</f>
        <v>15.1456871171543</v>
      </c>
      <c r="D3726" s="38" t="n">
        <f aca="false">Sens!$D$3714-Sens!$D$3725</f>
        <v>18.8908765400825</v>
      </c>
      <c r="E3726" s="38" t="n">
        <f aca="false">Sens!$E$3714-Sens!$E$3725</f>
        <v>10.0485775075586</v>
      </c>
      <c r="F3726" s="38" t="n">
        <f aca="false">Sens!$F$3714-Sens!$F$3725</f>
        <v>13.0132771613635</v>
      </c>
      <c r="G3726" s="38" t="n">
        <f aca="false">Sens!$G$3714-Sens!$G$3725</f>
        <v>23.0450381503318</v>
      </c>
      <c r="H3726" s="38" t="n">
        <f aca="false">Sens!$H$3714-Sens!$H$3725</f>
        <v>27.6667457326347</v>
      </c>
      <c r="I3726" s="38" t="n">
        <f aca="false">Sens!$I$3714-Sens!$I$3725</f>
        <v>32.2880346490971</v>
      </c>
      <c r="J3726" s="38" t="n">
        <f aca="false">Sens!$J$3714-Sens!$J$3725</f>
        <v>36.5990371690132</v>
      </c>
      <c r="K3726" s="38" t="n">
        <f aca="false">Sens!$K$3714-Sens!$K$3725</f>
        <v>40.2589408859145</v>
      </c>
      <c r="L3726" s="38" t="n">
        <f aca="false">Sens!$L$3714-Sens!$L$3725</f>
        <v>44.2848349745059</v>
      </c>
      <c r="M3726" s="38" t="n">
        <f aca="false">Sens!$M$3714-Sens!$M$3725</f>
        <v>48.7133184719565</v>
      </c>
      <c r="N3726" s="38" t="n">
        <f aca="false">Sens!$N$3714-Sens!$N$3725</f>
        <v>7.90628885875037</v>
      </c>
      <c r="O3726" s="38" t="n">
        <f aca="false">Sens!$O$3714-Sens!$O$3725</f>
        <v>11.0010536357202</v>
      </c>
    </row>
    <row r="3727" customFormat="false" ht="19.4" hidden="false" customHeight="false" outlineLevel="0" collapsed="false">
      <c r="A3727" s="31" t="s">
        <v>1211</v>
      </c>
    </row>
    <row r="3728" customFormat="false" ht="17.15" hidden="false" customHeight="false" outlineLevel="0" collapsed="false">
      <c r="A3728" s="6" t="s">
        <v>16</v>
      </c>
      <c r="B3728" s="6" t="s">
        <v>17</v>
      </c>
      <c r="C3728" s="20" t="s">
        <v>497</v>
      </c>
      <c r="D3728" s="20" t="s">
        <v>498</v>
      </c>
      <c r="E3728" s="20" t="s">
        <v>580</v>
      </c>
      <c r="F3728" s="20" t="s">
        <v>581</v>
      </c>
      <c r="G3728" s="20" t="s">
        <v>582</v>
      </c>
      <c r="H3728" s="20" t="s">
        <v>583</v>
      </c>
      <c r="I3728" s="20" t="s">
        <v>584</v>
      </c>
      <c r="J3728" s="20" t="s">
        <v>585</v>
      </c>
      <c r="K3728" s="20" t="s">
        <v>586</v>
      </c>
      <c r="L3728" s="20" t="s">
        <v>587</v>
      </c>
      <c r="M3728" s="20" t="s">
        <v>588</v>
      </c>
      <c r="N3728" s="20" t="s">
        <v>589</v>
      </c>
      <c r="O3728" s="20" t="s">
        <v>590</v>
      </c>
      <c r="P3728" s="6" t="s">
        <v>23</v>
      </c>
      <c r="R3728" s="20" t="n">
        <v>2023</v>
      </c>
      <c r="S3728" s="20" t="n">
        <v>2024</v>
      </c>
      <c r="T3728" s="20" t="n">
        <v>2025</v>
      </c>
      <c r="U3728" s="20" t="n">
        <v>2026</v>
      </c>
      <c r="V3728" s="20" t="n">
        <v>2027</v>
      </c>
      <c r="W3728" s="20" t="n">
        <v>2028</v>
      </c>
      <c r="X3728" s="20" t="n">
        <v>2029</v>
      </c>
      <c r="Y3728" s="20" t="n">
        <v>2030</v>
      </c>
      <c r="Z3728" s="20" t="n">
        <v>2031</v>
      </c>
      <c r="AA3728" s="20" t="n">
        <v>2032</v>
      </c>
    </row>
    <row r="3729" customFormat="false" ht="17.15" hidden="false" customHeight="false" outlineLevel="0" collapsed="false">
      <c r="A3729" s="1" t="s">
        <v>591</v>
      </c>
    </row>
    <row r="3730" customFormat="false" ht="17.15" hidden="false" customHeight="false" outlineLevel="0" collapsed="false">
      <c r="A3730" s="5" t="s">
        <v>592</v>
      </c>
      <c r="B3730" s="0" t="s">
        <v>144</v>
      </c>
      <c r="H3730" s="32" t="n">
        <f aca="false">pace_B</f>
        <v>3634.3</v>
      </c>
      <c r="I3730" s="32" t="n">
        <f aca="false">pace_B</f>
        <v>3634.3</v>
      </c>
      <c r="J3730" s="32" t="n">
        <f aca="false">pace_B</f>
        <v>3634.3</v>
      </c>
      <c r="K3730" s="32" t="n">
        <f aca="false">pace_B+(Sens!$J$3731*tg-pace_B)*1/3</f>
        <v>2570.86716666667</v>
      </c>
      <c r="L3730" s="32" t="n">
        <f aca="false">pace_B+(Sens!$J$3731*tg-pace_B)*2/3</f>
        <v>1507.43433333333</v>
      </c>
      <c r="M3730" s="32" t="n">
        <f aca="false">pace_B+(Sens!$J$3731*tg-pace_B)*3/3</f>
        <v>444.0015</v>
      </c>
      <c r="P3730" s="5" t="s">
        <v>593</v>
      </c>
    </row>
    <row r="3731" customFormat="false" ht="17.15" hidden="false" customHeight="false" outlineLevel="0" collapsed="false">
      <c r="A3731" s="15" t="s">
        <v>594</v>
      </c>
      <c r="B3731" s="14" t="s">
        <v>129</v>
      </c>
      <c r="C3731" s="33" t="n">
        <f aca="false">mw_ye24</f>
        <v>360</v>
      </c>
      <c r="D3731" s="33" t="n">
        <f aca="false">mw_ye25</f>
        <v>1440</v>
      </c>
      <c r="E3731" s="33" t="n">
        <f aca="false">mw_open</f>
        <v>2080</v>
      </c>
      <c r="F3731" s="33" t="n">
        <f aca="false">Sens!$E$3731+pace_B*0.5</f>
        <v>3897.15</v>
      </c>
      <c r="G3731" s="33" t="n">
        <f aca="false">Sens!$F$3731</f>
        <v>3897.15</v>
      </c>
      <c r="H3731" s="33" t="n">
        <f aca="false">Sens!$G$3731+Sens!$H$3730</f>
        <v>7531.45</v>
      </c>
      <c r="I3731" s="33" t="n">
        <f aca="false">Sens!$H$3731+Sens!$I$3730</f>
        <v>11165.75</v>
      </c>
      <c r="J3731" s="33" t="n">
        <f aca="false">Sens!$I$3731+Sens!$J$3730</f>
        <v>14800.05</v>
      </c>
      <c r="K3731" s="33" t="n">
        <f aca="false">Sens!$J$3731+Sens!$K$3730</f>
        <v>17370.9171666667</v>
      </c>
      <c r="L3731" s="33" t="n">
        <f aca="false">Sens!$K$3731+Sens!$L$3730</f>
        <v>18878.3515</v>
      </c>
      <c r="M3731" s="33" t="n">
        <f aca="false">Sens!$L$3731+Sens!$M$3730</f>
        <v>19322.353</v>
      </c>
      <c r="N3731" s="33" t="n">
        <f aca="false">(mw_ye24+mw_ye25)/2</f>
        <v>900</v>
      </c>
      <c r="O3731" s="33" t="n">
        <f aca="false">mw_ye25</f>
        <v>1440</v>
      </c>
      <c r="P3731" s="5" t="s">
        <v>595</v>
      </c>
    </row>
    <row r="3732" customFormat="false" ht="17.15" hidden="false" customHeight="false" outlineLevel="0" collapsed="false">
      <c r="A3732" s="5" t="s">
        <v>596</v>
      </c>
      <c r="B3732" s="0" t="s">
        <v>129</v>
      </c>
      <c r="C3732" s="32" t="n">
        <f aca="false">(mw_ye23+mw_ye24)/2</f>
        <v>240</v>
      </c>
      <c r="D3732" s="32" t="n">
        <f aca="false">(Sens!$C$3731+Sens!$D$3731)/2</f>
        <v>900</v>
      </c>
      <c r="E3732" s="32" t="n">
        <f aca="false">(Sens!$D$3731+Sens!$E$3731)/2</f>
        <v>1760</v>
      </c>
      <c r="F3732" s="32" t="n">
        <f aca="false">(Sens!$E$3731+Sens!$F$3731)/2</f>
        <v>2988.575</v>
      </c>
      <c r="G3732" s="32" t="n">
        <f aca="false">(Sens!$E$3732+Sens!$F$3732)/2</f>
        <v>2374.2875</v>
      </c>
      <c r="H3732" s="32" t="n">
        <f aca="false">(Sens!$G$3731+Sens!$H$3731)/2</f>
        <v>5714.3</v>
      </c>
      <c r="I3732" s="32" t="n">
        <f aca="false">(Sens!$H$3731+Sens!$I$3731)/2</f>
        <v>9348.6</v>
      </c>
      <c r="J3732" s="32" t="n">
        <f aca="false">(Sens!$I$3731+Sens!$J$3731)/2</f>
        <v>12982.9</v>
      </c>
      <c r="K3732" s="32" t="n">
        <f aca="false">(Sens!$J$3731+Sens!$K$3731)/2</f>
        <v>16085.4835833333</v>
      </c>
      <c r="L3732" s="32" t="n">
        <f aca="false">(Sens!$K$3731+Sens!$L$3731)/2</f>
        <v>18124.6343333333</v>
      </c>
      <c r="M3732" s="32" t="n">
        <f aca="false">(Sens!$L$3731+Sens!$M$3731)/2</f>
        <v>19100.35225</v>
      </c>
      <c r="N3732" s="32" t="n">
        <f aca="false">(Sens!$C$3731+Sens!$N$3731)/2</f>
        <v>630</v>
      </c>
      <c r="O3732" s="32" t="n">
        <f aca="false">(Sens!$N$3731+Sens!$O$3731)/2</f>
        <v>1170</v>
      </c>
    </row>
    <row r="3733" customFormat="false" ht="15" hidden="false" customHeight="false" outlineLevel="0" collapsed="false">
      <c r="A3733" s="5" t="s">
        <v>597</v>
      </c>
      <c r="B3733" s="5" t="s">
        <v>123</v>
      </c>
      <c r="C3733" s="34" t="n">
        <v>1</v>
      </c>
      <c r="D3733" s="34" t="n">
        <v>1</v>
      </c>
      <c r="E3733" s="34" t="n">
        <v>0.5</v>
      </c>
      <c r="F3733" s="34" t="n">
        <v>0.5</v>
      </c>
      <c r="G3733" s="34" t="n">
        <v>1</v>
      </c>
      <c r="H3733" s="34" t="n">
        <v>1</v>
      </c>
      <c r="I3733" s="34" t="n">
        <v>1</v>
      </c>
      <c r="J3733" s="34" t="n">
        <v>1</v>
      </c>
      <c r="K3733" s="34" t="n">
        <v>1</v>
      </c>
      <c r="L3733" s="34" t="n">
        <v>1</v>
      </c>
      <c r="M3733" s="34" t="n">
        <v>1</v>
      </c>
      <c r="N3733" s="34" t="n">
        <v>0.5</v>
      </c>
      <c r="O3733" s="34" t="n">
        <v>0.5</v>
      </c>
    </row>
    <row r="3734" customFormat="false" ht="17.15" hidden="false" customHeight="false" outlineLevel="0" collapsed="false">
      <c r="A3734" s="5" t="s">
        <v>598</v>
      </c>
      <c r="B3734" s="0" t="s">
        <v>129</v>
      </c>
      <c r="C3734" s="32" t="n">
        <f aca="false">Sens!$C$3731-mw_ye23</f>
        <v>240</v>
      </c>
      <c r="D3734" s="32" t="n">
        <f aca="false">Sens!$D$3731-Sens!$C$3731</f>
        <v>1080</v>
      </c>
      <c r="E3734" s="32" t="n">
        <f aca="false">Sens!$E$3731-Sens!$D$3731</f>
        <v>640</v>
      </c>
      <c r="F3734" s="32" t="n">
        <f aca="false">Sens!$F$3731-Sens!$E$3731</f>
        <v>1817.15</v>
      </c>
      <c r="G3734" s="32" t="n">
        <f aca="false">Sens!$E$3734+Sens!$F$3734</f>
        <v>2457.15</v>
      </c>
      <c r="H3734" s="32" t="n">
        <f aca="false">Sens!$H$3731-Sens!$G$3731</f>
        <v>3634.3</v>
      </c>
      <c r="I3734" s="32" t="n">
        <f aca="false">Sens!$I$3731-Sens!$H$3731</f>
        <v>3634.3</v>
      </c>
      <c r="J3734" s="32" t="n">
        <f aca="false">Sens!$J$3731-Sens!$I$3731</f>
        <v>3634.3</v>
      </c>
      <c r="K3734" s="32" t="n">
        <f aca="false">Sens!$K$3731-Sens!$J$3731</f>
        <v>2570.86716666667</v>
      </c>
      <c r="L3734" s="32" t="n">
        <f aca="false">Sens!$L$3731-Sens!$K$3731</f>
        <v>1507.43433333333</v>
      </c>
      <c r="M3734" s="32" t="n">
        <f aca="false">Sens!$M$3731-Sens!$L$3731</f>
        <v>444.001499999999</v>
      </c>
      <c r="N3734" s="32" t="n">
        <f aca="false">Sens!$N$3731-Sens!$C$3731</f>
        <v>540</v>
      </c>
      <c r="O3734" s="32" t="n">
        <f aca="false">Sens!$O$3731-Sens!$N$3731</f>
        <v>540</v>
      </c>
    </row>
    <row r="3735" customFormat="false" ht="17.15" hidden="false" customHeight="false" outlineLevel="0" collapsed="false">
      <c r="A3735" s="5" t="s">
        <v>599</v>
      </c>
      <c r="B3735" s="0" t="s">
        <v>129</v>
      </c>
      <c r="C3735" s="32" t="n">
        <f aca="false">Sens!$C$3734/ext_sh</f>
        <v>300</v>
      </c>
      <c r="D3735" s="32" t="n">
        <f aca="false">Sens!$D$3734/ext_sh</f>
        <v>1350</v>
      </c>
      <c r="E3735" s="32" t="n">
        <f aca="false">Sens!$E$3734/ext_sh</f>
        <v>800</v>
      </c>
      <c r="F3735" s="32" t="n">
        <f aca="false">Sens!$F$3734/ext_sh</f>
        <v>2271.4375</v>
      </c>
      <c r="G3735" s="32" t="n">
        <f aca="false">Sens!$G$3734/ext_sh</f>
        <v>3071.4375</v>
      </c>
      <c r="H3735" s="32" t="n">
        <f aca="false">Sens!$H$3734/ext_sh</f>
        <v>4542.875</v>
      </c>
      <c r="I3735" s="32" t="n">
        <f aca="false">Sens!$I$3734/ext_sh</f>
        <v>4542.875</v>
      </c>
      <c r="J3735" s="32" t="n">
        <f aca="false">Sens!$J$3734/ext_sh</f>
        <v>4542.875</v>
      </c>
      <c r="K3735" s="32" t="n">
        <f aca="false">Sens!$K$3734/ext_sh</f>
        <v>3213.58395833333</v>
      </c>
      <c r="L3735" s="32" t="n">
        <f aca="false">Sens!$L$3734/ext_sh</f>
        <v>1884.29291666667</v>
      </c>
      <c r="M3735" s="32" t="n">
        <f aca="false">Sens!$M$3734/ext_sh</f>
        <v>555.001874999998</v>
      </c>
      <c r="N3735" s="32" t="n">
        <f aca="false">Sens!$N$3734/ext_sh</f>
        <v>675</v>
      </c>
      <c r="O3735" s="32" t="n">
        <f aca="false">Sens!$O$3734/ext_sh</f>
        <v>675</v>
      </c>
      <c r="P3735" s="8" t="s">
        <v>600</v>
      </c>
      <c r="R3735" s="32" t="n">
        <f aca="false">mw_ye23/ext_sh</f>
        <v>150</v>
      </c>
      <c r="S3735" s="32" t="n">
        <f aca="false">Sens!$C$3735</f>
        <v>300</v>
      </c>
      <c r="T3735" s="32" t="n">
        <f aca="false">Sens!$D$3735</f>
        <v>1350</v>
      </c>
      <c r="U3735" s="32" t="n">
        <f aca="false">Sens!$G$3735</f>
        <v>3071.4375</v>
      </c>
      <c r="V3735" s="32" t="n">
        <f aca="false">Sens!$H$3735</f>
        <v>4542.875</v>
      </c>
      <c r="W3735" s="32" t="n">
        <f aca="false">Sens!$I$3735</f>
        <v>4542.875</v>
      </c>
      <c r="X3735" s="32" t="n">
        <f aca="false">Sens!$J$3735</f>
        <v>4542.875</v>
      </c>
      <c r="Y3735" s="32" t="n">
        <f aca="false">Sens!$K$3735</f>
        <v>3213.58395833333</v>
      </c>
      <c r="Z3735" s="32" t="n">
        <f aca="false">Sens!$L$3735</f>
        <v>1884.29291666667</v>
      </c>
      <c r="AA3735" s="32" t="n">
        <f aca="false">Sens!$M$3735</f>
        <v>555.001874999998</v>
      </c>
    </row>
    <row r="3736" customFormat="false" ht="17.15" hidden="false" customHeight="false" outlineLevel="0" collapsed="false">
      <c r="A3736" s="1" t="s">
        <v>601</v>
      </c>
    </row>
    <row r="3737" customFormat="false" ht="17.15" hidden="false" customHeight="false" outlineLevel="0" collapsed="false">
      <c r="A3737" s="0" t="s">
        <v>602</v>
      </c>
      <c r="B3737" s="0" t="s">
        <v>52</v>
      </c>
      <c r="F3737" s="35" t="n">
        <f aca="false">na_vr26</f>
        <v>0</v>
      </c>
      <c r="G3737" s="35" t="n">
        <f aca="false">na_vr26</f>
        <v>0</v>
      </c>
      <c r="H3737" s="35" t="n">
        <f aca="false">na_vr27</f>
        <v>0.5</v>
      </c>
      <c r="I3737" s="35" t="n">
        <f aca="false">na_vr28</f>
        <v>1</v>
      </c>
      <c r="J3737" s="35" t="n">
        <f aca="false">na_vr28</f>
        <v>1</v>
      </c>
      <c r="K3737" s="35" t="n">
        <f aca="false">na_vr28</f>
        <v>1</v>
      </c>
      <c r="L3737" s="35" t="n">
        <f aca="false">na_vr28</f>
        <v>1</v>
      </c>
      <c r="M3737" s="35" t="n">
        <f aca="false">na_vr28</f>
        <v>1</v>
      </c>
    </row>
    <row r="3738" customFormat="false" ht="17.15" hidden="false" customHeight="false" outlineLevel="0" collapsed="false">
      <c r="A3738" s="5" t="s">
        <v>603</v>
      </c>
      <c r="B3738" s="0" t="s">
        <v>173</v>
      </c>
      <c r="F3738" s="36" t="n">
        <f aca="false">cust_sh*tk_he_gb300*cf_chip+(1-cust_sh)*((1-Sens!$F$3737)*tk_he_gb300+Sens!$F$3737*tk_he_vr200)</f>
        <v>10.8864110021101</v>
      </c>
      <c r="G3738" s="36" t="n">
        <f aca="false">cust_sh*tk_he_gb300*cf_chip+(1-cust_sh)*((1-Sens!$G$3737)*tk_he_gb300+Sens!$G$3737*tk_he_vr200)</f>
        <v>10.8864110021101</v>
      </c>
      <c r="H3738" s="36" t="n">
        <f aca="false">cust_sh*tk_he_gb300*cf_chip+(1-cust_sh)*((1-Sens!$H$3737)*tk_he_gb300+Sens!$H$3737*tk_he_vr200)</f>
        <v>11.2211760027286</v>
      </c>
      <c r="I3738" s="36" t="n">
        <f aca="false">cust_sh*tk_he_gb300*cf_chip+(1-cust_sh)*((1-Sens!$I$3737)*tk_he_gb300+Sens!$I$3737*tk_he_vr200)</f>
        <v>11.5559410033471</v>
      </c>
      <c r="J3738" s="36" t="n">
        <f aca="false">cust_sh*tk_he_gb300*cf_chip+(1-cust_sh)*((1-Sens!$J$3737)*tk_he_gb300+Sens!$J$3737*tk_he_vr200)</f>
        <v>11.5559410033471</v>
      </c>
      <c r="K3738" s="36" t="n">
        <f aca="false">cust_sh*tk_he_gb300*cf_chip+(1-cust_sh)*((1-Sens!$K$3737)*tk_he_gb300+Sens!$K$3737*tk_he_vr200)</f>
        <v>11.5559410033471</v>
      </c>
      <c r="L3738" s="36" t="n">
        <f aca="false">cust_sh*tk_he_gb300*cf_chip+(1-cust_sh)*((1-Sens!$L$3737)*tk_he_gb300+Sens!$L$3737*tk_he_vr200)</f>
        <v>11.5559410033471</v>
      </c>
      <c r="M3738" s="36" t="n">
        <f aca="false">cust_sh*tk_he_gb300*cf_chip+(1-cust_sh)*((1-Sens!$M$3737)*tk_he_gb300+Sens!$M$3737*tk_he_vr200)</f>
        <v>11.5559410033471</v>
      </c>
    </row>
    <row r="3739" customFormat="false" ht="17.15" hidden="false" customHeight="false" outlineLevel="0" collapsed="false">
      <c r="A3739" s="5" t="s">
        <v>604</v>
      </c>
      <c r="B3739" s="0" t="s">
        <v>173</v>
      </c>
      <c r="F3739" s="36" t="n">
        <f aca="false">cust_sh*tk_ox_gb300+(1-cust_sh)*((1-Sens!$F$3737)*tk_ox_gb300+Sens!$F$3737*tk_ox_vr200)</f>
        <v>1.98263481314457</v>
      </c>
      <c r="G3739" s="36" t="n">
        <f aca="false">cust_sh*tk_ox_gb300+(1-cust_sh)*((1-Sens!$G$3737)*tk_ox_gb300+Sens!$G$3737*tk_ox_vr200)</f>
        <v>1.98263481314457</v>
      </c>
      <c r="H3739" s="36" t="n">
        <f aca="false">cust_sh*tk_ox_gb300+(1-cust_sh)*((1-Sens!$H$3737)*tk_ox_gb300+Sens!$H$3737*tk_ox_vr200)</f>
        <v>2.01034999693694</v>
      </c>
      <c r="I3739" s="36" t="n">
        <f aca="false">cust_sh*tk_ox_gb300+(1-cust_sh)*((1-Sens!$I$3737)*tk_ox_gb300+Sens!$I$3737*tk_ox_vr200)</f>
        <v>2.0380651807293</v>
      </c>
      <c r="J3739" s="36" t="n">
        <f aca="false">cust_sh*tk_ox_gb300+(1-cust_sh)*((1-Sens!$J$3737)*tk_ox_gb300+Sens!$J$3737*tk_ox_vr200)</f>
        <v>2.0380651807293</v>
      </c>
      <c r="K3739" s="36" t="n">
        <f aca="false">cust_sh*tk_ox_gb300+(1-cust_sh)*((1-Sens!$K$3737)*tk_ox_gb300+Sens!$K$3737*tk_ox_vr200)</f>
        <v>2.0380651807293</v>
      </c>
      <c r="L3739" s="36" t="n">
        <f aca="false">cust_sh*tk_ox_gb300+(1-cust_sh)*((1-Sens!$L$3737)*tk_ox_gb300+Sens!$L$3737*tk_ox_vr200)</f>
        <v>2.0380651807293</v>
      </c>
      <c r="M3739" s="36" t="n">
        <f aca="false">cust_sh*tk_ox_gb300+(1-cust_sh)*((1-Sens!$M$3737)*tk_ox_gb300+Sens!$M$3737*tk_ox_vr200)</f>
        <v>2.0380651807293</v>
      </c>
    </row>
    <row r="3740" customFormat="false" ht="17.15" hidden="false" customHeight="false" outlineLevel="0" collapsed="false">
      <c r="A3740" s="5" t="s">
        <v>605</v>
      </c>
      <c r="B3740" s="0" t="s">
        <v>192</v>
      </c>
      <c r="F3740" s="36" t="n">
        <f aca="false">cust_sh*tk_cx_gb300*cf_cx+(1-cust_sh)*((1-Sens!$F$3737)*tk_cx_gb300+Sens!$F$3737*tk_cx_vr200)</f>
        <v>32.237224</v>
      </c>
      <c r="G3740" s="36" t="n">
        <f aca="false">cust_sh*tk_cx_gb300*cf_cx+(1-cust_sh)*((1-Sens!$G$3737)*tk_cx_gb300+Sens!$G$3737*tk_cx_vr200)</f>
        <v>32.237224</v>
      </c>
      <c r="H3740" s="36" t="n">
        <f aca="false">cust_sh*tk_cx_gb300*cf_cx+(1-cust_sh)*((1-Sens!$H$3737)*tk_cx_gb300+Sens!$H$3737*tk_cx_vr200)</f>
        <v>33.574506</v>
      </c>
      <c r="I3740" s="36" t="n">
        <f aca="false">cust_sh*tk_cx_gb300*cf_cx+(1-cust_sh)*((1-Sens!$I$3737)*tk_cx_gb300+Sens!$I$3737*tk_cx_vr200)</f>
        <v>34.911788</v>
      </c>
      <c r="J3740" s="36" t="n">
        <f aca="false">cust_sh*tk_cx_gb300*cf_cx+(1-cust_sh)*((1-Sens!$J$3737)*tk_cx_gb300+Sens!$J$3737*tk_cx_vr200)</f>
        <v>34.911788</v>
      </c>
      <c r="K3740" s="36" t="n">
        <f aca="false">cust_sh*tk_cx_gb300*cf_cx+(1-cust_sh)*((1-Sens!$K$3737)*tk_cx_gb300+Sens!$K$3737*tk_cx_vr200)</f>
        <v>34.911788</v>
      </c>
      <c r="L3740" s="36" t="n">
        <f aca="false">cust_sh*tk_cx_gb300*cf_cx+(1-cust_sh)*((1-Sens!$L$3737)*tk_cx_gb300+Sens!$L$3737*tk_cx_vr200)</f>
        <v>34.911788</v>
      </c>
      <c r="M3740" s="36" t="n">
        <f aca="false">cust_sh*tk_cx_gb300*cf_cx+(1-cust_sh)*((1-Sens!$M$3737)*tk_cx_gb300+Sens!$M$3737*tk_cx_vr200)</f>
        <v>34.911788</v>
      </c>
    </row>
    <row r="3741" customFormat="false" ht="17.15" hidden="false" customHeight="false" outlineLevel="0" collapsed="false">
      <c r="A3741" s="5" t="s">
        <v>606</v>
      </c>
      <c r="B3741" s="0" t="s">
        <v>129</v>
      </c>
      <c r="F3741" s="32" t="n">
        <f aca="false">Sens!$F$3731-mw_open</f>
        <v>1817.15</v>
      </c>
      <c r="G3741" s="32" t="n">
        <f aca="false">Sens!$F$3741</f>
        <v>1817.15</v>
      </c>
      <c r="H3741" s="32" t="n">
        <f aca="false">Sens!$H$3731-mw_open</f>
        <v>5451.45</v>
      </c>
      <c r="I3741" s="32" t="n">
        <f aca="false">Sens!$I$3731-mw_open</f>
        <v>9085.75</v>
      </c>
      <c r="J3741" s="32" t="n">
        <f aca="false">Sens!$J$3731-mw_open</f>
        <v>12720.05</v>
      </c>
      <c r="K3741" s="32" t="n">
        <f aca="false">Sens!$K$3731-mw_open</f>
        <v>15290.9171666667</v>
      </c>
      <c r="L3741" s="32" t="n">
        <f aca="false">Sens!$L$3731-mw_open</f>
        <v>16798.3515</v>
      </c>
      <c r="M3741" s="32" t="n">
        <f aca="false">Sens!$M$3731-mw_open</f>
        <v>17242.353</v>
      </c>
    </row>
    <row r="3742" customFormat="false" ht="17.15" hidden="false" customHeight="false" outlineLevel="0" collapsed="false">
      <c r="A3742" s="0" t="s">
        <v>607</v>
      </c>
      <c r="B3742" s="0" t="s">
        <v>608</v>
      </c>
      <c r="F3742" s="32" t="n">
        <f aca="false">Sens!$F$3734*Sens!$F$3738</f>
        <v>19782.2417524844</v>
      </c>
      <c r="G3742" s="32" t="n">
        <f aca="false">Sens!$F$3742</f>
        <v>19782.2417524844</v>
      </c>
      <c r="H3742" s="32" t="n">
        <f aca="false">Sens!$G$3742+Sens!$H$3734*Sens!$H$3738</f>
        <v>60563.3616992009</v>
      </c>
      <c r="I3742" s="32" t="n">
        <f aca="false">Sens!$H$3742+Sens!$I$3734*Sens!$I$3738</f>
        <v>102561.118087665</v>
      </c>
      <c r="J3742" s="32" t="n">
        <f aca="false">Sens!$I$3742+Sens!$J$3734*Sens!$J$3738</f>
        <v>144558.87447613</v>
      </c>
      <c r="K3742" s="32" t="n">
        <f aca="false">Sens!$J$3742+Sens!$K$3734*Sens!$K$3738</f>
        <v>174267.663781572</v>
      </c>
      <c r="L3742" s="32" t="n">
        <f aca="false">Sens!$K$3742+Sens!$L$3734*Sens!$L$3738</f>
        <v>191687.486003992</v>
      </c>
      <c r="M3742" s="32" t="n">
        <f aca="false">Sens!$L$3742+Sens!$M$3734*Sens!$M$3738</f>
        <v>196818.341143389</v>
      </c>
    </row>
    <row r="3743" customFormat="false" ht="17.15" hidden="false" customHeight="false" outlineLevel="0" collapsed="false">
      <c r="A3743" s="0" t="s">
        <v>609</v>
      </c>
      <c r="B3743" s="0" t="s">
        <v>608</v>
      </c>
      <c r="F3743" s="32" t="n">
        <f aca="false">Sens!$F$3734*Sens!$F$3739</f>
        <v>3602.74485070566</v>
      </c>
      <c r="G3743" s="32" t="n">
        <f aca="false">Sens!$F$3743</f>
        <v>3602.74485070566</v>
      </c>
      <c r="H3743" s="32" t="n">
        <f aca="false">Sens!$G$3743+Sens!$H$3734*Sens!$H$3739</f>
        <v>10908.9598445736</v>
      </c>
      <c r="I3743" s="32" t="n">
        <f aca="false">Sens!$H$3743+Sens!$I$3734*Sens!$I$3739</f>
        <v>18315.9001308981</v>
      </c>
      <c r="J3743" s="32" t="n">
        <f aca="false">Sens!$I$3743+Sens!$J$3734*Sens!$J$3739</f>
        <v>25722.8404172225</v>
      </c>
      <c r="K3743" s="32" t="n">
        <f aca="false">Sens!$J$3743+Sens!$K$3734*Sens!$K$3739</f>
        <v>30962.4352738861</v>
      </c>
      <c r="L3743" s="32" t="n">
        <f aca="false">Sens!$K$3743+Sens!$L$3734*Sens!$L$3739</f>
        <v>34034.6847008886</v>
      </c>
      <c r="M3743" s="32" t="n">
        <f aca="false">Sens!$L$3743+Sens!$M$3734*Sens!$M$3739</f>
        <v>34939.5886982302</v>
      </c>
    </row>
    <row r="3744" customFormat="false" ht="17.15" hidden="false" customHeight="false" outlineLevel="0" collapsed="false">
      <c r="A3744" s="5" t="s">
        <v>610</v>
      </c>
      <c r="B3744" s="0" t="s">
        <v>173</v>
      </c>
      <c r="F3744" s="36" t="n">
        <f aca="false">IF(Sens!$F$3741&gt;0,Sens!$F$3742/Sens!$F$3741,Sens!$F$3738)</f>
        <v>10.8864110021101</v>
      </c>
      <c r="G3744" s="36" t="n">
        <f aca="false">IF(Sens!$G$3741&gt;0,Sens!$G$3742/Sens!$G$3741,Sens!$G$3738)</f>
        <v>10.8864110021101</v>
      </c>
      <c r="H3744" s="36" t="n">
        <f aca="false">IF(Sens!$H$3741&gt;0,Sens!$H$3742/Sens!$H$3741,Sens!$H$3738)</f>
        <v>11.1095876691891</v>
      </c>
      <c r="I3744" s="36" t="n">
        <f aca="false">IF(Sens!$I$3741&gt;0,Sens!$I$3742/Sens!$I$3741,Sens!$I$3738)</f>
        <v>11.2881290028523</v>
      </c>
      <c r="J3744" s="36" t="n">
        <f aca="false">IF(Sens!$J$3741&gt;0,Sens!$J$3742/Sens!$J$3741,Sens!$J$3738)</f>
        <v>11.3646467172794</v>
      </c>
      <c r="K3744" s="36" t="n">
        <f aca="false">IF(Sens!$K$3741&gt;0,Sens!$K$3742/Sens!$K$3741,Sens!$K$3738)</f>
        <v>11.3968090914432</v>
      </c>
      <c r="L3744" s="36" t="n">
        <f aca="false">IF(Sens!$L$3741&gt;0,Sens!$L$3742/Sens!$L$3741,Sens!$L$3738)</f>
        <v>11.4110891181192</v>
      </c>
      <c r="M3744" s="36" t="n">
        <f aca="false">IF(Sens!$M$3741&gt;0,Sens!$M$3742/Sens!$M$3741,Sens!$M$3738)</f>
        <v>11.4148191458201</v>
      </c>
    </row>
    <row r="3745" customFormat="false" ht="17.15" hidden="false" customHeight="false" outlineLevel="0" collapsed="false">
      <c r="A3745" s="5" t="s">
        <v>611</v>
      </c>
      <c r="B3745" s="0" t="s">
        <v>173</v>
      </c>
      <c r="F3745" s="36" t="n">
        <f aca="false">IF(Sens!$F$3741&gt;0,Sens!$F$3743/Sens!$F$3741,Sens!$F$3739)</f>
        <v>1.98263481314457</v>
      </c>
      <c r="G3745" s="36" t="n">
        <f aca="false">IF(Sens!$G$3741&gt;0,Sens!$G$3743/Sens!$G$3741,Sens!$G$3739)</f>
        <v>1.98263481314457</v>
      </c>
      <c r="H3745" s="36" t="n">
        <f aca="false">IF(Sens!$H$3741&gt;0,Sens!$H$3743/Sens!$H$3741,Sens!$H$3739)</f>
        <v>2.00111160233948</v>
      </c>
      <c r="I3745" s="36" t="n">
        <f aca="false">IF(Sens!$I$3741&gt;0,Sens!$I$3743/Sens!$I$3741,Sens!$I$3739)</f>
        <v>2.01589303369541</v>
      </c>
      <c r="J3745" s="36" t="n">
        <f aca="false">IF(Sens!$J$3741&gt;0,Sens!$J$3743/Sens!$J$3741,Sens!$J$3739)</f>
        <v>2.02222793284795</v>
      </c>
      <c r="K3745" s="36" t="n">
        <f aca="false">IF(Sens!$K$3741&gt;0,Sens!$K$3743/Sens!$K$3741,Sens!$K$3739)</f>
        <v>2.02489065478573</v>
      </c>
      <c r="L3745" s="36" t="n">
        <f aca="false">IF(Sens!$L$3741&gt;0,Sens!$L$3743/Sens!$L$3741,Sens!$L$3739)</f>
        <v>2.0260728977417</v>
      </c>
      <c r="M3745" s="36" t="n">
        <f aca="false">IF(Sens!$M$3741&gt;0,Sens!$M$3743/Sens!$M$3741,Sens!$M$3739)</f>
        <v>2.02638170661685</v>
      </c>
    </row>
    <row r="3746" customFormat="false" ht="17.15" hidden="false" customHeight="false" outlineLevel="0" collapsed="false">
      <c r="A3746" s="15" t="s">
        <v>612</v>
      </c>
      <c r="B3746" s="14" t="s">
        <v>173</v>
      </c>
      <c r="C3746" s="14"/>
      <c r="D3746" s="14"/>
      <c r="E3746" s="14"/>
      <c r="F3746" s="37" t="n">
        <f aca="false">Sens!$F$3744*k_B</f>
        <v>10.7987645808025</v>
      </c>
      <c r="G3746" s="37" t="n">
        <f aca="false">Sens!$G$3744*k_B</f>
        <v>10.7987645808025</v>
      </c>
      <c r="H3746" s="37" t="n">
        <f aca="false">Sens!$H$3744*k_B</f>
        <v>11.0201444540452</v>
      </c>
      <c r="I3746" s="37" t="n">
        <f aca="false">Sens!$I$3744*k_B</f>
        <v>11.1972483526393</v>
      </c>
      <c r="J3746" s="37" t="n">
        <f aca="false">Sens!$J$3744*k_B</f>
        <v>11.2731500234653</v>
      </c>
      <c r="K3746" s="37" t="n">
        <f aca="false">Sens!$K$3744*k_B</f>
        <v>11.3050534585724</v>
      </c>
      <c r="L3746" s="37" t="n">
        <f aca="false">Sens!$L$3744*k_B</f>
        <v>11.3192185168503</v>
      </c>
      <c r="M3746" s="37" t="n">
        <f aca="false">Sens!$M$3744*k_B</f>
        <v>11.3229185141234</v>
      </c>
      <c r="N3746" s="14"/>
      <c r="O3746" s="14"/>
      <c r="P3746" s="5" t="s">
        <v>613</v>
      </c>
    </row>
    <row r="3747" customFormat="false" ht="17.15" hidden="false" customHeight="false" outlineLevel="0" collapsed="false">
      <c r="A3747" s="5" t="s">
        <v>614</v>
      </c>
      <c r="B3747" s="0" t="s">
        <v>129</v>
      </c>
      <c r="F3747" s="32" t="n">
        <f aca="false">Sens!$F$3741/2</f>
        <v>908.575</v>
      </c>
      <c r="H3747" s="32" t="n">
        <f aca="false">(Sens!$G$3741+Sens!$H$3741)/2</f>
        <v>3634.3</v>
      </c>
      <c r="I3747" s="32" t="n">
        <f aca="false">(Sens!$H$3741+Sens!$I$3741)/2</f>
        <v>7268.6</v>
      </c>
      <c r="J3747" s="32" t="n">
        <f aca="false">(Sens!$I$3741+Sens!$J$3741)/2</f>
        <v>10902.9</v>
      </c>
      <c r="K3747" s="32" t="n">
        <f aca="false">(Sens!$J$3741+Sens!$K$3741)/2</f>
        <v>14005.4835833333</v>
      </c>
      <c r="L3747" s="32" t="n">
        <f aca="false">(Sens!$K$3741+Sens!$L$3741)/2</f>
        <v>16044.6343333333</v>
      </c>
      <c r="M3747" s="32" t="n">
        <f aca="false">(Sens!$L$3741+Sens!$M$3741)/2</f>
        <v>17020.35225</v>
      </c>
    </row>
    <row r="3748" customFormat="false" ht="17.15" hidden="false" customHeight="false" outlineLevel="0" collapsed="false">
      <c r="A3748" s="1" t="s">
        <v>615</v>
      </c>
    </row>
    <row r="3749" customFormat="false" ht="17.15" hidden="false" customHeight="false" outlineLevel="0" collapsed="false">
      <c r="A3749" s="1" t="s">
        <v>616</v>
      </c>
      <c r="B3749" s="8" t="s">
        <v>86</v>
      </c>
      <c r="C3749" s="38" t="n">
        <f aca="false">Sens!$C$3732*rpm_open*Sens!$C$3733/1000</f>
        <v>2.32100535697364</v>
      </c>
      <c r="D3749" s="38" t="n">
        <f aca="false">Sens!$D$3732*rpm_open*Sens!$D$3733/1000</f>
        <v>8.70377008865116</v>
      </c>
      <c r="E3749" s="38" t="n">
        <f aca="false">Sens!$E$3732*rpm_open*Sens!$E$3733/1000</f>
        <v>8.51035297557002</v>
      </c>
      <c r="F3749" s="38" t="n">
        <f aca="false">(mw_open*rpm_open+Sens!$F$3747*Sens!$F$3746)*Sens!$F$3733/1000</f>
        <v>14.9634336447205</v>
      </c>
      <c r="G3749" s="38" t="n">
        <f aca="false">Sens!$E$3749+Sens!$F$3749</f>
        <v>23.4737866202905</v>
      </c>
      <c r="H3749" s="38" t="n">
        <f aca="false">(mw_open*rpm_open+Sens!$H$3747*Sens!$H$3746)/1000</f>
        <v>60.1658907497746</v>
      </c>
      <c r="I3749" s="38" t="n">
        <f aca="false">(mw_open*rpm_open+Sens!$I$3747*Sens!$I$3746)/1000</f>
        <v>101.503699136432</v>
      </c>
      <c r="J3749" s="38" t="n">
        <f aca="false">(mw_open*rpm_open+Sens!$J$3747*Sens!$J$3746)/1000</f>
        <v>143.025407151278</v>
      </c>
      <c r="K3749" s="38" t="n">
        <f aca="false">(mw_open*rpm_open+Sens!$K$3747*Sens!$K$3746)/1000</f>
        <v>178.44812038318</v>
      </c>
      <c r="L3749" s="38" t="n">
        <f aca="false">(mw_open*rpm_open+Sens!$L$3747*Sens!$L$3746)/1000</f>
        <v>201.728101802396</v>
      </c>
      <c r="M3749" s="38" t="n">
        <f aca="false">(mw_open*rpm_open+Sens!$M$3747*Sens!$M$3746)/1000</f>
        <v>212.835441368865</v>
      </c>
      <c r="N3749" s="38" t="n">
        <f aca="false">Sens!$N$3732*rpm_open*Sens!$N$3733/1000</f>
        <v>3.04631953102791</v>
      </c>
      <c r="O3749" s="38" t="n">
        <f aca="false">Sens!$O$3732*rpm_open*Sens!$O$3733/1000</f>
        <v>5.65745055762326</v>
      </c>
      <c r="P3749" s="5" t="s">
        <v>617</v>
      </c>
    </row>
    <row r="3750" customFormat="false" ht="17.15" hidden="false" customHeight="false" outlineLevel="0" collapsed="false">
      <c r="A3750" s="5" t="s">
        <v>618</v>
      </c>
      <c r="B3750" s="0" t="s">
        <v>173</v>
      </c>
      <c r="C3750" s="36" t="n">
        <f aca="false">Sens!$C$3749*1000/(Sens!$C$3732*Sens!$C$3733)</f>
        <v>9.67085565405685</v>
      </c>
      <c r="D3750" s="36" t="n">
        <f aca="false">Sens!$D$3749*1000/(Sens!$D$3732*Sens!$D$3733)</f>
        <v>9.67085565405685</v>
      </c>
      <c r="E3750" s="36" t="n">
        <f aca="false">Sens!$E$3749*1000/(Sens!$E$3732*Sens!$E$3733)</f>
        <v>9.67085565405685</v>
      </c>
      <c r="F3750" s="36" t="n">
        <f aca="false">Sens!$F$3749*1000/(Sens!$F$3732*Sens!$F$3733)</f>
        <v>10.0137581588017</v>
      </c>
      <c r="G3750" s="36" t="n">
        <f aca="false">Sens!$G$3749*1000/(Sens!$G$3732*Sens!$G$3733)</f>
        <v>9.88666562928478</v>
      </c>
      <c r="H3750" s="36" t="n">
        <f aca="false">Sens!$H$3749*1000/(Sens!$H$3732*Sens!$H$3733)</f>
        <v>10.5290045586992</v>
      </c>
      <c r="I3750" s="36" t="n">
        <f aca="false">Sens!$I$3749*1000/(Sens!$I$3732*Sens!$I$3733)</f>
        <v>10.8576363451674</v>
      </c>
      <c r="J3750" s="36" t="n">
        <f aca="false">Sens!$J$3749*1000/(Sens!$J$3732*Sens!$J$3733)</f>
        <v>11.0164452588619</v>
      </c>
      <c r="K3750" s="36" t="n">
        <f aca="false">Sens!$K$3749*1000/(Sens!$K$3732*Sens!$K$3733)</f>
        <v>11.0937367508227</v>
      </c>
      <c r="L3750" s="36" t="n">
        <f aca="false">Sens!$L$3749*1000/(Sens!$L$3732*Sens!$L$3733)</f>
        <v>11.1300508519168</v>
      </c>
      <c r="M3750" s="36" t="n">
        <f aca="false">Sens!$M$3749*1000/(Sens!$M$3732*Sens!$M$3733)</f>
        <v>11.1430113216297</v>
      </c>
      <c r="N3750" s="36" t="n">
        <f aca="false">Sens!$N$3749*1000/(Sens!$N$3732*Sens!$N$3733)</f>
        <v>9.67085565405685</v>
      </c>
      <c r="O3750" s="36" t="n">
        <f aca="false">Sens!$O$3749*1000/(Sens!$O$3732*Sens!$O$3733)</f>
        <v>9.67085565405685</v>
      </c>
    </row>
    <row r="3751" customFormat="false" ht="17.15" hidden="false" customHeight="false" outlineLevel="0" collapsed="false">
      <c r="A3751" s="0" t="s">
        <v>619</v>
      </c>
      <c r="B3751" s="0" t="s">
        <v>86</v>
      </c>
      <c r="C3751" s="38" t="n">
        <f aca="false">Sens!$C$3732/ext_sh*(ox_open+rent_mw)*Sens!$C$3733/1000</f>
        <v>0.642569210675032</v>
      </c>
      <c r="D3751" s="38" t="n">
        <f aca="false">Sens!$D$3732/ext_sh*(ox_open+rent_mw)*Sens!$D$3733/1000</f>
        <v>2.40963454003137</v>
      </c>
      <c r="E3751" s="38" t="n">
        <f aca="false">Sens!$E$3732/ext_sh*(ox_open+rent_mw)*Sens!$E$3733/1000</f>
        <v>2.35608710580845</v>
      </c>
      <c r="F3751" s="38" t="n">
        <f aca="false">((mw_open*ox_open+Sens!$F$3747*Sens!$F$3745)/ext_sh+Sens!$F$3732/ext_sh*rent_mw)*Sens!$F$3733/1000</f>
        <v>4.05421991106232</v>
      </c>
      <c r="G3751" s="38" t="n">
        <f aca="false">Sens!$E$3751+Sens!$F$3751</f>
        <v>6.41030701687077</v>
      </c>
      <c r="H3751" s="38" t="n">
        <f aca="false">((mw_open*ox_open+Sens!$H$3747*Sens!$H$3745)/ext_sh+Sens!$H$3732/ext_sh*rent_mw)*Sens!$H$3733/1000</f>
        <v>15.8108975546616</v>
      </c>
      <c r="I3751" s="38" t="n">
        <f aca="false">((mw_open*ox_open+Sens!$I$3747*Sens!$I$3745)/ext_sh+Sens!$I$3732/ext_sh*rent_mw)*Sens!$I$3733/1000</f>
        <v>26.1871623400817</v>
      </c>
      <c r="J3751" s="38" t="n">
        <f aca="false">((mw_open*ox_open+Sens!$J$3747*Sens!$J$3745)/ext_sh+Sens!$J$3732/ext_sh*rent_mw)*Sens!$J$3733/1000</f>
        <v>36.5826128954935</v>
      </c>
      <c r="K3751" s="38" t="n">
        <f aca="false">((mw_open*ox_open+Sens!$K$3747*Sens!$K$3745)/ext_sh+Sens!$K$3732/ext_sh*rent_mw)*Sens!$K$3733/1000</f>
        <v>45.4546361137628</v>
      </c>
      <c r="L3751" s="38" t="n">
        <f aca="false">((mw_open*ox_open+Sens!$L$3747*Sens!$L$3745)/ext_sh+Sens!$L$3732/ext_sh*rent_mw)*Sens!$L$3733/1000</f>
        <v>51.2855695554452</v>
      </c>
      <c r="M3751" s="38" t="n">
        <f aca="false">((mw_open*ox_open+Sens!$M$3747*Sens!$M$3745)/ext_sh+Sens!$M$3732/ext_sh*rent_mw)*Sens!$M$3733/1000</f>
        <v>54.0722927838398</v>
      </c>
      <c r="N3751" s="38" t="n">
        <f aca="false">Sens!$N$3732/ext_sh*(ox_open+rent_mw)*Sens!$N$3733/1000</f>
        <v>0.84337208901098</v>
      </c>
      <c r="O3751" s="38" t="n">
        <f aca="false">Sens!$O$3732/ext_sh*(ox_open+rent_mw)*Sens!$O$3733/1000</f>
        <v>1.56626245102039</v>
      </c>
    </row>
    <row r="3752" customFormat="false" ht="17.15" hidden="false" customHeight="false" outlineLevel="0" collapsed="false">
      <c r="A3752" s="0" t="s">
        <v>620</v>
      </c>
      <c r="B3752" s="0" t="s">
        <v>86</v>
      </c>
      <c r="C3752" s="38" t="n">
        <f aca="false">Q!$D$7</f>
        <v>107.556</v>
      </c>
      <c r="D3752" s="38" t="n">
        <f aca="false">Q!$E$7</f>
        <v>128.725</v>
      </c>
      <c r="E3752" s="38" t="n">
        <f aca="false">Q!$P$7</f>
        <v>79.819</v>
      </c>
      <c r="N3752" s="38" t="n">
        <f aca="false">Q!$N$7</f>
        <v>60.14</v>
      </c>
      <c r="O3752" s="38" t="n">
        <f aca="false">Q!$O$7</f>
        <v>68.585</v>
      </c>
    </row>
    <row r="3753" customFormat="false" ht="17.15" hidden="false" customHeight="false" outlineLevel="0" collapsed="false">
      <c r="A3753" s="1" t="s">
        <v>621</v>
      </c>
      <c r="B3753" s="8" t="s">
        <v>86</v>
      </c>
      <c r="C3753" s="38" t="n">
        <f aca="false">Sens!$C$3752-Sens!$C$3749</f>
        <v>105.234994643026</v>
      </c>
      <c r="D3753" s="38" t="n">
        <f aca="false">Sens!$D$3752-Sens!$D$3749</f>
        <v>120.021229911349</v>
      </c>
      <c r="E3753" s="38" t="n">
        <f aca="false">Sens!$E$3752-Sens!$E$3749</f>
        <v>71.30864702443</v>
      </c>
      <c r="F3753" s="38" t="n">
        <f aca="false">Sens!$O$3753*(1+Sens!$F$3754)</f>
        <v>71.7692997942464</v>
      </c>
      <c r="G3753" s="38" t="n">
        <f aca="false">Sens!$E$3753+Sens!$F$3753</f>
        <v>143.077946818676</v>
      </c>
      <c r="H3753" s="38" t="n">
        <f aca="false">Sens!$G$3753*(1+Sens!$H$3754)</f>
        <v>161.017077079203</v>
      </c>
      <c r="I3753" s="38" t="n">
        <f aca="false">Sens!$H$3753*(1+Sens!$I$3754)</f>
        <v>178.769759521457</v>
      </c>
      <c r="J3753" s="38" t="n">
        <f aca="false">Sens!$I$3753*(1+Sens!$J$3754)</f>
        <v>195.775538045907</v>
      </c>
      <c r="K3753" s="38" t="n">
        <f aca="false">Sens!$J$3753*(1+Sens!$K$3754)</f>
        <v>211.43758108958</v>
      </c>
      <c r="L3753" s="38" t="n">
        <f aca="false">Sens!$K$3753*(1+Sens!$L$3754)</f>
        <v>228.352587576746</v>
      </c>
      <c r="M3753" s="38" t="n">
        <f aca="false">Sens!$L$3753*(1+Sens!$M$3754)</f>
        <v>246.620794582886</v>
      </c>
      <c r="N3753" s="38" t="n">
        <f aca="false">Sens!$N$3752-Sens!$N$3749</f>
        <v>57.0936804689721</v>
      </c>
      <c r="O3753" s="38" t="n">
        <f aca="false">Sens!$O$3752-Sens!$O$3749</f>
        <v>62.9275494423768</v>
      </c>
      <c r="P3753" s="5" t="s">
        <v>622</v>
      </c>
    </row>
    <row r="3754" customFormat="false" ht="17.15" hidden="false" customHeight="false" outlineLevel="0" collapsed="false">
      <c r="A3754" s="0" t="s">
        <v>623</v>
      </c>
      <c r="B3754" s="0" t="s">
        <v>52</v>
      </c>
      <c r="D3754" s="13" t="n">
        <f aca="false">Sens!$D$3753/Sens!$C$3753-1</f>
        <v>0.140506827776062</v>
      </c>
      <c r="E3754" s="13" t="n">
        <f aca="false">Sens!$E$3753/Sens!$N$3753-1</f>
        <v>0.248976181579029</v>
      </c>
      <c r="F3754" s="13" t="n">
        <f aca="false">Sens!$D$3754</f>
        <v>0.140506827776062</v>
      </c>
      <c r="G3754" s="13" t="n">
        <f aca="false">Sens!$G$3753/Sens!$D$3753-1</f>
        <v>0.19210532106993</v>
      </c>
      <c r="H3754" s="13" t="n">
        <f aca="false">Sens!$F$3754+(g_awso_lt-Sens!$F$3754)*1/4</f>
        <v>0.125380120832046</v>
      </c>
      <c r="I3754" s="13" t="n">
        <f aca="false">Sens!$F$3754+(g_awso_lt-Sens!$F$3754)*2/4</f>
        <v>0.110253413888031</v>
      </c>
      <c r="J3754" s="13" t="n">
        <f aca="false">Sens!$F$3754+(g_awso_lt-Sens!$F$3754)*3/4</f>
        <v>0.0951267069440154</v>
      </c>
      <c r="K3754" s="13" t="n">
        <f aca="false">Sens!$F$3754+(g_awso_lt-Sens!$F$3754)*4/4</f>
        <v>0.08</v>
      </c>
      <c r="L3754" s="13" t="n">
        <f aca="false">g_awso_lt</f>
        <v>0.08</v>
      </c>
      <c r="M3754" s="13" t="n">
        <f aca="false">g_awso_lt</f>
        <v>0.08</v>
      </c>
      <c r="P3754" s="5" t="s">
        <v>624</v>
      </c>
    </row>
    <row r="3755" customFormat="false" ht="17.15" hidden="false" customHeight="false" outlineLevel="0" collapsed="false">
      <c r="A3755" s="1" t="s">
        <v>625</v>
      </c>
    </row>
    <row r="3756" customFormat="false" ht="17.15" hidden="false" customHeight="false" outlineLevel="0" collapsed="false">
      <c r="A3756" s="0" t="s">
        <v>626</v>
      </c>
      <c r="B3756" s="0" t="s">
        <v>86</v>
      </c>
      <c r="F3756" s="38" t="n">
        <f aca="false">cx_rt*Sens!$F$3721+cx_awso*Sens!$F$3753</f>
        <v>34.9734495387866</v>
      </c>
    </row>
    <row r="3757" customFormat="false" ht="17.15" hidden="false" customHeight="false" outlineLevel="0" collapsed="false">
      <c r="A3757" s="0" t="s">
        <v>627</v>
      </c>
      <c r="B3757" s="0" t="s">
        <v>52</v>
      </c>
      <c r="C3757" s="13" t="n">
        <f aca="false">tk_cx_h100/(tk_cx_h100+tk_fac*(1-colo_sh))</f>
        <v>0.730756458006641</v>
      </c>
      <c r="D3757" s="13" t="n">
        <f aca="false">tk_cx_h100/(tk_cx_h100+tk_fac*(1-colo_sh))</f>
        <v>0.730756458006641</v>
      </c>
      <c r="E3757" s="13" t="n">
        <f aca="false">Sens!$F$3757</f>
        <v>0.760792334328868</v>
      </c>
      <c r="F3757" s="13" t="n">
        <f aca="false">Sens!$F$3740/(Sens!$F$3740+tk_fac*(1-colo_sh))</f>
        <v>0.760792334328868</v>
      </c>
      <c r="G3757" s="13" t="n">
        <f aca="false">Sens!$G$3740/(Sens!$G$3740+tk_fac*(1-colo_sh))</f>
        <v>0.760792334328868</v>
      </c>
      <c r="H3757" s="13" t="n">
        <f aca="false">Sens!$H$3740/(Sens!$H$3740+tk_fac*(1-colo_sh))</f>
        <v>0.768110668862996</v>
      </c>
      <c r="I3757" s="13" t="n">
        <f aca="false">Sens!$I$3740/(Sens!$I$3740+tk_fac*(1-colo_sh))</f>
        <v>0.77499450139483</v>
      </c>
      <c r="J3757" s="13" t="n">
        <f aca="false">Sens!$J$3740/(Sens!$J$3740+tk_fac*(1-colo_sh))</f>
        <v>0.77499450139483</v>
      </c>
      <c r="K3757" s="13" t="n">
        <f aca="false">Sens!$K$3740/(Sens!$K$3740+tk_fac*(1-colo_sh))</f>
        <v>0.77499450139483</v>
      </c>
      <c r="L3757" s="13" t="n">
        <f aca="false">Sens!$L$3740/(Sens!$L$3740+tk_fac*(1-colo_sh))</f>
        <v>0.77499450139483</v>
      </c>
      <c r="M3757" s="13" t="n">
        <f aca="false">Sens!$M$3740/(Sens!$M$3740+tk_fac*(1-colo_sh))</f>
        <v>0.77499450139483</v>
      </c>
    </row>
    <row r="3758" customFormat="false" ht="17.15" hidden="false" customHeight="false" outlineLevel="0" collapsed="false">
      <c r="A3758" s="1" t="s">
        <v>628</v>
      </c>
      <c r="B3758" s="8" t="s">
        <v>86</v>
      </c>
      <c r="C3758" s="38" t="n">
        <f aca="false">Q!$D$46-cx_rt*Q!$D$16-cx_awso*Sens!$C$3753</f>
        <v>25.2781053077374</v>
      </c>
      <c r="D3758" s="38" t="n">
        <f aca="false">Q!$E$46-cx_rt*Q!$E$16-cx_awso*Sens!$D$3753</f>
        <v>69.5686316310026</v>
      </c>
      <c r="E3758" s="38" t="n">
        <f aca="false">Q!$P$46-cx_rt*Q!$P$16-cx_awso*Sens!$E$3753</f>
        <v>64.1899206485108</v>
      </c>
      <c r="F3758" s="38" t="n">
        <f aca="false">MAX(Sens!$F$3735*(Sens!$F$3740+tk_fac*(1-colo_sh))/1000,capex_g26-Q!$P$46-Sens!$F$3756)</f>
        <v>96.2481299895</v>
      </c>
      <c r="G3758" s="38" t="n">
        <f aca="false">Sens!$E$3758+Sens!$F$3758</f>
        <v>160.438050638011</v>
      </c>
      <c r="H3758" s="38" t="n">
        <f aca="false">Sens!$H$3735*(Sens!$H$3740+tk_fac*(1-colo_sh))/1000+Sens!$H$3759</f>
        <v>198.57136494475</v>
      </c>
      <c r="I3758" s="38" t="n">
        <f aca="false">Sens!$I$3735*(Sens!$I$3740+tk_fac*(1-colo_sh))/1000+Sens!$I$3759</f>
        <v>204.6464699105</v>
      </c>
      <c r="J3758" s="38" t="n">
        <f aca="false">Sens!$J$3735*(Sens!$J$3740+tk_fac*(1-colo_sh))/1000+Sens!$J$3759</f>
        <v>209.8832381105</v>
      </c>
      <c r="K3758" s="38" t="n">
        <f aca="false">Sens!$K$3735*(Sens!$K$3740+tk_fac*(1-colo_sh))/1000+Sens!$K$3759</f>
        <v>155.238385275201</v>
      </c>
      <c r="L3758" s="38" t="n">
        <f aca="false">Sens!$L$3735*(Sens!$L$3740+tk_fac*(1-colo_sh))/1000+Sens!$L$3759</f>
        <v>132.014141639902</v>
      </c>
      <c r="M3758" s="38" t="n">
        <f aca="false">Sens!$M$3735*(Sens!$M$3740+tk_fac*(1-colo_sh))/1000+Sens!$M$3759</f>
        <v>132.230981659852</v>
      </c>
      <c r="P3758" s="5" t="s">
        <v>629</v>
      </c>
      <c r="R3758" s="38" t="n">
        <f aca="false">Q!$C$46-cx_rt*Q!$C$16-cx_awso*(Q!$C$7-mw_ye23/2*rpm_open/1000)</f>
        <v>1.50429979529945</v>
      </c>
      <c r="S3758" s="38" t="n">
        <f aca="false">Sens!$C$3758</f>
        <v>25.2781053077374</v>
      </c>
      <c r="T3758" s="38" t="n">
        <f aca="false">Sens!$D$3758</f>
        <v>69.5686316310026</v>
      </c>
      <c r="U3758" s="38" t="n">
        <f aca="false">Sens!$G$3758</f>
        <v>160.438050638011</v>
      </c>
      <c r="V3758" s="38" t="n">
        <f aca="false">Sens!$H$3758</f>
        <v>198.57136494475</v>
      </c>
      <c r="W3758" s="38" t="n">
        <f aca="false">Sens!$I$3758</f>
        <v>204.6464699105</v>
      </c>
      <c r="X3758" s="38" t="n">
        <f aca="false">Sens!$J$3758</f>
        <v>209.8832381105</v>
      </c>
      <c r="Y3758" s="38" t="n">
        <f aca="false">Sens!$K$3758</f>
        <v>155.238385275201</v>
      </c>
      <c r="Z3758" s="38" t="n">
        <f aca="false">Sens!$L$3758</f>
        <v>132.014141639902</v>
      </c>
      <c r="AA3758" s="38" t="n">
        <f aca="false">Sens!$M$3758</f>
        <v>132.230981659852</v>
      </c>
    </row>
    <row r="3759" customFormat="false" ht="17.15" hidden="false" customHeight="false" outlineLevel="0" collapsed="false">
      <c r="A3759" s="0" t="s">
        <v>630</v>
      </c>
      <c r="B3759" s="0" t="s">
        <v>86</v>
      </c>
      <c r="H3759" s="38" t="n">
        <f aca="false">SUMPRODUCT(--(Sens!$R$3728:$AA$3728=2027-tk_life),Sens!$R$3735:$AA$3735)*Sens!$H$3740/1000</f>
        <v>0</v>
      </c>
      <c r="I3759" s="38" t="n">
        <f aca="false">SUMPRODUCT(--(Sens!$R$3728:$AA$3728=2028-tk_life),Sens!$R$3735:$AA$3735)*Sens!$I$3740/1000</f>
        <v>0</v>
      </c>
      <c r="J3759" s="38" t="n">
        <f aca="false">SUMPRODUCT(--(Sens!$R$3728:$AA$3728=2029-tk_life),Sens!$R$3735:$AA$3735)*Sens!$J$3740/1000</f>
        <v>5.2367682</v>
      </c>
      <c r="K3759" s="38" t="n">
        <f aca="false">SUMPRODUCT(--(Sens!$R$3728:$AA$3728=2030-tk_life),Sens!$R$3735:$AA$3735)*Sens!$K$3740/1000</f>
        <v>10.4735364</v>
      </c>
      <c r="L3759" s="38" t="n">
        <f aca="false">SUMPRODUCT(--(Sens!$R$3728:$AA$3728=2031-tk_life),Sens!$R$3735:$AA$3735)*Sens!$L$3740/1000</f>
        <v>47.1309138</v>
      </c>
      <c r="M3759" s="38" t="n">
        <f aca="false">SUMPRODUCT(--(Sens!$R$3728:$AA$3728=2032-tk_life),Sens!$R$3735:$AA$3735)*Sens!$M$3740/1000</f>
        <v>107.22937485525</v>
      </c>
    </row>
    <row r="3760" customFormat="false" ht="17.15" hidden="false" customHeight="false" outlineLevel="0" collapsed="false">
      <c r="A3760" s="0" t="s">
        <v>631</v>
      </c>
      <c r="B3760" s="0" t="s">
        <v>86</v>
      </c>
      <c r="C3760" s="38" t="n">
        <f aca="false">MIN(Sens!$C$3758,Sens!$C$3735*(tk_cx_h100+tk_fac*(1-colo_sh))/1000)</f>
        <v>11.2938642</v>
      </c>
      <c r="D3760" s="38" t="n">
        <f aca="false">MIN(Sens!$D$3758,Sens!$D$3735*(tk_cx_h100+tk_fac*(1-colo_sh))/1000)</f>
        <v>50.8223889</v>
      </c>
      <c r="E3760" s="38" t="n">
        <f aca="false">MIN(Sens!$E$3758,Sens!$E$3735*(Sens!$F$3740+tk_fac*(1-colo_sh))/1000)</f>
        <v>33.8985792</v>
      </c>
      <c r="F3760" s="38" t="n">
        <f aca="false">Sens!$F$3758</f>
        <v>96.2481299895</v>
      </c>
      <c r="G3760" s="38" t="n">
        <f aca="false">Sens!$E$3760+Sens!$F$3760</f>
        <v>130.1467091895</v>
      </c>
      <c r="H3760" s="38" t="n">
        <f aca="false">Sens!$H$3758</f>
        <v>198.57136494475</v>
      </c>
      <c r="I3760" s="38" t="n">
        <f aca="false">Sens!$I$3758</f>
        <v>204.6464699105</v>
      </c>
      <c r="J3760" s="38" t="n">
        <f aca="false">Sens!$J$3758</f>
        <v>209.8832381105</v>
      </c>
      <c r="K3760" s="38" t="n">
        <f aca="false">Sens!$K$3758</f>
        <v>155.238385275201</v>
      </c>
      <c r="L3760" s="38" t="n">
        <f aca="false">Sens!$L$3758</f>
        <v>132.014141639902</v>
      </c>
      <c r="M3760" s="38" t="n">
        <f aca="false">Sens!$M$3758</f>
        <v>132.230981659852</v>
      </c>
      <c r="P3760" s="5" t="s">
        <v>632</v>
      </c>
      <c r="R3760" s="38" t="n">
        <f aca="false">MIN(Sens!$R$3758,Sens!$R$3735*(tk_cx_h100+tk_fac*(1-colo_sh))/1000)</f>
        <v>1.50429979529945</v>
      </c>
      <c r="S3760" s="38" t="n">
        <f aca="false">Sens!$C$3760</f>
        <v>11.2938642</v>
      </c>
      <c r="T3760" s="38" t="n">
        <f aca="false">Sens!$D$3760</f>
        <v>50.8223889</v>
      </c>
      <c r="U3760" s="38" t="n">
        <f aca="false">Sens!$G$3760</f>
        <v>130.1467091895</v>
      </c>
      <c r="V3760" s="38" t="n">
        <f aca="false">Sens!$H$3760</f>
        <v>198.57136494475</v>
      </c>
      <c r="W3760" s="38" t="n">
        <f aca="false">Sens!$I$3760</f>
        <v>204.6464699105</v>
      </c>
      <c r="X3760" s="38" t="n">
        <f aca="false">Sens!$J$3760</f>
        <v>209.8832381105</v>
      </c>
      <c r="Y3760" s="38" t="n">
        <f aca="false">Sens!$K$3760</f>
        <v>155.238385275201</v>
      </c>
      <c r="Z3760" s="38" t="n">
        <f aca="false">Sens!$L$3760</f>
        <v>132.014141639902</v>
      </c>
      <c r="AA3760" s="38" t="n">
        <f aca="false">Sens!$M$3760</f>
        <v>132.230981659852</v>
      </c>
    </row>
    <row r="3761" customFormat="false" ht="17.15" hidden="false" customHeight="false" outlineLevel="0" collapsed="false">
      <c r="A3761" s="5" t="s">
        <v>633</v>
      </c>
      <c r="B3761" s="0" t="s">
        <v>86</v>
      </c>
      <c r="C3761" s="38" t="n">
        <f aca="false">Sens!$C$3758-Sens!$C$3760</f>
        <v>13.9842411077374</v>
      </c>
      <c r="D3761" s="38" t="n">
        <f aca="false">Sens!$D$3758-Sens!$D$3760</f>
        <v>18.7462427310026</v>
      </c>
      <c r="E3761" s="38" t="n">
        <f aca="false">Sens!$E$3758-Sens!$E$3760</f>
        <v>30.2913414485108</v>
      </c>
      <c r="F3761" s="38" t="n">
        <f aca="false">Sens!$F$3758-Sens!$F$3760</f>
        <v>0</v>
      </c>
      <c r="G3761" s="38" t="n">
        <f aca="false">Sens!$G$3758-Sens!$G$3760</f>
        <v>30.2913414485108</v>
      </c>
      <c r="H3761" s="38" t="n">
        <f aca="false">Sens!$H$3758-Sens!$H$3760</f>
        <v>0</v>
      </c>
      <c r="I3761" s="38" t="n">
        <f aca="false">Sens!$I$3758-Sens!$I$3760</f>
        <v>0</v>
      </c>
      <c r="J3761" s="38" t="n">
        <f aca="false">Sens!$J$3758-Sens!$J$3760</f>
        <v>0</v>
      </c>
      <c r="K3761" s="38" t="n">
        <f aca="false">Sens!$K$3758-Sens!$K$3760</f>
        <v>0</v>
      </c>
      <c r="L3761" s="38" t="n">
        <f aca="false">Sens!$L$3758-Sens!$L$3760</f>
        <v>0</v>
      </c>
      <c r="M3761" s="38" t="n">
        <f aca="false">Sens!$M$3758-Sens!$M$3760</f>
        <v>0</v>
      </c>
    </row>
    <row r="3762" customFormat="false" ht="17.15" hidden="false" customHeight="false" outlineLevel="0" collapsed="false">
      <c r="A3762" s="5" t="s">
        <v>634</v>
      </c>
      <c r="B3762" s="0" t="s">
        <v>86</v>
      </c>
      <c r="C3762" s="38" t="n">
        <f aca="false">Sens!$C$3760*Sens!$C$3757</f>
        <v>8.2530642</v>
      </c>
      <c r="D3762" s="38" t="n">
        <f aca="false">Sens!$D$3760*Sens!$D$3757</f>
        <v>37.1387889</v>
      </c>
      <c r="E3762" s="38" t="n">
        <f aca="false">Sens!$E$3760*Sens!$E$3757</f>
        <v>25.7897792</v>
      </c>
      <c r="F3762" s="38" t="n">
        <f aca="false">Sens!$F$3760*Sens!$F$3757</f>
        <v>73.2248394895</v>
      </c>
      <c r="G3762" s="38" t="n">
        <f aca="false">Sens!$E$3762+Sens!$F$3762</f>
        <v>99.0146186895</v>
      </c>
      <c r="H3762" s="38" t="n">
        <f aca="false">(Sens!$H$3760-Sens!$H$3759)*Sens!$H$3757+Sens!$H$3759</f>
        <v>152.52478394475</v>
      </c>
      <c r="I3762" s="38" t="n">
        <f aca="false">(Sens!$I$3760-Sens!$I$3759)*Sens!$I$3757+Sens!$I$3759</f>
        <v>158.5998889105</v>
      </c>
      <c r="J3762" s="38" t="n">
        <f aca="false">(Sens!$J$3760-Sens!$J$3759)*Sens!$J$3757+Sens!$J$3759</f>
        <v>163.8366571105</v>
      </c>
      <c r="K3762" s="38" t="n">
        <f aca="false">(Sens!$K$3760-Sens!$K$3759)*Sens!$K$3757+Sens!$K$3759</f>
        <v>122.665498273534</v>
      </c>
      <c r="L3762" s="38" t="n">
        <f aca="false">(Sens!$L$3760-Sens!$L$3759)*Sens!$L$3757+Sens!$L$3759</f>
        <v>112.914948636568</v>
      </c>
      <c r="M3762" s="38" t="n">
        <f aca="false">(Sens!$M$3760-Sens!$M$3759)*Sens!$M$3757+Sens!$M$3759</f>
        <v>126.605482654852</v>
      </c>
      <c r="R3762" s="38" t="n">
        <f aca="false">Sens!$R$3760*Sens!$C$3757</f>
        <v>1.09927679019314</v>
      </c>
      <c r="S3762" s="38" t="n">
        <f aca="false">Sens!$C$3762</f>
        <v>8.2530642</v>
      </c>
      <c r="T3762" s="38" t="n">
        <f aca="false">Sens!$D$3762</f>
        <v>37.1387889</v>
      </c>
      <c r="U3762" s="38" t="n">
        <f aca="false">Sens!$G$3762</f>
        <v>99.0146186895</v>
      </c>
      <c r="V3762" s="38" t="n">
        <f aca="false">Sens!$H$3762</f>
        <v>152.52478394475</v>
      </c>
      <c r="W3762" s="38" t="n">
        <f aca="false">Sens!$I$3762</f>
        <v>158.5998889105</v>
      </c>
      <c r="X3762" s="38" t="n">
        <f aca="false">Sens!$J$3762</f>
        <v>163.8366571105</v>
      </c>
      <c r="Y3762" s="38" t="n">
        <f aca="false">Sens!$K$3762</f>
        <v>122.665498273534</v>
      </c>
      <c r="Z3762" s="38" t="n">
        <f aca="false">Sens!$L$3762</f>
        <v>112.914948636568</v>
      </c>
      <c r="AA3762" s="38" t="n">
        <f aca="false">Sens!$M$3762</f>
        <v>126.605482654852</v>
      </c>
    </row>
    <row r="3763" customFormat="false" ht="15" hidden="false" customHeight="false" outlineLevel="0" collapsed="false">
      <c r="A3763" s="5" t="s">
        <v>635</v>
      </c>
      <c r="B3763" s="0" t="s">
        <v>86</v>
      </c>
      <c r="C3763" s="38" t="n">
        <f aca="false">Sens!$C$3760-Sens!$C$3762</f>
        <v>3.0408</v>
      </c>
      <c r="D3763" s="38" t="n">
        <f aca="false">Sens!$D$3760-Sens!$D$3762</f>
        <v>13.6836</v>
      </c>
      <c r="E3763" s="38" t="n">
        <f aca="false">Sens!$E$3760-Sens!$E$3762</f>
        <v>8.1088</v>
      </c>
      <c r="F3763" s="38" t="n">
        <f aca="false">Sens!$F$3760-Sens!$F$3762</f>
        <v>23.0232905</v>
      </c>
      <c r="G3763" s="38" t="n">
        <f aca="false">Sens!$G$3760-Sens!$G$3762</f>
        <v>31.1320905</v>
      </c>
      <c r="H3763" s="38" t="n">
        <f aca="false">Sens!$H$3760-Sens!$H$3762</f>
        <v>46.046581</v>
      </c>
      <c r="I3763" s="38" t="n">
        <f aca="false">Sens!$I$3760-Sens!$I$3762</f>
        <v>46.046581</v>
      </c>
      <c r="J3763" s="38" t="n">
        <f aca="false">Sens!$J$3760-Sens!$J$3762</f>
        <v>46.046581</v>
      </c>
      <c r="K3763" s="38" t="n">
        <f aca="false">Sens!$K$3760-Sens!$K$3762</f>
        <v>32.5728870016667</v>
      </c>
      <c r="L3763" s="38" t="n">
        <f aca="false">Sens!$L$3760-Sens!$L$3762</f>
        <v>19.0991930033334</v>
      </c>
      <c r="M3763" s="38" t="n">
        <f aca="false">Sens!$M$3760-Sens!$M$3762</f>
        <v>5.62549900499998</v>
      </c>
      <c r="R3763" s="38" t="n">
        <f aca="false">Sens!$R$3760-Sens!$R$3762</f>
        <v>0.405023005106309</v>
      </c>
      <c r="S3763" s="38" t="n">
        <f aca="false">Sens!$S$3760-Sens!$S$3762</f>
        <v>3.0408</v>
      </c>
      <c r="T3763" s="38" t="n">
        <f aca="false">Sens!$T$3760-Sens!$T$3762</f>
        <v>13.6836</v>
      </c>
      <c r="U3763" s="38" t="n">
        <f aca="false">Sens!$U$3760-Sens!$U$3762</f>
        <v>31.1320905</v>
      </c>
      <c r="V3763" s="38" t="n">
        <f aca="false">Sens!$V$3760-Sens!$V$3762</f>
        <v>46.046581</v>
      </c>
      <c r="W3763" s="38" t="n">
        <f aca="false">Sens!$W$3760-Sens!$W$3762</f>
        <v>46.046581</v>
      </c>
      <c r="X3763" s="38" t="n">
        <f aca="false">Sens!$X$3760-Sens!$X$3762</f>
        <v>46.046581</v>
      </c>
      <c r="Y3763" s="38" t="n">
        <f aca="false">Sens!$Y$3760-Sens!$Y$3762</f>
        <v>32.5728870016667</v>
      </c>
      <c r="Z3763" s="38" t="n">
        <f aca="false">Sens!$Z$3760-Sens!$Z$3762</f>
        <v>19.0991930033334</v>
      </c>
      <c r="AA3763" s="38" t="n">
        <f aca="false">Sens!$AA$3760-Sens!$AA$3762</f>
        <v>5.62549900499998</v>
      </c>
    </row>
    <row r="3764" customFormat="false" ht="17.15" hidden="false" customHeight="false" outlineLevel="0" collapsed="false">
      <c r="A3764" s="0" t="s">
        <v>636</v>
      </c>
      <c r="B3764" s="0" t="s">
        <v>52</v>
      </c>
      <c r="C3764" s="13" t="n">
        <f aca="false">Sens!$C$3758/Sens!$C$3880</f>
        <v>0.325505489553393</v>
      </c>
      <c r="D3764" s="13" t="n">
        <f aca="false">Sens!$D$3758/Sens!$D$3880</f>
        <v>0.54214956071542</v>
      </c>
      <c r="E3764" s="13" t="n">
        <f aca="false">Sens!$E$3758/Sens!$E$3880</f>
        <v>0.666492790452817</v>
      </c>
      <c r="F3764" s="13" t="n">
        <f aca="false">Sens!$F$3758/Sens!$F$3880</f>
        <v>0.733477910687338</v>
      </c>
      <c r="G3764" s="13" t="n">
        <f aca="false">Sens!$G$3758/Sens!$G$3880</f>
        <v>0.705124321514523</v>
      </c>
      <c r="H3764" s="13" t="n">
        <f aca="false">Sens!$H$3758/Sens!$H$3880</f>
        <v>0.726376041178204</v>
      </c>
      <c r="I3764" s="13" t="n">
        <f aca="false">Sens!$I$3758/Sens!$I$3880</f>
        <v>0.713099092661699</v>
      </c>
      <c r="J3764" s="13" t="n">
        <f aca="false">Sens!$J$3758/Sens!$J$3880</f>
        <v>0.701208348786245</v>
      </c>
      <c r="K3764" s="13" t="n">
        <f aca="false">Sens!$K$3758/Sens!$K$3880</f>
        <v>0.618338844562383</v>
      </c>
      <c r="L3764" s="13" t="n">
        <f aca="false">Sens!$L$3758/Sens!$L$3880</f>
        <v>0.562489158462506</v>
      </c>
      <c r="M3764" s="13" t="n">
        <f aca="false">Sens!$M$3758/Sens!$M$3880</f>
        <v>0.545751190895923</v>
      </c>
    </row>
    <row r="3765" customFormat="false" ht="17.15" hidden="false" customHeight="false" outlineLevel="0" collapsed="false">
      <c r="A3765" s="0" t="s">
        <v>637</v>
      </c>
      <c r="B3765" s="0" t="s">
        <v>86</v>
      </c>
      <c r="C3765" s="38" t="n">
        <f aca="false">Sens!$S$3765</f>
        <v>0.183212798365523</v>
      </c>
      <c r="D3765" s="38" t="n">
        <f aca="false">Sens!$T$3765</f>
        <v>1.55872349836552</v>
      </c>
      <c r="E3765" s="38" t="n">
        <f aca="false">Sens!$G$3765/2</f>
        <v>3.87426082418276</v>
      </c>
      <c r="F3765" s="38" t="n">
        <f aca="false">Sens!$G$3765/2</f>
        <v>3.87426082418276</v>
      </c>
      <c r="G3765" s="38" t="n">
        <f aca="false">Sens!$U$3765</f>
        <v>7.74852164836552</v>
      </c>
      <c r="H3765" s="38" t="n">
        <f aca="false">Sens!$V$3765</f>
        <v>24.2509580966155</v>
      </c>
      <c r="I3765" s="38" t="n">
        <f aca="false">Sens!$W$3765</f>
        <v>49.6717554207405</v>
      </c>
      <c r="J3765" s="38" t="n">
        <f aca="false">Sens!$X$3765</f>
        <v>76.1050702391572</v>
      </c>
      <c r="K3765" s="38" t="n">
        <f aca="false">Sens!$Y$3765</f>
        <v>103.227966959208</v>
      </c>
      <c r="L3765" s="38" t="n">
        <f aca="false">Sens!$Z$3765</f>
        <v>122.296705971464</v>
      </c>
      <c r="M3765" s="38" t="n">
        <f aca="false">Sens!$AA$3765</f>
        <v>134.926065927559</v>
      </c>
      <c r="N3765" s="38" t="n">
        <f aca="false">Sens!$D$3765/2</f>
        <v>0.779361749182762</v>
      </c>
      <c r="O3765" s="38" t="n">
        <f aca="false">Sens!$D$3765/2</f>
        <v>0.779361749182762</v>
      </c>
      <c r="R3765" s="38" t="n">
        <f aca="false">SUMPRODUCT(--(Sens!$R$3728:$AA$3728&lt;Sens!R$3728),--(Sens!$R$3728:$AA$3728&gt;=Sens!R$3728-tk_life),Sens!$R$3762:$AA$3762)/tk_life</f>
        <v>0</v>
      </c>
      <c r="S3765" s="38" t="n">
        <f aca="false">SUMPRODUCT(--(Sens!$R$3728:$AA$3728&lt;Sens!S$3728),--(Sens!$R$3728:$AA$3728&gt;=Sens!S$3728-tk_life),Sens!$R$3762:$AA$3762)/tk_life</f>
        <v>0.183212798365523</v>
      </c>
      <c r="T3765" s="38" t="n">
        <f aca="false">SUMPRODUCT(--(Sens!$R$3728:$AA$3728&lt;Sens!T$3728),--(Sens!$R$3728:$AA$3728&gt;=Sens!T$3728-tk_life),Sens!$R$3762:$AA$3762)/tk_life</f>
        <v>1.55872349836552</v>
      </c>
      <c r="U3765" s="38" t="n">
        <f aca="false">SUMPRODUCT(--(Sens!$R$3728:$AA$3728&lt;Sens!U$3728),--(Sens!$R$3728:$AA$3728&gt;=Sens!U$3728-tk_life),Sens!$R$3762:$AA$3762)/tk_life</f>
        <v>7.74852164836552</v>
      </c>
      <c r="V3765" s="38" t="n">
        <f aca="false">SUMPRODUCT(--(Sens!$R$3728:$AA$3728&lt;Sens!V$3728),--(Sens!$R$3728:$AA$3728&gt;=Sens!V$3728-tk_life),Sens!$R$3762:$AA$3762)/tk_life</f>
        <v>24.2509580966155</v>
      </c>
      <c r="W3765" s="38" t="n">
        <f aca="false">SUMPRODUCT(--(Sens!$R$3728:$AA$3728&lt;Sens!W$3728),--(Sens!$R$3728:$AA$3728&gt;=Sens!W$3728-tk_life),Sens!$R$3762:$AA$3762)/tk_life</f>
        <v>49.6717554207405</v>
      </c>
      <c r="X3765" s="38" t="n">
        <f aca="false">SUMPRODUCT(--(Sens!$R$3728:$AA$3728&lt;Sens!X$3728),--(Sens!$R$3728:$AA$3728&gt;=Sens!X$3728-tk_life),Sens!$R$3762:$AA$3762)/tk_life</f>
        <v>76.1050702391572</v>
      </c>
      <c r="Y3765" s="38" t="n">
        <f aca="false">SUMPRODUCT(--(Sens!$R$3728:$AA$3728&lt;Sens!Y$3728),--(Sens!$R$3728:$AA$3728&gt;=Sens!Y$3728-tk_life),Sens!$R$3762:$AA$3762)/tk_life</f>
        <v>103.227966959208</v>
      </c>
      <c r="Z3765" s="38" t="n">
        <f aca="false">SUMPRODUCT(--(Sens!$R$3728:$AA$3728&lt;Sens!Z$3728),--(Sens!$R$3728:$AA$3728&gt;=Sens!Z$3728-tk_life),Sens!$R$3762:$AA$3762)/tk_life</f>
        <v>122.296705971464</v>
      </c>
      <c r="AA3765" s="38" t="n">
        <f aca="false">SUMPRODUCT(--(Sens!$R$3728:$AA$3728&lt;Sens!AA$3728),--(Sens!$R$3728:$AA$3728&gt;=Sens!AA$3728-tk_life),Sens!$R$3762:$AA$3762)/tk_life</f>
        <v>134.926065927559</v>
      </c>
    </row>
    <row r="3766" customFormat="false" ht="17.15" hidden="false" customHeight="false" outlineLevel="0" collapsed="false">
      <c r="A3766" s="0" t="s">
        <v>638</v>
      </c>
      <c r="B3766" s="0" t="s">
        <v>86</v>
      </c>
      <c r="C3766" s="38" t="n">
        <f aca="false">Sens!$S$3766</f>
        <v>0.0202511502553155</v>
      </c>
      <c r="D3766" s="38" t="n">
        <f aca="false">Sens!$T$3766</f>
        <v>0.172291150255315</v>
      </c>
      <c r="E3766" s="38" t="n">
        <f aca="false">Sens!$G$3766/2</f>
        <v>0.428235575127658</v>
      </c>
      <c r="F3766" s="38" t="n">
        <f aca="false">Sens!$G$3766/2</f>
        <v>0.428235575127658</v>
      </c>
      <c r="G3766" s="38" t="n">
        <f aca="false">Sens!$U$3766</f>
        <v>0.856471150255315</v>
      </c>
      <c r="H3766" s="38" t="n">
        <f aca="false">Sens!$V$3766</f>
        <v>2.41307567525532</v>
      </c>
      <c r="I3766" s="38" t="n">
        <f aca="false">Sens!$W$3766</f>
        <v>4.71540472525532</v>
      </c>
      <c r="J3766" s="38" t="n">
        <f aca="false">Sens!$X$3766</f>
        <v>7.01773377525532</v>
      </c>
      <c r="K3766" s="38" t="n">
        <f aca="false">Sens!$Y$3766</f>
        <v>9.32006282525532</v>
      </c>
      <c r="L3766" s="38" t="n">
        <f aca="false">Sens!$Z$3766</f>
        <v>10.9487071753387</v>
      </c>
      <c r="M3766" s="38" t="n">
        <f aca="false">Sens!$AA$3766</f>
        <v>11.9036668255053</v>
      </c>
      <c r="N3766" s="38" t="n">
        <f aca="false">Sens!$D$3766/2</f>
        <v>0.0861455751276577</v>
      </c>
      <c r="O3766" s="38" t="n">
        <f aca="false">Sens!$D$3766/2</f>
        <v>0.0861455751276577</v>
      </c>
      <c r="R3766" s="38" t="n">
        <f aca="false">SUMPRODUCT(--(Sens!$R$3728:$AA$3728&lt;Sens!R$3728),Sens!$R$3763:$AA$3763)/fac_life</f>
        <v>0</v>
      </c>
      <c r="S3766" s="38" t="n">
        <f aca="false">SUMPRODUCT(--(Sens!$R$3728:$AA$3728&lt;Sens!S$3728),Sens!$R$3763:$AA$3763)/fac_life</f>
        <v>0.0202511502553155</v>
      </c>
      <c r="T3766" s="38" t="n">
        <f aca="false">SUMPRODUCT(--(Sens!$R$3728:$AA$3728&lt;Sens!T$3728),Sens!$R$3763:$AA$3763)/fac_life</f>
        <v>0.172291150255315</v>
      </c>
      <c r="U3766" s="38" t="n">
        <f aca="false">SUMPRODUCT(--(Sens!$R$3728:$AA$3728&lt;Sens!U$3728),Sens!$R$3763:$AA$3763)/fac_life</f>
        <v>0.856471150255315</v>
      </c>
      <c r="V3766" s="38" t="n">
        <f aca="false">SUMPRODUCT(--(Sens!$R$3728:$AA$3728&lt;Sens!V$3728),Sens!$R$3763:$AA$3763)/fac_life</f>
        <v>2.41307567525532</v>
      </c>
      <c r="W3766" s="38" t="n">
        <f aca="false">SUMPRODUCT(--(Sens!$R$3728:$AA$3728&lt;Sens!W$3728),Sens!$R$3763:$AA$3763)/fac_life</f>
        <v>4.71540472525532</v>
      </c>
      <c r="X3766" s="38" t="n">
        <f aca="false">SUMPRODUCT(--(Sens!$R$3728:$AA$3728&lt;Sens!X$3728),Sens!$R$3763:$AA$3763)/fac_life</f>
        <v>7.01773377525532</v>
      </c>
      <c r="Y3766" s="38" t="n">
        <f aca="false">SUMPRODUCT(--(Sens!$R$3728:$AA$3728&lt;Sens!Y$3728),Sens!$R$3763:$AA$3763)/fac_life</f>
        <v>9.32006282525532</v>
      </c>
      <c r="Z3766" s="38" t="n">
        <f aca="false">SUMPRODUCT(--(Sens!$R$3728:$AA$3728&lt;Sens!Z$3728),Sens!$R$3763:$AA$3763)/fac_life</f>
        <v>10.9487071753387</v>
      </c>
      <c r="AA3766" s="38" t="n">
        <f aca="false">SUMPRODUCT(--(Sens!$R$3728:$AA$3728&lt;Sens!AA$3728),Sens!$R$3763:$AA$3763)/fac_life</f>
        <v>11.9036668255053</v>
      </c>
    </row>
    <row r="3767" customFormat="false" ht="17.15" hidden="false" customHeight="false" outlineLevel="0" collapsed="false">
      <c r="A3767" s="1" t="s">
        <v>639</v>
      </c>
      <c r="B3767" s="8" t="s">
        <v>86</v>
      </c>
      <c r="C3767" s="38" t="n">
        <f aca="false">Sens!$C$3765+Sens!$C$3766</f>
        <v>0.203463948620839</v>
      </c>
      <c r="D3767" s="38" t="n">
        <f aca="false">Sens!$D$3765+Sens!$D$3766</f>
        <v>1.73101464862084</v>
      </c>
      <c r="E3767" s="38" t="n">
        <f aca="false">Sens!$E$3765+Sens!$E$3766</f>
        <v>4.30249639931042</v>
      </c>
      <c r="F3767" s="38" t="n">
        <f aca="false">Sens!$F$3765+Sens!$F$3766</f>
        <v>4.30249639931042</v>
      </c>
      <c r="G3767" s="38" t="n">
        <f aca="false">Sens!$G$3765+Sens!$G$3766</f>
        <v>8.60499279862084</v>
      </c>
      <c r="H3767" s="38" t="n">
        <f aca="false">Sens!$H$3765+Sens!$H$3766</f>
        <v>26.6640337718708</v>
      </c>
      <c r="I3767" s="38" t="n">
        <f aca="false">Sens!$I$3765+Sens!$I$3766</f>
        <v>54.3871601459959</v>
      </c>
      <c r="J3767" s="38" t="n">
        <f aca="false">Sens!$J$3765+Sens!$J$3766</f>
        <v>83.1228040144125</v>
      </c>
      <c r="K3767" s="38" t="n">
        <f aca="false">Sens!$K$3765+Sens!$K$3766</f>
        <v>112.548029784464</v>
      </c>
      <c r="L3767" s="38" t="n">
        <f aca="false">Sens!$L$3765+Sens!$L$3766</f>
        <v>133.245413146803</v>
      </c>
      <c r="M3767" s="38" t="n">
        <f aca="false">Sens!$M$3765+Sens!$M$3766</f>
        <v>146.829732753064</v>
      </c>
      <c r="N3767" s="38" t="n">
        <f aca="false">Sens!$N$3765+Sens!$N$3766</f>
        <v>0.865507324310419</v>
      </c>
      <c r="O3767" s="38" t="n">
        <f aca="false">Sens!$O$3765+Sens!$O$3766</f>
        <v>0.865507324310419</v>
      </c>
      <c r="R3767" s="38" t="n">
        <f aca="false">Sens!$R$3765+Sens!$R$3766</f>
        <v>0</v>
      </c>
      <c r="S3767" s="38" t="n">
        <f aca="false">Sens!$S$3765+Sens!$S$3766</f>
        <v>0.203463948620839</v>
      </c>
      <c r="T3767" s="38" t="n">
        <f aca="false">Sens!$T$3765+Sens!$T$3766</f>
        <v>1.73101464862084</v>
      </c>
      <c r="U3767" s="38" t="n">
        <f aca="false">Sens!$U$3765+Sens!$U$3766</f>
        <v>8.60499279862084</v>
      </c>
      <c r="V3767" s="38" t="n">
        <f aca="false">Sens!$V$3765+Sens!$V$3766</f>
        <v>26.6640337718708</v>
      </c>
      <c r="W3767" s="38" t="n">
        <f aca="false">Sens!$W$3765+Sens!$W$3766</f>
        <v>54.3871601459959</v>
      </c>
      <c r="X3767" s="38" t="n">
        <f aca="false">Sens!$X$3765+Sens!$X$3766</f>
        <v>83.1228040144125</v>
      </c>
      <c r="Y3767" s="38" t="n">
        <f aca="false">Sens!$Y$3765+Sens!$Y$3766</f>
        <v>112.548029784464</v>
      </c>
      <c r="Z3767" s="38" t="n">
        <f aca="false">Sens!$Z$3765+Sens!$Z$3766</f>
        <v>133.245413146803</v>
      </c>
      <c r="AA3767" s="38" t="n">
        <f aca="false">Sens!$AA$3765+Sens!$AA$3766</f>
        <v>146.829732753064</v>
      </c>
    </row>
    <row r="3768" customFormat="false" ht="17.15" hidden="false" customHeight="false" outlineLevel="0" collapsed="false">
      <c r="A3768" s="0" t="s">
        <v>640</v>
      </c>
      <c r="B3768" s="0" t="s">
        <v>86</v>
      </c>
      <c r="C3768" s="38" t="n">
        <f aca="false">Sens!$S$3768</f>
        <v>12.5947000466786</v>
      </c>
      <c r="D3768" s="38" t="n">
        <f aca="false">Sens!$T$3768</f>
        <v>61.6860742980578</v>
      </c>
      <c r="G3768" s="38" t="n">
        <f aca="false">Sens!$U$3768</f>
        <v>183.227790688937</v>
      </c>
      <c r="H3768" s="38" t="n">
        <f aca="false">Sens!$V$3768</f>
        <v>355.135121861816</v>
      </c>
      <c r="I3768" s="38" t="n">
        <f aca="false">Sens!$W$3768</f>
        <v>505.39443162632</v>
      </c>
      <c r="J3768" s="38" t="n">
        <f aca="false">Sens!$X$3768</f>
        <v>632.154865722408</v>
      </c>
      <c r="K3768" s="38" t="n">
        <f aca="false">Sens!$Y$3768</f>
        <v>674.845221213145</v>
      </c>
      <c r="L3768" s="38" t="n">
        <f aca="false">Sens!$Z$3768</f>
        <v>673.613949706244</v>
      </c>
      <c r="M3768" s="38" t="n">
        <f aca="false">Sens!$AA$3768</f>
        <v>659.015198613032</v>
      </c>
      <c r="R3768" s="38" t="n">
        <f aca="false">SUM(Sens!$R$3760:$R$3760)-SUM(Sens!$R$3767:$R$3767)</f>
        <v>1.50429979529945</v>
      </c>
      <c r="S3768" s="38" t="n">
        <f aca="false">SUM(Sens!$R$3760:$S$3760)-SUM(Sens!$R$3767:$S$3767)</f>
        <v>12.5947000466786</v>
      </c>
      <c r="T3768" s="38" t="n">
        <f aca="false">SUM(Sens!$R$3760:$T$3760)-SUM(Sens!$R$3767:$T$3767)</f>
        <v>61.6860742980578</v>
      </c>
      <c r="U3768" s="38" t="n">
        <f aca="false">SUM(Sens!$R$3760:$U$3760)-SUM(Sens!$R$3767:$U$3767)</f>
        <v>183.227790688937</v>
      </c>
      <c r="V3768" s="38" t="n">
        <f aca="false">SUM(Sens!$R$3760:$V$3760)-SUM(Sens!$R$3767:$V$3767)</f>
        <v>355.135121861816</v>
      </c>
      <c r="W3768" s="38" t="n">
        <f aca="false">SUM(Sens!$R$3760:$W$3760)-SUM(Sens!$R$3767:$W$3767)</f>
        <v>505.39443162632</v>
      </c>
      <c r="X3768" s="38" t="n">
        <f aca="false">SUM(Sens!$R$3760:$X$3760)-SUM(Sens!$R$3767:$X$3767)</f>
        <v>632.154865722408</v>
      </c>
      <c r="Y3768" s="38" t="n">
        <f aca="false">SUM(Sens!$R$3760:$Y$3760)-SUM(Sens!$R$3767:$Y$3767)</f>
        <v>674.845221213145</v>
      </c>
      <c r="Z3768" s="38" t="n">
        <f aca="false">SUM(Sens!$R$3760:$Z$3760)-SUM(Sens!$R$3767:$Z$3767)</f>
        <v>673.613949706244</v>
      </c>
      <c r="AA3768" s="38" t="n">
        <f aca="false">SUM(Sens!$R$3760:$AA$3760)-SUM(Sens!$R$3767:$AA$3767)</f>
        <v>659.015198613032</v>
      </c>
    </row>
    <row r="3769" customFormat="false" ht="17.15" hidden="false" customHeight="false" outlineLevel="0" collapsed="false">
      <c r="A3769" s="1" t="s">
        <v>641</v>
      </c>
    </row>
    <row r="3770" customFormat="false" ht="17.15" hidden="false" customHeight="false" outlineLevel="0" collapsed="false">
      <c r="A3770" s="0" t="s">
        <v>642</v>
      </c>
      <c r="B3770" s="0" t="s">
        <v>86</v>
      </c>
      <c r="C3770" s="38" t="n">
        <f aca="false">Sens!$C$3749-ext_sh*Sens!$C$3751</f>
        <v>1.80694998843362</v>
      </c>
      <c r="D3770" s="38" t="n">
        <f aca="false">Sens!$D$3749-ext_sh*Sens!$D$3751</f>
        <v>6.77606245662607</v>
      </c>
      <c r="E3770" s="38" t="n">
        <f aca="false">Sens!$E$3749-ext_sh*Sens!$E$3751</f>
        <v>6.62548329092326</v>
      </c>
      <c r="F3770" s="38" t="n">
        <f aca="false">Sens!$F$3749-ext_sh*Sens!$F$3751</f>
        <v>11.7200577158706</v>
      </c>
      <c r="G3770" s="38" t="n">
        <f aca="false">Sens!$G$3749-ext_sh*Sens!$G$3751</f>
        <v>18.3455410067939</v>
      </c>
      <c r="H3770" s="38" t="n">
        <f aca="false">Sens!$H$3749-ext_sh*Sens!$H$3751</f>
        <v>47.5171727060453</v>
      </c>
      <c r="I3770" s="38" t="n">
        <f aca="false">Sens!$I$3749-ext_sh*Sens!$I$3751</f>
        <v>80.5539692643667</v>
      </c>
      <c r="J3770" s="38" t="n">
        <f aca="false">Sens!$J$3749-ext_sh*Sens!$J$3751</f>
        <v>113.759316834883</v>
      </c>
      <c r="K3770" s="38" t="n">
        <f aca="false">Sens!$K$3749-ext_sh*Sens!$K$3751</f>
        <v>142.084411492169</v>
      </c>
      <c r="L3770" s="38" t="n">
        <f aca="false">Sens!$L$3749-ext_sh*Sens!$L$3751</f>
        <v>160.69964615804</v>
      </c>
      <c r="M3770" s="38" t="n">
        <f aca="false">Sens!$M$3749-ext_sh*Sens!$M$3751</f>
        <v>169.577607141793</v>
      </c>
      <c r="N3770" s="38" t="n">
        <f aca="false">Sens!$N$3749-ext_sh*Sens!$N$3751</f>
        <v>2.37162185981912</v>
      </c>
      <c r="O3770" s="38" t="n">
        <f aca="false">Sens!$O$3749-ext_sh*Sens!$O$3751</f>
        <v>4.40444059680694</v>
      </c>
    </row>
    <row r="3771" customFormat="false" ht="17.15" hidden="false" customHeight="false" outlineLevel="0" collapsed="false">
      <c r="A3771" s="1" t="s">
        <v>643</v>
      </c>
      <c r="B3771" s="8" t="s">
        <v>86</v>
      </c>
      <c r="C3771" s="38" t="n">
        <f aca="false">Sens!$C$3770-ext_sh*Sens!$C$3767</f>
        <v>1.64417882953695</v>
      </c>
      <c r="D3771" s="38" t="n">
        <f aca="false">Sens!$D$3770-ext_sh*Sens!$D$3767</f>
        <v>5.39125073772939</v>
      </c>
      <c r="E3771" s="38" t="n">
        <f aca="false">Sens!$E$3770-ext_sh*Sens!$E$3767</f>
        <v>3.18348617147493</v>
      </c>
      <c r="F3771" s="38" t="n">
        <f aca="false">Sens!$F$3770-ext_sh*Sens!$F$3767</f>
        <v>8.27806059642226</v>
      </c>
      <c r="G3771" s="38" t="n">
        <f aca="false">Sens!$G$3770-ext_sh*Sens!$G$3767</f>
        <v>11.4615467678972</v>
      </c>
      <c r="H3771" s="38" t="n">
        <f aca="false">Sens!$H$3770-ext_sh*Sens!$H$3767</f>
        <v>26.1859456885487</v>
      </c>
      <c r="I3771" s="38" t="n">
        <f aca="false">Sens!$I$3770-ext_sh*Sens!$I$3767</f>
        <v>37.04424114757</v>
      </c>
      <c r="J3771" s="38" t="n">
        <f aca="false">Sens!$J$3770-ext_sh*Sens!$J$3767</f>
        <v>47.2610736233534</v>
      </c>
      <c r="K3771" s="38" t="n">
        <f aca="false">Sens!$K$3770-ext_sh*Sens!$K$3767</f>
        <v>52.0459876645985</v>
      </c>
      <c r="L3771" s="38" t="n">
        <f aca="false">Sens!$L$3770-ext_sh*Sens!$L$3767</f>
        <v>54.1033156405981</v>
      </c>
      <c r="M3771" s="38" t="n">
        <f aca="false">Sens!$M$3770-ext_sh*Sens!$M$3767</f>
        <v>52.1138209393421</v>
      </c>
      <c r="N3771" s="38" t="n">
        <f aca="false">Sens!$N$3770-ext_sh*Sens!$N$3767</f>
        <v>1.67921600037079</v>
      </c>
      <c r="O3771" s="38" t="n">
        <f aca="false">Sens!$O$3770-ext_sh*Sens!$O$3767</f>
        <v>3.71203473735861</v>
      </c>
    </row>
    <row r="3772" customFormat="false" ht="17.15" hidden="false" customHeight="false" outlineLevel="0" collapsed="false">
      <c r="A3772" s="0" t="s">
        <v>644</v>
      </c>
      <c r="B3772" s="0" t="s">
        <v>52</v>
      </c>
      <c r="C3772" s="13" t="n">
        <f aca="false">Sens!$C$3771/Sens!$C$3749</f>
        <v>0.708390794789371</v>
      </c>
      <c r="D3772" s="13" t="n">
        <f aca="false">Sens!$D$3771/Sens!$D$3749</f>
        <v>0.619415573115729</v>
      </c>
      <c r="E3772" s="13" t="n">
        <f aca="false">Sens!$E$3771/Sens!$E$3749</f>
        <v>0.374072166056273</v>
      </c>
      <c r="F3772" s="13" t="n">
        <f aca="false">Sens!$F$3771/Sens!$F$3749</f>
        <v>0.553219320710057</v>
      </c>
      <c r="G3772" s="13" t="n">
        <f aca="false">Sens!$G$3771/Sens!$G$3749</f>
        <v>0.488270041527512</v>
      </c>
      <c r="H3772" s="13" t="n">
        <f aca="false">Sens!$H$3771/Sens!$H$3749</f>
        <v>0.435229086816882</v>
      </c>
      <c r="I3772" s="13" t="n">
        <f aca="false">Sens!$I$3771/Sens!$I$3749</f>
        <v>0.364954592421095</v>
      </c>
      <c r="J3772" s="13" t="n">
        <f aca="false">Sens!$J$3771/Sens!$J$3749</f>
        <v>0.330438308582232</v>
      </c>
      <c r="K3772" s="13" t="n">
        <f aca="false">Sens!$K$3771/Sens!$K$3749</f>
        <v>0.2916589289528</v>
      </c>
      <c r="L3772" s="13" t="n">
        <f aca="false">Sens!$L$3771/Sens!$L$3749</f>
        <v>0.268199200593258</v>
      </c>
      <c r="M3772" s="13" t="n">
        <f aca="false">Sens!$M$3771/Sens!$M$3749</f>
        <v>0.244854995033574</v>
      </c>
      <c r="N3772" s="13" t="n">
        <f aca="false">Sens!$N$3771/Sens!$N$3749</f>
        <v>0.551227795793364</v>
      </c>
      <c r="O3772" s="13" t="n">
        <f aca="false">Sens!$O$3771/Sens!$O$3749</f>
        <v>0.656132068597002</v>
      </c>
    </row>
    <row r="3773" customFormat="false" ht="17.15" hidden="false" customHeight="false" outlineLevel="0" collapsed="false">
      <c r="A3773" s="5" t="s">
        <v>645</v>
      </c>
      <c r="B3773" s="0" t="s">
        <v>86</v>
      </c>
      <c r="C3773" s="39" t="n">
        <v>0</v>
      </c>
      <c r="D3773" s="39" t="n">
        <v>0</v>
      </c>
      <c r="E3773" s="39" t="n">
        <v>0</v>
      </c>
      <c r="F3773" s="38" t="n">
        <f aca="false">IF(internal_ai_reading=2,1,0)*(1-ext_sh)/ext_sh*(mw_open*he_open+Sens!$F$3747*Sens!$F$3744)*Sens!$F$3733/1000</f>
        <v>3.77122048175818</v>
      </c>
      <c r="G3773" s="38" t="n">
        <f aca="false">Sens!$E$3773+Sens!$F$3773</f>
        <v>3.77122048175818</v>
      </c>
      <c r="H3773" s="38" t="n">
        <f aca="false">IF(internal_ai_reading=2,1,0)*(1-ext_sh)/ext_sh*(mw_open*he_open+Sens!$H$3747*Sens!$H$3744)*Sens!$H$3733/1000</f>
        <v>15.1635543609893</v>
      </c>
      <c r="I3773" s="38" t="n">
        <f aca="false">IF(internal_ai_reading=2,1,0)*(1-ext_sh)/ext_sh*(mw_open*he_open+Sens!$I$3747*Sens!$I$3744)*Sens!$I$3733/1000</f>
        <v>25.5818843619889</v>
      </c>
      <c r="J3773" s="38" t="n">
        <f aca="false">IF(internal_ai_reading=2,1,0)*(1-ext_sh)/ext_sh*(mw_open*he_open+Sens!$J$3747*Sens!$J$3744)*Sens!$J$3733/1000</f>
        <v>36.0465624179122</v>
      </c>
      <c r="K3773" s="38" t="n">
        <f aca="false">IF(internal_ai_reading=2,1,0)*(1-ext_sh)/ext_sh*(mw_open*he_open+Sens!$K$3747*Sens!$K$3744)*Sens!$K$3733/1000</f>
        <v>44.9741164026038</v>
      </c>
      <c r="L3773" s="38" t="n">
        <f aca="false">IF(internal_ai_reading=2,1,0)*(1-ext_sh)/ext_sh*(mw_open*he_open+Sens!$L$3747*Sens!$L$3744)*Sens!$L$3733/1000</f>
        <v>50.8413488057813</v>
      </c>
      <c r="M3773" s="38" t="n">
        <f aca="false">IF(internal_ai_reading=2,1,0)*(1-ext_sh)/ext_sh*(mw_open*he_open+Sens!$M$3747*Sens!$M$3744)*Sens!$M$3733/1000</f>
        <v>53.6407214274315</v>
      </c>
      <c r="N3773" s="39" t="n">
        <v>0</v>
      </c>
      <c r="O3773" s="39" t="n">
        <v>0</v>
      </c>
      <c r="P3773" s="8" t="s">
        <v>646</v>
      </c>
    </row>
    <row r="3774" customFormat="false" ht="17.15" hidden="false" customHeight="false" outlineLevel="0" collapsed="false">
      <c r="A3774" s="5" t="s">
        <v>647</v>
      </c>
      <c r="B3774" s="0" t="s">
        <v>86</v>
      </c>
      <c r="C3774" s="38" t="n">
        <f aca="false">(1-ext_sh)*(Sens!$C$3751+Sens!$C$3767)</f>
        <v>0.169206631859174</v>
      </c>
      <c r="D3774" s="38" t="n">
        <f aca="false">(1-ext_sh)*(Sens!$D$3751+Sens!$D$3767)</f>
        <v>0.828129837730442</v>
      </c>
      <c r="E3774" s="38" t="n">
        <f aca="false">(1-ext_sh)*(Sens!$E$3751+Sens!$E$3767)</f>
        <v>1.33171670102377</v>
      </c>
      <c r="F3774" s="38" t="n">
        <f aca="false">(1-ext_sh)*(Sens!$F$3751+Sens!$F$3767)</f>
        <v>1.67134326207455</v>
      </c>
      <c r="G3774" s="38" t="n">
        <f aca="false">(1-ext_sh)*(Sens!$G$3751+Sens!$G$3767)</f>
        <v>3.00305996309832</v>
      </c>
      <c r="H3774" s="38" t="n">
        <f aca="false">(1-ext_sh)*(Sens!$H$3751+Sens!$H$3767)</f>
        <v>8.49498626530648</v>
      </c>
      <c r="I3774" s="38" t="n">
        <f aca="false">(1-ext_sh)*(Sens!$I$3751+Sens!$I$3767)</f>
        <v>16.1148644972155</v>
      </c>
      <c r="J3774" s="38" t="n">
        <f aca="false">(1-ext_sh)*(Sens!$J$3751+Sens!$J$3767)</f>
        <v>23.9410833819812</v>
      </c>
      <c r="K3774" s="38" t="n">
        <f aca="false">(1-ext_sh)*(Sens!$K$3751+Sens!$K$3767)</f>
        <v>31.6005331796453</v>
      </c>
      <c r="L3774" s="38" t="n">
        <f aca="false">(1-ext_sh)*(Sens!$L$3751+Sens!$L$3767)</f>
        <v>36.9061965404496</v>
      </c>
      <c r="M3774" s="38" t="n">
        <f aca="false">(1-ext_sh)*(Sens!$M$3751+Sens!$M$3767)</f>
        <v>40.1804051073808</v>
      </c>
      <c r="N3774" s="38" t="n">
        <f aca="false">(1-ext_sh)*(Sens!$N$3751+Sens!$N$3767)</f>
        <v>0.34177588266428</v>
      </c>
      <c r="O3774" s="38" t="n">
        <f aca="false">(1-ext_sh)*(Sens!$O$3751+Sens!$O$3767)</f>
        <v>0.486353955066162</v>
      </c>
    </row>
    <row r="3775" customFormat="false" ht="17.15" hidden="false" customHeight="false" outlineLevel="0" collapsed="false">
      <c r="A3775" s="0" t="s">
        <v>648</v>
      </c>
      <c r="B3775" s="0" t="s">
        <v>86</v>
      </c>
      <c r="C3775" s="38" t="n">
        <f aca="false">Q!$D$24</f>
        <v>39.834</v>
      </c>
      <c r="D3775" s="38" t="n">
        <f aca="false">Q!$E$24</f>
        <v>45.606</v>
      </c>
      <c r="E3775" s="38" t="n">
        <f aca="false">Q!$P$24</f>
        <v>30.782</v>
      </c>
      <c r="N3775" s="38" t="n">
        <f aca="false">Q!$N$24</f>
        <v>21.707</v>
      </c>
      <c r="O3775" s="38" t="n">
        <f aca="false">Q!$O$24</f>
        <v>23.899</v>
      </c>
    </row>
    <row r="3776" customFormat="false" ht="17.15" hidden="false" customHeight="false" outlineLevel="0" collapsed="false">
      <c r="A3776" s="0" t="s">
        <v>649</v>
      </c>
      <c r="B3776" s="0" t="s">
        <v>86</v>
      </c>
      <c r="C3776" s="38" t="n">
        <f aca="false">Sens!$C$3775-Sens!$C$3771</f>
        <v>38.1898211704631</v>
      </c>
      <c r="D3776" s="38" t="n">
        <f aca="false">Sens!$D$3775-Sens!$D$3771</f>
        <v>40.2147492622706</v>
      </c>
      <c r="E3776" s="38" t="n">
        <f aca="false">Sens!$E$3775-Sens!$E$3771</f>
        <v>27.5985138285251</v>
      </c>
      <c r="F3776" s="38" t="n">
        <f aca="false">Sens!$F$3753*Sens!$F$3777</f>
        <v>25.5484769754606</v>
      </c>
      <c r="G3776" s="38" t="n">
        <f aca="false">Sens!$E$3776+Sens!$F$3776</f>
        <v>53.1469908039857</v>
      </c>
      <c r="H3776" s="38" t="n">
        <f aca="false">Sens!$H$3753*Sens!$H$3777</f>
        <v>57.3189525076539</v>
      </c>
      <c r="I3776" s="38" t="n">
        <f aca="false">Sens!$I$3753*Sens!$I$3777</f>
        <v>63.6385627021087</v>
      </c>
      <c r="J3776" s="38" t="n">
        <f aca="false">Sens!$J$3753*Sens!$J$3777</f>
        <v>69.6922896066105</v>
      </c>
      <c r="K3776" s="38" t="n">
        <f aca="false">Sens!$K$3753*Sens!$K$3777</f>
        <v>75.2676727751394</v>
      </c>
      <c r="L3776" s="38" t="n">
        <f aca="false">Sens!$L$3753*Sens!$L$3777</f>
        <v>81.2890865971505</v>
      </c>
      <c r="M3776" s="38" t="n">
        <f aca="false">Sens!$M$3753*Sens!$M$3777</f>
        <v>87.7922135249226</v>
      </c>
      <c r="N3776" s="38" t="n">
        <f aca="false">Sens!$N$3775-Sens!$N$3771</f>
        <v>20.0277839996292</v>
      </c>
      <c r="O3776" s="38" t="n">
        <f aca="false">Sens!$O$3775-Sens!$O$3771</f>
        <v>20.1869652626414</v>
      </c>
      <c r="P3776" s="5" t="s">
        <v>650</v>
      </c>
    </row>
    <row r="3777" customFormat="false" ht="17.15" hidden="false" customHeight="false" outlineLevel="0" collapsed="false">
      <c r="A3777" s="0" t="s">
        <v>651</v>
      </c>
      <c r="B3777" s="0" t="s">
        <v>52</v>
      </c>
      <c r="C3777" s="13" t="n">
        <f aca="false">Sens!$C$3776/Sens!$C$3753</f>
        <v>0.362900395443635</v>
      </c>
      <c r="D3777" s="13" t="n">
        <f aca="false">Sens!$D$3776/Sens!$D$3753</f>
        <v>0.335063632425483</v>
      </c>
      <c r="E3777" s="13" t="n">
        <f aca="false">Sens!$E$3776/Sens!$E$3753</f>
        <v>0.387028992698038</v>
      </c>
      <c r="F3777" s="13" t="n">
        <f aca="false">(Sens!$O$3776+Sens!$E$3776)/(Sens!$O$3753+Sens!$E$3753)</f>
        <v>0.355980580118587</v>
      </c>
      <c r="G3777" s="13" t="n">
        <f aca="false">Sens!$G$3776/Sens!$G$3753</f>
        <v>0.371454804780916</v>
      </c>
      <c r="H3777" s="13" t="n">
        <f aca="false">Sens!$F$3777</f>
        <v>0.355980580118587</v>
      </c>
      <c r="I3777" s="13" t="n">
        <f aca="false">Sens!$F$3777</f>
        <v>0.355980580118587</v>
      </c>
      <c r="J3777" s="13" t="n">
        <f aca="false">Sens!$F$3777</f>
        <v>0.355980580118587</v>
      </c>
      <c r="K3777" s="13" t="n">
        <f aca="false">Sens!$F$3777</f>
        <v>0.355980580118587</v>
      </c>
      <c r="L3777" s="13" t="n">
        <f aca="false">Sens!$F$3777</f>
        <v>0.355980580118587</v>
      </c>
      <c r="M3777" s="13" t="n">
        <f aca="false">Sens!$F$3777</f>
        <v>0.355980580118587</v>
      </c>
      <c r="N3777" s="13" t="n">
        <f aca="false">Sens!$N$3776/Sens!$N$3753</f>
        <v>0.35078810535806</v>
      </c>
      <c r="O3777" s="13" t="n">
        <f aca="false">Sens!$O$3776/Sens!$O$3753</f>
        <v>0.320796939361619</v>
      </c>
      <c r="P3777" s="8" t="s">
        <v>652</v>
      </c>
    </row>
    <row r="3778" customFormat="false" ht="17.15" hidden="false" customHeight="false" outlineLevel="0" collapsed="false">
      <c r="A3778" s="0" t="s">
        <v>653</v>
      </c>
      <c r="B3778" s="0" t="s">
        <v>52</v>
      </c>
      <c r="D3778" s="13" t="n">
        <f aca="false">(Q!$E$31-ext_sh*Sens!$D$3767)/Sens!$D$3753</f>
        <v>0.167180325480118</v>
      </c>
    </row>
    <row r="3779" customFormat="false" ht="17.15" hidden="false" customHeight="false" outlineLevel="0" collapsed="false">
      <c r="A3779" s="0" t="s">
        <v>654</v>
      </c>
      <c r="B3779" s="0" t="s">
        <v>86</v>
      </c>
      <c r="C3779" s="38" t="n">
        <f aca="false">Q!$D$31</f>
        <v>13.32</v>
      </c>
      <c r="D3779" s="38" t="n">
        <f aca="false">Q!$E$31</f>
        <v>21.45</v>
      </c>
      <c r="E3779" s="38" t="n">
        <f aca="false">Q!$P$31</f>
        <v>15.353</v>
      </c>
      <c r="F3779" s="38" t="n">
        <f aca="false">ext_sh*Sens!$F$3767+Sens!$D$3778*Sens!$F$3753</f>
        <v>15.4404120185306</v>
      </c>
      <c r="G3779" s="38" t="n">
        <f aca="false">Sens!$E$3779+Sens!$F$3779</f>
        <v>30.7934120185306</v>
      </c>
      <c r="H3779" s="38" t="n">
        <f aca="false">ext_sh*Sens!$H$3767+Sens!$D$3778*Sens!$H$3753</f>
        <v>48.250114371455</v>
      </c>
      <c r="I3779" s="38" t="n">
        <f aca="false">ext_sh*Sens!$I$3767+Sens!$D$3778*Sens!$I$3753</f>
        <v>73.3965146995963</v>
      </c>
      <c r="J3779" s="38" t="n">
        <f aca="false">ext_sh*Sens!$J$3767+Sens!$D$3778*Sens!$J$3753</f>
        <v>99.22806138309</v>
      </c>
      <c r="K3779" s="38" t="n">
        <f aca="false">ext_sh*Sens!$K$3767+Sens!$D$3778*Sens!$K$3753</f>
        <v>125.386627452856</v>
      </c>
      <c r="L3779" s="38" t="n">
        <f aca="false">ext_sh*Sens!$L$3767+Sens!$D$3778*Sens!$L$3753</f>
        <v>144.77239043275</v>
      </c>
      <c r="M3779" s="38" t="n">
        <f aca="false">ext_sh*Sens!$M$3767+Sens!$D$3778*Sens!$M$3753</f>
        <v>158.693930910983</v>
      </c>
      <c r="N3779" s="38" t="n">
        <f aca="false">Q!$N$31</f>
        <v>9.234</v>
      </c>
      <c r="O3779" s="38" t="n">
        <f aca="false">Q!$O$31</f>
        <v>12.216</v>
      </c>
    </row>
    <row r="3780" customFormat="false" ht="17.15" hidden="false" customHeight="false" outlineLevel="0" collapsed="false">
      <c r="A3780" s="1" t="s">
        <v>655</v>
      </c>
    </row>
    <row r="3781" customFormat="false" ht="17.15" hidden="false" customHeight="false" outlineLevel="0" collapsed="false">
      <c r="A3781" s="15" t="s">
        <v>656</v>
      </c>
      <c r="B3781" s="14" t="s">
        <v>52</v>
      </c>
      <c r="C3781" s="14"/>
      <c r="D3781" s="14"/>
      <c r="E3781" s="14"/>
      <c r="F3781" s="14"/>
      <c r="G3781" s="17" t="n">
        <f aca="false">Sens!$G$3771*(1-tax)/(ext_sh*(Sens!$D$3768+Sens!$G$3768)/2)</f>
        <v>0.0966870495301478</v>
      </c>
      <c r="H3781" s="17" t="n">
        <f aca="false">Sens!$H$3771*(1-tax)/(ext_sh*(Sens!$G$3768+Sens!$H$3768)/2)</f>
        <v>0.100492020334136</v>
      </c>
      <c r="I3781" s="17" t="n">
        <f aca="false">Sens!$I$3771*(1-tax)/(ext_sh*(Sens!$H$3768+Sens!$I$3768)/2)</f>
        <v>0.0889392292218236</v>
      </c>
      <c r="J3781" s="17" t="n">
        <f aca="false">Sens!$J$3771*(1-tax)/(ext_sh*(Sens!$I$3768+Sens!$J$3768)/2)</f>
        <v>0.0858364613777012</v>
      </c>
      <c r="K3781" s="17" t="n">
        <f aca="false">Sens!$K$3771*(1-tax)/(ext_sh*(Sens!$J$3768+Sens!$K$3768)/2)</f>
        <v>0.08227162714687</v>
      </c>
      <c r="L3781" s="17" t="n">
        <f aca="false">Sens!$L$3771*(1-tax)/(ext_sh*(Sens!$K$3768+Sens!$L$3768)/2)</f>
        <v>0.0828942732763872</v>
      </c>
      <c r="M3781" s="17" t="n">
        <f aca="false">Sens!$M$3771*(1-tax)/(ext_sh*(Sens!$L$3768+Sens!$M$3768)/2)</f>
        <v>0.0807945482347635</v>
      </c>
      <c r="N3781" s="14"/>
      <c r="O3781" s="14"/>
      <c r="P3781" s="8" t="s">
        <v>657</v>
      </c>
    </row>
    <row r="3782" customFormat="false" ht="17.15" hidden="false" customHeight="false" outlineLevel="0" collapsed="false">
      <c r="A3782" s="5" t="s">
        <v>658</v>
      </c>
      <c r="B3782" s="0" t="s">
        <v>57</v>
      </c>
      <c r="H3782" s="36" t="n">
        <f aca="false">Sens!$H$3749*1000/(mw_open*he_open+Sens!$H$3747*Sens!$H$3744)</f>
        <v>0.991949006767191</v>
      </c>
      <c r="I3782" s="36" t="n">
        <f aca="false">Sens!$I$3749*1000/(mw_open*he_open+Sens!$I$3747*Sens!$I$3744)</f>
        <v>0.991949006767191</v>
      </c>
      <c r="J3782" s="36" t="n">
        <f aca="false">Sens!$J$3749*1000/(mw_open*he_open+Sens!$J$3747*Sens!$J$3744)</f>
        <v>0.991949006767191</v>
      </c>
      <c r="K3782" s="36" t="n">
        <f aca="false">Sens!$K$3749*1000/(mw_open*he_open+Sens!$K$3747*Sens!$K$3744)</f>
        <v>0.991949006767191</v>
      </c>
      <c r="L3782" s="36" t="n">
        <f aca="false">Sens!$L$3749*1000/(mw_open*he_open+Sens!$L$3747*Sens!$L$3744)</f>
        <v>0.991949006767191</v>
      </c>
      <c r="M3782" s="36" t="n">
        <f aca="false">Sens!$M$3749*1000/(mw_open*he_open+Sens!$M$3747*Sens!$M$3744)</f>
        <v>0.991949006767191</v>
      </c>
    </row>
    <row r="3783" customFormat="false" ht="17.15" hidden="false" customHeight="false" outlineLevel="0" collapsed="false">
      <c r="A3783" s="5" t="s">
        <v>659</v>
      </c>
      <c r="B3783" s="0" t="s">
        <v>57</v>
      </c>
      <c r="H3783" s="36" t="n">
        <f aca="false">Sens!$H$3782*(Sens!$H$3749+wacc*ext_sh*(Sens!$G$3768+Sens!$H$3768)/2/(1-tax)-Sens!$H$3771)/Sens!$H$3749</f>
        <v>1.04696246089529</v>
      </c>
      <c r="I3783" s="36" t="n">
        <f aca="false">Sens!$I$3782*(Sens!$I$3749+wacc*ext_sh*(Sens!$H$3768+Sens!$I$3768)/2/(1-tax)-Sens!$I$3771)/Sens!$I$3749</f>
        <v>1.09109607940198</v>
      </c>
      <c r="J3783" s="36" t="n">
        <f aca="false">Sens!$J$3782*(Sens!$J$3749+wacc*ext_sh*(Sens!$I$3768+Sens!$J$3768)/2/(1-tax)-Sens!$J$3771)/Sens!$J$3749</f>
        <v>1.09681234280071</v>
      </c>
      <c r="K3783" s="36" t="n">
        <f aca="false">Sens!$K$3782*(Sens!$K$3749+wacc*ext_sh*(Sens!$J$3768+Sens!$K$3768)/2/(1-tax)-Sens!$K$3771)/Sens!$K$3749</f>
        <v>1.10105220068984</v>
      </c>
      <c r="L3783" s="36" t="n">
        <f aca="false">Sens!$L$3782*(Sens!$L$3749+wacc*ext_sh*(Sens!$K$3768+Sens!$L$3768)/2/(1-tax)-Sens!$L$3771)/Sens!$L$3749</f>
        <v>1.08952452639895</v>
      </c>
      <c r="M3783" s="36" t="n">
        <f aca="false">Sens!$M$3782*(Sens!$M$3749+wacc*ext_sh*(Sens!$L$3768+Sens!$M$3768)/2/(1-tax)-Sens!$M$3771)/Sens!$M$3749</f>
        <v>1.08965878549519</v>
      </c>
    </row>
    <row r="3784" customFormat="false" ht="17.15" hidden="false" customHeight="false" outlineLevel="0" collapsed="false">
      <c r="A3784" s="5" t="s">
        <v>660</v>
      </c>
      <c r="B3784" s="0" t="s">
        <v>52</v>
      </c>
      <c r="C3784" s="13" t="n">
        <f aca="false">Sens!$C$3750/tk_pq</f>
        <v>0.195316432429398</v>
      </c>
      <c r="D3784" s="13" t="n">
        <f aca="false">Sens!$D$3750/tk_pq</f>
        <v>0.195316432429398</v>
      </c>
      <c r="E3784" s="13" t="n">
        <f aca="false">Sens!$E$3750/tk_pq</f>
        <v>0.195316432429398</v>
      </c>
      <c r="F3784" s="13" t="n">
        <f aca="false">Sens!$F$3750/tk_pq</f>
        <v>0.202241827274866</v>
      </c>
      <c r="G3784" s="13" t="n">
        <f aca="false">Sens!$G$3750/tk_pq</f>
        <v>0.199675016194063</v>
      </c>
      <c r="H3784" s="13" t="n">
        <f aca="false">Sens!$H$3750/tk_pq</f>
        <v>0.212647947710325</v>
      </c>
      <c r="I3784" s="13" t="n">
        <f aca="false">Sens!$I$3750/tk_pq</f>
        <v>0.219285125475351</v>
      </c>
      <c r="J3784" s="13" t="n">
        <f aca="false">Sens!$J$3750/tk_pq</f>
        <v>0.222492493217189</v>
      </c>
      <c r="K3784" s="13" t="n">
        <f aca="false">Sens!$K$3750/tk_pq</f>
        <v>0.224053502812094</v>
      </c>
      <c r="L3784" s="13" t="n">
        <f aca="false">Sens!$L$3750/tk_pq</f>
        <v>0.224786916785614</v>
      </c>
      <c r="M3784" s="13" t="n">
        <f aca="false">Sens!$M$3750/tk_pq</f>
        <v>0.225048671566937</v>
      </c>
      <c r="N3784" s="13" t="n">
        <f aca="false">Sens!$N$3750/tk_pq</f>
        <v>0.195316432429398</v>
      </c>
      <c r="O3784" s="13" t="n">
        <f aca="false">Sens!$O$3750/tk_pq</f>
        <v>0.195316432429398</v>
      </c>
      <c r="P3784" s="5" t="s">
        <v>661</v>
      </c>
    </row>
    <row r="3787" customFormat="false" ht="17.15" hidden="false" customHeight="false" outlineLevel="0" collapsed="false">
      <c r="A3787" s="1" t="s">
        <v>690</v>
      </c>
    </row>
    <row r="3788" customFormat="false" ht="17.15" hidden="false" customHeight="false" outlineLevel="0" collapsed="false">
      <c r="A3788" s="0" t="s">
        <v>691</v>
      </c>
      <c r="B3788" s="0" t="s">
        <v>86</v>
      </c>
      <c r="C3788" s="38" t="n">
        <f aca="false">Sens!$C$3749</f>
        <v>2.32100535697364</v>
      </c>
      <c r="D3788" s="38" t="n">
        <f aca="false">Sens!$D$3749</f>
        <v>8.70377008865116</v>
      </c>
      <c r="E3788" s="38" t="n">
        <f aca="false">Sens!$E$3749</f>
        <v>8.51035297557002</v>
      </c>
      <c r="F3788" s="38" t="n">
        <f aca="false">Sens!$F$3749</f>
        <v>14.9634336447205</v>
      </c>
      <c r="G3788" s="38" t="n">
        <f aca="false">Sens!$G$3749</f>
        <v>23.4737866202905</v>
      </c>
      <c r="H3788" s="38" t="n">
        <f aca="false">Sens!$H$3749</f>
        <v>60.1658907497746</v>
      </c>
      <c r="I3788" s="38" t="n">
        <f aca="false">Sens!$I$3749</f>
        <v>101.503699136432</v>
      </c>
      <c r="J3788" s="38" t="n">
        <f aca="false">Sens!$J$3749</f>
        <v>143.025407151278</v>
      </c>
      <c r="K3788" s="38" t="n">
        <f aca="false">Sens!$K$3749</f>
        <v>178.44812038318</v>
      </c>
      <c r="L3788" s="38" t="n">
        <f aca="false">Sens!$L$3749</f>
        <v>201.728101802396</v>
      </c>
      <c r="M3788" s="38" t="n">
        <f aca="false">Sens!$M$3749</f>
        <v>212.835441368865</v>
      </c>
      <c r="N3788" s="38" t="n">
        <f aca="false">Sens!$N$3749</f>
        <v>3.04631953102791</v>
      </c>
      <c r="O3788" s="38" t="n">
        <f aca="false">Sens!$O$3749</f>
        <v>5.65745055762326</v>
      </c>
      <c r="P3788" s="8" t="s">
        <v>692</v>
      </c>
    </row>
    <row r="3789" customFormat="false" ht="17.15" hidden="false" customHeight="false" outlineLevel="0" collapsed="false">
      <c r="A3789" s="0" t="s">
        <v>693</v>
      </c>
      <c r="B3789" s="0" t="s">
        <v>86</v>
      </c>
      <c r="C3789" s="38" t="n">
        <f aca="false">Sens!$C$3753</f>
        <v>105.234994643026</v>
      </c>
      <c r="D3789" s="38" t="n">
        <f aca="false">Sens!$D$3753</f>
        <v>120.021229911349</v>
      </c>
      <c r="E3789" s="38" t="n">
        <f aca="false">Sens!$E$3753</f>
        <v>71.30864702443</v>
      </c>
      <c r="F3789" s="38" t="n">
        <f aca="false">Sens!$F$3753</f>
        <v>71.7692997942464</v>
      </c>
      <c r="G3789" s="38" t="n">
        <f aca="false">Sens!$G$3753</f>
        <v>143.077946818676</v>
      </c>
      <c r="H3789" s="38" t="n">
        <f aca="false">Sens!$H$3753</f>
        <v>161.017077079203</v>
      </c>
      <c r="I3789" s="38" t="n">
        <f aca="false">Sens!$I$3753</f>
        <v>178.769759521457</v>
      </c>
      <c r="J3789" s="38" t="n">
        <f aca="false">Sens!$J$3753</f>
        <v>195.775538045907</v>
      </c>
      <c r="K3789" s="38" t="n">
        <f aca="false">Sens!$K$3753</f>
        <v>211.43758108958</v>
      </c>
      <c r="L3789" s="38" t="n">
        <f aca="false">Sens!$L$3753</f>
        <v>228.352587576746</v>
      </c>
      <c r="M3789" s="38" t="n">
        <f aca="false">Sens!$M$3753</f>
        <v>246.620794582886</v>
      </c>
      <c r="N3789" s="38" t="n">
        <f aca="false">Sens!$N$3753</f>
        <v>57.0936804689721</v>
      </c>
      <c r="O3789" s="38" t="n">
        <f aca="false">Sens!$O$3753</f>
        <v>62.9275494423768</v>
      </c>
      <c r="P3789" s="8" t="s">
        <v>692</v>
      </c>
    </row>
    <row r="3790" customFormat="false" ht="17.15" hidden="false" customHeight="false" outlineLevel="0" collapsed="false">
      <c r="A3790" s="1" t="s">
        <v>516</v>
      </c>
      <c r="B3790" s="8" t="s">
        <v>86</v>
      </c>
      <c r="C3790" s="38" t="n">
        <f aca="false">Q!$D$7</f>
        <v>107.556</v>
      </c>
      <c r="D3790" s="38" t="n">
        <f aca="false">Q!$E$7</f>
        <v>128.725</v>
      </c>
      <c r="E3790" s="38" t="n">
        <f aca="false">Q!$P$7</f>
        <v>79.819</v>
      </c>
      <c r="F3790" s="38" t="n">
        <f aca="false">Sens!$F$3788+Sens!$F$3789</f>
        <v>86.7327334389669</v>
      </c>
      <c r="G3790" s="38" t="n">
        <f aca="false">Sens!$G$3788+Sens!$G$3789</f>
        <v>166.551733438967</v>
      </c>
      <c r="H3790" s="38" t="n">
        <f aca="false">Sens!$H$3788+Sens!$H$3789</f>
        <v>221.182967828978</v>
      </c>
      <c r="I3790" s="38" t="n">
        <f aca="false">Sens!$I$3788+Sens!$I$3789</f>
        <v>280.27345865789</v>
      </c>
      <c r="J3790" s="38" t="n">
        <f aca="false">Sens!$J$3788+Sens!$J$3789</f>
        <v>338.800945197185</v>
      </c>
      <c r="K3790" s="38" t="n">
        <f aca="false">Sens!$K$3788+Sens!$K$3789</f>
        <v>389.88570147276</v>
      </c>
      <c r="L3790" s="38" t="n">
        <f aca="false">Sens!$L$3788+Sens!$L$3789</f>
        <v>430.080689379143</v>
      </c>
      <c r="M3790" s="38" t="n">
        <f aca="false">Sens!$M$3788+Sens!$M$3789</f>
        <v>459.456235951751</v>
      </c>
      <c r="N3790" s="38" t="n">
        <f aca="false">Q!$N$7</f>
        <v>60.14</v>
      </c>
      <c r="O3790" s="38" t="n">
        <f aca="false">Q!$O$7</f>
        <v>68.585</v>
      </c>
      <c r="P3790" s="5" t="s">
        <v>694</v>
      </c>
    </row>
    <row r="3791" customFormat="false" ht="15" hidden="false" customHeight="false" outlineLevel="0" collapsed="false">
      <c r="A3791" s="3" t="s">
        <v>695</v>
      </c>
      <c r="B3791" s="8" t="s">
        <v>86</v>
      </c>
      <c r="C3791" s="38" t="n">
        <f aca="false">Q!$D$8</f>
        <v>637.959</v>
      </c>
      <c r="D3791" s="38" t="n">
        <f aca="false">Q!$E$8</f>
        <v>716.924</v>
      </c>
      <c r="E3791" s="38" t="n">
        <f aca="false">Q!$P$8</f>
        <v>382.125</v>
      </c>
      <c r="F3791" s="38" t="n">
        <f aca="false">Sens!$F$3721+Sens!$F$3790</f>
        <v>435.780975084504</v>
      </c>
      <c r="G3791" s="38" t="n">
        <f aca="false">Sens!$G$3721+Sens!$G$3790</f>
        <v>817.905975084504</v>
      </c>
      <c r="H3791" s="38" t="n">
        <f aca="false">Sens!$H$3721+Sens!$H$3790</f>
        <v>942.279857350364</v>
      </c>
      <c r="I3791" s="38" t="n">
        <f aca="false">Sens!$I$3721+Sens!$I$3790</f>
        <v>1068.80284981042</v>
      </c>
      <c r="J3791" s="38" t="n">
        <f aca="false">Sens!$J$3721+Sens!$J$3790</f>
        <v>1189.90935093863</v>
      </c>
      <c r="K3791" s="38" t="n">
        <f aca="false">Sens!$K$3721+Sens!$K$3790</f>
        <v>1296.06215690385</v>
      </c>
      <c r="L3791" s="38" t="n">
        <f aca="false">Sens!$L$3721+Sens!$L$3790</f>
        <v>1395.17379585473</v>
      </c>
      <c r="M3791" s="38" t="n">
        <f aca="false">Sens!$M$3721+Sens!$M$3790</f>
        <v>1487.60414389864</v>
      </c>
      <c r="N3791" s="38" t="n">
        <f aca="false">Q!$N$8</f>
        <v>323.369</v>
      </c>
      <c r="O3791" s="38" t="n">
        <f aca="false">Q!$O$8</f>
        <v>393.555</v>
      </c>
    </row>
    <row r="3792" customFormat="false" ht="17.15" hidden="false" customHeight="false" outlineLevel="0" collapsed="false">
      <c r="A3792" s="24" t="s">
        <v>703</v>
      </c>
      <c r="B3792" s="25" t="s">
        <v>86</v>
      </c>
      <c r="C3792" s="41" t="n">
        <f aca="false">Sens!$C$3721-(Sens!$C$3723+Sens!$C$3724)</f>
        <v>0</v>
      </c>
      <c r="D3792" s="41" t="n">
        <f aca="false">Sens!$D$3721-(Sens!$D$3723+Sens!$D$3724)</f>
        <v>0</v>
      </c>
      <c r="E3792" s="41" t="n">
        <f aca="false">Sens!$E$3721-(Sens!$E$3723+Sens!$E$3724)</f>
        <v>0</v>
      </c>
      <c r="F3792" s="41" t="n">
        <f aca="false">Sens!$F$3721-(Sens!$F$3723+Sens!$F$3724)</f>
        <v>0</v>
      </c>
      <c r="G3792" s="41" t="n">
        <f aca="false">Sens!$G$3721-(Sens!$G$3723+Sens!$G$3724)</f>
        <v>0</v>
      </c>
      <c r="H3792" s="41" t="n">
        <f aca="false">Sens!$H$3721-(Sens!$H$3723+Sens!$H$3724)</f>
        <v>0</v>
      </c>
      <c r="I3792" s="41" t="n">
        <f aca="false">Sens!$I$3721-(Sens!$I$3723+Sens!$I$3724)</f>
        <v>0</v>
      </c>
      <c r="J3792" s="41" t="n">
        <f aca="false">Sens!$J$3721-(Sens!$J$3723+Sens!$J$3724)</f>
        <v>0</v>
      </c>
      <c r="K3792" s="41" t="n">
        <f aca="false">Sens!$K$3721-(Sens!$K$3723+Sens!$K$3724)</f>
        <v>0</v>
      </c>
      <c r="L3792" s="41" t="n">
        <f aca="false">Sens!$L$3721-(Sens!$L$3723+Sens!$L$3724)</f>
        <v>0</v>
      </c>
      <c r="M3792" s="41" t="n">
        <f aca="false">Sens!$M$3721-(Sens!$M$3723+Sens!$M$3724)</f>
        <v>0</v>
      </c>
      <c r="N3792" s="41" t="n">
        <f aca="false">Sens!$N$3721-(Sens!$N$3723+Sens!$N$3724)</f>
        <v>0</v>
      </c>
      <c r="O3792" s="41" t="n">
        <f aca="false">Sens!$O$3721-(Sens!$O$3723+Sens!$O$3724)</f>
        <v>0</v>
      </c>
    </row>
    <row r="3793" customFormat="false" ht="17.15" hidden="false" customHeight="false" outlineLevel="0" collapsed="false">
      <c r="A3793" s="24" t="s">
        <v>704</v>
      </c>
      <c r="B3793" s="25" t="s">
        <v>86</v>
      </c>
      <c r="C3793" s="41" t="n">
        <f aca="false">Sens!$C$3788+Sens!$C$3789-Sens!$C$3790</f>
        <v>0</v>
      </c>
      <c r="D3793" s="41" t="n">
        <f aca="false">Sens!$D$3788+Sens!$D$3789-Sens!$D$3790</f>
        <v>0</v>
      </c>
      <c r="E3793" s="41" t="n">
        <f aca="false">Sens!$E$3788+Sens!$E$3789-Sens!$E$3790</f>
        <v>0</v>
      </c>
      <c r="F3793" s="41" t="n">
        <f aca="false">Sens!$F$3788+Sens!$F$3789-Sens!$F$3790</f>
        <v>0</v>
      </c>
      <c r="G3793" s="41" t="n">
        <f aca="false">Sens!$G$3788+Sens!$G$3789-Sens!$G$3790</f>
        <v>0</v>
      </c>
      <c r="H3793" s="41" t="n">
        <f aca="false">Sens!$H$3788+Sens!$H$3789-Sens!$H$3790</f>
        <v>0</v>
      </c>
      <c r="I3793" s="41" t="n">
        <f aca="false">Sens!$I$3788+Sens!$I$3789-Sens!$I$3790</f>
        <v>0</v>
      </c>
      <c r="J3793" s="41" t="n">
        <f aca="false">Sens!$J$3788+Sens!$J$3789-Sens!$J$3790</f>
        <v>0</v>
      </c>
      <c r="K3793" s="41" t="n">
        <f aca="false">Sens!$K$3788+Sens!$K$3789-Sens!$K$3790</f>
        <v>0</v>
      </c>
      <c r="L3793" s="41" t="n">
        <f aca="false">Sens!$L$3788+Sens!$L$3789-Sens!$L$3790</f>
        <v>0</v>
      </c>
      <c r="M3793" s="41" t="n">
        <f aca="false">Sens!$M$3788+Sens!$M$3789-Sens!$M$3790</f>
        <v>0</v>
      </c>
      <c r="N3793" s="41" t="n">
        <f aca="false">Sens!$N$3788+Sens!$N$3789-Sens!$N$3790</f>
        <v>0</v>
      </c>
      <c r="O3793" s="41" t="n">
        <f aca="false">Sens!$O$3788+Sens!$O$3789-Sens!$O$3790</f>
        <v>0</v>
      </c>
    </row>
    <row r="3794" customFormat="false" ht="17.15" hidden="false" customHeight="false" outlineLevel="0" collapsed="false">
      <c r="A3794" s="24" t="s">
        <v>705</v>
      </c>
      <c r="B3794" s="25" t="s">
        <v>86</v>
      </c>
      <c r="C3794" s="41" t="n">
        <f aca="false">Sens!$C$3723+Sens!$C$3724+Sens!$C$3790-Sens!$C$3791</f>
        <v>0</v>
      </c>
      <c r="D3794" s="41" t="n">
        <f aca="false">Sens!$D$3723+Sens!$D$3724+Sens!$D$3790-Sens!$D$3791</f>
        <v>0</v>
      </c>
      <c r="E3794" s="41" t="n">
        <f aca="false">Sens!$E$3723+Sens!$E$3724+Sens!$E$3790-Sens!$E$3791</f>
        <v>0</v>
      </c>
      <c r="F3794" s="41" t="n">
        <f aca="false">Sens!$F$3723+Sens!$F$3724+Sens!$F$3790-Sens!$F$3791</f>
        <v>0</v>
      </c>
      <c r="G3794" s="41" t="n">
        <f aca="false">Sens!$G$3723+Sens!$G$3724+Sens!$G$3790-Sens!$G$3791</f>
        <v>0</v>
      </c>
      <c r="H3794" s="41" t="n">
        <f aca="false">Sens!$H$3723+Sens!$H$3724+Sens!$H$3790-Sens!$H$3791</f>
        <v>0</v>
      </c>
      <c r="I3794" s="41" t="n">
        <f aca="false">Sens!$I$3723+Sens!$I$3724+Sens!$I$3790-Sens!$I$3791</f>
        <v>0</v>
      </c>
      <c r="J3794" s="41" t="n">
        <f aca="false">Sens!$J$3723+Sens!$J$3724+Sens!$J$3790-Sens!$J$3791</f>
        <v>0</v>
      </c>
      <c r="K3794" s="41" t="n">
        <f aca="false">Sens!$K$3723+Sens!$K$3724+Sens!$K$3790-Sens!$K$3791</f>
        <v>0</v>
      </c>
      <c r="L3794" s="41" t="n">
        <f aca="false">Sens!$L$3723+Sens!$L$3724+Sens!$L$3790-Sens!$L$3791</f>
        <v>0</v>
      </c>
      <c r="M3794" s="41" t="n">
        <f aca="false">Sens!$M$3723+Sens!$M$3724+Sens!$M$3790-Sens!$M$3791</f>
        <v>0</v>
      </c>
      <c r="N3794" s="41" t="n">
        <f aca="false">Sens!$N$3723+Sens!$N$3724+Sens!$N$3790-Sens!$N$3791</f>
        <v>0</v>
      </c>
      <c r="O3794" s="41" t="n">
        <f aca="false">Sens!$O$3723+Sens!$O$3724+Sens!$O$3790-Sens!$O$3791</f>
        <v>0</v>
      </c>
    </row>
    <row r="3795" customFormat="false" ht="15" hidden="false" customHeight="false" outlineLevel="0" collapsed="false">
      <c r="A3795" s="5" t="s">
        <v>699</v>
      </c>
      <c r="B3795" s="0" t="s">
        <v>52</v>
      </c>
      <c r="G3795" s="13" t="n">
        <f aca="false">Sens!$G$3791/Sens!$D$3791-1</f>
        <v>0.140854504918937</v>
      </c>
      <c r="H3795" s="13" t="n">
        <f aca="false">Sens!$H$3791/Sens!$G$3791-1</f>
        <v>0.152063789793209</v>
      </c>
      <c r="I3795" s="13" t="n">
        <f aca="false">Sens!$I$3791/Sens!$H$3791-1</f>
        <v>0.134273264437417</v>
      </c>
      <c r="J3795" s="13" t="n">
        <f aca="false">Sens!$J$3791/Sens!$I$3791-1</f>
        <v>0.113310421234083</v>
      </c>
      <c r="K3795" s="13" t="n">
        <f aca="false">Sens!$K$3791/Sens!$J$3791-1</f>
        <v>0.0892108343223652</v>
      </c>
      <c r="L3795" s="13" t="n">
        <f aca="false">Sens!$L$3791/Sens!$K$3791-1</f>
        <v>0.076471362444261</v>
      </c>
      <c r="M3795" s="13" t="n">
        <f aca="false">Sens!$M$3791/Sens!$L$3791-1</f>
        <v>0.066250060256672</v>
      </c>
    </row>
    <row r="3796" customFormat="false" ht="17.15" hidden="false" customHeight="false" outlineLevel="0" collapsed="false">
      <c r="A3796" s="0" t="s">
        <v>700</v>
      </c>
      <c r="B3796" s="0" t="s">
        <v>52</v>
      </c>
      <c r="C3796" s="13" t="n">
        <f aca="false">Sens!$C$3790/Sens!$C$3791</f>
        <v>0.168593906504964</v>
      </c>
      <c r="D3796" s="13" t="n">
        <f aca="false">Sens!$D$3790/Sens!$D$3791</f>
        <v>0.179551807444025</v>
      </c>
      <c r="E3796" s="13" t="n">
        <f aca="false">Sens!$E$3790/Sens!$E$3791</f>
        <v>0.208881910369643</v>
      </c>
      <c r="F3796" s="13" t="n">
        <f aca="false">Sens!$F$3790/Sens!$F$3791</f>
        <v>0.199028269699356</v>
      </c>
      <c r="G3796" s="13" t="n">
        <f aca="false">Sens!$G$3790/Sens!$G$3791</f>
        <v>0.203631882529968</v>
      </c>
      <c r="H3796" s="13" t="n">
        <f aca="false">Sens!$H$3790/Sens!$H$3791</f>
        <v>0.234731715958496</v>
      </c>
      <c r="I3796" s="13" t="n">
        <f aca="false">Sens!$I$3790/Sens!$I$3791</f>
        <v>0.262231204480418</v>
      </c>
      <c r="J3796" s="13" t="n">
        <f aca="false">Sens!$J$3790/Sens!$J$3791</f>
        <v>0.284728366013706</v>
      </c>
      <c r="K3796" s="13" t="n">
        <f aca="false">Sens!$K$3790/Sens!$K$3791</f>
        <v>0.300823304959505</v>
      </c>
      <c r="L3796" s="13" t="n">
        <f aca="false">Sens!$L$3790/Sens!$L$3791</f>
        <v>0.308263164529735</v>
      </c>
      <c r="M3796" s="13" t="n">
        <f aca="false">Sens!$M$3790/Sens!$M$3791</f>
        <v>0.308856517936036</v>
      </c>
      <c r="N3796" s="13" t="n">
        <f aca="false">Sens!$N$3790/Sens!$N$3791</f>
        <v>0.185979484737251</v>
      </c>
      <c r="O3796" s="13" t="n">
        <f aca="false">Sens!$O$3790/Sens!$O$3791</f>
        <v>0.174270432341096</v>
      </c>
    </row>
    <row r="3797" customFormat="false" ht="17.15" hidden="false" customHeight="false" outlineLevel="0" collapsed="false">
      <c r="A3797" s="0" t="s">
        <v>701</v>
      </c>
      <c r="B3797" s="0" t="s">
        <v>52</v>
      </c>
      <c r="C3797" s="13" t="n">
        <f aca="false">Sens!$C$3788/Sens!$C$3790</f>
        <v>0.0215795060896058</v>
      </c>
      <c r="D3797" s="13" t="n">
        <f aca="false">Sens!$D$3788/Sens!$D$3790</f>
        <v>0.0676152269462122</v>
      </c>
      <c r="E3797" s="13" t="n">
        <f aca="false">Sens!$E$3788/Sens!$E$3790</f>
        <v>0.106620641395783</v>
      </c>
      <c r="F3797" s="13" t="n">
        <f aca="false">Sens!$F$3788/Sens!$F$3790</f>
        <v>0.172523487401099</v>
      </c>
      <c r="G3797" s="13" t="n">
        <f aca="false">Sens!$G$3788/Sens!$G$3790</f>
        <v>0.140939911795589</v>
      </c>
      <c r="H3797" s="13" t="n">
        <f aca="false">Sens!$H$3788/Sens!$H$3790</f>
        <v>0.272018642937714</v>
      </c>
      <c r="I3797" s="13" t="n">
        <f aca="false">Sens!$I$3788/Sens!$I$3790</f>
        <v>0.362159512436497</v>
      </c>
      <c r="J3797" s="13" t="n">
        <f aca="false">Sens!$J$3788/Sens!$J$3790</f>
        <v>0.422151735934609</v>
      </c>
      <c r="K3797" s="13" t="n">
        <f aca="false">Sens!$K$3788/Sens!$K$3790</f>
        <v>0.45769342068485</v>
      </c>
      <c r="L3797" s="13" t="n">
        <f aca="false">Sens!$L$3788/Sens!$L$3790</f>
        <v>0.469047103913472</v>
      </c>
      <c r="M3797" s="13" t="n">
        <f aca="false">Sens!$M$3788/Sens!$M$3790</f>
        <v>0.463233328258093</v>
      </c>
      <c r="N3797" s="13" t="n">
        <f aca="false">Sens!$N$3788/Sens!$N$3790</f>
        <v>0.0506537999838362</v>
      </c>
      <c r="O3797" s="13" t="n">
        <f aca="false">Sens!$O$3788/Sens!$O$3790</f>
        <v>0.0824881615167056</v>
      </c>
    </row>
    <row r="3800" customFormat="false" ht="19.4" hidden="false" customHeight="false" outlineLevel="0" collapsed="false">
      <c r="A3800" s="31" t="s">
        <v>1212</v>
      </c>
    </row>
    <row r="3801" customFormat="false" ht="17.15" hidden="false" customHeight="false" outlineLevel="0" collapsed="false">
      <c r="A3801" s="6" t="s">
        <v>16</v>
      </c>
      <c r="B3801" s="6" t="s">
        <v>17</v>
      </c>
      <c r="C3801" s="20" t="s">
        <v>497</v>
      </c>
      <c r="D3801" s="20" t="s">
        <v>498</v>
      </c>
      <c r="E3801" s="20" t="s">
        <v>580</v>
      </c>
      <c r="F3801" s="20" t="s">
        <v>581</v>
      </c>
      <c r="G3801" s="20" t="s">
        <v>582</v>
      </c>
      <c r="H3801" s="20" t="s">
        <v>583</v>
      </c>
      <c r="I3801" s="20" t="s">
        <v>584</v>
      </c>
      <c r="J3801" s="20" t="s">
        <v>585</v>
      </c>
      <c r="K3801" s="20" t="s">
        <v>586</v>
      </c>
      <c r="L3801" s="20" t="s">
        <v>587</v>
      </c>
      <c r="M3801" s="20" t="s">
        <v>588</v>
      </c>
      <c r="N3801" s="20" t="s">
        <v>589</v>
      </c>
      <c r="O3801" s="20" t="s">
        <v>590</v>
      </c>
      <c r="P3801" s="6" t="s">
        <v>23</v>
      </c>
      <c r="R3801" s="20" t="n">
        <v>2023</v>
      </c>
      <c r="S3801" s="20" t="n">
        <v>2024</v>
      </c>
      <c r="T3801" s="20" t="n">
        <v>2025</v>
      </c>
      <c r="U3801" s="20" t="n">
        <v>2026</v>
      </c>
      <c r="V3801" s="20" t="n">
        <v>2027</v>
      </c>
      <c r="W3801" s="20" t="n">
        <v>2028</v>
      </c>
      <c r="X3801" s="20" t="n">
        <v>2029</v>
      </c>
      <c r="Y3801" s="20" t="n">
        <v>2030</v>
      </c>
      <c r="Z3801" s="20" t="n">
        <v>2031</v>
      </c>
      <c r="AA3801" s="20" t="n">
        <v>2032</v>
      </c>
    </row>
    <row r="3802" customFormat="false" ht="17.15" hidden="false" customHeight="false" outlineLevel="0" collapsed="false">
      <c r="A3802" s="1" t="s">
        <v>716</v>
      </c>
    </row>
    <row r="3803" customFormat="false" ht="15" hidden="false" customHeight="false" outlineLevel="0" collapsed="false">
      <c r="A3803" s="0" t="s">
        <v>519</v>
      </c>
      <c r="B3803" s="0" t="s">
        <v>86</v>
      </c>
      <c r="C3803" s="38" t="n">
        <f aca="false">Sens!$C$3708</f>
        <v>247.029</v>
      </c>
      <c r="D3803" s="38" t="n">
        <f aca="false">Sens!$D$3708</f>
        <v>269.287</v>
      </c>
      <c r="E3803" s="38" t="n">
        <f aca="false">Sens!$E$3708</f>
        <v>134.686</v>
      </c>
      <c r="F3803" s="38" t="n">
        <f aca="false">Sens!$F$3708</f>
        <v>158.293876822267</v>
      </c>
      <c r="G3803" s="38" t="n">
        <f aca="false">Sens!$G$3708</f>
        <v>292.979876822267</v>
      </c>
      <c r="H3803" s="38" t="n">
        <f aca="false">Sens!$H$3708</f>
        <v>318.184543087396</v>
      </c>
      <c r="I3803" s="38" t="n">
        <f aca="false">Sens!$I$3708</f>
        <v>341.736278761793</v>
      </c>
      <c r="J3803" s="38" t="n">
        <f aca="false">Sens!$J$3708</f>
        <v>362.927192787048</v>
      </c>
      <c r="K3803" s="38" t="n">
        <f aca="false">Sens!$K$3708</f>
        <v>381.0735524264</v>
      </c>
      <c r="L3803" s="38" t="n">
        <f aca="false">Sens!$L$3708</f>
        <v>400.12723004772</v>
      </c>
      <c r="M3803" s="38" t="n">
        <f aca="false">Sens!$M$3708</f>
        <v>420.133591550106</v>
      </c>
      <c r="N3803" s="38" t="n">
        <f aca="false">Sens!$N$3708</f>
        <v>118.892</v>
      </c>
      <c r="O3803" s="38" t="n">
        <f aca="false">Sens!$O$3708</f>
        <v>150.395</v>
      </c>
    </row>
    <row r="3804" customFormat="false" ht="15" hidden="false" customHeight="false" outlineLevel="0" collapsed="false">
      <c r="A3804" s="0" t="s">
        <v>520</v>
      </c>
      <c r="B3804" s="0" t="s">
        <v>86</v>
      </c>
      <c r="C3804" s="38" t="n">
        <f aca="false">Sens!$C$3710</f>
        <v>21.215</v>
      </c>
      <c r="D3804" s="38" t="n">
        <f aca="false">Sens!$D$3710</f>
        <v>22.561</v>
      </c>
      <c r="E3804" s="38" t="n">
        <f aca="false">Sens!$E$3710</f>
        <v>11.579</v>
      </c>
      <c r="F3804" s="38" t="n">
        <f aca="false">Sens!$F$3710</f>
        <v>11.5938724610325</v>
      </c>
      <c r="G3804" s="38" t="n">
        <f aca="false">Sens!$G$3710</f>
        <v>23.1728724610325</v>
      </c>
      <c r="H3804" s="38" t="n">
        <f aca="false">Sens!$H$3710</f>
        <v>24.353392759506</v>
      </c>
      <c r="I3804" s="38" t="n">
        <f aca="false">Sens!$I$3710</f>
        <v>25.4240338872015</v>
      </c>
      <c r="J3804" s="38" t="n">
        <f aca="false">Sens!$J$3710</f>
        <v>26.3642491017174</v>
      </c>
      <c r="K3804" s="38" t="n">
        <f aca="false">Sens!$K$3710</f>
        <v>27.155176574769</v>
      </c>
      <c r="L3804" s="38" t="n">
        <f aca="false">Sens!$L$3710</f>
        <v>27.969831872012</v>
      </c>
      <c r="M3804" s="38" t="n">
        <f aca="false">Sens!$M$3710</f>
        <v>28.8089268281724</v>
      </c>
      <c r="N3804" s="38" t="n">
        <f aca="false">Sens!$N$3710</f>
        <v>11.128</v>
      </c>
      <c r="O3804" s="38" t="n">
        <f aca="false">Sens!$O$3710</f>
        <v>11.433</v>
      </c>
    </row>
    <row r="3805" customFormat="false" ht="15" hidden="false" customHeight="false" outlineLevel="0" collapsed="false">
      <c r="A3805" s="0" t="s">
        <v>521</v>
      </c>
      <c r="B3805" s="0" t="s">
        <v>86</v>
      </c>
      <c r="C3805" s="38" t="n">
        <f aca="false">Sens!$C$3712</f>
        <v>156.146</v>
      </c>
      <c r="D3805" s="38" t="n">
        <f aca="false">Sens!$D$3712</f>
        <v>172.162</v>
      </c>
      <c r="E3805" s="38" t="n">
        <f aca="false">Sens!$E$3712</f>
        <v>88.358</v>
      </c>
      <c r="F3805" s="38" t="n">
        <f aca="false">Sens!$F$3712</f>
        <v>102.004388260171</v>
      </c>
      <c r="G3805" s="38" t="n">
        <f aca="false">Sens!$G$3712</f>
        <v>190.362388260171</v>
      </c>
      <c r="H3805" s="38" t="n">
        <f aca="false">Sens!$H$3712</f>
        <v>210.343106588311</v>
      </c>
      <c r="I3805" s="38" t="n">
        <f aca="false">Sens!$I$3712</f>
        <v>229.969728494648</v>
      </c>
      <c r="J3805" s="38" t="n">
        <f aca="false">Sens!$J$3712</f>
        <v>248.747636972598</v>
      </c>
      <c r="K3805" s="38" t="n">
        <f aca="false">Sens!$K$3712</f>
        <v>266.15997156068</v>
      </c>
      <c r="L3805" s="38" t="n">
        <f aca="false">Sens!$L$3712</f>
        <v>284.791169569927</v>
      </c>
      <c r="M3805" s="38" t="n">
        <f aca="false">Sens!$M$3712</f>
        <v>304.726551439822</v>
      </c>
      <c r="N3805" s="38" t="n">
        <f aca="false">Sens!$N$3712</f>
        <v>76.86</v>
      </c>
      <c r="O3805" s="38" t="n">
        <f aca="false">Sens!$O$3712</f>
        <v>95.302</v>
      </c>
    </row>
    <row r="3806" customFormat="false" ht="15" hidden="false" customHeight="false" outlineLevel="0" collapsed="false">
      <c r="A3806" s="0" t="s">
        <v>522</v>
      </c>
      <c r="B3806" s="0" t="s">
        <v>86</v>
      </c>
      <c r="C3806" s="38" t="n">
        <f aca="false">Sens!$C$3714</f>
        <v>56.214</v>
      </c>
      <c r="D3806" s="38" t="n">
        <f aca="false">Sens!$D$3714</f>
        <v>68.635</v>
      </c>
      <c r="E3806" s="38" t="n">
        <f aca="false">Sens!$E$3714</f>
        <v>37.052</v>
      </c>
      <c r="F3806" s="38" t="n">
        <f aca="false">Sens!$F$3714</f>
        <v>46.1572219944148</v>
      </c>
      <c r="G3806" s="38" t="n">
        <f aca="false">Sens!$G$3714</f>
        <v>83.2092219944148</v>
      </c>
      <c r="H3806" s="38" t="n">
        <f aca="false">Sens!$H$3714</f>
        <v>99.8969223878976</v>
      </c>
      <c r="I3806" s="38" t="n">
        <f aca="false">Sens!$I$3714</f>
        <v>116.583111095496</v>
      </c>
      <c r="J3806" s="38" t="n">
        <f aca="false">Sens!$J$3714</f>
        <v>132.148941941952</v>
      </c>
      <c r="K3806" s="38" t="n">
        <f aca="false">Sens!$K$3714</f>
        <v>145.363836136147</v>
      </c>
      <c r="L3806" s="38" t="n">
        <f aca="false">Sens!$L$3714</f>
        <v>159.900219749762</v>
      </c>
      <c r="M3806" s="38" t="n">
        <f aca="false">Sens!$M$3714</f>
        <v>175.890241724738</v>
      </c>
      <c r="N3806" s="38" t="n">
        <f aca="false">Sens!$N$3714</f>
        <v>29.615</v>
      </c>
      <c r="O3806" s="38" t="n">
        <f aca="false">Sens!$O$3714</f>
        <v>39.02</v>
      </c>
    </row>
    <row r="3807" customFormat="false" ht="15" hidden="false" customHeight="false" outlineLevel="0" collapsed="false">
      <c r="A3807" s="0" t="s">
        <v>523</v>
      </c>
      <c r="B3807" s="0" t="s">
        <v>86</v>
      </c>
      <c r="C3807" s="38" t="n">
        <f aca="false">Sens!$C$3716</f>
        <v>44.374</v>
      </c>
      <c r="D3807" s="38" t="n">
        <f aca="false">Sens!$D$3716</f>
        <v>49.619</v>
      </c>
      <c r="E3807" s="38" t="n">
        <f aca="false">Sens!$E$3716</f>
        <v>27.157</v>
      </c>
      <c r="F3807" s="38" t="n">
        <f aca="false">Sens!$F$3716</f>
        <v>27.7764165988154</v>
      </c>
      <c r="G3807" s="38" t="n">
        <f aca="false">Sens!$G$3716</f>
        <v>54.9334165988154</v>
      </c>
      <c r="H3807" s="38" t="n">
        <f aca="false">Sens!$H$3716</f>
        <v>61.1564112561829</v>
      </c>
      <c r="I3807" s="38" t="n">
        <f aca="false">Sens!$I$3716</f>
        <v>67.2020282103945</v>
      </c>
      <c r="J3807" s="38" t="n">
        <f aca="false">Sens!$J$3716</f>
        <v>72.8757274028885</v>
      </c>
      <c r="K3807" s="38" t="n">
        <f aca="false">Sens!$K$3716</f>
        <v>77.9770283210907</v>
      </c>
      <c r="L3807" s="38" t="n">
        <f aca="false">Sens!$L$3716</f>
        <v>83.4354203035671</v>
      </c>
      <c r="M3807" s="38" t="n">
        <f aca="false">Sens!$M$3716</f>
        <v>89.2758997248168</v>
      </c>
      <c r="N3807" s="38" t="n">
        <f aca="false">Sens!$N$3716</f>
        <v>23.923</v>
      </c>
      <c r="O3807" s="38" t="n">
        <f aca="false">Sens!$O$3716</f>
        <v>25.696</v>
      </c>
    </row>
    <row r="3808" customFormat="false" ht="15" hidden="false" customHeight="false" outlineLevel="0" collapsed="false">
      <c r="A3808" s="0" t="s">
        <v>524</v>
      </c>
      <c r="B3808" s="0" t="s">
        <v>86</v>
      </c>
      <c r="C3808" s="38" t="n">
        <f aca="false">Sens!$C$3718</f>
        <v>5.425</v>
      </c>
      <c r="D3808" s="38" t="n">
        <f aca="false">Sens!$D$3718</f>
        <v>5.935</v>
      </c>
      <c r="E3808" s="38" t="n">
        <f aca="false">Sens!$E$3718</f>
        <v>3.474</v>
      </c>
      <c r="F3808" s="38" t="n">
        <f aca="false">Sens!$F$3718</f>
        <v>3.22246550883619</v>
      </c>
      <c r="G3808" s="38" t="n">
        <f aca="false">Sens!$G$3718</f>
        <v>6.69646550883619</v>
      </c>
      <c r="H3808" s="38" t="n">
        <f aca="false">Sens!$H$3718</f>
        <v>7.16251344209196</v>
      </c>
      <c r="I3808" s="38" t="n">
        <f aca="false">Sens!$I$3718</f>
        <v>7.61421070299826</v>
      </c>
      <c r="J3808" s="38" t="n">
        <f aca="false">Sens!$J$3718</f>
        <v>8.04465753523932</v>
      </c>
      <c r="K3808" s="38" t="n">
        <f aca="false">Sens!$K$3718</f>
        <v>8.44689041200128</v>
      </c>
      <c r="L3808" s="38" t="n">
        <f aca="false">Sens!$L$3718</f>
        <v>8.86923493260135</v>
      </c>
      <c r="M3808" s="38" t="n">
        <f aca="false">Sens!$M$3718</f>
        <v>9.31269667923142</v>
      </c>
      <c r="N3808" s="38" t="n">
        <f aca="false">Sens!$N$3718</f>
        <v>2.811</v>
      </c>
      <c r="O3808" s="38" t="n">
        <f aca="false">Sens!$O$3718</f>
        <v>3.124</v>
      </c>
    </row>
    <row r="3809" customFormat="false" ht="17.15" hidden="false" customHeight="false" outlineLevel="0" collapsed="false">
      <c r="A3809" s="0" t="s">
        <v>717</v>
      </c>
      <c r="B3809" s="0" t="s">
        <v>86</v>
      </c>
      <c r="C3809" s="38" t="n">
        <f aca="false">Sens!$C$3790</f>
        <v>107.556</v>
      </c>
      <c r="D3809" s="38" t="n">
        <f aca="false">Sens!$D$3790</f>
        <v>128.725</v>
      </c>
      <c r="E3809" s="38" t="n">
        <f aca="false">Sens!$E$3790</f>
        <v>79.819</v>
      </c>
      <c r="F3809" s="38" t="n">
        <f aca="false">Sens!$F$3790</f>
        <v>86.7327334389669</v>
      </c>
      <c r="G3809" s="38" t="n">
        <f aca="false">Sens!$G$3790</f>
        <v>166.551733438967</v>
      </c>
      <c r="H3809" s="38" t="n">
        <f aca="false">Sens!$H$3790</f>
        <v>221.182967828978</v>
      </c>
      <c r="I3809" s="38" t="n">
        <f aca="false">Sens!$I$3790</f>
        <v>280.27345865789</v>
      </c>
      <c r="J3809" s="38" t="n">
        <f aca="false">Sens!$J$3790</f>
        <v>338.800945197185</v>
      </c>
      <c r="K3809" s="38" t="n">
        <f aca="false">Sens!$K$3790</f>
        <v>389.88570147276</v>
      </c>
      <c r="L3809" s="38" t="n">
        <f aca="false">Sens!$L$3790</f>
        <v>430.080689379143</v>
      </c>
      <c r="M3809" s="38" t="n">
        <f aca="false">Sens!$M$3790</f>
        <v>459.456235951751</v>
      </c>
      <c r="N3809" s="38" t="n">
        <f aca="false">Sens!$N$3790</f>
        <v>60.14</v>
      </c>
      <c r="O3809" s="38" t="n">
        <f aca="false">Sens!$O$3790</f>
        <v>68.585</v>
      </c>
    </row>
    <row r="3810" customFormat="false" ht="15" hidden="false" customHeight="false" outlineLevel="0" collapsed="false">
      <c r="A3810" s="1" t="s">
        <v>512</v>
      </c>
      <c r="B3810" s="8" t="s">
        <v>86</v>
      </c>
      <c r="C3810" s="38" t="n">
        <f aca="false">Sens!$C$3723</f>
        <v>387.497</v>
      </c>
      <c r="D3810" s="38" t="n">
        <f aca="false">Sens!$D$3723</f>
        <v>426.305</v>
      </c>
      <c r="E3810" s="38" t="n">
        <f aca="false">Sens!$E$3723</f>
        <v>220.32</v>
      </c>
      <c r="F3810" s="38" t="n">
        <f aca="false">Sens!$F$3723</f>
        <v>250.639773480586</v>
      </c>
      <c r="G3810" s="38" t="n">
        <f aca="false">Sens!$G$3723</f>
        <v>470.959773480586</v>
      </c>
      <c r="H3810" s="38" t="n">
        <f aca="false">Sens!$H$3723</f>
        <v>521.386990416437</v>
      </c>
      <c r="I3810" s="38" t="n">
        <f aca="false">Sens!$I$3723</f>
        <v>570.143862887555</v>
      </c>
      <c r="J3810" s="38" t="n">
        <f aca="false">Sens!$J$3723</f>
        <v>615.391435791933</v>
      </c>
      <c r="K3810" s="38" t="n">
        <f aca="false">Sens!$K$3723</f>
        <v>655.208227561543</v>
      </c>
      <c r="L3810" s="38" t="n">
        <f aca="false">Sens!$L$3723</f>
        <v>697.807739249767</v>
      </c>
      <c r="M3810" s="38" t="n">
        <f aca="false">Sens!$M$3723</f>
        <v>743.399328463592</v>
      </c>
      <c r="N3810" s="38" t="n">
        <f aca="false">Sens!$N$3723</f>
        <v>192.955</v>
      </c>
      <c r="O3810" s="38" t="n">
        <f aca="false">Sens!$O$3723</f>
        <v>233.35</v>
      </c>
    </row>
    <row r="3811" customFormat="false" ht="15" hidden="false" customHeight="false" outlineLevel="0" collapsed="false">
      <c r="A3811" s="1" t="s">
        <v>515</v>
      </c>
      <c r="B3811" s="8" t="s">
        <v>86</v>
      </c>
      <c r="C3811" s="38" t="n">
        <f aca="false">Sens!$C$3724</f>
        <v>142.906</v>
      </c>
      <c r="D3811" s="38" t="n">
        <f aca="false">Sens!$D$3724</f>
        <v>161.894</v>
      </c>
      <c r="E3811" s="38" t="n">
        <f aca="false">Sens!$E$3724</f>
        <v>81.986</v>
      </c>
      <c r="F3811" s="38" t="n">
        <f aca="false">Sens!$F$3724</f>
        <v>98.408468164951</v>
      </c>
      <c r="G3811" s="38" t="n">
        <f aca="false">Sens!$G$3724</f>
        <v>180.394468164951</v>
      </c>
      <c r="H3811" s="38" t="n">
        <f aca="false">Sens!$H$3724</f>
        <v>199.709899104949</v>
      </c>
      <c r="I3811" s="38" t="n">
        <f aca="false">Sens!$I$3724</f>
        <v>218.385528264976</v>
      </c>
      <c r="J3811" s="38" t="n">
        <f aca="false">Sens!$J$3724</f>
        <v>235.71696994951</v>
      </c>
      <c r="K3811" s="38" t="n">
        <f aca="false">Sens!$K$3724</f>
        <v>250.968227869545</v>
      </c>
      <c r="L3811" s="38" t="n">
        <f aca="false">Sens!$L$3724</f>
        <v>267.285367225822</v>
      </c>
      <c r="M3811" s="38" t="n">
        <f aca="false">Sens!$M$3724</f>
        <v>284.748579483295</v>
      </c>
      <c r="N3811" s="38" t="n">
        <f aca="false">Sens!$N$3724</f>
        <v>70.274</v>
      </c>
      <c r="O3811" s="38" t="n">
        <f aca="false">Sens!$O$3724</f>
        <v>91.62</v>
      </c>
    </row>
    <row r="3812" customFormat="false" ht="15" hidden="false" customHeight="false" outlineLevel="0" collapsed="false">
      <c r="A3812" s="1" t="s">
        <v>516</v>
      </c>
      <c r="B3812" s="8" t="s">
        <v>86</v>
      </c>
      <c r="C3812" s="38" t="n">
        <f aca="false">Sens!$C$3790</f>
        <v>107.556</v>
      </c>
      <c r="D3812" s="38" t="n">
        <f aca="false">Sens!$D$3790</f>
        <v>128.725</v>
      </c>
      <c r="E3812" s="38" t="n">
        <f aca="false">Sens!$E$3790</f>
        <v>79.819</v>
      </c>
      <c r="F3812" s="38" t="n">
        <f aca="false">Sens!$F$3790</f>
        <v>86.7327334389669</v>
      </c>
      <c r="G3812" s="38" t="n">
        <f aca="false">Sens!$G$3790</f>
        <v>166.551733438967</v>
      </c>
      <c r="H3812" s="38" t="n">
        <f aca="false">Sens!$H$3790</f>
        <v>221.182967828978</v>
      </c>
      <c r="I3812" s="38" t="n">
        <f aca="false">Sens!$I$3790</f>
        <v>280.27345865789</v>
      </c>
      <c r="J3812" s="38" t="n">
        <f aca="false">Sens!$J$3790</f>
        <v>338.800945197185</v>
      </c>
      <c r="K3812" s="38" t="n">
        <f aca="false">Sens!$K$3790</f>
        <v>389.88570147276</v>
      </c>
      <c r="L3812" s="38" t="n">
        <f aca="false">Sens!$L$3790</f>
        <v>430.080689379143</v>
      </c>
      <c r="M3812" s="38" t="n">
        <f aca="false">Sens!$M$3790</f>
        <v>459.456235951751</v>
      </c>
      <c r="N3812" s="38" t="n">
        <f aca="false">Sens!$N$3790</f>
        <v>60.14</v>
      </c>
      <c r="O3812" s="38" t="n">
        <f aca="false">Sens!$O$3790</f>
        <v>68.585</v>
      </c>
    </row>
    <row r="3813" customFormat="false" ht="17.15" hidden="false" customHeight="false" outlineLevel="0" collapsed="false">
      <c r="A3813" s="0" t="s">
        <v>691</v>
      </c>
      <c r="B3813" s="0" t="s">
        <v>86</v>
      </c>
      <c r="C3813" s="38" t="n">
        <f aca="false">Sens!$C$3788</f>
        <v>2.32100535697364</v>
      </c>
      <c r="D3813" s="38" t="n">
        <f aca="false">Sens!$D$3788</f>
        <v>8.70377008865116</v>
      </c>
      <c r="E3813" s="38" t="n">
        <f aca="false">Sens!$E$3788</f>
        <v>8.51035297557002</v>
      </c>
      <c r="F3813" s="38" t="n">
        <f aca="false">Sens!$F$3788</f>
        <v>14.9634336447205</v>
      </c>
      <c r="G3813" s="38" t="n">
        <f aca="false">Sens!$G$3788</f>
        <v>23.4737866202905</v>
      </c>
      <c r="H3813" s="38" t="n">
        <f aca="false">Sens!$H$3788</f>
        <v>60.1658907497746</v>
      </c>
      <c r="I3813" s="38" t="n">
        <f aca="false">Sens!$I$3788</f>
        <v>101.503699136432</v>
      </c>
      <c r="J3813" s="38" t="n">
        <f aca="false">Sens!$J$3788</f>
        <v>143.025407151278</v>
      </c>
      <c r="K3813" s="38" t="n">
        <f aca="false">Sens!$K$3788</f>
        <v>178.44812038318</v>
      </c>
      <c r="L3813" s="38" t="n">
        <f aca="false">Sens!$L$3788</f>
        <v>201.728101802396</v>
      </c>
      <c r="M3813" s="38" t="n">
        <f aca="false">Sens!$M$3788</f>
        <v>212.835441368865</v>
      </c>
      <c r="N3813" s="38" t="n">
        <f aca="false">Sens!$N$3788</f>
        <v>3.04631953102791</v>
      </c>
      <c r="O3813" s="38" t="n">
        <f aca="false">Sens!$O$3788</f>
        <v>5.65745055762326</v>
      </c>
    </row>
    <row r="3814" customFormat="false" ht="17.15" hidden="false" customHeight="false" outlineLevel="0" collapsed="false">
      <c r="A3814" s="0" t="s">
        <v>693</v>
      </c>
      <c r="B3814" s="0" t="s">
        <v>86</v>
      </c>
      <c r="C3814" s="38" t="n">
        <f aca="false">Sens!$C$3789</f>
        <v>105.234994643026</v>
      </c>
      <c r="D3814" s="38" t="n">
        <f aca="false">Sens!$D$3789</f>
        <v>120.021229911349</v>
      </c>
      <c r="E3814" s="38" t="n">
        <f aca="false">Sens!$E$3789</f>
        <v>71.30864702443</v>
      </c>
      <c r="F3814" s="38" t="n">
        <f aca="false">Sens!$F$3789</f>
        <v>71.7692997942464</v>
      </c>
      <c r="G3814" s="38" t="n">
        <f aca="false">Sens!$G$3789</f>
        <v>143.077946818676</v>
      </c>
      <c r="H3814" s="38" t="n">
        <f aca="false">Sens!$H$3789</f>
        <v>161.017077079203</v>
      </c>
      <c r="I3814" s="38" t="n">
        <f aca="false">Sens!$I$3789</f>
        <v>178.769759521457</v>
      </c>
      <c r="J3814" s="38" t="n">
        <f aca="false">Sens!$J$3789</f>
        <v>195.775538045907</v>
      </c>
      <c r="K3814" s="38" t="n">
        <f aca="false">Sens!$K$3789</f>
        <v>211.43758108958</v>
      </c>
      <c r="L3814" s="38" t="n">
        <f aca="false">Sens!$L$3789</f>
        <v>228.352587576746</v>
      </c>
      <c r="M3814" s="38" t="n">
        <f aca="false">Sens!$M$3789</f>
        <v>246.620794582886</v>
      </c>
      <c r="N3814" s="38" t="n">
        <f aca="false">Sens!$N$3789</f>
        <v>57.0936804689721</v>
      </c>
      <c r="O3814" s="38" t="n">
        <f aca="false">Sens!$O$3789</f>
        <v>62.9275494423768</v>
      </c>
    </row>
    <row r="3815" customFormat="false" ht="15" hidden="false" customHeight="false" outlineLevel="0" collapsed="false">
      <c r="A3815" s="3" t="s">
        <v>517</v>
      </c>
      <c r="B3815" s="8" t="s">
        <v>86</v>
      </c>
      <c r="C3815" s="38" t="n">
        <f aca="false">Sens!$C$3791</f>
        <v>637.959</v>
      </c>
      <c r="D3815" s="38" t="n">
        <f aca="false">Sens!$D$3791</f>
        <v>716.924</v>
      </c>
      <c r="E3815" s="38" t="n">
        <f aca="false">Sens!$E$3791</f>
        <v>382.125</v>
      </c>
      <c r="F3815" s="38" t="n">
        <f aca="false">Sens!$F$3791</f>
        <v>435.780975084504</v>
      </c>
      <c r="G3815" s="38" t="n">
        <f aca="false">Sens!$G$3791</f>
        <v>817.905975084504</v>
      </c>
      <c r="H3815" s="38" t="n">
        <f aca="false">Sens!$H$3791</f>
        <v>942.279857350364</v>
      </c>
      <c r="I3815" s="38" t="n">
        <f aca="false">Sens!$I$3791</f>
        <v>1068.80284981042</v>
      </c>
      <c r="J3815" s="38" t="n">
        <f aca="false">Sens!$J$3791</f>
        <v>1189.90935093863</v>
      </c>
      <c r="K3815" s="38" t="n">
        <f aca="false">Sens!$K$3791</f>
        <v>1296.06215690385</v>
      </c>
      <c r="L3815" s="38" t="n">
        <f aca="false">Sens!$L$3791</f>
        <v>1395.17379585473</v>
      </c>
      <c r="M3815" s="38" t="n">
        <f aca="false">Sens!$M$3791</f>
        <v>1487.60414389864</v>
      </c>
      <c r="N3815" s="38" t="n">
        <f aca="false">Sens!$N$3791</f>
        <v>323.369</v>
      </c>
      <c r="O3815" s="38" t="n">
        <f aca="false">Sens!$O$3791</f>
        <v>393.555</v>
      </c>
    </row>
    <row r="3816" customFormat="false" ht="17.15" hidden="false" customHeight="false" outlineLevel="0" collapsed="false">
      <c r="A3816" s="24" t="s">
        <v>703</v>
      </c>
      <c r="B3816" s="25" t="s">
        <v>86</v>
      </c>
      <c r="C3816" s="41" t="n">
        <f aca="false">Sens!$C$3803+Sens!$C$3804+Sens!$C$3805+Sens!$C$3806+Sens!$C$3807+Sens!$C$3808-(Sens!$C$3810+Sens!$C$3811)</f>
        <v>0</v>
      </c>
      <c r="D3816" s="41" t="n">
        <f aca="false">Sens!$D$3803+Sens!$D$3804+Sens!$D$3805+Sens!$D$3806+Sens!$D$3807+Sens!$D$3808-(Sens!$D$3810+Sens!$D$3811)</f>
        <v>0</v>
      </c>
      <c r="E3816" s="41" t="n">
        <f aca="false">Sens!$E$3803+Sens!$E$3804+Sens!$E$3805+Sens!$E$3806+Sens!$E$3807+Sens!$E$3808-(Sens!$E$3810+Sens!$E$3811)</f>
        <v>0</v>
      </c>
      <c r="F3816" s="41" t="n">
        <f aca="false">Sens!$F$3803+Sens!$F$3804+Sens!$F$3805+Sens!$F$3806+Sens!$F$3807+Sens!$F$3808-(Sens!$F$3810+Sens!$F$3811)</f>
        <v>0</v>
      </c>
      <c r="G3816" s="41" t="n">
        <f aca="false">Sens!$G$3803+Sens!$G$3804+Sens!$G$3805+Sens!$G$3806+Sens!$G$3807+Sens!$G$3808-(Sens!$G$3810+Sens!$G$3811)</f>
        <v>0</v>
      </c>
      <c r="H3816" s="41" t="n">
        <f aca="false">Sens!$H$3803+Sens!$H$3804+Sens!$H$3805+Sens!$H$3806+Sens!$H$3807+Sens!$H$3808-(Sens!$H$3810+Sens!$H$3811)</f>
        <v>0</v>
      </c>
      <c r="I3816" s="41" t="n">
        <f aca="false">Sens!$I$3803+Sens!$I$3804+Sens!$I$3805+Sens!$I$3806+Sens!$I$3807+Sens!$I$3808-(Sens!$I$3810+Sens!$I$3811)</f>
        <v>0</v>
      </c>
      <c r="J3816" s="41" t="n">
        <f aca="false">Sens!$J$3803+Sens!$J$3804+Sens!$J$3805+Sens!$J$3806+Sens!$J$3807+Sens!$J$3808-(Sens!$J$3810+Sens!$J$3811)</f>
        <v>0</v>
      </c>
      <c r="K3816" s="41" t="n">
        <f aca="false">Sens!$K$3803+Sens!$K$3804+Sens!$K$3805+Sens!$K$3806+Sens!$K$3807+Sens!$K$3808-(Sens!$K$3810+Sens!$K$3811)</f>
        <v>0</v>
      </c>
      <c r="L3816" s="41" t="n">
        <f aca="false">Sens!$L$3803+Sens!$L$3804+Sens!$L$3805+Sens!$L$3806+Sens!$L$3807+Sens!$L$3808-(Sens!$L$3810+Sens!$L$3811)</f>
        <v>0</v>
      </c>
      <c r="M3816" s="41" t="n">
        <f aca="false">Sens!$M$3803+Sens!$M$3804+Sens!$M$3805+Sens!$M$3806+Sens!$M$3807+Sens!$M$3808-(Sens!$M$3810+Sens!$M$3811)</f>
        <v>0</v>
      </c>
      <c r="N3816" s="41" t="n">
        <f aca="false">Sens!$N$3803+Sens!$N$3804+Sens!$N$3805+Sens!$N$3806+Sens!$N$3807+Sens!$N$3808-(Sens!$N$3810+Sens!$N$3811)</f>
        <v>0</v>
      </c>
      <c r="O3816" s="41" t="n">
        <f aca="false">Sens!$O$3803+Sens!$O$3804+Sens!$O$3805+Sens!$O$3806+Sens!$O$3807+Sens!$O$3808-(Sens!$O$3810+Sens!$O$3811)</f>
        <v>0</v>
      </c>
    </row>
    <row r="3817" customFormat="false" ht="17.15" hidden="false" customHeight="false" outlineLevel="0" collapsed="false">
      <c r="A3817" s="24" t="s">
        <v>704</v>
      </c>
      <c r="B3817" s="25" t="s">
        <v>86</v>
      </c>
      <c r="C3817" s="41" t="n">
        <f aca="false">Sens!$C$3813+Sens!$C$3814-Sens!$C$3812</f>
        <v>0</v>
      </c>
      <c r="D3817" s="41" t="n">
        <f aca="false">Sens!$D$3813+Sens!$D$3814-Sens!$D$3812</f>
        <v>0</v>
      </c>
      <c r="E3817" s="41" t="n">
        <f aca="false">Sens!$E$3813+Sens!$E$3814-Sens!$E$3812</f>
        <v>0</v>
      </c>
      <c r="F3817" s="41" t="n">
        <f aca="false">Sens!$F$3813+Sens!$F$3814-Sens!$F$3812</f>
        <v>0</v>
      </c>
      <c r="G3817" s="41" t="n">
        <f aca="false">Sens!$G$3813+Sens!$G$3814-Sens!$G$3812</f>
        <v>0</v>
      </c>
      <c r="H3817" s="41" t="n">
        <f aca="false">Sens!$H$3813+Sens!$H$3814-Sens!$H$3812</f>
        <v>0</v>
      </c>
      <c r="I3817" s="41" t="n">
        <f aca="false">Sens!$I$3813+Sens!$I$3814-Sens!$I$3812</f>
        <v>0</v>
      </c>
      <c r="J3817" s="41" t="n">
        <f aca="false">Sens!$J$3813+Sens!$J$3814-Sens!$J$3812</f>
        <v>0</v>
      </c>
      <c r="K3817" s="41" t="n">
        <f aca="false">Sens!$K$3813+Sens!$K$3814-Sens!$K$3812</f>
        <v>0</v>
      </c>
      <c r="L3817" s="41" t="n">
        <f aca="false">Sens!$L$3813+Sens!$L$3814-Sens!$L$3812</f>
        <v>0</v>
      </c>
      <c r="M3817" s="41" t="n">
        <f aca="false">Sens!$M$3813+Sens!$M$3814-Sens!$M$3812</f>
        <v>0</v>
      </c>
      <c r="N3817" s="41" t="n">
        <f aca="false">Sens!$N$3813+Sens!$N$3814-Sens!$N$3812</f>
        <v>0</v>
      </c>
      <c r="O3817" s="41" t="n">
        <f aca="false">Sens!$O$3813+Sens!$O$3814-Sens!$O$3812</f>
        <v>0</v>
      </c>
    </row>
    <row r="3818" customFormat="false" ht="17.15" hidden="false" customHeight="false" outlineLevel="0" collapsed="false">
      <c r="A3818" s="24" t="s">
        <v>763</v>
      </c>
      <c r="B3818" s="25" t="s">
        <v>86</v>
      </c>
      <c r="C3818" s="41" t="n">
        <f aca="false">Sens!$C$3803+Sens!$C$3804+Sens!$C$3805+Sens!$C$3806+Sens!$C$3807+Sens!$C$3808+Sens!$C$3809-Sens!$C$3815</f>
        <v>0</v>
      </c>
      <c r="D3818" s="41" t="n">
        <f aca="false">Sens!$D$3803+Sens!$D$3804+Sens!$D$3805+Sens!$D$3806+Sens!$D$3807+Sens!$D$3808+Sens!$D$3809-Sens!$D$3815</f>
        <v>0</v>
      </c>
      <c r="E3818" s="41" t="n">
        <f aca="false">Sens!$E$3803+Sens!$E$3804+Sens!$E$3805+Sens!$E$3806+Sens!$E$3807+Sens!$E$3808+Sens!$E$3809-Sens!$E$3815</f>
        <v>0</v>
      </c>
      <c r="F3818" s="41" t="n">
        <f aca="false">Sens!$F$3803+Sens!$F$3804+Sens!$F$3805+Sens!$F$3806+Sens!$F$3807+Sens!$F$3808+Sens!$F$3809-Sens!$F$3815</f>
        <v>0</v>
      </c>
      <c r="G3818" s="41" t="n">
        <f aca="false">Sens!$G$3803+Sens!$G$3804+Sens!$G$3805+Sens!$G$3806+Sens!$G$3807+Sens!$G$3808+Sens!$G$3809-Sens!$G$3815</f>
        <v>0</v>
      </c>
      <c r="H3818" s="41" t="n">
        <f aca="false">Sens!$H$3803+Sens!$H$3804+Sens!$H$3805+Sens!$H$3806+Sens!$H$3807+Sens!$H$3808+Sens!$H$3809-Sens!$H$3815</f>
        <v>0</v>
      </c>
      <c r="I3818" s="41" t="n">
        <f aca="false">Sens!$I$3803+Sens!$I$3804+Sens!$I$3805+Sens!$I$3806+Sens!$I$3807+Sens!$I$3808+Sens!$I$3809-Sens!$I$3815</f>
        <v>0</v>
      </c>
      <c r="J3818" s="41" t="n">
        <f aca="false">Sens!$J$3803+Sens!$J$3804+Sens!$J$3805+Sens!$J$3806+Sens!$J$3807+Sens!$J$3808+Sens!$J$3809-Sens!$J$3815</f>
        <v>0</v>
      </c>
      <c r="K3818" s="41" t="n">
        <f aca="false">Sens!$K$3803+Sens!$K$3804+Sens!$K$3805+Sens!$K$3806+Sens!$K$3807+Sens!$K$3808+Sens!$K$3809-Sens!$K$3815</f>
        <v>0</v>
      </c>
      <c r="L3818" s="41" t="n">
        <f aca="false">Sens!$L$3803+Sens!$L$3804+Sens!$L$3805+Sens!$L$3806+Sens!$L$3807+Sens!$L$3808+Sens!$L$3809-Sens!$L$3815</f>
        <v>0</v>
      </c>
      <c r="M3818" s="41" t="n">
        <f aca="false">Sens!$M$3803+Sens!$M$3804+Sens!$M$3805+Sens!$M$3806+Sens!$M$3807+Sens!$M$3808+Sens!$M$3809-Sens!$M$3815</f>
        <v>0</v>
      </c>
      <c r="N3818" s="41" t="n">
        <f aca="false">Sens!$N$3803+Sens!$N$3804+Sens!$N$3805+Sens!$N$3806+Sens!$N$3807+Sens!$N$3808+Sens!$N$3809-Sens!$N$3815</f>
        <v>0</v>
      </c>
      <c r="O3818" s="41" t="n">
        <f aca="false">Sens!$O$3803+Sens!$O$3804+Sens!$O$3805+Sens!$O$3806+Sens!$O$3807+Sens!$O$3808+Sens!$O$3809-Sens!$O$3815</f>
        <v>0</v>
      </c>
    </row>
    <row r="3819" customFormat="false" ht="17.15" hidden="false" customHeight="false" outlineLevel="0" collapsed="false">
      <c r="A3819" s="24" t="s">
        <v>705</v>
      </c>
      <c r="B3819" s="25" t="s">
        <v>86</v>
      </c>
      <c r="C3819" s="41" t="n">
        <f aca="false">Sens!$C$3810+Sens!$C$3811+Sens!$C$3812-Sens!$C$3815</f>
        <v>0</v>
      </c>
      <c r="D3819" s="41" t="n">
        <f aca="false">Sens!$D$3810+Sens!$D$3811+Sens!$D$3812-Sens!$D$3815</f>
        <v>0</v>
      </c>
      <c r="E3819" s="41" t="n">
        <f aca="false">Sens!$E$3810+Sens!$E$3811+Sens!$E$3812-Sens!$E$3815</f>
        <v>0</v>
      </c>
      <c r="F3819" s="41" t="n">
        <f aca="false">Sens!$F$3810+Sens!$F$3811+Sens!$F$3812-Sens!$F$3815</f>
        <v>0</v>
      </c>
      <c r="G3819" s="41" t="n">
        <f aca="false">Sens!$G$3810+Sens!$G$3811+Sens!$G$3812-Sens!$G$3815</f>
        <v>0</v>
      </c>
      <c r="H3819" s="41" t="n">
        <f aca="false">Sens!$H$3810+Sens!$H$3811+Sens!$H$3812-Sens!$H$3815</f>
        <v>0</v>
      </c>
      <c r="I3819" s="41" t="n">
        <f aca="false">Sens!$I$3810+Sens!$I$3811+Sens!$I$3812-Sens!$I$3815</f>
        <v>0</v>
      </c>
      <c r="J3819" s="41" t="n">
        <f aca="false">Sens!$J$3810+Sens!$J$3811+Sens!$J$3812-Sens!$J$3815</f>
        <v>0</v>
      </c>
      <c r="K3819" s="41" t="n">
        <f aca="false">Sens!$K$3810+Sens!$K$3811+Sens!$K$3812-Sens!$K$3815</f>
        <v>0</v>
      </c>
      <c r="L3819" s="41" t="n">
        <f aca="false">Sens!$L$3810+Sens!$L$3811+Sens!$L$3812-Sens!$L$3815</f>
        <v>0</v>
      </c>
      <c r="M3819" s="41" t="n">
        <f aca="false">Sens!$M$3810+Sens!$M$3811+Sens!$M$3812-Sens!$M$3815</f>
        <v>0</v>
      </c>
      <c r="N3819" s="41" t="n">
        <f aca="false">Sens!$N$3810+Sens!$N$3811+Sens!$N$3812-Sens!$N$3815</f>
        <v>0</v>
      </c>
      <c r="O3819" s="41" t="n">
        <f aca="false">Sens!$O$3810+Sens!$O$3811+Sens!$O$3812-Sens!$O$3815</f>
        <v>0</v>
      </c>
    </row>
    <row r="3820" customFormat="false" ht="17.15" hidden="false" customHeight="false" outlineLevel="0" collapsed="false">
      <c r="A3820" s="1" t="s">
        <v>719</v>
      </c>
    </row>
    <row r="3821" customFormat="false" ht="17.15" hidden="false" customHeight="false" outlineLevel="0" collapsed="false">
      <c r="A3821" s="0" t="s">
        <v>720</v>
      </c>
      <c r="B3821" s="0" t="s">
        <v>86</v>
      </c>
      <c r="C3821" s="38" t="n">
        <f aca="false">Sens!$C$3725*m_ad_hi</f>
        <v>24.6409877297074</v>
      </c>
      <c r="D3821" s="38" t="n">
        <f aca="false">Sens!$D$3725*m_ad_hi</f>
        <v>29.8464740759505</v>
      </c>
      <c r="E3821" s="38" t="n">
        <f aca="false">Sens!$E$3725*m_ad_hi</f>
        <v>16.2020534954649</v>
      </c>
      <c r="F3821" s="38" t="n">
        <f aca="false">Sens!$F$3725*m_ad_hi</f>
        <v>19.8863668998308</v>
      </c>
      <c r="G3821" s="38" t="n">
        <f aca="false">Sens!$G$3725*m_ad_hi</f>
        <v>36.0985103064498</v>
      </c>
      <c r="H3821" s="38" t="n">
        <f aca="false">Sens!$H$3725*m_ad_hi</f>
        <v>43.3381059931577</v>
      </c>
      <c r="I3821" s="38" t="n">
        <f aca="false">Sens!$I$3725*m_ad_hi</f>
        <v>50.5770458678395</v>
      </c>
      <c r="J3821" s="38" t="n">
        <f aca="false">Sens!$J$3725*m_ad_hi</f>
        <v>57.3299428637632</v>
      </c>
      <c r="K3821" s="38" t="n">
        <f aca="false">Sens!$K$3725*m_ad_hi</f>
        <v>63.0629371501395</v>
      </c>
      <c r="L3821" s="38" t="n">
        <f aca="false">Sens!$L$3725*m_ad_hi</f>
        <v>69.3692308651534</v>
      </c>
      <c r="M3821" s="38" t="n">
        <f aca="false">Sens!$M$3725*m_ad_hi</f>
        <v>76.3061539516688</v>
      </c>
      <c r="N3821" s="38" t="n">
        <f aca="false">Sens!$N$3725*m_ad_hi</f>
        <v>13.0252266847498</v>
      </c>
      <c r="O3821" s="38" t="n">
        <f aca="false">Sens!$O$3725*m_ad_hi</f>
        <v>16.8113678185679</v>
      </c>
    </row>
    <row r="3822" customFormat="false" ht="17.15" hidden="false" customHeight="false" outlineLevel="0" collapsed="false">
      <c r="A3822" s="0" t="s">
        <v>721</v>
      </c>
      <c r="B3822" s="0" t="s">
        <v>86</v>
      </c>
      <c r="C3822" s="38" t="n">
        <f aca="false">Sens!$C$3723-Sens!$C$3725</f>
        <v>346.428687117154</v>
      </c>
      <c r="D3822" s="38" t="n">
        <f aca="false">Sens!$D$3723-Sens!$D$3725</f>
        <v>376.560876540083</v>
      </c>
      <c r="E3822" s="38" t="n">
        <f aca="false">Sens!$E$3723-Sens!$E$3725</f>
        <v>193.316577507559</v>
      </c>
      <c r="F3822" s="38" t="n">
        <f aca="false">Sens!$F$3723-Sens!$F$3725</f>
        <v>217.495828647535</v>
      </c>
      <c r="G3822" s="38" t="n">
        <f aca="false">Sens!$G$3723-Sens!$G$3725</f>
        <v>410.795589636503</v>
      </c>
      <c r="H3822" s="38" t="n">
        <f aca="false">Sens!$H$3723-Sens!$H$3725</f>
        <v>449.156813761174</v>
      </c>
      <c r="I3822" s="38" t="n">
        <f aca="false">Sens!$I$3723-Sens!$I$3725</f>
        <v>485.848786441156</v>
      </c>
      <c r="J3822" s="38" t="n">
        <f aca="false">Sens!$J$3723-Sens!$J$3725</f>
        <v>519.841531018994</v>
      </c>
      <c r="K3822" s="38" t="n">
        <f aca="false">Sens!$K$3723-Sens!$K$3725</f>
        <v>550.103332311311</v>
      </c>
      <c r="L3822" s="38" t="n">
        <f aca="false">Sens!$L$3723-Sens!$L$3725</f>
        <v>582.192354474511</v>
      </c>
      <c r="M3822" s="38" t="n">
        <f aca="false">Sens!$M$3723-Sens!$M$3725</f>
        <v>616.22240521081</v>
      </c>
      <c r="N3822" s="38" t="n">
        <f aca="false">Sens!$N$3723-Sens!$N$3725</f>
        <v>171.24628885875</v>
      </c>
      <c r="O3822" s="38" t="n">
        <f aca="false">Sens!$O$3723-Sens!$O$3725</f>
        <v>205.33105363572</v>
      </c>
    </row>
    <row r="3823" customFormat="false" ht="17.15" hidden="false" customHeight="false" outlineLevel="0" collapsed="false">
      <c r="A3823" s="0" t="s">
        <v>722</v>
      </c>
      <c r="B3823" s="0" t="s">
        <v>86</v>
      </c>
      <c r="C3823" s="38" t="n">
        <f aca="false">Sens!$C$3774*Sens!$C$3722</f>
        <v>0.123617442257179</v>
      </c>
      <c r="D3823" s="38" t="n">
        <f aca="false">Sens!$D$3774*Sens!$D$3722</f>
        <v>0.600198046024689</v>
      </c>
      <c r="E3823" s="38" t="n">
        <f aca="false">Sens!$E$3774*Sens!$E$3722</f>
        <v>0.970552432202993</v>
      </c>
      <c r="F3823" s="38" t="n">
        <f aca="false">Sens!$F$3774*Sens!$F$3722</f>
        <v>1.20013524388435</v>
      </c>
      <c r="G3823" s="38" t="n">
        <f aca="false">Sens!$G$3774*Sens!$G$3722</f>
        <v>2.17135369594947</v>
      </c>
      <c r="H3823" s="38" t="n">
        <f aca="false">Sens!$H$3774*Sens!$H$3722</f>
        <v>6.14227489656333</v>
      </c>
      <c r="I3823" s="38" t="n">
        <f aca="false">Sens!$I$3774*Sens!$I$3722</f>
        <v>11.6518054969681</v>
      </c>
      <c r="J3823" s="38" t="n">
        <f aca="false">Sens!$J$3774*Sens!$J$3722</f>
        <v>17.3105301010592</v>
      </c>
      <c r="K3823" s="38" t="n">
        <f aca="false">Sens!$K$3774*Sens!$K$3722</f>
        <v>22.8486728059883</v>
      </c>
      <c r="L3823" s="38" t="n">
        <f aca="false">Sens!$L$3774*Sens!$L$3722</f>
        <v>26.6849171332777</v>
      </c>
      <c r="M3823" s="38" t="n">
        <f aca="false">Sens!$M$3774*Sens!$M$3722</f>
        <v>29.0523240317336</v>
      </c>
      <c r="N3823" s="38" t="n">
        <f aca="false">Sens!$N$3774*Sens!$N$3722</f>
        <v>0.25053229484398</v>
      </c>
      <c r="O3823" s="38" t="n">
        <f aca="false">Sens!$O$3774*Sens!$O$3722</f>
        <v>0.349234376756897</v>
      </c>
    </row>
    <row r="3824" customFormat="false" ht="17.15" hidden="false" customHeight="false" outlineLevel="0" collapsed="false">
      <c r="A3824" s="0" t="s">
        <v>723</v>
      </c>
      <c r="B3824" s="0" t="s">
        <v>52</v>
      </c>
      <c r="C3824" s="28" t="n">
        <f aca="false">(Sens!$C$3825-Sens!$C$3821+Sens!$C$3823)/Sens!$C$3822</f>
        <v>0.00129789976774559</v>
      </c>
      <c r="D3824" s="28" t="n">
        <f aca="false">(Sens!$D$3825-Sens!$D$3821+Sens!$D$3823)/Sens!$D$3822</f>
        <v>0.000989810660891991</v>
      </c>
      <c r="E3824" s="28" t="n">
        <f aca="false">(Sens!$E$3825-Sens!$E$3821+Sens!$E$3823)/Sens!$E$3822</f>
        <v>0.0111656173752287</v>
      </c>
      <c r="F3824" s="28" t="n">
        <f aca="false">Sens!$O$3824+(Sens!$E$3824-Sens!$N$3824)</f>
        <v>0.00677982255415775</v>
      </c>
      <c r="G3824" s="28" t="n">
        <f aca="false">(Sens!$G$3825-Sens!$G$3821+Sens!$G$3823)/Sens!$G$3822</f>
        <v>0.00882107369544137</v>
      </c>
      <c r="H3824" s="28" t="n">
        <f aca="false">Sens!$G$3824+step_na</f>
        <v>0.0118210736954414</v>
      </c>
      <c r="I3824" s="28" t="n">
        <f aca="false">Sens!$H$3824+step_na</f>
        <v>0.0148210736954414</v>
      </c>
      <c r="J3824" s="28" t="n">
        <f aca="false">Sens!$I$3824+step_na</f>
        <v>0.0178210736954414</v>
      </c>
      <c r="K3824" s="28" t="n">
        <f aca="false">Sens!$J$3824+step_na</f>
        <v>0.0208210736954414</v>
      </c>
      <c r="L3824" s="28" t="n">
        <f aca="false">Sens!$K$3824</f>
        <v>0.0208210736954414</v>
      </c>
      <c r="M3824" s="28" t="n">
        <f aca="false">Sens!$L$3824</f>
        <v>0.0208210736954414</v>
      </c>
      <c r="N3824" s="28" t="n">
        <f aca="false">(Sens!$N$3825-Sens!$N$3821+Sens!$N$3823)/Sens!$N$3822</f>
        <v>0.00340623796277027</v>
      </c>
      <c r="O3824" s="28" t="n">
        <f aca="false">(Sens!$O$3825-Sens!$O$3821+Sens!$O$3823)/Sens!$O$3822</f>
        <v>-0.000979556858300641</v>
      </c>
      <c r="P3824" s="8" t="s">
        <v>724</v>
      </c>
    </row>
    <row r="3825" customFormat="false" ht="17.15" hidden="false" customHeight="false" outlineLevel="0" collapsed="false">
      <c r="A3825" s="1" t="s">
        <v>725</v>
      </c>
      <c r="B3825" s="8" t="s">
        <v>86</v>
      </c>
      <c r="C3825" s="38" t="n">
        <f aca="false">Q!$D$22</f>
        <v>24.967</v>
      </c>
      <c r="D3825" s="38" t="n">
        <f aca="false">Q!$E$22</f>
        <v>29.619</v>
      </c>
      <c r="E3825" s="38" t="n">
        <f aca="false">Q!$P$22</f>
        <v>17.39</v>
      </c>
      <c r="F3825" s="38" t="n">
        <f aca="false">Sens!$F$3821+Sens!$F$3822*Sens!$F$3824-Sens!$F$3823</f>
        <v>20.1608147804462</v>
      </c>
      <c r="G3825" s="38" t="n">
        <f aca="false">Sens!$E$3825+Sens!$F$3825</f>
        <v>37.5508147804462</v>
      </c>
      <c r="H3825" s="38" t="n">
        <f aca="false">Sens!$H$3821+Sens!$H$3822*Sens!$H$3824-Sens!$H$3823</f>
        <v>42.5053468928749</v>
      </c>
      <c r="I3825" s="38" t="n">
        <f aca="false">Sens!$I$3821+Sens!$I$3822*Sens!$I$3824-Sens!$I$3823</f>
        <v>46.1260410395565</v>
      </c>
      <c r="J3825" s="38" t="n">
        <f aca="false">Sens!$J$3821+Sens!$J$3822*Sens!$J$3824-Sens!$J$3823</f>
        <v>49.2835469969445</v>
      </c>
      <c r="K3825" s="38" t="n">
        <f aca="false">Sens!$K$3821+Sens!$K$3822*Sens!$K$3824-Sens!$K$3823</f>
        <v>51.6680063663129</v>
      </c>
      <c r="L3825" s="38" t="n">
        <f aca="false">Sens!$L$3821+Sens!$L$3822*Sens!$L$3824-Sens!$L$3823</f>
        <v>54.806183649312</v>
      </c>
      <c r="M3825" s="38" t="n">
        <f aca="false">Sens!$M$3821+Sens!$M$3822*Sens!$M$3824-Sens!$M$3823</f>
        <v>60.0842420316116</v>
      </c>
      <c r="N3825" s="38" t="n">
        <f aca="false">Q!$N$22</f>
        <v>13.358</v>
      </c>
      <c r="O3825" s="38" t="n">
        <f aca="false">Q!$O$22</f>
        <v>16.261</v>
      </c>
    </row>
    <row r="3826" customFormat="false" ht="17.15" hidden="false" customHeight="false" outlineLevel="0" collapsed="false">
      <c r="A3826" s="0" t="s">
        <v>726</v>
      </c>
      <c r="B3826" s="0" t="s">
        <v>86</v>
      </c>
      <c r="C3826" s="38" t="n">
        <f aca="false">Sens!$C$3726*m_ad_hi</f>
        <v>9.08741227029259</v>
      </c>
      <c r="D3826" s="38" t="n">
        <f aca="false">Sens!$D$3726*m_ad_hi</f>
        <v>11.3345259240495</v>
      </c>
      <c r="E3826" s="38" t="n">
        <f aca="false">Sens!$E$3726*m_ad_hi</f>
        <v>6.02914650453514</v>
      </c>
      <c r="F3826" s="38" t="n">
        <f aca="false">Sens!$F$3726*m_ad_hi</f>
        <v>7.80796629681808</v>
      </c>
      <c r="G3826" s="38" t="n">
        <f aca="false">Sens!$G$3726*m_ad_hi</f>
        <v>13.827022890199</v>
      </c>
      <c r="H3826" s="38" t="n">
        <f aca="false">Sens!$H$3726*m_ad_hi</f>
        <v>16.6000474395808</v>
      </c>
      <c r="I3826" s="38" t="n">
        <f aca="false">Sens!$I$3726*m_ad_hi</f>
        <v>19.3728207894582</v>
      </c>
      <c r="J3826" s="38" t="n">
        <f aca="false">Sens!$J$3726*m_ad_hi</f>
        <v>21.9594223014079</v>
      </c>
      <c r="K3826" s="38" t="n">
        <f aca="false">Sens!$K$3726*m_ad_hi</f>
        <v>24.1553645315487</v>
      </c>
      <c r="L3826" s="38" t="n">
        <f aca="false">Sens!$L$3726*m_ad_hi</f>
        <v>26.5709009847036</v>
      </c>
      <c r="M3826" s="38" t="n">
        <f aca="false">Sens!$M$3726*m_ad_hi</f>
        <v>29.2279910831739</v>
      </c>
      <c r="N3826" s="38" t="n">
        <f aca="false">Sens!$N$3726*m_ad_hi</f>
        <v>4.74377331525022</v>
      </c>
      <c r="O3826" s="38" t="n">
        <f aca="false">Sens!$O$3726*m_ad_hi</f>
        <v>6.60063218143213</v>
      </c>
    </row>
    <row r="3827" customFormat="false" ht="17.15" hidden="false" customHeight="false" outlineLevel="0" collapsed="false">
      <c r="A3827" s="0" t="s">
        <v>727</v>
      </c>
      <c r="B3827" s="0" t="s">
        <v>86</v>
      </c>
      <c r="C3827" s="38" t="n">
        <f aca="false">Sens!$C$3724-Sens!$C$3726</f>
        <v>127.760312882846</v>
      </c>
      <c r="D3827" s="38" t="n">
        <f aca="false">Sens!$D$3724-Sens!$D$3726</f>
        <v>143.003123459917</v>
      </c>
      <c r="E3827" s="38" t="n">
        <f aca="false">Sens!$E$3724-Sens!$E$3726</f>
        <v>71.9374224924414</v>
      </c>
      <c r="F3827" s="38" t="n">
        <f aca="false">Sens!$F$3724-Sens!$F$3726</f>
        <v>85.3951910035875</v>
      </c>
      <c r="G3827" s="38" t="n">
        <f aca="false">Sens!$G$3724-Sens!$G$3726</f>
        <v>157.349430014619</v>
      </c>
      <c r="H3827" s="38" t="n">
        <f aca="false">Sens!$H$3724-Sens!$H$3726</f>
        <v>172.043153372315</v>
      </c>
      <c r="I3827" s="38" t="n">
        <f aca="false">Sens!$I$3724-Sens!$I$3726</f>
        <v>186.097493615879</v>
      </c>
      <c r="J3827" s="38" t="n">
        <f aca="false">Sens!$J$3724-Sens!$J$3726</f>
        <v>199.117932780497</v>
      </c>
      <c r="K3827" s="38" t="n">
        <f aca="false">Sens!$K$3724-Sens!$K$3726</f>
        <v>210.70928698363</v>
      </c>
      <c r="L3827" s="38" t="n">
        <f aca="false">Sens!$L$3724-Sens!$L$3726</f>
        <v>223.000532251316</v>
      </c>
      <c r="M3827" s="38" t="n">
        <f aca="false">Sens!$M$3724-Sens!$M$3726</f>
        <v>236.035261011339</v>
      </c>
      <c r="N3827" s="38" t="n">
        <f aca="false">Sens!$N$3724-Sens!$N$3726</f>
        <v>62.3677111412496</v>
      </c>
      <c r="O3827" s="38" t="n">
        <f aca="false">Sens!$O$3724-Sens!$O$3726</f>
        <v>80.6189463642798</v>
      </c>
    </row>
    <row r="3828" customFormat="false" ht="17.15" hidden="false" customHeight="false" outlineLevel="0" collapsed="false">
      <c r="A3828" s="0" t="s">
        <v>728</v>
      </c>
      <c r="B3828" s="0" t="s">
        <v>86</v>
      </c>
      <c r="C3828" s="38" t="n">
        <f aca="false">Sens!$C$3774*(1-Sens!$C$3722)</f>
        <v>0.0455891896019953</v>
      </c>
      <c r="D3828" s="38" t="n">
        <f aca="false">Sens!$D$3774*(1-Sens!$D$3722)</f>
        <v>0.227931791705753</v>
      </c>
      <c r="E3828" s="38" t="n">
        <f aca="false">Sens!$E$3774*(1-Sens!$E$3722)</f>
        <v>0.361164268820781</v>
      </c>
      <c r="F3828" s="38" t="n">
        <f aca="false">Sens!$F$3774*(1-Sens!$F$3722)</f>
        <v>0.471208018190203</v>
      </c>
      <c r="G3828" s="38" t="n">
        <f aca="false">Sens!$G$3774*(1-Sens!$G$3722)</f>
        <v>0.83170626714885</v>
      </c>
      <c r="H3828" s="38" t="n">
        <f aca="false">Sens!$H$3774*(1-Sens!$H$3722)</f>
        <v>2.35271136874315</v>
      </c>
      <c r="I3828" s="38" t="n">
        <f aca="false">Sens!$I$3774*(1-Sens!$I$3722)</f>
        <v>4.46305900024741</v>
      </c>
      <c r="J3828" s="38" t="n">
        <f aca="false">Sens!$J$3774*(1-Sens!$J$3722)</f>
        <v>6.63055328092195</v>
      </c>
      <c r="K3828" s="38" t="n">
        <f aca="false">Sens!$K$3774*(1-Sens!$K$3722)</f>
        <v>8.75186037365703</v>
      </c>
      <c r="L3828" s="38" t="n">
        <f aca="false">Sens!$L$3774*(1-Sens!$L$3722)</f>
        <v>10.2212794071718</v>
      </c>
      <c r="M3828" s="38" t="n">
        <f aca="false">Sens!$M$3774*(1-Sens!$M$3722)</f>
        <v>11.1280810756472</v>
      </c>
      <c r="N3828" s="38" t="n">
        <f aca="false">Sens!$N$3774*(1-Sens!$N$3722)</f>
        <v>0.0912435878202994</v>
      </c>
      <c r="O3828" s="38" t="n">
        <f aca="false">Sens!$O$3774*(1-Sens!$O$3722)</f>
        <v>0.137119578309265</v>
      </c>
    </row>
    <row r="3829" customFormat="false" ht="17.15" hidden="false" customHeight="false" outlineLevel="0" collapsed="false">
      <c r="A3829" s="0" t="s">
        <v>729</v>
      </c>
      <c r="B3829" s="0" t="s">
        <v>52</v>
      </c>
      <c r="C3829" s="28" t="n">
        <f aca="false">(Sens!$C$3830-Sens!$C$3826+Sens!$C$3828)/Sens!$C$3827</f>
        <v>-0.0410911883528698</v>
      </c>
      <c r="D3829" s="28" t="n">
        <f aca="false">(Sens!$D$3830-Sens!$D$3826+Sens!$D$3828)/Sens!$D$3827</f>
        <v>-0.0444507363094447</v>
      </c>
      <c r="E3829" s="28" t="n">
        <f aca="false">(Sens!$E$3830-Sens!$E$3826+Sens!$E$3828)/Sens!$E$3827</f>
        <v>-0.0351275059372592</v>
      </c>
      <c r="F3829" s="28" t="n">
        <f aca="false">Sens!$O$3829+(Sens!$E$3829-Sens!$N$3829)</f>
        <v>-0.0531913415417611</v>
      </c>
      <c r="G3829" s="28" t="n">
        <f aca="false">(Sens!$G$3830-Sens!$G$3826+Sens!$G$3828)/Sens!$G$3827</f>
        <v>-0.0448672938596736</v>
      </c>
      <c r="H3829" s="28" t="n">
        <f aca="false">Sens!$G$3829+step_in</f>
        <v>-0.0448672938596736</v>
      </c>
      <c r="I3829" s="28" t="n">
        <f aca="false">Sens!$H$3829+step_in</f>
        <v>-0.0448672938596736</v>
      </c>
      <c r="J3829" s="28" t="n">
        <f aca="false">Sens!$I$3829+step_in</f>
        <v>-0.0448672938596736</v>
      </c>
      <c r="K3829" s="28" t="n">
        <f aca="false">Sens!$J$3829+step_in</f>
        <v>-0.0448672938596736</v>
      </c>
      <c r="L3829" s="28" t="n">
        <f aca="false">Sens!$K$3829</f>
        <v>-0.0448672938596736</v>
      </c>
      <c r="M3829" s="28" t="n">
        <f aca="false">Sens!$L$3829</f>
        <v>-0.0448672938596736</v>
      </c>
      <c r="N3829" s="28" t="n">
        <f aca="false">(Sens!$N$3830-Sens!$N$3826+Sens!$N$3828)/Sens!$N$3827</f>
        <v>-0.0343371544063852</v>
      </c>
      <c r="O3829" s="28" t="n">
        <f aca="false">(Sens!$O$3830-Sens!$O$3826+Sens!$O$3828)/Sens!$O$3827</f>
        <v>-0.0524009900108871</v>
      </c>
      <c r="P3829" s="8" t="s">
        <v>724</v>
      </c>
    </row>
    <row r="3830" customFormat="false" ht="17.15" hidden="false" customHeight="false" outlineLevel="0" collapsed="false">
      <c r="A3830" s="1" t="s">
        <v>730</v>
      </c>
      <c r="B3830" s="8" t="s">
        <v>86</v>
      </c>
      <c r="C3830" s="38" t="n">
        <f aca="false">Q!$D$23</f>
        <v>3.792</v>
      </c>
      <c r="D3830" s="38" t="n">
        <f aca="false">Q!$E$23</f>
        <v>4.75</v>
      </c>
      <c r="E3830" s="38" t="n">
        <f aca="false">Q!$P$23</f>
        <v>3.141</v>
      </c>
      <c r="F3830" s="38" t="n">
        <f aca="false">Sens!$F$3826+Sens!$F$3827*Sens!$F$3829-Sens!$F$3828</f>
        <v>2.79447350793213</v>
      </c>
      <c r="G3830" s="38" t="n">
        <f aca="false">Sens!$E$3830+Sens!$F$3830</f>
        <v>5.93547350793213</v>
      </c>
      <c r="H3830" s="38" t="n">
        <f aca="false">Sens!$H$3826+Sens!$H$3827*Sens!$H$3829-Sens!$H$3828</f>
        <v>6.52822535193714</v>
      </c>
      <c r="I3830" s="38" t="n">
        <f aca="false">Sens!$I$3826+Sens!$I$3827*Sens!$I$3829-Sens!$I$3828</f>
        <v>6.56007085659844</v>
      </c>
      <c r="J3830" s="38" t="n">
        <f aca="false">Sens!$J$3826+Sens!$J$3827*Sens!$J$3829-Sens!$J$3828</f>
        <v>6.39498621769265</v>
      </c>
      <c r="K3830" s="38" t="n">
        <f aca="false">Sens!$K$3826+Sens!$K$3827*Sens!$K$3829-Sens!$K$3828</f>
        <v>5.94954865983482</v>
      </c>
      <c r="L3830" s="38" t="n">
        <f aca="false">Sens!$L$3826+Sens!$L$3827*Sens!$L$3829-Sens!$L$3828</f>
        <v>6.34419116614827</v>
      </c>
      <c r="M3830" s="38" t="n">
        <f aca="false">Sens!$M$3826+Sens!$M$3827*Sens!$M$3829-Sens!$M$3828</f>
        <v>7.5096465904862</v>
      </c>
      <c r="N3830" s="38" t="n">
        <f aca="false">Q!$N$23</f>
        <v>2.511</v>
      </c>
      <c r="O3830" s="38" t="n">
        <f aca="false">Q!$O$23</f>
        <v>2.239</v>
      </c>
    </row>
    <row r="3831" customFormat="false" ht="17.15" hidden="false" customHeight="false" outlineLevel="0" collapsed="false">
      <c r="A3831" s="0" t="s">
        <v>731</v>
      </c>
      <c r="B3831" s="0" t="s">
        <v>86</v>
      </c>
      <c r="C3831" s="38" t="n">
        <f aca="false">Sens!$C$3771</f>
        <v>1.64417882953695</v>
      </c>
      <c r="D3831" s="38" t="n">
        <f aca="false">Sens!$D$3771</f>
        <v>5.39125073772939</v>
      </c>
      <c r="E3831" s="38" t="n">
        <f aca="false">Sens!$E$3771</f>
        <v>3.18348617147493</v>
      </c>
      <c r="F3831" s="38" t="n">
        <f aca="false">Sens!$F$3771</f>
        <v>8.27806059642226</v>
      </c>
      <c r="G3831" s="38" t="n">
        <f aca="false">Sens!$G$3771</f>
        <v>11.4615467678972</v>
      </c>
      <c r="H3831" s="38" t="n">
        <f aca="false">Sens!$H$3771</f>
        <v>26.1859456885487</v>
      </c>
      <c r="I3831" s="38" t="n">
        <f aca="false">Sens!$I$3771</f>
        <v>37.04424114757</v>
      </c>
      <c r="J3831" s="38" t="n">
        <f aca="false">Sens!$J$3771</f>
        <v>47.2610736233534</v>
      </c>
      <c r="K3831" s="38" t="n">
        <f aca="false">Sens!$K$3771</f>
        <v>52.0459876645985</v>
      </c>
      <c r="L3831" s="38" t="n">
        <f aca="false">Sens!$L$3771</f>
        <v>54.1033156405981</v>
      </c>
      <c r="M3831" s="38" t="n">
        <f aca="false">Sens!$M$3771</f>
        <v>52.1138209393421</v>
      </c>
      <c r="N3831" s="38" t="n">
        <f aca="false">Sens!$N$3771</f>
        <v>1.67921600037079</v>
      </c>
      <c r="O3831" s="38" t="n">
        <f aca="false">Sens!$O$3771</f>
        <v>3.71203473735861</v>
      </c>
    </row>
    <row r="3832" customFormat="false" ht="17.15" hidden="false" customHeight="false" outlineLevel="0" collapsed="false">
      <c r="A3832" s="0" t="s">
        <v>649</v>
      </c>
      <c r="B3832" s="0" t="s">
        <v>86</v>
      </c>
      <c r="C3832" s="38" t="n">
        <f aca="false">Sens!$C$3776</f>
        <v>38.1898211704631</v>
      </c>
      <c r="D3832" s="38" t="n">
        <f aca="false">Sens!$D$3776</f>
        <v>40.2147492622706</v>
      </c>
      <c r="E3832" s="38" t="n">
        <f aca="false">Sens!$E$3776</f>
        <v>27.5985138285251</v>
      </c>
      <c r="F3832" s="38" t="n">
        <f aca="false">Sens!$F$3776</f>
        <v>25.5484769754606</v>
      </c>
      <c r="G3832" s="38" t="n">
        <f aca="false">Sens!$G$3776</f>
        <v>53.1469908039857</v>
      </c>
      <c r="H3832" s="38" t="n">
        <f aca="false">Sens!$H$3776</f>
        <v>57.3189525076539</v>
      </c>
      <c r="I3832" s="38" t="n">
        <f aca="false">Sens!$I$3776</f>
        <v>63.6385627021087</v>
      </c>
      <c r="J3832" s="38" t="n">
        <f aca="false">Sens!$J$3776</f>
        <v>69.6922896066105</v>
      </c>
      <c r="K3832" s="38" t="n">
        <f aca="false">Sens!$K$3776</f>
        <v>75.2676727751394</v>
      </c>
      <c r="L3832" s="38" t="n">
        <f aca="false">Sens!$L$3776</f>
        <v>81.2890865971505</v>
      </c>
      <c r="M3832" s="38" t="n">
        <f aca="false">Sens!$M$3776</f>
        <v>87.7922135249226</v>
      </c>
      <c r="N3832" s="38" t="n">
        <f aca="false">Sens!$N$3776</f>
        <v>20.0277839996292</v>
      </c>
      <c r="O3832" s="38" t="n">
        <f aca="false">Sens!$O$3776</f>
        <v>20.1869652626414</v>
      </c>
    </row>
    <row r="3833" customFormat="false" ht="17.15" hidden="false" customHeight="false" outlineLevel="0" collapsed="false">
      <c r="A3833" s="1" t="s">
        <v>732</v>
      </c>
      <c r="B3833" s="8" t="s">
        <v>86</v>
      </c>
      <c r="C3833" s="38" t="n">
        <f aca="false">Q!$D$24</f>
        <v>39.834</v>
      </c>
      <c r="D3833" s="38" t="n">
        <f aca="false">Q!$E$24</f>
        <v>45.606</v>
      </c>
      <c r="E3833" s="38" t="n">
        <f aca="false">Q!$P$24</f>
        <v>30.782</v>
      </c>
      <c r="F3833" s="38" t="n">
        <f aca="false">Sens!$F$3831+Sens!$F$3832</f>
        <v>33.8265375718829</v>
      </c>
      <c r="G3833" s="38" t="n">
        <f aca="false">Sens!$G$3831+Sens!$G$3832</f>
        <v>64.6085375718829</v>
      </c>
      <c r="H3833" s="38" t="n">
        <f aca="false">Sens!$H$3831+Sens!$H$3832</f>
        <v>83.5048981962026</v>
      </c>
      <c r="I3833" s="38" t="n">
        <f aca="false">Sens!$I$3831+Sens!$I$3832</f>
        <v>100.682803849679</v>
      </c>
      <c r="J3833" s="38" t="n">
        <f aca="false">Sens!$J$3831+Sens!$J$3832</f>
        <v>116.953363229964</v>
      </c>
      <c r="K3833" s="38" t="n">
        <f aca="false">Sens!$K$3831+Sens!$K$3832</f>
        <v>127.313660439738</v>
      </c>
      <c r="L3833" s="38" t="n">
        <f aca="false">Sens!$L$3831+Sens!$L$3832</f>
        <v>135.392402237749</v>
      </c>
      <c r="M3833" s="38" t="n">
        <f aca="false">Sens!$M$3831+Sens!$M$3832</f>
        <v>139.906034464265</v>
      </c>
      <c r="N3833" s="38" t="n">
        <f aca="false">Q!$N$24</f>
        <v>21.707</v>
      </c>
      <c r="O3833" s="38" t="n">
        <f aca="false">Q!$O$24</f>
        <v>23.899</v>
      </c>
    </row>
    <row r="3834" customFormat="false" ht="17.15" hidden="false" customHeight="false" outlineLevel="0" collapsed="false">
      <c r="A3834" s="5" t="s">
        <v>733</v>
      </c>
      <c r="B3834" s="0" t="s">
        <v>86</v>
      </c>
      <c r="C3834" s="38" t="n">
        <f aca="false">Q!$D$26</f>
        <v>0</v>
      </c>
      <c r="D3834" s="38" t="n">
        <f aca="false">Q!$E$26</f>
        <v>0</v>
      </c>
      <c r="E3834" s="38" t="n">
        <f aca="false">Q!$P$26</f>
        <v>0</v>
      </c>
      <c r="F3834" s="39" t="n">
        <v>0</v>
      </c>
      <c r="G3834" s="38" t="n">
        <f aca="false">Sens!$E$3834+Sens!$F$3834</f>
        <v>0</v>
      </c>
      <c r="H3834" s="39" t="n">
        <v>0</v>
      </c>
      <c r="I3834" s="39" t="n">
        <v>0</v>
      </c>
      <c r="J3834" s="39" t="n">
        <v>0</v>
      </c>
      <c r="K3834" s="39" t="n">
        <v>0</v>
      </c>
      <c r="L3834" s="39" t="n">
        <v>0</v>
      </c>
      <c r="M3834" s="39" t="n">
        <v>0</v>
      </c>
      <c r="N3834" s="38" t="n">
        <f aca="false">Q!$N$26</f>
        <v>0</v>
      </c>
      <c r="O3834" s="38" t="n">
        <f aca="false">Q!$O$26</f>
        <v>0</v>
      </c>
    </row>
    <row r="3835" customFormat="false" ht="15" hidden="false" customHeight="false" outlineLevel="0" collapsed="false">
      <c r="A3835" s="3" t="s">
        <v>534</v>
      </c>
      <c r="B3835" s="8" t="s">
        <v>86</v>
      </c>
      <c r="C3835" s="38" t="n">
        <f aca="false">Q!$D$25</f>
        <v>68.593</v>
      </c>
      <c r="D3835" s="38" t="n">
        <f aca="false">Q!$E$25</f>
        <v>79.975</v>
      </c>
      <c r="E3835" s="38" t="n">
        <f aca="false">Q!$P$25</f>
        <v>51.313</v>
      </c>
      <c r="F3835" s="38" t="n">
        <f aca="false">Sens!$F$3825+Sens!$F$3830+Sens!$F$3833+Sens!$F$3834</f>
        <v>56.7818258602612</v>
      </c>
      <c r="G3835" s="38" t="n">
        <f aca="false">Sens!$G$3825+Sens!$G$3830+Sens!$G$3833+Sens!$G$3834</f>
        <v>108.094825860261</v>
      </c>
      <c r="H3835" s="38" t="n">
        <f aca="false">Sens!$H$3825+Sens!$H$3830+Sens!$H$3833+Sens!$H$3834</f>
        <v>132.538470441015</v>
      </c>
      <c r="I3835" s="38" t="n">
        <f aca="false">Sens!$I$3825+Sens!$I$3830+Sens!$I$3833+Sens!$I$3834</f>
        <v>153.368915745834</v>
      </c>
      <c r="J3835" s="38" t="n">
        <f aca="false">Sens!$J$3825+Sens!$J$3830+Sens!$J$3833+Sens!$J$3834</f>
        <v>172.631896444601</v>
      </c>
      <c r="K3835" s="38" t="n">
        <f aca="false">Sens!$K$3825+Sens!$K$3830+Sens!$K$3833+Sens!$K$3834</f>
        <v>184.931215465886</v>
      </c>
      <c r="L3835" s="38" t="n">
        <f aca="false">Sens!$L$3825+Sens!$L$3830+Sens!$L$3833+Sens!$L$3834</f>
        <v>196.542777053209</v>
      </c>
      <c r="M3835" s="38" t="n">
        <f aca="false">Sens!$M$3825+Sens!$M$3830+Sens!$M$3833+Sens!$M$3834</f>
        <v>207.499923086362</v>
      </c>
      <c r="N3835" s="38" t="n">
        <f aca="false">Q!$N$25</f>
        <v>37.576</v>
      </c>
      <c r="O3835" s="38" t="n">
        <f aca="false">Q!$O$25</f>
        <v>42.399</v>
      </c>
    </row>
    <row r="3836" customFormat="false" ht="17.15" hidden="false" customHeight="false" outlineLevel="0" collapsed="false">
      <c r="A3836" s="24" t="s">
        <v>764</v>
      </c>
      <c r="B3836" s="25" t="s">
        <v>86</v>
      </c>
      <c r="C3836" s="41" t="n">
        <f aca="false">Sens!$C$3825+Sens!$C$3830+Sens!$C$3833+Sens!$C$3834-Sens!$C$3835</f>
        <v>0</v>
      </c>
      <c r="D3836" s="41" t="n">
        <f aca="false">Sens!$D$3825+Sens!$D$3830+Sens!$D$3833+Sens!$D$3834-Sens!$D$3835</f>
        <v>0</v>
      </c>
      <c r="E3836" s="41" t="n">
        <f aca="false">Sens!$E$3825+Sens!$E$3830+Sens!$E$3833+Sens!$E$3834-Sens!$E$3835</f>
        <v>0</v>
      </c>
      <c r="F3836" s="41" t="n">
        <f aca="false">Sens!$F$3825+Sens!$F$3830+Sens!$F$3833+Sens!$F$3834-Sens!$F$3835</f>
        <v>0</v>
      </c>
      <c r="G3836" s="41" t="n">
        <f aca="false">Sens!$G$3825+Sens!$G$3830+Sens!$G$3833+Sens!$G$3834-Sens!$G$3835</f>
        <v>0</v>
      </c>
      <c r="H3836" s="41" t="n">
        <f aca="false">Sens!$H$3825+Sens!$H$3830+Sens!$H$3833+Sens!$H$3834-Sens!$H$3835</f>
        <v>0</v>
      </c>
      <c r="I3836" s="41" t="n">
        <f aca="false">Sens!$I$3825+Sens!$I$3830+Sens!$I$3833+Sens!$I$3834-Sens!$I$3835</f>
        <v>0</v>
      </c>
      <c r="J3836" s="41" t="n">
        <f aca="false">Sens!$J$3825+Sens!$J$3830+Sens!$J$3833+Sens!$J$3834-Sens!$J$3835</f>
        <v>0</v>
      </c>
      <c r="K3836" s="41" t="n">
        <f aca="false">Sens!$K$3825+Sens!$K$3830+Sens!$K$3833+Sens!$K$3834-Sens!$K$3835</f>
        <v>0</v>
      </c>
      <c r="L3836" s="41" t="n">
        <f aca="false">Sens!$L$3825+Sens!$L$3830+Sens!$L$3833+Sens!$L$3834-Sens!$L$3835</f>
        <v>0</v>
      </c>
      <c r="M3836" s="41" t="n">
        <f aca="false">Sens!$M$3825+Sens!$M$3830+Sens!$M$3833+Sens!$M$3834-Sens!$M$3835</f>
        <v>0</v>
      </c>
      <c r="N3836" s="41" t="n">
        <f aca="false">Sens!$N$3825+Sens!$N$3830+Sens!$N$3833+Sens!$N$3834-Sens!$N$3835</f>
        <v>0</v>
      </c>
      <c r="O3836" s="41" t="n">
        <f aca="false">Sens!$O$3825+Sens!$O$3830+Sens!$O$3833+Sens!$O$3834-Sens!$O$3835</f>
        <v>0</v>
      </c>
    </row>
    <row r="3837" customFormat="false" ht="17.15" hidden="false" customHeight="false" outlineLevel="0" collapsed="false">
      <c r="A3837" s="5" t="s">
        <v>735</v>
      </c>
      <c r="B3837" s="0" t="s">
        <v>86</v>
      </c>
      <c r="C3837" s="38" t="n">
        <f aca="false">Sens!$C$3773</f>
        <v>0</v>
      </c>
      <c r="D3837" s="38" t="n">
        <f aca="false">Sens!$D$3773</f>
        <v>0</v>
      </c>
      <c r="E3837" s="38" t="n">
        <f aca="false">Sens!$E$3773</f>
        <v>0</v>
      </c>
      <c r="F3837" s="38" t="n">
        <f aca="false">Sens!$F$3773</f>
        <v>3.77122048175818</v>
      </c>
      <c r="G3837" s="38" t="n">
        <f aca="false">Sens!$G$3773</f>
        <v>3.77122048175818</v>
      </c>
      <c r="H3837" s="38" t="n">
        <f aca="false">Sens!$H$3773</f>
        <v>15.1635543609893</v>
      </c>
      <c r="I3837" s="38" t="n">
        <f aca="false">Sens!$I$3773</f>
        <v>25.5818843619889</v>
      </c>
      <c r="J3837" s="38" t="n">
        <f aca="false">Sens!$J$3773</f>
        <v>36.0465624179122</v>
      </c>
      <c r="K3837" s="38" t="n">
        <f aca="false">Sens!$K$3773</f>
        <v>44.9741164026038</v>
      </c>
      <c r="L3837" s="38" t="n">
        <f aca="false">Sens!$L$3773</f>
        <v>50.8413488057813</v>
      </c>
      <c r="M3837" s="38" t="n">
        <f aca="false">Sens!$M$3773</f>
        <v>53.6407214274315</v>
      </c>
      <c r="N3837" s="38" t="n">
        <f aca="false">Sens!$N$3773</f>
        <v>0</v>
      </c>
      <c r="O3837" s="38" t="n">
        <f aca="false">Sens!$O$3773</f>
        <v>0</v>
      </c>
      <c r="P3837" s="5" t="s">
        <v>736</v>
      </c>
    </row>
    <row r="3838" customFormat="false" ht="17.15" hidden="false" customHeight="false" outlineLevel="0" collapsed="false">
      <c r="A3838" s="5" t="s">
        <v>737</v>
      </c>
      <c r="B3838" s="0" t="s">
        <v>86</v>
      </c>
      <c r="C3838" s="38" t="n">
        <f aca="false">Sens!$C$3835+Sens!$C$3837</f>
        <v>68.593</v>
      </c>
      <c r="D3838" s="38" t="n">
        <f aca="false">Sens!$D$3835+Sens!$D$3837</f>
        <v>79.975</v>
      </c>
      <c r="E3838" s="38" t="n">
        <f aca="false">Sens!$E$3835+Sens!$E$3837</f>
        <v>51.313</v>
      </c>
      <c r="F3838" s="38" t="n">
        <f aca="false">Sens!$F$3835+Sens!$F$3837</f>
        <v>60.5530463420194</v>
      </c>
      <c r="G3838" s="38" t="n">
        <f aca="false">Sens!$G$3835+Sens!$G$3837</f>
        <v>111.866046342019</v>
      </c>
      <c r="H3838" s="38" t="n">
        <f aca="false">Sens!$H$3835+Sens!$H$3837</f>
        <v>147.702024802004</v>
      </c>
      <c r="I3838" s="38" t="n">
        <f aca="false">Sens!$I$3835+Sens!$I$3837</f>
        <v>178.950800107823</v>
      </c>
      <c r="J3838" s="38" t="n">
        <f aca="false">Sens!$J$3835+Sens!$J$3837</f>
        <v>208.678458862513</v>
      </c>
      <c r="K3838" s="38" t="n">
        <f aca="false">Sens!$K$3835+Sens!$K$3837</f>
        <v>229.905331868489</v>
      </c>
      <c r="L3838" s="38" t="n">
        <f aca="false">Sens!$L$3835+Sens!$L$3837</f>
        <v>247.38412585899</v>
      </c>
      <c r="M3838" s="38" t="n">
        <f aca="false">Sens!$M$3835+Sens!$M$3837</f>
        <v>261.140644513794</v>
      </c>
      <c r="N3838" s="38" t="n">
        <f aca="false">Sens!$N$3835+Sens!$N$3837</f>
        <v>37.576</v>
      </c>
      <c r="O3838" s="38" t="n">
        <f aca="false">Sens!$O$3835+Sens!$O$3837</f>
        <v>42.399</v>
      </c>
    </row>
    <row r="3839" customFormat="false" ht="17.15" hidden="false" customHeight="false" outlineLevel="0" collapsed="false">
      <c r="A3839" s="0" t="s">
        <v>738</v>
      </c>
      <c r="B3839" s="0" t="s">
        <v>52</v>
      </c>
      <c r="C3839" s="13" t="n">
        <f aca="false">Sens!$C$3825/Sens!$C$3810</f>
        <v>0.0644314665661928</v>
      </c>
      <c r="D3839" s="13" t="n">
        <f aca="false">Sens!$D$3825/Sens!$D$3810</f>
        <v>0.0694784250712518</v>
      </c>
      <c r="E3839" s="13" t="n">
        <f aca="false">Sens!$E$3825/Sens!$E$3810</f>
        <v>0.0789306463326071</v>
      </c>
      <c r="F3839" s="13" t="n">
        <f aca="false">Sens!$F$3825/Sens!$F$3810</f>
        <v>0.0804374122290205</v>
      </c>
      <c r="G3839" s="13" t="n">
        <f aca="false">Sens!$G$3825/Sens!$G$3810</f>
        <v>0.0797325310884416</v>
      </c>
      <c r="H3839" s="13" t="n">
        <f aca="false">Sens!$H$3825/Sens!$H$3810</f>
        <v>0.0815236046816692</v>
      </c>
      <c r="I3839" s="13" t="n">
        <f aca="false">Sens!$I$3825/Sens!$I$3810</f>
        <v>0.080902459961502</v>
      </c>
      <c r="J3839" s="13" t="n">
        <f aca="false">Sens!$J$3825/Sens!$J$3810</f>
        <v>0.0800848762763861</v>
      </c>
      <c r="K3839" s="13" t="n">
        <f aca="false">Sens!$K$3825/Sens!$K$3810</f>
        <v>0.0788573833369023</v>
      </c>
      <c r="L3839" s="13" t="n">
        <f aca="false">Sens!$L$3825/Sens!$L$3810</f>
        <v>0.0785405213594159</v>
      </c>
      <c r="M3839" s="13" t="n">
        <f aca="false">Sens!$M$3825/Sens!$M$3810</f>
        <v>0.0808236431364416</v>
      </c>
      <c r="N3839" s="13" t="n">
        <f aca="false">Sens!$N$3825/Sens!$N$3810</f>
        <v>0.069228576611127</v>
      </c>
      <c r="O3839" s="13" t="n">
        <f aca="false">Sens!$O$3825/Sens!$O$3810</f>
        <v>0.069685022498393</v>
      </c>
    </row>
    <row r="3840" customFormat="false" ht="17.15" hidden="false" customHeight="false" outlineLevel="0" collapsed="false">
      <c r="A3840" s="0" t="s">
        <v>739</v>
      </c>
      <c r="B3840" s="0" t="s">
        <v>52</v>
      </c>
      <c r="C3840" s="13" t="n">
        <f aca="false">Sens!$C$3830/Sens!$C$3811</f>
        <v>0.026534925055631</v>
      </c>
      <c r="D3840" s="13" t="n">
        <f aca="false">Sens!$D$3830/Sens!$D$3811</f>
        <v>0.0293401855535103</v>
      </c>
      <c r="E3840" s="13" t="n">
        <f aca="false">Sens!$E$3830/Sens!$E$3811</f>
        <v>0.03831141902276</v>
      </c>
      <c r="F3840" s="13" t="n">
        <f aca="false">Sens!$F$3830/Sens!$F$3811</f>
        <v>0.0283966772376546</v>
      </c>
      <c r="G3840" s="13" t="n">
        <f aca="false">Sens!$G$3830/Sens!$G$3811</f>
        <v>0.0329027467876941</v>
      </c>
      <c r="H3840" s="13" t="n">
        <f aca="false">Sens!$H$3830/Sens!$H$3811</f>
        <v>0.0326885416356177</v>
      </c>
      <c r="I3840" s="13" t="n">
        <f aca="false">Sens!$I$3830/Sens!$I$3811</f>
        <v>0.0300389449278839</v>
      </c>
      <c r="J3840" s="13" t="n">
        <f aca="false">Sens!$J$3830/Sens!$J$3811</f>
        <v>0.0271299356133011</v>
      </c>
      <c r="K3840" s="13" t="n">
        <f aca="false">Sens!$K$3830/Sens!$K$3811</f>
        <v>0.0237063819206925</v>
      </c>
      <c r="L3840" s="13" t="n">
        <f aca="false">Sens!$L$3830/Sens!$L$3811</f>
        <v>0.023735647154931</v>
      </c>
      <c r="M3840" s="13" t="n">
        <f aca="false">Sens!$M$3830/Sens!$M$3811</f>
        <v>0.0263729027344516</v>
      </c>
      <c r="N3840" s="13" t="n">
        <f aca="false">Sens!$N$3830/Sens!$N$3811</f>
        <v>0.0357315650169337</v>
      </c>
      <c r="O3840" s="13" t="n">
        <f aca="false">Sens!$O$3830/Sens!$O$3811</f>
        <v>0.0244378956559703</v>
      </c>
    </row>
    <row r="3841" customFormat="false" ht="17.15" hidden="false" customHeight="false" outlineLevel="0" collapsed="false">
      <c r="A3841" s="14" t="s">
        <v>740</v>
      </c>
      <c r="B3841" s="14" t="s">
        <v>52</v>
      </c>
      <c r="C3841" s="17" t="n">
        <f aca="false">Sens!$C$3833/Sens!$C$3812</f>
        <v>0.370355907620217</v>
      </c>
      <c r="D3841" s="17" t="n">
        <f aca="false">Sens!$D$3833/Sens!$D$3812</f>
        <v>0.35429015342785</v>
      </c>
      <c r="E3841" s="17" t="n">
        <f aca="false">Sens!$E$3833/Sens!$E$3812</f>
        <v>0.385647527531039</v>
      </c>
      <c r="F3841" s="17" t="n">
        <f aca="false">Sens!$F$3833/Sens!$F$3812</f>
        <v>0.390008895496028</v>
      </c>
      <c r="G3841" s="17" t="n">
        <f aca="false">Sens!$G$3833/Sens!$G$3812</f>
        <v>0.387918733944362</v>
      </c>
      <c r="H3841" s="17" t="n">
        <f aca="false">Sens!$H$3833/Sens!$H$3812</f>
        <v>0.377537651365497</v>
      </c>
      <c r="I3841" s="17" t="n">
        <f aca="false">Sens!$I$3833/Sens!$I$3812</f>
        <v>0.359230604038662</v>
      </c>
      <c r="J3841" s="17" t="n">
        <f aca="false">Sens!$J$3833/Sens!$J$3812</f>
        <v>0.345197865849801</v>
      </c>
      <c r="K3841" s="17" t="n">
        <f aca="false">Sens!$K$3833/Sens!$K$3812</f>
        <v>0.32654098357242</v>
      </c>
      <c r="L3841" s="17" t="n">
        <f aca="false">Sens!$L$3833/Sens!$L$3812</f>
        <v>0.314806978274702</v>
      </c>
      <c r="M3841" s="17" t="n">
        <f aca="false">Sens!$M$3833/Sens!$M$3812</f>
        <v>0.304503505485029</v>
      </c>
      <c r="N3841" s="17" t="n">
        <f aca="false">Sens!$N$3833/Sens!$N$3812</f>
        <v>0.360941137346192</v>
      </c>
      <c r="O3841" s="17" t="n">
        <f aca="false">Sens!$O$3833/Sens!$O$3812</f>
        <v>0.348458117664212</v>
      </c>
    </row>
    <row r="3842" customFormat="false" ht="17.15" hidden="false" customHeight="false" outlineLevel="0" collapsed="false">
      <c r="A3842" s="0" t="s">
        <v>741</v>
      </c>
      <c r="B3842" s="0" t="s">
        <v>52</v>
      </c>
      <c r="C3842" s="13" t="n">
        <f aca="false">Sens!$C$3831/Sens!$C$3813</f>
        <v>0.708390794789371</v>
      </c>
      <c r="D3842" s="13" t="n">
        <f aca="false">Sens!$D$3831/Sens!$D$3813</f>
        <v>0.619415573115729</v>
      </c>
      <c r="E3842" s="13" t="n">
        <f aca="false">Sens!$E$3831/Sens!$E$3813</f>
        <v>0.374072166056273</v>
      </c>
      <c r="F3842" s="13" t="n">
        <f aca="false">Sens!$F$3831/Sens!$F$3813</f>
        <v>0.553219320710057</v>
      </c>
      <c r="G3842" s="13" t="n">
        <f aca="false">Sens!$G$3831/Sens!$G$3813</f>
        <v>0.488270041527512</v>
      </c>
      <c r="H3842" s="13" t="n">
        <f aca="false">Sens!$H$3831/Sens!$H$3813</f>
        <v>0.435229086816882</v>
      </c>
      <c r="I3842" s="13" t="n">
        <f aca="false">Sens!$I$3831/Sens!$I$3813</f>
        <v>0.364954592421095</v>
      </c>
      <c r="J3842" s="13" t="n">
        <f aca="false">Sens!$J$3831/Sens!$J$3813</f>
        <v>0.330438308582232</v>
      </c>
      <c r="K3842" s="13" t="n">
        <f aca="false">Sens!$K$3831/Sens!$K$3813</f>
        <v>0.2916589289528</v>
      </c>
      <c r="L3842" s="13" t="n">
        <f aca="false">Sens!$L$3831/Sens!$L$3813</f>
        <v>0.268199200593258</v>
      </c>
      <c r="M3842" s="13" t="n">
        <f aca="false">Sens!$M$3831/Sens!$M$3813</f>
        <v>0.244854995033574</v>
      </c>
      <c r="N3842" s="13" t="n">
        <f aca="false">Sens!$N$3831/Sens!$N$3813</f>
        <v>0.551227795793364</v>
      </c>
      <c r="O3842" s="13" t="n">
        <f aca="false">Sens!$O$3831/Sens!$O$3813</f>
        <v>0.656132068597002</v>
      </c>
    </row>
    <row r="3843" customFormat="false" ht="15" hidden="false" customHeight="false" outlineLevel="0" collapsed="false">
      <c r="A3843" s="5" t="s">
        <v>742</v>
      </c>
      <c r="B3843" s="0" t="s">
        <v>52</v>
      </c>
      <c r="C3843" s="13" t="n">
        <f aca="false">Sens!$C$3835/Sens!$C$3815</f>
        <v>0.107519448742004</v>
      </c>
      <c r="D3843" s="13" t="n">
        <f aca="false">Sens!$D$3835/Sens!$D$3815</f>
        <v>0.111552967957552</v>
      </c>
      <c r="E3843" s="13" t="n">
        <f aca="false">Sens!$E$3835/Sens!$E$3815</f>
        <v>0.13428328426562</v>
      </c>
      <c r="F3843" s="13" t="n">
        <f aca="false">Sens!$F$3835/Sens!$F$3815</f>
        <v>0.130299001348672</v>
      </c>
      <c r="G3843" s="13" t="n">
        <f aca="false">Sens!$G$3835/Sens!$G$3815</f>
        <v>0.132160455056088</v>
      </c>
      <c r="H3843" s="13" t="n">
        <f aca="false">Sens!$H$3835/Sens!$H$3815</f>
        <v>0.140657225565349</v>
      </c>
      <c r="I3843" s="13" t="n">
        <f aca="false">Sens!$I$3835/Sens!$I$3815</f>
        <v>0.143495983167558</v>
      </c>
      <c r="J3843" s="13" t="n">
        <f aca="false">Sens!$J$3835/Sens!$J$3815</f>
        <v>0.145079872099858</v>
      </c>
      <c r="K3843" s="13" t="n">
        <f aca="false">Sens!$K$3835/Sens!$K$3815</f>
        <v>0.142686995743836</v>
      </c>
      <c r="L3843" s="13" t="n">
        <f aca="false">Sens!$L$3835/Sens!$L$3815</f>
        <v>0.140873328926594</v>
      </c>
      <c r="M3843" s="13" t="n">
        <f aca="false">Sens!$M$3835/Sens!$M$3815</f>
        <v>0.139485980821858</v>
      </c>
      <c r="N3843" s="13" t="n">
        <f aca="false">Sens!$N$3835/Sens!$N$3815</f>
        <v>0.116201614873411</v>
      </c>
      <c r="O3843" s="13" t="n">
        <f aca="false">Sens!$O$3835/Sens!$O$3815</f>
        <v>0.107733353660861</v>
      </c>
    </row>
    <row r="3844" customFormat="false" ht="17.15" hidden="false" customHeight="false" outlineLevel="0" collapsed="false">
      <c r="A3844" s="1" t="s">
        <v>743</v>
      </c>
    </row>
    <row r="3845" customFormat="false" ht="17.15" hidden="false" customHeight="false" outlineLevel="0" collapsed="false">
      <c r="A3845" s="5" t="s">
        <v>744</v>
      </c>
      <c r="B3845" s="0" t="s">
        <v>52</v>
      </c>
      <c r="D3845" s="28" t="n">
        <f aca="false">(Q!$E$29+Q!$E$30-(1-ext_sh)*Sens!$D$3767)/Sens!$D$3721</f>
        <v>0.0341105596409988</v>
      </c>
    </row>
    <row r="3846" customFormat="false" ht="17.15" hidden="false" customHeight="false" outlineLevel="0" collapsed="false">
      <c r="A3846" s="0" t="s">
        <v>538</v>
      </c>
      <c r="B3846" s="0" t="s">
        <v>86</v>
      </c>
      <c r="C3846" s="38" t="n">
        <f aca="false">Q!$D$29</f>
        <v>14.285</v>
      </c>
      <c r="D3846" s="38" t="n">
        <f aca="false">Q!$E$29</f>
        <v>15.503</v>
      </c>
      <c r="E3846" s="38" t="n">
        <f aca="false">Q!$P$29</f>
        <v>8.78</v>
      </c>
      <c r="F3846" s="38" t="n">
        <f aca="false">(Sens!$D$3845*Sens!$F$3721+(1-ext_sh)*Sens!$F$3767)*Sens!$F$3722</f>
        <v>9.16735846116642</v>
      </c>
      <c r="G3846" s="38" t="n">
        <f aca="false">Sens!$E$3846+Sens!$F$3846</f>
        <v>17.9473584611664</v>
      </c>
      <c r="H3846" s="38" t="n">
        <f aca="false">(Sens!$D$3845*Sens!$H$3721+(1-ext_sh)*Sens!$H$3767)*Sens!$H$3722</f>
        <v>21.6406723110177</v>
      </c>
      <c r="I3846" s="38" t="n">
        <f aca="false">(Sens!$D$3845*Sens!$I$3721+(1-ext_sh)*Sens!$I$3767)*Sens!$I$3722</f>
        <v>27.3128215555087</v>
      </c>
      <c r="J3846" s="38" t="n">
        <f aca="false">(Sens!$D$3845*Sens!$J$3721+(1-ext_sh)*Sens!$J$3767)*Sens!$J$3722</f>
        <v>33.0116861885756</v>
      </c>
      <c r="K3846" s="38" t="n">
        <f aca="false">(Sens!$D$3845*Sens!$K$3721+(1-ext_sh)*Sens!$K$3767)*Sens!$K$3722</f>
        <v>38.6250238720245</v>
      </c>
      <c r="L3846" s="38" t="n">
        <f aca="false">(Sens!$D$3845*Sens!$L$3721+(1-ext_sh)*Sens!$L$3767)*Sens!$L$3722</f>
        <v>43.0711535197861</v>
      </c>
      <c r="M3846" s="38" t="n">
        <f aca="false">(Sens!$D$3845*Sens!$M$3721+(1-ext_sh)*Sens!$M$3767)*Sens!$M$3722</f>
        <v>46.590728630326</v>
      </c>
      <c r="N3846" s="38" t="n">
        <f aca="false">Q!$N$29</f>
        <v>7.272</v>
      </c>
      <c r="O3846" s="38" t="n">
        <f aca="false">Q!$O$29</f>
        <v>8.231</v>
      </c>
    </row>
    <row r="3847" customFormat="false" ht="17.15" hidden="false" customHeight="false" outlineLevel="0" collapsed="false">
      <c r="A3847" s="0" t="s">
        <v>540</v>
      </c>
      <c r="B3847" s="0" t="s">
        <v>86</v>
      </c>
      <c r="C3847" s="38" t="n">
        <f aca="false">Q!$D$30</f>
        <v>4.462</v>
      </c>
      <c r="D3847" s="38" t="n">
        <f aca="false">Q!$E$30</f>
        <v>4.907</v>
      </c>
      <c r="E3847" s="38" t="n">
        <f aca="false">Q!$P$30</f>
        <v>2.57</v>
      </c>
      <c r="F3847" s="38" t="n">
        <f aca="false">(Sens!$D$3845*Sens!$F$3721+(1-ext_sh)*Sens!$F$3767)*(1-Sens!$F$3722)</f>
        <v>3.59937168293151</v>
      </c>
      <c r="G3847" s="38" t="n">
        <f aca="false">Sens!$E$3847+Sens!$F$3847</f>
        <v>6.16937168293151</v>
      </c>
      <c r="H3847" s="38" t="n">
        <f aca="false">(Sens!$D$3845*Sens!$H$3721+(1-ext_sh)*Sens!$H$3767)*(1-Sens!$H$3722)</f>
        <v>8.28915290031442</v>
      </c>
      <c r="I3847" s="38" t="n">
        <f aca="false">(Sens!$D$3845*Sens!$I$3721+(1-ext_sh)*Sens!$I$3767)*(1-Sens!$I$3722)</f>
        <v>10.4617892992793</v>
      </c>
      <c r="J3847" s="38" t="n">
        <f aca="false">(Sens!$D$3845*Sens!$J$3721+(1-ext_sh)*Sens!$J$3767)*(1-Sens!$J$3722)</f>
        <v>12.6446586493057</v>
      </c>
      <c r="K3847" s="38" t="n">
        <f aca="false">(Sens!$D$3845*Sens!$K$3721+(1-ext_sh)*Sens!$K$3767)*(1-Sens!$K$3722)</f>
        <v>14.7947681131192</v>
      </c>
      <c r="L3847" s="38" t="n">
        <f aca="false">(Sens!$D$3845*Sens!$L$3721+(1-ext_sh)*Sens!$L$3767)*(1-Sens!$L$3722)</f>
        <v>16.4977950771268</v>
      </c>
      <c r="M3847" s="38" t="n">
        <f aca="false">(Sens!$D$3845*Sens!$M$3721+(1-ext_sh)*Sens!$M$3767)*(1-Sens!$M$3722)</f>
        <v>17.8459184540772</v>
      </c>
      <c r="N3847" s="38" t="n">
        <f aca="false">Q!$N$30</f>
        <v>2.316</v>
      </c>
      <c r="O3847" s="38" t="n">
        <f aca="false">Q!$O$30</f>
        <v>2.591</v>
      </c>
    </row>
    <row r="3848" customFormat="false" ht="17.15" hidden="false" customHeight="false" outlineLevel="0" collapsed="false">
      <c r="A3848" s="0" t="s">
        <v>541</v>
      </c>
      <c r="B3848" s="0" t="s">
        <v>86</v>
      </c>
      <c r="C3848" s="38" t="n">
        <f aca="false">Sens!$C$3779</f>
        <v>13.32</v>
      </c>
      <c r="D3848" s="38" t="n">
        <f aca="false">Sens!$D$3779</f>
        <v>21.45</v>
      </c>
      <c r="E3848" s="38" t="n">
        <f aca="false">Sens!$E$3779</f>
        <v>15.353</v>
      </c>
      <c r="F3848" s="38" t="n">
        <f aca="false">Sens!$F$3779</f>
        <v>15.4404120185306</v>
      </c>
      <c r="G3848" s="38" t="n">
        <f aca="false">Sens!$G$3779</f>
        <v>30.7934120185306</v>
      </c>
      <c r="H3848" s="38" t="n">
        <f aca="false">Sens!$H$3779</f>
        <v>48.250114371455</v>
      </c>
      <c r="I3848" s="38" t="n">
        <f aca="false">Sens!$I$3779</f>
        <v>73.3965146995963</v>
      </c>
      <c r="J3848" s="38" t="n">
        <f aca="false">Sens!$J$3779</f>
        <v>99.22806138309</v>
      </c>
      <c r="K3848" s="38" t="n">
        <f aca="false">Sens!$K$3779</f>
        <v>125.386627452856</v>
      </c>
      <c r="L3848" s="38" t="n">
        <f aca="false">Sens!$L$3779</f>
        <v>144.77239043275</v>
      </c>
      <c r="M3848" s="38" t="n">
        <f aca="false">Sens!$M$3779</f>
        <v>158.693930910983</v>
      </c>
      <c r="N3848" s="38" t="n">
        <f aca="false">Sens!$N$3779</f>
        <v>9.234</v>
      </c>
      <c r="O3848" s="38" t="n">
        <f aca="false">Sens!$O$3779</f>
        <v>12.216</v>
      </c>
    </row>
    <row r="3849" customFormat="false" ht="17.15" hidden="false" customHeight="false" outlineLevel="0" collapsed="false">
      <c r="A3849" s="5" t="s">
        <v>745</v>
      </c>
      <c r="B3849" s="0" t="s">
        <v>86</v>
      </c>
      <c r="C3849" s="38" t="n">
        <f aca="false">Sens!$C$3846+Sens!$C$3847+Sens!$C$3848</f>
        <v>32.067</v>
      </c>
      <c r="D3849" s="38" t="n">
        <f aca="false">Sens!$D$3846+Sens!$D$3847+Sens!$D$3848</f>
        <v>41.86</v>
      </c>
      <c r="E3849" s="38" t="n">
        <f aca="false">Sens!$E$3846+Sens!$E$3847+Sens!$E$3848</f>
        <v>26.703</v>
      </c>
      <c r="F3849" s="38" t="n">
        <f aca="false">Sens!$F$3846+Sens!$F$3847+Sens!$F$3848</f>
        <v>28.2071421626285</v>
      </c>
      <c r="G3849" s="38" t="n">
        <f aca="false">Sens!$G$3846+Sens!$G$3847+Sens!$G$3848</f>
        <v>54.9101421626285</v>
      </c>
      <c r="H3849" s="38" t="n">
        <f aca="false">Sens!$H$3846+Sens!$H$3847+Sens!$H$3848</f>
        <v>78.1799395827871</v>
      </c>
      <c r="I3849" s="38" t="n">
        <f aca="false">Sens!$I$3846+Sens!$I$3847+Sens!$I$3848</f>
        <v>111.171125554384</v>
      </c>
      <c r="J3849" s="38" t="n">
        <f aca="false">Sens!$J$3846+Sens!$J$3847+Sens!$J$3848</f>
        <v>144.884406220971</v>
      </c>
      <c r="K3849" s="38" t="n">
        <f aca="false">Sens!$K$3846+Sens!$K$3847+Sens!$K$3848</f>
        <v>178.806419437999</v>
      </c>
      <c r="L3849" s="38" t="n">
        <f aca="false">Sens!$L$3846+Sens!$L$3847+Sens!$L$3848</f>
        <v>204.341339029663</v>
      </c>
      <c r="M3849" s="38" t="n">
        <f aca="false">Sens!$M$3846+Sens!$M$3847+Sens!$M$3848</f>
        <v>223.130577995387</v>
      </c>
      <c r="N3849" s="38" t="n">
        <f aca="false">Sens!$N$3846+Sens!$N$3847+Sens!$N$3848</f>
        <v>18.822</v>
      </c>
      <c r="O3849" s="38" t="n">
        <f aca="false">Sens!$O$3846+Sens!$O$3847+Sens!$O$3848</f>
        <v>23.038</v>
      </c>
    </row>
    <row r="3850" customFormat="false" ht="17.15" hidden="false" customHeight="false" outlineLevel="0" collapsed="false">
      <c r="A3850" s="0" t="s">
        <v>746</v>
      </c>
      <c r="B3850" s="0" t="s">
        <v>86</v>
      </c>
      <c r="C3850" s="38" t="n">
        <f aca="false">Sens!$C$3821+Sens!$C$3826</f>
        <v>33.7284</v>
      </c>
      <c r="D3850" s="38" t="n">
        <f aca="false">Sens!$D$3821+Sens!$D$3826</f>
        <v>41.181</v>
      </c>
      <c r="E3850" s="38" t="n">
        <f aca="false">Sens!$E$3821+Sens!$E$3826</f>
        <v>22.2312</v>
      </c>
      <c r="F3850" s="38" t="n">
        <f aca="false">Sens!$F$3821+Sens!$F$3826</f>
        <v>27.6943331966489</v>
      </c>
      <c r="G3850" s="38" t="n">
        <f aca="false">Sens!$G$3821+Sens!$G$3826</f>
        <v>49.9255331966489</v>
      </c>
      <c r="H3850" s="38" t="n">
        <f aca="false">Sens!$H$3821+Sens!$H$3826</f>
        <v>59.9381534327385</v>
      </c>
      <c r="I3850" s="38" t="n">
        <f aca="false">Sens!$I$3821+Sens!$I$3826</f>
        <v>69.9498666572977</v>
      </c>
      <c r="J3850" s="38" t="n">
        <f aca="false">Sens!$J$3821+Sens!$J$3826</f>
        <v>79.2893651651711</v>
      </c>
      <c r="K3850" s="38" t="n">
        <f aca="false">Sens!$K$3821+Sens!$K$3826</f>
        <v>87.2183016816882</v>
      </c>
      <c r="L3850" s="38" t="n">
        <f aca="false">Sens!$L$3821+Sens!$L$3826</f>
        <v>95.940131849857</v>
      </c>
      <c r="M3850" s="38" t="n">
        <f aca="false">Sens!$M$3821+Sens!$M$3826</f>
        <v>105.534145034843</v>
      </c>
      <c r="N3850" s="38" t="n">
        <f aca="false">Sens!$N$3821+Sens!$N$3826</f>
        <v>17.769</v>
      </c>
      <c r="O3850" s="38" t="n">
        <f aca="false">Sens!$O$3821+Sens!$O$3826</f>
        <v>23.412</v>
      </c>
    </row>
    <row r="3851" customFormat="false" ht="17.15" hidden="false" customHeight="false" outlineLevel="0" collapsed="false">
      <c r="A3851" s="0" t="s">
        <v>747</v>
      </c>
      <c r="B3851" s="0" t="s">
        <v>86</v>
      </c>
      <c r="C3851" s="38" t="n">
        <f aca="false">Sens!$C$3825+Sens!$C$3830+Sens!$C$3846+Sens!$C$3847-Sens!$C$3850</f>
        <v>13.7776</v>
      </c>
      <c r="D3851" s="38" t="n">
        <f aca="false">Sens!$D$3825+Sens!$D$3830+Sens!$D$3846+Sens!$D$3847-Sens!$D$3850</f>
        <v>13.598</v>
      </c>
      <c r="E3851" s="38" t="n">
        <f aca="false">Sens!$E$3825+Sens!$E$3830+Sens!$E$3846+Sens!$E$3847-Sens!$E$3850</f>
        <v>9.6498</v>
      </c>
      <c r="F3851" s="38" t="n">
        <f aca="false">Sens!$F$3825+Sens!$F$3830+Sens!$F$3846+Sens!$F$3847-Sens!$F$3850</f>
        <v>8.02768523582742</v>
      </c>
      <c r="G3851" s="38" t="n">
        <f aca="false">Sens!$G$3825+Sens!$G$3830+Sens!$G$3846+Sens!$G$3847-Sens!$G$3850</f>
        <v>17.6774852358274</v>
      </c>
      <c r="H3851" s="38" t="n">
        <f aca="false">Sens!$H$3825+Sens!$H$3830+Sens!$H$3846+Sens!$H$3847-Sens!$H$3850</f>
        <v>19.0252440234056</v>
      </c>
      <c r="I3851" s="38" t="n">
        <f aca="false">Sens!$I$3825+Sens!$I$3830+Sens!$I$3846+Sens!$I$3847-Sens!$I$3850</f>
        <v>20.5108560936453</v>
      </c>
      <c r="J3851" s="38" t="n">
        <f aca="false">Sens!$J$3825+Sens!$J$3830+Sens!$J$3846+Sens!$J$3847-Sens!$J$3850</f>
        <v>22.0455128873474</v>
      </c>
      <c r="K3851" s="38" t="n">
        <f aca="false">Sens!$K$3825+Sens!$K$3830+Sens!$K$3846+Sens!$K$3847-Sens!$K$3850</f>
        <v>23.8190453296033</v>
      </c>
      <c r="L3851" s="38" t="n">
        <f aca="false">Sens!$L$3825+Sens!$L$3830+Sens!$L$3846+Sens!$L$3847-Sens!$L$3850</f>
        <v>24.7791915625162</v>
      </c>
      <c r="M3851" s="38" t="n">
        <f aca="false">Sens!$M$3825+Sens!$M$3830+Sens!$M$3846+Sens!$M$3847-Sens!$M$3850</f>
        <v>26.4963906716583</v>
      </c>
      <c r="N3851" s="38" t="n">
        <f aca="false">Sens!$N$3825+Sens!$N$3830+Sens!$N$3846+Sens!$N$3847-Sens!$N$3850</f>
        <v>7.688</v>
      </c>
      <c r="O3851" s="38" t="n">
        <f aca="false">Sens!$O$3825+Sens!$O$3830+Sens!$O$3846+Sens!$O$3847-Sens!$O$3850</f>
        <v>5.91000000000001</v>
      </c>
    </row>
    <row r="3852" customFormat="false" ht="17.15" hidden="false" customHeight="false" outlineLevel="0" collapsed="false">
      <c r="A3852" s="0" t="s">
        <v>748</v>
      </c>
      <c r="B3852" s="0" t="s">
        <v>86</v>
      </c>
      <c r="C3852" s="38" t="n">
        <f aca="false">Sens!$C$3832+Sens!$C$3848-ext_sh*Sens!$C$3767</f>
        <v>51.3470500115664</v>
      </c>
      <c r="D3852" s="38" t="n">
        <f aca="false">Sens!$D$3832+Sens!$D$3848-ext_sh*Sens!$D$3767</f>
        <v>60.2799375433739</v>
      </c>
      <c r="E3852" s="38" t="n">
        <f aca="false">Sens!$E$3832+Sens!$E$3848-ext_sh*Sens!$E$3767</f>
        <v>39.5095167090767</v>
      </c>
      <c r="F3852" s="38" t="n">
        <f aca="false">Sens!$F$3832+Sens!$F$3848-ext_sh*Sens!$F$3767</f>
        <v>37.5468918745429</v>
      </c>
      <c r="G3852" s="38" t="n">
        <f aca="false">Sens!$G$3832+Sens!$G$3848-ext_sh*Sens!$G$3767</f>
        <v>77.0564085836196</v>
      </c>
      <c r="H3852" s="38" t="n">
        <f aca="false">Sens!$H$3832+Sens!$H$3848-ext_sh*Sens!$H$3767</f>
        <v>84.2378398616123</v>
      </c>
      <c r="I3852" s="38" t="n">
        <f aca="false">Sens!$I$3832+Sens!$I$3848-ext_sh*Sens!$I$3767</f>
        <v>93.5253492849083</v>
      </c>
      <c r="J3852" s="38" t="n">
        <f aca="false">Sens!$J$3832+Sens!$J$3848-ext_sh*Sens!$J$3767</f>
        <v>102.42210777817</v>
      </c>
      <c r="K3852" s="38" t="n">
        <f aca="false">Sens!$K$3832+Sens!$K$3848-ext_sh*Sens!$K$3767</f>
        <v>110.615876400424</v>
      </c>
      <c r="L3852" s="38" t="n">
        <f aca="false">Sens!$L$3832+Sens!$L$3848-ext_sh*Sens!$L$3767</f>
        <v>119.465146512458</v>
      </c>
      <c r="M3852" s="38" t="n">
        <f aca="false">Sens!$M$3832+Sens!$M$3848-ext_sh*Sens!$M$3767</f>
        <v>129.022358233455</v>
      </c>
      <c r="N3852" s="38" t="n">
        <f aca="false">Sens!$N$3832+Sens!$N$3848-ext_sh*Sens!$N$3767</f>
        <v>28.5693781401809</v>
      </c>
      <c r="O3852" s="38" t="n">
        <f aca="false">Sens!$O$3832+Sens!$O$3848-ext_sh*Sens!$O$3767</f>
        <v>31.7105594031931</v>
      </c>
    </row>
    <row r="3853" customFormat="false" ht="17.15" hidden="false" customHeight="false" outlineLevel="0" collapsed="false">
      <c r="A3853" s="0" t="s">
        <v>749</v>
      </c>
      <c r="B3853" s="0" t="s">
        <v>86</v>
      </c>
      <c r="C3853" s="38" t="n">
        <f aca="false">Sens!$C$3770</f>
        <v>1.80694998843362</v>
      </c>
      <c r="D3853" s="38" t="n">
        <f aca="false">Sens!$D$3770</f>
        <v>6.77606245662607</v>
      </c>
      <c r="E3853" s="38" t="n">
        <f aca="false">Sens!$E$3770</f>
        <v>6.62548329092326</v>
      </c>
      <c r="F3853" s="38" t="n">
        <f aca="false">Sens!$F$3770</f>
        <v>11.7200577158706</v>
      </c>
      <c r="G3853" s="38" t="n">
        <f aca="false">Sens!$G$3770</f>
        <v>18.3455410067939</v>
      </c>
      <c r="H3853" s="38" t="n">
        <f aca="false">Sens!$H$3770</f>
        <v>47.5171727060453</v>
      </c>
      <c r="I3853" s="38" t="n">
        <f aca="false">Sens!$I$3770</f>
        <v>80.5539692643667</v>
      </c>
      <c r="J3853" s="38" t="n">
        <f aca="false">Sens!$J$3770</f>
        <v>113.759316834883</v>
      </c>
      <c r="K3853" s="38" t="n">
        <f aca="false">Sens!$K$3770</f>
        <v>142.084411492169</v>
      </c>
      <c r="L3853" s="38" t="n">
        <f aca="false">Sens!$L$3770</f>
        <v>160.69964615804</v>
      </c>
      <c r="M3853" s="38" t="n">
        <f aca="false">Sens!$M$3770</f>
        <v>169.577607141793</v>
      </c>
      <c r="N3853" s="38" t="n">
        <f aca="false">Sens!$N$3770</f>
        <v>2.37162185981912</v>
      </c>
      <c r="O3853" s="38" t="n">
        <f aca="false">Sens!$O$3770</f>
        <v>4.40444059680694</v>
      </c>
    </row>
    <row r="3854" customFormat="false" ht="17.15" hidden="false" customHeight="false" outlineLevel="0" collapsed="false">
      <c r="A3854" s="0" t="s">
        <v>750</v>
      </c>
      <c r="B3854" s="0" t="s">
        <v>86</v>
      </c>
      <c r="C3854" s="38" t="n">
        <f aca="false">Sens!$C$3835+Sens!$C$3849</f>
        <v>100.66</v>
      </c>
      <c r="D3854" s="38" t="n">
        <f aca="false">Sens!$D$3835+Sens!$D$3849</f>
        <v>121.835</v>
      </c>
      <c r="E3854" s="38" t="n">
        <f aca="false">Sens!$E$3835+Sens!$E$3849</f>
        <v>78.016</v>
      </c>
      <c r="F3854" s="38" t="n">
        <f aca="false">Sens!$F$3835+Sens!$F$3849</f>
        <v>84.9889680228897</v>
      </c>
      <c r="G3854" s="38" t="n">
        <f aca="false">Sens!$G$3835+Sens!$G$3849</f>
        <v>163.00496802289</v>
      </c>
      <c r="H3854" s="38" t="n">
        <f aca="false">Sens!$H$3835+Sens!$H$3849</f>
        <v>210.718410023802</v>
      </c>
      <c r="I3854" s="38" t="n">
        <f aca="false">Sens!$I$3835+Sens!$I$3849</f>
        <v>264.540041300218</v>
      </c>
      <c r="J3854" s="38" t="n">
        <f aca="false">Sens!$J$3835+Sens!$J$3849</f>
        <v>317.516302665572</v>
      </c>
      <c r="K3854" s="38" t="n">
        <f aca="false">Sens!$K$3835+Sens!$K$3849</f>
        <v>363.737634903885</v>
      </c>
      <c r="L3854" s="38" t="n">
        <f aca="false">Sens!$L$3835+Sens!$L$3849</f>
        <v>400.884116082872</v>
      </c>
      <c r="M3854" s="38" t="n">
        <f aca="false">Sens!$M$3835+Sens!$M$3849</f>
        <v>430.630501081749</v>
      </c>
      <c r="N3854" s="38" t="n">
        <f aca="false">Sens!$N$3835+Sens!$N$3849</f>
        <v>56.398</v>
      </c>
      <c r="O3854" s="38" t="n">
        <f aca="false">Sens!$O$3835+Sens!$O$3849</f>
        <v>65.437</v>
      </c>
    </row>
    <row r="3855" customFormat="false" ht="17.15" hidden="false" customHeight="false" outlineLevel="0" collapsed="false">
      <c r="A3855" s="1" t="s">
        <v>751</v>
      </c>
    </row>
    <row r="3856" customFormat="false" ht="15" hidden="false" customHeight="false" outlineLevel="0" collapsed="false">
      <c r="A3856" s="5" t="s">
        <v>544</v>
      </c>
      <c r="B3856" s="0" t="s">
        <v>86</v>
      </c>
      <c r="C3856" s="38" t="n">
        <f aca="false">Q!$D$34</f>
        <v>2.406</v>
      </c>
      <c r="D3856" s="38" t="n">
        <f aca="false">Q!$E$34</f>
        <v>2.274</v>
      </c>
      <c r="E3856" s="38" t="n">
        <f aca="false">Q!$P$34</f>
        <v>2.114</v>
      </c>
      <c r="F3856" s="38" t="n">
        <f aca="false">Sens!$F$3894</f>
        <v>3.24888962733561</v>
      </c>
      <c r="G3856" s="38" t="n">
        <f aca="false">Sens!$E$3856+Sens!$F$3856</f>
        <v>5.36288962733561</v>
      </c>
      <c r="H3856" s="38" t="n">
        <f aca="false">Sens!$H$3894</f>
        <v>7.42354172302123</v>
      </c>
      <c r="I3856" s="38" t="n">
        <f aca="false">Sens!$I$3894</f>
        <v>8.4328632424748</v>
      </c>
      <c r="J3856" s="38" t="n">
        <f aca="false">Sens!$J$3894</f>
        <v>9.47548985120193</v>
      </c>
      <c r="K3856" s="38" t="n">
        <f aca="false">Sens!$K$3894</f>
        <v>9.47548985120193</v>
      </c>
      <c r="L3856" s="38" t="n">
        <f aca="false">Sens!$L$3894</f>
        <v>9.47548985120193</v>
      </c>
      <c r="M3856" s="38" t="n">
        <f aca="false">Sens!$M$3894</f>
        <v>9.47548985120193</v>
      </c>
      <c r="N3856" s="38" t="n">
        <f aca="false">Q!$N$34</f>
        <v>1.057</v>
      </c>
      <c r="O3856" s="38" t="n">
        <f aca="false">Q!$O$34</f>
        <v>1.217</v>
      </c>
    </row>
    <row r="3857" customFormat="false" ht="15" hidden="false" customHeight="false" outlineLevel="0" collapsed="false">
      <c r="A3857" s="5" t="s">
        <v>752</v>
      </c>
      <c r="B3857" s="0" t="s">
        <v>86</v>
      </c>
      <c r="F3857" s="38" t="n">
        <f aca="false">Sens!$F$3895</f>
        <v>2.59</v>
      </c>
      <c r="H3857" s="38" t="n">
        <f aca="false">Sens!$H$3895</f>
        <v>3.77283071282785</v>
      </c>
      <c r="I3857" s="38" t="n">
        <f aca="false">Sens!$I$3895</f>
        <v>2.10589651022864</v>
      </c>
      <c r="J3857" s="38" t="n">
        <f aca="false">Sens!$J$3895</f>
        <v>2.10589651022864</v>
      </c>
      <c r="K3857" s="38" t="n">
        <f aca="false">Sens!$K$3895</f>
        <v>3.13491600035512</v>
      </c>
      <c r="L3857" s="38" t="n">
        <f aca="false">Sens!$L$3895</f>
        <v>8.25406956144073</v>
      </c>
      <c r="M3857" s="38" t="n">
        <f aca="false">Sens!$M$3895</f>
        <v>15.8740970429932</v>
      </c>
    </row>
    <row r="3858" customFormat="false" ht="17.15" hidden="false" customHeight="false" outlineLevel="0" collapsed="false">
      <c r="A3858" s="5" t="s">
        <v>753</v>
      </c>
      <c r="B3858" s="0" t="s">
        <v>86</v>
      </c>
      <c r="C3858" s="38" t="n">
        <f aca="false">Q!$D$39</f>
        <v>2.427</v>
      </c>
      <c r="D3858" s="38" t="n">
        <f aca="false">Q!$E$39</f>
        <v>19.61</v>
      </c>
      <c r="E3858" s="38" t="n">
        <f aca="false">Q!$P$39</f>
        <v>71.492</v>
      </c>
      <c r="F3858" s="39" t="n">
        <v>0</v>
      </c>
      <c r="G3858" s="38" t="n">
        <f aca="false">Sens!$E$3858+Sens!$F$3858</f>
        <v>71.492</v>
      </c>
      <c r="H3858" s="39" t="n">
        <v>0</v>
      </c>
      <c r="I3858" s="39" t="n">
        <v>0</v>
      </c>
      <c r="J3858" s="39" t="n">
        <v>0</v>
      </c>
      <c r="K3858" s="39" t="n">
        <v>0</v>
      </c>
      <c r="L3858" s="39" t="n">
        <v>0</v>
      </c>
      <c r="M3858" s="39" t="n">
        <v>0</v>
      </c>
      <c r="N3858" s="38" t="n">
        <f aca="false">Q!$N$39</f>
        <v>6.017</v>
      </c>
      <c r="O3858" s="38" t="n">
        <f aca="false">Q!$O$39</f>
        <v>13.593</v>
      </c>
      <c r="P3858" s="5" t="s">
        <v>754</v>
      </c>
    </row>
    <row r="3859" customFormat="false" ht="15" hidden="false" customHeight="false" outlineLevel="0" collapsed="false">
      <c r="A3859" s="5" t="s">
        <v>547</v>
      </c>
      <c r="B3859" s="0" t="s">
        <v>86</v>
      </c>
      <c r="C3859" s="38" t="n">
        <f aca="false">Q!$D$36</f>
        <v>68.614</v>
      </c>
      <c r="D3859" s="38" t="n">
        <f aca="false">Q!$E$36</f>
        <v>97.311</v>
      </c>
      <c r="E3859" s="38" t="n">
        <f aca="false">Q!$P$36</f>
        <v>120.691</v>
      </c>
      <c r="F3859" s="38" t="n">
        <f aca="false">Sens!$F$3835-Sens!$F$3856+Sens!$F$3857+Sens!$F$3858</f>
        <v>56.1229362329256</v>
      </c>
      <c r="G3859" s="38" t="n">
        <f aca="false">Sens!$E$3859+Sens!$F$3859</f>
        <v>176.813936232926</v>
      </c>
      <c r="H3859" s="38" t="n">
        <f aca="false">Sens!$H$3835-Sens!$H$3856+Sens!$H$3857+Sens!$H$3858</f>
        <v>128.887759430821</v>
      </c>
      <c r="I3859" s="38" t="n">
        <f aca="false">Sens!$I$3835-Sens!$I$3856+Sens!$I$3857+Sens!$I$3858</f>
        <v>147.041949013588</v>
      </c>
      <c r="J3859" s="38" t="n">
        <f aca="false">Sens!$J$3835-Sens!$J$3856+Sens!$J$3857+Sens!$J$3858</f>
        <v>165.262303103628</v>
      </c>
      <c r="K3859" s="38" t="n">
        <f aca="false">Sens!$K$3835-Sens!$K$3856+Sens!$K$3857+Sens!$K$3858</f>
        <v>178.590641615039</v>
      </c>
      <c r="L3859" s="38" t="n">
        <f aca="false">Sens!$L$3835-Sens!$L$3856+Sens!$L$3857+Sens!$L$3858</f>
        <v>195.321356763448</v>
      </c>
      <c r="M3859" s="38" t="n">
        <f aca="false">Sens!$M$3835-Sens!$M$3856+Sens!$M$3857+Sens!$M$3858</f>
        <v>213.898530278154</v>
      </c>
      <c r="N3859" s="38" t="n">
        <f aca="false">Q!$N$36</f>
        <v>42.536</v>
      </c>
      <c r="O3859" s="38" t="n">
        <f aca="false">Q!$O$36</f>
        <v>54.775</v>
      </c>
    </row>
    <row r="3860" customFormat="false" ht="15" hidden="false" customHeight="false" outlineLevel="0" collapsed="false">
      <c r="A3860" s="5" t="s">
        <v>548</v>
      </c>
      <c r="B3860" s="0" t="s">
        <v>86</v>
      </c>
      <c r="C3860" s="38" t="n">
        <f aca="false">Q!$D$37</f>
        <v>9.265</v>
      </c>
      <c r="D3860" s="38" t="n">
        <f aca="false">Q!$E$37</f>
        <v>19.087</v>
      </c>
      <c r="E3860" s="38" t="n">
        <f aca="false">Q!$P$37</f>
        <v>27.759</v>
      </c>
      <c r="F3860" s="38" t="n">
        <f aca="false">Sens!$F$3859*tax</f>
        <v>9.74207331857441</v>
      </c>
      <c r="G3860" s="38" t="n">
        <f aca="false">Sens!$E$3860+Sens!$F$3860</f>
        <v>37.5010733185744</v>
      </c>
      <c r="H3860" s="38" t="n">
        <f aca="false">Sens!$H$3859*tax</f>
        <v>22.3729207080438</v>
      </c>
      <c r="I3860" s="38" t="n">
        <f aca="false">Sens!$I$3859*tax</f>
        <v>25.5242071129566</v>
      </c>
      <c r="J3860" s="38" t="n">
        <f aca="false">Sens!$J$3859*tax</f>
        <v>28.6869786525437</v>
      </c>
      <c r="K3860" s="38" t="n">
        <f aca="false">Sens!$K$3859*tax</f>
        <v>31.0005719836918</v>
      </c>
      <c r="L3860" s="38" t="n">
        <f aca="false">Sens!$L$3859*tax</f>
        <v>33.9047652527596</v>
      </c>
      <c r="M3860" s="38" t="n">
        <f aca="false">Sens!$M$3859*tax</f>
        <v>37.1294751232665</v>
      </c>
      <c r="N3860" s="38" t="n">
        <f aca="false">Q!$N$37</f>
        <v>7.231</v>
      </c>
      <c r="O3860" s="38" t="n">
        <f aca="false">Q!$O$37</f>
        <v>11.856</v>
      </c>
    </row>
    <row r="3861" customFormat="false" ht="15" hidden="false" customHeight="false" outlineLevel="0" collapsed="false">
      <c r="A3861" s="3" t="s">
        <v>549</v>
      </c>
      <c r="B3861" s="8" t="s">
        <v>86</v>
      </c>
      <c r="C3861" s="38" t="n">
        <f aca="false">Q!$D$38</f>
        <v>59.248</v>
      </c>
      <c r="D3861" s="38" t="n">
        <f aca="false">Q!$E$38</f>
        <v>77.67</v>
      </c>
      <c r="E3861" s="38" t="n">
        <f aca="false">Q!$P$38</f>
        <v>92.902</v>
      </c>
      <c r="F3861" s="38" t="n">
        <f aca="false">Sens!$F$3859-Sens!$F$3860</f>
        <v>46.3808629143512</v>
      </c>
      <c r="G3861" s="38" t="n">
        <f aca="false">Sens!$E$3861+Sens!$F$3861</f>
        <v>139.282862914351</v>
      </c>
      <c r="H3861" s="38" t="n">
        <f aca="false">Sens!$H$3859-Sens!$H$3860</f>
        <v>106.514838722777</v>
      </c>
      <c r="I3861" s="38" t="n">
        <f aca="false">Sens!$I$3859-Sens!$I$3860</f>
        <v>121.517741900631</v>
      </c>
      <c r="J3861" s="38" t="n">
        <f aca="false">Sens!$J$3859-Sens!$J$3860</f>
        <v>136.575324451084</v>
      </c>
      <c r="K3861" s="38" t="n">
        <f aca="false">Sens!$K$3859-Sens!$K$3860</f>
        <v>147.590069631347</v>
      </c>
      <c r="L3861" s="38" t="n">
        <f aca="false">Sens!$L$3859-Sens!$L$3860</f>
        <v>161.416591510688</v>
      </c>
      <c r="M3861" s="38" t="n">
        <f aca="false">Sens!$M$3859-Sens!$M$3860</f>
        <v>176.769055154887</v>
      </c>
      <c r="N3861" s="38" t="n">
        <f aca="false">Q!$N$38</f>
        <v>35.291</v>
      </c>
      <c r="O3861" s="38" t="n">
        <f aca="false">Q!$O$38</f>
        <v>42.379</v>
      </c>
    </row>
    <row r="3862" customFormat="false" ht="17.15" hidden="false" customHeight="false" outlineLevel="0" collapsed="false">
      <c r="A3862" s="5" t="s">
        <v>552</v>
      </c>
      <c r="B3862" s="5" t="s">
        <v>33</v>
      </c>
      <c r="C3862" s="22" t="n">
        <f aca="false">Q!$D$41</f>
        <v>10.721</v>
      </c>
      <c r="D3862" s="22" t="n">
        <f aca="false">Q!$E$41</f>
        <v>10.827</v>
      </c>
      <c r="E3862" s="22" t="n">
        <f aca="false">(Q!$L$41+Q!$M$41)/2</f>
        <v>10.8885</v>
      </c>
      <c r="F3862" s="22" t="n">
        <f aca="false">Sens!$G$3862</f>
        <v>10.924806</v>
      </c>
      <c r="G3862" s="22" t="n">
        <f aca="false">Q!$M$41*(1+sh_g*0.25)</f>
        <v>10.924806</v>
      </c>
      <c r="H3862" s="22" t="n">
        <f aca="false">Sens!$G$3862*(1+sh_g)</f>
        <v>11.012204448</v>
      </c>
      <c r="I3862" s="22" t="n">
        <f aca="false">Sens!$H$3862*(1+sh_g)</f>
        <v>11.100302083584</v>
      </c>
      <c r="J3862" s="22" t="n">
        <f aca="false">Sens!$I$3862*(1+sh_g)</f>
        <v>11.1891045002527</v>
      </c>
      <c r="K3862" s="22" t="n">
        <f aca="false">Sens!$J$3862*(1+sh_g)</f>
        <v>11.2786173362547</v>
      </c>
      <c r="L3862" s="22" t="n">
        <f aca="false">Sens!$K$3862*(1+sh_g)</f>
        <v>11.3688462749447</v>
      </c>
      <c r="M3862" s="22" t="n">
        <f aca="false">Sens!$L$3862*(1+sh_g)</f>
        <v>11.4597970451443</v>
      </c>
      <c r="P3862" s="5" t="s">
        <v>755</v>
      </c>
    </row>
    <row r="3863" customFormat="false" ht="17.15" hidden="false" customHeight="false" outlineLevel="0" collapsed="false">
      <c r="A3863" s="5" t="s">
        <v>756</v>
      </c>
      <c r="B3863" s="0" t="s">
        <v>86</v>
      </c>
      <c r="C3863" s="38" t="n">
        <f aca="false">Sens!$C$3861+Sens!$C$3837*(1-tax)</f>
        <v>59.248</v>
      </c>
      <c r="D3863" s="38" t="n">
        <f aca="false">Sens!$D$3861+Sens!$D$3837*(1-tax)</f>
        <v>77.67</v>
      </c>
      <c r="E3863" s="38" t="n">
        <f aca="false">Sens!$E$3861+Sens!$E$3837*(1-tax)</f>
        <v>92.902</v>
      </c>
      <c r="F3863" s="38" t="n">
        <f aca="false">Sens!$F$3861+Sens!$F$3837*(1-tax)</f>
        <v>49.4974578739999</v>
      </c>
      <c r="G3863" s="38" t="n">
        <f aca="false">Sens!$G$3861+Sens!$G$3837*(1-tax)</f>
        <v>142.399457874</v>
      </c>
      <c r="H3863" s="38" t="n">
        <f aca="false">Sens!$H$3861+Sens!$H$3837*(1-tax)</f>
        <v>119.046234678122</v>
      </c>
      <c r="I3863" s="38" t="n">
        <f aca="false">Sens!$I$3861+Sens!$I$3837*(1-tax)</f>
        <v>142.65900697557</v>
      </c>
      <c r="J3863" s="38" t="n">
        <f aca="false">Sens!$J$3861+Sens!$J$3837*(1-tax)</f>
        <v>166.364761395368</v>
      </c>
      <c r="K3863" s="38" t="n">
        <f aca="false">Sens!$K$3861+Sens!$K$3837*(1-tax)</f>
        <v>184.757375328006</v>
      </c>
      <c r="L3863" s="38" t="n">
        <f aca="false">Sens!$L$3861+Sens!$L$3837*(1-tax)</f>
        <v>203.432668851243</v>
      </c>
      <c r="M3863" s="38" t="n">
        <f aca="false">Sens!$M$3861+Sens!$M$3837*(1-tax)</f>
        <v>221.098577345728</v>
      </c>
      <c r="N3863" s="38" t="n">
        <f aca="false">Sens!$N$3861+Sens!$N$3837*(1-tax)</f>
        <v>35.291</v>
      </c>
      <c r="O3863" s="38" t="n">
        <f aca="false">Sens!$O$3861+Sens!$O$3837*(1-tax)</f>
        <v>42.379</v>
      </c>
    </row>
    <row r="3864" customFormat="false" ht="17.15" hidden="false" customHeight="false" outlineLevel="0" collapsed="false">
      <c r="A3864" s="43" t="s">
        <v>757</v>
      </c>
      <c r="B3864" s="14" t="s">
        <v>27</v>
      </c>
      <c r="C3864" s="44" t="n">
        <f aca="false">Sens!$C$3863/Sens!$C$3862</f>
        <v>5.52635015390355</v>
      </c>
      <c r="D3864" s="44" t="n">
        <f aca="false">Sens!$D$3863/Sens!$D$3862</f>
        <v>7.1737323358271</v>
      </c>
      <c r="E3864" s="44" t="n">
        <f aca="false">Sens!$E$3863/Sens!$E$3862</f>
        <v>8.53212104513937</v>
      </c>
      <c r="F3864" s="14"/>
      <c r="G3864" s="44" t="n">
        <f aca="false">Sens!$G$3863/Sens!$G$3862</f>
        <v>13.0345067797085</v>
      </c>
      <c r="H3864" s="44" t="n">
        <f aca="false">Sens!$H$3863/Sens!$H$3862</f>
        <v>10.8103908931461</v>
      </c>
      <c r="I3864" s="44" t="n">
        <f aca="false">Sens!$I$3863/Sens!$I$3862</f>
        <v>12.8518130318764</v>
      </c>
      <c r="J3864" s="44" t="n">
        <f aca="false">Sens!$J$3863/Sens!$J$3862</f>
        <v>14.8684607773223</v>
      </c>
      <c r="K3864" s="44" t="n">
        <f aca="false">Sens!$K$3863/Sens!$K$3862</f>
        <v>16.3812078927539</v>
      </c>
      <c r="L3864" s="44" t="n">
        <f aca="false">Sens!$L$3863/Sens!$L$3862</f>
        <v>17.893871016585</v>
      </c>
      <c r="M3864" s="44" t="n">
        <f aca="false">Sens!$M$3863/Sens!$M$3862</f>
        <v>19.2934112597929</v>
      </c>
      <c r="N3864" s="14"/>
      <c r="O3864" s="14"/>
    </row>
    <row r="3865" customFormat="false" ht="17.15" hidden="false" customHeight="false" outlineLevel="0" collapsed="false">
      <c r="A3865" s="0" t="s">
        <v>758</v>
      </c>
      <c r="B3865" s="0" t="s">
        <v>27</v>
      </c>
      <c r="C3865" s="30" t="n">
        <f aca="false">Sens!$C$3861/Sens!$C$3862</f>
        <v>5.52635015390355</v>
      </c>
      <c r="D3865" s="30" t="n">
        <f aca="false">Sens!$D$3861/Sens!$D$3862</f>
        <v>7.1737323358271</v>
      </c>
      <c r="E3865" s="30" t="n">
        <f aca="false">Sens!$E$3861/Sens!$E$3862</f>
        <v>8.53212104513937</v>
      </c>
      <c r="G3865" s="30" t="n">
        <f aca="false">Sens!$G$3861/Sens!$G$3862</f>
        <v>12.7492298640682</v>
      </c>
      <c r="H3865" s="30" t="n">
        <f aca="false">Sens!$H$3861/Sens!$H$3862</f>
        <v>9.67243563500333</v>
      </c>
      <c r="I3865" s="30" t="n">
        <f aca="false">Sens!$I$3861/Sens!$I$3862</f>
        <v>10.9472463889376</v>
      </c>
      <c r="J3865" s="30" t="n">
        <f aca="false">Sens!$J$3861/Sens!$J$3862</f>
        <v>12.2060996434522</v>
      </c>
      <c r="K3865" s="30" t="n">
        <f aca="false">Sens!$K$3861/Sens!$K$3862</f>
        <v>13.085830047352</v>
      </c>
      <c r="L3865" s="30" t="n">
        <f aca="false">Sens!$L$3861/Sens!$L$3862</f>
        <v>14.1981505956701</v>
      </c>
      <c r="M3865" s="30" t="n">
        <f aca="false">Sens!$M$3861/Sens!$M$3862</f>
        <v>15.4251470997724</v>
      </c>
    </row>
    <row r="3866" customFormat="false" ht="17.15" hidden="false" customHeight="false" outlineLevel="0" collapsed="false">
      <c r="A3866" s="0" t="s">
        <v>759</v>
      </c>
      <c r="B3866" s="0" t="s">
        <v>27</v>
      </c>
      <c r="C3866" s="30" t="n">
        <f aca="false">(Sens!$C$3861-Sens!$C$3858*(1-tax))/Sens!$C$3862</f>
        <v>5.33926775917445</v>
      </c>
      <c r="D3866" s="30" t="n">
        <f aca="false">(Sens!$D$3861-Sens!$D$3858*(1-tax))/Sens!$D$3862</f>
        <v>5.67691812755503</v>
      </c>
      <c r="E3866" s="30" t="n">
        <f aca="false">(Sens!$E$3861-Sens!$E$3858*(1-tax))/Sens!$E$3862</f>
        <v>3.10602057006846</v>
      </c>
      <c r="G3866" s="30" t="n">
        <f aca="false">(Sens!$G$3861-Sens!$G$3858*(1-tax))/Sens!$G$3862</f>
        <v>7.3411617461712</v>
      </c>
      <c r="H3866" s="30" t="n">
        <f aca="false">(Sens!$H$3861-Sens!$H$3858*(1-tax))/Sens!$H$3862</f>
        <v>9.67243563500333</v>
      </c>
      <c r="I3866" s="30" t="n">
        <f aca="false">(Sens!$I$3861-Sens!$I$3858*(1-tax))/Sens!$I$3862</f>
        <v>10.9472463889376</v>
      </c>
      <c r="J3866" s="30" t="n">
        <f aca="false">(Sens!$J$3861-Sens!$J$3858*(1-tax))/Sens!$J$3862</f>
        <v>12.2060996434522</v>
      </c>
      <c r="K3866" s="30" t="n">
        <f aca="false">(Sens!$K$3861-Sens!$K$3858*(1-tax))/Sens!$K$3862</f>
        <v>13.085830047352</v>
      </c>
      <c r="L3866" s="30" t="n">
        <f aca="false">(Sens!$L$3861-Sens!$L$3858*(1-tax))/Sens!$L$3862</f>
        <v>14.1981505956701</v>
      </c>
      <c r="M3866" s="30" t="n">
        <f aca="false">(Sens!$M$3861-Sens!$M$3858*(1-tax))/Sens!$M$3862</f>
        <v>15.4251470997724</v>
      </c>
      <c r="P3866" s="5" t="s">
        <v>760</v>
      </c>
    </row>
    <row r="3867" customFormat="false" ht="17.15" hidden="false" customHeight="false" outlineLevel="0" collapsed="false">
      <c r="A3867" s="0" t="s">
        <v>761</v>
      </c>
      <c r="B3867" s="0" t="s">
        <v>52</v>
      </c>
      <c r="H3867" s="13" t="n">
        <f aca="false">Sens!$H$3864/Sens!$G$3864-1</f>
        <v>-0.170632914935054</v>
      </c>
      <c r="I3867" s="13" t="n">
        <f aca="false">Sens!$I$3864/Sens!$H$3864-1</f>
        <v>0.188838882784953</v>
      </c>
      <c r="J3867" s="13" t="n">
        <f aca="false">Sens!$J$3864/Sens!$I$3864-1</f>
        <v>0.156915428231331</v>
      </c>
      <c r="K3867" s="13" t="n">
        <f aca="false">Sens!$K$3864/Sens!$J$3864-1</f>
        <v>0.101742012040601</v>
      </c>
      <c r="L3867" s="13" t="n">
        <f aca="false">Sens!$L$3864/Sens!$K$3864-1</f>
        <v>0.0923413666278066</v>
      </c>
      <c r="M3867" s="13" t="n">
        <f aca="false">Sens!$M$3864/Sens!$L$3864-1</f>
        <v>0.0782133861315264</v>
      </c>
    </row>
    <row r="3870" customFormat="false" ht="19.4" hidden="false" customHeight="false" outlineLevel="0" collapsed="false">
      <c r="A3870" s="31" t="s">
        <v>1213</v>
      </c>
    </row>
    <row r="3871" customFormat="false" ht="17.15" hidden="false" customHeight="false" outlineLevel="0" collapsed="false">
      <c r="A3871" s="6" t="s">
        <v>16</v>
      </c>
      <c r="B3871" s="6" t="s">
        <v>17</v>
      </c>
      <c r="C3871" s="20" t="s">
        <v>497</v>
      </c>
      <c r="D3871" s="20" t="s">
        <v>498</v>
      </c>
      <c r="E3871" s="20" t="s">
        <v>580</v>
      </c>
      <c r="F3871" s="20" t="s">
        <v>581</v>
      </c>
      <c r="G3871" s="20" t="s">
        <v>582</v>
      </c>
      <c r="H3871" s="20" t="s">
        <v>583</v>
      </c>
      <c r="I3871" s="20" t="s">
        <v>584</v>
      </c>
      <c r="J3871" s="20" t="s">
        <v>585</v>
      </c>
      <c r="K3871" s="20" t="s">
        <v>586</v>
      </c>
      <c r="L3871" s="20" t="s">
        <v>587</v>
      </c>
      <c r="M3871" s="20" t="s">
        <v>588</v>
      </c>
      <c r="N3871" s="20" t="s">
        <v>589</v>
      </c>
      <c r="O3871" s="20" t="s">
        <v>590</v>
      </c>
      <c r="P3871" s="6" t="s">
        <v>23</v>
      </c>
      <c r="R3871" s="20" t="n">
        <v>2023</v>
      </c>
      <c r="S3871" s="20" t="n">
        <v>2024</v>
      </c>
      <c r="T3871" s="20" t="n">
        <v>2025</v>
      </c>
      <c r="U3871" s="20" t="n">
        <v>2026</v>
      </c>
      <c r="V3871" s="20" t="n">
        <v>2027</v>
      </c>
      <c r="W3871" s="20" t="n">
        <v>2028</v>
      </c>
      <c r="X3871" s="20" t="n">
        <v>2029</v>
      </c>
      <c r="Y3871" s="20" t="n">
        <v>2030</v>
      </c>
      <c r="Z3871" s="20" t="n">
        <v>2031</v>
      </c>
      <c r="AA3871" s="20" t="n">
        <v>2032</v>
      </c>
    </row>
    <row r="3872" customFormat="false" ht="15" hidden="false" customHeight="false" outlineLevel="0" collapsed="false">
      <c r="A3872" s="5" t="s">
        <v>549</v>
      </c>
      <c r="B3872" s="0" t="s">
        <v>86</v>
      </c>
      <c r="C3872" s="38" t="n">
        <f aca="false">Sens!$C$3861</f>
        <v>59.248</v>
      </c>
      <c r="D3872" s="38" t="n">
        <f aca="false">Sens!$D$3861</f>
        <v>77.67</v>
      </c>
      <c r="E3872" s="38" t="n">
        <f aca="false">Sens!$E$3861</f>
        <v>92.902</v>
      </c>
      <c r="F3872" s="38" t="n">
        <f aca="false">Sens!$F$3861</f>
        <v>46.3808629143512</v>
      </c>
      <c r="G3872" s="38" t="n">
        <f aca="false">Sens!$G$3861</f>
        <v>139.282862914351</v>
      </c>
      <c r="H3872" s="38" t="n">
        <f aca="false">Sens!$H$3861</f>
        <v>106.514838722777</v>
      </c>
      <c r="I3872" s="38" t="n">
        <f aca="false">Sens!$I$3861</f>
        <v>121.517741900631</v>
      </c>
      <c r="J3872" s="38" t="n">
        <f aca="false">Sens!$J$3861</f>
        <v>136.575324451084</v>
      </c>
      <c r="K3872" s="38" t="n">
        <f aca="false">Sens!$K$3861</f>
        <v>147.590069631347</v>
      </c>
      <c r="L3872" s="38" t="n">
        <f aca="false">Sens!$L$3861</f>
        <v>161.416591510688</v>
      </c>
      <c r="M3872" s="38" t="n">
        <f aca="false">Sens!$M$3861</f>
        <v>176.769055154887</v>
      </c>
    </row>
    <row r="3873" customFormat="false" ht="17.15" hidden="false" customHeight="false" outlineLevel="0" collapsed="false">
      <c r="A3873" s="5" t="s">
        <v>784</v>
      </c>
      <c r="B3873" s="0" t="s">
        <v>86</v>
      </c>
      <c r="C3873" s="38" t="n">
        <f aca="false">Sens!$C$3849</f>
        <v>32.067</v>
      </c>
      <c r="D3873" s="38" t="n">
        <f aca="false">Sens!$D$3849</f>
        <v>41.86</v>
      </c>
      <c r="E3873" s="38" t="n">
        <f aca="false">Sens!$E$3849</f>
        <v>26.703</v>
      </c>
      <c r="F3873" s="38" t="n">
        <f aca="false">Sens!$F$3849</f>
        <v>28.2071421626285</v>
      </c>
      <c r="G3873" s="38" t="n">
        <f aca="false">Sens!$G$3849</f>
        <v>54.9101421626285</v>
      </c>
      <c r="H3873" s="38" t="n">
        <f aca="false">Sens!$H$3849</f>
        <v>78.1799395827871</v>
      </c>
      <c r="I3873" s="38" t="n">
        <f aca="false">Sens!$I$3849</f>
        <v>111.171125554384</v>
      </c>
      <c r="J3873" s="38" t="n">
        <f aca="false">Sens!$J$3849</f>
        <v>144.884406220971</v>
      </c>
      <c r="K3873" s="38" t="n">
        <f aca="false">Sens!$K$3849</f>
        <v>178.806419437999</v>
      </c>
      <c r="L3873" s="38" t="n">
        <f aca="false">Sens!$L$3849</f>
        <v>204.341339029663</v>
      </c>
      <c r="M3873" s="38" t="n">
        <f aca="false">Sens!$M$3849</f>
        <v>223.130577995387</v>
      </c>
    </row>
    <row r="3874" customFormat="false" ht="15" hidden="false" customHeight="false" outlineLevel="0" collapsed="false">
      <c r="A3874" s="5" t="s">
        <v>785</v>
      </c>
      <c r="B3874" s="0" t="s">
        <v>86</v>
      </c>
      <c r="C3874" s="38" t="n">
        <f aca="false">Q!$D$48</f>
        <v>22.011</v>
      </c>
      <c r="D3874" s="38" t="n">
        <f aca="false">Q!$E$48</f>
        <v>19.467</v>
      </c>
      <c r="E3874" s="38" t="n">
        <f aca="false">Q!$P$48</f>
        <v>10.07</v>
      </c>
      <c r="F3874" s="38" t="n">
        <f aca="false">sbc_r*Sens!$F$3791</f>
        <v>10.8507035798037</v>
      </c>
      <c r="G3874" s="38" t="n">
        <f aca="false">Sens!$E$3874+Sens!$F$3874</f>
        <v>20.9207035798037</v>
      </c>
      <c r="H3874" s="38" t="n">
        <f aca="false">sbc_r*Sens!$H$3791</f>
        <v>23.46224366345</v>
      </c>
      <c r="I3874" s="38" t="n">
        <f aca="false">sbc_r*Sens!$I$3791</f>
        <v>26.6125957111676</v>
      </c>
      <c r="J3874" s="38" t="n">
        <f aca="false">sbc_r*Sens!$J$3791</f>
        <v>29.6280801413323</v>
      </c>
      <c r="K3874" s="38" t="n">
        <f aca="false">sbc_r*Sens!$K$3791</f>
        <v>32.2712258901105</v>
      </c>
      <c r="L3874" s="38" t="n">
        <f aca="false">sbc_r*Sens!$L$3791</f>
        <v>34.7390505016737</v>
      </c>
      <c r="M3874" s="38" t="n">
        <f aca="false">sbc_r*Sens!$M$3791</f>
        <v>37.0405146906692</v>
      </c>
    </row>
    <row r="3875" customFormat="false" ht="17.15" hidden="false" customHeight="false" outlineLevel="0" collapsed="false">
      <c r="A3875" s="5" t="s">
        <v>786</v>
      </c>
      <c r="B3875" s="0" t="s">
        <v>86</v>
      </c>
      <c r="C3875" s="38" t="n">
        <f aca="false">Q!$D$44-Sens!$C$3872-Sens!$C$3873-Sens!$C$3874</f>
        <v>2.551</v>
      </c>
      <c r="D3875" s="38" t="n">
        <f aca="false">Q!$E$44-Sens!$D$3872-Sens!$D$3873-Sens!$D$3874</f>
        <v>0.51700000000001</v>
      </c>
      <c r="E3875" s="38" t="n">
        <f aca="false">Q!$P$44-Sens!$E$3872-Sens!$E$3873-Sens!$E$3874</f>
        <v>-58.256</v>
      </c>
      <c r="F3875" s="38" t="n">
        <f aca="false">oth_r*Sens!$F$3791</f>
        <v>5.22265251035878</v>
      </c>
      <c r="G3875" s="38" t="n">
        <f aca="false">Sens!$E$3875+Sens!$F$3875</f>
        <v>-53.0333474896412</v>
      </c>
      <c r="H3875" s="38" t="n">
        <f aca="false">oth_r*Sens!$H$3791</f>
        <v>11.2928295263397</v>
      </c>
      <c r="I3875" s="38" t="n">
        <f aca="false">oth_r*Sens!$I$3791</f>
        <v>12.8091546115766</v>
      </c>
      <c r="J3875" s="38" t="n">
        <f aca="false">oth_r*Sens!$J$3791</f>
        <v>14.2605653162668</v>
      </c>
      <c r="K3875" s="38" t="n">
        <f aca="false">oth_r*Sens!$K$3791</f>
        <v>15.5327622460396</v>
      </c>
      <c r="L3875" s="38" t="n">
        <f aca="false">oth_r*Sens!$L$3791</f>
        <v>16.720573737517</v>
      </c>
      <c r="M3875" s="38" t="n">
        <f aca="false">oth_r*Sens!$M$3791</f>
        <v>17.8283127551536</v>
      </c>
      <c r="P3875" s="8" t="s">
        <v>787</v>
      </c>
    </row>
    <row r="3876" customFormat="false" ht="15" hidden="false" customHeight="false" outlineLevel="0" collapsed="false">
      <c r="A3876" s="3" t="s">
        <v>555</v>
      </c>
      <c r="B3876" s="8" t="s">
        <v>86</v>
      </c>
      <c r="C3876" s="38" t="n">
        <f aca="false">Q!$D$44</f>
        <v>115.877</v>
      </c>
      <c r="D3876" s="38" t="n">
        <f aca="false">Q!$E$44</f>
        <v>139.514</v>
      </c>
      <c r="E3876" s="38" t="n">
        <f aca="false">Q!$P$44</f>
        <v>71.419</v>
      </c>
      <c r="F3876" s="38" t="n">
        <f aca="false">Sens!$F$3872+Sens!$F$3873+Sens!$F$3874+Sens!$F$3875</f>
        <v>90.6613611671422</v>
      </c>
      <c r="G3876" s="38" t="n">
        <f aca="false">Sens!$E$3876+Sens!$F$3876</f>
        <v>162.080361167142</v>
      </c>
      <c r="H3876" s="38" t="n">
        <f aca="false">Sens!$H$3872+Sens!$H$3873+Sens!$H$3874+Sens!$H$3875</f>
        <v>219.449851495354</v>
      </c>
      <c r="I3876" s="38" t="n">
        <f aca="false">Sens!$I$3872+Sens!$I$3873+Sens!$I$3874+Sens!$I$3875</f>
        <v>272.110617777759</v>
      </c>
      <c r="J3876" s="38" t="n">
        <f aca="false">Sens!$J$3872+Sens!$J$3873+Sens!$J$3874+Sens!$J$3875</f>
        <v>325.348376129654</v>
      </c>
      <c r="K3876" s="38" t="n">
        <f aca="false">Sens!$K$3872+Sens!$K$3873+Sens!$K$3874+Sens!$K$3875</f>
        <v>374.200477205496</v>
      </c>
      <c r="L3876" s="38" t="n">
        <f aca="false">Sens!$L$3872+Sens!$L$3873+Sens!$L$3874+Sens!$L$3875</f>
        <v>417.217554779541</v>
      </c>
      <c r="M3876" s="38" t="n">
        <f aca="false">Sens!$M$3872+Sens!$M$3873+Sens!$M$3874+Sens!$M$3875</f>
        <v>454.768460596097</v>
      </c>
    </row>
    <row r="3877" customFormat="false" ht="17.15" hidden="false" customHeight="false" outlineLevel="0" collapsed="false">
      <c r="A3877" s="5" t="s">
        <v>788</v>
      </c>
      <c r="B3877" s="0" t="s">
        <v>86</v>
      </c>
      <c r="C3877" s="38" t="n">
        <f aca="false">Sens!$C$3758</f>
        <v>25.2781053077374</v>
      </c>
      <c r="D3877" s="38" t="n">
        <f aca="false">Sens!$D$3758</f>
        <v>69.5686316310026</v>
      </c>
      <c r="E3877" s="38" t="n">
        <f aca="false">Sens!$E$3758</f>
        <v>64.1899206485108</v>
      </c>
      <c r="F3877" s="38" t="n">
        <f aca="false">Sens!$F$3758</f>
        <v>96.2481299895</v>
      </c>
      <c r="G3877" s="38" t="n">
        <f aca="false">Sens!$G$3758</f>
        <v>160.438050638011</v>
      </c>
      <c r="H3877" s="38" t="n">
        <f aca="false">Sens!$H$3758</f>
        <v>198.57136494475</v>
      </c>
      <c r="I3877" s="38" t="n">
        <f aca="false">Sens!$I$3758</f>
        <v>204.6464699105</v>
      </c>
      <c r="J3877" s="38" t="n">
        <f aca="false">Sens!$J$3758</f>
        <v>209.8832381105</v>
      </c>
      <c r="K3877" s="38" t="n">
        <f aca="false">Sens!$K$3758</f>
        <v>155.238385275201</v>
      </c>
      <c r="L3877" s="38" t="n">
        <f aca="false">Sens!$L$3758</f>
        <v>132.014141639902</v>
      </c>
      <c r="M3877" s="38" t="n">
        <f aca="false">Sens!$M$3758</f>
        <v>132.230981659852</v>
      </c>
    </row>
    <row r="3878" customFormat="false" ht="17.15" hidden="false" customHeight="false" outlineLevel="0" collapsed="false">
      <c r="A3878" s="5" t="s">
        <v>789</v>
      </c>
      <c r="B3878" s="0" t="s">
        <v>86</v>
      </c>
      <c r="C3878" s="38" t="n">
        <f aca="false">cx_awso*Sens!$C$3789</f>
        <v>21.0469989286053</v>
      </c>
      <c r="D3878" s="38" t="n">
        <f aca="false">cx_awso*Sens!$D$3789</f>
        <v>24.0042459822698</v>
      </c>
      <c r="E3878" s="38" t="n">
        <f aca="false">cx_awso*Sens!$E$3789</f>
        <v>14.261729404886</v>
      </c>
      <c r="F3878" s="38" t="n">
        <f aca="false">cx_awso*Sens!$F$3789</f>
        <v>14.3538599588493</v>
      </c>
      <c r="G3878" s="38" t="n">
        <f aca="false">Sens!$E$3878+Sens!$F$3878</f>
        <v>28.6155893637353</v>
      </c>
      <c r="H3878" s="38" t="n">
        <f aca="false">cx_awso*Sens!$H$3789</f>
        <v>32.2034154158406</v>
      </c>
      <c r="I3878" s="38" t="n">
        <f aca="false">cx_awso*Sens!$I$3789</f>
        <v>35.7539519042915</v>
      </c>
      <c r="J3878" s="38" t="n">
        <f aca="false">cx_awso*Sens!$J$3789</f>
        <v>39.1551076091815</v>
      </c>
      <c r="K3878" s="38" t="n">
        <f aca="false">cx_awso*Sens!$K$3789</f>
        <v>42.287516217916</v>
      </c>
      <c r="L3878" s="38" t="n">
        <f aca="false">cx_awso*Sens!$L$3789</f>
        <v>45.6705175153492</v>
      </c>
      <c r="M3878" s="38" t="n">
        <f aca="false">cx_awso*Sens!$M$3789</f>
        <v>49.3241589165772</v>
      </c>
    </row>
    <row r="3879" customFormat="false" ht="17.15" hidden="false" customHeight="false" outlineLevel="0" collapsed="false">
      <c r="A3879" s="5" t="s">
        <v>790</v>
      </c>
      <c r="B3879" s="0" t="s">
        <v>86</v>
      </c>
      <c r="C3879" s="38" t="n">
        <f aca="false">Q!$D$46-Sens!$C$3877-Sens!$C$3878</f>
        <v>31.3328957636573</v>
      </c>
      <c r="D3879" s="38" t="n">
        <f aca="false">Q!$E$46-Sens!$D$3877-Sens!$D$3878</f>
        <v>34.7471223867276</v>
      </c>
      <c r="E3879" s="38" t="n">
        <f aca="false">Q!$P$46-Sens!$E$3877-Sens!$E$3878</f>
        <v>17.8583499466032</v>
      </c>
      <c r="F3879" s="38" t="n">
        <f aca="false">cx_rt*Sens!$F$3721</f>
        <v>20.6195895799373</v>
      </c>
      <c r="G3879" s="38" t="n">
        <f aca="false">Sens!$E$3879+Sens!$F$3879</f>
        <v>38.4779395265405</v>
      </c>
      <c r="H3879" s="38" t="n">
        <f aca="false">cx_rt*Sens!$H$3721</f>
        <v>42.5978994743075</v>
      </c>
      <c r="I3879" s="38" t="n">
        <f aca="false">cx_rt*Sens!$I$3721</f>
        <v>46.5813904136335</v>
      </c>
      <c r="J3879" s="38" t="n">
        <f aca="false">cx_rt*Sens!$J$3721</f>
        <v>50.2781676586844</v>
      </c>
      <c r="K3879" s="38" t="n">
        <f aca="false">cx_rt*Sens!$K$3721</f>
        <v>53.5312440191755</v>
      </c>
      <c r="L3879" s="38" t="n">
        <f aca="false">cx_rt*Sens!$L$3721</f>
        <v>57.0116717051447</v>
      </c>
      <c r="M3879" s="38" t="n">
        <f aca="false">cx_rt*Sens!$M$3721</f>
        <v>60.7365554669226</v>
      </c>
    </row>
    <row r="3880" customFormat="false" ht="15" hidden="false" customHeight="false" outlineLevel="0" collapsed="false">
      <c r="A3880" s="3" t="s">
        <v>791</v>
      </c>
      <c r="B3880" s="8" t="s">
        <v>86</v>
      </c>
      <c r="C3880" s="38" t="n">
        <f aca="false">Q!$D$46</f>
        <v>77.658</v>
      </c>
      <c r="D3880" s="38" t="n">
        <f aca="false">Q!$E$46</f>
        <v>128.32</v>
      </c>
      <c r="E3880" s="38" t="n">
        <f aca="false">Q!$P$46</f>
        <v>96.31</v>
      </c>
      <c r="F3880" s="38" t="n">
        <f aca="false">Sens!$F$3877+Sens!$F$3878+Sens!$F$3879</f>
        <v>131.221579528287</v>
      </c>
      <c r="G3880" s="38" t="n">
        <f aca="false">Sens!$E$3880+Sens!$F$3880</f>
        <v>227.531579528287</v>
      </c>
      <c r="H3880" s="38" t="n">
        <f aca="false">Sens!$H$3877+Sens!$H$3878+Sens!$H$3879</f>
        <v>273.372679834898</v>
      </c>
      <c r="I3880" s="38" t="n">
        <f aca="false">Sens!$I$3877+Sens!$I$3878+Sens!$I$3879</f>
        <v>286.981812228425</v>
      </c>
      <c r="J3880" s="38" t="n">
        <f aca="false">Sens!$J$3877+Sens!$J$3878+Sens!$J$3879</f>
        <v>299.316513378366</v>
      </c>
      <c r="K3880" s="38" t="n">
        <f aca="false">Sens!$K$3877+Sens!$K$3878+Sens!$K$3879</f>
        <v>251.057145512292</v>
      </c>
      <c r="L3880" s="38" t="n">
        <f aca="false">Sens!$L$3877+Sens!$L$3878+Sens!$L$3879</f>
        <v>234.696330860396</v>
      </c>
      <c r="M3880" s="38" t="n">
        <f aca="false">Sens!$M$3877+Sens!$M$3878+Sens!$M$3879</f>
        <v>242.291696043352</v>
      </c>
    </row>
    <row r="3881" customFormat="false" ht="17.15" hidden="false" customHeight="false" outlineLevel="0" collapsed="false">
      <c r="A3881" s="5" t="s">
        <v>563</v>
      </c>
      <c r="B3881" s="0" t="s">
        <v>86</v>
      </c>
      <c r="C3881" s="38" t="n">
        <f aca="false">Q!$D$50</f>
        <v>2.043</v>
      </c>
      <c r="D3881" s="38" t="n">
        <f aca="false">Q!$E$50</f>
        <v>1.557</v>
      </c>
      <c r="E3881" s="38" t="n">
        <f aca="false">lease_pr/2</f>
        <v>0.8</v>
      </c>
      <c r="F3881" s="38" t="n">
        <f aca="false">lease_pr/2</f>
        <v>0.8</v>
      </c>
      <c r="G3881" s="38" t="n">
        <f aca="false">Sens!$E$3881+Sens!$F$3881</f>
        <v>1.6</v>
      </c>
      <c r="H3881" s="38" t="n">
        <f aca="false">lease_pr</f>
        <v>1.6</v>
      </c>
      <c r="I3881" s="38" t="n">
        <f aca="false">lease_pr</f>
        <v>1.6</v>
      </c>
      <c r="J3881" s="38" t="n">
        <f aca="false">lease_pr</f>
        <v>1.6</v>
      </c>
      <c r="K3881" s="38" t="n">
        <f aca="false">lease_pr</f>
        <v>1.6</v>
      </c>
      <c r="L3881" s="38" t="n">
        <f aca="false">lease_pr</f>
        <v>1.6</v>
      </c>
      <c r="M3881" s="38" t="n">
        <f aca="false">lease_pr</f>
        <v>1.6</v>
      </c>
      <c r="P3881" s="8" t="s">
        <v>792</v>
      </c>
    </row>
    <row r="3882" customFormat="false" ht="15" hidden="false" customHeight="false" outlineLevel="0" collapsed="false">
      <c r="A3882" s="47" t="s">
        <v>793</v>
      </c>
      <c r="B3882" s="14" t="s">
        <v>86</v>
      </c>
      <c r="C3882" s="48" t="n">
        <f aca="false">Sens!$C$3876-Sens!$C$3880-Sens!$C$3881</f>
        <v>36.176</v>
      </c>
      <c r="D3882" s="48" t="n">
        <f aca="false">Sens!$D$3876-Sens!$D$3880-Sens!$D$3881</f>
        <v>9.63700000000002</v>
      </c>
      <c r="E3882" s="48" t="n">
        <f aca="false">Sens!$E$3876-Sens!$E$3880-Sens!$E$3881</f>
        <v>-25.691</v>
      </c>
      <c r="F3882" s="48" t="n">
        <f aca="false">Sens!$F$3876-Sens!$F$3880-Sens!$F$3881</f>
        <v>-41.3602183611444</v>
      </c>
      <c r="G3882" s="48" t="n">
        <f aca="false">Sens!$G$3876-Sens!$G$3880-Sens!$G$3881</f>
        <v>-67.0512183611444</v>
      </c>
      <c r="H3882" s="48" t="n">
        <f aca="false">Sens!$H$3876-Sens!$H$3880-Sens!$H$3881</f>
        <v>-55.5228283395439</v>
      </c>
      <c r="I3882" s="48" t="n">
        <f aca="false">Sens!$I$3876-Sens!$I$3880-Sens!$I$3881</f>
        <v>-16.4711944506656</v>
      </c>
      <c r="J3882" s="48" t="n">
        <f aca="false">Sens!$J$3876-Sens!$J$3880-Sens!$J$3881</f>
        <v>24.4318627512886</v>
      </c>
      <c r="K3882" s="48" t="n">
        <f aca="false">Sens!$K$3876-Sens!$K$3880-Sens!$K$3881</f>
        <v>121.543331693204</v>
      </c>
      <c r="L3882" s="48" t="n">
        <f aca="false">Sens!$L$3876-Sens!$L$3880-Sens!$L$3881</f>
        <v>180.921223919146</v>
      </c>
      <c r="M3882" s="48" t="n">
        <f aca="false">Sens!$M$3876-Sens!$M$3880-Sens!$M$3881</f>
        <v>210.876764552745</v>
      </c>
      <c r="N3882" s="14"/>
      <c r="O3882" s="14"/>
    </row>
    <row r="3883" customFormat="false" ht="17.15" hidden="false" customHeight="false" outlineLevel="0" collapsed="false">
      <c r="A3883" s="5" t="s">
        <v>794</v>
      </c>
      <c r="B3883" s="0" t="s">
        <v>86</v>
      </c>
      <c r="C3883" s="38" t="n">
        <f aca="false">dps*Sens!$C$3862</f>
        <v>0</v>
      </c>
      <c r="D3883" s="38" t="n">
        <f aca="false">dps*Sens!$D$3862</f>
        <v>0</v>
      </c>
      <c r="E3883" s="38" t="n">
        <f aca="false">dps*Sens!$E$3862</f>
        <v>0</v>
      </c>
      <c r="F3883" s="38" t="n">
        <f aca="false">0</f>
        <v>0</v>
      </c>
      <c r="G3883" s="38" t="n">
        <f aca="false">dps*Sens!$G$3862</f>
        <v>0</v>
      </c>
      <c r="H3883" s="38" t="n">
        <f aca="false">dps*Sens!$H$3862</f>
        <v>0</v>
      </c>
      <c r="I3883" s="38" t="n">
        <f aca="false">dps*Sens!$I$3862</f>
        <v>0</v>
      </c>
      <c r="J3883" s="38" t="n">
        <f aca="false">dps*Sens!$J$3862</f>
        <v>0</v>
      </c>
      <c r="K3883" s="38" t="n">
        <f aca="false">dps*Sens!$K$3862</f>
        <v>0</v>
      </c>
      <c r="L3883" s="38" t="n">
        <f aca="false">dps*Sens!$L$3862</f>
        <v>0</v>
      </c>
      <c r="M3883" s="38" t="n">
        <f aca="false">dps*Sens!$M$3862</f>
        <v>0</v>
      </c>
      <c r="P3883" s="8" t="s">
        <v>795</v>
      </c>
    </row>
    <row r="3884" customFormat="false" ht="17.15" hidden="false" customHeight="false" outlineLevel="0" collapsed="false">
      <c r="A3884" s="5" t="s">
        <v>796</v>
      </c>
      <c r="B3884" s="0" t="s">
        <v>86</v>
      </c>
      <c r="C3884" s="38" t="n">
        <f aca="false">0</f>
        <v>0</v>
      </c>
      <c r="D3884" s="38" t="n">
        <f aca="false">0</f>
        <v>0</v>
      </c>
      <c r="E3884" s="38" t="n">
        <f aca="false">0</f>
        <v>0</v>
      </c>
      <c r="F3884" s="38" t="n">
        <f aca="false">0</f>
        <v>0</v>
      </c>
      <c r="G3884" s="38" t="n">
        <f aca="false">0</f>
        <v>0</v>
      </c>
      <c r="H3884" s="38" t="n">
        <f aca="false">0</f>
        <v>0</v>
      </c>
      <c r="I3884" s="38" t="n">
        <f aca="false">0</f>
        <v>0</v>
      </c>
      <c r="J3884" s="38" t="n">
        <f aca="false">0</f>
        <v>0</v>
      </c>
      <c r="K3884" s="38" t="n">
        <f aca="false">0</f>
        <v>0</v>
      </c>
      <c r="L3884" s="38" t="n">
        <f aca="false">0</f>
        <v>0</v>
      </c>
      <c r="M3884" s="38" t="n">
        <f aca="false">0</f>
        <v>0</v>
      </c>
      <c r="P3884" s="8" t="s">
        <v>797</v>
      </c>
    </row>
    <row r="3885" customFormat="false" ht="15" hidden="false" customHeight="false" outlineLevel="0" collapsed="false">
      <c r="A3885" s="3" t="s">
        <v>798</v>
      </c>
      <c r="B3885" s="8" t="s">
        <v>86</v>
      </c>
      <c r="C3885" s="38" t="n">
        <f aca="false">Sens!$C$3882-Sens!$C$3883</f>
        <v>36.176</v>
      </c>
      <c r="D3885" s="38" t="n">
        <f aca="false">Sens!$D$3882-Sens!$D$3883</f>
        <v>9.63700000000002</v>
      </c>
      <c r="E3885" s="38" t="n">
        <f aca="false">Sens!$E$3882-Sens!$E$3883</f>
        <v>-25.691</v>
      </c>
      <c r="F3885" s="38" t="n">
        <f aca="false">Sens!$F$3882-Sens!$F$3883</f>
        <v>-41.3602183611444</v>
      </c>
      <c r="G3885" s="38" t="n">
        <f aca="false">Sens!$G$3882-Sens!$G$3883</f>
        <v>-67.0512183611444</v>
      </c>
      <c r="H3885" s="38" t="n">
        <f aca="false">Sens!$H$3882-Sens!$H$3883</f>
        <v>-55.5228283395439</v>
      </c>
      <c r="I3885" s="38" t="n">
        <f aca="false">Sens!$I$3882-Sens!$I$3883</f>
        <v>-16.4711944506656</v>
      </c>
      <c r="J3885" s="38" t="n">
        <f aca="false">Sens!$J$3882-Sens!$J$3883</f>
        <v>24.4318627512886</v>
      </c>
      <c r="K3885" s="38" t="n">
        <f aca="false">Sens!$K$3882-Sens!$K$3883</f>
        <v>121.543331693204</v>
      </c>
      <c r="L3885" s="38" t="n">
        <f aca="false">Sens!$L$3882-Sens!$L$3883</f>
        <v>180.921223919146</v>
      </c>
      <c r="M3885" s="38" t="n">
        <f aca="false">Sens!$M$3882-Sens!$M$3883</f>
        <v>210.876764552745</v>
      </c>
    </row>
    <row r="3886" customFormat="false" ht="17.15" hidden="false" customHeight="false" outlineLevel="0" collapsed="false">
      <c r="A3886" s="5" t="s">
        <v>799</v>
      </c>
      <c r="B3886" s="0" t="s">
        <v>86</v>
      </c>
      <c r="E3886" s="38" t="n">
        <f aca="false">Q!$P$53</f>
        <v>39.767</v>
      </c>
      <c r="F3886" s="38" t="n">
        <f aca="false">inv_2h26</f>
        <v>21.3</v>
      </c>
      <c r="G3886" s="38" t="n">
        <f aca="false">Sens!$E$3886+Sens!$F$3886</f>
        <v>61.067</v>
      </c>
      <c r="H3886" s="39" t="n">
        <v>0</v>
      </c>
      <c r="I3886" s="39" t="n">
        <v>0</v>
      </c>
      <c r="J3886" s="39" t="n">
        <v>0</v>
      </c>
      <c r="K3886" s="39" t="n">
        <v>0</v>
      </c>
      <c r="L3886" s="39" t="n">
        <v>0</v>
      </c>
      <c r="M3886" s="39" t="n">
        <v>0</v>
      </c>
    </row>
    <row r="3887" customFormat="false" ht="17.15" hidden="false" customHeight="false" outlineLevel="0" collapsed="false">
      <c r="A3887" s="5" t="s">
        <v>800</v>
      </c>
      <c r="B3887" s="0" t="s">
        <v>86</v>
      </c>
      <c r="F3887" s="38" t="n">
        <f aca="false">iss_2h26</f>
        <v>29.249999</v>
      </c>
      <c r="G3887" s="38" t="n">
        <f aca="false">Sens!$F$3887</f>
        <v>29.249999</v>
      </c>
      <c r="H3887" s="39" t="n">
        <v>0</v>
      </c>
      <c r="I3887" s="39" t="n">
        <v>0</v>
      </c>
      <c r="J3887" s="39" t="n">
        <v>0</v>
      </c>
      <c r="K3887" s="39" t="n">
        <v>0</v>
      </c>
      <c r="L3887" s="39" t="n">
        <v>0</v>
      </c>
      <c r="M3887" s="39" t="n">
        <v>0</v>
      </c>
    </row>
    <row r="3888" customFormat="false" ht="17.15" hidden="false" customHeight="false" outlineLevel="0" collapsed="false">
      <c r="A3888" s="5" t="s">
        <v>801</v>
      </c>
      <c r="B3888" s="0" t="s">
        <v>86</v>
      </c>
      <c r="F3888" s="38" t="n">
        <f aca="false">cash_q2</f>
        <v>122.988</v>
      </c>
      <c r="G3888" s="38" t="n">
        <f aca="false">cash_q2</f>
        <v>122.988</v>
      </c>
      <c r="H3888" s="38" t="n">
        <f aca="false">Sens!$G$3891</f>
        <v>89.5777806388556</v>
      </c>
      <c r="I3888" s="38" t="n">
        <f aca="false">Sens!$H$3891</f>
        <v>50</v>
      </c>
      <c r="J3888" s="38" t="n">
        <f aca="false">Sens!$I$3891</f>
        <v>50</v>
      </c>
      <c r="K3888" s="38" t="n">
        <f aca="false">Sens!$J$3891</f>
        <v>74.4318627512886</v>
      </c>
      <c r="L3888" s="38" t="n">
        <f aca="false">Sens!$K$3891</f>
        <v>195.975194444493</v>
      </c>
      <c r="M3888" s="38" t="n">
        <f aca="false">Sens!$L$3891</f>
        <v>376.896418363638</v>
      </c>
    </row>
    <row r="3889" customFormat="false" ht="15" hidden="false" customHeight="false" outlineLevel="0" collapsed="false">
      <c r="A3889" s="5" t="s">
        <v>802</v>
      </c>
      <c r="B3889" s="0" t="s">
        <v>86</v>
      </c>
      <c r="F3889" s="38" t="n">
        <f aca="false">Sens!$F$3888+Sens!$F$3885-Sens!$F$3884-Sens!$F$3886+Sens!$F$3887</f>
        <v>89.5777806388556</v>
      </c>
      <c r="H3889" s="38" t="n">
        <f aca="false">Sens!$H$3888+Sens!$H$3885-Sens!$H$3884-Sens!$H$3886+Sens!$H$3887</f>
        <v>34.0549522993117</v>
      </c>
      <c r="I3889" s="38" t="n">
        <f aca="false">Sens!$I$3888+Sens!$I$3885-Sens!$I$3884-Sens!$I$3886+Sens!$I$3887</f>
        <v>33.5288055493344</v>
      </c>
      <c r="J3889" s="38" t="n">
        <f aca="false">Sens!$J$3888+Sens!$J$3885-Sens!$J$3884-Sens!$J$3886+Sens!$J$3887</f>
        <v>74.4318627512886</v>
      </c>
      <c r="K3889" s="38" t="n">
        <f aca="false">Sens!$K$3888+Sens!$K$3885-Sens!$K$3884-Sens!$K$3886+Sens!$K$3887</f>
        <v>195.975194444493</v>
      </c>
      <c r="L3889" s="38" t="n">
        <f aca="false">Sens!$L$3888+Sens!$L$3885-Sens!$L$3884-Sens!$L$3886+Sens!$L$3887</f>
        <v>376.896418363638</v>
      </c>
      <c r="M3889" s="38" t="n">
        <f aca="false">Sens!$M$3888+Sens!$M$3885-Sens!$M$3884-Sens!$M$3886+Sens!$M$3887</f>
        <v>587.773182916383</v>
      </c>
    </row>
    <row r="3890" customFormat="false" ht="17.15" hidden="false" customHeight="false" outlineLevel="0" collapsed="false">
      <c r="A3890" s="5" t="s">
        <v>803</v>
      </c>
      <c r="B3890" s="0" t="s">
        <v>86</v>
      </c>
      <c r="F3890" s="38" t="n">
        <f aca="false">MAX(0,min_cash-Sens!$F$3889)</f>
        <v>0</v>
      </c>
      <c r="G3890" s="38" t="n">
        <f aca="false">Sens!$F$3890</f>
        <v>0</v>
      </c>
      <c r="H3890" s="38" t="n">
        <f aca="false">MAX(0,min_cash-Sens!$H$3889)</f>
        <v>15.9450477006883</v>
      </c>
      <c r="I3890" s="38" t="n">
        <f aca="false">MAX(0,min_cash-Sens!$I$3889)</f>
        <v>16.4711944506656</v>
      </c>
      <c r="J3890" s="38" t="n">
        <f aca="false">MAX(0,min_cash-Sens!$J$3889)</f>
        <v>0</v>
      </c>
      <c r="K3890" s="38" t="n">
        <f aca="false">MAX(0,min_cash-Sens!$K$3889)</f>
        <v>0</v>
      </c>
      <c r="L3890" s="38" t="n">
        <f aca="false">MAX(0,min_cash-Sens!$L$3889)</f>
        <v>0</v>
      </c>
      <c r="M3890" s="38" t="n">
        <f aca="false">MAX(0,min_cash-Sens!$M$3889)</f>
        <v>0</v>
      </c>
      <c r="P3890" s="5" t="s">
        <v>804</v>
      </c>
    </row>
    <row r="3891" customFormat="false" ht="15" hidden="false" customHeight="false" outlineLevel="0" collapsed="false">
      <c r="A3891" s="5" t="s">
        <v>805</v>
      </c>
      <c r="B3891" s="0" t="s">
        <v>86</v>
      </c>
      <c r="D3891" s="38" t="n">
        <f aca="false">Q!$E$61</f>
        <v>123.029</v>
      </c>
      <c r="E3891" s="38" t="n">
        <f aca="false">Q!$M$61</f>
        <v>122.988</v>
      </c>
      <c r="F3891" s="38" t="n">
        <f aca="false">Sens!$F$3889+Sens!$F$3890</f>
        <v>89.5777806388556</v>
      </c>
      <c r="G3891" s="38" t="n">
        <f aca="false">Sens!$F$3891</f>
        <v>89.5777806388556</v>
      </c>
      <c r="H3891" s="38" t="n">
        <f aca="false">Sens!$H$3889+Sens!$H$3890</f>
        <v>50</v>
      </c>
      <c r="I3891" s="38" t="n">
        <f aca="false">Sens!$I$3889+Sens!$I$3890</f>
        <v>50</v>
      </c>
      <c r="J3891" s="38" t="n">
        <f aca="false">Sens!$J$3889+Sens!$J$3890</f>
        <v>74.4318627512886</v>
      </c>
      <c r="K3891" s="38" t="n">
        <f aca="false">Sens!$K$3889+Sens!$K$3890</f>
        <v>195.975194444493</v>
      </c>
      <c r="L3891" s="38" t="n">
        <f aca="false">Sens!$L$3889+Sens!$L$3890</f>
        <v>376.896418363638</v>
      </c>
      <c r="M3891" s="38" t="n">
        <f aca="false">Sens!$M$3889+Sens!$M$3890</f>
        <v>587.773182916383</v>
      </c>
    </row>
    <row r="3892" customFormat="false" ht="15" hidden="false" customHeight="false" outlineLevel="0" collapsed="false">
      <c r="A3892" s="5" t="s">
        <v>806</v>
      </c>
      <c r="B3892" s="0" t="s">
        <v>86</v>
      </c>
      <c r="D3892" s="38" t="n">
        <f aca="false">Q!$E$62</f>
        <v>68.836</v>
      </c>
      <c r="E3892" s="38" t="n">
        <f aca="false">Q!$M$62</f>
        <v>132.995</v>
      </c>
      <c r="F3892" s="38" t="n">
        <f aca="false">debt_q2+Sens!$F$3887+Sens!$F$3890</f>
        <v>162.244999</v>
      </c>
      <c r="G3892" s="38" t="n">
        <f aca="false">Sens!$F$3892</f>
        <v>162.244999</v>
      </c>
      <c r="H3892" s="38" t="n">
        <f aca="false">Sens!$G$3892+Sens!$H$3890</f>
        <v>178.190046700688</v>
      </c>
      <c r="I3892" s="38" t="n">
        <f aca="false">Sens!$H$3892+Sens!$I$3890</f>
        <v>194.661241151354</v>
      </c>
      <c r="J3892" s="38" t="n">
        <f aca="false">Sens!$I$3892+Sens!$J$3890</f>
        <v>194.661241151354</v>
      </c>
      <c r="K3892" s="38" t="n">
        <f aca="false">Sens!$J$3892+Sens!$K$3890</f>
        <v>194.661241151354</v>
      </c>
      <c r="L3892" s="38" t="n">
        <f aca="false">Sens!$K$3892+Sens!$L$3890</f>
        <v>194.661241151354</v>
      </c>
      <c r="M3892" s="38" t="n">
        <f aca="false">Sens!$L$3892+Sens!$M$3890</f>
        <v>194.661241151354</v>
      </c>
    </row>
    <row r="3893" customFormat="false" ht="15" hidden="false" customHeight="false" outlineLevel="0" collapsed="false">
      <c r="A3893" s="5" t="s">
        <v>807</v>
      </c>
      <c r="B3893" s="0" t="s">
        <v>86</v>
      </c>
      <c r="D3893" s="38" t="n">
        <f aca="false">Sens!$D$3892-Sens!$D$3891</f>
        <v>-54.193</v>
      </c>
      <c r="E3893" s="38" t="n">
        <f aca="false">Sens!$E$3892-Sens!$E$3891</f>
        <v>10.007</v>
      </c>
      <c r="F3893" s="38" t="n">
        <f aca="false">Sens!$F$3892-Sens!$F$3891</f>
        <v>72.6672183611444</v>
      </c>
      <c r="G3893" s="38" t="n">
        <f aca="false">Sens!$G$3892-Sens!$G$3891</f>
        <v>72.6672183611444</v>
      </c>
      <c r="H3893" s="38" t="n">
        <f aca="false">Sens!$H$3892-Sens!$H$3891</f>
        <v>128.190046700688</v>
      </c>
      <c r="I3893" s="38" t="n">
        <f aca="false">Sens!$I$3892-Sens!$I$3891</f>
        <v>144.661241151354</v>
      </c>
      <c r="J3893" s="38" t="n">
        <f aca="false">Sens!$J$3892-Sens!$J$3891</f>
        <v>120.229378400065</v>
      </c>
      <c r="K3893" s="38" t="n">
        <f aca="false">Sens!$K$3892-Sens!$K$3891</f>
        <v>-1.31395329313878</v>
      </c>
      <c r="L3893" s="38" t="n">
        <f aca="false">Sens!$L$3892-Sens!$L$3891</f>
        <v>-182.235177212285</v>
      </c>
      <c r="M3893" s="38" t="n">
        <f aca="false">Sens!$M$3892-Sens!$M$3891</f>
        <v>-393.111941765029</v>
      </c>
    </row>
    <row r="3894" customFormat="false" ht="17.15" hidden="false" customHeight="false" outlineLevel="0" collapsed="false">
      <c r="A3894" s="5" t="s">
        <v>808</v>
      </c>
      <c r="B3894" s="0" t="s">
        <v>86</v>
      </c>
      <c r="F3894" s="38" t="n">
        <f aca="false">debt_q2*kd_book*0.5+iss_2h26*kd_new*iss_t</f>
        <v>3.24888962733561</v>
      </c>
      <c r="H3894" s="38" t="n">
        <f aca="false">debt_q2*kd_book+(Sens!$G$3892-debt_q2)*kd_new</f>
        <v>7.42354172302123</v>
      </c>
      <c r="I3894" s="38" t="n">
        <f aca="false">debt_q2*kd_book+(Sens!$H$3892-debt_q2)*kd_new</f>
        <v>8.4328632424748</v>
      </c>
      <c r="J3894" s="38" t="n">
        <f aca="false">debt_q2*kd_book+(Sens!$I$3892-debt_q2)*kd_new</f>
        <v>9.47548985120193</v>
      </c>
      <c r="K3894" s="38" t="n">
        <f aca="false">debt_q2*kd_book+(Sens!$J$3892-debt_q2)*kd_new</f>
        <v>9.47548985120193</v>
      </c>
      <c r="L3894" s="38" t="n">
        <f aca="false">debt_q2*kd_book+(Sens!$K$3892-debt_q2)*kd_new</f>
        <v>9.47548985120193</v>
      </c>
      <c r="M3894" s="38" t="n">
        <f aca="false">debt_q2*kd_book+(Sens!$L$3892-debt_q2)*kd_new</f>
        <v>9.47548985120193</v>
      </c>
    </row>
    <row r="3895" customFormat="false" ht="17.15" hidden="false" customHeight="false" outlineLevel="0" collapsed="false">
      <c r="A3895" s="5" t="s">
        <v>809</v>
      </c>
      <c r="B3895" s="0" t="s">
        <v>86</v>
      </c>
      <c r="F3895" s="38" t="n">
        <f aca="false">cash_q2*y_cash*0.5</f>
        <v>2.59</v>
      </c>
      <c r="H3895" s="38" t="n">
        <f aca="false">Sens!$G$3891*y_cash</f>
        <v>3.77283071282785</v>
      </c>
      <c r="I3895" s="38" t="n">
        <f aca="false">Sens!$H$3891*y_cash</f>
        <v>2.10589651022864</v>
      </c>
      <c r="J3895" s="38" t="n">
        <f aca="false">Sens!$I$3891*y_cash</f>
        <v>2.10589651022864</v>
      </c>
      <c r="K3895" s="38" t="n">
        <f aca="false">Sens!$J$3891*y_cash</f>
        <v>3.13491600035512</v>
      </c>
      <c r="L3895" s="38" t="n">
        <f aca="false">Sens!$K$3891*y_cash</f>
        <v>8.25406956144073</v>
      </c>
      <c r="M3895" s="38" t="n">
        <f aca="false">Sens!$L$3891*y_cash</f>
        <v>15.8740970429932</v>
      </c>
    </row>
    <row r="3896" customFormat="false" ht="17.15" hidden="false" customHeight="false" outlineLevel="0" collapsed="false">
      <c r="A3896" s="47" t="s">
        <v>810</v>
      </c>
      <c r="B3896" s="14" t="s">
        <v>86</v>
      </c>
      <c r="C3896" s="14"/>
      <c r="D3896" s="14"/>
      <c r="E3896" s="14"/>
      <c r="F3896" s="14"/>
      <c r="G3896" s="48" t="n">
        <f aca="false">SUM(Sens!$G$3885:$K$3885)</f>
        <v>6.92995329313877</v>
      </c>
      <c r="H3896" s="14"/>
      <c r="I3896" s="14"/>
      <c r="J3896" s="14"/>
      <c r="K3896" s="14"/>
      <c r="L3896" s="14"/>
      <c r="M3896" s="14"/>
      <c r="N3896" s="14"/>
      <c r="O3896" s="14"/>
    </row>
    <row r="3897" customFormat="false" ht="17.15" hidden="false" customHeight="false" outlineLevel="0" collapsed="false">
      <c r="A3897" s="0" t="s">
        <v>776</v>
      </c>
      <c r="B3897" s="0" t="s">
        <v>86</v>
      </c>
      <c r="G3897" s="38" t="n">
        <f aca="false">SUM(Sens!$G$3890:$K$3890)</f>
        <v>32.4162421513539</v>
      </c>
    </row>
    <row r="3898" customFormat="false" ht="17.15" hidden="false" customHeight="false" outlineLevel="0" collapsed="false">
      <c r="A3898" s="24" t="s">
        <v>813</v>
      </c>
      <c r="B3898" s="25" t="s">
        <v>86</v>
      </c>
      <c r="C3898" s="25"/>
      <c r="D3898" s="25"/>
      <c r="E3898" s="25"/>
      <c r="F3898" s="25"/>
      <c r="G3898" s="41" t="n">
        <f aca="false">Sens!$G$3896-(Sens!$G$3885+Sens!$H$3885+Sens!$I$3885+Sens!$J$3885+Sens!$K$3885)</f>
        <v>-2.8421709430404E-014</v>
      </c>
      <c r="H3898" s="25"/>
      <c r="I3898" s="25"/>
      <c r="J3898" s="25"/>
      <c r="K3898" s="25"/>
      <c r="L3898" s="25"/>
      <c r="M3898" s="25"/>
      <c r="N3898" s="25"/>
      <c r="O3898" s="25"/>
    </row>
    <row r="3901" customFormat="false" ht="19.4" hidden="false" customHeight="false" outlineLevel="0" collapsed="false">
      <c r="A3901" s="31" t="s">
        <v>1214</v>
      </c>
    </row>
    <row r="3902" customFormat="false" ht="17.15" hidden="false" customHeight="false" outlineLevel="0" collapsed="false">
      <c r="A3902" s="6" t="s">
        <v>16</v>
      </c>
      <c r="B3902" s="6" t="s">
        <v>17</v>
      </c>
      <c r="C3902" s="20" t="s">
        <v>497</v>
      </c>
      <c r="D3902" s="20" t="s">
        <v>498</v>
      </c>
      <c r="E3902" s="20" t="s">
        <v>580</v>
      </c>
      <c r="F3902" s="20" t="s">
        <v>581</v>
      </c>
      <c r="G3902" s="20" t="s">
        <v>582</v>
      </c>
      <c r="H3902" s="20" t="s">
        <v>583</v>
      </c>
      <c r="I3902" s="20" t="s">
        <v>584</v>
      </c>
      <c r="J3902" s="20" t="s">
        <v>585</v>
      </c>
      <c r="K3902" s="20" t="s">
        <v>586</v>
      </c>
      <c r="L3902" s="20" t="s">
        <v>587</v>
      </c>
      <c r="M3902" s="20" t="s">
        <v>588</v>
      </c>
      <c r="N3902" s="20" t="s">
        <v>589</v>
      </c>
      <c r="O3902" s="20" t="s">
        <v>590</v>
      </c>
      <c r="P3902" s="6" t="s">
        <v>23</v>
      </c>
      <c r="R3902" s="20" t="n">
        <v>2023</v>
      </c>
      <c r="S3902" s="20" t="n">
        <v>2024</v>
      </c>
      <c r="T3902" s="20" t="n">
        <v>2025</v>
      </c>
      <c r="U3902" s="20" t="n">
        <v>2026</v>
      </c>
      <c r="V3902" s="20" t="n">
        <v>2027</v>
      </c>
      <c r="W3902" s="20" t="n">
        <v>2028</v>
      </c>
      <c r="X3902" s="20" t="n">
        <v>2029</v>
      </c>
      <c r="Y3902" s="20" t="n">
        <v>2030</v>
      </c>
      <c r="Z3902" s="20" t="n">
        <v>2031</v>
      </c>
      <c r="AA3902" s="20" t="n">
        <v>2032</v>
      </c>
    </row>
    <row r="3903" customFormat="false" ht="17.15" hidden="false" customHeight="false" outlineLevel="0" collapsed="false">
      <c r="A3903" s="1" t="s">
        <v>915</v>
      </c>
    </row>
    <row r="3904" customFormat="false" ht="17.15" hidden="false" customHeight="false" outlineLevel="0" collapsed="false">
      <c r="A3904" s="0" t="s">
        <v>916</v>
      </c>
      <c r="B3904" s="0" t="s">
        <v>86</v>
      </c>
      <c r="H3904" s="38" t="n">
        <f aca="false">Sens!$H$3838*(1-tax)</f>
        <v>122.063238745781</v>
      </c>
      <c r="I3904" s="38" t="n">
        <f aca="false">Sens!$I$3838*(1-tax)</f>
        <v>147.887710182652</v>
      </c>
      <c r="J3904" s="38" t="n">
        <f aca="false">Sens!$J$3838*(1-tax)</f>
        <v>172.455107364859</v>
      </c>
      <c r="K3904" s="38" t="n">
        <f aca="false">Sens!$K$3838*(1-tax)</f>
        <v>189.997323668448</v>
      </c>
      <c r="L3904" s="38" t="n">
        <f aca="false">Sens!$L$3838*(1-tax)</f>
        <v>204.442069478201</v>
      </c>
      <c r="M3904" s="38" t="n">
        <f aca="false">Sens!$M$3838*(1-tax)</f>
        <v>215.810669354357</v>
      </c>
    </row>
    <row r="3905" customFormat="false" ht="15" hidden="false" customHeight="false" outlineLevel="0" collapsed="false">
      <c r="A3905" s="5" t="s">
        <v>917</v>
      </c>
      <c r="B3905" s="0" t="s">
        <v>86</v>
      </c>
      <c r="H3905" s="38" t="n">
        <f aca="false">Sens!$H$3849</f>
        <v>78.1799395827871</v>
      </c>
      <c r="I3905" s="38" t="n">
        <f aca="false">Sens!$I$3849</f>
        <v>111.171125554384</v>
      </c>
      <c r="J3905" s="38" t="n">
        <f aca="false">Sens!$J$3849</f>
        <v>144.884406220971</v>
      </c>
      <c r="K3905" s="38" t="n">
        <f aca="false">Sens!$K$3849</f>
        <v>178.806419437999</v>
      </c>
      <c r="L3905" s="38" t="n">
        <f aca="false">Sens!$L$3849</f>
        <v>204.341339029663</v>
      </c>
      <c r="M3905" s="38" t="n">
        <f aca="false">Sens!$M$3849</f>
        <v>223.130577995387</v>
      </c>
    </row>
    <row r="3906" customFormat="false" ht="15" hidden="false" customHeight="false" outlineLevel="0" collapsed="false">
      <c r="A3906" s="5" t="s">
        <v>918</v>
      </c>
      <c r="B3906" s="0" t="s">
        <v>86</v>
      </c>
      <c r="H3906" s="38" t="n">
        <f aca="false">Sens!$H$3880</f>
        <v>273.372679834898</v>
      </c>
      <c r="I3906" s="38" t="n">
        <f aca="false">Sens!$I$3880</f>
        <v>286.981812228425</v>
      </c>
      <c r="J3906" s="38" t="n">
        <f aca="false">Sens!$J$3880</f>
        <v>299.316513378366</v>
      </c>
      <c r="K3906" s="38" t="n">
        <f aca="false">Sens!$K$3880</f>
        <v>251.057145512292</v>
      </c>
      <c r="L3906" s="38" t="n">
        <f aca="false">Sens!$L$3880</f>
        <v>234.696330860396</v>
      </c>
      <c r="M3906" s="38" t="n">
        <f aca="false">Sens!$M$3880</f>
        <v>242.291696043352</v>
      </c>
    </row>
    <row r="3907" customFormat="false" ht="15" hidden="false" customHeight="false" outlineLevel="0" collapsed="false">
      <c r="A3907" s="5" t="s">
        <v>919</v>
      </c>
      <c r="B3907" s="0" t="s">
        <v>86</v>
      </c>
      <c r="H3907" s="38" t="n">
        <f aca="false">Sens!$H$3881</f>
        <v>1.6</v>
      </c>
      <c r="I3907" s="38" t="n">
        <f aca="false">Sens!$I$3881</f>
        <v>1.6</v>
      </c>
      <c r="J3907" s="38" t="n">
        <f aca="false">Sens!$J$3881</f>
        <v>1.6</v>
      </c>
      <c r="K3907" s="38" t="n">
        <f aca="false">Sens!$K$3881</f>
        <v>1.6</v>
      </c>
      <c r="L3907" s="38" t="n">
        <f aca="false">Sens!$L$3881</f>
        <v>1.6</v>
      </c>
      <c r="M3907" s="38" t="n">
        <f aca="false">Sens!$M$3881</f>
        <v>1.6</v>
      </c>
    </row>
    <row r="3908" customFormat="false" ht="15" hidden="false" customHeight="false" outlineLevel="0" collapsed="false">
      <c r="A3908" s="5" t="s">
        <v>920</v>
      </c>
      <c r="B3908" s="0" t="s">
        <v>86</v>
      </c>
      <c r="H3908" s="38" t="n">
        <f aca="false">Sens!$H$3875</f>
        <v>11.2928295263397</v>
      </c>
      <c r="I3908" s="38" t="n">
        <f aca="false">Sens!$I$3875</f>
        <v>12.8091546115766</v>
      </c>
      <c r="J3908" s="38" t="n">
        <f aca="false">Sens!$J$3875</f>
        <v>14.2605653162668</v>
      </c>
      <c r="K3908" s="38" t="n">
        <f aca="false">Sens!$K$3875</f>
        <v>15.5327622460396</v>
      </c>
      <c r="L3908" s="38" t="n">
        <f aca="false">Sens!$L$3875</f>
        <v>16.720573737517</v>
      </c>
      <c r="M3908" s="38" t="n">
        <f aca="false">Sens!$M$3875</f>
        <v>17.8283127551536</v>
      </c>
    </row>
    <row r="3909" customFormat="false" ht="17.15" hidden="false" customHeight="false" outlineLevel="0" collapsed="false">
      <c r="A3909" s="1" t="s">
        <v>921</v>
      </c>
      <c r="B3909" s="8" t="s">
        <v>86</v>
      </c>
      <c r="H3909" s="38" t="n">
        <f aca="false">Sens!$H$3904+Sens!$H$3905-Sens!$H$3906+Sens!$H$3908</f>
        <v>-61.8366719799903</v>
      </c>
      <c r="I3909" s="38" t="n">
        <f aca="false">Sens!$I$3904+Sens!$I$3905-Sens!$I$3906+Sens!$I$3908</f>
        <v>-15.1138218798117</v>
      </c>
      <c r="J3909" s="38" t="n">
        <f aca="false">Sens!$J$3904+Sens!$J$3905-Sens!$J$3906+Sens!$J$3908</f>
        <v>32.2835655237309</v>
      </c>
      <c r="K3909" s="38" t="n">
        <f aca="false">Sens!$K$3904+Sens!$K$3905-Sens!$K$3906+Sens!$K$3908</f>
        <v>133.279359840194</v>
      </c>
      <c r="L3909" s="38" t="n">
        <f aca="false">Sens!$L$3904+Sens!$L$3905-Sens!$L$3906+Sens!$L$3908</f>
        <v>190.807651384985</v>
      </c>
      <c r="M3909" s="38" t="n">
        <f aca="false">Sens!$M$3904+Sens!$M$3905-Sens!$M$3906+Sens!$M$3908</f>
        <v>214.477864061546</v>
      </c>
    </row>
    <row r="3910" customFormat="false" ht="15" hidden="false" customHeight="false" outlineLevel="0" collapsed="false">
      <c r="A3910" s="5" t="s">
        <v>922</v>
      </c>
      <c r="B3910" s="0" t="s">
        <v>57</v>
      </c>
      <c r="H3910" s="40" t="n">
        <f aca="false">1/(1+wacc)^(2027-2026-0.5)</f>
        <v>0.947751320380232</v>
      </c>
      <c r="I3910" s="40" t="n">
        <f aca="false">1/(1+wacc)^(2028-2026-0.5)</f>
        <v>0.851301099754987</v>
      </c>
      <c r="J3910" s="40" t="n">
        <f aca="false">1/(1+wacc)^(2029-2026-0.5)</f>
        <v>0.764666370660713</v>
      </c>
      <c r="K3910" s="40" t="n">
        <f aca="false">1/(1+wacc)^(2030-2026-0.5)</f>
        <v>0.686848235703811</v>
      </c>
      <c r="L3910" s="40" t="n">
        <f aca="false">1/(1+wacc)^(2031-2026-0.5)</f>
        <v>0.616949452715975</v>
      </c>
      <c r="M3910" s="40" t="n">
        <f aca="false">1/(1+wacc)^(2032-2026-0.5)</f>
        <v>0.554164089562688</v>
      </c>
    </row>
    <row r="3911" customFormat="false" ht="15" hidden="false" customHeight="false" outlineLevel="0" collapsed="false">
      <c r="A3911" s="5" t="s">
        <v>923</v>
      </c>
      <c r="B3911" s="0" t="s">
        <v>86</v>
      </c>
      <c r="H3911" s="38" t="n">
        <f aca="false">Sens!$H$3909*Sens!$H$3910</f>
        <v>-58.6057875169551</v>
      </c>
      <c r="I3911" s="38" t="n">
        <f aca="false">Sens!$I$3909*Sens!$I$3910</f>
        <v>-12.8664131877847</v>
      </c>
      <c r="J3911" s="38" t="n">
        <f aca="false">Sens!$J$3909*Sens!$J$3910</f>
        <v>24.6861568810186</v>
      </c>
      <c r="K3911" s="38" t="n">
        <f aca="false">Sens!$K$3909*Sens!$K$3910</f>
        <v>91.5426931619709</v>
      </c>
      <c r="L3911" s="38" t="n">
        <f aca="false">Sens!$L$3909*Sens!$L$3910</f>
        <v>117.718676095987</v>
      </c>
      <c r="M3911" s="38" t="n">
        <f aca="false">Sens!$M$3909*Sens!$M$3910</f>
        <v>118.855930269016</v>
      </c>
    </row>
    <row r="3912" customFormat="false" ht="15" hidden="false" customHeight="false" outlineLevel="0" collapsed="false">
      <c r="A3912" s="5" t="s">
        <v>924</v>
      </c>
      <c r="B3912" s="0" t="s">
        <v>86</v>
      </c>
      <c r="C3912" s="38" t="n">
        <f aca="false">SUM(Sens!$H$3911:$M$3911)</f>
        <v>281.331255703253</v>
      </c>
    </row>
    <row r="3913" customFormat="false" ht="17.15" hidden="false" customHeight="false" outlineLevel="0" collapsed="false">
      <c r="A3913" s="5" t="s">
        <v>925</v>
      </c>
      <c r="B3913" s="0" t="s">
        <v>86</v>
      </c>
      <c r="C3913" s="38" t="n">
        <f aca="false">Sens!$M$3904*(1+tg)*(1-tg/ronic)/(wacc-tg)</f>
        <v>1961.95980411787</v>
      </c>
    </row>
    <row r="3914" customFormat="false" ht="15" hidden="false" customHeight="false" outlineLevel="0" collapsed="false">
      <c r="A3914" s="5" t="s">
        <v>926</v>
      </c>
      <c r="B3914" s="0" t="s">
        <v>86</v>
      </c>
      <c r="C3914" s="38" t="n">
        <f aca="false">Sens!$C$3913/(1+wacc)^6</f>
        <v>1030.44041350315</v>
      </c>
    </row>
    <row r="3915" customFormat="false" ht="17.15" hidden="false" customHeight="false" outlineLevel="0" collapsed="false">
      <c r="A3915" s="5" t="s">
        <v>927</v>
      </c>
      <c r="B3915" s="0" t="s">
        <v>86</v>
      </c>
      <c r="C3915" s="38" t="n">
        <f aca="false">Sens!$C$3912+Sens!$C$3914</f>
        <v>1311.77166920641</v>
      </c>
    </row>
    <row r="3916" customFormat="false" ht="17.15" hidden="false" customHeight="false" outlineLevel="0" collapsed="false">
      <c r="A3916" s="5" t="s">
        <v>928</v>
      </c>
      <c r="B3916" s="0" t="s">
        <v>52</v>
      </c>
      <c r="C3916" s="13" t="n">
        <f aca="false">Sens!$C$3914/Sens!$C$3915</f>
        <v>0.785533365060817</v>
      </c>
    </row>
    <row r="3917" customFormat="false" ht="17.15" hidden="false" customHeight="false" outlineLevel="0" collapsed="false">
      <c r="A3917" s="5" t="s">
        <v>929</v>
      </c>
      <c r="B3917" s="0" t="s">
        <v>86</v>
      </c>
      <c r="C3917" s="38" t="n">
        <f aca="false">Sens!$G$3893+fin_debt</f>
        <v>97.1882183611444</v>
      </c>
    </row>
    <row r="3918" customFormat="false" ht="17.15" hidden="false" customHeight="false" outlineLevel="0" collapsed="false">
      <c r="A3918" s="5" t="s">
        <v>930</v>
      </c>
      <c r="B3918" s="0" t="s">
        <v>86</v>
      </c>
      <c r="C3918" s="38" t="n">
        <f aca="false">(ant_val*ant_sh+oai_val*oai_sh)*(1-liq_disc)</f>
        <v>178.944</v>
      </c>
    </row>
    <row r="3919" customFormat="false" ht="15" hidden="false" customHeight="false" outlineLevel="0" collapsed="false">
      <c r="A3919" s="5" t="s">
        <v>931</v>
      </c>
      <c r="B3919" s="0" t="s">
        <v>86</v>
      </c>
      <c r="C3919" s="38" t="n">
        <f aca="false">Sens!$C$3915-Sens!$C$3917+Sens!$C$3918</f>
        <v>1393.52745084526</v>
      </c>
    </row>
    <row r="3920" customFormat="false" ht="17.15" hidden="false" customHeight="false" outlineLevel="0" collapsed="false">
      <c r="A3920" s="5" t="s">
        <v>932</v>
      </c>
      <c r="B3920" s="0" t="s">
        <v>27</v>
      </c>
      <c r="C3920" s="30" t="n">
        <f aca="false">Sens!$C$3919/sh_out</f>
        <v>129.194037077473</v>
      </c>
    </row>
    <row r="3921" customFormat="false" ht="17.15" hidden="false" customHeight="false" outlineLevel="0" collapsed="false">
      <c r="A3921" s="1" t="s">
        <v>933</v>
      </c>
      <c r="B3921" s="8" t="s">
        <v>27</v>
      </c>
      <c r="C3921" s="30" t="n">
        <f aca="false">Sens!$C$3920*(1+ke)^tp_yf-dps*tp_yf</f>
        <v>141.515123364953</v>
      </c>
    </row>
    <row r="3922" customFormat="false" ht="17.15" hidden="false" customHeight="false" outlineLevel="0" collapsed="false">
      <c r="A3922" s="3" t="s">
        <v>934</v>
      </c>
    </row>
    <row r="3923" customFormat="false" ht="17.15" hidden="false" customHeight="false" outlineLevel="0" collapsed="false">
      <c r="A3923" s="5" t="s">
        <v>935</v>
      </c>
      <c r="B3923" s="0" t="s">
        <v>86</v>
      </c>
      <c r="C3923" s="38" t="n">
        <f aca="false">(1-tp_yf)*(Sens!$H$3850+sbc_ab*Sens!$H$3874*Sens!$H$3714/Sens!$H$3791)+tp_yf*(Sens!$I$3850+sbc_ab*Sens!$I$3874*Sens!$I$3714/Sens!$I$3791)</f>
        <v>70.9958243401468</v>
      </c>
    </row>
    <row r="3924" customFormat="false" ht="15" hidden="false" customHeight="false" outlineLevel="0" collapsed="false">
      <c r="A3924" s="5" t="s">
        <v>936</v>
      </c>
      <c r="B3924" s="0" t="s">
        <v>57</v>
      </c>
      <c r="C3924" s="30" t="n">
        <f aca="false">m_ads*m_x</f>
        <v>9.11</v>
      </c>
    </row>
    <row r="3925" customFormat="false" ht="17.15" hidden="false" customHeight="false" outlineLevel="0" collapsed="false">
      <c r="A3925" s="5" t="s">
        <v>937</v>
      </c>
      <c r="B3925" s="0" t="s">
        <v>86</v>
      </c>
      <c r="C3925" s="38" t="n">
        <f aca="false">Sens!$C$3923*Sens!$C$3924</f>
        <v>646.771959738738</v>
      </c>
    </row>
    <row r="3926" customFormat="false" ht="17.15" hidden="false" customHeight="false" outlineLevel="0" collapsed="false">
      <c r="A3926" s="5" t="s">
        <v>938</v>
      </c>
      <c r="B3926" s="0" t="s">
        <v>86</v>
      </c>
      <c r="C3926" s="38" t="n">
        <f aca="false">(1-tp_yf)*(Sens!$H$3851+sbc_ab*Sens!$H$3874*(Sens!$H$3721-Sens!$H$3714)/Sens!$H$3791+IF(internal_ai_reading=2,1,0)*(1-ext_sh)*Sens!$H$3751)+tp_yf*(Sens!$I$3851+sbc_ab*Sens!$I$3874*(Sens!$I$3721-Sens!$I$3714)/Sens!$I$3791+IF(internal_ai_reading=2,1,0)*(1-ext_sh)*Sens!$I$3751)</f>
        <v>41.6202334275712</v>
      </c>
    </row>
    <row r="3927" customFormat="false" ht="17.15" hidden="false" customHeight="false" outlineLevel="0" collapsed="false">
      <c r="A3927" s="5" t="s">
        <v>939</v>
      </c>
      <c r="B3927" s="0" t="s">
        <v>57</v>
      </c>
      <c r="C3927" s="30" t="n">
        <f aca="false">m_retail*m_x</f>
        <v>17.72</v>
      </c>
    </row>
    <row r="3928" customFormat="false" ht="17.15" hidden="false" customHeight="false" outlineLevel="0" collapsed="false">
      <c r="A3928" s="5" t="s">
        <v>940</v>
      </c>
      <c r="B3928" s="0" t="s">
        <v>86</v>
      </c>
      <c r="C3928" s="38" t="n">
        <f aca="false">Sens!$C$3926*Sens!$C$3927</f>
        <v>737.510536336561</v>
      </c>
    </row>
    <row r="3929" customFormat="false" ht="17.15" hidden="false" customHeight="false" outlineLevel="0" collapsed="false">
      <c r="A3929" s="0" t="s">
        <v>941</v>
      </c>
      <c r="B3929" s="0" t="s">
        <v>86</v>
      </c>
      <c r="C3929" s="38" t="n">
        <f aca="false">(1-tp_yf)*(Sens!$H$3852+sbc_ab*Sens!$H$3874*Sens!$H$3789/Sens!$H$3791)+tp_yf*(Sens!$I$3852+sbc_ab*Sens!$I$3874*Sens!$I$3789/Sens!$I$3791)</f>
        <v>96.2439586897193</v>
      </c>
    </row>
    <row r="3930" customFormat="false" ht="17.15" hidden="false" customHeight="false" outlineLevel="0" collapsed="false">
      <c r="A3930" s="0" t="s">
        <v>942</v>
      </c>
      <c r="B3930" s="0" t="s">
        <v>57</v>
      </c>
      <c r="C3930" s="30" t="n">
        <f aca="false">m_cloud*m_x</f>
        <v>13.82</v>
      </c>
    </row>
    <row r="3931" customFormat="false" ht="17.15" hidden="false" customHeight="false" outlineLevel="0" collapsed="false">
      <c r="A3931" s="0" t="s">
        <v>943</v>
      </c>
      <c r="B3931" s="0" t="s">
        <v>86</v>
      </c>
      <c r="C3931" s="38" t="n">
        <f aca="false">Sens!$C$3929*Sens!$C$3930</f>
        <v>1330.09150909192</v>
      </c>
    </row>
    <row r="3932" customFormat="false" ht="17.15" hidden="false" customHeight="false" outlineLevel="0" collapsed="false">
      <c r="A3932" s="0" t="s">
        <v>944</v>
      </c>
      <c r="B3932" s="0" t="s">
        <v>86</v>
      </c>
      <c r="H3932" s="38" t="n">
        <f aca="false">Sens!$H$3770-tax*Sens!$H$3771-ext_sh*Sens!$H$3758</f>
        <v>-115.885394236225</v>
      </c>
      <c r="I3932" s="38" t="n">
        <f aca="false">Sens!$I$3770-tax*Sens!$I$3771-ext_sh*Sens!$I$3758</f>
        <v>-89.5935137276694</v>
      </c>
      <c r="J3932" s="38" t="n">
        <f aca="false">Sens!$J$3770-tax*Sens!$J$3771-ext_sh*Sens!$J$3758</f>
        <v>-62.3510647460279</v>
      </c>
      <c r="K3932" s="38" t="n">
        <f aca="false">Sens!$K$3770-tax*Sens!$K$3771-ext_sh*Sens!$K$3758</f>
        <v>8.85932514072565</v>
      </c>
      <c r="L3932" s="38" t="n">
        <f aca="false">Sens!$L$3770-tax*Sens!$L$3771-ext_sh*Sens!$L$3758</f>
        <v>45.6968344120177</v>
      </c>
      <c r="M3932" s="38" t="n">
        <f aca="false">Sens!$M$3770-tax*Sens!$M$3771-ext_sh*Sens!$M$3758</f>
        <v>54.7466688757428</v>
      </c>
    </row>
    <row r="3933" customFormat="false" ht="17.15" hidden="false" customHeight="false" outlineLevel="0" collapsed="false">
      <c r="A3933" s="5" t="s">
        <v>945</v>
      </c>
      <c r="B3933" s="0" t="s">
        <v>86</v>
      </c>
      <c r="H3933" s="38" t="n">
        <f aca="false">Sens!$H$3932*Sens!$H$3910</f>
        <v>-109.830535400166</v>
      </c>
      <c r="I3933" s="38" t="n">
        <f aca="false">Sens!$I$3932*Sens!$I$3910</f>
        <v>-76.2710567672785</v>
      </c>
      <c r="J3933" s="38" t="n">
        <f aca="false">Sens!$J$3932*Sens!$J$3910</f>
        <v>-47.6777623861763</v>
      </c>
      <c r="K3933" s="38" t="n">
        <f aca="false">Sens!$K$3932*Sens!$K$3910</f>
        <v>6.08501184243383</v>
      </c>
      <c r="L3933" s="38" t="n">
        <f aca="false">Sens!$L$3932*Sens!$L$3910</f>
        <v>28.1926369813469</v>
      </c>
      <c r="M3933" s="38" t="n">
        <f aca="false">Sens!$M$3932*Sens!$M$3910</f>
        <v>30.338637914116</v>
      </c>
    </row>
    <row r="3934" customFormat="false" ht="17.15" hidden="false" customHeight="false" outlineLevel="0" collapsed="false">
      <c r="A3934" s="5" t="s">
        <v>946</v>
      </c>
      <c r="B3934" s="0" t="s">
        <v>86</v>
      </c>
      <c r="C3934" s="38" t="n">
        <f aca="false">Sens!$M$3771*(1-tax)*(1+tg)*(1-tg/ronic)/(wacc-tg)</f>
        <v>391.533160655061</v>
      </c>
    </row>
    <row r="3935" customFormat="false" ht="17.15" hidden="false" customHeight="false" outlineLevel="0" collapsed="false">
      <c r="A3935" s="0" t="s">
        <v>947</v>
      </c>
      <c r="B3935" s="0" t="s">
        <v>86</v>
      </c>
      <c r="C3935" s="38" t="n">
        <f aca="false">(SUM(Sens!$I$3933:$M$3933)+Sens!$C$3934/(1+wacc)^6)*(1+wacc)^tp_yf</f>
        <v>159.796867964901</v>
      </c>
    </row>
    <row r="3936" customFormat="false" ht="17.15" hidden="false" customHeight="false" outlineLevel="0" collapsed="false">
      <c r="A3936" s="5" t="s">
        <v>948</v>
      </c>
      <c r="B3936" s="0" t="s">
        <v>86</v>
      </c>
      <c r="C3936" s="38" t="n">
        <f aca="false">(1-tp_yf)*(Sens!$H$3853)+tp_yf*(Sens!$I$3853)</f>
        <v>74.6707041238437</v>
      </c>
    </row>
    <row r="3937" customFormat="false" ht="17.15" hidden="false" customHeight="false" outlineLevel="0" collapsed="false">
      <c r="A3937" s="5" t="s">
        <v>949</v>
      </c>
      <c r="B3937" s="0" t="s">
        <v>86</v>
      </c>
      <c r="C3937" s="38" t="n">
        <f aca="false">Sens!$C$3936*m_ai</f>
        <v>448.024224743062</v>
      </c>
    </row>
    <row r="3938" customFormat="false" ht="17.15" hidden="false" customHeight="false" outlineLevel="0" collapsed="false">
      <c r="A3938" s="0" t="s">
        <v>950</v>
      </c>
      <c r="B3938" s="0" t="s">
        <v>86</v>
      </c>
      <c r="C3938" s="38" t="n">
        <f aca="false">IF(ai_leg=1,Sens!$C$3935,Sens!$C$3937)</f>
        <v>159.796867964901</v>
      </c>
    </row>
    <row r="3939" customFormat="false" ht="17.15" hidden="false" customHeight="false" outlineLevel="0" collapsed="false">
      <c r="A3939" s="5" t="s">
        <v>951</v>
      </c>
      <c r="B3939" s="0" t="s">
        <v>86</v>
      </c>
      <c r="C3939" s="38" t="n">
        <f aca="false">Sens!$C$3925+Sens!$C$3928+Sens!$C$3931+Sens!$C$3938</f>
        <v>2874.17087313212</v>
      </c>
    </row>
    <row r="3940" customFormat="false" ht="17.15" hidden="false" customHeight="false" outlineLevel="0" collapsed="false">
      <c r="A3940" s="5" t="s">
        <v>952</v>
      </c>
      <c r="B3940" s="0" t="s">
        <v>86</v>
      </c>
      <c r="C3940" s="38" t="n">
        <f aca="false">Sens!$H$3893+fin_debt</f>
        <v>152.711046700688</v>
      </c>
    </row>
    <row r="3941" customFormat="false" ht="15" hidden="false" customHeight="false" outlineLevel="0" collapsed="false">
      <c r="A3941" s="5" t="s">
        <v>953</v>
      </c>
      <c r="B3941" s="0" t="s">
        <v>86</v>
      </c>
      <c r="C3941" s="38" t="n">
        <f aca="false">Sens!$C$3939-Sens!$C$3940+Sens!$C$3918</f>
        <v>2900.40382643143</v>
      </c>
    </row>
    <row r="3942" customFormat="false" ht="15" hidden="false" customHeight="false" outlineLevel="0" collapsed="false">
      <c r="A3942" s="3" t="s">
        <v>954</v>
      </c>
      <c r="B3942" s="8" t="s">
        <v>27</v>
      </c>
      <c r="C3942" s="30" t="n">
        <f aca="false">Sens!$C$3941/sh_val</f>
        <v>262.948437046437</v>
      </c>
    </row>
    <row r="3943" customFormat="false" ht="17.15" hidden="false" customHeight="false" outlineLevel="0" collapsed="false">
      <c r="A3943" s="47" t="s">
        <v>955</v>
      </c>
      <c r="B3943" s="14" t="s">
        <v>27</v>
      </c>
      <c r="C3943" s="44" t="n">
        <f aca="false">w_dcf*Sens!$C$3921+(1-w_dcf)*Sens!$C$3942</f>
        <v>202.231780205695</v>
      </c>
      <c r="D3943" s="14"/>
      <c r="E3943" s="14"/>
      <c r="F3943" s="14"/>
      <c r="G3943" s="14"/>
      <c r="H3943" s="14"/>
      <c r="I3943" s="14"/>
      <c r="J3943" s="14"/>
      <c r="K3943" s="14"/>
      <c r="L3943" s="14"/>
      <c r="M3943" s="14"/>
      <c r="N3943" s="14"/>
      <c r="O3943" s="14"/>
    </row>
    <row r="3944" customFormat="false" ht="17.15" hidden="false" customHeight="false" outlineLevel="0" collapsed="false">
      <c r="A3944" s="5" t="s">
        <v>956</v>
      </c>
      <c r="B3944" s="0" t="s">
        <v>27</v>
      </c>
      <c r="C3944" s="30" t="n">
        <f aca="false">v022_wdcf*Sens!$C$3921+(1-v022_wdcf)*Sens!$C$3942</f>
        <v>208.303445889769</v>
      </c>
    </row>
    <row r="3945" customFormat="false" ht="17.15" hidden="false" customHeight="false" outlineLevel="0" collapsed="false">
      <c r="A3945" s="5" t="s">
        <v>957</v>
      </c>
      <c r="B3945" s="0" t="s">
        <v>27</v>
      </c>
      <c r="C3945" s="30" t="n">
        <f aca="false">(Sens!$C$3941-Sens!$C$3938+Sens!$C$3937)/sh_val</f>
        <v>289.078913185028</v>
      </c>
    </row>
    <row r="3948" customFormat="false" ht="19.4" hidden="false" customHeight="false" outlineLevel="0" collapsed="false">
      <c r="A3948" s="31" t="s">
        <v>1215</v>
      </c>
    </row>
    <row r="3949" customFormat="false" ht="17.15" hidden="false" customHeight="false" outlineLevel="0" collapsed="false">
      <c r="A3949" s="6" t="s">
        <v>16</v>
      </c>
      <c r="B3949" s="6" t="s">
        <v>17</v>
      </c>
      <c r="C3949" s="20" t="s">
        <v>497</v>
      </c>
      <c r="D3949" s="20" t="s">
        <v>498</v>
      </c>
      <c r="E3949" s="20" t="s">
        <v>580</v>
      </c>
      <c r="F3949" s="20" t="s">
        <v>581</v>
      </c>
      <c r="G3949" s="20" t="s">
        <v>582</v>
      </c>
      <c r="H3949" s="20" t="s">
        <v>583</v>
      </c>
      <c r="I3949" s="20" t="s">
        <v>584</v>
      </c>
      <c r="J3949" s="20" t="s">
        <v>585</v>
      </c>
      <c r="K3949" s="20" t="s">
        <v>586</v>
      </c>
      <c r="L3949" s="20" t="s">
        <v>587</v>
      </c>
      <c r="M3949" s="20" t="s">
        <v>588</v>
      </c>
      <c r="N3949" s="20" t="s">
        <v>589</v>
      </c>
      <c r="O3949" s="20" t="s">
        <v>590</v>
      </c>
      <c r="P3949" s="6" t="s">
        <v>23</v>
      </c>
      <c r="R3949" s="20" t="n">
        <v>2023</v>
      </c>
      <c r="S3949" s="20" t="n">
        <v>2024</v>
      </c>
      <c r="T3949" s="20" t="n">
        <v>2025</v>
      </c>
      <c r="U3949" s="20" t="n">
        <v>2026</v>
      </c>
      <c r="V3949" s="20" t="n">
        <v>2027</v>
      </c>
      <c r="W3949" s="20" t="n">
        <v>2028</v>
      </c>
      <c r="X3949" s="20" t="n">
        <v>2029</v>
      </c>
      <c r="Y3949" s="20" t="n">
        <v>2030</v>
      </c>
      <c r="Z3949" s="20" t="n">
        <v>2031</v>
      </c>
      <c r="AA3949" s="20" t="n">
        <v>2032</v>
      </c>
    </row>
    <row r="3950" customFormat="false" ht="17.15" hidden="false" customHeight="false" outlineLevel="0" collapsed="false">
      <c r="A3950" s="1" t="s">
        <v>666</v>
      </c>
    </row>
    <row r="3951" customFormat="false" ht="17.15" hidden="false" customHeight="false" outlineLevel="0" collapsed="false">
      <c r="A3951" s="0" t="s">
        <v>519</v>
      </c>
      <c r="B3951" s="0" t="s">
        <v>86</v>
      </c>
      <c r="C3951" s="38" t="n">
        <f aca="false">Q!$D$10</f>
        <v>247.029</v>
      </c>
      <c r="D3951" s="38" t="n">
        <f aca="false">Q!$E$10</f>
        <v>269.287</v>
      </c>
      <c r="E3951" s="38" t="n">
        <f aca="false">Q!$P$10</f>
        <v>134.686</v>
      </c>
      <c r="F3951" s="38" t="n">
        <f aca="false">Sens!$O$3951*(1+Sens!$F$3952)*Sens!$F$3963</f>
        <v>158.293876822267</v>
      </c>
      <c r="G3951" s="38" t="n">
        <f aca="false">Sens!$E$3951+Sens!$F$3951</f>
        <v>292.979876822267</v>
      </c>
      <c r="H3951" s="38" t="n">
        <f aca="false">Sens!$G$3951*(1+Sens!$H$3952)</f>
        <v>318.184543087396</v>
      </c>
      <c r="I3951" s="38" t="n">
        <f aca="false">Sens!$H$3951*(1+Sens!$I$3952)</f>
        <v>341.736278761793</v>
      </c>
      <c r="J3951" s="38" t="n">
        <f aca="false">Sens!$I$3951*(1+Sens!$J$3952)</f>
        <v>362.927192787048</v>
      </c>
      <c r="K3951" s="38" t="n">
        <f aca="false">Sens!$J$3951*(1+Sens!$K$3952)</f>
        <v>381.0735524264</v>
      </c>
      <c r="L3951" s="38" t="n">
        <f aca="false">Sens!$K$3951*(1+Sens!$L$3952)</f>
        <v>400.12723004772</v>
      </c>
      <c r="M3951" s="38" t="n">
        <f aca="false">Sens!$L$3951*(1+Sens!$M$3952)</f>
        <v>420.133591550106</v>
      </c>
      <c r="N3951" s="38" t="n">
        <f aca="false">Q!$N$10</f>
        <v>118.892</v>
      </c>
      <c r="O3951" s="38" t="n">
        <f aca="false">Q!$O$10</f>
        <v>150.395</v>
      </c>
      <c r="P3951" s="8" t="s">
        <v>667</v>
      </c>
    </row>
    <row r="3952" customFormat="false" ht="17.15" hidden="false" customHeight="false" outlineLevel="0" collapsed="false">
      <c r="A3952" s="0" t="s">
        <v>668</v>
      </c>
      <c r="B3952" s="0" t="s">
        <v>52</v>
      </c>
      <c r="E3952" s="13" t="n">
        <f aca="false">Sens!$E$3951/Sens!$N$3951-1</f>
        <v>0.132843252699929</v>
      </c>
      <c r="F3952" s="13" t="n">
        <f aca="false">Sens!$O$3951/(Q!$F$10+Q!$G$10)-1</f>
        <v>0.0980382135842941</v>
      </c>
      <c r="G3952" s="13" t="n">
        <f aca="false">Sens!$G$3951/Sens!$D$3951-1</f>
        <v>0.0879837378791657</v>
      </c>
      <c r="H3952" s="13" t="n">
        <f aca="false">Sens!$F$3952+(g_os-Sens!$F$3952)*1/4</f>
        <v>0.0860286601882206</v>
      </c>
      <c r="I3952" s="13" t="n">
        <f aca="false">Sens!$F$3952+(g_os-Sens!$F$3952)*2/4</f>
        <v>0.074019106792147</v>
      </c>
      <c r="J3952" s="13" t="n">
        <f aca="false">Sens!$F$3952+(g_os-Sens!$F$3952)*3/4</f>
        <v>0.0620095533960735</v>
      </c>
      <c r="K3952" s="13" t="n">
        <f aca="false">Sens!$F$3952+(g_os-Sens!$F$3952)*4/4</f>
        <v>0.05</v>
      </c>
      <c r="L3952" s="13" t="n">
        <f aca="false">g_os</f>
        <v>0.05</v>
      </c>
      <c r="M3952" s="13" t="n">
        <f aca="false">g_os</f>
        <v>0.05</v>
      </c>
      <c r="P3952" s="8" t="s">
        <v>669</v>
      </c>
    </row>
    <row r="3953" customFormat="false" ht="17.15" hidden="false" customHeight="false" outlineLevel="0" collapsed="false">
      <c r="A3953" s="0" t="s">
        <v>520</v>
      </c>
      <c r="B3953" s="0" t="s">
        <v>86</v>
      </c>
      <c r="C3953" s="38" t="n">
        <f aca="false">Q!$D$11</f>
        <v>21.215</v>
      </c>
      <c r="D3953" s="38" t="n">
        <f aca="false">Q!$E$11</f>
        <v>22.561</v>
      </c>
      <c r="E3953" s="38" t="n">
        <f aca="false">Q!$P$11</f>
        <v>11.579</v>
      </c>
      <c r="F3953" s="38" t="n">
        <f aca="false">Sens!$O$3953*(1+Sens!$F$3954)*Sens!$F$3963</f>
        <v>11.5938724610325</v>
      </c>
      <c r="G3953" s="38" t="n">
        <f aca="false">Sens!$E$3953+Sens!$F$3953</f>
        <v>23.1728724610325</v>
      </c>
      <c r="H3953" s="38" t="n">
        <f aca="false">Sens!$G$3953*(1+Sens!$H$3954)</f>
        <v>24.353392759506</v>
      </c>
      <c r="I3953" s="38" t="n">
        <f aca="false">Sens!$H$3953*(1+Sens!$I$3954)</f>
        <v>25.4240338872015</v>
      </c>
      <c r="J3953" s="38" t="n">
        <f aca="false">Sens!$I$3953*(1+Sens!$J$3954)</f>
        <v>26.3642491017174</v>
      </c>
      <c r="K3953" s="38" t="n">
        <f aca="false">Sens!$J$3953*(1+Sens!$K$3954)</f>
        <v>27.155176574769</v>
      </c>
      <c r="L3953" s="38" t="n">
        <f aca="false">Sens!$K$3953*(1+Sens!$L$3954)</f>
        <v>27.969831872012</v>
      </c>
      <c r="M3953" s="38" t="n">
        <f aca="false">Sens!$L$3953*(1+Sens!$M$3954)</f>
        <v>28.8089268281724</v>
      </c>
      <c r="N3953" s="38" t="n">
        <f aca="false">Q!$N$11</f>
        <v>11.128</v>
      </c>
      <c r="O3953" s="38" t="n">
        <f aca="false">Q!$O$11</f>
        <v>11.433</v>
      </c>
      <c r="P3953" s="8" t="s">
        <v>667</v>
      </c>
    </row>
    <row r="3954" customFormat="false" ht="17.15" hidden="false" customHeight="false" outlineLevel="0" collapsed="false">
      <c r="A3954" s="0" t="s">
        <v>670</v>
      </c>
      <c r="B3954" s="0" t="s">
        <v>52</v>
      </c>
      <c r="E3954" s="13" t="n">
        <f aca="false">Sens!$E$3953/Sens!$N$3953-1</f>
        <v>0.0405283968368082</v>
      </c>
      <c r="F3954" s="13" t="n">
        <f aca="false">Sens!$O$3953/(Q!$F$11+Q!$G$11)-1</f>
        <v>0.0579254187100955</v>
      </c>
      <c r="G3954" s="13" t="n">
        <f aca="false">Sens!$G$3953/Sens!$D$3953-1</f>
        <v>0.0271208040881397</v>
      </c>
      <c r="H3954" s="13" t="n">
        <f aca="false">Sens!$F$3954+(g_ps-Sens!$F$3954)*1/4</f>
        <v>0.0509440640325716</v>
      </c>
      <c r="I3954" s="13" t="n">
        <f aca="false">Sens!$F$3954+(g_ps-Sens!$F$3954)*2/4</f>
        <v>0.0439627093550477</v>
      </c>
      <c r="J3954" s="13" t="n">
        <f aca="false">Sens!$F$3954+(g_ps-Sens!$F$3954)*3/4</f>
        <v>0.0369813546775239</v>
      </c>
      <c r="K3954" s="13" t="n">
        <f aca="false">Sens!$F$3954+(g_ps-Sens!$F$3954)*4/4</f>
        <v>0.03</v>
      </c>
      <c r="L3954" s="13" t="n">
        <f aca="false">g_ps</f>
        <v>0.03</v>
      </c>
      <c r="M3954" s="13" t="n">
        <f aca="false">g_ps</f>
        <v>0.03</v>
      </c>
      <c r="P3954" s="8" t="s">
        <v>671</v>
      </c>
    </row>
    <row r="3955" customFormat="false" ht="17.15" hidden="false" customHeight="false" outlineLevel="0" collapsed="false">
      <c r="A3955" s="0" t="s">
        <v>521</v>
      </c>
      <c r="B3955" s="0" t="s">
        <v>86</v>
      </c>
      <c r="C3955" s="38" t="n">
        <f aca="false">Q!$D$12</f>
        <v>156.146</v>
      </c>
      <c r="D3955" s="38" t="n">
        <f aca="false">Q!$E$12</f>
        <v>172.162</v>
      </c>
      <c r="E3955" s="38" t="n">
        <f aca="false">Q!$P$12</f>
        <v>88.358</v>
      </c>
      <c r="F3955" s="38" t="n">
        <f aca="false">Sens!$O$3955*(1+Sens!$F$3956)*Sens!$F$3963</f>
        <v>102.004388260171</v>
      </c>
      <c r="G3955" s="38" t="n">
        <f aca="false">Sens!$E$3955+Sens!$F$3955</f>
        <v>190.362388260171</v>
      </c>
      <c r="H3955" s="38" t="n">
        <f aca="false">Sens!$G$3955*(1+Sens!$H$3956)</f>
        <v>210.343106588311</v>
      </c>
      <c r="I3955" s="38" t="n">
        <f aca="false">Sens!$H$3955*(1+Sens!$I$3956)</f>
        <v>229.969728494648</v>
      </c>
      <c r="J3955" s="38" t="n">
        <f aca="false">Sens!$I$3955*(1+Sens!$J$3956)</f>
        <v>248.747636972598</v>
      </c>
      <c r="K3955" s="38" t="n">
        <f aca="false">Sens!$J$3955*(1+Sens!$K$3956)</f>
        <v>266.15997156068</v>
      </c>
      <c r="L3955" s="38" t="n">
        <f aca="false">Sens!$K$3955*(1+Sens!$L$3956)</f>
        <v>284.791169569927</v>
      </c>
      <c r="M3955" s="38" t="n">
        <f aca="false">Sens!$L$3955*(1+Sens!$M$3956)</f>
        <v>304.726551439822</v>
      </c>
      <c r="N3955" s="38" t="n">
        <f aca="false">Q!$N$12</f>
        <v>76.86</v>
      </c>
      <c r="O3955" s="38" t="n">
        <f aca="false">Q!$O$12</f>
        <v>95.302</v>
      </c>
      <c r="P3955" s="8" t="s">
        <v>667</v>
      </c>
    </row>
    <row r="3956" customFormat="false" ht="17.15" hidden="false" customHeight="false" outlineLevel="0" collapsed="false">
      <c r="A3956" s="0" t="s">
        <v>672</v>
      </c>
      <c r="B3956" s="0" t="s">
        <v>52</v>
      </c>
      <c r="E3956" s="13" t="n">
        <f aca="false">Sens!$E$3955/Sens!$N$3955-1</f>
        <v>0.1495966692688</v>
      </c>
      <c r="F3956" s="13" t="n">
        <f aca="false">Sens!$O$3955/(Q!$F$12+Q!$G$12)-1</f>
        <v>0.11661530890813</v>
      </c>
      <c r="G3956" s="13" t="n">
        <f aca="false">Sens!$G$3955/Sens!$D$3955-1</f>
        <v>0.105716640490767</v>
      </c>
      <c r="H3956" s="13" t="n">
        <f aca="false">Sens!$F$3956+(g_sp-Sens!$F$3956)*1/4</f>
        <v>0.104961481681098</v>
      </c>
      <c r="I3956" s="13" t="n">
        <f aca="false">Sens!$F$3956+(g_sp-Sens!$F$3956)*2/4</f>
        <v>0.0933076544540651</v>
      </c>
      <c r="J3956" s="13" t="n">
        <f aca="false">Sens!$F$3956+(g_sp-Sens!$F$3956)*3/4</f>
        <v>0.0816538272270325</v>
      </c>
      <c r="K3956" s="13" t="n">
        <f aca="false">Sens!$F$3956+(g_sp-Sens!$F$3956)*4/4</f>
        <v>0.07</v>
      </c>
      <c r="L3956" s="13" t="n">
        <f aca="false">g_sp</f>
        <v>0.07</v>
      </c>
      <c r="M3956" s="13" t="n">
        <f aca="false">g_sp</f>
        <v>0.07</v>
      </c>
      <c r="P3956" s="8" t="s">
        <v>673</v>
      </c>
    </row>
    <row r="3957" customFormat="false" ht="17.15" hidden="false" customHeight="false" outlineLevel="0" collapsed="false">
      <c r="A3957" s="0" t="s">
        <v>522</v>
      </c>
      <c r="B3957" s="0" t="s">
        <v>86</v>
      </c>
      <c r="C3957" s="38" t="n">
        <f aca="false">Q!$D$13</f>
        <v>56.214</v>
      </c>
      <c r="D3957" s="38" t="n">
        <f aca="false">Q!$E$13</f>
        <v>68.635</v>
      </c>
      <c r="E3957" s="38" t="n">
        <f aca="false">Q!$P$13</f>
        <v>37.052</v>
      </c>
      <c r="F3957" s="38" t="n">
        <f aca="false">Sens!$O$3957*(1+Sens!$F$3958)*Sens!$F$3963</f>
        <v>46.1572219944148</v>
      </c>
      <c r="G3957" s="38" t="n">
        <f aca="false">Sens!$E$3957+Sens!$F$3957</f>
        <v>83.2092219944148</v>
      </c>
      <c r="H3957" s="38" t="n">
        <f aca="false">Sens!$G$3957*(1+Sens!$H$3958)</f>
        <v>99.2728532229395</v>
      </c>
      <c r="I3957" s="38" t="n">
        <f aca="false">Sens!$H$3957*(1+Sens!$I$3958)</f>
        <v>114.365708324728</v>
      </c>
      <c r="J3957" s="38" t="n">
        <f aca="false">Sens!$I$3957*(1+Sens!$J$3958)</f>
        <v>127.062249699617</v>
      </c>
      <c r="K3957" s="38" t="n">
        <f aca="false">Sens!$J$3957*(1+Sens!$K$3958)</f>
        <v>135.95660717859</v>
      </c>
      <c r="L3957" s="38" t="n">
        <f aca="false">Sens!$K$3957*(1+Sens!$L$3958)</f>
        <v>145.473569681091</v>
      </c>
      <c r="M3957" s="38" t="n">
        <f aca="false">Sens!$L$3957*(1+Sens!$M$3958)</f>
        <v>155.656719558768</v>
      </c>
      <c r="N3957" s="38" t="n">
        <f aca="false">Q!$N$13</f>
        <v>29.615</v>
      </c>
      <c r="O3957" s="38" t="n">
        <f aca="false">Q!$O$13</f>
        <v>39.02</v>
      </c>
      <c r="P3957" s="8" t="s">
        <v>667</v>
      </c>
    </row>
    <row r="3958" customFormat="false" ht="17.15" hidden="false" customHeight="false" outlineLevel="0" collapsed="false">
      <c r="A3958" s="0" t="s">
        <v>674</v>
      </c>
      <c r="B3958" s="0" t="s">
        <v>52</v>
      </c>
      <c r="E3958" s="13" t="n">
        <f aca="false">Sens!$E$3957/Sens!$N$3957-1</f>
        <v>0.25112274185379</v>
      </c>
      <c r="F3958" s="13" t="n">
        <f aca="false">Sens!$O$3957/(Q!$F$13+Q!$G$13)-1</f>
        <v>0.234068123596572</v>
      </c>
      <c r="G3958" s="13" t="n">
        <f aca="false">Sens!$G$3957/Sens!$D$3957-1</f>
        <v>0.212343876949294</v>
      </c>
      <c r="H3958" s="13" t="n">
        <f aca="false">Sens!$F$3958+(g_ad_lo-Sens!$F$3958)*1/4</f>
        <v>0.193051092697429</v>
      </c>
      <c r="I3958" s="13" t="n">
        <f aca="false">Sens!$F$3958+(g_ad_lo-Sens!$F$3958)*2/4</f>
        <v>0.152034061798286</v>
      </c>
      <c r="J3958" s="13" t="n">
        <f aca="false">Sens!$F$3958+(g_ad_lo-Sens!$F$3958)*3/4</f>
        <v>0.111017030899143</v>
      </c>
      <c r="K3958" s="13" t="n">
        <f aca="false">Sens!$F$3958+(g_ad_lo-Sens!$F$3958)*4/4</f>
        <v>0.07</v>
      </c>
      <c r="L3958" s="13" t="n">
        <f aca="false">g_ad_lo</f>
        <v>0.07</v>
      </c>
      <c r="M3958" s="13" t="n">
        <f aca="false">g_ad_lo</f>
        <v>0.07</v>
      </c>
      <c r="P3958" s="8" t="s">
        <v>675</v>
      </c>
    </row>
    <row r="3959" customFormat="false" ht="17.15" hidden="false" customHeight="false" outlineLevel="0" collapsed="false">
      <c r="A3959" s="0" t="s">
        <v>523</v>
      </c>
      <c r="B3959" s="0" t="s">
        <v>86</v>
      </c>
      <c r="C3959" s="38" t="n">
        <f aca="false">Q!$D$14</f>
        <v>44.374</v>
      </c>
      <c r="D3959" s="38" t="n">
        <f aca="false">Q!$E$14</f>
        <v>49.619</v>
      </c>
      <c r="E3959" s="38" t="n">
        <f aca="false">Q!$P$14</f>
        <v>27.157</v>
      </c>
      <c r="F3959" s="38" t="n">
        <f aca="false">Sens!$O$3959*(1+Sens!$F$3960)*Sens!$F$3963</f>
        <v>27.7764165988154</v>
      </c>
      <c r="G3959" s="38" t="n">
        <f aca="false">Sens!$E$3959+Sens!$F$3959</f>
        <v>54.9334165988154</v>
      </c>
      <c r="H3959" s="38" t="n">
        <f aca="false">Sens!$G$3959*(1+Sens!$H$3960)</f>
        <v>61.1564112561829</v>
      </c>
      <c r="I3959" s="38" t="n">
        <f aca="false">Sens!$H$3959*(1+Sens!$I$3960)</f>
        <v>67.2020282103945</v>
      </c>
      <c r="J3959" s="38" t="n">
        <f aca="false">Sens!$I$3959*(1+Sens!$J$3960)</f>
        <v>72.8757274028885</v>
      </c>
      <c r="K3959" s="38" t="n">
        <f aca="false">Sens!$J$3959*(1+Sens!$K$3960)</f>
        <v>77.9770283210907</v>
      </c>
      <c r="L3959" s="38" t="n">
        <f aca="false">Sens!$K$3959*(1+Sens!$L$3960)</f>
        <v>83.4354203035671</v>
      </c>
      <c r="M3959" s="38" t="n">
        <f aca="false">Sens!$L$3959*(1+Sens!$M$3960)</f>
        <v>89.2758997248168</v>
      </c>
      <c r="N3959" s="38" t="n">
        <f aca="false">Q!$N$14</f>
        <v>23.923</v>
      </c>
      <c r="O3959" s="38" t="n">
        <f aca="false">Q!$O$14</f>
        <v>25.696</v>
      </c>
      <c r="P3959" s="8" t="s">
        <v>667</v>
      </c>
    </row>
    <row r="3960" customFormat="false" ht="17.15" hidden="false" customHeight="false" outlineLevel="0" collapsed="false">
      <c r="A3960" s="0" t="s">
        <v>676</v>
      </c>
      <c r="B3960" s="0" t="s">
        <v>52</v>
      </c>
      <c r="E3960" s="13" t="n">
        <f aca="false">Sens!$E$3959/Sens!$N$3959-1</f>
        <v>0.135183714417088</v>
      </c>
      <c r="F3960" s="13" t="n">
        <f aca="false">Sens!$O$3959/(Q!$F$14+Q!$G$14)-1</f>
        <v>0.127709997366804</v>
      </c>
      <c r="G3960" s="13" t="n">
        <f aca="false">Sens!$G$3959/Sens!$D$3959-1</f>
        <v>0.107104468022641</v>
      </c>
      <c r="H3960" s="13" t="n">
        <f aca="false">Sens!$F$3960+(g_sub-Sens!$F$3960)*1/4</f>
        <v>0.113282498025103</v>
      </c>
      <c r="I3960" s="13" t="n">
        <f aca="false">Sens!$F$3960+(g_sub-Sens!$F$3960)*2/4</f>
        <v>0.0988549986834021</v>
      </c>
      <c r="J3960" s="13" t="n">
        <f aca="false">Sens!$F$3960+(g_sub-Sens!$F$3960)*3/4</f>
        <v>0.084427499341701</v>
      </c>
      <c r="K3960" s="13" t="n">
        <f aca="false">Sens!$F$3960+(g_sub-Sens!$F$3960)*4/4</f>
        <v>0.07</v>
      </c>
      <c r="L3960" s="13" t="n">
        <f aca="false">g_sub</f>
        <v>0.07</v>
      </c>
      <c r="M3960" s="13" t="n">
        <f aca="false">g_sub</f>
        <v>0.07</v>
      </c>
      <c r="P3960" s="8" t="s">
        <v>677</v>
      </c>
    </row>
    <row r="3961" customFormat="false" ht="17.15" hidden="false" customHeight="false" outlineLevel="0" collapsed="false">
      <c r="A3961" s="0" t="s">
        <v>524</v>
      </c>
      <c r="B3961" s="0" t="s">
        <v>86</v>
      </c>
      <c r="C3961" s="38" t="n">
        <f aca="false">Q!$D$15</f>
        <v>5.425</v>
      </c>
      <c r="D3961" s="38" t="n">
        <f aca="false">Q!$E$15</f>
        <v>5.935</v>
      </c>
      <c r="E3961" s="38" t="n">
        <f aca="false">Q!$P$15</f>
        <v>3.474</v>
      </c>
      <c r="F3961" s="38" t="n">
        <f aca="false">Sens!$O$3961*(1+Sens!$F$3962)*Sens!$F$3963</f>
        <v>3.22246550883619</v>
      </c>
      <c r="G3961" s="38" t="n">
        <f aca="false">Sens!$E$3961+Sens!$F$3961</f>
        <v>6.69646550883619</v>
      </c>
      <c r="H3961" s="38" t="n">
        <f aca="false">Sens!$G$3961*(1+Sens!$H$3962)</f>
        <v>7.16251344209196</v>
      </c>
      <c r="I3961" s="38" t="n">
        <f aca="false">Sens!$H$3961*(1+Sens!$I$3962)</f>
        <v>7.61421070299826</v>
      </c>
      <c r="J3961" s="38" t="n">
        <f aca="false">Sens!$I$3961*(1+Sens!$J$3962)</f>
        <v>8.04465753523932</v>
      </c>
      <c r="K3961" s="38" t="n">
        <f aca="false">Sens!$J$3961*(1+Sens!$K$3962)</f>
        <v>8.44689041200128</v>
      </c>
      <c r="L3961" s="38" t="n">
        <f aca="false">Sens!$K$3961*(1+Sens!$L$3962)</f>
        <v>8.86923493260135</v>
      </c>
      <c r="M3961" s="38" t="n">
        <f aca="false">Sens!$L$3961*(1+Sens!$M$3962)</f>
        <v>9.31269667923142</v>
      </c>
      <c r="N3961" s="38" t="n">
        <f aca="false">Q!$N$15</f>
        <v>2.811</v>
      </c>
      <c r="O3961" s="38" t="n">
        <f aca="false">Q!$O$15</f>
        <v>3.124</v>
      </c>
      <c r="P3961" s="8" t="s">
        <v>667</v>
      </c>
    </row>
    <row r="3962" customFormat="false" ht="17.15" hidden="false" customHeight="false" outlineLevel="0" collapsed="false">
      <c r="A3962" s="0" t="s">
        <v>678</v>
      </c>
      <c r="B3962" s="0" t="s">
        <v>52</v>
      </c>
      <c r="E3962" s="13" t="n">
        <f aca="false">Sens!$E$3961/Sens!$N$3961-1</f>
        <v>0.235859124866596</v>
      </c>
      <c r="F3962" s="13" t="n">
        <f aca="false">Sens!$O$3961/(Q!$F$15+Q!$G$15)-1</f>
        <v>0.0761281433000345</v>
      </c>
      <c r="G3962" s="13" t="n">
        <f aca="false">Sens!$G$3961/Sens!$D$3961-1</f>
        <v>0.128300843948811</v>
      </c>
      <c r="H3962" s="13" t="n">
        <f aca="false">Sens!$F$3962+(g_ot-Sens!$F$3962)*1/4</f>
        <v>0.0695961074750259</v>
      </c>
      <c r="I3962" s="13" t="n">
        <f aca="false">Sens!$F$3962+(g_ot-Sens!$F$3962)*2/4</f>
        <v>0.0630640716500172</v>
      </c>
      <c r="J3962" s="13" t="n">
        <f aca="false">Sens!$F$3962+(g_ot-Sens!$F$3962)*3/4</f>
        <v>0.0565320358250086</v>
      </c>
      <c r="K3962" s="13" t="n">
        <f aca="false">Sens!$F$3962+(g_ot-Sens!$F$3962)*4/4</f>
        <v>0.05</v>
      </c>
      <c r="L3962" s="13" t="n">
        <f aca="false">g_ot</f>
        <v>0.05</v>
      </c>
      <c r="M3962" s="13" t="n">
        <f aca="false">g_ot</f>
        <v>0.05</v>
      </c>
      <c r="P3962" s="8" t="s">
        <v>679</v>
      </c>
    </row>
    <row r="3963" customFormat="false" ht="17.15" hidden="false" customHeight="false" outlineLevel="0" collapsed="false">
      <c r="A3963" s="0" t="s">
        <v>680</v>
      </c>
      <c r="B3963" s="0" t="s">
        <v>57</v>
      </c>
      <c r="F3963" s="40" t="n">
        <f aca="false">(g26q3_mid*Q!$O$8/Q!$J$8-Thesis!$F$86-Thesis!$F$90)/(Sens!$O$3951*(1+Sens!$F$3952)+Sens!$O$3953*(1+Sens!$F$3954)+Sens!$O$3955*(1+Sens!$F$3956)+Sens!$O$3957*(1+Sens!$F$3958)+Sens!$O$3959*(1+Sens!$F$3960)+Sens!$O$3961*(1+Sens!$F$3962))</f>
        <v>0.958546670622329</v>
      </c>
      <c r="P3963" s="8" t="s">
        <v>681</v>
      </c>
    </row>
    <row r="3964" customFormat="false" ht="17.15" hidden="false" customHeight="false" outlineLevel="0" collapsed="false">
      <c r="A3964" s="3" t="s">
        <v>682</v>
      </c>
      <c r="B3964" s="8" t="s">
        <v>86</v>
      </c>
      <c r="C3964" s="38" t="n">
        <f aca="false">Sens!$C$3951+Sens!$C$3953+Sens!$C$3955+Sens!$C$3957+Sens!$C$3959+Sens!$C$3961</f>
        <v>530.403</v>
      </c>
      <c r="D3964" s="38" t="n">
        <f aca="false">Sens!$D$3951+Sens!$D$3953+Sens!$D$3955+Sens!$D$3957+Sens!$D$3959+Sens!$D$3961</f>
        <v>588.199</v>
      </c>
      <c r="E3964" s="38" t="n">
        <f aca="false">Sens!$E$3951+Sens!$E$3953+Sens!$E$3955+Sens!$E$3957+Sens!$E$3959+Sens!$E$3961</f>
        <v>302.306</v>
      </c>
      <c r="F3964" s="38" t="n">
        <f aca="false">Sens!$F$3951+Sens!$F$3953+Sens!$F$3955+Sens!$F$3957+Sens!$F$3959+Sens!$F$3961</f>
        <v>349.048241645537</v>
      </c>
      <c r="G3964" s="38" t="n">
        <f aca="false">Sens!$G$3951+Sens!$G$3953+Sens!$G$3955+Sens!$G$3957+Sens!$G$3959+Sens!$G$3961</f>
        <v>651.354241645537</v>
      </c>
      <c r="H3964" s="38" t="n">
        <f aca="false">Sens!$H$3951+Sens!$H$3953+Sens!$H$3955+Sens!$H$3957+Sens!$H$3959+Sens!$H$3961</f>
        <v>720.472820356428</v>
      </c>
      <c r="I3964" s="38" t="n">
        <f aca="false">Sens!$I$3951+Sens!$I$3953+Sens!$I$3955+Sens!$I$3957+Sens!$I$3959+Sens!$I$3961</f>
        <v>786.311988381763</v>
      </c>
      <c r="J3964" s="38" t="n">
        <f aca="false">Sens!$J$3951+Sens!$J$3953+Sens!$J$3955+Sens!$J$3957+Sens!$J$3959+Sens!$J$3961</f>
        <v>846.021713499108</v>
      </c>
      <c r="K3964" s="38" t="n">
        <f aca="false">Sens!$K$3951+Sens!$K$3953+Sens!$K$3955+Sens!$K$3957+Sens!$K$3959+Sens!$K$3961</f>
        <v>896.769226473531</v>
      </c>
      <c r="L3964" s="38" t="n">
        <f aca="false">Sens!$L$3951+Sens!$L$3953+Sens!$L$3955+Sens!$L$3957+Sens!$L$3959+Sens!$L$3961</f>
        <v>950.666456406919</v>
      </c>
      <c r="M3964" s="38" t="n">
        <f aca="false">Sens!$M$3951+Sens!$M$3953+Sens!$M$3955+Sens!$M$3957+Sens!$M$3959+Sens!$M$3961</f>
        <v>1007.91438578092</v>
      </c>
      <c r="N3964" s="38" t="n">
        <f aca="false">Sens!$N$3951+Sens!$N$3953+Sens!$N$3955+Sens!$N$3957+Sens!$N$3959+Sens!$N$3961</f>
        <v>263.229</v>
      </c>
      <c r="O3964" s="38" t="n">
        <f aca="false">Sens!$O$3951+Sens!$O$3953+Sens!$O$3955+Sens!$O$3957+Sens!$O$3959+Sens!$O$3961</f>
        <v>324.97</v>
      </c>
    </row>
    <row r="3965" customFormat="false" ht="17.15" hidden="false" customHeight="false" outlineLevel="0" collapsed="false">
      <c r="A3965" s="5" t="s">
        <v>683</v>
      </c>
      <c r="B3965" s="0" t="s">
        <v>52</v>
      </c>
      <c r="C3965" s="13" t="n">
        <f aca="false">Q!$D$5/(Q!$D$5+Q!$D$6)</f>
        <v>0.730570905519011</v>
      </c>
      <c r="D3965" s="13" t="n">
        <f aca="false">Q!$E$5/(Q!$E$5+Q!$E$6)</f>
        <v>0.724763217890544</v>
      </c>
      <c r="E3965" s="13" t="n">
        <f aca="false">Q!$P$5/(Q!$P$5+Q!$P$6)</f>
        <v>0.728797972914861</v>
      </c>
      <c r="F3965" s="13" t="n">
        <f aca="false">Sens!$O$3965</f>
        <v>0.718066283041511</v>
      </c>
      <c r="G3965" s="13" t="n">
        <f aca="false">Sens!$G$3966/Sens!$G$3964</f>
        <v>0.723047066202847</v>
      </c>
      <c r="H3965" s="13" t="n">
        <f aca="false">Sens!$G$3965</f>
        <v>0.723047066202847</v>
      </c>
      <c r="I3965" s="13" t="n">
        <f aca="false">Sens!$G$3965</f>
        <v>0.723047066202847</v>
      </c>
      <c r="J3965" s="13" t="n">
        <f aca="false">Sens!$G$3965</f>
        <v>0.723047066202847</v>
      </c>
      <c r="K3965" s="13" t="n">
        <f aca="false">Sens!$G$3965</f>
        <v>0.723047066202847</v>
      </c>
      <c r="L3965" s="13" t="n">
        <f aca="false">Sens!$G$3965</f>
        <v>0.723047066202847</v>
      </c>
      <c r="M3965" s="13" t="n">
        <f aca="false">Sens!$G$3965</f>
        <v>0.723047066202847</v>
      </c>
      <c r="N3965" s="13" t="n">
        <f aca="false">Q!$N$5/(Q!$N$5+Q!$N$6)</f>
        <v>0.733030935041352</v>
      </c>
      <c r="O3965" s="13" t="n">
        <f aca="false">Q!$O$5/(Q!$O$5+Q!$O$6)</f>
        <v>0.718066283041511</v>
      </c>
      <c r="P3965" s="8" t="s">
        <v>684</v>
      </c>
    </row>
    <row r="3966" customFormat="false" ht="17.15" hidden="false" customHeight="false" outlineLevel="0" collapsed="false">
      <c r="A3966" s="1" t="s">
        <v>512</v>
      </c>
      <c r="B3966" s="8" t="s">
        <v>86</v>
      </c>
      <c r="C3966" s="38" t="n">
        <f aca="false">Q!$D$5</f>
        <v>387.497</v>
      </c>
      <c r="D3966" s="38" t="n">
        <f aca="false">Q!$E$5</f>
        <v>426.305</v>
      </c>
      <c r="E3966" s="38" t="n">
        <f aca="false">Q!$P$5</f>
        <v>220.32</v>
      </c>
      <c r="F3966" s="38" t="n">
        <f aca="false">Sens!$F$3964*Sens!$F$3965</f>
        <v>250.639773480586</v>
      </c>
      <c r="G3966" s="38" t="n">
        <f aca="false">Sens!$E$3966+Sens!$F$3966</f>
        <v>470.959773480586</v>
      </c>
      <c r="H3966" s="38" t="n">
        <f aca="false">Sens!$H$3964*Sens!$H$3965</f>
        <v>520.935759037606</v>
      </c>
      <c r="I3966" s="38" t="n">
        <f aca="false">Sens!$I$3964*Sens!$I$3965</f>
        <v>568.540576319561</v>
      </c>
      <c r="J3966" s="38" t="n">
        <f aca="false">Sens!$J$3964*Sens!$J$3965</f>
        <v>611.713517889435</v>
      </c>
      <c r="K3966" s="38" t="n">
        <f aca="false">Sens!$K$3964*Sens!$K$3965</f>
        <v>648.406358262683</v>
      </c>
      <c r="L3966" s="38" t="n">
        <f aca="false">Sens!$L$3964*Sens!$L$3965</f>
        <v>687.37659224248</v>
      </c>
      <c r="M3966" s="38" t="n">
        <f aca="false">Sens!$M$3964*Sens!$M$3965</f>
        <v>728.769539622536</v>
      </c>
      <c r="N3966" s="38" t="n">
        <f aca="false">Q!$N$5</f>
        <v>192.955</v>
      </c>
      <c r="O3966" s="38" t="n">
        <f aca="false">Q!$O$5</f>
        <v>233.35</v>
      </c>
      <c r="P3966" s="5" t="s">
        <v>685</v>
      </c>
    </row>
    <row r="3967" customFormat="false" ht="17.15" hidden="false" customHeight="false" outlineLevel="0" collapsed="false">
      <c r="A3967" s="1" t="s">
        <v>515</v>
      </c>
      <c r="B3967" s="8" t="s">
        <v>86</v>
      </c>
      <c r="C3967" s="38" t="n">
        <f aca="false">Q!$D$6</f>
        <v>142.906</v>
      </c>
      <c r="D3967" s="38" t="n">
        <f aca="false">Q!$E$6</f>
        <v>161.894</v>
      </c>
      <c r="E3967" s="38" t="n">
        <f aca="false">Q!$P$6</f>
        <v>81.986</v>
      </c>
      <c r="F3967" s="38" t="n">
        <f aca="false">Sens!$F$3964*(1-Sens!$F$3965)</f>
        <v>98.408468164951</v>
      </c>
      <c r="G3967" s="38" t="n">
        <f aca="false">Sens!$E$3967+Sens!$F$3967</f>
        <v>180.394468164951</v>
      </c>
      <c r="H3967" s="38" t="n">
        <f aca="false">Sens!$H$3964*(1-Sens!$H$3965)</f>
        <v>199.537061318822</v>
      </c>
      <c r="I3967" s="38" t="n">
        <f aca="false">Sens!$I$3964*(1-Sens!$I$3965)</f>
        <v>217.771412062202</v>
      </c>
      <c r="J3967" s="38" t="n">
        <f aca="false">Sens!$J$3964*(1-Sens!$J$3965)</f>
        <v>234.308195609672</v>
      </c>
      <c r="K3967" s="38" t="n">
        <f aca="false">Sens!$K$3964*(1-Sens!$K$3965)</f>
        <v>248.362868210848</v>
      </c>
      <c r="L3967" s="38" t="n">
        <f aca="false">Sens!$L$3964*(1-Sens!$L$3965)</f>
        <v>263.289864164439</v>
      </c>
      <c r="M3967" s="38" t="n">
        <f aca="false">Sens!$M$3964*(1-Sens!$M$3965)</f>
        <v>279.14484615838</v>
      </c>
      <c r="N3967" s="38" t="n">
        <f aca="false">Q!$N$6</f>
        <v>70.274</v>
      </c>
      <c r="O3967" s="38" t="n">
        <f aca="false">Q!$O$6</f>
        <v>91.62</v>
      </c>
      <c r="P3967" s="5" t="s">
        <v>686</v>
      </c>
    </row>
    <row r="3968" customFormat="false" ht="17.15" hidden="false" customHeight="false" outlineLevel="0" collapsed="false">
      <c r="A3968" s="5" t="s">
        <v>687</v>
      </c>
      <c r="B3968" s="0" t="s">
        <v>86</v>
      </c>
      <c r="C3968" s="38" t="n">
        <f aca="false">Sens!$C$3957*Sens!$C$3965</f>
        <v>41.0683128828457</v>
      </c>
      <c r="D3968" s="38" t="n">
        <f aca="false">Sens!$D$3957*Sens!$D$3965</f>
        <v>49.7441234599175</v>
      </c>
      <c r="E3968" s="38" t="n">
        <f aca="false">Sens!$E$3957*Sens!$E$3965</f>
        <v>27.0034224924414</v>
      </c>
      <c r="F3968" s="38" t="n">
        <f aca="false">Sens!$F$3957*Sens!$F$3965</f>
        <v>33.1439448330513</v>
      </c>
      <c r="G3968" s="38" t="n">
        <f aca="false">Sens!$G$3957*Sens!$G$3965</f>
        <v>60.164183844083</v>
      </c>
      <c r="H3968" s="38" t="n">
        <f aca="false">Sens!$H$3957*Sens!$H$3965</f>
        <v>71.7789452764322</v>
      </c>
      <c r="I3968" s="38" t="n">
        <f aca="false">Sens!$I$3957*Sens!$I$3965</f>
        <v>82.6917898784051</v>
      </c>
      <c r="J3968" s="38" t="n">
        <f aca="false">Sens!$J$3957*Sens!$J$3965</f>
        <v>91.8719868704415</v>
      </c>
      <c r="K3968" s="38" t="n">
        <f aca="false">Sens!$K$3957*Sens!$K$3965</f>
        <v>98.3030259513724</v>
      </c>
      <c r="L3968" s="38" t="n">
        <f aca="false">Sens!$L$3957*Sens!$L$3965</f>
        <v>105.184237767968</v>
      </c>
      <c r="M3968" s="38" t="n">
        <f aca="false">Sens!$M$3957*Sens!$M$3965</f>
        <v>112.547134411726</v>
      </c>
      <c r="N3968" s="38" t="n">
        <f aca="false">Sens!$N$3957*Sens!$N$3965</f>
        <v>21.7087111412496</v>
      </c>
      <c r="O3968" s="38" t="n">
        <f aca="false">Sens!$O$3957*Sens!$O$3965</f>
        <v>28.0189463642798</v>
      </c>
      <c r="P3968" s="5" t="s">
        <v>688</v>
      </c>
    </row>
    <row r="3969" customFormat="false" ht="15" hidden="false" customHeight="false" outlineLevel="0" collapsed="false">
      <c r="A3969" s="5" t="s">
        <v>689</v>
      </c>
      <c r="B3969" s="0" t="s">
        <v>86</v>
      </c>
      <c r="C3969" s="38" t="n">
        <f aca="false">Sens!$C$3957-Sens!$C$3968</f>
        <v>15.1456871171543</v>
      </c>
      <c r="D3969" s="38" t="n">
        <f aca="false">Sens!$D$3957-Sens!$D$3968</f>
        <v>18.8908765400825</v>
      </c>
      <c r="E3969" s="38" t="n">
        <f aca="false">Sens!$E$3957-Sens!$E$3968</f>
        <v>10.0485775075586</v>
      </c>
      <c r="F3969" s="38" t="n">
        <f aca="false">Sens!$F$3957-Sens!$F$3968</f>
        <v>13.0132771613635</v>
      </c>
      <c r="G3969" s="38" t="n">
        <f aca="false">Sens!$G$3957-Sens!$G$3968</f>
        <v>23.0450381503318</v>
      </c>
      <c r="H3969" s="38" t="n">
        <f aca="false">Sens!$H$3957-Sens!$H$3968</f>
        <v>27.4939079465072</v>
      </c>
      <c r="I3969" s="38" t="n">
        <f aca="false">Sens!$I$3957-Sens!$I$3968</f>
        <v>31.6739184463229</v>
      </c>
      <c r="J3969" s="38" t="n">
        <f aca="false">Sens!$J$3957-Sens!$J$3968</f>
        <v>35.1902628291752</v>
      </c>
      <c r="K3969" s="38" t="n">
        <f aca="false">Sens!$K$3957-Sens!$K$3968</f>
        <v>37.6535812272175</v>
      </c>
      <c r="L3969" s="38" t="n">
        <f aca="false">Sens!$L$3957-Sens!$L$3968</f>
        <v>40.2893319131227</v>
      </c>
      <c r="M3969" s="38" t="n">
        <f aca="false">Sens!$M$3957-Sens!$M$3968</f>
        <v>43.1095851470413</v>
      </c>
      <c r="N3969" s="38" t="n">
        <f aca="false">Sens!$N$3957-Sens!$N$3968</f>
        <v>7.90628885875037</v>
      </c>
      <c r="O3969" s="38" t="n">
        <f aca="false">Sens!$O$3957-Sens!$O$3968</f>
        <v>11.0010536357202</v>
      </c>
    </row>
    <row r="3970" customFormat="false" ht="19.4" hidden="false" customHeight="false" outlineLevel="0" collapsed="false">
      <c r="A3970" s="31" t="s">
        <v>1216</v>
      </c>
    </row>
    <row r="3971" customFormat="false" ht="17.15" hidden="false" customHeight="false" outlineLevel="0" collapsed="false">
      <c r="A3971" s="6" t="s">
        <v>16</v>
      </c>
      <c r="B3971" s="6" t="s">
        <v>17</v>
      </c>
      <c r="C3971" s="20" t="s">
        <v>497</v>
      </c>
      <c r="D3971" s="20" t="s">
        <v>498</v>
      </c>
      <c r="E3971" s="20" t="s">
        <v>580</v>
      </c>
      <c r="F3971" s="20" t="s">
        <v>581</v>
      </c>
      <c r="G3971" s="20" t="s">
        <v>582</v>
      </c>
      <c r="H3971" s="20" t="s">
        <v>583</v>
      </c>
      <c r="I3971" s="20" t="s">
        <v>584</v>
      </c>
      <c r="J3971" s="20" t="s">
        <v>585</v>
      </c>
      <c r="K3971" s="20" t="s">
        <v>586</v>
      </c>
      <c r="L3971" s="20" t="s">
        <v>587</v>
      </c>
      <c r="M3971" s="20" t="s">
        <v>588</v>
      </c>
      <c r="N3971" s="20" t="s">
        <v>589</v>
      </c>
      <c r="O3971" s="20" t="s">
        <v>590</v>
      </c>
      <c r="P3971" s="6" t="s">
        <v>23</v>
      </c>
      <c r="R3971" s="20" t="n">
        <v>2023</v>
      </c>
      <c r="S3971" s="20" t="n">
        <v>2024</v>
      </c>
      <c r="T3971" s="20" t="n">
        <v>2025</v>
      </c>
      <c r="U3971" s="20" t="n">
        <v>2026</v>
      </c>
      <c r="V3971" s="20" t="n">
        <v>2027</v>
      </c>
      <c r="W3971" s="20" t="n">
        <v>2028</v>
      </c>
      <c r="X3971" s="20" t="n">
        <v>2029</v>
      </c>
      <c r="Y3971" s="20" t="n">
        <v>2030</v>
      </c>
      <c r="Z3971" s="20" t="n">
        <v>2031</v>
      </c>
      <c r="AA3971" s="20" t="n">
        <v>2032</v>
      </c>
    </row>
    <row r="3972" customFormat="false" ht="17.15" hidden="false" customHeight="false" outlineLevel="0" collapsed="false">
      <c r="A3972" s="1" t="s">
        <v>591</v>
      </c>
    </row>
    <row r="3973" customFormat="false" ht="17.15" hidden="false" customHeight="false" outlineLevel="0" collapsed="false">
      <c r="A3973" s="5" t="s">
        <v>592</v>
      </c>
      <c r="B3973" s="0" t="s">
        <v>144</v>
      </c>
      <c r="H3973" s="32" t="n">
        <f aca="false">pace_B</f>
        <v>3634.3</v>
      </c>
      <c r="I3973" s="32" t="n">
        <f aca="false">pace_B</f>
        <v>3634.3</v>
      </c>
      <c r="J3973" s="32" t="n">
        <f aca="false">pace_B</f>
        <v>3634.3</v>
      </c>
      <c r="K3973" s="32" t="n">
        <f aca="false">pace_B+(Sens!$J$3974*tg-pace_B)*1/3</f>
        <v>2570.86716666667</v>
      </c>
      <c r="L3973" s="32" t="n">
        <f aca="false">pace_B+(Sens!$J$3974*tg-pace_B)*2/3</f>
        <v>1507.43433333333</v>
      </c>
      <c r="M3973" s="32" t="n">
        <f aca="false">pace_B+(Sens!$J$3974*tg-pace_B)*3/3</f>
        <v>444.0015</v>
      </c>
      <c r="P3973" s="5" t="s">
        <v>593</v>
      </c>
    </row>
    <row r="3974" customFormat="false" ht="17.15" hidden="false" customHeight="false" outlineLevel="0" collapsed="false">
      <c r="A3974" s="15" t="s">
        <v>594</v>
      </c>
      <c r="B3974" s="14" t="s">
        <v>129</v>
      </c>
      <c r="C3974" s="33" t="n">
        <f aca="false">mw_ye24</f>
        <v>360</v>
      </c>
      <c r="D3974" s="33" t="n">
        <f aca="false">mw_ye25</f>
        <v>1440</v>
      </c>
      <c r="E3974" s="33" t="n">
        <f aca="false">mw_open</f>
        <v>2080</v>
      </c>
      <c r="F3974" s="33" t="n">
        <f aca="false">Sens!$E$3974+pace_B*0.5</f>
        <v>3897.15</v>
      </c>
      <c r="G3974" s="33" t="n">
        <f aca="false">Sens!$F$3974</f>
        <v>3897.15</v>
      </c>
      <c r="H3974" s="33" t="n">
        <f aca="false">Sens!$G$3974+Sens!$H$3973</f>
        <v>7531.45</v>
      </c>
      <c r="I3974" s="33" t="n">
        <f aca="false">Sens!$H$3974+Sens!$I$3973</f>
        <v>11165.75</v>
      </c>
      <c r="J3974" s="33" t="n">
        <f aca="false">Sens!$I$3974+Sens!$J$3973</f>
        <v>14800.05</v>
      </c>
      <c r="K3974" s="33" t="n">
        <f aca="false">Sens!$J$3974+Sens!$K$3973</f>
        <v>17370.9171666667</v>
      </c>
      <c r="L3974" s="33" t="n">
        <f aca="false">Sens!$K$3974+Sens!$L$3973</f>
        <v>18878.3515</v>
      </c>
      <c r="M3974" s="33" t="n">
        <f aca="false">Sens!$L$3974+Sens!$M$3973</f>
        <v>19322.353</v>
      </c>
      <c r="N3974" s="33" t="n">
        <f aca="false">(mw_ye24+mw_ye25)/2</f>
        <v>900</v>
      </c>
      <c r="O3974" s="33" t="n">
        <f aca="false">mw_ye25</f>
        <v>1440</v>
      </c>
      <c r="P3974" s="5" t="s">
        <v>595</v>
      </c>
    </row>
    <row r="3975" customFormat="false" ht="17.15" hidden="false" customHeight="false" outlineLevel="0" collapsed="false">
      <c r="A3975" s="5" t="s">
        <v>596</v>
      </c>
      <c r="B3975" s="0" t="s">
        <v>129</v>
      </c>
      <c r="C3975" s="32" t="n">
        <f aca="false">(mw_ye23+mw_ye24)/2</f>
        <v>240</v>
      </c>
      <c r="D3975" s="32" t="n">
        <f aca="false">(Sens!$C$3974+Sens!$D$3974)/2</f>
        <v>900</v>
      </c>
      <c r="E3975" s="32" t="n">
        <f aca="false">(Sens!$D$3974+Sens!$E$3974)/2</f>
        <v>1760</v>
      </c>
      <c r="F3975" s="32" t="n">
        <f aca="false">(Sens!$E$3974+Sens!$F$3974)/2</f>
        <v>2988.575</v>
      </c>
      <c r="G3975" s="32" t="n">
        <f aca="false">(Sens!$E$3975+Sens!$F$3975)/2</f>
        <v>2374.2875</v>
      </c>
      <c r="H3975" s="32" t="n">
        <f aca="false">(Sens!$G$3974+Sens!$H$3974)/2</f>
        <v>5714.3</v>
      </c>
      <c r="I3975" s="32" t="n">
        <f aca="false">(Sens!$H$3974+Sens!$I$3974)/2</f>
        <v>9348.6</v>
      </c>
      <c r="J3975" s="32" t="n">
        <f aca="false">(Sens!$I$3974+Sens!$J$3974)/2</f>
        <v>12982.9</v>
      </c>
      <c r="K3975" s="32" t="n">
        <f aca="false">(Sens!$J$3974+Sens!$K$3974)/2</f>
        <v>16085.4835833333</v>
      </c>
      <c r="L3975" s="32" t="n">
        <f aca="false">(Sens!$K$3974+Sens!$L$3974)/2</f>
        <v>18124.6343333333</v>
      </c>
      <c r="M3975" s="32" t="n">
        <f aca="false">(Sens!$L$3974+Sens!$M$3974)/2</f>
        <v>19100.35225</v>
      </c>
      <c r="N3975" s="32" t="n">
        <f aca="false">(Sens!$C$3974+Sens!$N$3974)/2</f>
        <v>630</v>
      </c>
      <c r="O3975" s="32" t="n">
        <f aca="false">(Sens!$N$3974+Sens!$O$3974)/2</f>
        <v>1170</v>
      </c>
    </row>
    <row r="3976" customFormat="false" ht="15" hidden="false" customHeight="false" outlineLevel="0" collapsed="false">
      <c r="A3976" s="5" t="s">
        <v>597</v>
      </c>
      <c r="B3976" s="5" t="s">
        <v>123</v>
      </c>
      <c r="C3976" s="34" t="n">
        <v>1</v>
      </c>
      <c r="D3976" s="34" t="n">
        <v>1</v>
      </c>
      <c r="E3976" s="34" t="n">
        <v>0.5</v>
      </c>
      <c r="F3976" s="34" t="n">
        <v>0.5</v>
      </c>
      <c r="G3976" s="34" t="n">
        <v>1</v>
      </c>
      <c r="H3976" s="34" t="n">
        <v>1</v>
      </c>
      <c r="I3976" s="34" t="n">
        <v>1</v>
      </c>
      <c r="J3976" s="34" t="n">
        <v>1</v>
      </c>
      <c r="K3976" s="34" t="n">
        <v>1</v>
      </c>
      <c r="L3976" s="34" t="n">
        <v>1</v>
      </c>
      <c r="M3976" s="34" t="n">
        <v>1</v>
      </c>
      <c r="N3976" s="34" t="n">
        <v>0.5</v>
      </c>
      <c r="O3976" s="34" t="n">
        <v>0.5</v>
      </c>
    </row>
    <row r="3977" customFormat="false" ht="17.15" hidden="false" customHeight="false" outlineLevel="0" collapsed="false">
      <c r="A3977" s="5" t="s">
        <v>598</v>
      </c>
      <c r="B3977" s="0" t="s">
        <v>129</v>
      </c>
      <c r="C3977" s="32" t="n">
        <f aca="false">Sens!$C$3974-mw_ye23</f>
        <v>240</v>
      </c>
      <c r="D3977" s="32" t="n">
        <f aca="false">Sens!$D$3974-Sens!$C$3974</f>
        <v>1080</v>
      </c>
      <c r="E3977" s="32" t="n">
        <f aca="false">Sens!$E$3974-Sens!$D$3974</f>
        <v>640</v>
      </c>
      <c r="F3977" s="32" t="n">
        <f aca="false">Sens!$F$3974-Sens!$E$3974</f>
        <v>1817.15</v>
      </c>
      <c r="G3977" s="32" t="n">
        <f aca="false">Sens!$E$3977+Sens!$F$3977</f>
        <v>2457.15</v>
      </c>
      <c r="H3977" s="32" t="n">
        <f aca="false">Sens!$H$3974-Sens!$G$3974</f>
        <v>3634.3</v>
      </c>
      <c r="I3977" s="32" t="n">
        <f aca="false">Sens!$I$3974-Sens!$H$3974</f>
        <v>3634.3</v>
      </c>
      <c r="J3977" s="32" t="n">
        <f aca="false">Sens!$J$3974-Sens!$I$3974</f>
        <v>3634.3</v>
      </c>
      <c r="K3977" s="32" t="n">
        <f aca="false">Sens!$K$3974-Sens!$J$3974</f>
        <v>2570.86716666667</v>
      </c>
      <c r="L3977" s="32" t="n">
        <f aca="false">Sens!$L$3974-Sens!$K$3974</f>
        <v>1507.43433333333</v>
      </c>
      <c r="M3977" s="32" t="n">
        <f aca="false">Sens!$M$3974-Sens!$L$3974</f>
        <v>444.001499999999</v>
      </c>
      <c r="N3977" s="32" t="n">
        <f aca="false">Sens!$N$3974-Sens!$C$3974</f>
        <v>540</v>
      </c>
      <c r="O3977" s="32" t="n">
        <f aca="false">Sens!$O$3974-Sens!$N$3974</f>
        <v>540</v>
      </c>
    </row>
    <row r="3978" customFormat="false" ht="17.15" hidden="false" customHeight="false" outlineLevel="0" collapsed="false">
      <c r="A3978" s="5" t="s">
        <v>599</v>
      </c>
      <c r="B3978" s="0" t="s">
        <v>129</v>
      </c>
      <c r="C3978" s="32" t="n">
        <f aca="false">Sens!$C$3977/ext_sh</f>
        <v>300</v>
      </c>
      <c r="D3978" s="32" t="n">
        <f aca="false">Sens!$D$3977/ext_sh</f>
        <v>1350</v>
      </c>
      <c r="E3978" s="32" t="n">
        <f aca="false">Sens!$E$3977/ext_sh</f>
        <v>800</v>
      </c>
      <c r="F3978" s="32" t="n">
        <f aca="false">Sens!$F$3977/ext_sh</f>
        <v>2271.4375</v>
      </c>
      <c r="G3978" s="32" t="n">
        <f aca="false">Sens!$G$3977/ext_sh</f>
        <v>3071.4375</v>
      </c>
      <c r="H3978" s="32" t="n">
        <f aca="false">Sens!$H$3977/ext_sh</f>
        <v>4542.875</v>
      </c>
      <c r="I3978" s="32" t="n">
        <f aca="false">Sens!$I$3977/ext_sh</f>
        <v>4542.875</v>
      </c>
      <c r="J3978" s="32" t="n">
        <f aca="false">Sens!$J$3977/ext_sh</f>
        <v>4542.875</v>
      </c>
      <c r="K3978" s="32" t="n">
        <f aca="false">Sens!$K$3977/ext_sh</f>
        <v>3213.58395833333</v>
      </c>
      <c r="L3978" s="32" t="n">
        <f aca="false">Sens!$L$3977/ext_sh</f>
        <v>1884.29291666667</v>
      </c>
      <c r="M3978" s="32" t="n">
        <f aca="false">Sens!$M$3977/ext_sh</f>
        <v>555.001874999998</v>
      </c>
      <c r="N3978" s="32" t="n">
        <f aca="false">Sens!$N$3977/ext_sh</f>
        <v>675</v>
      </c>
      <c r="O3978" s="32" t="n">
        <f aca="false">Sens!$O$3977/ext_sh</f>
        <v>675</v>
      </c>
      <c r="P3978" s="8" t="s">
        <v>600</v>
      </c>
      <c r="R3978" s="32" t="n">
        <f aca="false">mw_ye23/ext_sh</f>
        <v>150</v>
      </c>
      <c r="S3978" s="32" t="n">
        <f aca="false">Sens!$C$3978</f>
        <v>300</v>
      </c>
      <c r="T3978" s="32" t="n">
        <f aca="false">Sens!$D$3978</f>
        <v>1350</v>
      </c>
      <c r="U3978" s="32" t="n">
        <f aca="false">Sens!$G$3978</f>
        <v>3071.4375</v>
      </c>
      <c r="V3978" s="32" t="n">
        <f aca="false">Sens!$H$3978</f>
        <v>4542.875</v>
      </c>
      <c r="W3978" s="32" t="n">
        <f aca="false">Sens!$I$3978</f>
        <v>4542.875</v>
      </c>
      <c r="X3978" s="32" t="n">
        <f aca="false">Sens!$J$3978</f>
        <v>4542.875</v>
      </c>
      <c r="Y3978" s="32" t="n">
        <f aca="false">Sens!$K$3978</f>
        <v>3213.58395833333</v>
      </c>
      <c r="Z3978" s="32" t="n">
        <f aca="false">Sens!$L$3978</f>
        <v>1884.29291666667</v>
      </c>
      <c r="AA3978" s="32" t="n">
        <f aca="false">Sens!$M$3978</f>
        <v>555.001874999998</v>
      </c>
    </row>
    <row r="3979" customFormat="false" ht="17.15" hidden="false" customHeight="false" outlineLevel="0" collapsed="false">
      <c r="A3979" s="1" t="s">
        <v>601</v>
      </c>
    </row>
    <row r="3980" customFormat="false" ht="17.15" hidden="false" customHeight="false" outlineLevel="0" collapsed="false">
      <c r="A3980" s="0" t="s">
        <v>602</v>
      </c>
      <c r="B3980" s="0" t="s">
        <v>52</v>
      </c>
      <c r="F3980" s="35" t="n">
        <f aca="false">na_vr26</f>
        <v>0</v>
      </c>
      <c r="G3980" s="35" t="n">
        <f aca="false">na_vr26</f>
        <v>0</v>
      </c>
      <c r="H3980" s="35" t="n">
        <f aca="false">na_vr27</f>
        <v>0.5</v>
      </c>
      <c r="I3980" s="35" t="n">
        <f aca="false">na_vr28</f>
        <v>1</v>
      </c>
      <c r="J3980" s="35" t="n">
        <f aca="false">na_vr28</f>
        <v>1</v>
      </c>
      <c r="K3980" s="35" t="n">
        <f aca="false">na_vr28</f>
        <v>1</v>
      </c>
      <c r="L3980" s="35" t="n">
        <f aca="false">na_vr28</f>
        <v>1</v>
      </c>
      <c r="M3980" s="35" t="n">
        <f aca="false">na_vr28</f>
        <v>1</v>
      </c>
    </row>
    <row r="3981" customFormat="false" ht="17.15" hidden="false" customHeight="false" outlineLevel="0" collapsed="false">
      <c r="A3981" s="5" t="s">
        <v>603</v>
      </c>
      <c r="B3981" s="0" t="s">
        <v>173</v>
      </c>
      <c r="F3981" s="36" t="n">
        <f aca="false">cust_sh*tk_he_gb300*cf_chip+(1-cust_sh)*((1-Sens!$F$3980)*tk_he_gb300+Sens!$F$3980*tk_he_vr200)</f>
        <v>10.8864110021101</v>
      </c>
      <c r="G3981" s="36" t="n">
        <f aca="false">cust_sh*tk_he_gb300*cf_chip+(1-cust_sh)*((1-Sens!$G$3980)*tk_he_gb300+Sens!$G$3980*tk_he_vr200)</f>
        <v>10.8864110021101</v>
      </c>
      <c r="H3981" s="36" t="n">
        <f aca="false">cust_sh*tk_he_gb300*cf_chip+(1-cust_sh)*((1-Sens!$H$3980)*tk_he_gb300+Sens!$H$3980*tk_he_vr200)</f>
        <v>11.2211760027286</v>
      </c>
      <c r="I3981" s="36" t="n">
        <f aca="false">cust_sh*tk_he_gb300*cf_chip+(1-cust_sh)*((1-Sens!$I$3980)*tk_he_gb300+Sens!$I$3980*tk_he_vr200)</f>
        <v>11.5559410033471</v>
      </c>
      <c r="J3981" s="36" t="n">
        <f aca="false">cust_sh*tk_he_gb300*cf_chip+(1-cust_sh)*((1-Sens!$J$3980)*tk_he_gb300+Sens!$J$3980*tk_he_vr200)</f>
        <v>11.5559410033471</v>
      </c>
      <c r="K3981" s="36" t="n">
        <f aca="false">cust_sh*tk_he_gb300*cf_chip+(1-cust_sh)*((1-Sens!$K$3980)*tk_he_gb300+Sens!$K$3980*tk_he_vr200)</f>
        <v>11.5559410033471</v>
      </c>
      <c r="L3981" s="36" t="n">
        <f aca="false">cust_sh*tk_he_gb300*cf_chip+(1-cust_sh)*((1-Sens!$L$3980)*tk_he_gb300+Sens!$L$3980*tk_he_vr200)</f>
        <v>11.5559410033471</v>
      </c>
      <c r="M3981" s="36" t="n">
        <f aca="false">cust_sh*tk_he_gb300*cf_chip+(1-cust_sh)*((1-Sens!$M$3980)*tk_he_gb300+Sens!$M$3980*tk_he_vr200)</f>
        <v>11.5559410033471</v>
      </c>
    </row>
    <row r="3982" customFormat="false" ht="17.15" hidden="false" customHeight="false" outlineLevel="0" collapsed="false">
      <c r="A3982" s="5" t="s">
        <v>604</v>
      </c>
      <c r="B3982" s="0" t="s">
        <v>173</v>
      </c>
      <c r="F3982" s="36" t="n">
        <f aca="false">cust_sh*tk_ox_gb300+(1-cust_sh)*((1-Sens!$F$3980)*tk_ox_gb300+Sens!$F$3980*tk_ox_vr200)</f>
        <v>1.98263481314457</v>
      </c>
      <c r="G3982" s="36" t="n">
        <f aca="false">cust_sh*tk_ox_gb300+(1-cust_sh)*((1-Sens!$G$3980)*tk_ox_gb300+Sens!$G$3980*tk_ox_vr200)</f>
        <v>1.98263481314457</v>
      </c>
      <c r="H3982" s="36" t="n">
        <f aca="false">cust_sh*tk_ox_gb300+(1-cust_sh)*((1-Sens!$H$3980)*tk_ox_gb300+Sens!$H$3980*tk_ox_vr200)</f>
        <v>2.01034999693694</v>
      </c>
      <c r="I3982" s="36" t="n">
        <f aca="false">cust_sh*tk_ox_gb300+(1-cust_sh)*((1-Sens!$I$3980)*tk_ox_gb300+Sens!$I$3980*tk_ox_vr200)</f>
        <v>2.0380651807293</v>
      </c>
      <c r="J3982" s="36" t="n">
        <f aca="false">cust_sh*tk_ox_gb300+(1-cust_sh)*((1-Sens!$J$3980)*tk_ox_gb300+Sens!$J$3980*tk_ox_vr200)</f>
        <v>2.0380651807293</v>
      </c>
      <c r="K3982" s="36" t="n">
        <f aca="false">cust_sh*tk_ox_gb300+(1-cust_sh)*((1-Sens!$K$3980)*tk_ox_gb300+Sens!$K$3980*tk_ox_vr200)</f>
        <v>2.0380651807293</v>
      </c>
      <c r="L3982" s="36" t="n">
        <f aca="false">cust_sh*tk_ox_gb300+(1-cust_sh)*((1-Sens!$L$3980)*tk_ox_gb300+Sens!$L$3980*tk_ox_vr200)</f>
        <v>2.0380651807293</v>
      </c>
      <c r="M3982" s="36" t="n">
        <f aca="false">cust_sh*tk_ox_gb300+(1-cust_sh)*((1-Sens!$M$3980)*tk_ox_gb300+Sens!$M$3980*tk_ox_vr200)</f>
        <v>2.0380651807293</v>
      </c>
    </row>
    <row r="3983" customFormat="false" ht="17.15" hidden="false" customHeight="false" outlineLevel="0" collapsed="false">
      <c r="A3983" s="5" t="s">
        <v>605</v>
      </c>
      <c r="B3983" s="0" t="s">
        <v>192</v>
      </c>
      <c r="F3983" s="36" t="n">
        <f aca="false">cust_sh*tk_cx_gb300*cf_cx+(1-cust_sh)*((1-Sens!$F$3980)*tk_cx_gb300+Sens!$F$3980*tk_cx_vr200)</f>
        <v>32.237224</v>
      </c>
      <c r="G3983" s="36" t="n">
        <f aca="false">cust_sh*tk_cx_gb300*cf_cx+(1-cust_sh)*((1-Sens!$G$3980)*tk_cx_gb300+Sens!$G$3980*tk_cx_vr200)</f>
        <v>32.237224</v>
      </c>
      <c r="H3983" s="36" t="n">
        <f aca="false">cust_sh*tk_cx_gb300*cf_cx+(1-cust_sh)*((1-Sens!$H$3980)*tk_cx_gb300+Sens!$H$3980*tk_cx_vr200)</f>
        <v>33.574506</v>
      </c>
      <c r="I3983" s="36" t="n">
        <f aca="false">cust_sh*tk_cx_gb300*cf_cx+(1-cust_sh)*((1-Sens!$I$3980)*tk_cx_gb300+Sens!$I$3980*tk_cx_vr200)</f>
        <v>34.911788</v>
      </c>
      <c r="J3983" s="36" t="n">
        <f aca="false">cust_sh*tk_cx_gb300*cf_cx+(1-cust_sh)*((1-Sens!$J$3980)*tk_cx_gb300+Sens!$J$3980*tk_cx_vr200)</f>
        <v>34.911788</v>
      </c>
      <c r="K3983" s="36" t="n">
        <f aca="false">cust_sh*tk_cx_gb300*cf_cx+(1-cust_sh)*((1-Sens!$K$3980)*tk_cx_gb300+Sens!$K$3980*tk_cx_vr200)</f>
        <v>34.911788</v>
      </c>
      <c r="L3983" s="36" t="n">
        <f aca="false">cust_sh*tk_cx_gb300*cf_cx+(1-cust_sh)*((1-Sens!$L$3980)*tk_cx_gb300+Sens!$L$3980*tk_cx_vr200)</f>
        <v>34.911788</v>
      </c>
      <c r="M3983" s="36" t="n">
        <f aca="false">cust_sh*tk_cx_gb300*cf_cx+(1-cust_sh)*((1-Sens!$M$3980)*tk_cx_gb300+Sens!$M$3980*tk_cx_vr200)</f>
        <v>34.911788</v>
      </c>
    </row>
    <row r="3984" customFormat="false" ht="17.15" hidden="false" customHeight="false" outlineLevel="0" collapsed="false">
      <c r="A3984" s="5" t="s">
        <v>606</v>
      </c>
      <c r="B3984" s="0" t="s">
        <v>129</v>
      </c>
      <c r="F3984" s="32" t="n">
        <f aca="false">Sens!$F$3974-mw_open</f>
        <v>1817.15</v>
      </c>
      <c r="G3984" s="32" t="n">
        <f aca="false">Sens!$F$3984</f>
        <v>1817.15</v>
      </c>
      <c r="H3984" s="32" t="n">
        <f aca="false">Sens!$H$3974-mw_open</f>
        <v>5451.45</v>
      </c>
      <c r="I3984" s="32" t="n">
        <f aca="false">Sens!$I$3974-mw_open</f>
        <v>9085.75</v>
      </c>
      <c r="J3984" s="32" t="n">
        <f aca="false">Sens!$J$3974-mw_open</f>
        <v>12720.05</v>
      </c>
      <c r="K3984" s="32" t="n">
        <f aca="false">Sens!$K$3974-mw_open</f>
        <v>15290.9171666667</v>
      </c>
      <c r="L3984" s="32" t="n">
        <f aca="false">Sens!$L$3974-mw_open</f>
        <v>16798.3515</v>
      </c>
      <c r="M3984" s="32" t="n">
        <f aca="false">Sens!$M$3974-mw_open</f>
        <v>17242.353</v>
      </c>
    </row>
    <row r="3985" customFormat="false" ht="17.15" hidden="false" customHeight="false" outlineLevel="0" collapsed="false">
      <c r="A3985" s="0" t="s">
        <v>607</v>
      </c>
      <c r="B3985" s="0" t="s">
        <v>608</v>
      </c>
      <c r="F3985" s="32" t="n">
        <f aca="false">Sens!$F$3977*Sens!$F$3981</f>
        <v>19782.2417524844</v>
      </c>
      <c r="G3985" s="32" t="n">
        <f aca="false">Sens!$F$3985</f>
        <v>19782.2417524844</v>
      </c>
      <c r="H3985" s="32" t="n">
        <f aca="false">Sens!$G$3985+Sens!$H$3977*Sens!$H$3981</f>
        <v>60563.3616992009</v>
      </c>
      <c r="I3985" s="32" t="n">
        <f aca="false">Sens!$H$3985+Sens!$I$3977*Sens!$I$3981</f>
        <v>102561.118087665</v>
      </c>
      <c r="J3985" s="32" t="n">
        <f aca="false">Sens!$I$3985+Sens!$J$3977*Sens!$J$3981</f>
        <v>144558.87447613</v>
      </c>
      <c r="K3985" s="32" t="n">
        <f aca="false">Sens!$J$3985+Sens!$K$3977*Sens!$K$3981</f>
        <v>174267.663781572</v>
      </c>
      <c r="L3985" s="32" t="n">
        <f aca="false">Sens!$K$3985+Sens!$L$3977*Sens!$L$3981</f>
        <v>191687.486003992</v>
      </c>
      <c r="M3985" s="32" t="n">
        <f aca="false">Sens!$L$3985+Sens!$M$3977*Sens!$M$3981</f>
        <v>196818.341143389</v>
      </c>
    </row>
    <row r="3986" customFormat="false" ht="17.15" hidden="false" customHeight="false" outlineLevel="0" collapsed="false">
      <c r="A3986" s="0" t="s">
        <v>609</v>
      </c>
      <c r="B3986" s="0" t="s">
        <v>608</v>
      </c>
      <c r="F3986" s="32" t="n">
        <f aca="false">Sens!$F$3977*Sens!$F$3982</f>
        <v>3602.74485070566</v>
      </c>
      <c r="G3986" s="32" t="n">
        <f aca="false">Sens!$F$3986</f>
        <v>3602.74485070566</v>
      </c>
      <c r="H3986" s="32" t="n">
        <f aca="false">Sens!$G$3986+Sens!$H$3977*Sens!$H$3982</f>
        <v>10908.9598445736</v>
      </c>
      <c r="I3986" s="32" t="n">
        <f aca="false">Sens!$H$3986+Sens!$I$3977*Sens!$I$3982</f>
        <v>18315.9001308981</v>
      </c>
      <c r="J3986" s="32" t="n">
        <f aca="false">Sens!$I$3986+Sens!$J$3977*Sens!$J$3982</f>
        <v>25722.8404172225</v>
      </c>
      <c r="K3986" s="32" t="n">
        <f aca="false">Sens!$J$3986+Sens!$K$3977*Sens!$K$3982</f>
        <v>30962.4352738861</v>
      </c>
      <c r="L3986" s="32" t="n">
        <f aca="false">Sens!$K$3986+Sens!$L$3977*Sens!$L$3982</f>
        <v>34034.6847008886</v>
      </c>
      <c r="M3986" s="32" t="n">
        <f aca="false">Sens!$L$3986+Sens!$M$3977*Sens!$M$3982</f>
        <v>34939.5886982302</v>
      </c>
    </row>
    <row r="3987" customFormat="false" ht="17.15" hidden="false" customHeight="false" outlineLevel="0" collapsed="false">
      <c r="A3987" s="5" t="s">
        <v>610</v>
      </c>
      <c r="B3987" s="0" t="s">
        <v>173</v>
      </c>
      <c r="F3987" s="36" t="n">
        <f aca="false">IF(Sens!$F$3984&gt;0,Sens!$F$3985/Sens!$F$3984,Sens!$F$3981)</f>
        <v>10.8864110021101</v>
      </c>
      <c r="G3987" s="36" t="n">
        <f aca="false">IF(Sens!$G$3984&gt;0,Sens!$G$3985/Sens!$G$3984,Sens!$G$3981)</f>
        <v>10.8864110021101</v>
      </c>
      <c r="H3987" s="36" t="n">
        <f aca="false">IF(Sens!$H$3984&gt;0,Sens!$H$3985/Sens!$H$3984,Sens!$H$3981)</f>
        <v>11.1095876691891</v>
      </c>
      <c r="I3987" s="36" t="n">
        <f aca="false">IF(Sens!$I$3984&gt;0,Sens!$I$3985/Sens!$I$3984,Sens!$I$3981)</f>
        <v>11.2881290028523</v>
      </c>
      <c r="J3987" s="36" t="n">
        <f aca="false">IF(Sens!$J$3984&gt;0,Sens!$J$3985/Sens!$J$3984,Sens!$J$3981)</f>
        <v>11.3646467172794</v>
      </c>
      <c r="K3987" s="36" t="n">
        <f aca="false">IF(Sens!$K$3984&gt;0,Sens!$K$3985/Sens!$K$3984,Sens!$K$3981)</f>
        <v>11.3968090914432</v>
      </c>
      <c r="L3987" s="36" t="n">
        <f aca="false">IF(Sens!$L$3984&gt;0,Sens!$L$3985/Sens!$L$3984,Sens!$L$3981)</f>
        <v>11.4110891181192</v>
      </c>
      <c r="M3987" s="36" t="n">
        <f aca="false">IF(Sens!$M$3984&gt;0,Sens!$M$3985/Sens!$M$3984,Sens!$M$3981)</f>
        <v>11.4148191458201</v>
      </c>
    </row>
    <row r="3988" customFormat="false" ht="17.15" hidden="false" customHeight="false" outlineLevel="0" collapsed="false">
      <c r="A3988" s="5" t="s">
        <v>611</v>
      </c>
      <c r="B3988" s="0" t="s">
        <v>173</v>
      </c>
      <c r="F3988" s="36" t="n">
        <f aca="false">IF(Sens!$F$3984&gt;0,Sens!$F$3986/Sens!$F$3984,Sens!$F$3982)</f>
        <v>1.98263481314457</v>
      </c>
      <c r="G3988" s="36" t="n">
        <f aca="false">IF(Sens!$G$3984&gt;0,Sens!$G$3986/Sens!$G$3984,Sens!$G$3982)</f>
        <v>1.98263481314457</v>
      </c>
      <c r="H3988" s="36" t="n">
        <f aca="false">IF(Sens!$H$3984&gt;0,Sens!$H$3986/Sens!$H$3984,Sens!$H$3982)</f>
        <v>2.00111160233948</v>
      </c>
      <c r="I3988" s="36" t="n">
        <f aca="false">IF(Sens!$I$3984&gt;0,Sens!$I$3986/Sens!$I$3984,Sens!$I$3982)</f>
        <v>2.01589303369541</v>
      </c>
      <c r="J3988" s="36" t="n">
        <f aca="false">IF(Sens!$J$3984&gt;0,Sens!$J$3986/Sens!$J$3984,Sens!$J$3982)</f>
        <v>2.02222793284795</v>
      </c>
      <c r="K3988" s="36" t="n">
        <f aca="false">IF(Sens!$K$3984&gt;0,Sens!$K$3986/Sens!$K$3984,Sens!$K$3982)</f>
        <v>2.02489065478573</v>
      </c>
      <c r="L3988" s="36" t="n">
        <f aca="false">IF(Sens!$L$3984&gt;0,Sens!$L$3986/Sens!$L$3984,Sens!$L$3982)</f>
        <v>2.0260728977417</v>
      </c>
      <c r="M3988" s="36" t="n">
        <f aca="false">IF(Sens!$M$3984&gt;0,Sens!$M$3986/Sens!$M$3984,Sens!$M$3982)</f>
        <v>2.02638170661685</v>
      </c>
    </row>
    <row r="3989" customFormat="false" ht="17.15" hidden="false" customHeight="false" outlineLevel="0" collapsed="false">
      <c r="A3989" s="15" t="s">
        <v>612</v>
      </c>
      <c r="B3989" s="14" t="s">
        <v>173</v>
      </c>
      <c r="C3989" s="14"/>
      <c r="D3989" s="14"/>
      <c r="E3989" s="14"/>
      <c r="F3989" s="37" t="n">
        <f aca="false">Sens!$F$3987*k_B</f>
        <v>10.7987645808025</v>
      </c>
      <c r="G3989" s="37" t="n">
        <f aca="false">Sens!$G$3987*k_B</f>
        <v>10.7987645808025</v>
      </c>
      <c r="H3989" s="37" t="n">
        <f aca="false">Sens!$H$3987*k_B</f>
        <v>11.0201444540452</v>
      </c>
      <c r="I3989" s="37" t="n">
        <f aca="false">Sens!$I$3987*k_B</f>
        <v>11.1972483526393</v>
      </c>
      <c r="J3989" s="37" t="n">
        <f aca="false">Sens!$J$3987*k_B</f>
        <v>11.2731500234653</v>
      </c>
      <c r="K3989" s="37" t="n">
        <f aca="false">Sens!$K$3987*k_B</f>
        <v>11.3050534585724</v>
      </c>
      <c r="L3989" s="37" t="n">
        <f aca="false">Sens!$L$3987*k_B</f>
        <v>11.3192185168503</v>
      </c>
      <c r="M3989" s="37" t="n">
        <f aca="false">Sens!$M$3987*k_B</f>
        <v>11.3229185141234</v>
      </c>
      <c r="N3989" s="14"/>
      <c r="O3989" s="14"/>
      <c r="P3989" s="5" t="s">
        <v>613</v>
      </c>
    </row>
    <row r="3990" customFormat="false" ht="17.15" hidden="false" customHeight="false" outlineLevel="0" collapsed="false">
      <c r="A3990" s="5" t="s">
        <v>614</v>
      </c>
      <c r="B3990" s="0" t="s">
        <v>129</v>
      </c>
      <c r="F3990" s="32" t="n">
        <f aca="false">Sens!$F$3984/2</f>
        <v>908.575</v>
      </c>
      <c r="H3990" s="32" t="n">
        <f aca="false">(Sens!$G$3984+Sens!$H$3984)/2</f>
        <v>3634.3</v>
      </c>
      <c r="I3990" s="32" t="n">
        <f aca="false">(Sens!$H$3984+Sens!$I$3984)/2</f>
        <v>7268.6</v>
      </c>
      <c r="J3990" s="32" t="n">
        <f aca="false">(Sens!$I$3984+Sens!$J$3984)/2</f>
        <v>10902.9</v>
      </c>
      <c r="K3990" s="32" t="n">
        <f aca="false">(Sens!$J$3984+Sens!$K$3984)/2</f>
        <v>14005.4835833333</v>
      </c>
      <c r="L3990" s="32" t="n">
        <f aca="false">(Sens!$K$3984+Sens!$L$3984)/2</f>
        <v>16044.6343333333</v>
      </c>
      <c r="M3990" s="32" t="n">
        <f aca="false">(Sens!$L$3984+Sens!$M$3984)/2</f>
        <v>17020.35225</v>
      </c>
    </row>
    <row r="3991" customFormat="false" ht="17.15" hidden="false" customHeight="false" outlineLevel="0" collapsed="false">
      <c r="A3991" s="1" t="s">
        <v>615</v>
      </c>
    </row>
    <row r="3992" customFormat="false" ht="17.15" hidden="false" customHeight="false" outlineLevel="0" collapsed="false">
      <c r="A3992" s="1" t="s">
        <v>616</v>
      </c>
      <c r="B3992" s="8" t="s">
        <v>86</v>
      </c>
      <c r="C3992" s="38" t="n">
        <f aca="false">Sens!$C$3975*rpm_open*Sens!$C$3976/1000</f>
        <v>2.32100535697364</v>
      </c>
      <c r="D3992" s="38" t="n">
        <f aca="false">Sens!$D$3975*rpm_open*Sens!$D$3976/1000</f>
        <v>8.70377008865116</v>
      </c>
      <c r="E3992" s="38" t="n">
        <f aca="false">Sens!$E$3975*rpm_open*Sens!$E$3976/1000</f>
        <v>8.51035297557002</v>
      </c>
      <c r="F3992" s="38" t="n">
        <f aca="false">(mw_open*rpm_open+Sens!$F$3990*Sens!$F$3989)*Sens!$F$3976/1000</f>
        <v>14.9634336447205</v>
      </c>
      <c r="G3992" s="38" t="n">
        <f aca="false">Sens!$E$3992+Sens!$F$3992</f>
        <v>23.4737866202905</v>
      </c>
      <c r="H3992" s="38" t="n">
        <f aca="false">(mw_open*rpm_open+Sens!$H$3990*Sens!$H$3989)/1000</f>
        <v>60.1658907497746</v>
      </c>
      <c r="I3992" s="38" t="n">
        <f aca="false">(mw_open*rpm_open+Sens!$I$3990*Sens!$I$3989)/1000</f>
        <v>101.503699136432</v>
      </c>
      <c r="J3992" s="38" t="n">
        <f aca="false">(mw_open*rpm_open+Sens!$J$3990*Sens!$J$3989)/1000</f>
        <v>143.025407151278</v>
      </c>
      <c r="K3992" s="38" t="n">
        <f aca="false">(mw_open*rpm_open+Sens!$K$3990*Sens!$K$3989)/1000</f>
        <v>178.44812038318</v>
      </c>
      <c r="L3992" s="38" t="n">
        <f aca="false">(mw_open*rpm_open+Sens!$L$3990*Sens!$L$3989)/1000</f>
        <v>201.728101802396</v>
      </c>
      <c r="M3992" s="38" t="n">
        <f aca="false">(mw_open*rpm_open+Sens!$M$3990*Sens!$M$3989)/1000</f>
        <v>212.835441368865</v>
      </c>
      <c r="N3992" s="38" t="n">
        <f aca="false">Sens!$N$3975*rpm_open*Sens!$N$3976/1000</f>
        <v>3.04631953102791</v>
      </c>
      <c r="O3992" s="38" t="n">
        <f aca="false">Sens!$O$3975*rpm_open*Sens!$O$3976/1000</f>
        <v>5.65745055762326</v>
      </c>
      <c r="P3992" s="5" t="s">
        <v>617</v>
      </c>
    </row>
    <row r="3993" customFormat="false" ht="17.15" hidden="false" customHeight="false" outlineLevel="0" collapsed="false">
      <c r="A3993" s="5" t="s">
        <v>618</v>
      </c>
      <c r="B3993" s="0" t="s">
        <v>173</v>
      </c>
      <c r="C3993" s="36" t="n">
        <f aca="false">Sens!$C$3992*1000/(Sens!$C$3975*Sens!$C$3976)</f>
        <v>9.67085565405685</v>
      </c>
      <c r="D3993" s="36" t="n">
        <f aca="false">Sens!$D$3992*1000/(Sens!$D$3975*Sens!$D$3976)</f>
        <v>9.67085565405685</v>
      </c>
      <c r="E3993" s="36" t="n">
        <f aca="false">Sens!$E$3992*1000/(Sens!$E$3975*Sens!$E$3976)</f>
        <v>9.67085565405685</v>
      </c>
      <c r="F3993" s="36" t="n">
        <f aca="false">Sens!$F$3992*1000/(Sens!$F$3975*Sens!$F$3976)</f>
        <v>10.0137581588017</v>
      </c>
      <c r="G3993" s="36" t="n">
        <f aca="false">Sens!$G$3992*1000/(Sens!$G$3975*Sens!$G$3976)</f>
        <v>9.88666562928478</v>
      </c>
      <c r="H3993" s="36" t="n">
        <f aca="false">Sens!$H$3992*1000/(Sens!$H$3975*Sens!$H$3976)</f>
        <v>10.5290045586992</v>
      </c>
      <c r="I3993" s="36" t="n">
        <f aca="false">Sens!$I$3992*1000/(Sens!$I$3975*Sens!$I$3976)</f>
        <v>10.8576363451674</v>
      </c>
      <c r="J3993" s="36" t="n">
        <f aca="false">Sens!$J$3992*1000/(Sens!$J$3975*Sens!$J$3976)</f>
        <v>11.0164452588619</v>
      </c>
      <c r="K3993" s="36" t="n">
        <f aca="false">Sens!$K$3992*1000/(Sens!$K$3975*Sens!$K$3976)</f>
        <v>11.0937367508227</v>
      </c>
      <c r="L3993" s="36" t="n">
        <f aca="false">Sens!$L$3992*1000/(Sens!$L$3975*Sens!$L$3976)</f>
        <v>11.1300508519168</v>
      </c>
      <c r="M3993" s="36" t="n">
        <f aca="false">Sens!$M$3992*1000/(Sens!$M$3975*Sens!$M$3976)</f>
        <v>11.1430113216297</v>
      </c>
      <c r="N3993" s="36" t="n">
        <f aca="false">Sens!$N$3992*1000/(Sens!$N$3975*Sens!$N$3976)</f>
        <v>9.67085565405685</v>
      </c>
      <c r="O3993" s="36" t="n">
        <f aca="false">Sens!$O$3992*1000/(Sens!$O$3975*Sens!$O$3976)</f>
        <v>9.67085565405685</v>
      </c>
    </row>
    <row r="3994" customFormat="false" ht="17.15" hidden="false" customHeight="false" outlineLevel="0" collapsed="false">
      <c r="A3994" s="0" t="s">
        <v>619</v>
      </c>
      <c r="B3994" s="0" t="s">
        <v>86</v>
      </c>
      <c r="C3994" s="38" t="n">
        <f aca="false">Sens!$C$3975/ext_sh*(ox_open+rent_mw)*Sens!$C$3976/1000</f>
        <v>0.642569210675032</v>
      </c>
      <c r="D3994" s="38" t="n">
        <f aca="false">Sens!$D$3975/ext_sh*(ox_open+rent_mw)*Sens!$D$3976/1000</f>
        <v>2.40963454003137</v>
      </c>
      <c r="E3994" s="38" t="n">
        <f aca="false">Sens!$E$3975/ext_sh*(ox_open+rent_mw)*Sens!$E$3976/1000</f>
        <v>2.35608710580845</v>
      </c>
      <c r="F3994" s="38" t="n">
        <f aca="false">((mw_open*ox_open+Sens!$F$3990*Sens!$F$3988)/ext_sh+Sens!$F$3975/ext_sh*rent_mw)*Sens!$F$3976/1000</f>
        <v>4.05421991106232</v>
      </c>
      <c r="G3994" s="38" t="n">
        <f aca="false">Sens!$E$3994+Sens!$F$3994</f>
        <v>6.41030701687077</v>
      </c>
      <c r="H3994" s="38" t="n">
        <f aca="false">((mw_open*ox_open+Sens!$H$3990*Sens!$H$3988)/ext_sh+Sens!$H$3975/ext_sh*rent_mw)*Sens!$H$3976/1000</f>
        <v>15.8108975546616</v>
      </c>
      <c r="I3994" s="38" t="n">
        <f aca="false">((mw_open*ox_open+Sens!$I$3990*Sens!$I$3988)/ext_sh+Sens!$I$3975/ext_sh*rent_mw)*Sens!$I$3976/1000</f>
        <v>26.1871623400817</v>
      </c>
      <c r="J3994" s="38" t="n">
        <f aca="false">((mw_open*ox_open+Sens!$J$3990*Sens!$J$3988)/ext_sh+Sens!$J$3975/ext_sh*rent_mw)*Sens!$J$3976/1000</f>
        <v>36.5826128954935</v>
      </c>
      <c r="K3994" s="38" t="n">
        <f aca="false">((mw_open*ox_open+Sens!$K$3990*Sens!$K$3988)/ext_sh+Sens!$K$3975/ext_sh*rent_mw)*Sens!$K$3976/1000</f>
        <v>45.4546361137628</v>
      </c>
      <c r="L3994" s="38" t="n">
        <f aca="false">((mw_open*ox_open+Sens!$L$3990*Sens!$L$3988)/ext_sh+Sens!$L$3975/ext_sh*rent_mw)*Sens!$L$3976/1000</f>
        <v>51.2855695554452</v>
      </c>
      <c r="M3994" s="38" t="n">
        <f aca="false">((mw_open*ox_open+Sens!$M$3990*Sens!$M$3988)/ext_sh+Sens!$M$3975/ext_sh*rent_mw)*Sens!$M$3976/1000</f>
        <v>54.0722927838398</v>
      </c>
      <c r="N3994" s="38" t="n">
        <f aca="false">Sens!$N$3975/ext_sh*(ox_open+rent_mw)*Sens!$N$3976/1000</f>
        <v>0.84337208901098</v>
      </c>
      <c r="O3994" s="38" t="n">
        <f aca="false">Sens!$O$3975/ext_sh*(ox_open+rent_mw)*Sens!$O$3976/1000</f>
        <v>1.56626245102039</v>
      </c>
    </row>
    <row r="3995" customFormat="false" ht="17.15" hidden="false" customHeight="false" outlineLevel="0" collapsed="false">
      <c r="A3995" s="0" t="s">
        <v>620</v>
      </c>
      <c r="B3995" s="0" t="s">
        <v>86</v>
      </c>
      <c r="C3995" s="38" t="n">
        <f aca="false">Q!$D$7</f>
        <v>107.556</v>
      </c>
      <c r="D3995" s="38" t="n">
        <f aca="false">Q!$E$7</f>
        <v>128.725</v>
      </c>
      <c r="E3995" s="38" t="n">
        <f aca="false">Q!$P$7</f>
        <v>79.819</v>
      </c>
      <c r="N3995" s="38" t="n">
        <f aca="false">Q!$N$7</f>
        <v>60.14</v>
      </c>
      <c r="O3995" s="38" t="n">
        <f aca="false">Q!$O$7</f>
        <v>68.585</v>
      </c>
    </row>
    <row r="3996" customFormat="false" ht="17.15" hidden="false" customHeight="false" outlineLevel="0" collapsed="false">
      <c r="A3996" s="1" t="s">
        <v>621</v>
      </c>
      <c r="B3996" s="8" t="s">
        <v>86</v>
      </c>
      <c r="C3996" s="38" t="n">
        <f aca="false">Sens!$C$3995-Sens!$C$3992</f>
        <v>105.234994643026</v>
      </c>
      <c r="D3996" s="38" t="n">
        <f aca="false">Sens!$D$3995-Sens!$D$3992</f>
        <v>120.021229911349</v>
      </c>
      <c r="E3996" s="38" t="n">
        <f aca="false">Sens!$E$3995-Sens!$E$3992</f>
        <v>71.30864702443</v>
      </c>
      <c r="F3996" s="38" t="n">
        <f aca="false">Sens!$O$3996*(1+Sens!$F$3997)</f>
        <v>71.7692997942464</v>
      </c>
      <c r="G3996" s="38" t="n">
        <f aca="false">Sens!$E$3996+Sens!$F$3996</f>
        <v>143.077946818676</v>
      </c>
      <c r="H3996" s="38" t="n">
        <f aca="false">Sens!$G$3996*(1+Sens!$H$3997)</f>
        <v>161.017077079203</v>
      </c>
      <c r="I3996" s="38" t="n">
        <f aca="false">Sens!$H$3996*(1+Sens!$I$3997)</f>
        <v>178.769759521457</v>
      </c>
      <c r="J3996" s="38" t="n">
        <f aca="false">Sens!$I$3996*(1+Sens!$J$3997)</f>
        <v>195.775538045907</v>
      </c>
      <c r="K3996" s="38" t="n">
        <f aca="false">Sens!$J$3996*(1+Sens!$K$3997)</f>
        <v>211.43758108958</v>
      </c>
      <c r="L3996" s="38" t="n">
        <f aca="false">Sens!$K$3996*(1+Sens!$L$3997)</f>
        <v>228.352587576746</v>
      </c>
      <c r="M3996" s="38" t="n">
        <f aca="false">Sens!$L$3996*(1+Sens!$M$3997)</f>
        <v>246.620794582886</v>
      </c>
      <c r="N3996" s="38" t="n">
        <f aca="false">Sens!$N$3995-Sens!$N$3992</f>
        <v>57.0936804689721</v>
      </c>
      <c r="O3996" s="38" t="n">
        <f aca="false">Sens!$O$3995-Sens!$O$3992</f>
        <v>62.9275494423768</v>
      </c>
      <c r="P3996" s="5" t="s">
        <v>622</v>
      </c>
    </row>
    <row r="3997" customFormat="false" ht="17.15" hidden="false" customHeight="false" outlineLevel="0" collapsed="false">
      <c r="A3997" s="0" t="s">
        <v>623</v>
      </c>
      <c r="B3997" s="0" t="s">
        <v>52</v>
      </c>
      <c r="D3997" s="13" t="n">
        <f aca="false">Sens!$D$3996/Sens!$C$3996-1</f>
        <v>0.140506827776062</v>
      </c>
      <c r="E3997" s="13" t="n">
        <f aca="false">Sens!$E$3996/Sens!$N$3996-1</f>
        <v>0.248976181579029</v>
      </c>
      <c r="F3997" s="13" t="n">
        <f aca="false">Sens!$D$3997</f>
        <v>0.140506827776062</v>
      </c>
      <c r="G3997" s="13" t="n">
        <f aca="false">Sens!$G$3996/Sens!$D$3996-1</f>
        <v>0.19210532106993</v>
      </c>
      <c r="H3997" s="13" t="n">
        <f aca="false">Sens!$F$3997+(g_awso_lt-Sens!$F$3997)*1/4</f>
        <v>0.125380120832046</v>
      </c>
      <c r="I3997" s="13" t="n">
        <f aca="false">Sens!$F$3997+(g_awso_lt-Sens!$F$3997)*2/4</f>
        <v>0.110253413888031</v>
      </c>
      <c r="J3997" s="13" t="n">
        <f aca="false">Sens!$F$3997+(g_awso_lt-Sens!$F$3997)*3/4</f>
        <v>0.0951267069440154</v>
      </c>
      <c r="K3997" s="13" t="n">
        <f aca="false">Sens!$F$3997+(g_awso_lt-Sens!$F$3997)*4/4</f>
        <v>0.08</v>
      </c>
      <c r="L3997" s="13" t="n">
        <f aca="false">g_awso_lt</f>
        <v>0.08</v>
      </c>
      <c r="M3997" s="13" t="n">
        <f aca="false">g_awso_lt</f>
        <v>0.08</v>
      </c>
      <c r="P3997" s="5" t="s">
        <v>624</v>
      </c>
    </row>
    <row r="3998" customFormat="false" ht="17.15" hidden="false" customHeight="false" outlineLevel="0" collapsed="false">
      <c r="A3998" s="1" t="s">
        <v>625</v>
      </c>
    </row>
    <row r="3999" customFormat="false" ht="17.15" hidden="false" customHeight="false" outlineLevel="0" collapsed="false">
      <c r="A3999" s="0" t="s">
        <v>626</v>
      </c>
      <c r="B3999" s="0" t="s">
        <v>86</v>
      </c>
      <c r="F3999" s="38" t="n">
        <f aca="false">cx_rt*Sens!$F$3964+cx_awso*Sens!$F$3996</f>
        <v>34.9734495387866</v>
      </c>
    </row>
    <row r="4000" customFormat="false" ht="17.15" hidden="false" customHeight="false" outlineLevel="0" collapsed="false">
      <c r="A4000" s="0" t="s">
        <v>627</v>
      </c>
      <c r="B4000" s="0" t="s">
        <v>52</v>
      </c>
      <c r="C4000" s="13" t="n">
        <f aca="false">tk_cx_h100/(tk_cx_h100+tk_fac*(1-colo_sh))</f>
        <v>0.730756458006641</v>
      </c>
      <c r="D4000" s="13" t="n">
        <f aca="false">tk_cx_h100/(tk_cx_h100+tk_fac*(1-colo_sh))</f>
        <v>0.730756458006641</v>
      </c>
      <c r="E4000" s="13" t="n">
        <f aca="false">Sens!$F$4000</f>
        <v>0.760792334328868</v>
      </c>
      <c r="F4000" s="13" t="n">
        <f aca="false">Sens!$F$3983/(Sens!$F$3983+tk_fac*(1-colo_sh))</f>
        <v>0.760792334328868</v>
      </c>
      <c r="G4000" s="13" t="n">
        <f aca="false">Sens!$G$3983/(Sens!$G$3983+tk_fac*(1-colo_sh))</f>
        <v>0.760792334328868</v>
      </c>
      <c r="H4000" s="13" t="n">
        <f aca="false">Sens!$H$3983/(Sens!$H$3983+tk_fac*(1-colo_sh))</f>
        <v>0.768110668862996</v>
      </c>
      <c r="I4000" s="13" t="n">
        <f aca="false">Sens!$I$3983/(Sens!$I$3983+tk_fac*(1-colo_sh))</f>
        <v>0.77499450139483</v>
      </c>
      <c r="J4000" s="13" t="n">
        <f aca="false">Sens!$J$3983/(Sens!$J$3983+tk_fac*(1-colo_sh))</f>
        <v>0.77499450139483</v>
      </c>
      <c r="K4000" s="13" t="n">
        <f aca="false">Sens!$K$3983/(Sens!$K$3983+tk_fac*(1-colo_sh))</f>
        <v>0.77499450139483</v>
      </c>
      <c r="L4000" s="13" t="n">
        <f aca="false">Sens!$L$3983/(Sens!$L$3983+tk_fac*(1-colo_sh))</f>
        <v>0.77499450139483</v>
      </c>
      <c r="M4000" s="13" t="n">
        <f aca="false">Sens!$M$3983/(Sens!$M$3983+tk_fac*(1-colo_sh))</f>
        <v>0.77499450139483</v>
      </c>
    </row>
    <row r="4001" customFormat="false" ht="17.15" hidden="false" customHeight="false" outlineLevel="0" collapsed="false">
      <c r="A4001" s="1" t="s">
        <v>628</v>
      </c>
      <c r="B4001" s="8" t="s">
        <v>86</v>
      </c>
      <c r="C4001" s="38" t="n">
        <f aca="false">Q!$D$46-cx_rt*Q!$D$16-cx_awso*Sens!$C$3996</f>
        <v>25.2781053077374</v>
      </c>
      <c r="D4001" s="38" t="n">
        <f aca="false">Q!$E$46-cx_rt*Q!$E$16-cx_awso*Sens!$D$3996</f>
        <v>69.5686316310026</v>
      </c>
      <c r="E4001" s="38" t="n">
        <f aca="false">Q!$P$46-cx_rt*Q!$P$16-cx_awso*Sens!$E$3996</f>
        <v>64.1899206485108</v>
      </c>
      <c r="F4001" s="38" t="n">
        <f aca="false">MAX(Sens!$F$3978*(Sens!$F$3983+tk_fac*(1-colo_sh))/1000,capex_g26-Q!$P$46-Sens!$F$3999)</f>
        <v>96.2481299895</v>
      </c>
      <c r="G4001" s="38" t="n">
        <f aca="false">Sens!$E$4001+Sens!$F$4001</f>
        <v>160.438050638011</v>
      </c>
      <c r="H4001" s="38" t="n">
        <f aca="false">Sens!$H$3978*(Sens!$H$3983+tk_fac*(1-colo_sh))/1000+Sens!$H$4002</f>
        <v>198.57136494475</v>
      </c>
      <c r="I4001" s="38" t="n">
        <f aca="false">Sens!$I$3978*(Sens!$I$3983+tk_fac*(1-colo_sh))/1000+Sens!$I$4002</f>
        <v>204.6464699105</v>
      </c>
      <c r="J4001" s="38" t="n">
        <f aca="false">Sens!$J$3978*(Sens!$J$3983+tk_fac*(1-colo_sh))/1000+Sens!$J$4002</f>
        <v>209.8832381105</v>
      </c>
      <c r="K4001" s="38" t="n">
        <f aca="false">Sens!$K$3978*(Sens!$K$3983+tk_fac*(1-colo_sh))/1000+Sens!$K$4002</f>
        <v>155.238385275201</v>
      </c>
      <c r="L4001" s="38" t="n">
        <f aca="false">Sens!$L$3978*(Sens!$L$3983+tk_fac*(1-colo_sh))/1000+Sens!$L$4002</f>
        <v>132.014141639902</v>
      </c>
      <c r="M4001" s="38" t="n">
        <f aca="false">Sens!$M$3978*(Sens!$M$3983+tk_fac*(1-colo_sh))/1000+Sens!$M$4002</f>
        <v>132.230981659852</v>
      </c>
      <c r="P4001" s="5" t="s">
        <v>629</v>
      </c>
      <c r="R4001" s="38" t="n">
        <f aca="false">Q!$C$46-cx_rt*Q!$C$16-cx_awso*(Q!$C$7-mw_ye23/2*rpm_open/1000)</f>
        <v>1.50429979529945</v>
      </c>
      <c r="S4001" s="38" t="n">
        <f aca="false">Sens!$C$4001</f>
        <v>25.2781053077374</v>
      </c>
      <c r="T4001" s="38" t="n">
        <f aca="false">Sens!$D$4001</f>
        <v>69.5686316310026</v>
      </c>
      <c r="U4001" s="38" t="n">
        <f aca="false">Sens!$G$4001</f>
        <v>160.438050638011</v>
      </c>
      <c r="V4001" s="38" t="n">
        <f aca="false">Sens!$H$4001</f>
        <v>198.57136494475</v>
      </c>
      <c r="W4001" s="38" t="n">
        <f aca="false">Sens!$I$4001</f>
        <v>204.6464699105</v>
      </c>
      <c r="X4001" s="38" t="n">
        <f aca="false">Sens!$J$4001</f>
        <v>209.8832381105</v>
      </c>
      <c r="Y4001" s="38" t="n">
        <f aca="false">Sens!$K$4001</f>
        <v>155.238385275201</v>
      </c>
      <c r="Z4001" s="38" t="n">
        <f aca="false">Sens!$L$4001</f>
        <v>132.014141639902</v>
      </c>
      <c r="AA4001" s="38" t="n">
        <f aca="false">Sens!$M$4001</f>
        <v>132.230981659852</v>
      </c>
    </row>
    <row r="4002" customFormat="false" ht="17.15" hidden="false" customHeight="false" outlineLevel="0" collapsed="false">
      <c r="A4002" s="0" t="s">
        <v>630</v>
      </c>
      <c r="B4002" s="0" t="s">
        <v>86</v>
      </c>
      <c r="H4002" s="38" t="n">
        <f aca="false">SUMPRODUCT(--(Sens!$R$3971:$AA$3971=2027-tk_life),Sens!$R$3978:$AA$3978)*Sens!$H$3983/1000</f>
        <v>0</v>
      </c>
      <c r="I4002" s="38" t="n">
        <f aca="false">SUMPRODUCT(--(Sens!$R$3971:$AA$3971=2028-tk_life),Sens!$R$3978:$AA$3978)*Sens!$I$3983/1000</f>
        <v>0</v>
      </c>
      <c r="J4002" s="38" t="n">
        <f aca="false">SUMPRODUCT(--(Sens!$R$3971:$AA$3971=2029-tk_life),Sens!$R$3978:$AA$3978)*Sens!$J$3983/1000</f>
        <v>5.2367682</v>
      </c>
      <c r="K4002" s="38" t="n">
        <f aca="false">SUMPRODUCT(--(Sens!$R$3971:$AA$3971=2030-tk_life),Sens!$R$3978:$AA$3978)*Sens!$K$3983/1000</f>
        <v>10.4735364</v>
      </c>
      <c r="L4002" s="38" t="n">
        <f aca="false">SUMPRODUCT(--(Sens!$R$3971:$AA$3971=2031-tk_life),Sens!$R$3978:$AA$3978)*Sens!$L$3983/1000</f>
        <v>47.1309138</v>
      </c>
      <c r="M4002" s="38" t="n">
        <f aca="false">SUMPRODUCT(--(Sens!$R$3971:$AA$3971=2032-tk_life),Sens!$R$3978:$AA$3978)*Sens!$M$3983/1000</f>
        <v>107.22937485525</v>
      </c>
    </row>
    <row r="4003" customFormat="false" ht="17.15" hidden="false" customHeight="false" outlineLevel="0" collapsed="false">
      <c r="A4003" s="0" t="s">
        <v>631</v>
      </c>
      <c r="B4003" s="0" t="s">
        <v>86</v>
      </c>
      <c r="C4003" s="38" t="n">
        <f aca="false">MIN(Sens!$C$4001,Sens!$C$3978*(tk_cx_h100+tk_fac*(1-colo_sh))/1000)</f>
        <v>11.2938642</v>
      </c>
      <c r="D4003" s="38" t="n">
        <f aca="false">MIN(Sens!$D$4001,Sens!$D$3978*(tk_cx_h100+tk_fac*(1-colo_sh))/1000)</f>
        <v>50.8223889</v>
      </c>
      <c r="E4003" s="38" t="n">
        <f aca="false">MIN(Sens!$E$4001,Sens!$E$3978*(Sens!$F$3983+tk_fac*(1-colo_sh))/1000)</f>
        <v>33.8985792</v>
      </c>
      <c r="F4003" s="38" t="n">
        <f aca="false">Sens!$F$4001</f>
        <v>96.2481299895</v>
      </c>
      <c r="G4003" s="38" t="n">
        <f aca="false">Sens!$E$4003+Sens!$F$4003</f>
        <v>130.1467091895</v>
      </c>
      <c r="H4003" s="38" t="n">
        <f aca="false">Sens!$H$4001</f>
        <v>198.57136494475</v>
      </c>
      <c r="I4003" s="38" t="n">
        <f aca="false">Sens!$I$4001</f>
        <v>204.6464699105</v>
      </c>
      <c r="J4003" s="38" t="n">
        <f aca="false">Sens!$J$4001</f>
        <v>209.8832381105</v>
      </c>
      <c r="K4003" s="38" t="n">
        <f aca="false">Sens!$K$4001</f>
        <v>155.238385275201</v>
      </c>
      <c r="L4003" s="38" t="n">
        <f aca="false">Sens!$L$4001</f>
        <v>132.014141639902</v>
      </c>
      <c r="M4003" s="38" t="n">
        <f aca="false">Sens!$M$4001</f>
        <v>132.230981659852</v>
      </c>
      <c r="P4003" s="5" t="s">
        <v>632</v>
      </c>
      <c r="R4003" s="38" t="n">
        <f aca="false">MIN(Sens!$R$4001,Sens!$R$3978*(tk_cx_h100+tk_fac*(1-colo_sh))/1000)</f>
        <v>1.50429979529945</v>
      </c>
      <c r="S4003" s="38" t="n">
        <f aca="false">Sens!$C$4003</f>
        <v>11.2938642</v>
      </c>
      <c r="T4003" s="38" t="n">
        <f aca="false">Sens!$D$4003</f>
        <v>50.8223889</v>
      </c>
      <c r="U4003" s="38" t="n">
        <f aca="false">Sens!$G$4003</f>
        <v>130.1467091895</v>
      </c>
      <c r="V4003" s="38" t="n">
        <f aca="false">Sens!$H$4003</f>
        <v>198.57136494475</v>
      </c>
      <c r="W4003" s="38" t="n">
        <f aca="false">Sens!$I$4003</f>
        <v>204.6464699105</v>
      </c>
      <c r="X4003" s="38" t="n">
        <f aca="false">Sens!$J$4003</f>
        <v>209.8832381105</v>
      </c>
      <c r="Y4003" s="38" t="n">
        <f aca="false">Sens!$K$4003</f>
        <v>155.238385275201</v>
      </c>
      <c r="Z4003" s="38" t="n">
        <f aca="false">Sens!$L$4003</f>
        <v>132.014141639902</v>
      </c>
      <c r="AA4003" s="38" t="n">
        <f aca="false">Sens!$M$4003</f>
        <v>132.230981659852</v>
      </c>
    </row>
    <row r="4004" customFormat="false" ht="17.15" hidden="false" customHeight="false" outlineLevel="0" collapsed="false">
      <c r="A4004" s="5" t="s">
        <v>633</v>
      </c>
      <c r="B4004" s="0" t="s">
        <v>86</v>
      </c>
      <c r="C4004" s="38" t="n">
        <f aca="false">Sens!$C$4001-Sens!$C$4003</f>
        <v>13.9842411077374</v>
      </c>
      <c r="D4004" s="38" t="n">
        <f aca="false">Sens!$D$4001-Sens!$D$4003</f>
        <v>18.7462427310026</v>
      </c>
      <c r="E4004" s="38" t="n">
        <f aca="false">Sens!$E$4001-Sens!$E$4003</f>
        <v>30.2913414485108</v>
      </c>
      <c r="F4004" s="38" t="n">
        <f aca="false">Sens!$F$4001-Sens!$F$4003</f>
        <v>0</v>
      </c>
      <c r="G4004" s="38" t="n">
        <f aca="false">Sens!$G$4001-Sens!$G$4003</f>
        <v>30.2913414485108</v>
      </c>
      <c r="H4004" s="38" t="n">
        <f aca="false">Sens!$H$4001-Sens!$H$4003</f>
        <v>0</v>
      </c>
      <c r="I4004" s="38" t="n">
        <f aca="false">Sens!$I$4001-Sens!$I$4003</f>
        <v>0</v>
      </c>
      <c r="J4004" s="38" t="n">
        <f aca="false">Sens!$J$4001-Sens!$J$4003</f>
        <v>0</v>
      </c>
      <c r="K4004" s="38" t="n">
        <f aca="false">Sens!$K$4001-Sens!$K$4003</f>
        <v>0</v>
      </c>
      <c r="L4004" s="38" t="n">
        <f aca="false">Sens!$L$4001-Sens!$L$4003</f>
        <v>0</v>
      </c>
      <c r="M4004" s="38" t="n">
        <f aca="false">Sens!$M$4001-Sens!$M$4003</f>
        <v>0</v>
      </c>
    </row>
    <row r="4005" customFormat="false" ht="17.15" hidden="false" customHeight="false" outlineLevel="0" collapsed="false">
      <c r="A4005" s="5" t="s">
        <v>634</v>
      </c>
      <c r="B4005" s="0" t="s">
        <v>86</v>
      </c>
      <c r="C4005" s="38" t="n">
        <f aca="false">Sens!$C$4003*Sens!$C$4000</f>
        <v>8.2530642</v>
      </c>
      <c r="D4005" s="38" t="n">
        <f aca="false">Sens!$D$4003*Sens!$D$4000</f>
        <v>37.1387889</v>
      </c>
      <c r="E4005" s="38" t="n">
        <f aca="false">Sens!$E$4003*Sens!$E$4000</f>
        <v>25.7897792</v>
      </c>
      <c r="F4005" s="38" t="n">
        <f aca="false">Sens!$F$4003*Sens!$F$4000</f>
        <v>73.2248394895</v>
      </c>
      <c r="G4005" s="38" t="n">
        <f aca="false">Sens!$E$4005+Sens!$F$4005</f>
        <v>99.0146186895</v>
      </c>
      <c r="H4005" s="38" t="n">
        <f aca="false">(Sens!$H$4003-Sens!$H$4002)*Sens!$H$4000+Sens!$H$4002</f>
        <v>152.52478394475</v>
      </c>
      <c r="I4005" s="38" t="n">
        <f aca="false">(Sens!$I$4003-Sens!$I$4002)*Sens!$I$4000+Sens!$I$4002</f>
        <v>158.5998889105</v>
      </c>
      <c r="J4005" s="38" t="n">
        <f aca="false">(Sens!$J$4003-Sens!$J$4002)*Sens!$J$4000+Sens!$J$4002</f>
        <v>163.8366571105</v>
      </c>
      <c r="K4005" s="38" t="n">
        <f aca="false">(Sens!$K$4003-Sens!$K$4002)*Sens!$K$4000+Sens!$K$4002</f>
        <v>122.665498273534</v>
      </c>
      <c r="L4005" s="38" t="n">
        <f aca="false">(Sens!$L$4003-Sens!$L$4002)*Sens!$L$4000+Sens!$L$4002</f>
        <v>112.914948636568</v>
      </c>
      <c r="M4005" s="38" t="n">
        <f aca="false">(Sens!$M$4003-Sens!$M$4002)*Sens!$M$4000+Sens!$M$4002</f>
        <v>126.605482654852</v>
      </c>
      <c r="R4005" s="38" t="n">
        <f aca="false">Sens!$R$4003*Sens!$C$4000</f>
        <v>1.09927679019314</v>
      </c>
      <c r="S4005" s="38" t="n">
        <f aca="false">Sens!$C$4005</f>
        <v>8.2530642</v>
      </c>
      <c r="T4005" s="38" t="n">
        <f aca="false">Sens!$D$4005</f>
        <v>37.1387889</v>
      </c>
      <c r="U4005" s="38" t="n">
        <f aca="false">Sens!$G$4005</f>
        <v>99.0146186895</v>
      </c>
      <c r="V4005" s="38" t="n">
        <f aca="false">Sens!$H$4005</f>
        <v>152.52478394475</v>
      </c>
      <c r="W4005" s="38" t="n">
        <f aca="false">Sens!$I$4005</f>
        <v>158.5998889105</v>
      </c>
      <c r="X4005" s="38" t="n">
        <f aca="false">Sens!$J$4005</f>
        <v>163.8366571105</v>
      </c>
      <c r="Y4005" s="38" t="n">
        <f aca="false">Sens!$K$4005</f>
        <v>122.665498273534</v>
      </c>
      <c r="Z4005" s="38" t="n">
        <f aca="false">Sens!$L$4005</f>
        <v>112.914948636568</v>
      </c>
      <c r="AA4005" s="38" t="n">
        <f aca="false">Sens!$M$4005</f>
        <v>126.605482654852</v>
      </c>
    </row>
    <row r="4006" customFormat="false" ht="15" hidden="false" customHeight="false" outlineLevel="0" collapsed="false">
      <c r="A4006" s="5" t="s">
        <v>635</v>
      </c>
      <c r="B4006" s="0" t="s">
        <v>86</v>
      </c>
      <c r="C4006" s="38" t="n">
        <f aca="false">Sens!$C$4003-Sens!$C$4005</f>
        <v>3.0408</v>
      </c>
      <c r="D4006" s="38" t="n">
        <f aca="false">Sens!$D$4003-Sens!$D$4005</f>
        <v>13.6836</v>
      </c>
      <c r="E4006" s="38" t="n">
        <f aca="false">Sens!$E$4003-Sens!$E$4005</f>
        <v>8.1088</v>
      </c>
      <c r="F4006" s="38" t="n">
        <f aca="false">Sens!$F$4003-Sens!$F$4005</f>
        <v>23.0232905</v>
      </c>
      <c r="G4006" s="38" t="n">
        <f aca="false">Sens!$G$4003-Sens!$G$4005</f>
        <v>31.1320905</v>
      </c>
      <c r="H4006" s="38" t="n">
        <f aca="false">Sens!$H$4003-Sens!$H$4005</f>
        <v>46.046581</v>
      </c>
      <c r="I4006" s="38" t="n">
        <f aca="false">Sens!$I$4003-Sens!$I$4005</f>
        <v>46.046581</v>
      </c>
      <c r="J4006" s="38" t="n">
        <f aca="false">Sens!$J$4003-Sens!$J$4005</f>
        <v>46.046581</v>
      </c>
      <c r="K4006" s="38" t="n">
        <f aca="false">Sens!$K$4003-Sens!$K$4005</f>
        <v>32.5728870016667</v>
      </c>
      <c r="L4006" s="38" t="n">
        <f aca="false">Sens!$L$4003-Sens!$L$4005</f>
        <v>19.0991930033334</v>
      </c>
      <c r="M4006" s="38" t="n">
        <f aca="false">Sens!$M$4003-Sens!$M$4005</f>
        <v>5.62549900499998</v>
      </c>
      <c r="R4006" s="38" t="n">
        <f aca="false">Sens!$R$4003-Sens!$R$4005</f>
        <v>0.405023005106309</v>
      </c>
      <c r="S4006" s="38" t="n">
        <f aca="false">Sens!$S$4003-Sens!$S$4005</f>
        <v>3.0408</v>
      </c>
      <c r="T4006" s="38" t="n">
        <f aca="false">Sens!$T$4003-Sens!$T$4005</f>
        <v>13.6836</v>
      </c>
      <c r="U4006" s="38" t="n">
        <f aca="false">Sens!$U$4003-Sens!$U$4005</f>
        <v>31.1320905</v>
      </c>
      <c r="V4006" s="38" t="n">
        <f aca="false">Sens!$V$4003-Sens!$V$4005</f>
        <v>46.046581</v>
      </c>
      <c r="W4006" s="38" t="n">
        <f aca="false">Sens!$W$4003-Sens!$W$4005</f>
        <v>46.046581</v>
      </c>
      <c r="X4006" s="38" t="n">
        <f aca="false">Sens!$X$4003-Sens!$X$4005</f>
        <v>46.046581</v>
      </c>
      <c r="Y4006" s="38" t="n">
        <f aca="false">Sens!$Y$4003-Sens!$Y$4005</f>
        <v>32.5728870016667</v>
      </c>
      <c r="Z4006" s="38" t="n">
        <f aca="false">Sens!$Z$4003-Sens!$Z$4005</f>
        <v>19.0991930033334</v>
      </c>
      <c r="AA4006" s="38" t="n">
        <f aca="false">Sens!$AA$4003-Sens!$AA$4005</f>
        <v>5.62549900499998</v>
      </c>
    </row>
    <row r="4007" customFormat="false" ht="17.15" hidden="false" customHeight="false" outlineLevel="0" collapsed="false">
      <c r="A4007" s="0" t="s">
        <v>636</v>
      </c>
      <c r="B4007" s="0" t="s">
        <v>52</v>
      </c>
      <c r="C4007" s="13" t="n">
        <f aca="false">Sens!$C$4001/Sens!$C$4123</f>
        <v>0.325505489553393</v>
      </c>
      <c r="D4007" s="13" t="n">
        <f aca="false">Sens!$D$4001/Sens!$D$4123</f>
        <v>0.54214956071542</v>
      </c>
      <c r="E4007" s="13" t="n">
        <f aca="false">Sens!$E$4001/Sens!$E$4123</f>
        <v>0.666492790452817</v>
      </c>
      <c r="F4007" s="13" t="n">
        <f aca="false">Sens!$F$4001/Sens!$F$4123</f>
        <v>0.733477910687338</v>
      </c>
      <c r="G4007" s="13" t="n">
        <f aca="false">Sens!$G$4001/Sens!$G$4123</f>
        <v>0.705124321514523</v>
      </c>
      <c r="H4007" s="13" t="n">
        <f aca="false">Sens!$H$4001/Sens!$H$4123</f>
        <v>0.726474010986705</v>
      </c>
      <c r="I4007" s="13" t="n">
        <f aca="false">Sens!$I$4001/Sens!$I$4123</f>
        <v>0.713424729052975</v>
      </c>
      <c r="J4007" s="13" t="n">
        <f aca="false">Sens!$J$4001/Sens!$J$4123</f>
        <v>0.701913013689475</v>
      </c>
      <c r="K4007" s="13" t="n">
        <f aca="false">Sens!$K$4001/Sens!$K$4123</f>
        <v>0.619710587097091</v>
      </c>
      <c r="L4007" s="13" t="n">
        <f aca="false">Sens!$L$4001/Sens!$L$4123</f>
        <v>0.564539129896629</v>
      </c>
      <c r="M4007" s="13" t="n">
        <f aca="false">Sens!$M$4001/Sens!$M$4123</f>
        <v>0.548456830649279</v>
      </c>
    </row>
    <row r="4008" customFormat="false" ht="17.15" hidden="false" customHeight="false" outlineLevel="0" collapsed="false">
      <c r="A4008" s="0" t="s">
        <v>637</v>
      </c>
      <c r="B4008" s="0" t="s">
        <v>86</v>
      </c>
      <c r="C4008" s="38" t="n">
        <f aca="false">Sens!$S$4008</f>
        <v>0.183212798365523</v>
      </c>
      <c r="D4008" s="38" t="n">
        <f aca="false">Sens!$T$4008</f>
        <v>1.55872349836552</v>
      </c>
      <c r="E4008" s="38" t="n">
        <f aca="false">Sens!$G$4008/2</f>
        <v>3.87426082418276</v>
      </c>
      <c r="F4008" s="38" t="n">
        <f aca="false">Sens!$G$4008/2</f>
        <v>3.87426082418276</v>
      </c>
      <c r="G4008" s="38" t="n">
        <f aca="false">Sens!$U$4008</f>
        <v>7.74852164836552</v>
      </c>
      <c r="H4008" s="38" t="n">
        <f aca="false">Sens!$V$4008</f>
        <v>24.2509580966155</v>
      </c>
      <c r="I4008" s="38" t="n">
        <f aca="false">Sens!$W$4008</f>
        <v>49.6717554207405</v>
      </c>
      <c r="J4008" s="38" t="n">
        <f aca="false">Sens!$X$4008</f>
        <v>76.1050702391572</v>
      </c>
      <c r="K4008" s="38" t="n">
        <f aca="false">Sens!$Y$4008</f>
        <v>103.227966959208</v>
      </c>
      <c r="L4008" s="38" t="n">
        <f aca="false">Sens!$Z$4008</f>
        <v>122.296705971464</v>
      </c>
      <c r="M4008" s="38" t="n">
        <f aca="false">Sens!$AA$4008</f>
        <v>134.926065927559</v>
      </c>
      <c r="N4008" s="38" t="n">
        <f aca="false">Sens!$D$4008/2</f>
        <v>0.779361749182762</v>
      </c>
      <c r="O4008" s="38" t="n">
        <f aca="false">Sens!$D$4008/2</f>
        <v>0.779361749182762</v>
      </c>
      <c r="R4008" s="38" t="n">
        <f aca="false">SUMPRODUCT(--(Sens!$R$3971:$AA$3971&lt;Sens!R$3971),--(Sens!$R$3971:$AA$3971&gt;=Sens!R$3971-tk_life),Sens!$R$4005:$AA$4005)/tk_life</f>
        <v>0</v>
      </c>
      <c r="S4008" s="38" t="n">
        <f aca="false">SUMPRODUCT(--(Sens!$R$3971:$AA$3971&lt;Sens!S$3971),--(Sens!$R$3971:$AA$3971&gt;=Sens!S$3971-tk_life),Sens!$R$4005:$AA$4005)/tk_life</f>
        <v>0.183212798365523</v>
      </c>
      <c r="T4008" s="38" t="n">
        <f aca="false">SUMPRODUCT(--(Sens!$R$3971:$AA$3971&lt;Sens!T$3971),--(Sens!$R$3971:$AA$3971&gt;=Sens!T$3971-tk_life),Sens!$R$4005:$AA$4005)/tk_life</f>
        <v>1.55872349836552</v>
      </c>
      <c r="U4008" s="38" t="n">
        <f aca="false">SUMPRODUCT(--(Sens!$R$3971:$AA$3971&lt;Sens!U$3971),--(Sens!$R$3971:$AA$3971&gt;=Sens!U$3971-tk_life),Sens!$R$4005:$AA$4005)/tk_life</f>
        <v>7.74852164836552</v>
      </c>
      <c r="V4008" s="38" t="n">
        <f aca="false">SUMPRODUCT(--(Sens!$R$3971:$AA$3971&lt;Sens!V$3971),--(Sens!$R$3971:$AA$3971&gt;=Sens!V$3971-tk_life),Sens!$R$4005:$AA$4005)/tk_life</f>
        <v>24.2509580966155</v>
      </c>
      <c r="W4008" s="38" t="n">
        <f aca="false">SUMPRODUCT(--(Sens!$R$3971:$AA$3971&lt;Sens!W$3971),--(Sens!$R$3971:$AA$3971&gt;=Sens!W$3971-tk_life),Sens!$R$4005:$AA$4005)/tk_life</f>
        <v>49.6717554207405</v>
      </c>
      <c r="X4008" s="38" t="n">
        <f aca="false">SUMPRODUCT(--(Sens!$R$3971:$AA$3971&lt;Sens!X$3971),--(Sens!$R$3971:$AA$3971&gt;=Sens!X$3971-tk_life),Sens!$R$4005:$AA$4005)/tk_life</f>
        <v>76.1050702391572</v>
      </c>
      <c r="Y4008" s="38" t="n">
        <f aca="false">SUMPRODUCT(--(Sens!$R$3971:$AA$3971&lt;Sens!Y$3971),--(Sens!$R$3971:$AA$3971&gt;=Sens!Y$3971-tk_life),Sens!$R$4005:$AA$4005)/tk_life</f>
        <v>103.227966959208</v>
      </c>
      <c r="Z4008" s="38" t="n">
        <f aca="false">SUMPRODUCT(--(Sens!$R$3971:$AA$3971&lt;Sens!Z$3971),--(Sens!$R$3971:$AA$3971&gt;=Sens!Z$3971-tk_life),Sens!$R$4005:$AA$4005)/tk_life</f>
        <v>122.296705971464</v>
      </c>
      <c r="AA4008" s="38" t="n">
        <f aca="false">SUMPRODUCT(--(Sens!$R$3971:$AA$3971&lt;Sens!AA$3971),--(Sens!$R$3971:$AA$3971&gt;=Sens!AA$3971-tk_life),Sens!$R$4005:$AA$4005)/tk_life</f>
        <v>134.926065927559</v>
      </c>
    </row>
    <row r="4009" customFormat="false" ht="17.15" hidden="false" customHeight="false" outlineLevel="0" collapsed="false">
      <c r="A4009" s="0" t="s">
        <v>638</v>
      </c>
      <c r="B4009" s="0" t="s">
        <v>86</v>
      </c>
      <c r="C4009" s="38" t="n">
        <f aca="false">Sens!$S$4009</f>
        <v>0.0202511502553155</v>
      </c>
      <c r="D4009" s="38" t="n">
        <f aca="false">Sens!$T$4009</f>
        <v>0.172291150255315</v>
      </c>
      <c r="E4009" s="38" t="n">
        <f aca="false">Sens!$G$4009/2</f>
        <v>0.428235575127658</v>
      </c>
      <c r="F4009" s="38" t="n">
        <f aca="false">Sens!$G$4009/2</f>
        <v>0.428235575127658</v>
      </c>
      <c r="G4009" s="38" t="n">
        <f aca="false">Sens!$U$4009</f>
        <v>0.856471150255315</v>
      </c>
      <c r="H4009" s="38" t="n">
        <f aca="false">Sens!$V$4009</f>
        <v>2.41307567525532</v>
      </c>
      <c r="I4009" s="38" t="n">
        <f aca="false">Sens!$W$4009</f>
        <v>4.71540472525532</v>
      </c>
      <c r="J4009" s="38" t="n">
        <f aca="false">Sens!$X$4009</f>
        <v>7.01773377525532</v>
      </c>
      <c r="K4009" s="38" t="n">
        <f aca="false">Sens!$Y$4009</f>
        <v>9.32006282525532</v>
      </c>
      <c r="L4009" s="38" t="n">
        <f aca="false">Sens!$Z$4009</f>
        <v>10.9487071753387</v>
      </c>
      <c r="M4009" s="38" t="n">
        <f aca="false">Sens!$AA$4009</f>
        <v>11.9036668255053</v>
      </c>
      <c r="N4009" s="38" t="n">
        <f aca="false">Sens!$D$4009/2</f>
        <v>0.0861455751276577</v>
      </c>
      <c r="O4009" s="38" t="n">
        <f aca="false">Sens!$D$4009/2</f>
        <v>0.0861455751276577</v>
      </c>
      <c r="R4009" s="38" t="n">
        <f aca="false">SUMPRODUCT(--(Sens!$R$3971:$AA$3971&lt;Sens!R$3971),Sens!$R$4006:$AA$4006)/fac_life</f>
        <v>0</v>
      </c>
      <c r="S4009" s="38" t="n">
        <f aca="false">SUMPRODUCT(--(Sens!$R$3971:$AA$3971&lt;Sens!S$3971),Sens!$R$4006:$AA$4006)/fac_life</f>
        <v>0.0202511502553155</v>
      </c>
      <c r="T4009" s="38" t="n">
        <f aca="false">SUMPRODUCT(--(Sens!$R$3971:$AA$3971&lt;Sens!T$3971),Sens!$R$4006:$AA$4006)/fac_life</f>
        <v>0.172291150255315</v>
      </c>
      <c r="U4009" s="38" t="n">
        <f aca="false">SUMPRODUCT(--(Sens!$R$3971:$AA$3971&lt;Sens!U$3971),Sens!$R$4006:$AA$4006)/fac_life</f>
        <v>0.856471150255315</v>
      </c>
      <c r="V4009" s="38" t="n">
        <f aca="false">SUMPRODUCT(--(Sens!$R$3971:$AA$3971&lt;Sens!V$3971),Sens!$R$4006:$AA$4006)/fac_life</f>
        <v>2.41307567525532</v>
      </c>
      <c r="W4009" s="38" t="n">
        <f aca="false">SUMPRODUCT(--(Sens!$R$3971:$AA$3971&lt;Sens!W$3971),Sens!$R$4006:$AA$4006)/fac_life</f>
        <v>4.71540472525532</v>
      </c>
      <c r="X4009" s="38" t="n">
        <f aca="false">SUMPRODUCT(--(Sens!$R$3971:$AA$3971&lt;Sens!X$3971),Sens!$R$4006:$AA$4006)/fac_life</f>
        <v>7.01773377525532</v>
      </c>
      <c r="Y4009" s="38" t="n">
        <f aca="false">SUMPRODUCT(--(Sens!$R$3971:$AA$3971&lt;Sens!Y$3971),Sens!$R$4006:$AA$4006)/fac_life</f>
        <v>9.32006282525532</v>
      </c>
      <c r="Z4009" s="38" t="n">
        <f aca="false">SUMPRODUCT(--(Sens!$R$3971:$AA$3971&lt;Sens!Z$3971),Sens!$R$4006:$AA$4006)/fac_life</f>
        <v>10.9487071753387</v>
      </c>
      <c r="AA4009" s="38" t="n">
        <f aca="false">SUMPRODUCT(--(Sens!$R$3971:$AA$3971&lt;Sens!AA$3971),Sens!$R$4006:$AA$4006)/fac_life</f>
        <v>11.9036668255053</v>
      </c>
    </row>
    <row r="4010" customFormat="false" ht="17.15" hidden="false" customHeight="false" outlineLevel="0" collapsed="false">
      <c r="A4010" s="1" t="s">
        <v>639</v>
      </c>
      <c r="B4010" s="8" t="s">
        <v>86</v>
      </c>
      <c r="C4010" s="38" t="n">
        <f aca="false">Sens!$C$4008+Sens!$C$4009</f>
        <v>0.203463948620839</v>
      </c>
      <c r="D4010" s="38" t="n">
        <f aca="false">Sens!$D$4008+Sens!$D$4009</f>
        <v>1.73101464862084</v>
      </c>
      <c r="E4010" s="38" t="n">
        <f aca="false">Sens!$E$4008+Sens!$E$4009</f>
        <v>4.30249639931042</v>
      </c>
      <c r="F4010" s="38" t="n">
        <f aca="false">Sens!$F$4008+Sens!$F$4009</f>
        <v>4.30249639931042</v>
      </c>
      <c r="G4010" s="38" t="n">
        <f aca="false">Sens!$G$4008+Sens!$G$4009</f>
        <v>8.60499279862084</v>
      </c>
      <c r="H4010" s="38" t="n">
        <f aca="false">Sens!$H$4008+Sens!$H$4009</f>
        <v>26.6640337718708</v>
      </c>
      <c r="I4010" s="38" t="n">
        <f aca="false">Sens!$I$4008+Sens!$I$4009</f>
        <v>54.3871601459959</v>
      </c>
      <c r="J4010" s="38" t="n">
        <f aca="false">Sens!$J$4008+Sens!$J$4009</f>
        <v>83.1228040144125</v>
      </c>
      <c r="K4010" s="38" t="n">
        <f aca="false">Sens!$K$4008+Sens!$K$4009</f>
        <v>112.548029784464</v>
      </c>
      <c r="L4010" s="38" t="n">
        <f aca="false">Sens!$L$4008+Sens!$L$4009</f>
        <v>133.245413146803</v>
      </c>
      <c r="M4010" s="38" t="n">
        <f aca="false">Sens!$M$4008+Sens!$M$4009</f>
        <v>146.829732753064</v>
      </c>
      <c r="N4010" s="38" t="n">
        <f aca="false">Sens!$N$4008+Sens!$N$4009</f>
        <v>0.865507324310419</v>
      </c>
      <c r="O4010" s="38" t="n">
        <f aca="false">Sens!$O$4008+Sens!$O$4009</f>
        <v>0.865507324310419</v>
      </c>
      <c r="R4010" s="38" t="n">
        <f aca="false">Sens!$R$4008+Sens!$R$4009</f>
        <v>0</v>
      </c>
      <c r="S4010" s="38" t="n">
        <f aca="false">Sens!$S$4008+Sens!$S$4009</f>
        <v>0.203463948620839</v>
      </c>
      <c r="T4010" s="38" t="n">
        <f aca="false">Sens!$T$4008+Sens!$T$4009</f>
        <v>1.73101464862084</v>
      </c>
      <c r="U4010" s="38" t="n">
        <f aca="false">Sens!$U$4008+Sens!$U$4009</f>
        <v>8.60499279862084</v>
      </c>
      <c r="V4010" s="38" t="n">
        <f aca="false">Sens!$V$4008+Sens!$V$4009</f>
        <v>26.6640337718708</v>
      </c>
      <c r="W4010" s="38" t="n">
        <f aca="false">Sens!$W$4008+Sens!$W$4009</f>
        <v>54.3871601459959</v>
      </c>
      <c r="X4010" s="38" t="n">
        <f aca="false">Sens!$X$4008+Sens!$X$4009</f>
        <v>83.1228040144125</v>
      </c>
      <c r="Y4010" s="38" t="n">
        <f aca="false">Sens!$Y$4008+Sens!$Y$4009</f>
        <v>112.548029784464</v>
      </c>
      <c r="Z4010" s="38" t="n">
        <f aca="false">Sens!$Z$4008+Sens!$Z$4009</f>
        <v>133.245413146803</v>
      </c>
      <c r="AA4010" s="38" t="n">
        <f aca="false">Sens!$AA$4008+Sens!$AA$4009</f>
        <v>146.829732753064</v>
      </c>
    </row>
    <row r="4011" customFormat="false" ht="17.15" hidden="false" customHeight="false" outlineLevel="0" collapsed="false">
      <c r="A4011" s="0" t="s">
        <v>640</v>
      </c>
      <c r="B4011" s="0" t="s">
        <v>86</v>
      </c>
      <c r="C4011" s="38" t="n">
        <f aca="false">Sens!$S$4011</f>
        <v>12.5947000466786</v>
      </c>
      <c r="D4011" s="38" t="n">
        <f aca="false">Sens!$T$4011</f>
        <v>61.6860742980578</v>
      </c>
      <c r="G4011" s="38" t="n">
        <f aca="false">Sens!$U$4011</f>
        <v>183.227790688937</v>
      </c>
      <c r="H4011" s="38" t="n">
        <f aca="false">Sens!$V$4011</f>
        <v>355.135121861816</v>
      </c>
      <c r="I4011" s="38" t="n">
        <f aca="false">Sens!$W$4011</f>
        <v>505.39443162632</v>
      </c>
      <c r="J4011" s="38" t="n">
        <f aca="false">Sens!$X$4011</f>
        <v>632.154865722408</v>
      </c>
      <c r="K4011" s="38" t="n">
        <f aca="false">Sens!$Y$4011</f>
        <v>674.845221213145</v>
      </c>
      <c r="L4011" s="38" t="n">
        <f aca="false">Sens!$Z$4011</f>
        <v>673.613949706244</v>
      </c>
      <c r="M4011" s="38" t="n">
        <f aca="false">Sens!$AA$4011</f>
        <v>659.015198613032</v>
      </c>
      <c r="R4011" s="38" t="n">
        <f aca="false">SUM(Sens!$R$4003:$R$4003)-SUM(Sens!$R$4010:$R$4010)</f>
        <v>1.50429979529945</v>
      </c>
      <c r="S4011" s="38" t="n">
        <f aca="false">SUM(Sens!$R$4003:$S$4003)-SUM(Sens!$R$4010:$S$4010)</f>
        <v>12.5947000466786</v>
      </c>
      <c r="T4011" s="38" t="n">
        <f aca="false">SUM(Sens!$R$4003:$T$4003)-SUM(Sens!$R$4010:$T$4010)</f>
        <v>61.6860742980578</v>
      </c>
      <c r="U4011" s="38" t="n">
        <f aca="false">SUM(Sens!$R$4003:$U$4003)-SUM(Sens!$R$4010:$U$4010)</f>
        <v>183.227790688937</v>
      </c>
      <c r="V4011" s="38" t="n">
        <f aca="false">SUM(Sens!$R$4003:$V$4003)-SUM(Sens!$R$4010:$V$4010)</f>
        <v>355.135121861816</v>
      </c>
      <c r="W4011" s="38" t="n">
        <f aca="false">SUM(Sens!$R$4003:$W$4003)-SUM(Sens!$R$4010:$W$4010)</f>
        <v>505.39443162632</v>
      </c>
      <c r="X4011" s="38" t="n">
        <f aca="false">SUM(Sens!$R$4003:$X$4003)-SUM(Sens!$R$4010:$X$4010)</f>
        <v>632.154865722408</v>
      </c>
      <c r="Y4011" s="38" t="n">
        <f aca="false">SUM(Sens!$R$4003:$Y$4003)-SUM(Sens!$R$4010:$Y$4010)</f>
        <v>674.845221213145</v>
      </c>
      <c r="Z4011" s="38" t="n">
        <f aca="false">SUM(Sens!$R$4003:$Z$4003)-SUM(Sens!$R$4010:$Z$4010)</f>
        <v>673.613949706244</v>
      </c>
      <c r="AA4011" s="38" t="n">
        <f aca="false">SUM(Sens!$R$4003:$AA$4003)-SUM(Sens!$R$4010:$AA$4010)</f>
        <v>659.015198613032</v>
      </c>
    </row>
    <row r="4012" customFormat="false" ht="17.15" hidden="false" customHeight="false" outlineLevel="0" collapsed="false">
      <c r="A4012" s="1" t="s">
        <v>641</v>
      </c>
    </row>
    <row r="4013" customFormat="false" ht="17.15" hidden="false" customHeight="false" outlineLevel="0" collapsed="false">
      <c r="A4013" s="0" t="s">
        <v>642</v>
      </c>
      <c r="B4013" s="0" t="s">
        <v>86</v>
      </c>
      <c r="C4013" s="38" t="n">
        <f aca="false">Sens!$C$3992-ext_sh*Sens!$C$3994</f>
        <v>1.80694998843362</v>
      </c>
      <c r="D4013" s="38" t="n">
        <f aca="false">Sens!$D$3992-ext_sh*Sens!$D$3994</f>
        <v>6.77606245662607</v>
      </c>
      <c r="E4013" s="38" t="n">
        <f aca="false">Sens!$E$3992-ext_sh*Sens!$E$3994</f>
        <v>6.62548329092326</v>
      </c>
      <c r="F4013" s="38" t="n">
        <f aca="false">Sens!$F$3992-ext_sh*Sens!$F$3994</f>
        <v>11.7200577158706</v>
      </c>
      <c r="G4013" s="38" t="n">
        <f aca="false">Sens!$G$3992-ext_sh*Sens!$G$3994</f>
        <v>18.3455410067939</v>
      </c>
      <c r="H4013" s="38" t="n">
        <f aca="false">Sens!$H$3992-ext_sh*Sens!$H$3994</f>
        <v>47.5171727060453</v>
      </c>
      <c r="I4013" s="38" t="n">
        <f aca="false">Sens!$I$3992-ext_sh*Sens!$I$3994</f>
        <v>80.5539692643667</v>
      </c>
      <c r="J4013" s="38" t="n">
        <f aca="false">Sens!$J$3992-ext_sh*Sens!$J$3994</f>
        <v>113.759316834883</v>
      </c>
      <c r="K4013" s="38" t="n">
        <f aca="false">Sens!$K$3992-ext_sh*Sens!$K$3994</f>
        <v>142.084411492169</v>
      </c>
      <c r="L4013" s="38" t="n">
        <f aca="false">Sens!$L$3992-ext_sh*Sens!$L$3994</f>
        <v>160.69964615804</v>
      </c>
      <c r="M4013" s="38" t="n">
        <f aca="false">Sens!$M$3992-ext_sh*Sens!$M$3994</f>
        <v>169.577607141793</v>
      </c>
      <c r="N4013" s="38" t="n">
        <f aca="false">Sens!$N$3992-ext_sh*Sens!$N$3994</f>
        <v>2.37162185981912</v>
      </c>
      <c r="O4013" s="38" t="n">
        <f aca="false">Sens!$O$3992-ext_sh*Sens!$O$3994</f>
        <v>4.40444059680694</v>
      </c>
    </row>
    <row r="4014" customFormat="false" ht="17.15" hidden="false" customHeight="false" outlineLevel="0" collapsed="false">
      <c r="A4014" s="1" t="s">
        <v>643</v>
      </c>
      <c r="B4014" s="8" t="s">
        <v>86</v>
      </c>
      <c r="C4014" s="38" t="n">
        <f aca="false">Sens!$C$4013-ext_sh*Sens!$C$4010</f>
        <v>1.64417882953695</v>
      </c>
      <c r="D4014" s="38" t="n">
        <f aca="false">Sens!$D$4013-ext_sh*Sens!$D$4010</f>
        <v>5.39125073772939</v>
      </c>
      <c r="E4014" s="38" t="n">
        <f aca="false">Sens!$E$4013-ext_sh*Sens!$E$4010</f>
        <v>3.18348617147493</v>
      </c>
      <c r="F4014" s="38" t="n">
        <f aca="false">Sens!$F$4013-ext_sh*Sens!$F$4010</f>
        <v>8.27806059642226</v>
      </c>
      <c r="G4014" s="38" t="n">
        <f aca="false">Sens!$G$4013-ext_sh*Sens!$G$4010</f>
        <v>11.4615467678972</v>
      </c>
      <c r="H4014" s="38" t="n">
        <f aca="false">Sens!$H$4013-ext_sh*Sens!$H$4010</f>
        <v>26.1859456885487</v>
      </c>
      <c r="I4014" s="38" t="n">
        <f aca="false">Sens!$I$4013-ext_sh*Sens!$I$4010</f>
        <v>37.04424114757</v>
      </c>
      <c r="J4014" s="38" t="n">
        <f aca="false">Sens!$J$4013-ext_sh*Sens!$J$4010</f>
        <v>47.2610736233534</v>
      </c>
      <c r="K4014" s="38" t="n">
        <f aca="false">Sens!$K$4013-ext_sh*Sens!$K$4010</f>
        <v>52.0459876645985</v>
      </c>
      <c r="L4014" s="38" t="n">
        <f aca="false">Sens!$L$4013-ext_sh*Sens!$L$4010</f>
        <v>54.1033156405981</v>
      </c>
      <c r="M4014" s="38" t="n">
        <f aca="false">Sens!$M$4013-ext_sh*Sens!$M$4010</f>
        <v>52.1138209393421</v>
      </c>
      <c r="N4014" s="38" t="n">
        <f aca="false">Sens!$N$4013-ext_sh*Sens!$N$4010</f>
        <v>1.67921600037079</v>
      </c>
      <c r="O4014" s="38" t="n">
        <f aca="false">Sens!$O$4013-ext_sh*Sens!$O$4010</f>
        <v>3.71203473735861</v>
      </c>
    </row>
    <row r="4015" customFormat="false" ht="17.15" hidden="false" customHeight="false" outlineLevel="0" collapsed="false">
      <c r="A4015" s="0" t="s">
        <v>644</v>
      </c>
      <c r="B4015" s="0" t="s">
        <v>52</v>
      </c>
      <c r="C4015" s="13" t="n">
        <f aca="false">Sens!$C$4014/Sens!$C$3992</f>
        <v>0.708390794789371</v>
      </c>
      <c r="D4015" s="13" t="n">
        <f aca="false">Sens!$D$4014/Sens!$D$3992</f>
        <v>0.619415573115729</v>
      </c>
      <c r="E4015" s="13" t="n">
        <f aca="false">Sens!$E$4014/Sens!$E$3992</f>
        <v>0.374072166056273</v>
      </c>
      <c r="F4015" s="13" t="n">
        <f aca="false">Sens!$F$4014/Sens!$F$3992</f>
        <v>0.553219320710057</v>
      </c>
      <c r="G4015" s="13" t="n">
        <f aca="false">Sens!$G$4014/Sens!$G$3992</f>
        <v>0.488270041527512</v>
      </c>
      <c r="H4015" s="13" t="n">
        <f aca="false">Sens!$H$4014/Sens!$H$3992</f>
        <v>0.435229086816882</v>
      </c>
      <c r="I4015" s="13" t="n">
        <f aca="false">Sens!$I$4014/Sens!$I$3992</f>
        <v>0.364954592421095</v>
      </c>
      <c r="J4015" s="13" t="n">
        <f aca="false">Sens!$J$4014/Sens!$J$3992</f>
        <v>0.330438308582232</v>
      </c>
      <c r="K4015" s="13" t="n">
        <f aca="false">Sens!$K$4014/Sens!$K$3992</f>
        <v>0.2916589289528</v>
      </c>
      <c r="L4015" s="13" t="n">
        <f aca="false">Sens!$L$4014/Sens!$L$3992</f>
        <v>0.268199200593258</v>
      </c>
      <c r="M4015" s="13" t="n">
        <f aca="false">Sens!$M$4014/Sens!$M$3992</f>
        <v>0.244854995033574</v>
      </c>
      <c r="N4015" s="13" t="n">
        <f aca="false">Sens!$N$4014/Sens!$N$3992</f>
        <v>0.551227795793364</v>
      </c>
      <c r="O4015" s="13" t="n">
        <f aca="false">Sens!$O$4014/Sens!$O$3992</f>
        <v>0.656132068597002</v>
      </c>
    </row>
    <row r="4016" customFormat="false" ht="17.15" hidden="false" customHeight="false" outlineLevel="0" collapsed="false">
      <c r="A4016" s="5" t="s">
        <v>645</v>
      </c>
      <c r="B4016" s="0" t="s">
        <v>86</v>
      </c>
      <c r="C4016" s="39" t="n">
        <v>0</v>
      </c>
      <c r="D4016" s="39" t="n">
        <v>0</v>
      </c>
      <c r="E4016" s="39" t="n">
        <v>0</v>
      </c>
      <c r="F4016" s="38" t="n">
        <f aca="false">IF(internal_ai_reading=2,1,0)*(1-ext_sh)/ext_sh*(mw_open*he_open+Sens!$F$3990*Sens!$F$3987)*Sens!$F$3976/1000</f>
        <v>3.77122048175818</v>
      </c>
      <c r="G4016" s="38" t="n">
        <f aca="false">Sens!$E$4016+Sens!$F$4016</f>
        <v>3.77122048175818</v>
      </c>
      <c r="H4016" s="38" t="n">
        <f aca="false">IF(internal_ai_reading=2,1,0)*(1-ext_sh)/ext_sh*(mw_open*he_open+Sens!$H$3990*Sens!$H$3987)*Sens!$H$3976/1000</f>
        <v>15.1635543609893</v>
      </c>
      <c r="I4016" s="38" t="n">
        <f aca="false">IF(internal_ai_reading=2,1,0)*(1-ext_sh)/ext_sh*(mw_open*he_open+Sens!$I$3990*Sens!$I$3987)*Sens!$I$3976/1000</f>
        <v>25.5818843619889</v>
      </c>
      <c r="J4016" s="38" t="n">
        <f aca="false">IF(internal_ai_reading=2,1,0)*(1-ext_sh)/ext_sh*(mw_open*he_open+Sens!$J$3990*Sens!$J$3987)*Sens!$J$3976/1000</f>
        <v>36.0465624179122</v>
      </c>
      <c r="K4016" s="38" t="n">
        <f aca="false">IF(internal_ai_reading=2,1,0)*(1-ext_sh)/ext_sh*(mw_open*he_open+Sens!$K$3990*Sens!$K$3987)*Sens!$K$3976/1000</f>
        <v>44.9741164026038</v>
      </c>
      <c r="L4016" s="38" t="n">
        <f aca="false">IF(internal_ai_reading=2,1,0)*(1-ext_sh)/ext_sh*(mw_open*he_open+Sens!$L$3990*Sens!$L$3987)*Sens!$L$3976/1000</f>
        <v>50.8413488057813</v>
      </c>
      <c r="M4016" s="38" t="n">
        <f aca="false">IF(internal_ai_reading=2,1,0)*(1-ext_sh)/ext_sh*(mw_open*he_open+Sens!$M$3990*Sens!$M$3987)*Sens!$M$3976/1000</f>
        <v>53.6407214274315</v>
      </c>
      <c r="N4016" s="39" t="n">
        <v>0</v>
      </c>
      <c r="O4016" s="39" t="n">
        <v>0</v>
      </c>
      <c r="P4016" s="8" t="s">
        <v>646</v>
      </c>
    </row>
    <row r="4017" customFormat="false" ht="17.15" hidden="false" customHeight="false" outlineLevel="0" collapsed="false">
      <c r="A4017" s="5" t="s">
        <v>647</v>
      </c>
      <c r="B4017" s="0" t="s">
        <v>86</v>
      </c>
      <c r="C4017" s="38" t="n">
        <f aca="false">(1-ext_sh)*(Sens!$C$3994+Sens!$C$4010)</f>
        <v>0.169206631859174</v>
      </c>
      <c r="D4017" s="38" t="n">
        <f aca="false">(1-ext_sh)*(Sens!$D$3994+Sens!$D$4010)</f>
        <v>0.828129837730442</v>
      </c>
      <c r="E4017" s="38" t="n">
        <f aca="false">(1-ext_sh)*(Sens!$E$3994+Sens!$E$4010)</f>
        <v>1.33171670102377</v>
      </c>
      <c r="F4017" s="38" t="n">
        <f aca="false">(1-ext_sh)*(Sens!$F$3994+Sens!$F$4010)</f>
        <v>1.67134326207455</v>
      </c>
      <c r="G4017" s="38" t="n">
        <f aca="false">(1-ext_sh)*(Sens!$G$3994+Sens!$G$4010)</f>
        <v>3.00305996309832</v>
      </c>
      <c r="H4017" s="38" t="n">
        <f aca="false">(1-ext_sh)*(Sens!$H$3994+Sens!$H$4010)</f>
        <v>8.49498626530648</v>
      </c>
      <c r="I4017" s="38" t="n">
        <f aca="false">(1-ext_sh)*(Sens!$I$3994+Sens!$I$4010)</f>
        <v>16.1148644972155</v>
      </c>
      <c r="J4017" s="38" t="n">
        <f aca="false">(1-ext_sh)*(Sens!$J$3994+Sens!$J$4010)</f>
        <v>23.9410833819812</v>
      </c>
      <c r="K4017" s="38" t="n">
        <f aca="false">(1-ext_sh)*(Sens!$K$3994+Sens!$K$4010)</f>
        <v>31.6005331796453</v>
      </c>
      <c r="L4017" s="38" t="n">
        <f aca="false">(1-ext_sh)*(Sens!$L$3994+Sens!$L$4010)</f>
        <v>36.9061965404496</v>
      </c>
      <c r="M4017" s="38" t="n">
        <f aca="false">(1-ext_sh)*(Sens!$M$3994+Sens!$M$4010)</f>
        <v>40.1804051073808</v>
      </c>
      <c r="N4017" s="38" t="n">
        <f aca="false">(1-ext_sh)*(Sens!$N$3994+Sens!$N$4010)</f>
        <v>0.34177588266428</v>
      </c>
      <c r="O4017" s="38" t="n">
        <f aca="false">(1-ext_sh)*(Sens!$O$3994+Sens!$O$4010)</f>
        <v>0.486353955066162</v>
      </c>
    </row>
    <row r="4018" customFormat="false" ht="17.15" hidden="false" customHeight="false" outlineLevel="0" collapsed="false">
      <c r="A4018" s="0" t="s">
        <v>648</v>
      </c>
      <c r="B4018" s="0" t="s">
        <v>86</v>
      </c>
      <c r="C4018" s="38" t="n">
        <f aca="false">Q!$D$24</f>
        <v>39.834</v>
      </c>
      <c r="D4018" s="38" t="n">
        <f aca="false">Q!$E$24</f>
        <v>45.606</v>
      </c>
      <c r="E4018" s="38" t="n">
        <f aca="false">Q!$P$24</f>
        <v>30.782</v>
      </c>
      <c r="N4018" s="38" t="n">
        <f aca="false">Q!$N$24</f>
        <v>21.707</v>
      </c>
      <c r="O4018" s="38" t="n">
        <f aca="false">Q!$O$24</f>
        <v>23.899</v>
      </c>
    </row>
    <row r="4019" customFormat="false" ht="17.15" hidden="false" customHeight="false" outlineLevel="0" collapsed="false">
      <c r="A4019" s="0" t="s">
        <v>649</v>
      </c>
      <c r="B4019" s="0" t="s">
        <v>86</v>
      </c>
      <c r="C4019" s="38" t="n">
        <f aca="false">Sens!$C$4018-Sens!$C$4014</f>
        <v>38.1898211704631</v>
      </c>
      <c r="D4019" s="38" t="n">
        <f aca="false">Sens!$D$4018-Sens!$D$4014</f>
        <v>40.2147492622706</v>
      </c>
      <c r="E4019" s="38" t="n">
        <f aca="false">Sens!$E$4018-Sens!$E$4014</f>
        <v>27.5985138285251</v>
      </c>
      <c r="F4019" s="38" t="n">
        <f aca="false">Sens!$F$3996*Sens!$F$4020</f>
        <v>25.5484769754606</v>
      </c>
      <c r="G4019" s="38" t="n">
        <f aca="false">Sens!$E$4019+Sens!$F$4019</f>
        <v>53.1469908039857</v>
      </c>
      <c r="H4019" s="38" t="n">
        <f aca="false">Sens!$H$3996*Sens!$H$4020</f>
        <v>57.3189525076539</v>
      </c>
      <c r="I4019" s="38" t="n">
        <f aca="false">Sens!$I$3996*Sens!$I$4020</f>
        <v>63.6385627021087</v>
      </c>
      <c r="J4019" s="38" t="n">
        <f aca="false">Sens!$J$3996*Sens!$J$4020</f>
        <v>69.6922896066105</v>
      </c>
      <c r="K4019" s="38" t="n">
        <f aca="false">Sens!$K$3996*Sens!$K$4020</f>
        <v>75.2676727751394</v>
      </c>
      <c r="L4019" s="38" t="n">
        <f aca="false">Sens!$L$3996*Sens!$L$4020</f>
        <v>81.2890865971505</v>
      </c>
      <c r="M4019" s="38" t="n">
        <f aca="false">Sens!$M$3996*Sens!$M$4020</f>
        <v>87.7922135249226</v>
      </c>
      <c r="N4019" s="38" t="n">
        <f aca="false">Sens!$N$4018-Sens!$N$4014</f>
        <v>20.0277839996292</v>
      </c>
      <c r="O4019" s="38" t="n">
        <f aca="false">Sens!$O$4018-Sens!$O$4014</f>
        <v>20.1869652626414</v>
      </c>
      <c r="P4019" s="5" t="s">
        <v>650</v>
      </c>
    </row>
    <row r="4020" customFormat="false" ht="17.15" hidden="false" customHeight="false" outlineLevel="0" collapsed="false">
      <c r="A4020" s="0" t="s">
        <v>651</v>
      </c>
      <c r="B4020" s="0" t="s">
        <v>52</v>
      </c>
      <c r="C4020" s="13" t="n">
        <f aca="false">Sens!$C$4019/Sens!$C$3996</f>
        <v>0.362900395443635</v>
      </c>
      <c r="D4020" s="13" t="n">
        <f aca="false">Sens!$D$4019/Sens!$D$3996</f>
        <v>0.335063632425483</v>
      </c>
      <c r="E4020" s="13" t="n">
        <f aca="false">Sens!$E$4019/Sens!$E$3996</f>
        <v>0.387028992698038</v>
      </c>
      <c r="F4020" s="13" t="n">
        <f aca="false">(Sens!$O$4019+Sens!$E$4019)/(Sens!$O$3996+Sens!$E$3996)</f>
        <v>0.355980580118587</v>
      </c>
      <c r="G4020" s="13" t="n">
        <f aca="false">Sens!$G$4019/Sens!$G$3996</f>
        <v>0.371454804780916</v>
      </c>
      <c r="H4020" s="13" t="n">
        <f aca="false">Sens!$F$4020</f>
        <v>0.355980580118587</v>
      </c>
      <c r="I4020" s="13" t="n">
        <f aca="false">Sens!$F$4020</f>
        <v>0.355980580118587</v>
      </c>
      <c r="J4020" s="13" t="n">
        <f aca="false">Sens!$F$4020</f>
        <v>0.355980580118587</v>
      </c>
      <c r="K4020" s="13" t="n">
        <f aca="false">Sens!$F$4020</f>
        <v>0.355980580118587</v>
      </c>
      <c r="L4020" s="13" t="n">
        <f aca="false">Sens!$F$4020</f>
        <v>0.355980580118587</v>
      </c>
      <c r="M4020" s="13" t="n">
        <f aca="false">Sens!$F$4020</f>
        <v>0.355980580118587</v>
      </c>
      <c r="N4020" s="13" t="n">
        <f aca="false">Sens!$N$4019/Sens!$N$3996</f>
        <v>0.35078810535806</v>
      </c>
      <c r="O4020" s="13" t="n">
        <f aca="false">Sens!$O$4019/Sens!$O$3996</f>
        <v>0.320796939361619</v>
      </c>
      <c r="P4020" s="8" t="s">
        <v>652</v>
      </c>
    </row>
    <row r="4021" customFormat="false" ht="17.15" hidden="false" customHeight="false" outlineLevel="0" collapsed="false">
      <c r="A4021" s="0" t="s">
        <v>653</v>
      </c>
      <c r="B4021" s="0" t="s">
        <v>52</v>
      </c>
      <c r="D4021" s="13" t="n">
        <f aca="false">(Q!$E$31-ext_sh*Sens!$D$4010)/Sens!$D$3996</f>
        <v>0.167180325480118</v>
      </c>
    </row>
    <row r="4022" customFormat="false" ht="17.15" hidden="false" customHeight="false" outlineLevel="0" collapsed="false">
      <c r="A4022" s="0" t="s">
        <v>654</v>
      </c>
      <c r="B4022" s="0" t="s">
        <v>86</v>
      </c>
      <c r="C4022" s="38" t="n">
        <f aca="false">Q!$D$31</f>
        <v>13.32</v>
      </c>
      <c r="D4022" s="38" t="n">
        <f aca="false">Q!$E$31</f>
        <v>21.45</v>
      </c>
      <c r="E4022" s="38" t="n">
        <f aca="false">Q!$P$31</f>
        <v>15.353</v>
      </c>
      <c r="F4022" s="38" t="n">
        <f aca="false">ext_sh*Sens!$F$4010+Sens!$D$4021*Sens!$F$3996</f>
        <v>15.4404120185306</v>
      </c>
      <c r="G4022" s="38" t="n">
        <f aca="false">Sens!$E$4022+Sens!$F$4022</f>
        <v>30.7934120185306</v>
      </c>
      <c r="H4022" s="38" t="n">
        <f aca="false">ext_sh*Sens!$H$4010+Sens!$D$4021*Sens!$H$3996</f>
        <v>48.250114371455</v>
      </c>
      <c r="I4022" s="38" t="n">
        <f aca="false">ext_sh*Sens!$I$4010+Sens!$D$4021*Sens!$I$3996</f>
        <v>73.3965146995963</v>
      </c>
      <c r="J4022" s="38" t="n">
        <f aca="false">ext_sh*Sens!$J$4010+Sens!$D$4021*Sens!$J$3996</f>
        <v>99.22806138309</v>
      </c>
      <c r="K4022" s="38" t="n">
        <f aca="false">ext_sh*Sens!$K$4010+Sens!$D$4021*Sens!$K$3996</f>
        <v>125.386627452856</v>
      </c>
      <c r="L4022" s="38" t="n">
        <f aca="false">ext_sh*Sens!$L$4010+Sens!$D$4021*Sens!$L$3996</f>
        <v>144.77239043275</v>
      </c>
      <c r="M4022" s="38" t="n">
        <f aca="false">ext_sh*Sens!$M$4010+Sens!$D$4021*Sens!$M$3996</f>
        <v>158.693930910983</v>
      </c>
      <c r="N4022" s="38" t="n">
        <f aca="false">Q!$N$31</f>
        <v>9.234</v>
      </c>
      <c r="O4022" s="38" t="n">
        <f aca="false">Q!$O$31</f>
        <v>12.216</v>
      </c>
    </row>
    <row r="4023" customFormat="false" ht="17.15" hidden="false" customHeight="false" outlineLevel="0" collapsed="false">
      <c r="A4023" s="1" t="s">
        <v>655</v>
      </c>
    </row>
    <row r="4024" customFormat="false" ht="17.15" hidden="false" customHeight="false" outlineLevel="0" collapsed="false">
      <c r="A4024" s="15" t="s">
        <v>656</v>
      </c>
      <c r="B4024" s="14" t="s">
        <v>52</v>
      </c>
      <c r="C4024" s="14"/>
      <c r="D4024" s="14"/>
      <c r="E4024" s="14"/>
      <c r="F4024" s="14"/>
      <c r="G4024" s="17" t="n">
        <f aca="false">Sens!$G$4014*(1-tax)/(ext_sh*(Sens!$D$4011+Sens!$G$4011)/2)</f>
        <v>0.0966870495301478</v>
      </c>
      <c r="H4024" s="17" t="n">
        <f aca="false">Sens!$H$4014*(1-tax)/(ext_sh*(Sens!$G$4011+Sens!$H$4011)/2)</f>
        <v>0.100492020334136</v>
      </c>
      <c r="I4024" s="17" t="n">
        <f aca="false">Sens!$I$4014*(1-tax)/(ext_sh*(Sens!$H$4011+Sens!$I$4011)/2)</f>
        <v>0.0889392292218236</v>
      </c>
      <c r="J4024" s="17" t="n">
        <f aca="false">Sens!$J$4014*(1-tax)/(ext_sh*(Sens!$I$4011+Sens!$J$4011)/2)</f>
        <v>0.0858364613777012</v>
      </c>
      <c r="K4024" s="17" t="n">
        <f aca="false">Sens!$K$4014*(1-tax)/(ext_sh*(Sens!$J$4011+Sens!$K$4011)/2)</f>
        <v>0.08227162714687</v>
      </c>
      <c r="L4024" s="17" t="n">
        <f aca="false">Sens!$L$4014*(1-tax)/(ext_sh*(Sens!$K$4011+Sens!$L$4011)/2)</f>
        <v>0.0828942732763872</v>
      </c>
      <c r="M4024" s="17" t="n">
        <f aca="false">Sens!$M$4014*(1-tax)/(ext_sh*(Sens!$L$4011+Sens!$M$4011)/2)</f>
        <v>0.0807945482347635</v>
      </c>
      <c r="N4024" s="14"/>
      <c r="O4024" s="14"/>
      <c r="P4024" s="8" t="s">
        <v>657</v>
      </c>
    </row>
    <row r="4025" customFormat="false" ht="17.15" hidden="false" customHeight="false" outlineLevel="0" collapsed="false">
      <c r="A4025" s="5" t="s">
        <v>658</v>
      </c>
      <c r="B4025" s="0" t="s">
        <v>57</v>
      </c>
      <c r="H4025" s="36" t="n">
        <f aca="false">Sens!$H$3992*1000/(mw_open*he_open+Sens!$H$3990*Sens!$H$3987)</f>
        <v>0.991949006767191</v>
      </c>
      <c r="I4025" s="36" t="n">
        <f aca="false">Sens!$I$3992*1000/(mw_open*he_open+Sens!$I$3990*Sens!$I$3987)</f>
        <v>0.991949006767191</v>
      </c>
      <c r="J4025" s="36" t="n">
        <f aca="false">Sens!$J$3992*1000/(mw_open*he_open+Sens!$J$3990*Sens!$J$3987)</f>
        <v>0.991949006767191</v>
      </c>
      <c r="K4025" s="36" t="n">
        <f aca="false">Sens!$K$3992*1000/(mw_open*he_open+Sens!$K$3990*Sens!$K$3987)</f>
        <v>0.991949006767191</v>
      </c>
      <c r="L4025" s="36" t="n">
        <f aca="false">Sens!$L$3992*1000/(mw_open*he_open+Sens!$L$3990*Sens!$L$3987)</f>
        <v>0.991949006767191</v>
      </c>
      <c r="M4025" s="36" t="n">
        <f aca="false">Sens!$M$3992*1000/(mw_open*he_open+Sens!$M$3990*Sens!$M$3987)</f>
        <v>0.991949006767191</v>
      </c>
    </row>
    <row r="4026" customFormat="false" ht="17.15" hidden="false" customHeight="false" outlineLevel="0" collapsed="false">
      <c r="A4026" s="5" t="s">
        <v>659</v>
      </c>
      <c r="B4026" s="0" t="s">
        <v>57</v>
      </c>
      <c r="H4026" s="36" t="n">
        <f aca="false">Sens!$H$4025*(Sens!$H$3992+wacc*ext_sh*(Sens!$G$4011+Sens!$H$4011)/2/(1-tax)-Sens!$H$4014)/Sens!$H$3992</f>
        <v>1.04696246089529</v>
      </c>
      <c r="I4026" s="36" t="n">
        <f aca="false">Sens!$I$4025*(Sens!$I$3992+wacc*ext_sh*(Sens!$H$4011+Sens!$I$4011)/2/(1-tax)-Sens!$I$4014)/Sens!$I$3992</f>
        <v>1.09109607940198</v>
      </c>
      <c r="J4026" s="36" t="n">
        <f aca="false">Sens!$J$4025*(Sens!$J$3992+wacc*ext_sh*(Sens!$I$4011+Sens!$J$4011)/2/(1-tax)-Sens!$J$4014)/Sens!$J$3992</f>
        <v>1.09681234280071</v>
      </c>
      <c r="K4026" s="36" t="n">
        <f aca="false">Sens!$K$4025*(Sens!$K$3992+wacc*ext_sh*(Sens!$J$4011+Sens!$K$4011)/2/(1-tax)-Sens!$K$4014)/Sens!$K$3992</f>
        <v>1.10105220068984</v>
      </c>
      <c r="L4026" s="36" t="n">
        <f aca="false">Sens!$L$4025*(Sens!$L$3992+wacc*ext_sh*(Sens!$K$4011+Sens!$L$4011)/2/(1-tax)-Sens!$L$4014)/Sens!$L$3992</f>
        <v>1.08952452639895</v>
      </c>
      <c r="M4026" s="36" t="n">
        <f aca="false">Sens!$M$4025*(Sens!$M$3992+wacc*ext_sh*(Sens!$L$4011+Sens!$M$4011)/2/(1-tax)-Sens!$M$4014)/Sens!$M$3992</f>
        <v>1.08965878549519</v>
      </c>
    </row>
    <row r="4027" customFormat="false" ht="17.15" hidden="false" customHeight="false" outlineLevel="0" collapsed="false">
      <c r="A4027" s="5" t="s">
        <v>660</v>
      </c>
      <c r="B4027" s="0" t="s">
        <v>52</v>
      </c>
      <c r="C4027" s="13" t="n">
        <f aca="false">Sens!$C$3993/tk_pq</f>
        <v>0.195316432429398</v>
      </c>
      <c r="D4027" s="13" t="n">
        <f aca="false">Sens!$D$3993/tk_pq</f>
        <v>0.195316432429398</v>
      </c>
      <c r="E4027" s="13" t="n">
        <f aca="false">Sens!$E$3993/tk_pq</f>
        <v>0.195316432429398</v>
      </c>
      <c r="F4027" s="13" t="n">
        <f aca="false">Sens!$F$3993/tk_pq</f>
        <v>0.202241827274866</v>
      </c>
      <c r="G4027" s="13" t="n">
        <f aca="false">Sens!$G$3993/tk_pq</f>
        <v>0.199675016194063</v>
      </c>
      <c r="H4027" s="13" t="n">
        <f aca="false">Sens!$H$3993/tk_pq</f>
        <v>0.212647947710325</v>
      </c>
      <c r="I4027" s="13" t="n">
        <f aca="false">Sens!$I$3993/tk_pq</f>
        <v>0.219285125475351</v>
      </c>
      <c r="J4027" s="13" t="n">
        <f aca="false">Sens!$J$3993/tk_pq</f>
        <v>0.222492493217189</v>
      </c>
      <c r="K4027" s="13" t="n">
        <f aca="false">Sens!$K$3993/tk_pq</f>
        <v>0.224053502812094</v>
      </c>
      <c r="L4027" s="13" t="n">
        <f aca="false">Sens!$L$3993/tk_pq</f>
        <v>0.224786916785614</v>
      </c>
      <c r="M4027" s="13" t="n">
        <f aca="false">Sens!$M$3993/tk_pq</f>
        <v>0.225048671566937</v>
      </c>
      <c r="N4027" s="13" t="n">
        <f aca="false">Sens!$N$3993/tk_pq</f>
        <v>0.195316432429398</v>
      </c>
      <c r="O4027" s="13" t="n">
        <f aca="false">Sens!$O$3993/tk_pq</f>
        <v>0.195316432429398</v>
      </c>
      <c r="P4027" s="5" t="s">
        <v>661</v>
      </c>
    </row>
    <row r="4030" customFormat="false" ht="17.15" hidden="false" customHeight="false" outlineLevel="0" collapsed="false">
      <c r="A4030" s="1" t="s">
        <v>690</v>
      </c>
    </row>
    <row r="4031" customFormat="false" ht="17.15" hidden="false" customHeight="false" outlineLevel="0" collapsed="false">
      <c r="A4031" s="0" t="s">
        <v>691</v>
      </c>
      <c r="B4031" s="0" t="s">
        <v>86</v>
      </c>
      <c r="C4031" s="38" t="n">
        <f aca="false">Sens!$C$3992</f>
        <v>2.32100535697364</v>
      </c>
      <c r="D4031" s="38" t="n">
        <f aca="false">Sens!$D$3992</f>
        <v>8.70377008865116</v>
      </c>
      <c r="E4031" s="38" t="n">
        <f aca="false">Sens!$E$3992</f>
        <v>8.51035297557002</v>
      </c>
      <c r="F4031" s="38" t="n">
        <f aca="false">Sens!$F$3992</f>
        <v>14.9634336447205</v>
      </c>
      <c r="G4031" s="38" t="n">
        <f aca="false">Sens!$G$3992</f>
        <v>23.4737866202905</v>
      </c>
      <c r="H4031" s="38" t="n">
        <f aca="false">Sens!$H$3992</f>
        <v>60.1658907497746</v>
      </c>
      <c r="I4031" s="38" t="n">
        <f aca="false">Sens!$I$3992</f>
        <v>101.503699136432</v>
      </c>
      <c r="J4031" s="38" t="n">
        <f aca="false">Sens!$J$3992</f>
        <v>143.025407151278</v>
      </c>
      <c r="K4031" s="38" t="n">
        <f aca="false">Sens!$K$3992</f>
        <v>178.44812038318</v>
      </c>
      <c r="L4031" s="38" t="n">
        <f aca="false">Sens!$L$3992</f>
        <v>201.728101802396</v>
      </c>
      <c r="M4031" s="38" t="n">
        <f aca="false">Sens!$M$3992</f>
        <v>212.835441368865</v>
      </c>
      <c r="N4031" s="38" t="n">
        <f aca="false">Sens!$N$3992</f>
        <v>3.04631953102791</v>
      </c>
      <c r="O4031" s="38" t="n">
        <f aca="false">Sens!$O$3992</f>
        <v>5.65745055762326</v>
      </c>
      <c r="P4031" s="8" t="s">
        <v>692</v>
      </c>
    </row>
    <row r="4032" customFormat="false" ht="17.15" hidden="false" customHeight="false" outlineLevel="0" collapsed="false">
      <c r="A4032" s="0" t="s">
        <v>693</v>
      </c>
      <c r="B4032" s="0" t="s">
        <v>86</v>
      </c>
      <c r="C4032" s="38" t="n">
        <f aca="false">Sens!$C$3996</f>
        <v>105.234994643026</v>
      </c>
      <c r="D4032" s="38" t="n">
        <f aca="false">Sens!$D$3996</f>
        <v>120.021229911349</v>
      </c>
      <c r="E4032" s="38" t="n">
        <f aca="false">Sens!$E$3996</f>
        <v>71.30864702443</v>
      </c>
      <c r="F4032" s="38" t="n">
        <f aca="false">Sens!$F$3996</f>
        <v>71.7692997942464</v>
      </c>
      <c r="G4032" s="38" t="n">
        <f aca="false">Sens!$G$3996</f>
        <v>143.077946818676</v>
      </c>
      <c r="H4032" s="38" t="n">
        <f aca="false">Sens!$H$3996</f>
        <v>161.017077079203</v>
      </c>
      <c r="I4032" s="38" t="n">
        <f aca="false">Sens!$I$3996</f>
        <v>178.769759521457</v>
      </c>
      <c r="J4032" s="38" t="n">
        <f aca="false">Sens!$J$3996</f>
        <v>195.775538045907</v>
      </c>
      <c r="K4032" s="38" t="n">
        <f aca="false">Sens!$K$3996</f>
        <v>211.43758108958</v>
      </c>
      <c r="L4032" s="38" t="n">
        <f aca="false">Sens!$L$3996</f>
        <v>228.352587576746</v>
      </c>
      <c r="M4032" s="38" t="n">
        <f aca="false">Sens!$M$3996</f>
        <v>246.620794582886</v>
      </c>
      <c r="N4032" s="38" t="n">
        <f aca="false">Sens!$N$3996</f>
        <v>57.0936804689721</v>
      </c>
      <c r="O4032" s="38" t="n">
        <f aca="false">Sens!$O$3996</f>
        <v>62.9275494423768</v>
      </c>
      <c r="P4032" s="8" t="s">
        <v>692</v>
      </c>
    </row>
    <row r="4033" customFormat="false" ht="17.15" hidden="false" customHeight="false" outlineLevel="0" collapsed="false">
      <c r="A4033" s="1" t="s">
        <v>516</v>
      </c>
      <c r="B4033" s="8" t="s">
        <v>86</v>
      </c>
      <c r="C4033" s="38" t="n">
        <f aca="false">Q!$D$7</f>
        <v>107.556</v>
      </c>
      <c r="D4033" s="38" t="n">
        <f aca="false">Q!$E$7</f>
        <v>128.725</v>
      </c>
      <c r="E4033" s="38" t="n">
        <f aca="false">Q!$P$7</f>
        <v>79.819</v>
      </c>
      <c r="F4033" s="38" t="n">
        <f aca="false">Sens!$F$4031+Sens!$F$4032</f>
        <v>86.7327334389669</v>
      </c>
      <c r="G4033" s="38" t="n">
        <f aca="false">Sens!$G$4031+Sens!$G$4032</f>
        <v>166.551733438967</v>
      </c>
      <c r="H4033" s="38" t="n">
        <f aca="false">Sens!$H$4031+Sens!$H$4032</f>
        <v>221.182967828978</v>
      </c>
      <c r="I4033" s="38" t="n">
        <f aca="false">Sens!$I$4031+Sens!$I$4032</f>
        <v>280.27345865789</v>
      </c>
      <c r="J4033" s="38" t="n">
        <f aca="false">Sens!$J$4031+Sens!$J$4032</f>
        <v>338.800945197185</v>
      </c>
      <c r="K4033" s="38" t="n">
        <f aca="false">Sens!$K$4031+Sens!$K$4032</f>
        <v>389.88570147276</v>
      </c>
      <c r="L4033" s="38" t="n">
        <f aca="false">Sens!$L$4031+Sens!$L$4032</f>
        <v>430.080689379143</v>
      </c>
      <c r="M4033" s="38" t="n">
        <f aca="false">Sens!$M$4031+Sens!$M$4032</f>
        <v>459.456235951751</v>
      </c>
      <c r="N4033" s="38" t="n">
        <f aca="false">Q!$N$7</f>
        <v>60.14</v>
      </c>
      <c r="O4033" s="38" t="n">
        <f aca="false">Q!$O$7</f>
        <v>68.585</v>
      </c>
      <c r="P4033" s="5" t="s">
        <v>694</v>
      </c>
    </row>
    <row r="4034" customFormat="false" ht="15" hidden="false" customHeight="false" outlineLevel="0" collapsed="false">
      <c r="A4034" s="3" t="s">
        <v>695</v>
      </c>
      <c r="B4034" s="8" t="s">
        <v>86</v>
      </c>
      <c r="C4034" s="38" t="n">
        <f aca="false">Q!$D$8</f>
        <v>637.959</v>
      </c>
      <c r="D4034" s="38" t="n">
        <f aca="false">Q!$E$8</f>
        <v>716.924</v>
      </c>
      <c r="E4034" s="38" t="n">
        <f aca="false">Q!$P$8</f>
        <v>382.125</v>
      </c>
      <c r="F4034" s="38" t="n">
        <f aca="false">Sens!$F$3964+Sens!$F$4033</f>
        <v>435.780975084504</v>
      </c>
      <c r="G4034" s="38" t="n">
        <f aca="false">Sens!$G$3964+Sens!$G$4033</f>
        <v>817.905975084504</v>
      </c>
      <c r="H4034" s="38" t="n">
        <f aca="false">Sens!$H$3964+Sens!$H$4033</f>
        <v>941.655788185406</v>
      </c>
      <c r="I4034" s="38" t="n">
        <f aca="false">Sens!$I$3964+Sens!$I$4033</f>
        <v>1066.58544703965</v>
      </c>
      <c r="J4034" s="38" t="n">
        <f aca="false">Sens!$J$3964+Sens!$J$4033</f>
        <v>1184.82265869629</v>
      </c>
      <c r="K4034" s="38" t="n">
        <f aca="false">Sens!$K$3964+Sens!$K$4033</f>
        <v>1286.65492794629</v>
      </c>
      <c r="L4034" s="38" t="n">
        <f aca="false">Sens!$L$3964+Sens!$L$4033</f>
        <v>1380.74714578606</v>
      </c>
      <c r="M4034" s="38" t="n">
        <f aca="false">Sens!$M$3964+Sens!$M$4033</f>
        <v>1467.37062173267</v>
      </c>
      <c r="N4034" s="38" t="n">
        <f aca="false">Q!$N$8</f>
        <v>323.369</v>
      </c>
      <c r="O4034" s="38" t="n">
        <f aca="false">Q!$O$8</f>
        <v>393.555</v>
      </c>
    </row>
    <row r="4035" customFormat="false" ht="17.15" hidden="false" customHeight="false" outlineLevel="0" collapsed="false">
      <c r="A4035" s="24" t="s">
        <v>703</v>
      </c>
      <c r="B4035" s="25" t="s">
        <v>86</v>
      </c>
      <c r="C4035" s="41" t="n">
        <f aca="false">Sens!$C$3964-(Sens!$C$3966+Sens!$C$3967)</f>
        <v>0</v>
      </c>
      <c r="D4035" s="41" t="n">
        <f aca="false">Sens!$D$3964-(Sens!$D$3966+Sens!$D$3967)</f>
        <v>0</v>
      </c>
      <c r="E4035" s="41" t="n">
        <f aca="false">Sens!$E$3964-(Sens!$E$3966+Sens!$E$3967)</f>
        <v>0</v>
      </c>
      <c r="F4035" s="41" t="n">
        <f aca="false">Sens!$F$3964-(Sens!$F$3966+Sens!$F$3967)</f>
        <v>0</v>
      </c>
      <c r="G4035" s="41" t="n">
        <f aca="false">Sens!$G$3964-(Sens!$G$3966+Sens!$G$3967)</f>
        <v>0</v>
      </c>
      <c r="H4035" s="41" t="n">
        <f aca="false">Sens!$H$3964-(Sens!$H$3966+Sens!$H$3967)</f>
        <v>0</v>
      </c>
      <c r="I4035" s="41" t="n">
        <f aca="false">Sens!$I$3964-(Sens!$I$3966+Sens!$I$3967)</f>
        <v>0</v>
      </c>
      <c r="J4035" s="41" t="n">
        <f aca="false">Sens!$J$3964-(Sens!$J$3966+Sens!$J$3967)</f>
        <v>0</v>
      </c>
      <c r="K4035" s="41" t="n">
        <f aca="false">Sens!$K$3964-(Sens!$K$3966+Sens!$K$3967)</f>
        <v>0</v>
      </c>
      <c r="L4035" s="41" t="n">
        <f aca="false">Sens!$L$3964-(Sens!$L$3966+Sens!$L$3967)</f>
        <v>0</v>
      </c>
      <c r="M4035" s="41" t="n">
        <f aca="false">Sens!$M$3964-(Sens!$M$3966+Sens!$M$3967)</f>
        <v>0</v>
      </c>
      <c r="N4035" s="41" t="n">
        <f aca="false">Sens!$N$3964-(Sens!$N$3966+Sens!$N$3967)</f>
        <v>0</v>
      </c>
      <c r="O4035" s="41" t="n">
        <f aca="false">Sens!$O$3964-(Sens!$O$3966+Sens!$O$3967)</f>
        <v>0</v>
      </c>
    </row>
    <row r="4036" customFormat="false" ht="17.15" hidden="false" customHeight="false" outlineLevel="0" collapsed="false">
      <c r="A4036" s="24" t="s">
        <v>704</v>
      </c>
      <c r="B4036" s="25" t="s">
        <v>86</v>
      </c>
      <c r="C4036" s="41" t="n">
        <f aca="false">Sens!$C$4031+Sens!$C$4032-Sens!$C$4033</f>
        <v>0</v>
      </c>
      <c r="D4036" s="41" t="n">
        <f aca="false">Sens!$D$4031+Sens!$D$4032-Sens!$D$4033</f>
        <v>0</v>
      </c>
      <c r="E4036" s="41" t="n">
        <f aca="false">Sens!$E$4031+Sens!$E$4032-Sens!$E$4033</f>
        <v>0</v>
      </c>
      <c r="F4036" s="41" t="n">
        <f aca="false">Sens!$F$4031+Sens!$F$4032-Sens!$F$4033</f>
        <v>0</v>
      </c>
      <c r="G4036" s="41" t="n">
        <f aca="false">Sens!$G$4031+Sens!$G$4032-Sens!$G$4033</f>
        <v>0</v>
      </c>
      <c r="H4036" s="41" t="n">
        <f aca="false">Sens!$H$4031+Sens!$H$4032-Sens!$H$4033</f>
        <v>0</v>
      </c>
      <c r="I4036" s="41" t="n">
        <f aca="false">Sens!$I$4031+Sens!$I$4032-Sens!$I$4033</f>
        <v>0</v>
      </c>
      <c r="J4036" s="41" t="n">
        <f aca="false">Sens!$J$4031+Sens!$J$4032-Sens!$J$4033</f>
        <v>0</v>
      </c>
      <c r="K4036" s="41" t="n">
        <f aca="false">Sens!$K$4031+Sens!$K$4032-Sens!$K$4033</f>
        <v>0</v>
      </c>
      <c r="L4036" s="41" t="n">
        <f aca="false">Sens!$L$4031+Sens!$L$4032-Sens!$L$4033</f>
        <v>0</v>
      </c>
      <c r="M4036" s="41" t="n">
        <f aca="false">Sens!$M$4031+Sens!$M$4032-Sens!$M$4033</f>
        <v>0</v>
      </c>
      <c r="N4036" s="41" t="n">
        <f aca="false">Sens!$N$4031+Sens!$N$4032-Sens!$N$4033</f>
        <v>0</v>
      </c>
      <c r="O4036" s="41" t="n">
        <f aca="false">Sens!$O$4031+Sens!$O$4032-Sens!$O$4033</f>
        <v>0</v>
      </c>
    </row>
    <row r="4037" customFormat="false" ht="17.15" hidden="false" customHeight="false" outlineLevel="0" collapsed="false">
      <c r="A4037" s="24" t="s">
        <v>705</v>
      </c>
      <c r="B4037" s="25" t="s">
        <v>86</v>
      </c>
      <c r="C4037" s="41" t="n">
        <f aca="false">Sens!$C$3966+Sens!$C$3967+Sens!$C$4033-Sens!$C$4034</f>
        <v>0</v>
      </c>
      <c r="D4037" s="41" t="n">
        <f aca="false">Sens!$D$3966+Sens!$D$3967+Sens!$D$4033-Sens!$D$4034</f>
        <v>0</v>
      </c>
      <c r="E4037" s="41" t="n">
        <f aca="false">Sens!$E$3966+Sens!$E$3967+Sens!$E$4033-Sens!$E$4034</f>
        <v>0</v>
      </c>
      <c r="F4037" s="41" t="n">
        <f aca="false">Sens!$F$3966+Sens!$F$3967+Sens!$F$4033-Sens!$F$4034</f>
        <v>0</v>
      </c>
      <c r="G4037" s="41" t="n">
        <f aca="false">Sens!$G$3966+Sens!$G$3967+Sens!$G$4033-Sens!$G$4034</f>
        <v>0</v>
      </c>
      <c r="H4037" s="41" t="n">
        <f aca="false">Sens!$H$3966+Sens!$H$3967+Sens!$H$4033-Sens!$H$4034</f>
        <v>0</v>
      </c>
      <c r="I4037" s="41" t="n">
        <f aca="false">Sens!$I$3966+Sens!$I$3967+Sens!$I$4033-Sens!$I$4034</f>
        <v>0</v>
      </c>
      <c r="J4037" s="41" t="n">
        <f aca="false">Sens!$J$3966+Sens!$J$3967+Sens!$J$4033-Sens!$J$4034</f>
        <v>0</v>
      </c>
      <c r="K4037" s="41" t="n">
        <f aca="false">Sens!$K$3966+Sens!$K$3967+Sens!$K$4033-Sens!$K$4034</f>
        <v>0</v>
      </c>
      <c r="L4037" s="41" t="n">
        <f aca="false">Sens!$L$3966+Sens!$L$3967+Sens!$L$4033-Sens!$L$4034</f>
        <v>0</v>
      </c>
      <c r="M4037" s="41" t="n">
        <f aca="false">Sens!$M$3966+Sens!$M$3967+Sens!$M$4033-Sens!$M$4034</f>
        <v>0</v>
      </c>
      <c r="N4037" s="41" t="n">
        <f aca="false">Sens!$N$3966+Sens!$N$3967+Sens!$N$4033-Sens!$N$4034</f>
        <v>0</v>
      </c>
      <c r="O4037" s="41" t="n">
        <f aca="false">Sens!$O$3966+Sens!$O$3967+Sens!$O$4033-Sens!$O$4034</f>
        <v>0</v>
      </c>
    </row>
    <row r="4038" customFormat="false" ht="15" hidden="false" customHeight="false" outlineLevel="0" collapsed="false">
      <c r="A4038" s="5" t="s">
        <v>699</v>
      </c>
      <c r="B4038" s="0" t="s">
        <v>52</v>
      </c>
      <c r="G4038" s="13" t="n">
        <f aca="false">Sens!$G$4034/Sens!$D$4034-1</f>
        <v>0.140854504918937</v>
      </c>
      <c r="H4038" s="13" t="n">
        <f aca="false">Sens!$H$4034/Sens!$G$4034-1</f>
        <v>0.151300781349734</v>
      </c>
      <c r="I4038" s="13" t="n">
        <f aca="false">Sens!$I$4034/Sens!$H$4034-1</f>
        <v>0.132670196925131</v>
      </c>
      <c r="J4038" s="13" t="n">
        <f aca="false">Sens!$J$4034/Sens!$I$4034-1</f>
        <v>0.110855826867704</v>
      </c>
      <c r="K4038" s="13" t="n">
        <f aca="false">Sens!$K$4034/Sens!$J$4034-1</f>
        <v>0.0859472668779371</v>
      </c>
      <c r="L4038" s="13" t="n">
        <f aca="false">Sens!$L$4034/Sens!$K$4034-1</f>
        <v>0.0731293338999275</v>
      </c>
      <c r="M4038" s="13" t="n">
        <f aca="false">Sens!$M$4034/Sens!$L$4034-1</f>
        <v>0.0627366684848667</v>
      </c>
    </row>
    <row r="4039" customFormat="false" ht="17.15" hidden="false" customHeight="false" outlineLevel="0" collapsed="false">
      <c r="A4039" s="0" t="s">
        <v>700</v>
      </c>
      <c r="B4039" s="0" t="s">
        <v>52</v>
      </c>
      <c r="C4039" s="13" t="n">
        <f aca="false">Sens!$C$4033/Sens!$C$4034</f>
        <v>0.168593906504964</v>
      </c>
      <c r="D4039" s="13" t="n">
        <f aca="false">Sens!$D$4033/Sens!$D$4034</f>
        <v>0.179551807444025</v>
      </c>
      <c r="E4039" s="13" t="n">
        <f aca="false">Sens!$E$4033/Sens!$E$4034</f>
        <v>0.208881910369643</v>
      </c>
      <c r="F4039" s="13" t="n">
        <f aca="false">Sens!$F$4033/Sens!$F$4034</f>
        <v>0.199028269699356</v>
      </c>
      <c r="G4039" s="13" t="n">
        <f aca="false">Sens!$G$4033/Sens!$G$4034</f>
        <v>0.203631882529968</v>
      </c>
      <c r="H4039" s="13" t="n">
        <f aca="false">Sens!$H$4033/Sens!$H$4034</f>
        <v>0.234887281110652</v>
      </c>
      <c r="I4039" s="13" t="n">
        <f aca="false">Sens!$I$4033/Sens!$I$4034</f>
        <v>0.262776376178579</v>
      </c>
      <c r="J4039" s="13" t="n">
        <f aca="false">Sens!$J$4033/Sens!$J$4034</f>
        <v>0.285950764623274</v>
      </c>
      <c r="K4039" s="13" t="n">
        <f aca="false">Sens!$K$4033/Sens!$K$4034</f>
        <v>0.303022739822775</v>
      </c>
      <c r="L4039" s="13" t="n">
        <f aca="false">Sens!$L$4033/Sens!$L$4034</f>
        <v>0.311484032896043</v>
      </c>
      <c r="M4039" s="13" t="n">
        <f aca="false">Sens!$M$4033/Sens!$M$4034</f>
        <v>0.313115329656271</v>
      </c>
      <c r="N4039" s="13" t="n">
        <f aca="false">Sens!$N$4033/Sens!$N$4034</f>
        <v>0.185979484737251</v>
      </c>
      <c r="O4039" s="13" t="n">
        <f aca="false">Sens!$O$4033/Sens!$O$4034</f>
        <v>0.174270432341096</v>
      </c>
    </row>
    <row r="4040" customFormat="false" ht="17.15" hidden="false" customHeight="false" outlineLevel="0" collapsed="false">
      <c r="A4040" s="0" t="s">
        <v>701</v>
      </c>
      <c r="B4040" s="0" t="s">
        <v>52</v>
      </c>
      <c r="C4040" s="13" t="n">
        <f aca="false">Sens!$C$4031/Sens!$C$4033</f>
        <v>0.0215795060896058</v>
      </c>
      <c r="D4040" s="13" t="n">
        <f aca="false">Sens!$D$4031/Sens!$D$4033</f>
        <v>0.0676152269462122</v>
      </c>
      <c r="E4040" s="13" t="n">
        <f aca="false">Sens!$E$4031/Sens!$E$4033</f>
        <v>0.106620641395783</v>
      </c>
      <c r="F4040" s="13" t="n">
        <f aca="false">Sens!$F$4031/Sens!$F$4033</f>
        <v>0.172523487401099</v>
      </c>
      <c r="G4040" s="13" t="n">
        <f aca="false">Sens!$G$4031/Sens!$G$4033</f>
        <v>0.140939911795589</v>
      </c>
      <c r="H4040" s="13" t="n">
        <f aca="false">Sens!$H$4031/Sens!$H$4033</f>
        <v>0.272018642937714</v>
      </c>
      <c r="I4040" s="13" t="n">
        <f aca="false">Sens!$I$4031/Sens!$I$4033</f>
        <v>0.362159512436497</v>
      </c>
      <c r="J4040" s="13" t="n">
        <f aca="false">Sens!$J$4031/Sens!$J$4033</f>
        <v>0.422151735934609</v>
      </c>
      <c r="K4040" s="13" t="n">
        <f aca="false">Sens!$K$4031/Sens!$K$4033</f>
        <v>0.45769342068485</v>
      </c>
      <c r="L4040" s="13" t="n">
        <f aca="false">Sens!$L$4031/Sens!$L$4033</f>
        <v>0.469047103913472</v>
      </c>
      <c r="M4040" s="13" t="n">
        <f aca="false">Sens!$M$4031/Sens!$M$4033</f>
        <v>0.463233328258093</v>
      </c>
      <c r="N4040" s="13" t="n">
        <f aca="false">Sens!$N$4031/Sens!$N$4033</f>
        <v>0.0506537999838362</v>
      </c>
      <c r="O4040" s="13" t="n">
        <f aca="false">Sens!$O$4031/Sens!$O$4033</f>
        <v>0.0824881615167056</v>
      </c>
    </row>
    <row r="4043" customFormat="false" ht="19.4" hidden="false" customHeight="false" outlineLevel="0" collapsed="false">
      <c r="A4043" s="31" t="s">
        <v>1217</v>
      </c>
    </row>
    <row r="4044" customFormat="false" ht="17.15" hidden="false" customHeight="false" outlineLevel="0" collapsed="false">
      <c r="A4044" s="6" t="s">
        <v>16</v>
      </c>
      <c r="B4044" s="6" t="s">
        <v>17</v>
      </c>
      <c r="C4044" s="20" t="s">
        <v>497</v>
      </c>
      <c r="D4044" s="20" t="s">
        <v>498</v>
      </c>
      <c r="E4044" s="20" t="s">
        <v>580</v>
      </c>
      <c r="F4044" s="20" t="s">
        <v>581</v>
      </c>
      <c r="G4044" s="20" t="s">
        <v>582</v>
      </c>
      <c r="H4044" s="20" t="s">
        <v>583</v>
      </c>
      <c r="I4044" s="20" t="s">
        <v>584</v>
      </c>
      <c r="J4044" s="20" t="s">
        <v>585</v>
      </c>
      <c r="K4044" s="20" t="s">
        <v>586</v>
      </c>
      <c r="L4044" s="20" t="s">
        <v>587</v>
      </c>
      <c r="M4044" s="20" t="s">
        <v>588</v>
      </c>
      <c r="N4044" s="20" t="s">
        <v>589</v>
      </c>
      <c r="O4044" s="20" t="s">
        <v>590</v>
      </c>
      <c r="P4044" s="6" t="s">
        <v>23</v>
      </c>
      <c r="R4044" s="20" t="n">
        <v>2023</v>
      </c>
      <c r="S4044" s="20" t="n">
        <v>2024</v>
      </c>
      <c r="T4044" s="20" t="n">
        <v>2025</v>
      </c>
      <c r="U4044" s="20" t="n">
        <v>2026</v>
      </c>
      <c r="V4044" s="20" t="n">
        <v>2027</v>
      </c>
      <c r="W4044" s="20" t="n">
        <v>2028</v>
      </c>
      <c r="X4044" s="20" t="n">
        <v>2029</v>
      </c>
      <c r="Y4044" s="20" t="n">
        <v>2030</v>
      </c>
      <c r="Z4044" s="20" t="n">
        <v>2031</v>
      </c>
      <c r="AA4044" s="20" t="n">
        <v>2032</v>
      </c>
    </row>
    <row r="4045" customFormat="false" ht="17.15" hidden="false" customHeight="false" outlineLevel="0" collapsed="false">
      <c r="A4045" s="1" t="s">
        <v>716</v>
      </c>
    </row>
    <row r="4046" customFormat="false" ht="15" hidden="false" customHeight="false" outlineLevel="0" collapsed="false">
      <c r="A4046" s="0" t="s">
        <v>519</v>
      </c>
      <c r="B4046" s="0" t="s">
        <v>86</v>
      </c>
      <c r="C4046" s="38" t="n">
        <f aca="false">Sens!$C$3951</f>
        <v>247.029</v>
      </c>
      <c r="D4046" s="38" t="n">
        <f aca="false">Sens!$D$3951</f>
        <v>269.287</v>
      </c>
      <c r="E4046" s="38" t="n">
        <f aca="false">Sens!$E$3951</f>
        <v>134.686</v>
      </c>
      <c r="F4046" s="38" t="n">
        <f aca="false">Sens!$F$3951</f>
        <v>158.293876822267</v>
      </c>
      <c r="G4046" s="38" t="n">
        <f aca="false">Sens!$G$3951</f>
        <v>292.979876822267</v>
      </c>
      <c r="H4046" s="38" t="n">
        <f aca="false">Sens!$H$3951</f>
        <v>318.184543087396</v>
      </c>
      <c r="I4046" s="38" t="n">
        <f aca="false">Sens!$I$3951</f>
        <v>341.736278761793</v>
      </c>
      <c r="J4046" s="38" t="n">
        <f aca="false">Sens!$J$3951</f>
        <v>362.927192787048</v>
      </c>
      <c r="K4046" s="38" t="n">
        <f aca="false">Sens!$K$3951</f>
        <v>381.0735524264</v>
      </c>
      <c r="L4046" s="38" t="n">
        <f aca="false">Sens!$L$3951</f>
        <v>400.12723004772</v>
      </c>
      <c r="M4046" s="38" t="n">
        <f aca="false">Sens!$M$3951</f>
        <v>420.133591550106</v>
      </c>
      <c r="N4046" s="38" t="n">
        <f aca="false">Sens!$N$3951</f>
        <v>118.892</v>
      </c>
      <c r="O4046" s="38" t="n">
        <f aca="false">Sens!$O$3951</f>
        <v>150.395</v>
      </c>
    </row>
    <row r="4047" customFormat="false" ht="15" hidden="false" customHeight="false" outlineLevel="0" collapsed="false">
      <c r="A4047" s="0" t="s">
        <v>520</v>
      </c>
      <c r="B4047" s="0" t="s">
        <v>86</v>
      </c>
      <c r="C4047" s="38" t="n">
        <f aca="false">Sens!$C$3953</f>
        <v>21.215</v>
      </c>
      <c r="D4047" s="38" t="n">
        <f aca="false">Sens!$D$3953</f>
        <v>22.561</v>
      </c>
      <c r="E4047" s="38" t="n">
        <f aca="false">Sens!$E$3953</f>
        <v>11.579</v>
      </c>
      <c r="F4047" s="38" t="n">
        <f aca="false">Sens!$F$3953</f>
        <v>11.5938724610325</v>
      </c>
      <c r="G4047" s="38" t="n">
        <f aca="false">Sens!$G$3953</f>
        <v>23.1728724610325</v>
      </c>
      <c r="H4047" s="38" t="n">
        <f aca="false">Sens!$H$3953</f>
        <v>24.353392759506</v>
      </c>
      <c r="I4047" s="38" t="n">
        <f aca="false">Sens!$I$3953</f>
        <v>25.4240338872015</v>
      </c>
      <c r="J4047" s="38" t="n">
        <f aca="false">Sens!$J$3953</f>
        <v>26.3642491017174</v>
      </c>
      <c r="K4047" s="38" t="n">
        <f aca="false">Sens!$K$3953</f>
        <v>27.155176574769</v>
      </c>
      <c r="L4047" s="38" t="n">
        <f aca="false">Sens!$L$3953</f>
        <v>27.969831872012</v>
      </c>
      <c r="M4047" s="38" t="n">
        <f aca="false">Sens!$M$3953</f>
        <v>28.8089268281724</v>
      </c>
      <c r="N4047" s="38" t="n">
        <f aca="false">Sens!$N$3953</f>
        <v>11.128</v>
      </c>
      <c r="O4047" s="38" t="n">
        <f aca="false">Sens!$O$3953</f>
        <v>11.433</v>
      </c>
    </row>
    <row r="4048" customFormat="false" ht="15" hidden="false" customHeight="false" outlineLevel="0" collapsed="false">
      <c r="A4048" s="0" t="s">
        <v>521</v>
      </c>
      <c r="B4048" s="0" t="s">
        <v>86</v>
      </c>
      <c r="C4048" s="38" t="n">
        <f aca="false">Sens!$C$3955</f>
        <v>156.146</v>
      </c>
      <c r="D4048" s="38" t="n">
        <f aca="false">Sens!$D$3955</f>
        <v>172.162</v>
      </c>
      <c r="E4048" s="38" t="n">
        <f aca="false">Sens!$E$3955</f>
        <v>88.358</v>
      </c>
      <c r="F4048" s="38" t="n">
        <f aca="false">Sens!$F$3955</f>
        <v>102.004388260171</v>
      </c>
      <c r="G4048" s="38" t="n">
        <f aca="false">Sens!$G$3955</f>
        <v>190.362388260171</v>
      </c>
      <c r="H4048" s="38" t="n">
        <f aca="false">Sens!$H$3955</f>
        <v>210.343106588311</v>
      </c>
      <c r="I4048" s="38" t="n">
        <f aca="false">Sens!$I$3955</f>
        <v>229.969728494648</v>
      </c>
      <c r="J4048" s="38" t="n">
        <f aca="false">Sens!$J$3955</f>
        <v>248.747636972598</v>
      </c>
      <c r="K4048" s="38" t="n">
        <f aca="false">Sens!$K$3955</f>
        <v>266.15997156068</v>
      </c>
      <c r="L4048" s="38" t="n">
        <f aca="false">Sens!$L$3955</f>
        <v>284.791169569927</v>
      </c>
      <c r="M4048" s="38" t="n">
        <f aca="false">Sens!$M$3955</f>
        <v>304.726551439822</v>
      </c>
      <c r="N4048" s="38" t="n">
        <f aca="false">Sens!$N$3955</f>
        <v>76.86</v>
      </c>
      <c r="O4048" s="38" t="n">
        <f aca="false">Sens!$O$3955</f>
        <v>95.302</v>
      </c>
    </row>
    <row r="4049" customFormat="false" ht="15" hidden="false" customHeight="false" outlineLevel="0" collapsed="false">
      <c r="A4049" s="0" t="s">
        <v>522</v>
      </c>
      <c r="B4049" s="0" t="s">
        <v>86</v>
      </c>
      <c r="C4049" s="38" t="n">
        <f aca="false">Sens!$C$3957</f>
        <v>56.214</v>
      </c>
      <c r="D4049" s="38" t="n">
        <f aca="false">Sens!$D$3957</f>
        <v>68.635</v>
      </c>
      <c r="E4049" s="38" t="n">
        <f aca="false">Sens!$E$3957</f>
        <v>37.052</v>
      </c>
      <c r="F4049" s="38" t="n">
        <f aca="false">Sens!$F$3957</f>
        <v>46.1572219944148</v>
      </c>
      <c r="G4049" s="38" t="n">
        <f aca="false">Sens!$G$3957</f>
        <v>83.2092219944148</v>
      </c>
      <c r="H4049" s="38" t="n">
        <f aca="false">Sens!$H$3957</f>
        <v>99.2728532229395</v>
      </c>
      <c r="I4049" s="38" t="n">
        <f aca="false">Sens!$I$3957</f>
        <v>114.365708324728</v>
      </c>
      <c r="J4049" s="38" t="n">
        <f aca="false">Sens!$J$3957</f>
        <v>127.062249699617</v>
      </c>
      <c r="K4049" s="38" t="n">
        <f aca="false">Sens!$K$3957</f>
        <v>135.95660717859</v>
      </c>
      <c r="L4049" s="38" t="n">
        <f aca="false">Sens!$L$3957</f>
        <v>145.473569681091</v>
      </c>
      <c r="M4049" s="38" t="n">
        <f aca="false">Sens!$M$3957</f>
        <v>155.656719558768</v>
      </c>
      <c r="N4049" s="38" t="n">
        <f aca="false">Sens!$N$3957</f>
        <v>29.615</v>
      </c>
      <c r="O4049" s="38" t="n">
        <f aca="false">Sens!$O$3957</f>
        <v>39.02</v>
      </c>
    </row>
    <row r="4050" customFormat="false" ht="15" hidden="false" customHeight="false" outlineLevel="0" collapsed="false">
      <c r="A4050" s="0" t="s">
        <v>523</v>
      </c>
      <c r="B4050" s="0" t="s">
        <v>86</v>
      </c>
      <c r="C4050" s="38" t="n">
        <f aca="false">Sens!$C$3959</f>
        <v>44.374</v>
      </c>
      <c r="D4050" s="38" t="n">
        <f aca="false">Sens!$D$3959</f>
        <v>49.619</v>
      </c>
      <c r="E4050" s="38" t="n">
        <f aca="false">Sens!$E$3959</f>
        <v>27.157</v>
      </c>
      <c r="F4050" s="38" t="n">
        <f aca="false">Sens!$F$3959</f>
        <v>27.7764165988154</v>
      </c>
      <c r="G4050" s="38" t="n">
        <f aca="false">Sens!$G$3959</f>
        <v>54.9334165988154</v>
      </c>
      <c r="H4050" s="38" t="n">
        <f aca="false">Sens!$H$3959</f>
        <v>61.1564112561829</v>
      </c>
      <c r="I4050" s="38" t="n">
        <f aca="false">Sens!$I$3959</f>
        <v>67.2020282103945</v>
      </c>
      <c r="J4050" s="38" t="n">
        <f aca="false">Sens!$J$3959</f>
        <v>72.8757274028885</v>
      </c>
      <c r="K4050" s="38" t="n">
        <f aca="false">Sens!$K$3959</f>
        <v>77.9770283210907</v>
      </c>
      <c r="L4050" s="38" t="n">
        <f aca="false">Sens!$L$3959</f>
        <v>83.4354203035671</v>
      </c>
      <c r="M4050" s="38" t="n">
        <f aca="false">Sens!$M$3959</f>
        <v>89.2758997248168</v>
      </c>
      <c r="N4050" s="38" t="n">
        <f aca="false">Sens!$N$3959</f>
        <v>23.923</v>
      </c>
      <c r="O4050" s="38" t="n">
        <f aca="false">Sens!$O$3959</f>
        <v>25.696</v>
      </c>
    </row>
    <row r="4051" customFormat="false" ht="15" hidden="false" customHeight="false" outlineLevel="0" collapsed="false">
      <c r="A4051" s="0" t="s">
        <v>524</v>
      </c>
      <c r="B4051" s="0" t="s">
        <v>86</v>
      </c>
      <c r="C4051" s="38" t="n">
        <f aca="false">Sens!$C$3961</f>
        <v>5.425</v>
      </c>
      <c r="D4051" s="38" t="n">
        <f aca="false">Sens!$D$3961</f>
        <v>5.935</v>
      </c>
      <c r="E4051" s="38" t="n">
        <f aca="false">Sens!$E$3961</f>
        <v>3.474</v>
      </c>
      <c r="F4051" s="38" t="n">
        <f aca="false">Sens!$F$3961</f>
        <v>3.22246550883619</v>
      </c>
      <c r="G4051" s="38" t="n">
        <f aca="false">Sens!$G$3961</f>
        <v>6.69646550883619</v>
      </c>
      <c r="H4051" s="38" t="n">
        <f aca="false">Sens!$H$3961</f>
        <v>7.16251344209196</v>
      </c>
      <c r="I4051" s="38" t="n">
        <f aca="false">Sens!$I$3961</f>
        <v>7.61421070299826</v>
      </c>
      <c r="J4051" s="38" t="n">
        <f aca="false">Sens!$J$3961</f>
        <v>8.04465753523932</v>
      </c>
      <c r="K4051" s="38" t="n">
        <f aca="false">Sens!$K$3961</f>
        <v>8.44689041200128</v>
      </c>
      <c r="L4051" s="38" t="n">
        <f aca="false">Sens!$L$3961</f>
        <v>8.86923493260135</v>
      </c>
      <c r="M4051" s="38" t="n">
        <f aca="false">Sens!$M$3961</f>
        <v>9.31269667923142</v>
      </c>
      <c r="N4051" s="38" t="n">
        <f aca="false">Sens!$N$3961</f>
        <v>2.811</v>
      </c>
      <c r="O4051" s="38" t="n">
        <f aca="false">Sens!$O$3961</f>
        <v>3.124</v>
      </c>
    </row>
    <row r="4052" customFormat="false" ht="17.15" hidden="false" customHeight="false" outlineLevel="0" collapsed="false">
      <c r="A4052" s="0" t="s">
        <v>717</v>
      </c>
      <c r="B4052" s="0" t="s">
        <v>86</v>
      </c>
      <c r="C4052" s="38" t="n">
        <f aca="false">Sens!$C$4033</f>
        <v>107.556</v>
      </c>
      <c r="D4052" s="38" t="n">
        <f aca="false">Sens!$D$4033</f>
        <v>128.725</v>
      </c>
      <c r="E4052" s="38" t="n">
        <f aca="false">Sens!$E$4033</f>
        <v>79.819</v>
      </c>
      <c r="F4052" s="38" t="n">
        <f aca="false">Sens!$F$4033</f>
        <v>86.7327334389669</v>
      </c>
      <c r="G4052" s="38" t="n">
        <f aca="false">Sens!$G$4033</f>
        <v>166.551733438967</v>
      </c>
      <c r="H4052" s="38" t="n">
        <f aca="false">Sens!$H$4033</f>
        <v>221.182967828978</v>
      </c>
      <c r="I4052" s="38" t="n">
        <f aca="false">Sens!$I$4033</f>
        <v>280.27345865789</v>
      </c>
      <c r="J4052" s="38" t="n">
        <f aca="false">Sens!$J$4033</f>
        <v>338.800945197185</v>
      </c>
      <c r="K4052" s="38" t="n">
        <f aca="false">Sens!$K$4033</f>
        <v>389.88570147276</v>
      </c>
      <c r="L4052" s="38" t="n">
        <f aca="false">Sens!$L$4033</f>
        <v>430.080689379143</v>
      </c>
      <c r="M4052" s="38" t="n">
        <f aca="false">Sens!$M$4033</f>
        <v>459.456235951751</v>
      </c>
      <c r="N4052" s="38" t="n">
        <f aca="false">Sens!$N$4033</f>
        <v>60.14</v>
      </c>
      <c r="O4052" s="38" t="n">
        <f aca="false">Sens!$O$4033</f>
        <v>68.585</v>
      </c>
    </row>
    <row r="4053" customFormat="false" ht="15" hidden="false" customHeight="false" outlineLevel="0" collapsed="false">
      <c r="A4053" s="1" t="s">
        <v>512</v>
      </c>
      <c r="B4053" s="8" t="s">
        <v>86</v>
      </c>
      <c r="C4053" s="38" t="n">
        <f aca="false">Sens!$C$3966</f>
        <v>387.497</v>
      </c>
      <c r="D4053" s="38" t="n">
        <f aca="false">Sens!$D$3966</f>
        <v>426.305</v>
      </c>
      <c r="E4053" s="38" t="n">
        <f aca="false">Sens!$E$3966</f>
        <v>220.32</v>
      </c>
      <c r="F4053" s="38" t="n">
        <f aca="false">Sens!$F$3966</f>
        <v>250.639773480586</v>
      </c>
      <c r="G4053" s="38" t="n">
        <f aca="false">Sens!$G$3966</f>
        <v>470.959773480586</v>
      </c>
      <c r="H4053" s="38" t="n">
        <f aca="false">Sens!$H$3966</f>
        <v>520.935759037606</v>
      </c>
      <c r="I4053" s="38" t="n">
        <f aca="false">Sens!$I$3966</f>
        <v>568.540576319561</v>
      </c>
      <c r="J4053" s="38" t="n">
        <f aca="false">Sens!$J$3966</f>
        <v>611.713517889435</v>
      </c>
      <c r="K4053" s="38" t="n">
        <f aca="false">Sens!$K$3966</f>
        <v>648.406358262683</v>
      </c>
      <c r="L4053" s="38" t="n">
        <f aca="false">Sens!$L$3966</f>
        <v>687.37659224248</v>
      </c>
      <c r="M4053" s="38" t="n">
        <f aca="false">Sens!$M$3966</f>
        <v>728.769539622536</v>
      </c>
      <c r="N4053" s="38" t="n">
        <f aca="false">Sens!$N$3966</f>
        <v>192.955</v>
      </c>
      <c r="O4053" s="38" t="n">
        <f aca="false">Sens!$O$3966</f>
        <v>233.35</v>
      </c>
    </row>
    <row r="4054" customFormat="false" ht="15" hidden="false" customHeight="false" outlineLevel="0" collapsed="false">
      <c r="A4054" s="1" t="s">
        <v>515</v>
      </c>
      <c r="B4054" s="8" t="s">
        <v>86</v>
      </c>
      <c r="C4054" s="38" t="n">
        <f aca="false">Sens!$C$3967</f>
        <v>142.906</v>
      </c>
      <c r="D4054" s="38" t="n">
        <f aca="false">Sens!$D$3967</f>
        <v>161.894</v>
      </c>
      <c r="E4054" s="38" t="n">
        <f aca="false">Sens!$E$3967</f>
        <v>81.986</v>
      </c>
      <c r="F4054" s="38" t="n">
        <f aca="false">Sens!$F$3967</f>
        <v>98.408468164951</v>
      </c>
      <c r="G4054" s="38" t="n">
        <f aca="false">Sens!$G$3967</f>
        <v>180.394468164951</v>
      </c>
      <c r="H4054" s="38" t="n">
        <f aca="false">Sens!$H$3967</f>
        <v>199.537061318822</v>
      </c>
      <c r="I4054" s="38" t="n">
        <f aca="false">Sens!$I$3967</f>
        <v>217.771412062202</v>
      </c>
      <c r="J4054" s="38" t="n">
        <f aca="false">Sens!$J$3967</f>
        <v>234.308195609672</v>
      </c>
      <c r="K4054" s="38" t="n">
        <f aca="false">Sens!$K$3967</f>
        <v>248.362868210848</v>
      </c>
      <c r="L4054" s="38" t="n">
        <f aca="false">Sens!$L$3967</f>
        <v>263.289864164439</v>
      </c>
      <c r="M4054" s="38" t="n">
        <f aca="false">Sens!$M$3967</f>
        <v>279.14484615838</v>
      </c>
      <c r="N4054" s="38" t="n">
        <f aca="false">Sens!$N$3967</f>
        <v>70.274</v>
      </c>
      <c r="O4054" s="38" t="n">
        <f aca="false">Sens!$O$3967</f>
        <v>91.62</v>
      </c>
    </row>
    <row r="4055" customFormat="false" ht="15" hidden="false" customHeight="false" outlineLevel="0" collapsed="false">
      <c r="A4055" s="1" t="s">
        <v>516</v>
      </c>
      <c r="B4055" s="8" t="s">
        <v>86</v>
      </c>
      <c r="C4055" s="38" t="n">
        <f aca="false">Sens!$C$4033</f>
        <v>107.556</v>
      </c>
      <c r="D4055" s="38" t="n">
        <f aca="false">Sens!$D$4033</f>
        <v>128.725</v>
      </c>
      <c r="E4055" s="38" t="n">
        <f aca="false">Sens!$E$4033</f>
        <v>79.819</v>
      </c>
      <c r="F4055" s="38" t="n">
        <f aca="false">Sens!$F$4033</f>
        <v>86.7327334389669</v>
      </c>
      <c r="G4055" s="38" t="n">
        <f aca="false">Sens!$G$4033</f>
        <v>166.551733438967</v>
      </c>
      <c r="H4055" s="38" t="n">
        <f aca="false">Sens!$H$4033</f>
        <v>221.182967828978</v>
      </c>
      <c r="I4055" s="38" t="n">
        <f aca="false">Sens!$I$4033</f>
        <v>280.27345865789</v>
      </c>
      <c r="J4055" s="38" t="n">
        <f aca="false">Sens!$J$4033</f>
        <v>338.800945197185</v>
      </c>
      <c r="K4055" s="38" t="n">
        <f aca="false">Sens!$K$4033</f>
        <v>389.88570147276</v>
      </c>
      <c r="L4055" s="38" t="n">
        <f aca="false">Sens!$L$4033</f>
        <v>430.080689379143</v>
      </c>
      <c r="M4055" s="38" t="n">
        <f aca="false">Sens!$M$4033</f>
        <v>459.456235951751</v>
      </c>
      <c r="N4055" s="38" t="n">
        <f aca="false">Sens!$N$4033</f>
        <v>60.14</v>
      </c>
      <c r="O4055" s="38" t="n">
        <f aca="false">Sens!$O$4033</f>
        <v>68.585</v>
      </c>
    </row>
    <row r="4056" customFormat="false" ht="17.15" hidden="false" customHeight="false" outlineLevel="0" collapsed="false">
      <c r="A4056" s="0" t="s">
        <v>691</v>
      </c>
      <c r="B4056" s="0" t="s">
        <v>86</v>
      </c>
      <c r="C4056" s="38" t="n">
        <f aca="false">Sens!$C$4031</f>
        <v>2.32100535697364</v>
      </c>
      <c r="D4056" s="38" t="n">
        <f aca="false">Sens!$D$4031</f>
        <v>8.70377008865116</v>
      </c>
      <c r="E4056" s="38" t="n">
        <f aca="false">Sens!$E$4031</f>
        <v>8.51035297557002</v>
      </c>
      <c r="F4056" s="38" t="n">
        <f aca="false">Sens!$F$4031</f>
        <v>14.9634336447205</v>
      </c>
      <c r="G4056" s="38" t="n">
        <f aca="false">Sens!$G$4031</f>
        <v>23.4737866202905</v>
      </c>
      <c r="H4056" s="38" t="n">
        <f aca="false">Sens!$H$4031</f>
        <v>60.1658907497746</v>
      </c>
      <c r="I4056" s="38" t="n">
        <f aca="false">Sens!$I$4031</f>
        <v>101.503699136432</v>
      </c>
      <c r="J4056" s="38" t="n">
        <f aca="false">Sens!$J$4031</f>
        <v>143.025407151278</v>
      </c>
      <c r="K4056" s="38" t="n">
        <f aca="false">Sens!$K$4031</f>
        <v>178.44812038318</v>
      </c>
      <c r="L4056" s="38" t="n">
        <f aca="false">Sens!$L$4031</f>
        <v>201.728101802396</v>
      </c>
      <c r="M4056" s="38" t="n">
        <f aca="false">Sens!$M$4031</f>
        <v>212.835441368865</v>
      </c>
      <c r="N4056" s="38" t="n">
        <f aca="false">Sens!$N$4031</f>
        <v>3.04631953102791</v>
      </c>
      <c r="O4056" s="38" t="n">
        <f aca="false">Sens!$O$4031</f>
        <v>5.65745055762326</v>
      </c>
    </row>
    <row r="4057" customFormat="false" ht="17.15" hidden="false" customHeight="false" outlineLevel="0" collapsed="false">
      <c r="A4057" s="0" t="s">
        <v>693</v>
      </c>
      <c r="B4057" s="0" t="s">
        <v>86</v>
      </c>
      <c r="C4057" s="38" t="n">
        <f aca="false">Sens!$C$4032</f>
        <v>105.234994643026</v>
      </c>
      <c r="D4057" s="38" t="n">
        <f aca="false">Sens!$D$4032</f>
        <v>120.021229911349</v>
      </c>
      <c r="E4057" s="38" t="n">
        <f aca="false">Sens!$E$4032</f>
        <v>71.30864702443</v>
      </c>
      <c r="F4057" s="38" t="n">
        <f aca="false">Sens!$F$4032</f>
        <v>71.7692997942464</v>
      </c>
      <c r="G4057" s="38" t="n">
        <f aca="false">Sens!$G$4032</f>
        <v>143.077946818676</v>
      </c>
      <c r="H4057" s="38" t="n">
        <f aca="false">Sens!$H$4032</f>
        <v>161.017077079203</v>
      </c>
      <c r="I4057" s="38" t="n">
        <f aca="false">Sens!$I$4032</f>
        <v>178.769759521457</v>
      </c>
      <c r="J4057" s="38" t="n">
        <f aca="false">Sens!$J$4032</f>
        <v>195.775538045907</v>
      </c>
      <c r="K4057" s="38" t="n">
        <f aca="false">Sens!$K$4032</f>
        <v>211.43758108958</v>
      </c>
      <c r="L4057" s="38" t="n">
        <f aca="false">Sens!$L$4032</f>
        <v>228.352587576746</v>
      </c>
      <c r="M4057" s="38" t="n">
        <f aca="false">Sens!$M$4032</f>
        <v>246.620794582886</v>
      </c>
      <c r="N4057" s="38" t="n">
        <f aca="false">Sens!$N$4032</f>
        <v>57.0936804689721</v>
      </c>
      <c r="O4057" s="38" t="n">
        <f aca="false">Sens!$O$4032</f>
        <v>62.9275494423768</v>
      </c>
    </row>
    <row r="4058" customFormat="false" ht="15" hidden="false" customHeight="false" outlineLevel="0" collapsed="false">
      <c r="A4058" s="3" t="s">
        <v>517</v>
      </c>
      <c r="B4058" s="8" t="s">
        <v>86</v>
      </c>
      <c r="C4058" s="38" t="n">
        <f aca="false">Sens!$C$4034</f>
        <v>637.959</v>
      </c>
      <c r="D4058" s="38" t="n">
        <f aca="false">Sens!$D$4034</f>
        <v>716.924</v>
      </c>
      <c r="E4058" s="38" t="n">
        <f aca="false">Sens!$E$4034</f>
        <v>382.125</v>
      </c>
      <c r="F4058" s="38" t="n">
        <f aca="false">Sens!$F$4034</f>
        <v>435.780975084504</v>
      </c>
      <c r="G4058" s="38" t="n">
        <f aca="false">Sens!$G$4034</f>
        <v>817.905975084504</v>
      </c>
      <c r="H4058" s="38" t="n">
        <f aca="false">Sens!$H$4034</f>
        <v>941.655788185406</v>
      </c>
      <c r="I4058" s="38" t="n">
        <f aca="false">Sens!$I$4034</f>
        <v>1066.58544703965</v>
      </c>
      <c r="J4058" s="38" t="n">
        <f aca="false">Sens!$J$4034</f>
        <v>1184.82265869629</v>
      </c>
      <c r="K4058" s="38" t="n">
        <f aca="false">Sens!$K$4034</f>
        <v>1286.65492794629</v>
      </c>
      <c r="L4058" s="38" t="n">
        <f aca="false">Sens!$L$4034</f>
        <v>1380.74714578606</v>
      </c>
      <c r="M4058" s="38" t="n">
        <f aca="false">Sens!$M$4034</f>
        <v>1467.37062173267</v>
      </c>
      <c r="N4058" s="38" t="n">
        <f aca="false">Sens!$N$4034</f>
        <v>323.369</v>
      </c>
      <c r="O4058" s="38" t="n">
        <f aca="false">Sens!$O$4034</f>
        <v>393.555</v>
      </c>
    </row>
    <row r="4059" customFormat="false" ht="17.15" hidden="false" customHeight="false" outlineLevel="0" collapsed="false">
      <c r="A4059" s="24" t="s">
        <v>703</v>
      </c>
      <c r="B4059" s="25" t="s">
        <v>86</v>
      </c>
      <c r="C4059" s="41" t="n">
        <f aca="false">Sens!$C$4046+Sens!$C$4047+Sens!$C$4048+Sens!$C$4049+Sens!$C$4050+Sens!$C$4051-(Sens!$C$4053+Sens!$C$4054)</f>
        <v>0</v>
      </c>
      <c r="D4059" s="41" t="n">
        <f aca="false">Sens!$D$4046+Sens!$D$4047+Sens!$D$4048+Sens!$D$4049+Sens!$D$4050+Sens!$D$4051-(Sens!$D$4053+Sens!$D$4054)</f>
        <v>0</v>
      </c>
      <c r="E4059" s="41" t="n">
        <f aca="false">Sens!$E$4046+Sens!$E$4047+Sens!$E$4048+Sens!$E$4049+Sens!$E$4050+Sens!$E$4051-(Sens!$E$4053+Sens!$E$4054)</f>
        <v>0</v>
      </c>
      <c r="F4059" s="41" t="n">
        <f aca="false">Sens!$F$4046+Sens!$F$4047+Sens!$F$4048+Sens!$F$4049+Sens!$F$4050+Sens!$F$4051-(Sens!$F$4053+Sens!$F$4054)</f>
        <v>0</v>
      </c>
      <c r="G4059" s="41" t="n">
        <f aca="false">Sens!$G$4046+Sens!$G$4047+Sens!$G$4048+Sens!$G$4049+Sens!$G$4050+Sens!$G$4051-(Sens!$G$4053+Sens!$G$4054)</f>
        <v>0</v>
      </c>
      <c r="H4059" s="41" t="n">
        <f aca="false">Sens!$H$4046+Sens!$H$4047+Sens!$H$4048+Sens!$H$4049+Sens!$H$4050+Sens!$H$4051-(Sens!$H$4053+Sens!$H$4054)</f>
        <v>0</v>
      </c>
      <c r="I4059" s="41" t="n">
        <f aca="false">Sens!$I$4046+Sens!$I$4047+Sens!$I$4048+Sens!$I$4049+Sens!$I$4050+Sens!$I$4051-(Sens!$I$4053+Sens!$I$4054)</f>
        <v>0</v>
      </c>
      <c r="J4059" s="41" t="n">
        <f aca="false">Sens!$J$4046+Sens!$J$4047+Sens!$J$4048+Sens!$J$4049+Sens!$J$4050+Sens!$J$4051-(Sens!$J$4053+Sens!$J$4054)</f>
        <v>0</v>
      </c>
      <c r="K4059" s="41" t="n">
        <f aca="false">Sens!$K$4046+Sens!$K$4047+Sens!$K$4048+Sens!$K$4049+Sens!$K$4050+Sens!$K$4051-(Sens!$K$4053+Sens!$K$4054)</f>
        <v>0</v>
      </c>
      <c r="L4059" s="41" t="n">
        <f aca="false">Sens!$L$4046+Sens!$L$4047+Sens!$L$4048+Sens!$L$4049+Sens!$L$4050+Sens!$L$4051-(Sens!$L$4053+Sens!$L$4054)</f>
        <v>0</v>
      </c>
      <c r="M4059" s="41" t="n">
        <f aca="false">Sens!$M$4046+Sens!$M$4047+Sens!$M$4048+Sens!$M$4049+Sens!$M$4050+Sens!$M$4051-(Sens!$M$4053+Sens!$M$4054)</f>
        <v>0</v>
      </c>
      <c r="N4059" s="41" t="n">
        <f aca="false">Sens!$N$4046+Sens!$N$4047+Sens!$N$4048+Sens!$N$4049+Sens!$N$4050+Sens!$N$4051-(Sens!$N$4053+Sens!$N$4054)</f>
        <v>0</v>
      </c>
      <c r="O4059" s="41" t="n">
        <f aca="false">Sens!$O$4046+Sens!$O$4047+Sens!$O$4048+Sens!$O$4049+Sens!$O$4050+Sens!$O$4051-(Sens!$O$4053+Sens!$O$4054)</f>
        <v>0</v>
      </c>
    </row>
    <row r="4060" customFormat="false" ht="17.15" hidden="false" customHeight="false" outlineLevel="0" collapsed="false">
      <c r="A4060" s="24" t="s">
        <v>704</v>
      </c>
      <c r="B4060" s="25" t="s">
        <v>86</v>
      </c>
      <c r="C4060" s="41" t="n">
        <f aca="false">Sens!$C$4056+Sens!$C$4057-Sens!$C$4055</f>
        <v>0</v>
      </c>
      <c r="D4060" s="41" t="n">
        <f aca="false">Sens!$D$4056+Sens!$D$4057-Sens!$D$4055</f>
        <v>0</v>
      </c>
      <c r="E4060" s="41" t="n">
        <f aca="false">Sens!$E$4056+Sens!$E$4057-Sens!$E$4055</f>
        <v>0</v>
      </c>
      <c r="F4060" s="41" t="n">
        <f aca="false">Sens!$F$4056+Sens!$F$4057-Sens!$F$4055</f>
        <v>0</v>
      </c>
      <c r="G4060" s="41" t="n">
        <f aca="false">Sens!$G$4056+Sens!$G$4057-Sens!$G$4055</f>
        <v>0</v>
      </c>
      <c r="H4060" s="41" t="n">
        <f aca="false">Sens!$H$4056+Sens!$H$4057-Sens!$H$4055</f>
        <v>0</v>
      </c>
      <c r="I4060" s="41" t="n">
        <f aca="false">Sens!$I$4056+Sens!$I$4057-Sens!$I$4055</f>
        <v>0</v>
      </c>
      <c r="J4060" s="41" t="n">
        <f aca="false">Sens!$J$4056+Sens!$J$4057-Sens!$J$4055</f>
        <v>0</v>
      </c>
      <c r="K4060" s="41" t="n">
        <f aca="false">Sens!$K$4056+Sens!$K$4057-Sens!$K$4055</f>
        <v>0</v>
      </c>
      <c r="L4060" s="41" t="n">
        <f aca="false">Sens!$L$4056+Sens!$L$4057-Sens!$L$4055</f>
        <v>0</v>
      </c>
      <c r="M4060" s="41" t="n">
        <f aca="false">Sens!$M$4056+Sens!$M$4057-Sens!$M$4055</f>
        <v>0</v>
      </c>
      <c r="N4060" s="41" t="n">
        <f aca="false">Sens!$N$4056+Sens!$N$4057-Sens!$N$4055</f>
        <v>0</v>
      </c>
      <c r="O4060" s="41" t="n">
        <f aca="false">Sens!$O$4056+Sens!$O$4057-Sens!$O$4055</f>
        <v>0</v>
      </c>
    </row>
    <row r="4061" customFormat="false" ht="17.15" hidden="false" customHeight="false" outlineLevel="0" collapsed="false">
      <c r="A4061" s="24" t="s">
        <v>763</v>
      </c>
      <c r="B4061" s="25" t="s">
        <v>86</v>
      </c>
      <c r="C4061" s="41" t="n">
        <f aca="false">Sens!$C$4046+Sens!$C$4047+Sens!$C$4048+Sens!$C$4049+Sens!$C$4050+Sens!$C$4051+Sens!$C$4052-Sens!$C$4058</f>
        <v>0</v>
      </c>
      <c r="D4061" s="41" t="n">
        <f aca="false">Sens!$D$4046+Sens!$D$4047+Sens!$D$4048+Sens!$D$4049+Sens!$D$4050+Sens!$D$4051+Sens!$D$4052-Sens!$D$4058</f>
        <v>0</v>
      </c>
      <c r="E4061" s="41" t="n">
        <f aca="false">Sens!$E$4046+Sens!$E$4047+Sens!$E$4048+Sens!$E$4049+Sens!$E$4050+Sens!$E$4051+Sens!$E$4052-Sens!$E$4058</f>
        <v>0</v>
      </c>
      <c r="F4061" s="41" t="n">
        <f aca="false">Sens!$F$4046+Sens!$F$4047+Sens!$F$4048+Sens!$F$4049+Sens!$F$4050+Sens!$F$4051+Sens!$F$4052-Sens!$F$4058</f>
        <v>0</v>
      </c>
      <c r="G4061" s="41" t="n">
        <f aca="false">Sens!$G$4046+Sens!$G$4047+Sens!$G$4048+Sens!$G$4049+Sens!$G$4050+Sens!$G$4051+Sens!$G$4052-Sens!$G$4058</f>
        <v>0</v>
      </c>
      <c r="H4061" s="41" t="n">
        <f aca="false">Sens!$H$4046+Sens!$H$4047+Sens!$H$4048+Sens!$H$4049+Sens!$H$4050+Sens!$H$4051+Sens!$H$4052-Sens!$H$4058</f>
        <v>0</v>
      </c>
      <c r="I4061" s="41" t="n">
        <f aca="false">Sens!$I$4046+Sens!$I$4047+Sens!$I$4048+Sens!$I$4049+Sens!$I$4050+Sens!$I$4051+Sens!$I$4052-Sens!$I$4058</f>
        <v>0</v>
      </c>
      <c r="J4061" s="41" t="n">
        <f aca="false">Sens!$J$4046+Sens!$J$4047+Sens!$J$4048+Sens!$J$4049+Sens!$J$4050+Sens!$J$4051+Sens!$J$4052-Sens!$J$4058</f>
        <v>0</v>
      </c>
      <c r="K4061" s="41" t="n">
        <f aca="false">Sens!$K$4046+Sens!$K$4047+Sens!$K$4048+Sens!$K$4049+Sens!$K$4050+Sens!$K$4051+Sens!$K$4052-Sens!$K$4058</f>
        <v>0</v>
      </c>
      <c r="L4061" s="41" t="n">
        <f aca="false">Sens!$L$4046+Sens!$L$4047+Sens!$L$4048+Sens!$L$4049+Sens!$L$4050+Sens!$L$4051+Sens!$L$4052-Sens!$L$4058</f>
        <v>0</v>
      </c>
      <c r="M4061" s="41" t="n">
        <f aca="false">Sens!$M$4046+Sens!$M$4047+Sens!$M$4048+Sens!$M$4049+Sens!$M$4050+Sens!$M$4051+Sens!$M$4052-Sens!$M$4058</f>
        <v>0</v>
      </c>
      <c r="N4061" s="41" t="n">
        <f aca="false">Sens!$N$4046+Sens!$N$4047+Sens!$N$4048+Sens!$N$4049+Sens!$N$4050+Sens!$N$4051+Sens!$N$4052-Sens!$N$4058</f>
        <v>0</v>
      </c>
      <c r="O4061" s="41" t="n">
        <f aca="false">Sens!$O$4046+Sens!$O$4047+Sens!$O$4048+Sens!$O$4049+Sens!$O$4050+Sens!$O$4051+Sens!$O$4052-Sens!$O$4058</f>
        <v>0</v>
      </c>
    </row>
    <row r="4062" customFormat="false" ht="17.15" hidden="false" customHeight="false" outlineLevel="0" collapsed="false">
      <c r="A4062" s="24" t="s">
        <v>705</v>
      </c>
      <c r="B4062" s="25" t="s">
        <v>86</v>
      </c>
      <c r="C4062" s="41" t="n">
        <f aca="false">Sens!$C$4053+Sens!$C$4054+Sens!$C$4055-Sens!$C$4058</f>
        <v>0</v>
      </c>
      <c r="D4062" s="41" t="n">
        <f aca="false">Sens!$D$4053+Sens!$D$4054+Sens!$D$4055-Sens!$D$4058</f>
        <v>0</v>
      </c>
      <c r="E4062" s="41" t="n">
        <f aca="false">Sens!$E$4053+Sens!$E$4054+Sens!$E$4055-Sens!$E$4058</f>
        <v>0</v>
      </c>
      <c r="F4062" s="41" t="n">
        <f aca="false">Sens!$F$4053+Sens!$F$4054+Sens!$F$4055-Sens!$F$4058</f>
        <v>0</v>
      </c>
      <c r="G4062" s="41" t="n">
        <f aca="false">Sens!$G$4053+Sens!$G$4054+Sens!$G$4055-Sens!$G$4058</f>
        <v>0</v>
      </c>
      <c r="H4062" s="41" t="n">
        <f aca="false">Sens!$H$4053+Sens!$H$4054+Sens!$H$4055-Sens!$H$4058</f>
        <v>0</v>
      </c>
      <c r="I4062" s="41" t="n">
        <f aca="false">Sens!$I$4053+Sens!$I$4054+Sens!$I$4055-Sens!$I$4058</f>
        <v>0</v>
      </c>
      <c r="J4062" s="41" t="n">
        <f aca="false">Sens!$J$4053+Sens!$J$4054+Sens!$J$4055-Sens!$J$4058</f>
        <v>0</v>
      </c>
      <c r="K4062" s="41" t="n">
        <f aca="false">Sens!$K$4053+Sens!$K$4054+Sens!$K$4055-Sens!$K$4058</f>
        <v>0</v>
      </c>
      <c r="L4062" s="41" t="n">
        <f aca="false">Sens!$L$4053+Sens!$L$4054+Sens!$L$4055-Sens!$L$4058</f>
        <v>0</v>
      </c>
      <c r="M4062" s="41" t="n">
        <f aca="false">Sens!$M$4053+Sens!$M$4054+Sens!$M$4055-Sens!$M$4058</f>
        <v>0</v>
      </c>
      <c r="N4062" s="41" t="n">
        <f aca="false">Sens!$N$4053+Sens!$N$4054+Sens!$N$4055-Sens!$N$4058</f>
        <v>0</v>
      </c>
      <c r="O4062" s="41" t="n">
        <f aca="false">Sens!$O$4053+Sens!$O$4054+Sens!$O$4055-Sens!$O$4058</f>
        <v>0</v>
      </c>
    </row>
    <row r="4063" customFormat="false" ht="17.15" hidden="false" customHeight="false" outlineLevel="0" collapsed="false">
      <c r="A4063" s="1" t="s">
        <v>719</v>
      </c>
    </row>
    <row r="4064" customFormat="false" ht="17.15" hidden="false" customHeight="false" outlineLevel="0" collapsed="false">
      <c r="A4064" s="0" t="s">
        <v>720</v>
      </c>
      <c r="B4064" s="0" t="s">
        <v>86</v>
      </c>
      <c r="C4064" s="38" t="n">
        <f aca="false">Sens!$C$3968*m_ad</f>
        <v>20.5341564414228</v>
      </c>
      <c r="D4064" s="38" t="n">
        <f aca="false">Sens!$D$3968*m_ad</f>
        <v>24.8720617299587</v>
      </c>
      <c r="E4064" s="38" t="n">
        <f aca="false">Sens!$E$3968*m_ad</f>
        <v>13.5017112462207</v>
      </c>
      <c r="F4064" s="38" t="n">
        <f aca="false">Sens!$F$3968*m_ad</f>
        <v>16.5719724165257</v>
      </c>
      <c r="G4064" s="38" t="n">
        <f aca="false">Sens!$G$3968*m_ad</f>
        <v>30.0820919220415</v>
      </c>
      <c r="H4064" s="38" t="n">
        <f aca="false">Sens!$H$3968*m_ad</f>
        <v>35.8894726382161</v>
      </c>
      <c r="I4064" s="38" t="n">
        <f aca="false">Sens!$I$3968*m_ad</f>
        <v>41.3458949392026</v>
      </c>
      <c r="J4064" s="38" t="n">
        <f aca="false">Sens!$J$3968*m_ad</f>
        <v>45.9359934352207</v>
      </c>
      <c r="K4064" s="38" t="n">
        <f aca="false">Sens!$K$3968*m_ad</f>
        <v>49.1515129756862</v>
      </c>
      <c r="L4064" s="38" t="n">
        <f aca="false">Sens!$L$3968*m_ad</f>
        <v>52.5921188839842</v>
      </c>
      <c r="M4064" s="38" t="n">
        <f aca="false">Sens!$M$3968*m_ad</f>
        <v>56.2735672058631</v>
      </c>
      <c r="N4064" s="38" t="n">
        <f aca="false">Sens!$N$3968*m_ad</f>
        <v>10.8543555706248</v>
      </c>
      <c r="O4064" s="38" t="n">
        <f aca="false">Sens!$O$3968*m_ad</f>
        <v>14.0094731821399</v>
      </c>
    </row>
    <row r="4065" customFormat="false" ht="17.15" hidden="false" customHeight="false" outlineLevel="0" collapsed="false">
      <c r="A4065" s="0" t="s">
        <v>721</v>
      </c>
      <c r="B4065" s="0" t="s">
        <v>86</v>
      </c>
      <c r="C4065" s="38" t="n">
        <f aca="false">Sens!$C$3966-Sens!$C$3968</f>
        <v>346.428687117154</v>
      </c>
      <c r="D4065" s="38" t="n">
        <f aca="false">Sens!$D$3966-Sens!$D$3968</f>
        <v>376.560876540083</v>
      </c>
      <c r="E4065" s="38" t="n">
        <f aca="false">Sens!$E$3966-Sens!$E$3968</f>
        <v>193.316577507559</v>
      </c>
      <c r="F4065" s="38" t="n">
        <f aca="false">Sens!$F$3966-Sens!$F$3968</f>
        <v>217.495828647535</v>
      </c>
      <c r="G4065" s="38" t="n">
        <f aca="false">Sens!$G$3966-Sens!$G$3968</f>
        <v>410.795589636503</v>
      </c>
      <c r="H4065" s="38" t="n">
        <f aca="false">Sens!$H$3966-Sens!$H$3968</f>
        <v>449.156813761174</v>
      </c>
      <c r="I4065" s="38" t="n">
        <f aca="false">Sens!$I$3966-Sens!$I$3968</f>
        <v>485.848786441156</v>
      </c>
      <c r="J4065" s="38" t="n">
        <f aca="false">Sens!$J$3966-Sens!$J$3968</f>
        <v>519.841531018994</v>
      </c>
      <c r="K4065" s="38" t="n">
        <f aca="false">Sens!$K$3966-Sens!$K$3968</f>
        <v>550.103332311311</v>
      </c>
      <c r="L4065" s="38" t="n">
        <f aca="false">Sens!$L$3966-Sens!$L$3968</f>
        <v>582.192354474511</v>
      </c>
      <c r="M4065" s="38" t="n">
        <f aca="false">Sens!$M$3966-Sens!$M$3968</f>
        <v>616.22240521081</v>
      </c>
      <c r="N4065" s="38" t="n">
        <f aca="false">Sens!$N$3966-Sens!$N$3968</f>
        <v>171.24628885875</v>
      </c>
      <c r="O4065" s="38" t="n">
        <f aca="false">Sens!$O$3966-Sens!$O$3968</f>
        <v>205.33105363572</v>
      </c>
    </row>
    <row r="4066" customFormat="false" ht="17.15" hidden="false" customHeight="false" outlineLevel="0" collapsed="false">
      <c r="A4066" s="0" t="s">
        <v>722</v>
      </c>
      <c r="B4066" s="0" t="s">
        <v>86</v>
      </c>
      <c r="C4066" s="38" t="n">
        <f aca="false">Sens!$C$4017*Sens!$C$3965</f>
        <v>0.123617442257179</v>
      </c>
      <c r="D4066" s="38" t="n">
        <f aca="false">Sens!$D$4017*Sens!$D$3965</f>
        <v>0.600198046024689</v>
      </c>
      <c r="E4066" s="38" t="n">
        <f aca="false">Sens!$E$4017*Sens!$E$3965</f>
        <v>0.970552432202993</v>
      </c>
      <c r="F4066" s="38" t="n">
        <f aca="false">Sens!$F$4017*Sens!$F$3965</f>
        <v>1.20013524388435</v>
      </c>
      <c r="G4066" s="38" t="n">
        <f aca="false">Sens!$G$4017*Sens!$G$3965</f>
        <v>2.17135369594947</v>
      </c>
      <c r="H4066" s="38" t="n">
        <f aca="false">Sens!$H$4017*Sens!$H$3965</f>
        <v>6.14227489656333</v>
      </c>
      <c r="I4066" s="38" t="n">
        <f aca="false">Sens!$I$4017*Sens!$I$3965</f>
        <v>11.6518054969681</v>
      </c>
      <c r="J4066" s="38" t="n">
        <f aca="false">Sens!$J$4017*Sens!$J$3965</f>
        <v>17.3105301010592</v>
      </c>
      <c r="K4066" s="38" t="n">
        <f aca="false">Sens!$K$4017*Sens!$K$3965</f>
        <v>22.8486728059883</v>
      </c>
      <c r="L4066" s="38" t="n">
        <f aca="false">Sens!$L$4017*Sens!$L$3965</f>
        <v>26.6849171332777</v>
      </c>
      <c r="M4066" s="38" t="n">
        <f aca="false">Sens!$M$4017*Sens!$M$3965</f>
        <v>29.0523240317336</v>
      </c>
      <c r="N4066" s="38" t="n">
        <f aca="false">Sens!$N$4017*Sens!$N$3965</f>
        <v>0.25053229484398</v>
      </c>
      <c r="O4066" s="38" t="n">
        <f aca="false">Sens!$O$4017*Sens!$O$3965</f>
        <v>0.349234376756897</v>
      </c>
    </row>
    <row r="4067" customFormat="false" ht="17.15" hidden="false" customHeight="false" outlineLevel="0" collapsed="false">
      <c r="A4067" s="0" t="s">
        <v>723</v>
      </c>
      <c r="B4067" s="0" t="s">
        <v>52</v>
      </c>
      <c r="C4067" s="28" t="n">
        <f aca="false">(Sens!$C$4068-Sens!$C$4064+Sens!$C$4066)/Sens!$C$4065</f>
        <v>0.0131526665379575</v>
      </c>
      <c r="D4067" s="28" t="n">
        <f aca="false">(Sens!$D$4068-Sens!$D$4064+Sens!$D$4066)/Sens!$D$4065</f>
        <v>0.0141999252954702</v>
      </c>
      <c r="E4067" s="28" t="n">
        <f aca="false">(Sens!$E$4068-Sens!$E$4064+Sens!$E$4066)/Sens!$E$4065</f>
        <v>0.0251341154940129</v>
      </c>
      <c r="F4067" s="28" t="n">
        <f aca="false">Sens!$O$4067+(Sens!$E$4067-Sens!$N$4067)</f>
        <v>0.0217171685713677</v>
      </c>
      <c r="G4067" s="28" t="n">
        <f aca="false">(Sens!$G$4068-Sens!$G$4064+Sens!$G$4066)/Sens!$G$4065</f>
        <v>0.0233071940458981</v>
      </c>
      <c r="H4067" s="28" t="n">
        <f aca="false">Sens!$G$4067+step_na</f>
        <v>0.0263071940458981</v>
      </c>
      <c r="I4067" s="28" t="n">
        <f aca="false">Sens!$H$4067+step_na</f>
        <v>0.0293071940458981</v>
      </c>
      <c r="J4067" s="28" t="n">
        <f aca="false">Sens!$I$4067+step_na</f>
        <v>0.0323071940458981</v>
      </c>
      <c r="K4067" s="28" t="n">
        <f aca="false">Sens!$J$4067+step_na</f>
        <v>0.0353071940458981</v>
      </c>
      <c r="L4067" s="28" t="n">
        <f aca="false">Sens!$K$4067</f>
        <v>0.0353071940458981</v>
      </c>
      <c r="M4067" s="28" t="n">
        <f aca="false">Sens!$L$4067</f>
        <v>0.0353071940458981</v>
      </c>
      <c r="N4067" s="28" t="n">
        <f aca="false">(Sens!$N$4068-Sens!$N$4064+Sens!$N$4066)/Sens!$N$4065</f>
        <v>0.0160831323269779</v>
      </c>
      <c r="O4067" s="28" t="n">
        <f aca="false">(Sens!$O$4068-Sens!$O$4064+Sens!$O$4066)/Sens!$O$4065</f>
        <v>0.0126661854043327</v>
      </c>
      <c r="P4067" s="8" t="s">
        <v>724</v>
      </c>
    </row>
    <row r="4068" customFormat="false" ht="17.15" hidden="false" customHeight="false" outlineLevel="0" collapsed="false">
      <c r="A4068" s="1" t="s">
        <v>725</v>
      </c>
      <c r="B4068" s="8" t="s">
        <v>86</v>
      </c>
      <c r="C4068" s="38" t="n">
        <f aca="false">Q!$D$22</f>
        <v>24.967</v>
      </c>
      <c r="D4068" s="38" t="n">
        <f aca="false">Q!$E$22</f>
        <v>29.619</v>
      </c>
      <c r="E4068" s="38" t="n">
        <f aca="false">Q!$P$22</f>
        <v>17.39</v>
      </c>
      <c r="F4068" s="38" t="n">
        <f aca="false">Sens!$F$4064+Sens!$F$4065*Sens!$F$4067-Sens!$F$4066</f>
        <v>20.0952307469491</v>
      </c>
      <c r="G4068" s="38" t="n">
        <f aca="false">Sens!$E$4068+Sens!$F$4068</f>
        <v>37.4852307469491</v>
      </c>
      <c r="H4068" s="38" t="n">
        <f aca="false">Sens!$H$4064+Sens!$H$4065*Sens!$H$4067-Sens!$H$4066</f>
        <v>41.5632531983053</v>
      </c>
      <c r="I4068" s="38" t="n">
        <f aca="false">Sens!$I$4064+Sens!$I$4065*Sens!$I$4067-Sens!$I$4066</f>
        <v>43.9329541034295</v>
      </c>
      <c r="J4068" s="38" t="n">
        <f aca="false">Sens!$J$4064+Sens!$J$4065*Sens!$J$4067-Sens!$J$4066</f>
        <v>45.4200845499089</v>
      </c>
      <c r="K4068" s="38" t="n">
        <f aca="false">Sens!$K$4064+Sens!$K$4065*Sens!$K$4067-Sens!$K$4066</f>
        <v>45.7254452689085</v>
      </c>
      <c r="L4068" s="38" t="n">
        <f aca="false">Sens!$L$4064+Sens!$L$4065*Sens!$L$4067-Sens!$L$4066</f>
        <v>46.4627801821763</v>
      </c>
      <c r="M4068" s="38" t="n">
        <f aca="false">Sens!$M$4064+Sens!$M$4065*Sens!$M$4067-Sens!$M$4066</f>
        <v>48.9783272103376</v>
      </c>
      <c r="N4068" s="38" t="n">
        <f aca="false">Q!$N$22</f>
        <v>13.358</v>
      </c>
      <c r="O4068" s="38" t="n">
        <f aca="false">Q!$O$22</f>
        <v>16.261</v>
      </c>
    </row>
    <row r="4069" customFormat="false" ht="17.15" hidden="false" customHeight="false" outlineLevel="0" collapsed="false">
      <c r="A4069" s="0" t="s">
        <v>726</v>
      </c>
      <c r="B4069" s="0" t="s">
        <v>86</v>
      </c>
      <c r="C4069" s="38" t="n">
        <f aca="false">Sens!$C$3969*m_ad</f>
        <v>7.57284355857716</v>
      </c>
      <c r="D4069" s="38" t="n">
        <f aca="false">Sens!$D$3969*m_ad</f>
        <v>9.44543827004127</v>
      </c>
      <c r="E4069" s="38" t="n">
        <f aca="false">Sens!$E$3969*m_ad</f>
        <v>5.02428875377928</v>
      </c>
      <c r="F4069" s="38" t="n">
        <f aca="false">Sens!$F$3969*m_ad</f>
        <v>6.50663858068173</v>
      </c>
      <c r="G4069" s="38" t="n">
        <f aca="false">Sens!$G$3969*m_ad</f>
        <v>11.5225190751659</v>
      </c>
      <c r="H4069" s="38" t="n">
        <f aca="false">Sens!$H$3969*m_ad</f>
        <v>13.7469539732536</v>
      </c>
      <c r="I4069" s="38" t="n">
        <f aca="false">Sens!$I$3969*m_ad</f>
        <v>15.8369592231614</v>
      </c>
      <c r="J4069" s="38" t="n">
        <f aca="false">Sens!$J$3969*m_ad</f>
        <v>17.5951314145876</v>
      </c>
      <c r="K4069" s="38" t="n">
        <f aca="false">Sens!$K$3969*m_ad</f>
        <v>18.8267906136088</v>
      </c>
      <c r="L4069" s="38" t="n">
        <f aca="false">Sens!$L$3969*m_ad</f>
        <v>20.1446659565614</v>
      </c>
      <c r="M4069" s="38" t="n">
        <f aca="false">Sens!$M$3969*m_ad</f>
        <v>21.5547925735207</v>
      </c>
      <c r="N4069" s="38" t="n">
        <f aca="false">Sens!$N$3969*m_ad</f>
        <v>3.95314442937518</v>
      </c>
      <c r="O4069" s="38" t="n">
        <f aca="false">Sens!$O$3969*m_ad</f>
        <v>5.50052681786011</v>
      </c>
    </row>
    <row r="4070" customFormat="false" ht="17.15" hidden="false" customHeight="false" outlineLevel="0" collapsed="false">
      <c r="A4070" s="0" t="s">
        <v>727</v>
      </c>
      <c r="B4070" s="0" t="s">
        <v>86</v>
      </c>
      <c r="C4070" s="38" t="n">
        <f aca="false">Sens!$C$3967-Sens!$C$3969</f>
        <v>127.760312882846</v>
      </c>
      <c r="D4070" s="38" t="n">
        <f aca="false">Sens!$D$3967-Sens!$D$3969</f>
        <v>143.003123459917</v>
      </c>
      <c r="E4070" s="38" t="n">
        <f aca="false">Sens!$E$3967-Sens!$E$3969</f>
        <v>71.9374224924414</v>
      </c>
      <c r="F4070" s="38" t="n">
        <f aca="false">Sens!$F$3967-Sens!$F$3969</f>
        <v>85.3951910035875</v>
      </c>
      <c r="G4070" s="38" t="n">
        <f aca="false">Sens!$G$3967-Sens!$G$3969</f>
        <v>157.349430014619</v>
      </c>
      <c r="H4070" s="38" t="n">
        <f aca="false">Sens!$H$3967-Sens!$H$3969</f>
        <v>172.043153372315</v>
      </c>
      <c r="I4070" s="38" t="n">
        <f aca="false">Sens!$I$3967-Sens!$I$3969</f>
        <v>186.097493615879</v>
      </c>
      <c r="J4070" s="38" t="n">
        <f aca="false">Sens!$J$3967-Sens!$J$3969</f>
        <v>199.117932780497</v>
      </c>
      <c r="K4070" s="38" t="n">
        <f aca="false">Sens!$K$3967-Sens!$K$3969</f>
        <v>210.70928698363</v>
      </c>
      <c r="L4070" s="38" t="n">
        <f aca="false">Sens!$L$3967-Sens!$L$3969</f>
        <v>223.000532251317</v>
      </c>
      <c r="M4070" s="38" t="n">
        <f aca="false">Sens!$M$3967-Sens!$M$3969</f>
        <v>236.035261011339</v>
      </c>
      <c r="N4070" s="38" t="n">
        <f aca="false">Sens!$N$3967-Sens!$N$3969</f>
        <v>62.3677111412496</v>
      </c>
      <c r="O4070" s="38" t="n">
        <f aca="false">Sens!$O$3967-Sens!$O$3969</f>
        <v>80.6189463642798</v>
      </c>
    </row>
    <row r="4071" customFormat="false" ht="17.15" hidden="false" customHeight="false" outlineLevel="0" collapsed="false">
      <c r="A4071" s="0" t="s">
        <v>728</v>
      </c>
      <c r="B4071" s="0" t="s">
        <v>86</v>
      </c>
      <c r="C4071" s="38" t="n">
        <f aca="false">Sens!$C$4017*(1-Sens!$C$3965)</f>
        <v>0.0455891896019953</v>
      </c>
      <c r="D4071" s="38" t="n">
        <f aca="false">Sens!$D$4017*(1-Sens!$D$3965)</f>
        <v>0.227931791705753</v>
      </c>
      <c r="E4071" s="38" t="n">
        <f aca="false">Sens!$E$4017*(1-Sens!$E$3965)</f>
        <v>0.361164268820781</v>
      </c>
      <c r="F4071" s="38" t="n">
        <f aca="false">Sens!$F$4017*(1-Sens!$F$3965)</f>
        <v>0.471208018190203</v>
      </c>
      <c r="G4071" s="38" t="n">
        <f aca="false">Sens!$G$4017*(1-Sens!$G$3965)</f>
        <v>0.83170626714885</v>
      </c>
      <c r="H4071" s="38" t="n">
        <f aca="false">Sens!$H$4017*(1-Sens!$H$3965)</f>
        <v>2.35271136874315</v>
      </c>
      <c r="I4071" s="38" t="n">
        <f aca="false">Sens!$I$4017*(1-Sens!$I$3965)</f>
        <v>4.46305900024741</v>
      </c>
      <c r="J4071" s="38" t="n">
        <f aca="false">Sens!$J$4017*(1-Sens!$J$3965)</f>
        <v>6.63055328092195</v>
      </c>
      <c r="K4071" s="38" t="n">
        <f aca="false">Sens!$K$4017*(1-Sens!$K$3965)</f>
        <v>8.75186037365703</v>
      </c>
      <c r="L4071" s="38" t="n">
        <f aca="false">Sens!$L$4017*(1-Sens!$L$3965)</f>
        <v>10.2212794071718</v>
      </c>
      <c r="M4071" s="38" t="n">
        <f aca="false">Sens!$M$4017*(1-Sens!$M$3965)</f>
        <v>11.1280810756472</v>
      </c>
      <c r="N4071" s="38" t="n">
        <f aca="false">Sens!$N$4017*(1-Sens!$N$3965)</f>
        <v>0.0912435878202994</v>
      </c>
      <c r="O4071" s="38" t="n">
        <f aca="false">Sens!$O$4017*(1-Sens!$O$3965)</f>
        <v>0.137119578309265</v>
      </c>
    </row>
    <row r="4072" customFormat="false" ht="17.15" hidden="false" customHeight="false" outlineLevel="0" collapsed="false">
      <c r="A4072" s="0" t="s">
        <v>729</v>
      </c>
      <c r="B4072" s="0" t="s">
        <v>52</v>
      </c>
      <c r="C4072" s="28" t="n">
        <f aca="false">(Sens!$C$4073-Sens!$C$4069+Sens!$C$4071)/Sens!$C$4070</f>
        <v>-0.0292364215826579</v>
      </c>
      <c r="D4072" s="28" t="n">
        <f aca="false">(Sens!$D$4073-Sens!$D$4069+Sens!$D$4071)/Sens!$D$4070</f>
        <v>-0.0312406216748665</v>
      </c>
      <c r="E4072" s="28" t="n">
        <f aca="false">(Sens!$E$4073-Sens!$E$4069+Sens!$E$4071)/Sens!$E$4070</f>
        <v>-0.0211590078184749</v>
      </c>
      <c r="F4072" s="28" t="n">
        <f aca="false">Sens!$O$4072+(Sens!$E$4072-Sens!$N$4072)</f>
        <v>-0.0382539955245511</v>
      </c>
      <c r="G4072" s="28" t="n">
        <f aca="false">(Sens!$G$4073-Sens!$G$4069+Sens!$G$4071)/Sens!$G$4070</f>
        <v>-0.030385172031133</v>
      </c>
      <c r="H4072" s="28" t="n">
        <f aca="false">Sens!$G$4072+step_in</f>
        <v>-0.030385172031133</v>
      </c>
      <c r="I4072" s="28" t="n">
        <f aca="false">Sens!$H$4072+step_in</f>
        <v>-0.030385172031133</v>
      </c>
      <c r="J4072" s="28" t="n">
        <f aca="false">Sens!$I$4072+step_in</f>
        <v>-0.030385172031133</v>
      </c>
      <c r="K4072" s="28" t="n">
        <f aca="false">Sens!$J$4072+step_in</f>
        <v>-0.030385172031133</v>
      </c>
      <c r="L4072" s="28" t="n">
        <f aca="false">Sens!$K$4072</f>
        <v>-0.030385172031133</v>
      </c>
      <c r="M4072" s="28" t="n">
        <f aca="false">Sens!$L$4072</f>
        <v>-0.030385172031133</v>
      </c>
      <c r="N4072" s="28" t="n">
        <f aca="false">(Sens!$N$4073-Sens!$N$4069+Sens!$N$4071)/Sens!$N$4070</f>
        <v>-0.0216602600421776</v>
      </c>
      <c r="O4072" s="28" t="n">
        <f aca="false">(Sens!$O$4073-Sens!$O$4069+Sens!$O$4071)/Sens!$O$4070</f>
        <v>-0.0387552477482538</v>
      </c>
      <c r="P4072" s="8" t="s">
        <v>724</v>
      </c>
    </row>
    <row r="4073" customFormat="false" ht="17.15" hidden="false" customHeight="false" outlineLevel="0" collapsed="false">
      <c r="A4073" s="1" t="s">
        <v>730</v>
      </c>
      <c r="B4073" s="8" t="s">
        <v>86</v>
      </c>
      <c r="C4073" s="38" t="n">
        <f aca="false">Q!$D$23</f>
        <v>3.792</v>
      </c>
      <c r="D4073" s="38" t="n">
        <f aca="false">Q!$E$23</f>
        <v>4.75</v>
      </c>
      <c r="E4073" s="38" t="n">
        <f aca="false">Q!$P$23</f>
        <v>3.141</v>
      </c>
      <c r="F4073" s="38" t="n">
        <f aca="false">Sens!$F$4069+Sens!$F$4070*Sens!$F$4072-Sens!$F$4071</f>
        <v>2.7687233080221</v>
      </c>
      <c r="G4073" s="38" t="n">
        <f aca="false">Sens!$E$4073+Sens!$F$4073</f>
        <v>5.9097233080221</v>
      </c>
      <c r="H4073" s="38" t="n">
        <f aca="false">Sens!$H$4069+Sens!$H$4070*Sens!$H$4072-Sens!$H$4071</f>
        <v>6.16668179251409</v>
      </c>
      <c r="I4073" s="38" t="n">
        <f aca="false">Sens!$I$4069+Sens!$I$4070*Sens!$I$4072-Sens!$I$4071</f>
        <v>5.71929586483287</v>
      </c>
      <c r="J4073" s="38" t="n">
        <f aca="false">Sens!$J$4069+Sens!$J$4070*Sens!$J$4072-Sens!$J$4071</f>
        <v>4.9143454916467</v>
      </c>
      <c r="K4073" s="38" t="n">
        <f aca="false">Sens!$K$4069+Sens!$K$4070*Sens!$K$4072-Sens!$K$4071</f>
        <v>3.67249230639675</v>
      </c>
      <c r="L4073" s="38" t="n">
        <f aca="false">Sens!$L$4069+Sens!$L$4070*Sens!$L$4072-Sens!$L$4071</f>
        <v>3.14747701389905</v>
      </c>
      <c r="M4073" s="38" t="n">
        <f aca="false">Sens!$M$4069+Sens!$M$4070*Sens!$M$4072-Sens!$M$4071</f>
        <v>3.25473948663055</v>
      </c>
      <c r="N4073" s="38" t="n">
        <f aca="false">Q!$N$23</f>
        <v>2.511</v>
      </c>
      <c r="O4073" s="38" t="n">
        <f aca="false">Q!$O$23</f>
        <v>2.239</v>
      </c>
    </row>
    <row r="4074" customFormat="false" ht="17.15" hidden="false" customHeight="false" outlineLevel="0" collapsed="false">
      <c r="A4074" s="0" t="s">
        <v>731</v>
      </c>
      <c r="B4074" s="0" t="s">
        <v>86</v>
      </c>
      <c r="C4074" s="38" t="n">
        <f aca="false">Sens!$C$4014</f>
        <v>1.64417882953695</v>
      </c>
      <c r="D4074" s="38" t="n">
        <f aca="false">Sens!$D$4014</f>
        <v>5.39125073772939</v>
      </c>
      <c r="E4074" s="38" t="n">
        <f aca="false">Sens!$E$4014</f>
        <v>3.18348617147493</v>
      </c>
      <c r="F4074" s="38" t="n">
        <f aca="false">Sens!$F$4014</f>
        <v>8.27806059642226</v>
      </c>
      <c r="G4074" s="38" t="n">
        <f aca="false">Sens!$G$4014</f>
        <v>11.4615467678972</v>
      </c>
      <c r="H4074" s="38" t="n">
        <f aca="false">Sens!$H$4014</f>
        <v>26.1859456885487</v>
      </c>
      <c r="I4074" s="38" t="n">
        <f aca="false">Sens!$I$4014</f>
        <v>37.04424114757</v>
      </c>
      <c r="J4074" s="38" t="n">
        <f aca="false">Sens!$J$4014</f>
        <v>47.2610736233534</v>
      </c>
      <c r="K4074" s="38" t="n">
        <f aca="false">Sens!$K$4014</f>
        <v>52.0459876645985</v>
      </c>
      <c r="L4074" s="38" t="n">
        <f aca="false">Sens!$L$4014</f>
        <v>54.1033156405981</v>
      </c>
      <c r="M4074" s="38" t="n">
        <f aca="false">Sens!$M$4014</f>
        <v>52.1138209393421</v>
      </c>
      <c r="N4074" s="38" t="n">
        <f aca="false">Sens!$N$4014</f>
        <v>1.67921600037079</v>
      </c>
      <c r="O4074" s="38" t="n">
        <f aca="false">Sens!$O$4014</f>
        <v>3.71203473735861</v>
      </c>
    </row>
    <row r="4075" customFormat="false" ht="17.15" hidden="false" customHeight="false" outlineLevel="0" collapsed="false">
      <c r="A4075" s="0" t="s">
        <v>649</v>
      </c>
      <c r="B4075" s="0" t="s">
        <v>86</v>
      </c>
      <c r="C4075" s="38" t="n">
        <f aca="false">Sens!$C$4019</f>
        <v>38.1898211704631</v>
      </c>
      <c r="D4075" s="38" t="n">
        <f aca="false">Sens!$D$4019</f>
        <v>40.2147492622706</v>
      </c>
      <c r="E4075" s="38" t="n">
        <f aca="false">Sens!$E$4019</f>
        <v>27.5985138285251</v>
      </c>
      <c r="F4075" s="38" t="n">
        <f aca="false">Sens!$F$4019</f>
        <v>25.5484769754606</v>
      </c>
      <c r="G4075" s="38" t="n">
        <f aca="false">Sens!$G$4019</f>
        <v>53.1469908039857</v>
      </c>
      <c r="H4075" s="38" t="n">
        <f aca="false">Sens!$H$4019</f>
        <v>57.3189525076539</v>
      </c>
      <c r="I4075" s="38" t="n">
        <f aca="false">Sens!$I$4019</f>
        <v>63.6385627021087</v>
      </c>
      <c r="J4075" s="38" t="n">
        <f aca="false">Sens!$J$4019</f>
        <v>69.6922896066105</v>
      </c>
      <c r="K4075" s="38" t="n">
        <f aca="false">Sens!$K$4019</f>
        <v>75.2676727751394</v>
      </c>
      <c r="L4075" s="38" t="n">
        <f aca="false">Sens!$L$4019</f>
        <v>81.2890865971505</v>
      </c>
      <c r="M4075" s="38" t="n">
        <f aca="false">Sens!$M$4019</f>
        <v>87.7922135249226</v>
      </c>
      <c r="N4075" s="38" t="n">
        <f aca="false">Sens!$N$4019</f>
        <v>20.0277839996292</v>
      </c>
      <c r="O4075" s="38" t="n">
        <f aca="false">Sens!$O$4019</f>
        <v>20.1869652626414</v>
      </c>
    </row>
    <row r="4076" customFormat="false" ht="17.15" hidden="false" customHeight="false" outlineLevel="0" collapsed="false">
      <c r="A4076" s="1" t="s">
        <v>732</v>
      </c>
      <c r="B4076" s="8" t="s">
        <v>86</v>
      </c>
      <c r="C4076" s="38" t="n">
        <f aca="false">Q!$D$24</f>
        <v>39.834</v>
      </c>
      <c r="D4076" s="38" t="n">
        <f aca="false">Q!$E$24</f>
        <v>45.606</v>
      </c>
      <c r="E4076" s="38" t="n">
        <f aca="false">Q!$P$24</f>
        <v>30.782</v>
      </c>
      <c r="F4076" s="38" t="n">
        <f aca="false">Sens!$F$4074+Sens!$F$4075</f>
        <v>33.8265375718829</v>
      </c>
      <c r="G4076" s="38" t="n">
        <f aca="false">Sens!$G$4074+Sens!$G$4075</f>
        <v>64.6085375718829</v>
      </c>
      <c r="H4076" s="38" t="n">
        <f aca="false">Sens!$H$4074+Sens!$H$4075</f>
        <v>83.5048981962026</v>
      </c>
      <c r="I4076" s="38" t="n">
        <f aca="false">Sens!$I$4074+Sens!$I$4075</f>
        <v>100.682803849679</v>
      </c>
      <c r="J4076" s="38" t="n">
        <f aca="false">Sens!$J$4074+Sens!$J$4075</f>
        <v>116.953363229964</v>
      </c>
      <c r="K4076" s="38" t="n">
        <f aca="false">Sens!$K$4074+Sens!$K$4075</f>
        <v>127.313660439738</v>
      </c>
      <c r="L4076" s="38" t="n">
        <f aca="false">Sens!$L$4074+Sens!$L$4075</f>
        <v>135.392402237749</v>
      </c>
      <c r="M4076" s="38" t="n">
        <f aca="false">Sens!$M$4074+Sens!$M$4075</f>
        <v>139.906034464265</v>
      </c>
      <c r="N4076" s="38" t="n">
        <f aca="false">Q!$N$24</f>
        <v>21.707</v>
      </c>
      <c r="O4076" s="38" t="n">
        <f aca="false">Q!$O$24</f>
        <v>23.899</v>
      </c>
    </row>
    <row r="4077" customFormat="false" ht="17.15" hidden="false" customHeight="false" outlineLevel="0" collapsed="false">
      <c r="A4077" s="5" t="s">
        <v>733</v>
      </c>
      <c r="B4077" s="0" t="s">
        <v>86</v>
      </c>
      <c r="C4077" s="38" t="n">
        <f aca="false">Q!$D$26</f>
        <v>0</v>
      </c>
      <c r="D4077" s="38" t="n">
        <f aca="false">Q!$E$26</f>
        <v>0</v>
      </c>
      <c r="E4077" s="38" t="n">
        <f aca="false">Q!$P$26</f>
        <v>0</v>
      </c>
      <c r="F4077" s="39" t="n">
        <v>0</v>
      </c>
      <c r="G4077" s="38" t="n">
        <f aca="false">Sens!$E$4077+Sens!$F$4077</f>
        <v>0</v>
      </c>
      <c r="H4077" s="39" t="n">
        <v>0</v>
      </c>
      <c r="I4077" s="39" t="n">
        <v>0</v>
      </c>
      <c r="J4077" s="39" t="n">
        <v>0</v>
      </c>
      <c r="K4077" s="39" t="n">
        <v>0</v>
      </c>
      <c r="L4077" s="39" t="n">
        <v>0</v>
      </c>
      <c r="M4077" s="39" t="n">
        <v>0</v>
      </c>
      <c r="N4077" s="38" t="n">
        <f aca="false">Q!$N$26</f>
        <v>0</v>
      </c>
      <c r="O4077" s="38" t="n">
        <f aca="false">Q!$O$26</f>
        <v>0</v>
      </c>
    </row>
    <row r="4078" customFormat="false" ht="15" hidden="false" customHeight="false" outlineLevel="0" collapsed="false">
      <c r="A4078" s="3" t="s">
        <v>534</v>
      </c>
      <c r="B4078" s="8" t="s">
        <v>86</v>
      </c>
      <c r="C4078" s="38" t="n">
        <f aca="false">Q!$D$25</f>
        <v>68.593</v>
      </c>
      <c r="D4078" s="38" t="n">
        <f aca="false">Q!$E$25</f>
        <v>79.975</v>
      </c>
      <c r="E4078" s="38" t="n">
        <f aca="false">Q!$P$25</f>
        <v>51.313</v>
      </c>
      <c r="F4078" s="38" t="n">
        <f aca="false">Sens!$F$4068+Sens!$F$4073+Sens!$F$4076+Sens!$F$4077</f>
        <v>56.6904916268541</v>
      </c>
      <c r="G4078" s="38" t="n">
        <f aca="false">Sens!$G$4068+Sens!$G$4073+Sens!$G$4076+Sens!$G$4077</f>
        <v>108.003491626854</v>
      </c>
      <c r="H4078" s="38" t="n">
        <f aca="false">Sens!$H$4068+Sens!$H$4073+Sens!$H$4076+Sens!$H$4077</f>
        <v>131.234833187022</v>
      </c>
      <c r="I4078" s="38" t="n">
        <f aca="false">Sens!$I$4068+Sens!$I$4073+Sens!$I$4076+Sens!$I$4077</f>
        <v>150.335053817941</v>
      </c>
      <c r="J4078" s="38" t="n">
        <f aca="false">Sens!$J$4068+Sens!$J$4073+Sens!$J$4076+Sens!$J$4077</f>
        <v>167.287793271519</v>
      </c>
      <c r="K4078" s="38" t="n">
        <f aca="false">Sens!$K$4068+Sens!$K$4073+Sens!$K$4076+Sens!$K$4077</f>
        <v>176.711598015043</v>
      </c>
      <c r="L4078" s="38" t="n">
        <f aca="false">Sens!$L$4068+Sens!$L$4073+Sens!$L$4076+Sens!$L$4077</f>
        <v>185.002659433824</v>
      </c>
      <c r="M4078" s="38" t="n">
        <f aca="false">Sens!$M$4068+Sens!$M$4073+Sens!$M$4076+Sens!$M$4077</f>
        <v>192.139101161233</v>
      </c>
      <c r="N4078" s="38" t="n">
        <f aca="false">Q!$N$25</f>
        <v>37.576</v>
      </c>
      <c r="O4078" s="38" t="n">
        <f aca="false">Q!$O$25</f>
        <v>42.399</v>
      </c>
    </row>
    <row r="4079" customFormat="false" ht="17.15" hidden="false" customHeight="false" outlineLevel="0" collapsed="false">
      <c r="A4079" s="24" t="s">
        <v>764</v>
      </c>
      <c r="B4079" s="25" t="s">
        <v>86</v>
      </c>
      <c r="C4079" s="41" t="n">
        <f aca="false">Sens!$C$4068+Sens!$C$4073+Sens!$C$4076+Sens!$C$4077-Sens!$C$4078</f>
        <v>0</v>
      </c>
      <c r="D4079" s="41" t="n">
        <f aca="false">Sens!$D$4068+Sens!$D$4073+Sens!$D$4076+Sens!$D$4077-Sens!$D$4078</f>
        <v>0</v>
      </c>
      <c r="E4079" s="41" t="n">
        <f aca="false">Sens!$E$4068+Sens!$E$4073+Sens!$E$4076+Sens!$E$4077-Sens!$E$4078</f>
        <v>0</v>
      </c>
      <c r="F4079" s="41" t="n">
        <f aca="false">Sens!$F$4068+Sens!$F$4073+Sens!$F$4076+Sens!$F$4077-Sens!$F$4078</f>
        <v>0</v>
      </c>
      <c r="G4079" s="41" t="n">
        <f aca="false">Sens!$G$4068+Sens!$G$4073+Sens!$G$4076+Sens!$G$4077-Sens!$G$4078</f>
        <v>0</v>
      </c>
      <c r="H4079" s="41" t="n">
        <f aca="false">Sens!$H$4068+Sens!$H$4073+Sens!$H$4076+Sens!$H$4077-Sens!$H$4078</f>
        <v>0</v>
      </c>
      <c r="I4079" s="41" t="n">
        <f aca="false">Sens!$I$4068+Sens!$I$4073+Sens!$I$4076+Sens!$I$4077-Sens!$I$4078</f>
        <v>0</v>
      </c>
      <c r="J4079" s="41" t="n">
        <f aca="false">Sens!$J$4068+Sens!$J$4073+Sens!$J$4076+Sens!$J$4077-Sens!$J$4078</f>
        <v>0</v>
      </c>
      <c r="K4079" s="41" t="n">
        <f aca="false">Sens!$K$4068+Sens!$K$4073+Sens!$K$4076+Sens!$K$4077-Sens!$K$4078</f>
        <v>0</v>
      </c>
      <c r="L4079" s="41" t="n">
        <f aca="false">Sens!$L$4068+Sens!$L$4073+Sens!$L$4076+Sens!$L$4077-Sens!$L$4078</f>
        <v>0</v>
      </c>
      <c r="M4079" s="41" t="n">
        <f aca="false">Sens!$M$4068+Sens!$M$4073+Sens!$M$4076+Sens!$M$4077-Sens!$M$4078</f>
        <v>0</v>
      </c>
      <c r="N4079" s="41" t="n">
        <f aca="false">Sens!$N$4068+Sens!$N$4073+Sens!$N$4076+Sens!$N$4077-Sens!$N$4078</f>
        <v>0</v>
      </c>
      <c r="O4079" s="41" t="n">
        <f aca="false">Sens!$O$4068+Sens!$O$4073+Sens!$O$4076+Sens!$O$4077-Sens!$O$4078</f>
        <v>0</v>
      </c>
    </row>
    <row r="4080" customFormat="false" ht="17.15" hidden="false" customHeight="false" outlineLevel="0" collapsed="false">
      <c r="A4080" s="5" t="s">
        <v>735</v>
      </c>
      <c r="B4080" s="0" t="s">
        <v>86</v>
      </c>
      <c r="C4080" s="38" t="n">
        <f aca="false">Sens!$C$4016</f>
        <v>0</v>
      </c>
      <c r="D4080" s="38" t="n">
        <f aca="false">Sens!$D$4016</f>
        <v>0</v>
      </c>
      <c r="E4080" s="38" t="n">
        <f aca="false">Sens!$E$4016</f>
        <v>0</v>
      </c>
      <c r="F4080" s="38" t="n">
        <f aca="false">Sens!$F$4016</f>
        <v>3.77122048175818</v>
      </c>
      <c r="G4080" s="38" t="n">
        <f aca="false">Sens!$G$4016</f>
        <v>3.77122048175818</v>
      </c>
      <c r="H4080" s="38" t="n">
        <f aca="false">Sens!$H$4016</f>
        <v>15.1635543609893</v>
      </c>
      <c r="I4080" s="38" t="n">
        <f aca="false">Sens!$I$4016</f>
        <v>25.5818843619889</v>
      </c>
      <c r="J4080" s="38" t="n">
        <f aca="false">Sens!$J$4016</f>
        <v>36.0465624179122</v>
      </c>
      <c r="K4080" s="38" t="n">
        <f aca="false">Sens!$K$4016</f>
        <v>44.9741164026038</v>
      </c>
      <c r="L4080" s="38" t="n">
        <f aca="false">Sens!$L$4016</f>
        <v>50.8413488057813</v>
      </c>
      <c r="M4080" s="38" t="n">
        <f aca="false">Sens!$M$4016</f>
        <v>53.6407214274315</v>
      </c>
      <c r="N4080" s="38" t="n">
        <f aca="false">Sens!$N$4016</f>
        <v>0</v>
      </c>
      <c r="O4080" s="38" t="n">
        <f aca="false">Sens!$O$4016</f>
        <v>0</v>
      </c>
      <c r="P4080" s="5" t="s">
        <v>736</v>
      </c>
    </row>
    <row r="4081" customFormat="false" ht="17.15" hidden="false" customHeight="false" outlineLevel="0" collapsed="false">
      <c r="A4081" s="5" t="s">
        <v>737</v>
      </c>
      <c r="B4081" s="0" t="s">
        <v>86</v>
      </c>
      <c r="C4081" s="38" t="n">
        <f aca="false">Sens!$C$4078+Sens!$C$4080</f>
        <v>68.593</v>
      </c>
      <c r="D4081" s="38" t="n">
        <f aca="false">Sens!$D$4078+Sens!$D$4080</f>
        <v>79.975</v>
      </c>
      <c r="E4081" s="38" t="n">
        <f aca="false">Sens!$E$4078+Sens!$E$4080</f>
        <v>51.313</v>
      </c>
      <c r="F4081" s="38" t="n">
        <f aca="false">Sens!$F$4078+Sens!$F$4080</f>
        <v>60.4617121086123</v>
      </c>
      <c r="G4081" s="38" t="n">
        <f aca="false">Sens!$G$4078+Sens!$G$4080</f>
        <v>111.774712108612</v>
      </c>
      <c r="H4081" s="38" t="n">
        <f aca="false">Sens!$H$4078+Sens!$H$4080</f>
        <v>146.398387548011</v>
      </c>
      <c r="I4081" s="38" t="n">
        <f aca="false">Sens!$I$4078+Sens!$I$4080</f>
        <v>175.91693817993</v>
      </c>
      <c r="J4081" s="38" t="n">
        <f aca="false">Sens!$J$4078+Sens!$J$4080</f>
        <v>203.334355689432</v>
      </c>
      <c r="K4081" s="38" t="n">
        <f aca="false">Sens!$K$4078+Sens!$K$4080</f>
        <v>221.685714417647</v>
      </c>
      <c r="L4081" s="38" t="n">
        <f aca="false">Sens!$L$4078+Sens!$L$4080</f>
        <v>235.844008239605</v>
      </c>
      <c r="M4081" s="38" t="n">
        <f aca="false">Sens!$M$4078+Sens!$M$4080</f>
        <v>245.779822588664</v>
      </c>
      <c r="N4081" s="38" t="n">
        <f aca="false">Sens!$N$4078+Sens!$N$4080</f>
        <v>37.576</v>
      </c>
      <c r="O4081" s="38" t="n">
        <f aca="false">Sens!$O$4078+Sens!$O$4080</f>
        <v>42.399</v>
      </c>
    </row>
    <row r="4082" customFormat="false" ht="17.15" hidden="false" customHeight="false" outlineLevel="0" collapsed="false">
      <c r="A4082" s="0" t="s">
        <v>738</v>
      </c>
      <c r="B4082" s="0" t="s">
        <v>52</v>
      </c>
      <c r="C4082" s="13" t="n">
        <f aca="false">Sens!$C$4068/Sens!$C$4053</f>
        <v>0.0644314665661928</v>
      </c>
      <c r="D4082" s="13" t="n">
        <f aca="false">Sens!$D$4068/Sens!$D$4053</f>
        <v>0.0694784250712518</v>
      </c>
      <c r="E4082" s="13" t="n">
        <f aca="false">Sens!$E$4068/Sens!$E$4053</f>
        <v>0.0789306463326071</v>
      </c>
      <c r="F4082" s="13" t="n">
        <f aca="false">Sens!$F$4068/Sens!$F$4053</f>
        <v>0.0801757457241943</v>
      </c>
      <c r="G4082" s="13" t="n">
        <f aca="false">Sens!$G$4068/Sens!$G$4053</f>
        <v>0.0795932749625682</v>
      </c>
      <c r="H4082" s="13" t="n">
        <f aca="false">Sens!$H$4068/Sens!$H$4053</f>
        <v>0.0797857556852895</v>
      </c>
      <c r="I4082" s="13" t="n">
        <f aca="false">Sens!$I$4068/Sens!$I$4053</f>
        <v>0.0772732078118836</v>
      </c>
      <c r="J4082" s="13" t="n">
        <f aca="false">Sens!$J$4068/Sens!$J$4053</f>
        <v>0.074250581721031</v>
      </c>
      <c r="K4082" s="13" t="n">
        <f aca="false">Sens!$K$4068/Sens!$K$4053</f>
        <v>0.0705197360979366</v>
      </c>
      <c r="L4082" s="13" t="n">
        <f aca="false">Sens!$L$4068/Sens!$L$4053</f>
        <v>0.0675943590551976</v>
      </c>
      <c r="M4082" s="13" t="n">
        <f aca="false">Sens!$M$4068/Sens!$M$4053</f>
        <v>0.0672068802926448</v>
      </c>
      <c r="N4082" s="13" t="n">
        <f aca="false">Sens!$N$4068/Sens!$N$4053</f>
        <v>0.069228576611127</v>
      </c>
      <c r="O4082" s="13" t="n">
        <f aca="false">Sens!$O$4068/Sens!$O$4053</f>
        <v>0.069685022498393</v>
      </c>
    </row>
    <row r="4083" customFormat="false" ht="17.15" hidden="false" customHeight="false" outlineLevel="0" collapsed="false">
      <c r="A4083" s="0" t="s">
        <v>739</v>
      </c>
      <c r="B4083" s="0" t="s">
        <v>52</v>
      </c>
      <c r="C4083" s="13" t="n">
        <f aca="false">Sens!$C$4073/Sens!$C$4054</f>
        <v>0.026534925055631</v>
      </c>
      <c r="D4083" s="13" t="n">
        <f aca="false">Sens!$D$4073/Sens!$D$4054</f>
        <v>0.0293401855535103</v>
      </c>
      <c r="E4083" s="13" t="n">
        <f aca="false">Sens!$E$4073/Sens!$E$4054</f>
        <v>0.03831141902276</v>
      </c>
      <c r="F4083" s="13" t="n">
        <f aca="false">Sens!$F$4073/Sens!$F$4054</f>
        <v>0.0281350107328284</v>
      </c>
      <c r="G4083" s="13" t="n">
        <f aca="false">Sens!$G$4073/Sens!$G$4054</f>
        <v>0.0327600029432073</v>
      </c>
      <c r="H4083" s="13" t="n">
        <f aca="false">Sens!$H$4073/Sens!$H$4054</f>
        <v>0.0309049444336605</v>
      </c>
      <c r="I4083" s="13" t="n">
        <f aca="false">Sens!$I$4073/Sens!$I$4054</f>
        <v>0.0262628405201288</v>
      </c>
      <c r="J4083" s="13" t="n">
        <f aca="false">Sens!$J$4073/Sens!$J$4054</f>
        <v>0.0209738523181382</v>
      </c>
      <c r="K4083" s="13" t="n">
        <f aca="false">Sens!$K$4073/Sens!$K$4054</f>
        <v>0.014786800993452</v>
      </c>
      <c r="L4083" s="13" t="n">
        <f aca="false">Sens!$L$4073/Sens!$L$4054</f>
        <v>0.0119544177057013</v>
      </c>
      <c r="M4083" s="13" t="n">
        <f aca="false">Sens!$M$4073/Sens!$M$4054</f>
        <v>0.0116596796660322</v>
      </c>
      <c r="N4083" s="13" t="n">
        <f aca="false">Sens!$N$4073/Sens!$N$4054</f>
        <v>0.0357315650169337</v>
      </c>
      <c r="O4083" s="13" t="n">
        <f aca="false">Sens!$O$4073/Sens!$O$4054</f>
        <v>0.0244378956559703</v>
      </c>
    </row>
    <row r="4084" customFormat="false" ht="17.15" hidden="false" customHeight="false" outlineLevel="0" collapsed="false">
      <c r="A4084" s="14" t="s">
        <v>740</v>
      </c>
      <c r="B4084" s="14" t="s">
        <v>52</v>
      </c>
      <c r="C4084" s="17" t="n">
        <f aca="false">Sens!$C$4076/Sens!$C$4055</f>
        <v>0.370355907620217</v>
      </c>
      <c r="D4084" s="17" t="n">
        <f aca="false">Sens!$D$4076/Sens!$D$4055</f>
        <v>0.35429015342785</v>
      </c>
      <c r="E4084" s="17" t="n">
        <f aca="false">Sens!$E$4076/Sens!$E$4055</f>
        <v>0.385647527531039</v>
      </c>
      <c r="F4084" s="17" t="n">
        <f aca="false">Sens!$F$4076/Sens!$F$4055</f>
        <v>0.390008895496028</v>
      </c>
      <c r="G4084" s="17" t="n">
        <f aca="false">Sens!$G$4076/Sens!$G$4055</f>
        <v>0.387918733944362</v>
      </c>
      <c r="H4084" s="17" t="n">
        <f aca="false">Sens!$H$4076/Sens!$H$4055</f>
        <v>0.377537651365497</v>
      </c>
      <c r="I4084" s="17" t="n">
        <f aca="false">Sens!$I$4076/Sens!$I$4055</f>
        <v>0.359230604038662</v>
      </c>
      <c r="J4084" s="17" t="n">
        <f aca="false">Sens!$J$4076/Sens!$J$4055</f>
        <v>0.345197865849801</v>
      </c>
      <c r="K4084" s="17" t="n">
        <f aca="false">Sens!$K$4076/Sens!$K$4055</f>
        <v>0.32654098357242</v>
      </c>
      <c r="L4084" s="17" t="n">
        <f aca="false">Sens!$L$4076/Sens!$L$4055</f>
        <v>0.314806978274702</v>
      </c>
      <c r="M4084" s="17" t="n">
        <f aca="false">Sens!$M$4076/Sens!$M$4055</f>
        <v>0.304503505485029</v>
      </c>
      <c r="N4084" s="17" t="n">
        <f aca="false">Sens!$N$4076/Sens!$N$4055</f>
        <v>0.360941137346192</v>
      </c>
      <c r="O4084" s="17" t="n">
        <f aca="false">Sens!$O$4076/Sens!$O$4055</f>
        <v>0.348458117664212</v>
      </c>
    </row>
    <row r="4085" customFormat="false" ht="17.15" hidden="false" customHeight="false" outlineLevel="0" collapsed="false">
      <c r="A4085" s="0" t="s">
        <v>741</v>
      </c>
      <c r="B4085" s="0" t="s">
        <v>52</v>
      </c>
      <c r="C4085" s="13" t="n">
        <f aca="false">Sens!$C$4074/Sens!$C$4056</f>
        <v>0.708390794789371</v>
      </c>
      <c r="D4085" s="13" t="n">
        <f aca="false">Sens!$D$4074/Sens!$D$4056</f>
        <v>0.619415573115729</v>
      </c>
      <c r="E4085" s="13" t="n">
        <f aca="false">Sens!$E$4074/Sens!$E$4056</f>
        <v>0.374072166056273</v>
      </c>
      <c r="F4085" s="13" t="n">
        <f aca="false">Sens!$F$4074/Sens!$F$4056</f>
        <v>0.553219320710057</v>
      </c>
      <c r="G4085" s="13" t="n">
        <f aca="false">Sens!$G$4074/Sens!$G$4056</f>
        <v>0.488270041527512</v>
      </c>
      <c r="H4085" s="13" t="n">
        <f aca="false">Sens!$H$4074/Sens!$H$4056</f>
        <v>0.435229086816882</v>
      </c>
      <c r="I4085" s="13" t="n">
        <f aca="false">Sens!$I$4074/Sens!$I$4056</f>
        <v>0.364954592421095</v>
      </c>
      <c r="J4085" s="13" t="n">
        <f aca="false">Sens!$J$4074/Sens!$J$4056</f>
        <v>0.330438308582232</v>
      </c>
      <c r="K4085" s="13" t="n">
        <f aca="false">Sens!$K$4074/Sens!$K$4056</f>
        <v>0.2916589289528</v>
      </c>
      <c r="L4085" s="13" t="n">
        <f aca="false">Sens!$L$4074/Sens!$L$4056</f>
        <v>0.268199200593258</v>
      </c>
      <c r="M4085" s="13" t="n">
        <f aca="false">Sens!$M$4074/Sens!$M$4056</f>
        <v>0.244854995033574</v>
      </c>
      <c r="N4085" s="13" t="n">
        <f aca="false">Sens!$N$4074/Sens!$N$4056</f>
        <v>0.551227795793364</v>
      </c>
      <c r="O4085" s="13" t="n">
        <f aca="false">Sens!$O$4074/Sens!$O$4056</f>
        <v>0.656132068597002</v>
      </c>
    </row>
    <row r="4086" customFormat="false" ht="15" hidden="false" customHeight="false" outlineLevel="0" collapsed="false">
      <c r="A4086" s="5" t="s">
        <v>742</v>
      </c>
      <c r="B4086" s="0" t="s">
        <v>52</v>
      </c>
      <c r="C4086" s="13" t="n">
        <f aca="false">Sens!$C$4078/Sens!$C$4058</f>
        <v>0.107519448742004</v>
      </c>
      <c r="D4086" s="13" t="n">
        <f aca="false">Sens!$D$4078/Sens!$D$4058</f>
        <v>0.111552967957552</v>
      </c>
      <c r="E4086" s="13" t="n">
        <f aca="false">Sens!$E$4078/Sens!$E$4058</f>
        <v>0.13428328426562</v>
      </c>
      <c r="F4086" s="13" t="n">
        <f aca="false">Sens!$F$4078/Sens!$F$4058</f>
        <v>0.130089413875539</v>
      </c>
      <c r="G4086" s="13" t="n">
        <f aca="false">Sens!$G$4078/Sens!$G$4058</f>
        <v>0.132048786678316</v>
      </c>
      <c r="H4086" s="13" t="n">
        <f aca="false">Sens!$H$4078/Sens!$H$4058</f>
        <v>0.139366034631311</v>
      </c>
      <c r="I4086" s="13" t="n">
        <f aca="false">Sens!$I$4078/Sens!$I$4058</f>
        <v>0.140949845354821</v>
      </c>
      <c r="J4086" s="13" t="n">
        <f aca="false">Sens!$J$4078/Sens!$J$4058</f>
        <v>0.141192263706024</v>
      </c>
      <c r="K4086" s="13" t="n">
        <f aca="false">Sens!$K$4078/Sens!$K$4058</f>
        <v>0.137341873237997</v>
      </c>
      <c r="L4086" s="13" t="n">
        <f aca="false">Sens!$L$4078/Sens!$L$4058</f>
        <v>0.133987356047368</v>
      </c>
      <c r="M4086" s="13" t="n">
        <f aca="false">Sens!$M$4078/Sens!$M$4058</f>
        <v>0.130941084900797</v>
      </c>
      <c r="N4086" s="13" t="n">
        <f aca="false">Sens!$N$4078/Sens!$N$4058</f>
        <v>0.116201614873411</v>
      </c>
      <c r="O4086" s="13" t="n">
        <f aca="false">Sens!$O$4078/Sens!$O$4058</f>
        <v>0.107733353660861</v>
      </c>
    </row>
    <row r="4087" customFormat="false" ht="17.15" hidden="false" customHeight="false" outlineLevel="0" collapsed="false">
      <c r="A4087" s="1" t="s">
        <v>743</v>
      </c>
    </row>
    <row r="4088" customFormat="false" ht="17.15" hidden="false" customHeight="false" outlineLevel="0" collapsed="false">
      <c r="A4088" s="5" t="s">
        <v>744</v>
      </c>
      <c r="B4088" s="0" t="s">
        <v>52</v>
      </c>
      <c r="D4088" s="28" t="n">
        <f aca="false">(Q!$E$29+Q!$E$30-(1-ext_sh)*Sens!$D$4010)/Sens!$D$3964</f>
        <v>0.0341105596409988</v>
      </c>
    </row>
    <row r="4089" customFormat="false" ht="17.15" hidden="false" customHeight="false" outlineLevel="0" collapsed="false">
      <c r="A4089" s="0" t="s">
        <v>538</v>
      </c>
      <c r="B4089" s="0" t="s">
        <v>86</v>
      </c>
      <c r="C4089" s="38" t="n">
        <f aca="false">Q!$D$29</f>
        <v>14.285</v>
      </c>
      <c r="D4089" s="38" t="n">
        <f aca="false">Q!$E$29</f>
        <v>15.503</v>
      </c>
      <c r="E4089" s="38" t="n">
        <f aca="false">Q!$P$29</f>
        <v>8.78</v>
      </c>
      <c r="F4089" s="38" t="n">
        <f aca="false">(Sens!$D$4088*Sens!$F$3964+(1-ext_sh)*Sens!$F$4010)*Sens!$F$3965</f>
        <v>9.16735846116642</v>
      </c>
      <c r="G4089" s="38" t="n">
        <f aca="false">Sens!$E$4089+Sens!$F$4089</f>
        <v>17.9473584611664</v>
      </c>
      <c r="H4089" s="38" t="n">
        <f aca="false">(Sens!$D$4088*Sens!$H$3964+(1-ext_sh)*Sens!$H$4010)*Sens!$H$3965</f>
        <v>21.6252805561582</v>
      </c>
      <c r="I4089" s="38" t="n">
        <f aca="false">(Sens!$D$4088*Sens!$I$3964+(1-ext_sh)*Sens!$I$4010)*Sens!$I$3965</f>
        <v>27.2581325534095</v>
      </c>
      <c r="J4089" s="38" t="n">
        <f aca="false">(Sens!$D$4088*Sens!$J$3964+(1-ext_sh)*Sens!$J$4010)*Sens!$J$3965</f>
        <v>32.8862303506078</v>
      </c>
      <c r="K4089" s="38" t="n">
        <f aca="false">(Sens!$D$4088*Sens!$K$3964+(1-ext_sh)*Sens!$K$4010)*Sens!$K$3965</f>
        <v>38.3930083036355</v>
      </c>
      <c r="L4089" s="38" t="n">
        <f aca="false">(Sens!$D$4088*Sens!$L$3964+(1-ext_sh)*Sens!$L$4010)*Sens!$L$3965</f>
        <v>42.71534125767</v>
      </c>
      <c r="M4089" s="38" t="n">
        <f aca="false">(Sens!$D$4088*Sens!$M$3964+(1-ext_sh)*Sens!$M$4010)*Sens!$M$3965</f>
        <v>46.091698345528</v>
      </c>
      <c r="N4089" s="38" t="n">
        <f aca="false">Q!$N$29</f>
        <v>7.272</v>
      </c>
      <c r="O4089" s="38" t="n">
        <f aca="false">Q!$O$29</f>
        <v>8.231</v>
      </c>
    </row>
    <row r="4090" customFormat="false" ht="17.15" hidden="false" customHeight="false" outlineLevel="0" collapsed="false">
      <c r="A4090" s="0" t="s">
        <v>540</v>
      </c>
      <c r="B4090" s="0" t="s">
        <v>86</v>
      </c>
      <c r="C4090" s="38" t="n">
        <f aca="false">Q!$D$30</f>
        <v>4.462</v>
      </c>
      <c r="D4090" s="38" t="n">
        <f aca="false">Q!$E$30</f>
        <v>4.907</v>
      </c>
      <c r="E4090" s="38" t="n">
        <f aca="false">Q!$P$30</f>
        <v>2.57</v>
      </c>
      <c r="F4090" s="38" t="n">
        <f aca="false">(Sens!$D$4088*Sens!$F$3964+(1-ext_sh)*Sens!$F$4010)*(1-Sens!$F$3965)</f>
        <v>3.59937168293151</v>
      </c>
      <c r="G4090" s="38" t="n">
        <f aca="false">Sens!$E$4090+Sens!$F$4090</f>
        <v>6.16937168293151</v>
      </c>
      <c r="H4090" s="38" t="n">
        <f aca="false">(Sens!$D$4088*Sens!$H$3964+(1-ext_sh)*Sens!$H$4010)*(1-Sens!$H$3965)</f>
        <v>8.2832573067025</v>
      </c>
      <c r="I4090" s="38" t="n">
        <f aca="false">(Sens!$D$4088*Sens!$I$3964+(1-ext_sh)*Sens!$I$4010)*(1-Sens!$I$3965)</f>
        <v>10.4408414519181</v>
      </c>
      <c r="J4090" s="38" t="n">
        <f aca="false">(Sens!$D$4088*Sens!$J$3964+(1-ext_sh)*Sens!$J$4010)*(1-Sens!$J$3965)</f>
        <v>12.596604568166</v>
      </c>
      <c r="K4090" s="38" t="n">
        <f aca="false">(Sens!$D$4088*Sens!$K$3964+(1-ext_sh)*Sens!$K$4010)*(1-Sens!$K$3965)</f>
        <v>14.7058978370949</v>
      </c>
      <c r="L4090" s="38" t="n">
        <f aca="false">(Sens!$D$4088*Sens!$L$3964+(1-ext_sh)*Sens!$L$4010)*(1-Sens!$L$3965)</f>
        <v>16.3615062316557</v>
      </c>
      <c r="M4090" s="38" t="n">
        <f aca="false">(Sens!$D$4088*Sens!$M$3964+(1-ext_sh)*Sens!$M$4010)*(1-Sens!$M$3965)</f>
        <v>17.6547719742854</v>
      </c>
      <c r="N4090" s="38" t="n">
        <f aca="false">Q!$N$30</f>
        <v>2.316</v>
      </c>
      <c r="O4090" s="38" t="n">
        <f aca="false">Q!$O$30</f>
        <v>2.591</v>
      </c>
    </row>
    <row r="4091" customFormat="false" ht="17.15" hidden="false" customHeight="false" outlineLevel="0" collapsed="false">
      <c r="A4091" s="0" t="s">
        <v>541</v>
      </c>
      <c r="B4091" s="0" t="s">
        <v>86</v>
      </c>
      <c r="C4091" s="38" t="n">
        <f aca="false">Sens!$C$4022</f>
        <v>13.32</v>
      </c>
      <c r="D4091" s="38" t="n">
        <f aca="false">Sens!$D$4022</f>
        <v>21.45</v>
      </c>
      <c r="E4091" s="38" t="n">
        <f aca="false">Sens!$E$4022</f>
        <v>15.353</v>
      </c>
      <c r="F4091" s="38" t="n">
        <f aca="false">Sens!$F$4022</f>
        <v>15.4404120185306</v>
      </c>
      <c r="G4091" s="38" t="n">
        <f aca="false">Sens!$G$4022</f>
        <v>30.7934120185306</v>
      </c>
      <c r="H4091" s="38" t="n">
        <f aca="false">Sens!$H$4022</f>
        <v>48.250114371455</v>
      </c>
      <c r="I4091" s="38" t="n">
        <f aca="false">Sens!$I$4022</f>
        <v>73.3965146995963</v>
      </c>
      <c r="J4091" s="38" t="n">
        <f aca="false">Sens!$J$4022</f>
        <v>99.22806138309</v>
      </c>
      <c r="K4091" s="38" t="n">
        <f aca="false">Sens!$K$4022</f>
        <v>125.386627452856</v>
      </c>
      <c r="L4091" s="38" t="n">
        <f aca="false">Sens!$L$4022</f>
        <v>144.77239043275</v>
      </c>
      <c r="M4091" s="38" t="n">
        <f aca="false">Sens!$M$4022</f>
        <v>158.693930910983</v>
      </c>
      <c r="N4091" s="38" t="n">
        <f aca="false">Sens!$N$4022</f>
        <v>9.234</v>
      </c>
      <c r="O4091" s="38" t="n">
        <f aca="false">Sens!$O$4022</f>
        <v>12.216</v>
      </c>
    </row>
    <row r="4092" customFormat="false" ht="17.15" hidden="false" customHeight="false" outlineLevel="0" collapsed="false">
      <c r="A4092" s="5" t="s">
        <v>745</v>
      </c>
      <c r="B4092" s="0" t="s">
        <v>86</v>
      </c>
      <c r="C4092" s="38" t="n">
        <f aca="false">Sens!$C$4089+Sens!$C$4090+Sens!$C$4091</f>
        <v>32.067</v>
      </c>
      <c r="D4092" s="38" t="n">
        <f aca="false">Sens!$D$4089+Sens!$D$4090+Sens!$D$4091</f>
        <v>41.86</v>
      </c>
      <c r="E4092" s="38" t="n">
        <f aca="false">Sens!$E$4089+Sens!$E$4090+Sens!$E$4091</f>
        <v>26.703</v>
      </c>
      <c r="F4092" s="38" t="n">
        <f aca="false">Sens!$F$4089+Sens!$F$4090+Sens!$F$4091</f>
        <v>28.2071421626285</v>
      </c>
      <c r="G4092" s="38" t="n">
        <f aca="false">Sens!$G$4089+Sens!$G$4090+Sens!$G$4091</f>
        <v>54.9101421626285</v>
      </c>
      <c r="H4092" s="38" t="n">
        <f aca="false">Sens!$H$4089+Sens!$H$4090+Sens!$H$4091</f>
        <v>78.1586522343157</v>
      </c>
      <c r="I4092" s="38" t="n">
        <f aca="false">Sens!$I$4089+Sens!$I$4090+Sens!$I$4091</f>
        <v>111.095488704924</v>
      </c>
      <c r="J4092" s="38" t="n">
        <f aca="false">Sens!$J$4089+Sens!$J$4090+Sens!$J$4091</f>
        <v>144.710896301864</v>
      </c>
      <c r="K4092" s="38" t="n">
        <f aca="false">Sens!$K$4089+Sens!$K$4090+Sens!$K$4091</f>
        <v>178.485533593586</v>
      </c>
      <c r="L4092" s="38" t="n">
        <f aca="false">Sens!$L$4089+Sens!$L$4090+Sens!$L$4091</f>
        <v>203.849237922075</v>
      </c>
      <c r="M4092" s="38" t="n">
        <f aca="false">Sens!$M$4089+Sens!$M$4090+Sens!$M$4091</f>
        <v>222.440401230797</v>
      </c>
      <c r="N4092" s="38" t="n">
        <f aca="false">Sens!$N$4089+Sens!$N$4090+Sens!$N$4091</f>
        <v>18.822</v>
      </c>
      <c r="O4092" s="38" t="n">
        <f aca="false">Sens!$O$4089+Sens!$O$4090+Sens!$O$4091</f>
        <v>23.038</v>
      </c>
    </row>
    <row r="4093" customFormat="false" ht="17.15" hidden="false" customHeight="false" outlineLevel="0" collapsed="false">
      <c r="A4093" s="0" t="s">
        <v>746</v>
      </c>
      <c r="B4093" s="0" t="s">
        <v>86</v>
      </c>
      <c r="C4093" s="38" t="n">
        <f aca="false">Sens!$C$4064+Sens!$C$4069</f>
        <v>28.107</v>
      </c>
      <c r="D4093" s="38" t="n">
        <f aca="false">Sens!$D$4064+Sens!$D$4069</f>
        <v>34.3175</v>
      </c>
      <c r="E4093" s="38" t="n">
        <f aca="false">Sens!$E$4064+Sens!$E$4069</f>
        <v>18.526</v>
      </c>
      <c r="F4093" s="38" t="n">
        <f aca="false">Sens!$F$4064+Sens!$F$4069</f>
        <v>23.0786109972074</v>
      </c>
      <c r="G4093" s="38" t="n">
        <f aca="false">Sens!$G$4064+Sens!$G$4069</f>
        <v>41.6046109972074</v>
      </c>
      <c r="H4093" s="38" t="n">
        <f aca="false">Sens!$H$4064+Sens!$H$4069</f>
        <v>49.6364266114697</v>
      </c>
      <c r="I4093" s="38" t="n">
        <f aca="false">Sens!$I$4064+Sens!$I$4069</f>
        <v>57.182854162364</v>
      </c>
      <c r="J4093" s="38" t="n">
        <f aca="false">Sens!$J$4064+Sens!$J$4069</f>
        <v>63.5311248498083</v>
      </c>
      <c r="K4093" s="38" t="n">
        <f aca="false">Sens!$K$4064+Sens!$K$4069</f>
        <v>67.9783035892949</v>
      </c>
      <c r="L4093" s="38" t="n">
        <f aca="false">Sens!$L$4064+Sens!$L$4069</f>
        <v>72.7367848405456</v>
      </c>
      <c r="M4093" s="38" t="n">
        <f aca="false">Sens!$M$4064+Sens!$M$4069</f>
        <v>77.8283597793838</v>
      </c>
      <c r="N4093" s="38" t="n">
        <f aca="false">Sens!$N$4064+Sens!$N$4069</f>
        <v>14.8075</v>
      </c>
      <c r="O4093" s="38" t="n">
        <f aca="false">Sens!$O$4064+Sens!$O$4069</f>
        <v>19.51</v>
      </c>
    </row>
    <row r="4094" customFormat="false" ht="17.15" hidden="false" customHeight="false" outlineLevel="0" collapsed="false">
      <c r="A4094" s="0" t="s">
        <v>747</v>
      </c>
      <c r="B4094" s="0" t="s">
        <v>86</v>
      </c>
      <c r="C4094" s="38" t="n">
        <f aca="false">Sens!$C$4068+Sens!$C$4073+Sens!$C$4089+Sens!$C$4090-Sens!$C$4093</f>
        <v>19.399</v>
      </c>
      <c r="D4094" s="38" t="n">
        <f aca="false">Sens!$D$4068+Sens!$D$4073+Sens!$D$4089+Sens!$D$4090-Sens!$D$4093</f>
        <v>20.4615</v>
      </c>
      <c r="E4094" s="38" t="n">
        <f aca="false">Sens!$E$4068+Sens!$E$4073+Sens!$E$4089+Sens!$E$4090-Sens!$E$4093</f>
        <v>13.355</v>
      </c>
      <c r="F4094" s="38" t="n">
        <f aca="false">Sens!$F$4068+Sens!$F$4073+Sens!$F$4089+Sens!$F$4090-Sens!$F$4093</f>
        <v>12.5520732018618</v>
      </c>
      <c r="G4094" s="38" t="n">
        <f aca="false">Sens!$G$4068+Sens!$G$4073+Sens!$G$4089+Sens!$G$4090-Sens!$G$4093</f>
        <v>25.9070732018618</v>
      </c>
      <c r="H4094" s="38" t="n">
        <f aca="false">Sens!$H$4068+Sens!$H$4073+Sens!$H$4089+Sens!$H$4090-Sens!$H$4093</f>
        <v>28.0020462422103</v>
      </c>
      <c r="I4094" s="38" t="n">
        <f aca="false">Sens!$I$4068+Sens!$I$4073+Sens!$I$4089+Sens!$I$4090-Sens!$I$4093</f>
        <v>30.168369811226</v>
      </c>
      <c r="J4094" s="38" t="n">
        <f aca="false">Sens!$J$4068+Sens!$J$4073+Sens!$J$4089+Sens!$J$4090-Sens!$J$4093</f>
        <v>32.286140110521</v>
      </c>
      <c r="K4094" s="38" t="n">
        <f aca="false">Sens!$K$4068+Sens!$K$4073+Sens!$K$4089+Sens!$K$4090-Sens!$K$4093</f>
        <v>34.5185401267407</v>
      </c>
      <c r="L4094" s="38" t="n">
        <f aca="false">Sens!$L$4068+Sens!$L$4073+Sens!$L$4089+Sens!$L$4090-Sens!$L$4093</f>
        <v>35.9503198448555</v>
      </c>
      <c r="M4094" s="38" t="n">
        <f aca="false">Sens!$M$4068+Sens!$M$4073+Sens!$M$4089+Sens!$M$4090-Sens!$M$4093</f>
        <v>38.1511772373978</v>
      </c>
      <c r="N4094" s="38" t="n">
        <f aca="false">Sens!$N$4068+Sens!$N$4073+Sens!$N$4089+Sens!$N$4090-Sens!$N$4093</f>
        <v>10.6495</v>
      </c>
      <c r="O4094" s="38" t="n">
        <f aca="false">Sens!$O$4068+Sens!$O$4073+Sens!$O$4089+Sens!$O$4090-Sens!$O$4093</f>
        <v>9.81200000000001</v>
      </c>
    </row>
    <row r="4095" customFormat="false" ht="17.15" hidden="false" customHeight="false" outlineLevel="0" collapsed="false">
      <c r="A4095" s="0" t="s">
        <v>748</v>
      </c>
      <c r="B4095" s="0" t="s">
        <v>86</v>
      </c>
      <c r="C4095" s="38" t="n">
        <f aca="false">Sens!$C$4075+Sens!$C$4091-ext_sh*Sens!$C$4010</f>
        <v>51.3470500115664</v>
      </c>
      <c r="D4095" s="38" t="n">
        <f aca="false">Sens!$D$4075+Sens!$D$4091-ext_sh*Sens!$D$4010</f>
        <v>60.2799375433739</v>
      </c>
      <c r="E4095" s="38" t="n">
        <f aca="false">Sens!$E$4075+Sens!$E$4091-ext_sh*Sens!$E$4010</f>
        <v>39.5095167090767</v>
      </c>
      <c r="F4095" s="38" t="n">
        <f aca="false">Sens!$F$4075+Sens!$F$4091-ext_sh*Sens!$F$4010</f>
        <v>37.5468918745429</v>
      </c>
      <c r="G4095" s="38" t="n">
        <f aca="false">Sens!$G$4075+Sens!$G$4091-ext_sh*Sens!$G$4010</f>
        <v>77.0564085836196</v>
      </c>
      <c r="H4095" s="38" t="n">
        <f aca="false">Sens!$H$4075+Sens!$H$4091-ext_sh*Sens!$H$4010</f>
        <v>84.2378398616123</v>
      </c>
      <c r="I4095" s="38" t="n">
        <f aca="false">Sens!$I$4075+Sens!$I$4091-ext_sh*Sens!$I$4010</f>
        <v>93.5253492849083</v>
      </c>
      <c r="J4095" s="38" t="n">
        <f aca="false">Sens!$J$4075+Sens!$J$4091-ext_sh*Sens!$J$4010</f>
        <v>102.42210777817</v>
      </c>
      <c r="K4095" s="38" t="n">
        <f aca="false">Sens!$K$4075+Sens!$K$4091-ext_sh*Sens!$K$4010</f>
        <v>110.615876400424</v>
      </c>
      <c r="L4095" s="38" t="n">
        <f aca="false">Sens!$L$4075+Sens!$L$4091-ext_sh*Sens!$L$4010</f>
        <v>119.465146512458</v>
      </c>
      <c r="M4095" s="38" t="n">
        <f aca="false">Sens!$M$4075+Sens!$M$4091-ext_sh*Sens!$M$4010</f>
        <v>129.022358233455</v>
      </c>
      <c r="N4095" s="38" t="n">
        <f aca="false">Sens!$N$4075+Sens!$N$4091-ext_sh*Sens!$N$4010</f>
        <v>28.5693781401809</v>
      </c>
      <c r="O4095" s="38" t="n">
        <f aca="false">Sens!$O$4075+Sens!$O$4091-ext_sh*Sens!$O$4010</f>
        <v>31.7105594031931</v>
      </c>
    </row>
    <row r="4096" customFormat="false" ht="17.15" hidden="false" customHeight="false" outlineLevel="0" collapsed="false">
      <c r="A4096" s="0" t="s">
        <v>749</v>
      </c>
      <c r="B4096" s="0" t="s">
        <v>86</v>
      </c>
      <c r="C4096" s="38" t="n">
        <f aca="false">Sens!$C$4013</f>
        <v>1.80694998843362</v>
      </c>
      <c r="D4096" s="38" t="n">
        <f aca="false">Sens!$D$4013</f>
        <v>6.77606245662607</v>
      </c>
      <c r="E4096" s="38" t="n">
        <f aca="false">Sens!$E$4013</f>
        <v>6.62548329092326</v>
      </c>
      <c r="F4096" s="38" t="n">
        <f aca="false">Sens!$F$4013</f>
        <v>11.7200577158706</v>
      </c>
      <c r="G4096" s="38" t="n">
        <f aca="false">Sens!$G$4013</f>
        <v>18.3455410067939</v>
      </c>
      <c r="H4096" s="38" t="n">
        <f aca="false">Sens!$H$4013</f>
        <v>47.5171727060453</v>
      </c>
      <c r="I4096" s="38" t="n">
        <f aca="false">Sens!$I$4013</f>
        <v>80.5539692643667</v>
      </c>
      <c r="J4096" s="38" t="n">
        <f aca="false">Sens!$J$4013</f>
        <v>113.759316834883</v>
      </c>
      <c r="K4096" s="38" t="n">
        <f aca="false">Sens!$K$4013</f>
        <v>142.084411492169</v>
      </c>
      <c r="L4096" s="38" t="n">
        <f aca="false">Sens!$L$4013</f>
        <v>160.69964615804</v>
      </c>
      <c r="M4096" s="38" t="n">
        <f aca="false">Sens!$M$4013</f>
        <v>169.577607141793</v>
      </c>
      <c r="N4096" s="38" t="n">
        <f aca="false">Sens!$N$4013</f>
        <v>2.37162185981912</v>
      </c>
      <c r="O4096" s="38" t="n">
        <f aca="false">Sens!$O$4013</f>
        <v>4.40444059680694</v>
      </c>
    </row>
    <row r="4097" customFormat="false" ht="17.15" hidden="false" customHeight="false" outlineLevel="0" collapsed="false">
      <c r="A4097" s="0" t="s">
        <v>750</v>
      </c>
      <c r="B4097" s="0" t="s">
        <v>86</v>
      </c>
      <c r="C4097" s="38" t="n">
        <f aca="false">Sens!$C$4078+Sens!$C$4092</f>
        <v>100.66</v>
      </c>
      <c r="D4097" s="38" t="n">
        <f aca="false">Sens!$D$4078+Sens!$D$4092</f>
        <v>121.835</v>
      </c>
      <c r="E4097" s="38" t="n">
        <f aca="false">Sens!$E$4078+Sens!$E$4092</f>
        <v>78.016</v>
      </c>
      <c r="F4097" s="38" t="n">
        <f aca="false">Sens!$F$4078+Sens!$F$4092</f>
        <v>84.8976337894826</v>
      </c>
      <c r="G4097" s="38" t="n">
        <f aca="false">Sens!$G$4078+Sens!$G$4092</f>
        <v>162.913633789483</v>
      </c>
      <c r="H4097" s="38" t="n">
        <f aca="false">Sens!$H$4078+Sens!$H$4092</f>
        <v>209.393485421338</v>
      </c>
      <c r="I4097" s="38" t="n">
        <f aca="false">Sens!$I$4078+Sens!$I$4092</f>
        <v>261.430542522865</v>
      </c>
      <c r="J4097" s="38" t="n">
        <f aca="false">Sens!$J$4078+Sens!$J$4092</f>
        <v>311.998689573383</v>
      </c>
      <c r="K4097" s="38" t="n">
        <f aca="false">Sens!$K$4078+Sens!$K$4092</f>
        <v>355.197131608629</v>
      </c>
      <c r="L4097" s="38" t="n">
        <f aca="false">Sens!$L$4078+Sens!$L$4092</f>
        <v>388.851897355899</v>
      </c>
      <c r="M4097" s="38" t="n">
        <f aca="false">Sens!$M$4078+Sens!$M$4092</f>
        <v>414.57950239203</v>
      </c>
      <c r="N4097" s="38" t="n">
        <f aca="false">Sens!$N$4078+Sens!$N$4092</f>
        <v>56.398</v>
      </c>
      <c r="O4097" s="38" t="n">
        <f aca="false">Sens!$O$4078+Sens!$O$4092</f>
        <v>65.437</v>
      </c>
    </row>
    <row r="4098" customFormat="false" ht="17.15" hidden="false" customHeight="false" outlineLevel="0" collapsed="false">
      <c r="A4098" s="1" t="s">
        <v>751</v>
      </c>
    </row>
    <row r="4099" customFormat="false" ht="15" hidden="false" customHeight="false" outlineLevel="0" collapsed="false">
      <c r="A4099" s="5" t="s">
        <v>544</v>
      </c>
      <c r="B4099" s="0" t="s">
        <v>86</v>
      </c>
      <c r="C4099" s="38" t="n">
        <f aca="false">Q!$D$34</f>
        <v>2.406</v>
      </c>
      <c r="D4099" s="38" t="n">
        <f aca="false">Q!$E$34</f>
        <v>2.274</v>
      </c>
      <c r="E4099" s="38" t="n">
        <f aca="false">Q!$P$34</f>
        <v>2.114</v>
      </c>
      <c r="F4099" s="38" t="n">
        <f aca="false">Sens!$F$4137</f>
        <v>3.24888962733561</v>
      </c>
      <c r="G4099" s="38" t="n">
        <f aca="false">Sens!$E$4099+Sens!$F$4099</f>
        <v>5.36288962733561</v>
      </c>
      <c r="H4099" s="38" t="n">
        <f aca="false">Sens!$H$4137</f>
        <v>7.42354172302123</v>
      </c>
      <c r="I4099" s="38" t="n">
        <f aca="false">Sens!$I$4137</f>
        <v>8.50647434858297</v>
      </c>
      <c r="J4099" s="38" t="n">
        <f aca="false">Sens!$J$4137</f>
        <v>9.71333262261642</v>
      </c>
      <c r="K4099" s="38" t="n">
        <f aca="false">Sens!$K$4137</f>
        <v>9.71333262261642</v>
      </c>
      <c r="L4099" s="38" t="n">
        <f aca="false">Sens!$L$4137</f>
        <v>9.71333262261642</v>
      </c>
      <c r="M4099" s="38" t="n">
        <f aca="false">Sens!$M$4137</f>
        <v>9.71333262261642</v>
      </c>
      <c r="N4099" s="38" t="n">
        <f aca="false">Q!$N$34</f>
        <v>1.057</v>
      </c>
      <c r="O4099" s="38" t="n">
        <f aca="false">Q!$O$34</f>
        <v>1.217</v>
      </c>
    </row>
    <row r="4100" customFormat="false" ht="15" hidden="false" customHeight="false" outlineLevel="0" collapsed="false">
      <c r="A4100" s="5" t="s">
        <v>752</v>
      </c>
      <c r="B4100" s="0" t="s">
        <v>86</v>
      </c>
      <c r="F4100" s="38" t="n">
        <f aca="false">Sens!$F$4138</f>
        <v>2.59</v>
      </c>
      <c r="H4100" s="38" t="n">
        <f aca="false">Sens!$H$4138</f>
        <v>3.76965165045626</v>
      </c>
      <c r="I4100" s="38" t="n">
        <f aca="false">Sens!$I$4138</f>
        <v>2.10589651022864</v>
      </c>
      <c r="J4100" s="38" t="n">
        <f aca="false">Sens!$J$4138</f>
        <v>2.10589651022864</v>
      </c>
      <c r="K4100" s="38" t="n">
        <f aca="false">Sens!$K$4138</f>
        <v>2.93807178439169</v>
      </c>
      <c r="L4100" s="38" t="n">
        <f aca="false">Sens!$L$4138</f>
        <v>7.75127256807566</v>
      </c>
      <c r="M4100" s="38" t="n">
        <f aca="false">Sens!$M$4138</f>
        <v>14.9366014990979</v>
      </c>
    </row>
    <row r="4101" customFormat="false" ht="17.15" hidden="false" customHeight="false" outlineLevel="0" collapsed="false">
      <c r="A4101" s="5" t="s">
        <v>753</v>
      </c>
      <c r="B4101" s="0" t="s">
        <v>86</v>
      </c>
      <c r="C4101" s="38" t="n">
        <f aca="false">Q!$D$39</f>
        <v>2.427</v>
      </c>
      <c r="D4101" s="38" t="n">
        <f aca="false">Q!$E$39</f>
        <v>19.61</v>
      </c>
      <c r="E4101" s="38" t="n">
        <f aca="false">Q!$P$39</f>
        <v>71.492</v>
      </c>
      <c r="F4101" s="39" t="n">
        <v>0</v>
      </c>
      <c r="G4101" s="38" t="n">
        <f aca="false">Sens!$E$4101+Sens!$F$4101</f>
        <v>71.492</v>
      </c>
      <c r="H4101" s="39" t="n">
        <v>0</v>
      </c>
      <c r="I4101" s="39" t="n">
        <v>0</v>
      </c>
      <c r="J4101" s="39" t="n">
        <v>0</v>
      </c>
      <c r="K4101" s="39" t="n">
        <v>0</v>
      </c>
      <c r="L4101" s="39" t="n">
        <v>0</v>
      </c>
      <c r="M4101" s="39" t="n">
        <v>0</v>
      </c>
      <c r="N4101" s="38" t="n">
        <f aca="false">Q!$N$39</f>
        <v>6.017</v>
      </c>
      <c r="O4101" s="38" t="n">
        <f aca="false">Q!$O$39</f>
        <v>13.593</v>
      </c>
      <c r="P4101" s="5" t="s">
        <v>754</v>
      </c>
    </row>
    <row r="4102" customFormat="false" ht="15" hidden="false" customHeight="false" outlineLevel="0" collapsed="false">
      <c r="A4102" s="5" t="s">
        <v>547</v>
      </c>
      <c r="B4102" s="0" t="s">
        <v>86</v>
      </c>
      <c r="C4102" s="38" t="n">
        <f aca="false">Q!$D$36</f>
        <v>68.614</v>
      </c>
      <c r="D4102" s="38" t="n">
        <f aca="false">Q!$E$36</f>
        <v>97.311</v>
      </c>
      <c r="E4102" s="38" t="n">
        <f aca="false">Q!$P$36</f>
        <v>120.691</v>
      </c>
      <c r="F4102" s="38" t="n">
        <f aca="false">Sens!$F$4078-Sens!$F$4099+Sens!$F$4100+Sens!$F$4101</f>
        <v>56.0316019995185</v>
      </c>
      <c r="G4102" s="38" t="n">
        <f aca="false">Sens!$E$4102+Sens!$F$4102</f>
        <v>176.722601999518</v>
      </c>
      <c r="H4102" s="38" t="n">
        <f aca="false">Sens!$H$4078-Sens!$H$4099+Sens!$H$4100+Sens!$H$4101</f>
        <v>127.580943114457</v>
      </c>
      <c r="I4102" s="38" t="n">
        <f aca="false">Sens!$I$4078-Sens!$I$4099+Sens!$I$4100+Sens!$I$4101</f>
        <v>143.934475979587</v>
      </c>
      <c r="J4102" s="38" t="n">
        <f aca="false">Sens!$J$4078-Sens!$J$4099+Sens!$J$4100+Sens!$J$4101</f>
        <v>159.680357159132</v>
      </c>
      <c r="K4102" s="38" t="n">
        <f aca="false">Sens!$K$4078-Sens!$K$4099+Sens!$K$4100+Sens!$K$4101</f>
        <v>169.936337176818</v>
      </c>
      <c r="L4102" s="38" t="n">
        <f aca="false">Sens!$L$4078-Sens!$L$4099+Sens!$L$4100+Sens!$L$4101</f>
        <v>183.040599379283</v>
      </c>
      <c r="M4102" s="38" t="n">
        <f aca="false">Sens!$M$4078-Sens!$M$4099+Sens!$M$4100+Sens!$M$4101</f>
        <v>197.362370037714</v>
      </c>
      <c r="N4102" s="38" t="n">
        <f aca="false">Q!$N$36</f>
        <v>42.536</v>
      </c>
      <c r="O4102" s="38" t="n">
        <f aca="false">Q!$O$36</f>
        <v>54.775</v>
      </c>
    </row>
    <row r="4103" customFormat="false" ht="15" hidden="false" customHeight="false" outlineLevel="0" collapsed="false">
      <c r="A4103" s="5" t="s">
        <v>548</v>
      </c>
      <c r="B4103" s="0" t="s">
        <v>86</v>
      </c>
      <c r="C4103" s="38" t="n">
        <f aca="false">Q!$D$37</f>
        <v>9.265</v>
      </c>
      <c r="D4103" s="38" t="n">
        <f aca="false">Q!$E$37</f>
        <v>19.087</v>
      </c>
      <c r="E4103" s="38" t="n">
        <f aca="false">Q!$P$37</f>
        <v>27.759</v>
      </c>
      <c r="F4103" s="38" t="n">
        <f aca="false">Sens!$F$4102*tax</f>
        <v>9.72621910890414</v>
      </c>
      <c r="G4103" s="38" t="n">
        <f aca="false">Sens!$E$4103+Sens!$F$4103</f>
        <v>37.4852191089041</v>
      </c>
      <c r="H4103" s="38" t="n">
        <f aca="false">Sens!$H$4102*tax</f>
        <v>22.146077616387</v>
      </c>
      <c r="I4103" s="38" t="n">
        <f aca="false">Sens!$I$4102*tax</f>
        <v>24.984797877362</v>
      </c>
      <c r="J4103" s="38" t="n">
        <f aca="false">Sens!$J$4102*tax</f>
        <v>27.7180392081442</v>
      </c>
      <c r="K4103" s="38" t="n">
        <f aca="false">Sens!$K$4102*tax</f>
        <v>29.4983186445491</v>
      </c>
      <c r="L4103" s="38" t="n">
        <f aca="false">Sens!$L$4102*tax</f>
        <v>31.7730157956817</v>
      </c>
      <c r="M4103" s="38" t="n">
        <f aca="false">Sens!$M$4102*tax</f>
        <v>34.2590535758004</v>
      </c>
      <c r="N4103" s="38" t="n">
        <f aca="false">Q!$N$37</f>
        <v>7.231</v>
      </c>
      <c r="O4103" s="38" t="n">
        <f aca="false">Q!$O$37</f>
        <v>11.856</v>
      </c>
    </row>
    <row r="4104" customFormat="false" ht="15" hidden="false" customHeight="false" outlineLevel="0" collapsed="false">
      <c r="A4104" s="3" t="s">
        <v>549</v>
      </c>
      <c r="B4104" s="8" t="s">
        <v>86</v>
      </c>
      <c r="C4104" s="38" t="n">
        <f aca="false">Q!$D$38</f>
        <v>59.248</v>
      </c>
      <c r="D4104" s="38" t="n">
        <f aca="false">Q!$E$38</f>
        <v>77.67</v>
      </c>
      <c r="E4104" s="38" t="n">
        <f aca="false">Q!$P$38</f>
        <v>92.902</v>
      </c>
      <c r="F4104" s="38" t="n">
        <f aca="false">Sens!$F$4102-Sens!$F$4103</f>
        <v>46.3053828906144</v>
      </c>
      <c r="G4104" s="38" t="n">
        <f aca="false">Sens!$E$4104+Sens!$F$4104</f>
        <v>139.207382890614</v>
      </c>
      <c r="H4104" s="38" t="n">
        <f aca="false">Sens!$H$4102-Sens!$H$4103</f>
        <v>105.43486549807</v>
      </c>
      <c r="I4104" s="38" t="n">
        <f aca="false">Sens!$I$4102-Sens!$I$4103</f>
        <v>118.949678102225</v>
      </c>
      <c r="J4104" s="38" t="n">
        <f aca="false">Sens!$J$4102-Sens!$J$4103</f>
        <v>131.962317950987</v>
      </c>
      <c r="K4104" s="38" t="n">
        <f aca="false">Sens!$K$4102-Sens!$K$4103</f>
        <v>140.438018532269</v>
      </c>
      <c r="L4104" s="38" t="n">
        <f aca="false">Sens!$L$4102-Sens!$L$4103</f>
        <v>151.267583583602</v>
      </c>
      <c r="M4104" s="38" t="n">
        <f aca="false">Sens!$M$4102-Sens!$M$4103</f>
        <v>163.103316461914</v>
      </c>
      <c r="N4104" s="38" t="n">
        <f aca="false">Q!$N$38</f>
        <v>35.291</v>
      </c>
      <c r="O4104" s="38" t="n">
        <f aca="false">Q!$O$38</f>
        <v>42.379</v>
      </c>
    </row>
    <row r="4105" customFormat="false" ht="17.15" hidden="false" customHeight="false" outlineLevel="0" collapsed="false">
      <c r="A4105" s="5" t="s">
        <v>552</v>
      </c>
      <c r="B4105" s="5" t="s">
        <v>33</v>
      </c>
      <c r="C4105" s="22" t="n">
        <f aca="false">Q!$D$41</f>
        <v>10.721</v>
      </c>
      <c r="D4105" s="22" t="n">
        <f aca="false">Q!$E$41</f>
        <v>10.827</v>
      </c>
      <c r="E4105" s="22" t="n">
        <f aca="false">(Q!$L$41+Q!$M$41)/2</f>
        <v>10.8885</v>
      </c>
      <c r="F4105" s="22" t="n">
        <f aca="false">Sens!$G$4105</f>
        <v>10.924806</v>
      </c>
      <c r="G4105" s="22" t="n">
        <f aca="false">Q!$M$41*(1+sh_g*0.25)</f>
        <v>10.924806</v>
      </c>
      <c r="H4105" s="22" t="n">
        <f aca="false">Sens!$G$4105*(1+sh_g)</f>
        <v>11.012204448</v>
      </c>
      <c r="I4105" s="22" t="n">
        <f aca="false">Sens!$H$4105*(1+sh_g)</f>
        <v>11.100302083584</v>
      </c>
      <c r="J4105" s="22" t="n">
        <f aca="false">Sens!$I$4105*(1+sh_g)</f>
        <v>11.1891045002527</v>
      </c>
      <c r="K4105" s="22" t="n">
        <f aca="false">Sens!$J$4105*(1+sh_g)</f>
        <v>11.2786173362547</v>
      </c>
      <c r="L4105" s="22" t="n">
        <f aca="false">Sens!$K$4105*(1+sh_g)</f>
        <v>11.3688462749447</v>
      </c>
      <c r="M4105" s="22" t="n">
        <f aca="false">Sens!$L$4105*(1+sh_g)</f>
        <v>11.4597970451443</v>
      </c>
      <c r="P4105" s="5" t="s">
        <v>755</v>
      </c>
    </row>
    <row r="4106" customFormat="false" ht="17.15" hidden="false" customHeight="false" outlineLevel="0" collapsed="false">
      <c r="A4106" s="5" t="s">
        <v>756</v>
      </c>
      <c r="B4106" s="0" t="s">
        <v>86</v>
      </c>
      <c r="C4106" s="38" t="n">
        <f aca="false">Sens!$C$4104+Sens!$C$4080*(1-tax)</f>
        <v>59.248</v>
      </c>
      <c r="D4106" s="38" t="n">
        <f aca="false">Sens!$D$4104+Sens!$D$4080*(1-tax)</f>
        <v>77.67</v>
      </c>
      <c r="E4106" s="38" t="n">
        <f aca="false">Sens!$E$4104+Sens!$E$4080*(1-tax)</f>
        <v>92.902</v>
      </c>
      <c r="F4106" s="38" t="n">
        <f aca="false">Sens!$F$4104+Sens!$F$4080*(1-tax)</f>
        <v>49.421977850263</v>
      </c>
      <c r="G4106" s="38" t="n">
        <f aca="false">Sens!$G$4104+Sens!$G$4080*(1-tax)</f>
        <v>142.323977850263</v>
      </c>
      <c r="H4106" s="38" t="n">
        <f aca="false">Sens!$H$4104+Sens!$H$4080*(1-tax)</f>
        <v>117.966261453415</v>
      </c>
      <c r="I4106" s="38" t="n">
        <f aca="false">Sens!$I$4104+Sens!$I$4080*(1-tax)</f>
        <v>140.090943177164</v>
      </c>
      <c r="J4106" s="38" t="n">
        <f aca="false">Sens!$J$4104+Sens!$J$4080*(1-tax)</f>
        <v>161.751754895271</v>
      </c>
      <c r="K4106" s="38" t="n">
        <f aca="false">Sens!$K$4104+Sens!$K$4080*(1-tax)</f>
        <v>177.605324228928</v>
      </c>
      <c r="L4106" s="38" t="n">
        <f aca="false">Sens!$L$4104+Sens!$L$4080*(1-tax)</f>
        <v>193.283660924157</v>
      </c>
      <c r="M4106" s="38" t="n">
        <f aca="false">Sens!$M$4104+Sens!$M$4080*(1-tax)</f>
        <v>207.432838652754</v>
      </c>
      <c r="N4106" s="38" t="n">
        <f aca="false">Sens!$N$4104+Sens!$N$4080*(1-tax)</f>
        <v>35.291</v>
      </c>
      <c r="O4106" s="38" t="n">
        <f aca="false">Sens!$O$4104+Sens!$O$4080*(1-tax)</f>
        <v>42.379</v>
      </c>
    </row>
    <row r="4107" customFormat="false" ht="17.15" hidden="false" customHeight="false" outlineLevel="0" collapsed="false">
      <c r="A4107" s="43" t="s">
        <v>757</v>
      </c>
      <c r="B4107" s="14" t="s">
        <v>27</v>
      </c>
      <c r="C4107" s="44" t="n">
        <f aca="false">Sens!$C$4106/Sens!$C$4105</f>
        <v>5.52635015390355</v>
      </c>
      <c r="D4107" s="44" t="n">
        <f aca="false">Sens!$D$4106/Sens!$D$4105</f>
        <v>7.1737323358271</v>
      </c>
      <c r="E4107" s="44" t="n">
        <f aca="false">Sens!$E$4106/Sens!$E$4105</f>
        <v>8.53212104513937</v>
      </c>
      <c r="F4107" s="14"/>
      <c r="G4107" s="44" t="n">
        <f aca="false">Sens!$G$4106/Sens!$G$4105</f>
        <v>13.0275977303636</v>
      </c>
      <c r="H4107" s="44" t="n">
        <f aca="false">Sens!$H$4106/Sens!$H$4105</f>
        <v>10.7123203179214</v>
      </c>
      <c r="I4107" s="44" t="n">
        <f aca="false">Sens!$I$4106/Sens!$I$4105</f>
        <v>12.6204622290723</v>
      </c>
      <c r="J4107" s="44" t="n">
        <f aca="false">Sens!$J$4106/Sens!$J$4105</f>
        <v>14.456184129089</v>
      </c>
      <c r="K4107" s="44" t="n">
        <f aca="false">Sens!$K$4106/Sens!$K$4105</f>
        <v>15.7470830806559</v>
      </c>
      <c r="L4107" s="44" t="n">
        <f aca="false">Sens!$L$4106/Sens!$L$4105</f>
        <v>17.0011675986969</v>
      </c>
      <c r="M4107" s="44" t="n">
        <f aca="false">Sens!$M$4106/Sens!$M$4105</f>
        <v>18.1009173055684</v>
      </c>
      <c r="N4107" s="14"/>
      <c r="O4107" s="14"/>
    </row>
    <row r="4108" customFormat="false" ht="17.15" hidden="false" customHeight="false" outlineLevel="0" collapsed="false">
      <c r="A4108" s="0" t="s">
        <v>758</v>
      </c>
      <c r="B4108" s="0" t="s">
        <v>27</v>
      </c>
      <c r="C4108" s="30" t="n">
        <f aca="false">Sens!$C$4104/Sens!$C$4105</f>
        <v>5.52635015390355</v>
      </c>
      <c r="D4108" s="30" t="n">
        <f aca="false">Sens!$D$4104/Sens!$D$4105</f>
        <v>7.1737323358271</v>
      </c>
      <c r="E4108" s="30" t="n">
        <f aca="false">Sens!$E$4104/Sens!$E$4105</f>
        <v>8.53212104513937</v>
      </c>
      <c r="G4108" s="30" t="n">
        <f aca="false">Sens!$G$4104/Sens!$G$4105</f>
        <v>12.7423208147233</v>
      </c>
      <c r="H4108" s="30" t="n">
        <f aca="false">Sens!$H$4104/Sens!$H$4105</f>
        <v>9.57436505977863</v>
      </c>
      <c r="I4108" s="30" t="n">
        <f aca="false">Sens!$I$4104/Sens!$I$4105</f>
        <v>10.7158955861334</v>
      </c>
      <c r="J4108" s="30" t="n">
        <f aca="false">Sens!$J$4104/Sens!$J$4105</f>
        <v>11.7938229952189</v>
      </c>
      <c r="K4108" s="30" t="n">
        <f aca="false">Sens!$K$4104/Sens!$K$4105</f>
        <v>12.451705235254</v>
      </c>
      <c r="L4108" s="30" t="n">
        <f aca="false">Sens!$L$4104/Sens!$L$4105</f>
        <v>13.3054471777821</v>
      </c>
      <c r="M4108" s="30" t="n">
        <f aca="false">Sens!$M$4104/Sens!$M$4105</f>
        <v>14.2326531455479</v>
      </c>
    </row>
    <row r="4109" customFormat="false" ht="17.15" hidden="false" customHeight="false" outlineLevel="0" collapsed="false">
      <c r="A4109" s="0" t="s">
        <v>759</v>
      </c>
      <c r="B4109" s="0" t="s">
        <v>27</v>
      </c>
      <c r="C4109" s="30" t="n">
        <f aca="false">(Sens!$C$4104-Sens!$C$4101*(1-tax))/Sens!$C$4105</f>
        <v>5.33926775917445</v>
      </c>
      <c r="D4109" s="30" t="n">
        <f aca="false">(Sens!$D$4104-Sens!$D$4101*(1-tax))/Sens!$D$4105</f>
        <v>5.67691812755503</v>
      </c>
      <c r="E4109" s="30" t="n">
        <f aca="false">(Sens!$E$4104-Sens!$E$4101*(1-tax))/Sens!$E$4105</f>
        <v>3.10602057006846</v>
      </c>
      <c r="G4109" s="30" t="n">
        <f aca="false">(Sens!$G$4104-Sens!$G$4101*(1-tax))/Sens!$G$4105</f>
        <v>7.33425269682635</v>
      </c>
      <c r="H4109" s="30" t="n">
        <f aca="false">(Sens!$H$4104-Sens!$H$4101*(1-tax))/Sens!$H$4105</f>
        <v>9.57436505977863</v>
      </c>
      <c r="I4109" s="30" t="n">
        <f aca="false">(Sens!$I$4104-Sens!$I$4101*(1-tax))/Sens!$I$4105</f>
        <v>10.7158955861334</v>
      </c>
      <c r="J4109" s="30" t="n">
        <f aca="false">(Sens!$J$4104-Sens!$J$4101*(1-tax))/Sens!$J$4105</f>
        <v>11.7938229952189</v>
      </c>
      <c r="K4109" s="30" t="n">
        <f aca="false">(Sens!$K$4104-Sens!$K$4101*(1-tax))/Sens!$K$4105</f>
        <v>12.451705235254</v>
      </c>
      <c r="L4109" s="30" t="n">
        <f aca="false">(Sens!$L$4104-Sens!$L$4101*(1-tax))/Sens!$L$4105</f>
        <v>13.3054471777821</v>
      </c>
      <c r="M4109" s="30" t="n">
        <f aca="false">(Sens!$M$4104-Sens!$M$4101*(1-tax))/Sens!$M$4105</f>
        <v>14.2326531455479</v>
      </c>
      <c r="P4109" s="5" t="s">
        <v>760</v>
      </c>
    </row>
    <row r="4110" customFormat="false" ht="17.15" hidden="false" customHeight="false" outlineLevel="0" collapsed="false">
      <c r="A4110" s="0" t="s">
        <v>761</v>
      </c>
      <c r="B4110" s="0" t="s">
        <v>52</v>
      </c>
      <c r="H4110" s="13" t="n">
        <f aca="false">Sens!$H$4107/Sens!$G$4107-1</f>
        <v>-0.177720978215806</v>
      </c>
      <c r="I4110" s="13" t="n">
        <f aca="false">Sens!$I$4107/Sens!$H$4107-1</f>
        <v>0.178125919924053</v>
      </c>
      <c r="J4110" s="13" t="n">
        <f aca="false">Sens!$J$4107/Sens!$I$4107-1</f>
        <v>0.1454559957232</v>
      </c>
      <c r="K4110" s="13" t="n">
        <f aca="false">Sens!$K$4107/Sens!$J$4107-1</f>
        <v>0.0892973512262683</v>
      </c>
      <c r="L4110" s="13" t="n">
        <f aca="false">Sens!$L$4107/Sens!$K$4107-1</f>
        <v>0.0796391631146989</v>
      </c>
      <c r="M4110" s="13" t="n">
        <f aca="false">Sens!$M$4107/Sens!$L$4107-1</f>
        <v>0.0646867163968077</v>
      </c>
    </row>
    <row r="4113" customFormat="false" ht="19.4" hidden="false" customHeight="false" outlineLevel="0" collapsed="false">
      <c r="A4113" s="31" t="s">
        <v>1218</v>
      </c>
    </row>
    <row r="4114" customFormat="false" ht="17.15" hidden="false" customHeight="false" outlineLevel="0" collapsed="false">
      <c r="A4114" s="6" t="s">
        <v>16</v>
      </c>
      <c r="B4114" s="6" t="s">
        <v>17</v>
      </c>
      <c r="C4114" s="20" t="s">
        <v>497</v>
      </c>
      <c r="D4114" s="20" t="s">
        <v>498</v>
      </c>
      <c r="E4114" s="20" t="s">
        <v>580</v>
      </c>
      <c r="F4114" s="20" t="s">
        <v>581</v>
      </c>
      <c r="G4114" s="20" t="s">
        <v>582</v>
      </c>
      <c r="H4114" s="20" t="s">
        <v>583</v>
      </c>
      <c r="I4114" s="20" t="s">
        <v>584</v>
      </c>
      <c r="J4114" s="20" t="s">
        <v>585</v>
      </c>
      <c r="K4114" s="20" t="s">
        <v>586</v>
      </c>
      <c r="L4114" s="20" t="s">
        <v>587</v>
      </c>
      <c r="M4114" s="20" t="s">
        <v>588</v>
      </c>
      <c r="N4114" s="20" t="s">
        <v>589</v>
      </c>
      <c r="O4114" s="20" t="s">
        <v>590</v>
      </c>
      <c r="P4114" s="6" t="s">
        <v>23</v>
      </c>
      <c r="R4114" s="20" t="n">
        <v>2023</v>
      </c>
      <c r="S4114" s="20" t="n">
        <v>2024</v>
      </c>
      <c r="T4114" s="20" t="n">
        <v>2025</v>
      </c>
      <c r="U4114" s="20" t="n">
        <v>2026</v>
      </c>
      <c r="V4114" s="20" t="n">
        <v>2027</v>
      </c>
      <c r="W4114" s="20" t="n">
        <v>2028</v>
      </c>
      <c r="X4114" s="20" t="n">
        <v>2029</v>
      </c>
      <c r="Y4114" s="20" t="n">
        <v>2030</v>
      </c>
      <c r="Z4114" s="20" t="n">
        <v>2031</v>
      </c>
      <c r="AA4114" s="20" t="n">
        <v>2032</v>
      </c>
    </row>
    <row r="4115" customFormat="false" ht="15" hidden="false" customHeight="false" outlineLevel="0" collapsed="false">
      <c r="A4115" s="5" t="s">
        <v>549</v>
      </c>
      <c r="B4115" s="0" t="s">
        <v>86</v>
      </c>
      <c r="C4115" s="38" t="n">
        <f aca="false">Sens!$C$4104</f>
        <v>59.248</v>
      </c>
      <c r="D4115" s="38" t="n">
        <f aca="false">Sens!$D$4104</f>
        <v>77.67</v>
      </c>
      <c r="E4115" s="38" t="n">
        <f aca="false">Sens!$E$4104</f>
        <v>92.902</v>
      </c>
      <c r="F4115" s="38" t="n">
        <f aca="false">Sens!$F$4104</f>
        <v>46.3053828906144</v>
      </c>
      <c r="G4115" s="38" t="n">
        <f aca="false">Sens!$G$4104</f>
        <v>139.207382890614</v>
      </c>
      <c r="H4115" s="38" t="n">
        <f aca="false">Sens!$H$4104</f>
        <v>105.43486549807</v>
      </c>
      <c r="I4115" s="38" t="n">
        <f aca="false">Sens!$I$4104</f>
        <v>118.949678102225</v>
      </c>
      <c r="J4115" s="38" t="n">
        <f aca="false">Sens!$J$4104</f>
        <v>131.962317950987</v>
      </c>
      <c r="K4115" s="38" t="n">
        <f aca="false">Sens!$K$4104</f>
        <v>140.438018532269</v>
      </c>
      <c r="L4115" s="38" t="n">
        <f aca="false">Sens!$L$4104</f>
        <v>151.267583583602</v>
      </c>
      <c r="M4115" s="38" t="n">
        <f aca="false">Sens!$M$4104</f>
        <v>163.103316461914</v>
      </c>
    </row>
    <row r="4116" customFormat="false" ht="17.15" hidden="false" customHeight="false" outlineLevel="0" collapsed="false">
      <c r="A4116" s="5" t="s">
        <v>784</v>
      </c>
      <c r="B4116" s="0" t="s">
        <v>86</v>
      </c>
      <c r="C4116" s="38" t="n">
        <f aca="false">Sens!$C$4092</f>
        <v>32.067</v>
      </c>
      <c r="D4116" s="38" t="n">
        <f aca="false">Sens!$D$4092</f>
        <v>41.86</v>
      </c>
      <c r="E4116" s="38" t="n">
        <f aca="false">Sens!$E$4092</f>
        <v>26.703</v>
      </c>
      <c r="F4116" s="38" t="n">
        <f aca="false">Sens!$F$4092</f>
        <v>28.2071421626285</v>
      </c>
      <c r="G4116" s="38" t="n">
        <f aca="false">Sens!$G$4092</f>
        <v>54.9101421626285</v>
      </c>
      <c r="H4116" s="38" t="n">
        <f aca="false">Sens!$H$4092</f>
        <v>78.1586522343157</v>
      </c>
      <c r="I4116" s="38" t="n">
        <f aca="false">Sens!$I$4092</f>
        <v>111.095488704924</v>
      </c>
      <c r="J4116" s="38" t="n">
        <f aca="false">Sens!$J$4092</f>
        <v>144.710896301864</v>
      </c>
      <c r="K4116" s="38" t="n">
        <f aca="false">Sens!$K$4092</f>
        <v>178.485533593586</v>
      </c>
      <c r="L4116" s="38" t="n">
        <f aca="false">Sens!$L$4092</f>
        <v>203.849237922075</v>
      </c>
      <c r="M4116" s="38" t="n">
        <f aca="false">Sens!$M$4092</f>
        <v>222.440401230797</v>
      </c>
    </row>
    <row r="4117" customFormat="false" ht="15" hidden="false" customHeight="false" outlineLevel="0" collapsed="false">
      <c r="A4117" s="5" t="s">
        <v>785</v>
      </c>
      <c r="B4117" s="0" t="s">
        <v>86</v>
      </c>
      <c r="C4117" s="38" t="n">
        <f aca="false">Q!$D$48</f>
        <v>22.011</v>
      </c>
      <c r="D4117" s="38" t="n">
        <f aca="false">Q!$E$48</f>
        <v>19.467</v>
      </c>
      <c r="E4117" s="38" t="n">
        <f aca="false">Q!$P$48</f>
        <v>10.07</v>
      </c>
      <c r="F4117" s="38" t="n">
        <f aca="false">sbc_r*Sens!$F$4034</f>
        <v>10.8507035798037</v>
      </c>
      <c r="G4117" s="38" t="n">
        <f aca="false">Sens!$E$4117+Sens!$F$4117</f>
        <v>20.9207035798037</v>
      </c>
      <c r="H4117" s="38" t="n">
        <f aca="false">sbc_r*Sens!$H$4034</f>
        <v>23.4467046888059</v>
      </c>
      <c r="I4117" s="38" t="n">
        <f aca="false">sbc_r*Sens!$I$4034</f>
        <v>26.5573836171151</v>
      </c>
      <c r="J4117" s="38" t="n">
        <f aca="false">sbc_r*Sens!$J$4034</f>
        <v>29.5014243374332</v>
      </c>
      <c r="K4117" s="38" t="n">
        <f aca="false">sbc_r*Sens!$K$4034</f>
        <v>32.0369911282419</v>
      </c>
      <c r="L4117" s="38" t="n">
        <f aca="false">sbc_r*Sens!$L$4034</f>
        <v>34.3798349496081</v>
      </c>
      <c r="M4117" s="38" t="n">
        <f aca="false">sbc_r*Sens!$M$4034</f>
        <v>36.5367112574061</v>
      </c>
    </row>
    <row r="4118" customFormat="false" ht="17.15" hidden="false" customHeight="false" outlineLevel="0" collapsed="false">
      <c r="A4118" s="5" t="s">
        <v>786</v>
      </c>
      <c r="B4118" s="0" t="s">
        <v>86</v>
      </c>
      <c r="C4118" s="38" t="n">
        <f aca="false">Q!$D$44-Sens!$C$4115-Sens!$C$4116-Sens!$C$4117</f>
        <v>2.551</v>
      </c>
      <c r="D4118" s="38" t="n">
        <f aca="false">Q!$E$44-Sens!$D$4115-Sens!$D$4116-Sens!$D$4117</f>
        <v>0.51700000000001</v>
      </c>
      <c r="E4118" s="38" t="n">
        <f aca="false">Q!$P$44-Sens!$E$4115-Sens!$E$4116-Sens!$E$4117</f>
        <v>-58.256</v>
      </c>
      <c r="F4118" s="38" t="n">
        <f aca="false">oth_r*Sens!$F$4034</f>
        <v>5.22265251035878</v>
      </c>
      <c r="G4118" s="38" t="n">
        <f aca="false">Sens!$E$4118+Sens!$F$4118</f>
        <v>-53.0333474896412</v>
      </c>
      <c r="H4118" s="38" t="n">
        <f aca="false">oth_r*Sens!$H$4034</f>
        <v>11.2853503187163</v>
      </c>
      <c r="I4118" s="38" t="n">
        <f aca="false">oth_r*Sens!$I$4034</f>
        <v>12.7825799678694</v>
      </c>
      <c r="J4118" s="38" t="n">
        <f aca="false">oth_r*Sens!$J$4034</f>
        <v>14.1996034397101</v>
      </c>
      <c r="K4118" s="38" t="n">
        <f aca="false">oth_r*Sens!$K$4034</f>
        <v>15.4200205461038</v>
      </c>
      <c r="L4118" s="38" t="n">
        <f aca="false">oth_r*Sens!$L$4034</f>
        <v>16.5476763773635</v>
      </c>
      <c r="M4118" s="38" t="n">
        <f aca="false">oth_r*Sens!$M$4034</f>
        <v>17.5858224644451</v>
      </c>
      <c r="P4118" s="8" t="s">
        <v>787</v>
      </c>
    </row>
    <row r="4119" customFormat="false" ht="15" hidden="false" customHeight="false" outlineLevel="0" collapsed="false">
      <c r="A4119" s="3" t="s">
        <v>555</v>
      </c>
      <c r="B4119" s="8" t="s">
        <v>86</v>
      </c>
      <c r="C4119" s="38" t="n">
        <f aca="false">Q!$D$44</f>
        <v>115.877</v>
      </c>
      <c r="D4119" s="38" t="n">
        <f aca="false">Q!$E$44</f>
        <v>139.514</v>
      </c>
      <c r="E4119" s="38" t="n">
        <f aca="false">Q!$P$44</f>
        <v>71.419</v>
      </c>
      <c r="F4119" s="38" t="n">
        <f aca="false">Sens!$F$4115+Sens!$F$4116+Sens!$F$4117+Sens!$F$4118</f>
        <v>90.5858811434053</v>
      </c>
      <c r="G4119" s="38" t="n">
        <f aca="false">Sens!$E$4119+Sens!$F$4119</f>
        <v>162.004881143405</v>
      </c>
      <c r="H4119" s="38" t="n">
        <f aca="false">Sens!$H$4115+Sens!$H$4116+Sens!$H$4117+Sens!$H$4118</f>
        <v>218.325572739908</v>
      </c>
      <c r="I4119" s="38" t="n">
        <f aca="false">Sens!$I$4115+Sens!$I$4116+Sens!$I$4117+Sens!$I$4118</f>
        <v>269.385130392133</v>
      </c>
      <c r="J4119" s="38" t="n">
        <f aca="false">Sens!$J$4115+Sens!$J$4116+Sens!$J$4117+Sens!$J$4118</f>
        <v>320.374242029995</v>
      </c>
      <c r="K4119" s="38" t="n">
        <f aca="false">Sens!$K$4115+Sens!$K$4116+Sens!$K$4117+Sens!$K$4118</f>
        <v>366.380563800201</v>
      </c>
      <c r="L4119" s="38" t="n">
        <f aca="false">Sens!$L$4115+Sens!$L$4116+Sens!$L$4117+Sens!$L$4118</f>
        <v>406.044332832649</v>
      </c>
      <c r="M4119" s="38" t="n">
        <f aca="false">Sens!$M$4115+Sens!$M$4116+Sens!$M$4117+Sens!$M$4118</f>
        <v>439.666251414562</v>
      </c>
    </row>
    <row r="4120" customFormat="false" ht="17.15" hidden="false" customHeight="false" outlineLevel="0" collapsed="false">
      <c r="A4120" s="5" t="s">
        <v>788</v>
      </c>
      <c r="B4120" s="0" t="s">
        <v>86</v>
      </c>
      <c r="C4120" s="38" t="n">
        <f aca="false">Sens!$C$4001</f>
        <v>25.2781053077374</v>
      </c>
      <c r="D4120" s="38" t="n">
        <f aca="false">Sens!$D$4001</f>
        <v>69.5686316310026</v>
      </c>
      <c r="E4120" s="38" t="n">
        <f aca="false">Sens!$E$4001</f>
        <v>64.1899206485108</v>
      </c>
      <c r="F4120" s="38" t="n">
        <f aca="false">Sens!$F$4001</f>
        <v>96.2481299895</v>
      </c>
      <c r="G4120" s="38" t="n">
        <f aca="false">Sens!$G$4001</f>
        <v>160.438050638011</v>
      </c>
      <c r="H4120" s="38" t="n">
        <f aca="false">Sens!$H$4001</f>
        <v>198.57136494475</v>
      </c>
      <c r="I4120" s="38" t="n">
        <f aca="false">Sens!$I$4001</f>
        <v>204.6464699105</v>
      </c>
      <c r="J4120" s="38" t="n">
        <f aca="false">Sens!$J$4001</f>
        <v>209.8832381105</v>
      </c>
      <c r="K4120" s="38" t="n">
        <f aca="false">Sens!$K$4001</f>
        <v>155.238385275201</v>
      </c>
      <c r="L4120" s="38" t="n">
        <f aca="false">Sens!$L$4001</f>
        <v>132.014141639902</v>
      </c>
      <c r="M4120" s="38" t="n">
        <f aca="false">Sens!$M$4001</f>
        <v>132.230981659852</v>
      </c>
    </row>
    <row r="4121" customFormat="false" ht="17.15" hidden="false" customHeight="false" outlineLevel="0" collapsed="false">
      <c r="A4121" s="5" t="s">
        <v>789</v>
      </c>
      <c r="B4121" s="0" t="s">
        <v>86</v>
      </c>
      <c r="C4121" s="38" t="n">
        <f aca="false">cx_awso*Sens!$C$4032</f>
        <v>21.0469989286053</v>
      </c>
      <c r="D4121" s="38" t="n">
        <f aca="false">cx_awso*Sens!$D$4032</f>
        <v>24.0042459822698</v>
      </c>
      <c r="E4121" s="38" t="n">
        <f aca="false">cx_awso*Sens!$E$4032</f>
        <v>14.261729404886</v>
      </c>
      <c r="F4121" s="38" t="n">
        <f aca="false">cx_awso*Sens!$F$4032</f>
        <v>14.3538599588493</v>
      </c>
      <c r="G4121" s="38" t="n">
        <f aca="false">Sens!$E$4121+Sens!$F$4121</f>
        <v>28.6155893637353</v>
      </c>
      <c r="H4121" s="38" t="n">
        <f aca="false">cx_awso*Sens!$H$4032</f>
        <v>32.2034154158406</v>
      </c>
      <c r="I4121" s="38" t="n">
        <f aca="false">cx_awso*Sens!$I$4032</f>
        <v>35.7539519042915</v>
      </c>
      <c r="J4121" s="38" t="n">
        <f aca="false">cx_awso*Sens!$J$4032</f>
        <v>39.1551076091815</v>
      </c>
      <c r="K4121" s="38" t="n">
        <f aca="false">cx_awso*Sens!$K$4032</f>
        <v>42.287516217916</v>
      </c>
      <c r="L4121" s="38" t="n">
        <f aca="false">cx_awso*Sens!$L$4032</f>
        <v>45.6705175153492</v>
      </c>
      <c r="M4121" s="38" t="n">
        <f aca="false">cx_awso*Sens!$M$4032</f>
        <v>49.3241589165772</v>
      </c>
    </row>
    <row r="4122" customFormat="false" ht="17.15" hidden="false" customHeight="false" outlineLevel="0" collapsed="false">
      <c r="A4122" s="5" t="s">
        <v>790</v>
      </c>
      <c r="B4122" s="0" t="s">
        <v>86</v>
      </c>
      <c r="C4122" s="38" t="n">
        <f aca="false">Q!$D$46-Sens!$C$4120-Sens!$C$4121</f>
        <v>31.3328957636573</v>
      </c>
      <c r="D4122" s="38" t="n">
        <f aca="false">Q!$E$46-Sens!$D$4120-Sens!$D$4121</f>
        <v>34.7471223867276</v>
      </c>
      <c r="E4122" s="38" t="n">
        <f aca="false">Q!$P$46-Sens!$E$4120-Sens!$E$4121</f>
        <v>17.8583499466032</v>
      </c>
      <c r="F4122" s="38" t="n">
        <f aca="false">cx_rt*Sens!$F$3964</f>
        <v>20.6195895799373</v>
      </c>
      <c r="G4122" s="38" t="n">
        <f aca="false">Sens!$E$4122+Sens!$F$4122</f>
        <v>38.4779395265405</v>
      </c>
      <c r="H4122" s="38" t="n">
        <f aca="false">cx_rt*Sens!$H$3964</f>
        <v>42.5610333666593</v>
      </c>
      <c r="I4122" s="38" t="n">
        <f aca="false">cx_rt*Sens!$I$3964</f>
        <v>46.4504001102556</v>
      </c>
      <c r="J4122" s="38" t="n">
        <f aca="false">cx_rt*Sens!$J$3964</f>
        <v>49.9776776580417</v>
      </c>
      <c r="K4122" s="38" t="n">
        <f aca="false">cx_rt*Sens!$K$3964</f>
        <v>52.9755237001879</v>
      </c>
      <c r="L4122" s="38" t="n">
        <f aca="false">cx_rt*Sens!$L$3964</f>
        <v>56.159435343698</v>
      </c>
      <c r="M4122" s="38" t="n">
        <f aca="false">cx_rt*Sens!$M$3964</f>
        <v>59.5412853780317</v>
      </c>
    </row>
    <row r="4123" customFormat="false" ht="15" hidden="false" customHeight="false" outlineLevel="0" collapsed="false">
      <c r="A4123" s="3" t="s">
        <v>791</v>
      </c>
      <c r="B4123" s="8" t="s">
        <v>86</v>
      </c>
      <c r="C4123" s="38" t="n">
        <f aca="false">Q!$D$46</f>
        <v>77.658</v>
      </c>
      <c r="D4123" s="38" t="n">
        <f aca="false">Q!$E$46</f>
        <v>128.32</v>
      </c>
      <c r="E4123" s="38" t="n">
        <f aca="false">Q!$P$46</f>
        <v>96.31</v>
      </c>
      <c r="F4123" s="38" t="n">
        <f aca="false">Sens!$F$4120+Sens!$F$4121+Sens!$F$4122</f>
        <v>131.221579528287</v>
      </c>
      <c r="G4123" s="38" t="n">
        <f aca="false">Sens!$E$4123+Sens!$F$4123</f>
        <v>227.531579528287</v>
      </c>
      <c r="H4123" s="38" t="n">
        <f aca="false">Sens!$H$4120+Sens!$H$4121+Sens!$H$4122</f>
        <v>273.33581372725</v>
      </c>
      <c r="I4123" s="38" t="n">
        <f aca="false">Sens!$I$4120+Sens!$I$4121+Sens!$I$4122</f>
        <v>286.850821925047</v>
      </c>
      <c r="J4123" s="38" t="n">
        <f aca="false">Sens!$J$4120+Sens!$J$4121+Sens!$J$4122</f>
        <v>299.016023377723</v>
      </c>
      <c r="K4123" s="38" t="n">
        <f aca="false">Sens!$K$4120+Sens!$K$4121+Sens!$K$4122</f>
        <v>250.501425193305</v>
      </c>
      <c r="L4123" s="38" t="n">
        <f aca="false">Sens!$L$4120+Sens!$L$4121+Sens!$L$4122</f>
        <v>233.844094498949</v>
      </c>
      <c r="M4123" s="38" t="n">
        <f aca="false">Sens!$M$4120+Sens!$M$4121+Sens!$M$4122</f>
        <v>241.096425954461</v>
      </c>
    </row>
    <row r="4124" customFormat="false" ht="17.15" hidden="false" customHeight="false" outlineLevel="0" collapsed="false">
      <c r="A4124" s="5" t="s">
        <v>563</v>
      </c>
      <c r="B4124" s="0" t="s">
        <v>86</v>
      </c>
      <c r="C4124" s="38" t="n">
        <f aca="false">Q!$D$50</f>
        <v>2.043</v>
      </c>
      <c r="D4124" s="38" t="n">
        <f aca="false">Q!$E$50</f>
        <v>1.557</v>
      </c>
      <c r="E4124" s="38" t="n">
        <f aca="false">lease_pr/2</f>
        <v>0.8</v>
      </c>
      <c r="F4124" s="38" t="n">
        <f aca="false">lease_pr/2</f>
        <v>0.8</v>
      </c>
      <c r="G4124" s="38" t="n">
        <f aca="false">Sens!$E$4124+Sens!$F$4124</f>
        <v>1.6</v>
      </c>
      <c r="H4124" s="38" t="n">
        <f aca="false">lease_pr</f>
        <v>1.6</v>
      </c>
      <c r="I4124" s="38" t="n">
        <f aca="false">lease_pr</f>
        <v>1.6</v>
      </c>
      <c r="J4124" s="38" t="n">
        <f aca="false">lease_pr</f>
        <v>1.6</v>
      </c>
      <c r="K4124" s="38" t="n">
        <f aca="false">lease_pr</f>
        <v>1.6</v>
      </c>
      <c r="L4124" s="38" t="n">
        <f aca="false">lease_pr</f>
        <v>1.6</v>
      </c>
      <c r="M4124" s="38" t="n">
        <f aca="false">lease_pr</f>
        <v>1.6</v>
      </c>
      <c r="P4124" s="8" t="s">
        <v>792</v>
      </c>
    </row>
    <row r="4125" customFormat="false" ht="15" hidden="false" customHeight="false" outlineLevel="0" collapsed="false">
      <c r="A4125" s="47" t="s">
        <v>793</v>
      </c>
      <c r="B4125" s="14" t="s">
        <v>86</v>
      </c>
      <c r="C4125" s="48" t="n">
        <f aca="false">Sens!$C$4119-Sens!$C$4123-Sens!$C$4124</f>
        <v>36.176</v>
      </c>
      <c r="D4125" s="48" t="n">
        <f aca="false">Sens!$D$4119-Sens!$D$4123-Sens!$D$4124</f>
        <v>9.63700000000002</v>
      </c>
      <c r="E4125" s="48" t="n">
        <f aca="false">Sens!$E$4119-Sens!$E$4123-Sens!$E$4124</f>
        <v>-25.691</v>
      </c>
      <c r="F4125" s="48" t="n">
        <f aca="false">Sens!$F$4119-Sens!$F$4123-Sens!$F$4124</f>
        <v>-41.4356983848813</v>
      </c>
      <c r="G4125" s="48" t="n">
        <f aca="false">Sens!$G$4119-Sens!$G$4123-Sens!$G$4124</f>
        <v>-67.1266983848813</v>
      </c>
      <c r="H4125" s="48" t="n">
        <f aca="false">Sens!$H$4119-Sens!$H$4123-Sens!$H$4124</f>
        <v>-56.6102409873422</v>
      </c>
      <c r="I4125" s="48" t="n">
        <f aca="false">Sens!$I$4119-Sens!$I$4123-Sens!$I$4124</f>
        <v>-19.0656915329139</v>
      </c>
      <c r="J4125" s="48" t="n">
        <f aca="false">Sens!$J$4119-Sens!$J$4123-Sens!$J$4124</f>
        <v>19.7582186522713</v>
      </c>
      <c r="K4125" s="48" t="n">
        <f aca="false">Sens!$K$4119-Sens!$K$4123-Sens!$K$4124</f>
        <v>114.279138606896</v>
      </c>
      <c r="L4125" s="48" t="n">
        <f aca="false">Sens!$L$4119-Sens!$L$4123-Sens!$L$4124</f>
        <v>170.600238333699</v>
      </c>
      <c r="M4125" s="48" t="n">
        <f aca="false">Sens!$M$4119-Sens!$M$4123-Sens!$M$4124</f>
        <v>196.969825460101</v>
      </c>
      <c r="N4125" s="14"/>
      <c r="O4125" s="14"/>
    </row>
    <row r="4126" customFormat="false" ht="17.15" hidden="false" customHeight="false" outlineLevel="0" collapsed="false">
      <c r="A4126" s="5" t="s">
        <v>794</v>
      </c>
      <c r="B4126" s="0" t="s">
        <v>86</v>
      </c>
      <c r="C4126" s="38" t="n">
        <f aca="false">dps*Sens!$C$4105</f>
        <v>0</v>
      </c>
      <c r="D4126" s="38" t="n">
        <f aca="false">dps*Sens!$D$4105</f>
        <v>0</v>
      </c>
      <c r="E4126" s="38" t="n">
        <f aca="false">dps*Sens!$E$4105</f>
        <v>0</v>
      </c>
      <c r="F4126" s="38" t="n">
        <f aca="false">0</f>
        <v>0</v>
      </c>
      <c r="G4126" s="38" t="n">
        <f aca="false">dps*Sens!$G$4105</f>
        <v>0</v>
      </c>
      <c r="H4126" s="38" t="n">
        <f aca="false">dps*Sens!$H$4105</f>
        <v>0</v>
      </c>
      <c r="I4126" s="38" t="n">
        <f aca="false">dps*Sens!$I$4105</f>
        <v>0</v>
      </c>
      <c r="J4126" s="38" t="n">
        <f aca="false">dps*Sens!$J$4105</f>
        <v>0</v>
      </c>
      <c r="K4126" s="38" t="n">
        <f aca="false">dps*Sens!$K$4105</f>
        <v>0</v>
      </c>
      <c r="L4126" s="38" t="n">
        <f aca="false">dps*Sens!$L$4105</f>
        <v>0</v>
      </c>
      <c r="M4126" s="38" t="n">
        <f aca="false">dps*Sens!$M$4105</f>
        <v>0</v>
      </c>
      <c r="P4126" s="8" t="s">
        <v>795</v>
      </c>
    </row>
    <row r="4127" customFormat="false" ht="17.15" hidden="false" customHeight="false" outlineLevel="0" collapsed="false">
      <c r="A4127" s="5" t="s">
        <v>796</v>
      </c>
      <c r="B4127" s="0" t="s">
        <v>86</v>
      </c>
      <c r="C4127" s="38" t="n">
        <f aca="false">0</f>
        <v>0</v>
      </c>
      <c r="D4127" s="38" t="n">
        <f aca="false">0</f>
        <v>0</v>
      </c>
      <c r="E4127" s="38" t="n">
        <f aca="false">0</f>
        <v>0</v>
      </c>
      <c r="F4127" s="38" t="n">
        <f aca="false">0</f>
        <v>0</v>
      </c>
      <c r="G4127" s="38" t="n">
        <f aca="false">0</f>
        <v>0</v>
      </c>
      <c r="H4127" s="38" t="n">
        <f aca="false">0</f>
        <v>0</v>
      </c>
      <c r="I4127" s="38" t="n">
        <f aca="false">0</f>
        <v>0</v>
      </c>
      <c r="J4127" s="38" t="n">
        <f aca="false">0</f>
        <v>0</v>
      </c>
      <c r="K4127" s="38" t="n">
        <f aca="false">0</f>
        <v>0</v>
      </c>
      <c r="L4127" s="38" t="n">
        <f aca="false">0</f>
        <v>0</v>
      </c>
      <c r="M4127" s="38" t="n">
        <f aca="false">0</f>
        <v>0</v>
      </c>
      <c r="P4127" s="8" t="s">
        <v>797</v>
      </c>
    </row>
    <row r="4128" customFormat="false" ht="15" hidden="false" customHeight="false" outlineLevel="0" collapsed="false">
      <c r="A4128" s="3" t="s">
        <v>798</v>
      </c>
      <c r="B4128" s="8" t="s">
        <v>86</v>
      </c>
      <c r="C4128" s="38" t="n">
        <f aca="false">Sens!$C$4125-Sens!$C$4126</f>
        <v>36.176</v>
      </c>
      <c r="D4128" s="38" t="n">
        <f aca="false">Sens!$D$4125-Sens!$D$4126</f>
        <v>9.63700000000002</v>
      </c>
      <c r="E4128" s="38" t="n">
        <f aca="false">Sens!$E$4125-Sens!$E$4126</f>
        <v>-25.691</v>
      </c>
      <c r="F4128" s="38" t="n">
        <f aca="false">Sens!$F$4125-Sens!$F$4126</f>
        <v>-41.4356983848813</v>
      </c>
      <c r="G4128" s="38" t="n">
        <f aca="false">Sens!$G$4125-Sens!$G$4126</f>
        <v>-67.1266983848813</v>
      </c>
      <c r="H4128" s="38" t="n">
        <f aca="false">Sens!$H$4125-Sens!$H$4126</f>
        <v>-56.6102409873422</v>
      </c>
      <c r="I4128" s="38" t="n">
        <f aca="false">Sens!$I$4125-Sens!$I$4126</f>
        <v>-19.0656915329139</v>
      </c>
      <c r="J4128" s="38" t="n">
        <f aca="false">Sens!$J$4125-Sens!$J$4126</f>
        <v>19.7582186522713</v>
      </c>
      <c r="K4128" s="38" t="n">
        <f aca="false">Sens!$K$4125-Sens!$K$4126</f>
        <v>114.279138606896</v>
      </c>
      <c r="L4128" s="38" t="n">
        <f aca="false">Sens!$L$4125-Sens!$L$4126</f>
        <v>170.600238333699</v>
      </c>
      <c r="M4128" s="38" t="n">
        <f aca="false">Sens!$M$4125-Sens!$M$4126</f>
        <v>196.969825460101</v>
      </c>
    </row>
    <row r="4129" customFormat="false" ht="17.15" hidden="false" customHeight="false" outlineLevel="0" collapsed="false">
      <c r="A4129" s="5" t="s">
        <v>799</v>
      </c>
      <c r="B4129" s="0" t="s">
        <v>86</v>
      </c>
      <c r="E4129" s="38" t="n">
        <f aca="false">Q!$P$53</f>
        <v>39.767</v>
      </c>
      <c r="F4129" s="38" t="n">
        <f aca="false">inv_2h26</f>
        <v>21.3</v>
      </c>
      <c r="G4129" s="38" t="n">
        <f aca="false">Sens!$E$4129+Sens!$F$4129</f>
        <v>61.067</v>
      </c>
      <c r="H4129" s="39" t="n">
        <v>0</v>
      </c>
      <c r="I4129" s="39" t="n">
        <v>0</v>
      </c>
      <c r="J4129" s="39" t="n">
        <v>0</v>
      </c>
      <c r="K4129" s="39" t="n">
        <v>0</v>
      </c>
      <c r="L4129" s="39" t="n">
        <v>0</v>
      </c>
      <c r="M4129" s="39" t="n">
        <v>0</v>
      </c>
    </row>
    <row r="4130" customFormat="false" ht="17.15" hidden="false" customHeight="false" outlineLevel="0" collapsed="false">
      <c r="A4130" s="5" t="s">
        <v>800</v>
      </c>
      <c r="B4130" s="0" t="s">
        <v>86</v>
      </c>
      <c r="F4130" s="38" t="n">
        <f aca="false">iss_2h26</f>
        <v>29.249999</v>
      </c>
      <c r="G4130" s="38" t="n">
        <f aca="false">Sens!$F$4130</f>
        <v>29.249999</v>
      </c>
      <c r="H4130" s="39" t="n">
        <v>0</v>
      </c>
      <c r="I4130" s="39" t="n">
        <v>0</v>
      </c>
      <c r="J4130" s="39" t="n">
        <v>0</v>
      </c>
      <c r="K4130" s="39" t="n">
        <v>0</v>
      </c>
      <c r="L4130" s="39" t="n">
        <v>0</v>
      </c>
      <c r="M4130" s="39" t="n">
        <v>0</v>
      </c>
    </row>
    <row r="4131" customFormat="false" ht="17.15" hidden="false" customHeight="false" outlineLevel="0" collapsed="false">
      <c r="A4131" s="5" t="s">
        <v>801</v>
      </c>
      <c r="B4131" s="0" t="s">
        <v>86</v>
      </c>
      <c r="F4131" s="38" t="n">
        <f aca="false">cash_q2</f>
        <v>122.988</v>
      </c>
      <c r="G4131" s="38" t="n">
        <f aca="false">cash_q2</f>
        <v>122.988</v>
      </c>
      <c r="H4131" s="38" t="n">
        <f aca="false">Sens!$G$4134</f>
        <v>89.5023006151187</v>
      </c>
      <c r="I4131" s="38" t="n">
        <f aca="false">Sens!$H$4134</f>
        <v>50</v>
      </c>
      <c r="J4131" s="38" t="n">
        <f aca="false">Sens!$I$4134</f>
        <v>50</v>
      </c>
      <c r="K4131" s="38" t="n">
        <f aca="false">Sens!$J$4134</f>
        <v>69.7582186522713</v>
      </c>
      <c r="L4131" s="38" t="n">
        <f aca="false">Sens!$K$4134</f>
        <v>184.037357259168</v>
      </c>
      <c r="M4131" s="38" t="n">
        <f aca="false">Sens!$L$4134</f>
        <v>354.637595592867</v>
      </c>
    </row>
    <row r="4132" customFormat="false" ht="15" hidden="false" customHeight="false" outlineLevel="0" collapsed="false">
      <c r="A4132" s="5" t="s">
        <v>802</v>
      </c>
      <c r="B4132" s="0" t="s">
        <v>86</v>
      </c>
      <c r="F4132" s="38" t="n">
        <f aca="false">Sens!$F$4131+Sens!$F$4128-Sens!$F$4127-Sens!$F$4129+Sens!$F$4130</f>
        <v>89.5023006151187</v>
      </c>
      <c r="H4132" s="38" t="n">
        <f aca="false">Sens!$H$4131+Sens!$H$4128-Sens!$H$4127-Sens!$H$4129+Sens!$H$4130</f>
        <v>32.8920596277765</v>
      </c>
      <c r="I4132" s="38" t="n">
        <f aca="false">Sens!$I$4131+Sens!$I$4128-Sens!$I$4127-Sens!$I$4129+Sens!$I$4130</f>
        <v>30.9343084670861</v>
      </c>
      <c r="J4132" s="38" t="n">
        <f aca="false">Sens!$J$4131+Sens!$J$4128-Sens!$J$4127-Sens!$J$4129+Sens!$J$4130</f>
        <v>69.7582186522713</v>
      </c>
      <c r="K4132" s="38" t="n">
        <f aca="false">Sens!$K$4131+Sens!$K$4128-Sens!$K$4127-Sens!$K$4129+Sens!$K$4130</f>
        <v>184.037357259168</v>
      </c>
      <c r="L4132" s="38" t="n">
        <f aca="false">Sens!$L$4131+Sens!$L$4128-Sens!$L$4127-Sens!$L$4129+Sens!$L$4130</f>
        <v>354.637595592867</v>
      </c>
      <c r="M4132" s="38" t="n">
        <f aca="false">Sens!$M$4131+Sens!$M$4128-Sens!$M$4127-Sens!$M$4129+Sens!$M$4130</f>
        <v>551.607421052968</v>
      </c>
    </row>
    <row r="4133" customFormat="false" ht="17.15" hidden="false" customHeight="false" outlineLevel="0" collapsed="false">
      <c r="A4133" s="5" t="s">
        <v>803</v>
      </c>
      <c r="B4133" s="0" t="s">
        <v>86</v>
      </c>
      <c r="F4133" s="38" t="n">
        <f aca="false">MAX(0,min_cash-Sens!$F$4132)</f>
        <v>0</v>
      </c>
      <c r="G4133" s="38" t="n">
        <f aca="false">Sens!$F$4133</f>
        <v>0</v>
      </c>
      <c r="H4133" s="38" t="n">
        <f aca="false">MAX(0,min_cash-Sens!$H$4132)</f>
        <v>17.1079403722235</v>
      </c>
      <c r="I4133" s="38" t="n">
        <f aca="false">MAX(0,min_cash-Sens!$I$4132)</f>
        <v>19.0656915329139</v>
      </c>
      <c r="J4133" s="38" t="n">
        <f aca="false">MAX(0,min_cash-Sens!$J$4132)</f>
        <v>0</v>
      </c>
      <c r="K4133" s="38" t="n">
        <f aca="false">MAX(0,min_cash-Sens!$K$4132)</f>
        <v>0</v>
      </c>
      <c r="L4133" s="38" t="n">
        <f aca="false">MAX(0,min_cash-Sens!$L$4132)</f>
        <v>0</v>
      </c>
      <c r="M4133" s="38" t="n">
        <f aca="false">MAX(0,min_cash-Sens!$M$4132)</f>
        <v>0</v>
      </c>
      <c r="P4133" s="5" t="s">
        <v>804</v>
      </c>
    </row>
    <row r="4134" customFormat="false" ht="15" hidden="false" customHeight="false" outlineLevel="0" collapsed="false">
      <c r="A4134" s="5" t="s">
        <v>805</v>
      </c>
      <c r="B4134" s="0" t="s">
        <v>86</v>
      </c>
      <c r="D4134" s="38" t="n">
        <f aca="false">Q!$E$61</f>
        <v>123.029</v>
      </c>
      <c r="E4134" s="38" t="n">
        <f aca="false">Q!$M$61</f>
        <v>122.988</v>
      </c>
      <c r="F4134" s="38" t="n">
        <f aca="false">Sens!$F$4132+Sens!$F$4133</f>
        <v>89.5023006151187</v>
      </c>
      <c r="G4134" s="38" t="n">
        <f aca="false">Sens!$F$4134</f>
        <v>89.5023006151187</v>
      </c>
      <c r="H4134" s="38" t="n">
        <f aca="false">Sens!$H$4132+Sens!$H$4133</f>
        <v>50</v>
      </c>
      <c r="I4134" s="38" t="n">
        <f aca="false">Sens!$I$4132+Sens!$I$4133</f>
        <v>50</v>
      </c>
      <c r="J4134" s="38" t="n">
        <f aca="false">Sens!$J$4132+Sens!$J$4133</f>
        <v>69.7582186522713</v>
      </c>
      <c r="K4134" s="38" t="n">
        <f aca="false">Sens!$K$4132+Sens!$K$4133</f>
        <v>184.037357259168</v>
      </c>
      <c r="L4134" s="38" t="n">
        <f aca="false">Sens!$L$4132+Sens!$L$4133</f>
        <v>354.637595592867</v>
      </c>
      <c r="M4134" s="38" t="n">
        <f aca="false">Sens!$M$4132+Sens!$M$4133</f>
        <v>551.607421052968</v>
      </c>
    </row>
    <row r="4135" customFormat="false" ht="15" hidden="false" customHeight="false" outlineLevel="0" collapsed="false">
      <c r="A4135" s="5" t="s">
        <v>806</v>
      </c>
      <c r="B4135" s="0" t="s">
        <v>86</v>
      </c>
      <c r="D4135" s="38" t="n">
        <f aca="false">Q!$E$62</f>
        <v>68.836</v>
      </c>
      <c r="E4135" s="38" t="n">
        <f aca="false">Q!$M$62</f>
        <v>132.995</v>
      </c>
      <c r="F4135" s="38" t="n">
        <f aca="false">debt_q2+Sens!$F$4130+Sens!$F$4133</f>
        <v>162.244999</v>
      </c>
      <c r="G4135" s="38" t="n">
        <f aca="false">Sens!$F$4135</f>
        <v>162.244999</v>
      </c>
      <c r="H4135" s="38" t="n">
        <f aca="false">Sens!$G$4135+Sens!$H$4133</f>
        <v>179.352939372223</v>
      </c>
      <c r="I4135" s="38" t="n">
        <f aca="false">Sens!$H$4135+Sens!$I$4133</f>
        <v>198.418630905137</v>
      </c>
      <c r="J4135" s="38" t="n">
        <f aca="false">Sens!$I$4135+Sens!$J$4133</f>
        <v>198.418630905137</v>
      </c>
      <c r="K4135" s="38" t="n">
        <f aca="false">Sens!$J$4135+Sens!$K$4133</f>
        <v>198.418630905137</v>
      </c>
      <c r="L4135" s="38" t="n">
        <f aca="false">Sens!$K$4135+Sens!$L$4133</f>
        <v>198.418630905137</v>
      </c>
      <c r="M4135" s="38" t="n">
        <f aca="false">Sens!$L$4135+Sens!$M$4133</f>
        <v>198.418630905137</v>
      </c>
    </row>
    <row r="4136" customFormat="false" ht="15" hidden="false" customHeight="false" outlineLevel="0" collapsed="false">
      <c r="A4136" s="5" t="s">
        <v>807</v>
      </c>
      <c r="B4136" s="0" t="s">
        <v>86</v>
      </c>
      <c r="D4136" s="38" t="n">
        <f aca="false">Sens!$D$4135-Sens!$D$4134</f>
        <v>-54.193</v>
      </c>
      <c r="E4136" s="38" t="n">
        <f aca="false">Sens!$E$4135-Sens!$E$4134</f>
        <v>10.007</v>
      </c>
      <c r="F4136" s="38" t="n">
        <f aca="false">Sens!$F$4135-Sens!$F$4134</f>
        <v>72.7426983848813</v>
      </c>
      <c r="G4136" s="38" t="n">
        <f aca="false">Sens!$G$4135-Sens!$G$4134</f>
        <v>72.7426983848813</v>
      </c>
      <c r="H4136" s="38" t="n">
        <f aca="false">Sens!$H$4135-Sens!$H$4134</f>
        <v>129.352939372223</v>
      </c>
      <c r="I4136" s="38" t="n">
        <f aca="false">Sens!$I$4135-Sens!$I$4134</f>
        <v>148.418630905137</v>
      </c>
      <c r="J4136" s="38" t="n">
        <f aca="false">Sens!$J$4135-Sens!$J$4134</f>
        <v>128.660412252866</v>
      </c>
      <c r="K4136" s="38" t="n">
        <f aca="false">Sens!$K$4135-Sens!$K$4134</f>
        <v>14.3812736459696</v>
      </c>
      <c r="L4136" s="38" t="n">
        <f aca="false">Sens!$L$4135-Sens!$L$4134</f>
        <v>-156.21896468773</v>
      </c>
      <c r="M4136" s="38" t="n">
        <f aca="false">Sens!$M$4135-Sens!$M$4134</f>
        <v>-353.18879014783</v>
      </c>
    </row>
    <row r="4137" customFormat="false" ht="17.15" hidden="false" customHeight="false" outlineLevel="0" collapsed="false">
      <c r="A4137" s="5" t="s">
        <v>808</v>
      </c>
      <c r="B4137" s="0" t="s">
        <v>86</v>
      </c>
      <c r="F4137" s="38" t="n">
        <f aca="false">debt_q2*kd_book*0.5+iss_2h26*kd_new*iss_t</f>
        <v>3.24888962733561</v>
      </c>
      <c r="H4137" s="38" t="n">
        <f aca="false">debt_q2*kd_book+(Sens!$G$4135-debt_q2)*kd_new</f>
        <v>7.42354172302123</v>
      </c>
      <c r="I4137" s="38" t="n">
        <f aca="false">debt_q2*kd_book+(Sens!$H$4135-debt_q2)*kd_new</f>
        <v>8.50647434858297</v>
      </c>
      <c r="J4137" s="38" t="n">
        <f aca="false">debt_q2*kd_book+(Sens!$I$4135-debt_q2)*kd_new</f>
        <v>9.71333262261642</v>
      </c>
      <c r="K4137" s="38" t="n">
        <f aca="false">debt_q2*kd_book+(Sens!$J$4135-debt_q2)*kd_new</f>
        <v>9.71333262261642</v>
      </c>
      <c r="L4137" s="38" t="n">
        <f aca="false">debt_q2*kd_book+(Sens!$K$4135-debt_q2)*kd_new</f>
        <v>9.71333262261642</v>
      </c>
      <c r="M4137" s="38" t="n">
        <f aca="false">debt_q2*kd_book+(Sens!$L$4135-debt_q2)*kd_new</f>
        <v>9.71333262261642</v>
      </c>
    </row>
    <row r="4138" customFormat="false" ht="17.15" hidden="false" customHeight="false" outlineLevel="0" collapsed="false">
      <c r="A4138" s="5" t="s">
        <v>809</v>
      </c>
      <c r="B4138" s="0" t="s">
        <v>86</v>
      </c>
      <c r="F4138" s="38" t="n">
        <f aca="false">cash_q2*y_cash*0.5</f>
        <v>2.59</v>
      </c>
      <c r="H4138" s="38" t="n">
        <f aca="false">Sens!$G$4134*y_cash</f>
        <v>3.76965165045626</v>
      </c>
      <c r="I4138" s="38" t="n">
        <f aca="false">Sens!$H$4134*y_cash</f>
        <v>2.10589651022864</v>
      </c>
      <c r="J4138" s="38" t="n">
        <f aca="false">Sens!$I$4134*y_cash</f>
        <v>2.10589651022864</v>
      </c>
      <c r="K4138" s="38" t="n">
        <f aca="false">Sens!$J$4134*y_cash</f>
        <v>2.93807178439169</v>
      </c>
      <c r="L4138" s="38" t="n">
        <f aca="false">Sens!$K$4134*y_cash</f>
        <v>7.75127256807566</v>
      </c>
      <c r="M4138" s="38" t="n">
        <f aca="false">Sens!$L$4134*y_cash</f>
        <v>14.9366014990979</v>
      </c>
    </row>
    <row r="4139" customFormat="false" ht="17.15" hidden="false" customHeight="false" outlineLevel="0" collapsed="false">
      <c r="A4139" s="47" t="s">
        <v>810</v>
      </c>
      <c r="B4139" s="14" t="s">
        <v>86</v>
      </c>
      <c r="C4139" s="14"/>
      <c r="D4139" s="14"/>
      <c r="E4139" s="14"/>
      <c r="F4139" s="14"/>
      <c r="G4139" s="48" t="n">
        <f aca="false">SUM(Sens!$G$4128:$K$4128)</f>
        <v>-8.76527364596959</v>
      </c>
      <c r="H4139" s="14"/>
      <c r="I4139" s="14"/>
      <c r="J4139" s="14"/>
      <c r="K4139" s="14"/>
      <c r="L4139" s="14"/>
      <c r="M4139" s="14"/>
      <c r="N4139" s="14"/>
      <c r="O4139" s="14"/>
    </row>
    <row r="4140" customFormat="false" ht="17.15" hidden="false" customHeight="false" outlineLevel="0" collapsed="false">
      <c r="A4140" s="0" t="s">
        <v>776</v>
      </c>
      <c r="B4140" s="0" t="s">
        <v>86</v>
      </c>
      <c r="G4140" s="38" t="n">
        <f aca="false">SUM(Sens!$G$4133:$K$4133)</f>
        <v>36.1736319051373</v>
      </c>
    </row>
    <row r="4141" customFormat="false" ht="17.15" hidden="false" customHeight="false" outlineLevel="0" collapsed="false">
      <c r="A4141" s="24" t="s">
        <v>813</v>
      </c>
      <c r="B4141" s="25" t="s">
        <v>86</v>
      </c>
      <c r="C4141" s="25"/>
      <c r="D4141" s="25"/>
      <c r="E4141" s="25"/>
      <c r="F4141" s="25"/>
      <c r="G4141" s="41" t="n">
        <f aca="false">Sens!$G$4139-(Sens!$G$4128+Sens!$H$4128+Sens!$I$4128+Sens!$J$4128+Sens!$K$4128)</f>
        <v>0</v>
      </c>
      <c r="H4141" s="25"/>
      <c r="I4141" s="25"/>
      <c r="J4141" s="25"/>
      <c r="K4141" s="25"/>
      <c r="L4141" s="25"/>
      <c r="M4141" s="25"/>
      <c r="N4141" s="25"/>
      <c r="O4141" s="25"/>
    </row>
    <row r="4144" customFormat="false" ht="19.4" hidden="false" customHeight="false" outlineLevel="0" collapsed="false">
      <c r="A4144" s="31" t="s">
        <v>1219</v>
      </c>
    </row>
    <row r="4145" customFormat="false" ht="17.15" hidden="false" customHeight="false" outlineLevel="0" collapsed="false">
      <c r="A4145" s="6" t="s">
        <v>16</v>
      </c>
      <c r="B4145" s="6" t="s">
        <v>17</v>
      </c>
      <c r="C4145" s="20" t="s">
        <v>497</v>
      </c>
      <c r="D4145" s="20" t="s">
        <v>498</v>
      </c>
      <c r="E4145" s="20" t="s">
        <v>580</v>
      </c>
      <c r="F4145" s="20" t="s">
        <v>581</v>
      </c>
      <c r="G4145" s="20" t="s">
        <v>582</v>
      </c>
      <c r="H4145" s="20" t="s">
        <v>583</v>
      </c>
      <c r="I4145" s="20" t="s">
        <v>584</v>
      </c>
      <c r="J4145" s="20" t="s">
        <v>585</v>
      </c>
      <c r="K4145" s="20" t="s">
        <v>586</v>
      </c>
      <c r="L4145" s="20" t="s">
        <v>587</v>
      </c>
      <c r="M4145" s="20" t="s">
        <v>588</v>
      </c>
      <c r="N4145" s="20" t="s">
        <v>589</v>
      </c>
      <c r="O4145" s="20" t="s">
        <v>590</v>
      </c>
      <c r="P4145" s="6" t="s">
        <v>23</v>
      </c>
      <c r="R4145" s="20" t="n">
        <v>2023</v>
      </c>
      <c r="S4145" s="20" t="n">
        <v>2024</v>
      </c>
      <c r="T4145" s="20" t="n">
        <v>2025</v>
      </c>
      <c r="U4145" s="20" t="n">
        <v>2026</v>
      </c>
      <c r="V4145" s="20" t="n">
        <v>2027</v>
      </c>
      <c r="W4145" s="20" t="n">
        <v>2028</v>
      </c>
      <c r="X4145" s="20" t="n">
        <v>2029</v>
      </c>
      <c r="Y4145" s="20" t="n">
        <v>2030</v>
      </c>
      <c r="Z4145" s="20" t="n">
        <v>2031</v>
      </c>
      <c r="AA4145" s="20" t="n">
        <v>2032</v>
      </c>
    </row>
    <row r="4146" customFormat="false" ht="17.15" hidden="false" customHeight="false" outlineLevel="0" collapsed="false">
      <c r="A4146" s="1" t="s">
        <v>915</v>
      </c>
    </row>
    <row r="4147" customFormat="false" ht="17.15" hidden="false" customHeight="false" outlineLevel="0" collapsed="false">
      <c r="A4147" s="0" t="s">
        <v>916</v>
      </c>
      <c r="B4147" s="0" t="s">
        <v>86</v>
      </c>
      <c r="H4147" s="38" t="n">
        <f aca="false">Sens!$H$4081*(1-tax)</f>
        <v>120.985892747408</v>
      </c>
      <c r="I4147" s="38" t="n">
        <f aca="false">Sens!$I$4081*(1-tax)</f>
        <v>145.380479741347</v>
      </c>
      <c r="J4147" s="38" t="n">
        <f aca="false">Sens!$J$4081*(1-tax)</f>
        <v>168.03865781129</v>
      </c>
      <c r="K4147" s="38" t="n">
        <f aca="false">Sens!$K$4081*(1-tax)</f>
        <v>183.204504621816</v>
      </c>
      <c r="L4147" s="38" t="n">
        <f aca="false">Sens!$L$4081*(1-tax)</f>
        <v>194.905137712928</v>
      </c>
      <c r="M4147" s="38" t="n">
        <f aca="false">Sens!$M$4081*(1-tax)</f>
        <v>203.116248431611</v>
      </c>
    </row>
    <row r="4148" customFormat="false" ht="15" hidden="false" customHeight="false" outlineLevel="0" collapsed="false">
      <c r="A4148" s="5" t="s">
        <v>917</v>
      </c>
      <c r="B4148" s="0" t="s">
        <v>86</v>
      </c>
      <c r="H4148" s="38" t="n">
        <f aca="false">Sens!$H$4092</f>
        <v>78.1586522343157</v>
      </c>
      <c r="I4148" s="38" t="n">
        <f aca="false">Sens!$I$4092</f>
        <v>111.095488704924</v>
      </c>
      <c r="J4148" s="38" t="n">
        <f aca="false">Sens!$J$4092</f>
        <v>144.710896301864</v>
      </c>
      <c r="K4148" s="38" t="n">
        <f aca="false">Sens!$K$4092</f>
        <v>178.485533593586</v>
      </c>
      <c r="L4148" s="38" t="n">
        <f aca="false">Sens!$L$4092</f>
        <v>203.849237922075</v>
      </c>
      <c r="M4148" s="38" t="n">
        <f aca="false">Sens!$M$4092</f>
        <v>222.440401230797</v>
      </c>
    </row>
    <row r="4149" customFormat="false" ht="15" hidden="false" customHeight="false" outlineLevel="0" collapsed="false">
      <c r="A4149" s="5" t="s">
        <v>918</v>
      </c>
      <c r="B4149" s="0" t="s">
        <v>86</v>
      </c>
      <c r="H4149" s="38" t="n">
        <f aca="false">Sens!$H$4123</f>
        <v>273.33581372725</v>
      </c>
      <c r="I4149" s="38" t="n">
        <f aca="false">Sens!$I$4123</f>
        <v>286.850821925047</v>
      </c>
      <c r="J4149" s="38" t="n">
        <f aca="false">Sens!$J$4123</f>
        <v>299.016023377723</v>
      </c>
      <c r="K4149" s="38" t="n">
        <f aca="false">Sens!$K$4123</f>
        <v>250.501425193305</v>
      </c>
      <c r="L4149" s="38" t="n">
        <f aca="false">Sens!$L$4123</f>
        <v>233.844094498949</v>
      </c>
      <c r="M4149" s="38" t="n">
        <f aca="false">Sens!$M$4123</f>
        <v>241.096425954461</v>
      </c>
    </row>
    <row r="4150" customFormat="false" ht="15" hidden="false" customHeight="false" outlineLevel="0" collapsed="false">
      <c r="A4150" s="5" t="s">
        <v>919</v>
      </c>
      <c r="B4150" s="0" t="s">
        <v>86</v>
      </c>
      <c r="H4150" s="38" t="n">
        <f aca="false">Sens!$H$4124</f>
        <v>1.6</v>
      </c>
      <c r="I4150" s="38" t="n">
        <f aca="false">Sens!$I$4124</f>
        <v>1.6</v>
      </c>
      <c r="J4150" s="38" t="n">
        <f aca="false">Sens!$J$4124</f>
        <v>1.6</v>
      </c>
      <c r="K4150" s="38" t="n">
        <f aca="false">Sens!$K$4124</f>
        <v>1.6</v>
      </c>
      <c r="L4150" s="38" t="n">
        <f aca="false">Sens!$L$4124</f>
        <v>1.6</v>
      </c>
      <c r="M4150" s="38" t="n">
        <f aca="false">Sens!$M$4124</f>
        <v>1.6</v>
      </c>
    </row>
    <row r="4151" customFormat="false" ht="15" hidden="false" customHeight="false" outlineLevel="0" collapsed="false">
      <c r="A4151" s="5" t="s">
        <v>920</v>
      </c>
      <c r="B4151" s="0" t="s">
        <v>86</v>
      </c>
      <c r="H4151" s="38" t="n">
        <f aca="false">Sens!$H$4118</f>
        <v>11.2853503187163</v>
      </c>
      <c r="I4151" s="38" t="n">
        <f aca="false">Sens!$I$4118</f>
        <v>12.7825799678694</v>
      </c>
      <c r="J4151" s="38" t="n">
        <f aca="false">Sens!$J$4118</f>
        <v>14.1996034397101</v>
      </c>
      <c r="K4151" s="38" t="n">
        <f aca="false">Sens!$K$4118</f>
        <v>15.4200205461038</v>
      </c>
      <c r="L4151" s="38" t="n">
        <f aca="false">Sens!$L$4118</f>
        <v>16.5476763773635</v>
      </c>
      <c r="M4151" s="38" t="n">
        <f aca="false">Sens!$M$4118</f>
        <v>17.5858224644451</v>
      </c>
    </row>
    <row r="4152" customFormat="false" ht="17.15" hidden="false" customHeight="false" outlineLevel="0" collapsed="false">
      <c r="A4152" s="1" t="s">
        <v>921</v>
      </c>
      <c r="B4152" s="8" t="s">
        <v>86</v>
      </c>
      <c r="H4152" s="38" t="n">
        <f aca="false">Sens!$H$4147+Sens!$H$4148-Sens!$H$4149+Sens!$H$4151</f>
        <v>-62.9059184268097</v>
      </c>
      <c r="I4152" s="38" t="n">
        <f aca="false">Sens!$I$4147+Sens!$I$4148-Sens!$I$4149+Sens!$I$4151</f>
        <v>-17.5922735109072</v>
      </c>
      <c r="J4152" s="38" t="n">
        <f aca="false">Sens!$J$4147+Sens!$J$4148-Sens!$J$4149+Sens!$J$4151</f>
        <v>27.933134175141</v>
      </c>
      <c r="K4152" s="38" t="n">
        <f aca="false">Sens!$K$4147+Sens!$K$4148-Sens!$K$4149+Sens!$K$4151</f>
        <v>126.608633568201</v>
      </c>
      <c r="L4152" s="38" t="n">
        <f aca="false">Sens!$L$4147+Sens!$L$4148-Sens!$L$4149+Sens!$L$4151</f>
        <v>181.457957513418</v>
      </c>
      <c r="M4152" s="38" t="n">
        <f aca="false">Sens!$M$4147+Sens!$M$4148-Sens!$M$4149+Sens!$M$4151</f>
        <v>202.046046172392</v>
      </c>
    </row>
    <row r="4153" customFormat="false" ht="15" hidden="false" customHeight="false" outlineLevel="0" collapsed="false">
      <c r="A4153" s="5" t="s">
        <v>922</v>
      </c>
      <c r="B4153" s="0" t="s">
        <v>57</v>
      </c>
      <c r="H4153" s="40" t="n">
        <f aca="false">1/(1+wacc)^(2027-2026-0.5)</f>
        <v>0.947751320380232</v>
      </c>
      <c r="I4153" s="40" t="n">
        <f aca="false">1/(1+wacc)^(2028-2026-0.5)</f>
        <v>0.851301099754987</v>
      </c>
      <c r="J4153" s="40" t="n">
        <f aca="false">1/(1+wacc)^(2029-2026-0.5)</f>
        <v>0.764666370660713</v>
      </c>
      <c r="K4153" s="40" t="n">
        <f aca="false">1/(1+wacc)^(2030-2026-0.5)</f>
        <v>0.686848235703811</v>
      </c>
      <c r="L4153" s="40" t="n">
        <f aca="false">1/(1+wacc)^(2031-2026-0.5)</f>
        <v>0.616949452715975</v>
      </c>
      <c r="M4153" s="40" t="n">
        <f aca="false">1/(1+wacc)^(2032-2026-0.5)</f>
        <v>0.554164089562688</v>
      </c>
    </row>
    <row r="4154" customFormat="false" ht="15" hidden="false" customHeight="false" outlineLevel="0" collapsed="false">
      <c r="A4154" s="5" t="s">
        <v>923</v>
      </c>
      <c r="B4154" s="0" t="s">
        <v>86</v>
      </c>
      <c r="H4154" s="38" t="n">
        <f aca="false">Sens!$H$4152*Sens!$H$4153</f>
        <v>-59.6191672487401</v>
      </c>
      <c r="I4154" s="38" t="n">
        <f aca="false">Sens!$I$4152*Sens!$I$4153</f>
        <v>-14.9763217870258</v>
      </c>
      <c r="J4154" s="38" t="n">
        <f aca="false">Sens!$J$4152*Sens!$J$4153</f>
        <v>21.3595283308838</v>
      </c>
      <c r="K4154" s="38" t="n">
        <f aca="false">Sens!$K$4152*Sens!$K$4153</f>
        <v>86.9609165911891</v>
      </c>
      <c r="L4154" s="38" t="n">
        <f aca="false">Sens!$L$4152*Sens!$L$4153</f>
        <v>111.950387578862</v>
      </c>
      <c r="M4154" s="38" t="n">
        <f aca="false">Sens!$M$4152*Sens!$M$4153</f>
        <v>111.966663226864</v>
      </c>
    </row>
    <row r="4155" customFormat="false" ht="15" hidden="false" customHeight="false" outlineLevel="0" collapsed="false">
      <c r="A4155" s="5" t="s">
        <v>924</v>
      </c>
      <c r="B4155" s="0" t="s">
        <v>86</v>
      </c>
      <c r="C4155" s="38" t="n">
        <f aca="false">SUM(Sens!$H$4154:$M$4154)</f>
        <v>257.642006692033</v>
      </c>
    </row>
    <row r="4156" customFormat="false" ht="17.15" hidden="false" customHeight="false" outlineLevel="0" collapsed="false">
      <c r="A4156" s="5" t="s">
        <v>925</v>
      </c>
      <c r="B4156" s="0" t="s">
        <v>86</v>
      </c>
      <c r="C4156" s="38" t="n">
        <f aca="false">Sens!$M$4147*(1+tg)*(1-tg/ronic)/(wacc-tg)</f>
        <v>1846.5533524281</v>
      </c>
    </row>
    <row r="4157" customFormat="false" ht="15" hidden="false" customHeight="false" outlineLevel="0" collapsed="false">
      <c r="A4157" s="5" t="s">
        <v>926</v>
      </c>
      <c r="B4157" s="0" t="s">
        <v>86</v>
      </c>
      <c r="C4157" s="38" t="n">
        <f aca="false">Sens!$C$4156/(1+wacc)^6</f>
        <v>969.827820140872</v>
      </c>
    </row>
    <row r="4158" customFormat="false" ht="17.15" hidden="false" customHeight="false" outlineLevel="0" collapsed="false">
      <c r="A4158" s="5" t="s">
        <v>927</v>
      </c>
      <c r="B4158" s="0" t="s">
        <v>86</v>
      </c>
      <c r="C4158" s="38" t="n">
        <f aca="false">Sens!$C$4155+Sens!$C$4157</f>
        <v>1227.46982683291</v>
      </c>
    </row>
    <row r="4159" customFormat="false" ht="17.15" hidden="false" customHeight="false" outlineLevel="0" collapsed="false">
      <c r="A4159" s="5" t="s">
        <v>928</v>
      </c>
      <c r="B4159" s="0" t="s">
        <v>52</v>
      </c>
      <c r="C4159" s="13" t="n">
        <f aca="false">Sens!$C$4157/Sens!$C$4158</f>
        <v>0.79010318538192</v>
      </c>
    </row>
    <row r="4160" customFormat="false" ht="17.15" hidden="false" customHeight="false" outlineLevel="0" collapsed="false">
      <c r="A4160" s="5" t="s">
        <v>929</v>
      </c>
      <c r="B4160" s="0" t="s">
        <v>86</v>
      </c>
      <c r="C4160" s="38" t="n">
        <f aca="false">Sens!$G$4136+fin_debt</f>
        <v>97.2636983848813</v>
      </c>
    </row>
    <row r="4161" customFormat="false" ht="17.15" hidden="false" customHeight="false" outlineLevel="0" collapsed="false">
      <c r="A4161" s="5" t="s">
        <v>930</v>
      </c>
      <c r="B4161" s="0" t="s">
        <v>86</v>
      </c>
      <c r="C4161" s="38" t="n">
        <f aca="false">(ant_val*ant_sh+oai_val*oai_sh)*(1-liq_disc)</f>
        <v>178.944</v>
      </c>
    </row>
    <row r="4162" customFormat="false" ht="15" hidden="false" customHeight="false" outlineLevel="0" collapsed="false">
      <c r="A4162" s="5" t="s">
        <v>931</v>
      </c>
      <c r="B4162" s="0" t="s">
        <v>86</v>
      </c>
      <c r="C4162" s="38" t="n">
        <f aca="false">Sens!$C$4158-Sens!$C$4160+Sens!$C$4161</f>
        <v>1309.15012844802</v>
      </c>
    </row>
    <row r="4163" customFormat="false" ht="17.15" hidden="false" customHeight="false" outlineLevel="0" collapsed="false">
      <c r="A4163" s="5" t="s">
        <v>932</v>
      </c>
      <c r="B4163" s="0" t="s">
        <v>27</v>
      </c>
      <c r="C4163" s="30" t="n">
        <f aca="false">Sens!$C$4162/sh_out</f>
        <v>121.371409032597</v>
      </c>
    </row>
    <row r="4164" customFormat="false" ht="17.15" hidden="false" customHeight="false" outlineLevel="0" collapsed="false">
      <c r="A4164" s="1" t="s">
        <v>933</v>
      </c>
      <c r="B4164" s="8" t="s">
        <v>27</v>
      </c>
      <c r="C4164" s="30" t="n">
        <f aca="false">Sens!$C$4163*(1+ke)^tp_yf-dps*tp_yf</f>
        <v>132.946460307037</v>
      </c>
    </row>
    <row r="4165" customFormat="false" ht="17.15" hidden="false" customHeight="false" outlineLevel="0" collapsed="false">
      <c r="A4165" s="3" t="s">
        <v>934</v>
      </c>
    </row>
    <row r="4166" customFormat="false" ht="17.15" hidden="false" customHeight="false" outlineLevel="0" collapsed="false">
      <c r="A4166" s="5" t="s">
        <v>935</v>
      </c>
      <c r="B4166" s="0" t="s">
        <v>86</v>
      </c>
      <c r="C4166" s="38" t="n">
        <f aca="false">(1-tp_yf)*(Sens!$H$4093+sbc_ab*Sens!$H$4117*Sens!$H$3957/Sens!$H$4034)+tp_yf*(Sens!$I$4093+sbc_ab*Sens!$I$4117*Sens!$I$3957/Sens!$I$4034)</f>
        <v>58.6196883033517</v>
      </c>
    </row>
    <row r="4167" customFormat="false" ht="15" hidden="false" customHeight="false" outlineLevel="0" collapsed="false">
      <c r="A4167" s="5" t="s">
        <v>936</v>
      </c>
      <c r="B4167" s="0" t="s">
        <v>57</v>
      </c>
      <c r="C4167" s="30" t="n">
        <f aca="false">m_ads*m_x</f>
        <v>9.11</v>
      </c>
    </row>
    <row r="4168" customFormat="false" ht="17.15" hidden="false" customHeight="false" outlineLevel="0" collapsed="false">
      <c r="A4168" s="5" t="s">
        <v>937</v>
      </c>
      <c r="B4168" s="0" t="s">
        <v>86</v>
      </c>
      <c r="C4168" s="38" t="n">
        <f aca="false">Sens!$C$4166*Sens!$C$4167</f>
        <v>534.025360443534</v>
      </c>
    </row>
    <row r="4169" customFormat="false" ht="17.15" hidden="false" customHeight="false" outlineLevel="0" collapsed="false">
      <c r="A4169" s="5" t="s">
        <v>938</v>
      </c>
      <c r="B4169" s="0" t="s">
        <v>86</v>
      </c>
      <c r="C4169" s="38" t="n">
        <f aca="false">(1-tp_yf)*(Sens!$H$4094+sbc_ab*Sens!$H$4117*(Sens!$H$3964-Sens!$H$3957)/Sens!$H$4034+IF(internal_ai_reading=2,1,0)*(1-ext_sh)*Sens!$H$3994)+tp_yf*(Sens!$I$4094+sbc_ab*Sens!$I$4117*(Sens!$I$3964-Sens!$I$3957)/Sens!$I$4034+IF(internal_ai_reading=2,1,0)*(1-ext_sh)*Sens!$I$3994)</f>
        <v>51.1565245494795</v>
      </c>
    </row>
    <row r="4170" customFormat="false" ht="17.15" hidden="false" customHeight="false" outlineLevel="0" collapsed="false">
      <c r="A4170" s="5" t="s">
        <v>939</v>
      </c>
      <c r="B4170" s="0" t="s">
        <v>57</v>
      </c>
      <c r="C4170" s="30" t="n">
        <f aca="false">m_retail*m_x</f>
        <v>17.72</v>
      </c>
    </row>
    <row r="4171" customFormat="false" ht="17.15" hidden="false" customHeight="false" outlineLevel="0" collapsed="false">
      <c r="A4171" s="5" t="s">
        <v>940</v>
      </c>
      <c r="B4171" s="0" t="s">
        <v>86</v>
      </c>
      <c r="C4171" s="38" t="n">
        <f aca="false">Sens!$C$4169*Sens!$C$4170</f>
        <v>906.493615016776</v>
      </c>
    </row>
    <row r="4172" customFormat="false" ht="17.15" hidden="false" customHeight="false" outlineLevel="0" collapsed="false">
      <c r="A4172" s="0" t="s">
        <v>941</v>
      </c>
      <c r="B4172" s="0" t="s">
        <v>86</v>
      </c>
      <c r="C4172" s="38" t="n">
        <f aca="false">(1-tp_yf)*(Sens!$H$4095+sbc_ab*Sens!$H$4117*Sens!$H$4032/Sens!$H$4034)+tp_yf*(Sens!$I$4095+sbc_ab*Sens!$I$4117*Sens!$I$4032/Sens!$I$4034)</f>
        <v>96.2439586897193</v>
      </c>
    </row>
    <row r="4173" customFormat="false" ht="17.15" hidden="false" customHeight="false" outlineLevel="0" collapsed="false">
      <c r="A4173" s="0" t="s">
        <v>942</v>
      </c>
      <c r="B4173" s="0" t="s">
        <v>57</v>
      </c>
      <c r="C4173" s="30" t="n">
        <f aca="false">m_cloud*m_x</f>
        <v>13.82</v>
      </c>
    </row>
    <row r="4174" customFormat="false" ht="17.15" hidden="false" customHeight="false" outlineLevel="0" collapsed="false">
      <c r="A4174" s="0" t="s">
        <v>943</v>
      </c>
      <c r="B4174" s="0" t="s">
        <v>86</v>
      </c>
      <c r="C4174" s="38" t="n">
        <f aca="false">Sens!$C$4172*Sens!$C$4173</f>
        <v>1330.09150909192</v>
      </c>
    </row>
    <row r="4175" customFormat="false" ht="17.15" hidden="false" customHeight="false" outlineLevel="0" collapsed="false">
      <c r="A4175" s="0" t="s">
        <v>944</v>
      </c>
      <c r="B4175" s="0" t="s">
        <v>86</v>
      </c>
      <c r="H4175" s="38" t="n">
        <f aca="false">Sens!$H$4013-tax*Sens!$H$4014-ext_sh*Sens!$H$4001</f>
        <v>-115.885394236225</v>
      </c>
      <c r="I4175" s="38" t="n">
        <f aca="false">Sens!$I$4013-tax*Sens!$I$4014-ext_sh*Sens!$I$4001</f>
        <v>-89.5935137276694</v>
      </c>
      <c r="J4175" s="38" t="n">
        <f aca="false">Sens!$J$4013-tax*Sens!$J$4014-ext_sh*Sens!$J$4001</f>
        <v>-62.3510647460279</v>
      </c>
      <c r="K4175" s="38" t="n">
        <f aca="false">Sens!$K$4013-tax*Sens!$K$4014-ext_sh*Sens!$K$4001</f>
        <v>8.85932514072565</v>
      </c>
      <c r="L4175" s="38" t="n">
        <f aca="false">Sens!$L$4013-tax*Sens!$L$4014-ext_sh*Sens!$L$4001</f>
        <v>45.6968344120177</v>
      </c>
      <c r="M4175" s="38" t="n">
        <f aca="false">Sens!$M$4013-tax*Sens!$M$4014-ext_sh*Sens!$M$4001</f>
        <v>54.7466688757428</v>
      </c>
    </row>
    <row r="4176" customFormat="false" ht="17.15" hidden="false" customHeight="false" outlineLevel="0" collapsed="false">
      <c r="A4176" s="5" t="s">
        <v>945</v>
      </c>
      <c r="B4176" s="0" t="s">
        <v>86</v>
      </c>
      <c r="H4176" s="38" t="n">
        <f aca="false">Sens!$H$4175*Sens!$H$4153</f>
        <v>-109.830535400166</v>
      </c>
      <c r="I4176" s="38" t="n">
        <f aca="false">Sens!$I$4175*Sens!$I$4153</f>
        <v>-76.2710567672785</v>
      </c>
      <c r="J4176" s="38" t="n">
        <f aca="false">Sens!$J$4175*Sens!$J$4153</f>
        <v>-47.6777623861763</v>
      </c>
      <c r="K4176" s="38" t="n">
        <f aca="false">Sens!$K$4175*Sens!$K$4153</f>
        <v>6.08501184243383</v>
      </c>
      <c r="L4176" s="38" t="n">
        <f aca="false">Sens!$L$4175*Sens!$L$4153</f>
        <v>28.1926369813469</v>
      </c>
      <c r="M4176" s="38" t="n">
        <f aca="false">Sens!$M$4175*Sens!$M$4153</f>
        <v>30.338637914116</v>
      </c>
    </row>
    <row r="4177" customFormat="false" ht="17.15" hidden="false" customHeight="false" outlineLevel="0" collapsed="false">
      <c r="A4177" s="5" t="s">
        <v>946</v>
      </c>
      <c r="B4177" s="0" t="s">
        <v>86</v>
      </c>
      <c r="C4177" s="38" t="n">
        <f aca="false">Sens!$M$4014*(1-tax)*(1+tg)*(1-tg/ronic)/(wacc-tg)</f>
        <v>391.533160655061</v>
      </c>
    </row>
    <row r="4178" customFormat="false" ht="17.15" hidden="false" customHeight="false" outlineLevel="0" collapsed="false">
      <c r="A4178" s="0" t="s">
        <v>947</v>
      </c>
      <c r="B4178" s="0" t="s">
        <v>86</v>
      </c>
      <c r="C4178" s="38" t="n">
        <f aca="false">(SUM(Sens!$I$4176:$M$4176)+Sens!$C$4177/(1+wacc)^6)*(1+wacc)^tp_yf</f>
        <v>159.796867964901</v>
      </c>
    </row>
    <row r="4179" customFormat="false" ht="17.15" hidden="false" customHeight="false" outlineLevel="0" collapsed="false">
      <c r="A4179" s="5" t="s">
        <v>948</v>
      </c>
      <c r="B4179" s="0" t="s">
        <v>86</v>
      </c>
      <c r="C4179" s="38" t="n">
        <f aca="false">(1-tp_yf)*(Sens!$H$4096)+tp_yf*(Sens!$I$4096)</f>
        <v>74.6707041238437</v>
      </c>
    </row>
    <row r="4180" customFormat="false" ht="17.15" hidden="false" customHeight="false" outlineLevel="0" collapsed="false">
      <c r="A4180" s="5" t="s">
        <v>949</v>
      </c>
      <c r="B4180" s="0" t="s">
        <v>86</v>
      </c>
      <c r="C4180" s="38" t="n">
        <f aca="false">Sens!$C$4179*m_ai</f>
        <v>448.024224743062</v>
      </c>
    </row>
    <row r="4181" customFormat="false" ht="17.15" hidden="false" customHeight="false" outlineLevel="0" collapsed="false">
      <c r="A4181" s="0" t="s">
        <v>950</v>
      </c>
      <c r="B4181" s="0" t="s">
        <v>86</v>
      </c>
      <c r="C4181" s="38" t="n">
        <f aca="false">IF(ai_leg=1,Sens!$C$4178,Sens!$C$4180)</f>
        <v>159.796867964901</v>
      </c>
    </row>
    <row r="4182" customFormat="false" ht="17.15" hidden="false" customHeight="false" outlineLevel="0" collapsed="false">
      <c r="A4182" s="5" t="s">
        <v>951</v>
      </c>
      <c r="B4182" s="0" t="s">
        <v>86</v>
      </c>
      <c r="C4182" s="38" t="n">
        <f aca="false">Sens!$C$4168+Sens!$C$4171+Sens!$C$4174+Sens!$C$4181</f>
        <v>2930.40735251713</v>
      </c>
    </row>
    <row r="4183" customFormat="false" ht="17.15" hidden="false" customHeight="false" outlineLevel="0" collapsed="false">
      <c r="A4183" s="5" t="s">
        <v>952</v>
      </c>
      <c r="B4183" s="0" t="s">
        <v>86</v>
      </c>
      <c r="C4183" s="38" t="n">
        <f aca="false">Sens!$H$4136+fin_debt</f>
        <v>153.873939372223</v>
      </c>
    </row>
    <row r="4184" customFormat="false" ht="15" hidden="false" customHeight="false" outlineLevel="0" collapsed="false">
      <c r="A4184" s="5" t="s">
        <v>953</v>
      </c>
      <c r="B4184" s="0" t="s">
        <v>86</v>
      </c>
      <c r="C4184" s="38" t="n">
        <f aca="false">Sens!$C$4182-Sens!$C$4183+Sens!$C$4161</f>
        <v>2955.47741314491</v>
      </c>
    </row>
    <row r="4185" customFormat="false" ht="15" hidden="false" customHeight="false" outlineLevel="0" collapsed="false">
      <c r="A4185" s="3" t="s">
        <v>954</v>
      </c>
      <c r="B4185" s="8" t="s">
        <v>27</v>
      </c>
      <c r="C4185" s="30" t="n">
        <f aca="false">Sens!$C$4184/sh_val</f>
        <v>267.941367140129</v>
      </c>
    </row>
    <row r="4186" customFormat="false" ht="17.15" hidden="false" customHeight="false" outlineLevel="0" collapsed="false">
      <c r="A4186" s="47" t="s">
        <v>955</v>
      </c>
      <c r="B4186" s="14" t="s">
        <v>27</v>
      </c>
      <c r="C4186" s="44" t="n">
        <f aca="false">w_dcf*Sens!$C$4164+(1-w_dcf)*Sens!$C$4185</f>
        <v>200.443913723583</v>
      </c>
      <c r="D4186" s="14"/>
      <c r="E4186" s="14"/>
      <c r="F4186" s="14"/>
      <c r="G4186" s="14"/>
      <c r="H4186" s="14"/>
      <c r="I4186" s="14"/>
      <c r="J4186" s="14"/>
      <c r="K4186" s="14"/>
      <c r="L4186" s="14"/>
      <c r="M4186" s="14"/>
      <c r="N4186" s="14"/>
      <c r="O4186" s="14"/>
    </row>
    <row r="4187" customFormat="false" ht="17.15" hidden="false" customHeight="false" outlineLevel="0" collapsed="false">
      <c r="A4187" s="5" t="s">
        <v>956</v>
      </c>
      <c r="B4187" s="0" t="s">
        <v>27</v>
      </c>
      <c r="C4187" s="30" t="n">
        <f aca="false">v022_wdcf*Sens!$C$4164+(1-v022_wdcf)*Sens!$C$4185</f>
        <v>207.193659065238</v>
      </c>
    </row>
    <row r="4188" customFormat="false" ht="17.15" hidden="false" customHeight="false" outlineLevel="0" collapsed="false">
      <c r="A4188" s="5" t="s">
        <v>957</v>
      </c>
      <c r="B4188" s="0" t="s">
        <v>27</v>
      </c>
      <c r="C4188" s="30" t="n">
        <f aca="false">(Sens!$C$4184-Sens!$C$4181+Sens!$C$4180)/sh_val</f>
        <v>294.07184327872</v>
      </c>
    </row>
    <row r="4191" customFormat="false" ht="19.4" hidden="false" customHeight="false" outlineLevel="0" collapsed="false">
      <c r="A4191" s="31" t="s">
        <v>1220</v>
      </c>
    </row>
    <row r="4192" customFormat="false" ht="17.15" hidden="false" customHeight="false" outlineLevel="0" collapsed="false">
      <c r="A4192" s="6" t="s">
        <v>16</v>
      </c>
      <c r="B4192" s="6" t="s">
        <v>17</v>
      </c>
      <c r="C4192" s="20" t="s">
        <v>497</v>
      </c>
      <c r="D4192" s="20" t="s">
        <v>498</v>
      </c>
      <c r="E4192" s="20" t="s">
        <v>580</v>
      </c>
      <c r="F4192" s="20" t="s">
        <v>581</v>
      </c>
      <c r="G4192" s="20" t="s">
        <v>582</v>
      </c>
      <c r="H4192" s="20" t="s">
        <v>583</v>
      </c>
      <c r="I4192" s="20" t="s">
        <v>584</v>
      </c>
      <c r="J4192" s="20" t="s">
        <v>585</v>
      </c>
      <c r="K4192" s="20" t="s">
        <v>586</v>
      </c>
      <c r="L4192" s="20" t="s">
        <v>587</v>
      </c>
      <c r="M4192" s="20" t="s">
        <v>588</v>
      </c>
      <c r="N4192" s="20" t="s">
        <v>589</v>
      </c>
      <c r="O4192" s="20" t="s">
        <v>590</v>
      </c>
      <c r="P4192" s="6" t="s">
        <v>23</v>
      </c>
      <c r="R4192" s="20" t="n">
        <v>2023</v>
      </c>
      <c r="S4192" s="20" t="n">
        <v>2024</v>
      </c>
      <c r="T4192" s="20" t="n">
        <v>2025</v>
      </c>
      <c r="U4192" s="20" t="n">
        <v>2026</v>
      </c>
      <c r="V4192" s="20" t="n">
        <v>2027</v>
      </c>
      <c r="W4192" s="20" t="n">
        <v>2028</v>
      </c>
      <c r="X4192" s="20" t="n">
        <v>2029</v>
      </c>
      <c r="Y4192" s="20" t="n">
        <v>2030</v>
      </c>
      <c r="Z4192" s="20" t="n">
        <v>2031</v>
      </c>
      <c r="AA4192" s="20" t="n">
        <v>2032</v>
      </c>
    </row>
    <row r="4193" customFormat="false" ht="17.15" hidden="false" customHeight="false" outlineLevel="0" collapsed="false">
      <c r="A4193" s="1" t="s">
        <v>666</v>
      </c>
    </row>
    <row r="4194" customFormat="false" ht="17.15" hidden="false" customHeight="false" outlineLevel="0" collapsed="false">
      <c r="A4194" s="0" t="s">
        <v>519</v>
      </c>
      <c r="B4194" s="0" t="s">
        <v>86</v>
      </c>
      <c r="C4194" s="38" t="n">
        <f aca="false">Q!$D$10</f>
        <v>247.029</v>
      </c>
      <c r="D4194" s="38" t="n">
        <f aca="false">Q!$E$10</f>
        <v>269.287</v>
      </c>
      <c r="E4194" s="38" t="n">
        <f aca="false">Q!$P$10</f>
        <v>134.686</v>
      </c>
      <c r="F4194" s="38" t="n">
        <f aca="false">Sens!$O$4194*(1+Sens!$F$4195)*Sens!$F$4206</f>
        <v>158.293876822267</v>
      </c>
      <c r="G4194" s="38" t="n">
        <f aca="false">Sens!$E$4194+Sens!$F$4194</f>
        <v>292.979876822267</v>
      </c>
      <c r="H4194" s="38" t="n">
        <f aca="false">Sens!$G$4194*(1+Sens!$H$4195)</f>
        <v>318.184543087396</v>
      </c>
      <c r="I4194" s="38" t="n">
        <f aca="false">Sens!$H$4194*(1+Sens!$I$4195)</f>
        <v>341.736278761793</v>
      </c>
      <c r="J4194" s="38" t="n">
        <f aca="false">Sens!$I$4194*(1+Sens!$J$4195)</f>
        <v>362.927192787048</v>
      </c>
      <c r="K4194" s="38" t="n">
        <f aca="false">Sens!$J$4194*(1+Sens!$K$4195)</f>
        <v>381.0735524264</v>
      </c>
      <c r="L4194" s="38" t="n">
        <f aca="false">Sens!$K$4194*(1+Sens!$L$4195)</f>
        <v>400.12723004772</v>
      </c>
      <c r="M4194" s="38" t="n">
        <f aca="false">Sens!$L$4194*(1+Sens!$M$4195)</f>
        <v>420.133591550106</v>
      </c>
      <c r="N4194" s="38" t="n">
        <f aca="false">Q!$N$10</f>
        <v>118.892</v>
      </c>
      <c r="O4194" s="38" t="n">
        <f aca="false">Q!$O$10</f>
        <v>150.395</v>
      </c>
      <c r="P4194" s="8" t="s">
        <v>667</v>
      </c>
    </row>
    <row r="4195" customFormat="false" ht="17.15" hidden="false" customHeight="false" outlineLevel="0" collapsed="false">
      <c r="A4195" s="0" t="s">
        <v>668</v>
      </c>
      <c r="B4195" s="0" t="s">
        <v>52</v>
      </c>
      <c r="E4195" s="13" t="n">
        <f aca="false">Sens!$E$4194/Sens!$N$4194-1</f>
        <v>0.132843252699929</v>
      </c>
      <c r="F4195" s="13" t="n">
        <f aca="false">Sens!$O$4194/(Q!$F$10+Q!$G$10)-1</f>
        <v>0.0980382135842941</v>
      </c>
      <c r="G4195" s="13" t="n">
        <f aca="false">Sens!$G$4194/Sens!$D$4194-1</f>
        <v>0.0879837378791657</v>
      </c>
      <c r="H4195" s="13" t="n">
        <f aca="false">Sens!$F$4195+(g_os-Sens!$F$4195)*1/4</f>
        <v>0.0860286601882206</v>
      </c>
      <c r="I4195" s="13" t="n">
        <f aca="false">Sens!$F$4195+(g_os-Sens!$F$4195)*2/4</f>
        <v>0.074019106792147</v>
      </c>
      <c r="J4195" s="13" t="n">
        <f aca="false">Sens!$F$4195+(g_os-Sens!$F$4195)*3/4</f>
        <v>0.0620095533960735</v>
      </c>
      <c r="K4195" s="13" t="n">
        <f aca="false">Sens!$F$4195+(g_os-Sens!$F$4195)*4/4</f>
        <v>0.05</v>
      </c>
      <c r="L4195" s="13" t="n">
        <f aca="false">g_os</f>
        <v>0.05</v>
      </c>
      <c r="M4195" s="13" t="n">
        <f aca="false">g_os</f>
        <v>0.05</v>
      </c>
      <c r="P4195" s="8" t="s">
        <v>669</v>
      </c>
    </row>
    <row r="4196" customFormat="false" ht="17.15" hidden="false" customHeight="false" outlineLevel="0" collapsed="false">
      <c r="A4196" s="0" t="s">
        <v>520</v>
      </c>
      <c r="B4196" s="0" t="s">
        <v>86</v>
      </c>
      <c r="C4196" s="38" t="n">
        <f aca="false">Q!$D$11</f>
        <v>21.215</v>
      </c>
      <c r="D4196" s="38" t="n">
        <f aca="false">Q!$E$11</f>
        <v>22.561</v>
      </c>
      <c r="E4196" s="38" t="n">
        <f aca="false">Q!$P$11</f>
        <v>11.579</v>
      </c>
      <c r="F4196" s="38" t="n">
        <f aca="false">Sens!$O$4196*(1+Sens!$F$4197)*Sens!$F$4206</f>
        <v>11.5938724610325</v>
      </c>
      <c r="G4196" s="38" t="n">
        <f aca="false">Sens!$E$4196+Sens!$F$4196</f>
        <v>23.1728724610325</v>
      </c>
      <c r="H4196" s="38" t="n">
        <f aca="false">Sens!$G$4196*(1+Sens!$H$4197)</f>
        <v>24.353392759506</v>
      </c>
      <c r="I4196" s="38" t="n">
        <f aca="false">Sens!$H$4196*(1+Sens!$I$4197)</f>
        <v>25.4240338872015</v>
      </c>
      <c r="J4196" s="38" t="n">
        <f aca="false">Sens!$I$4196*(1+Sens!$J$4197)</f>
        <v>26.3642491017174</v>
      </c>
      <c r="K4196" s="38" t="n">
        <f aca="false">Sens!$J$4196*(1+Sens!$K$4197)</f>
        <v>27.155176574769</v>
      </c>
      <c r="L4196" s="38" t="n">
        <f aca="false">Sens!$K$4196*(1+Sens!$L$4197)</f>
        <v>27.969831872012</v>
      </c>
      <c r="M4196" s="38" t="n">
        <f aca="false">Sens!$L$4196*(1+Sens!$M$4197)</f>
        <v>28.8089268281724</v>
      </c>
      <c r="N4196" s="38" t="n">
        <f aca="false">Q!$N$11</f>
        <v>11.128</v>
      </c>
      <c r="O4196" s="38" t="n">
        <f aca="false">Q!$O$11</f>
        <v>11.433</v>
      </c>
      <c r="P4196" s="8" t="s">
        <v>667</v>
      </c>
    </row>
    <row r="4197" customFormat="false" ht="17.15" hidden="false" customHeight="false" outlineLevel="0" collapsed="false">
      <c r="A4197" s="0" t="s">
        <v>670</v>
      </c>
      <c r="B4197" s="0" t="s">
        <v>52</v>
      </c>
      <c r="E4197" s="13" t="n">
        <f aca="false">Sens!$E$4196/Sens!$N$4196-1</f>
        <v>0.0405283968368082</v>
      </c>
      <c r="F4197" s="13" t="n">
        <f aca="false">Sens!$O$4196/(Q!$F$11+Q!$G$11)-1</f>
        <v>0.0579254187100955</v>
      </c>
      <c r="G4197" s="13" t="n">
        <f aca="false">Sens!$G$4196/Sens!$D$4196-1</f>
        <v>0.0271208040881397</v>
      </c>
      <c r="H4197" s="13" t="n">
        <f aca="false">Sens!$F$4197+(g_ps-Sens!$F$4197)*1/4</f>
        <v>0.0509440640325716</v>
      </c>
      <c r="I4197" s="13" t="n">
        <f aca="false">Sens!$F$4197+(g_ps-Sens!$F$4197)*2/4</f>
        <v>0.0439627093550477</v>
      </c>
      <c r="J4197" s="13" t="n">
        <f aca="false">Sens!$F$4197+(g_ps-Sens!$F$4197)*3/4</f>
        <v>0.0369813546775239</v>
      </c>
      <c r="K4197" s="13" t="n">
        <f aca="false">Sens!$F$4197+(g_ps-Sens!$F$4197)*4/4</f>
        <v>0.03</v>
      </c>
      <c r="L4197" s="13" t="n">
        <f aca="false">g_ps</f>
        <v>0.03</v>
      </c>
      <c r="M4197" s="13" t="n">
        <f aca="false">g_ps</f>
        <v>0.03</v>
      </c>
      <c r="P4197" s="8" t="s">
        <v>671</v>
      </c>
    </row>
    <row r="4198" customFormat="false" ht="17.15" hidden="false" customHeight="false" outlineLevel="0" collapsed="false">
      <c r="A4198" s="0" t="s">
        <v>521</v>
      </c>
      <c r="B4198" s="0" t="s">
        <v>86</v>
      </c>
      <c r="C4198" s="38" t="n">
        <f aca="false">Q!$D$12</f>
        <v>156.146</v>
      </c>
      <c r="D4198" s="38" t="n">
        <f aca="false">Q!$E$12</f>
        <v>172.162</v>
      </c>
      <c r="E4198" s="38" t="n">
        <f aca="false">Q!$P$12</f>
        <v>88.358</v>
      </c>
      <c r="F4198" s="38" t="n">
        <f aca="false">Sens!$O$4198*(1+Sens!$F$4199)*Sens!$F$4206</f>
        <v>102.004388260171</v>
      </c>
      <c r="G4198" s="38" t="n">
        <f aca="false">Sens!$E$4198+Sens!$F$4198</f>
        <v>190.362388260171</v>
      </c>
      <c r="H4198" s="38" t="n">
        <f aca="false">Sens!$G$4198*(1+Sens!$H$4199)</f>
        <v>210.343106588311</v>
      </c>
      <c r="I4198" s="38" t="n">
        <f aca="false">Sens!$H$4198*(1+Sens!$I$4199)</f>
        <v>229.969728494648</v>
      </c>
      <c r="J4198" s="38" t="n">
        <f aca="false">Sens!$I$4198*(1+Sens!$J$4199)</f>
        <v>248.747636972598</v>
      </c>
      <c r="K4198" s="38" t="n">
        <f aca="false">Sens!$J$4198*(1+Sens!$K$4199)</f>
        <v>266.15997156068</v>
      </c>
      <c r="L4198" s="38" t="n">
        <f aca="false">Sens!$K$4198*(1+Sens!$L$4199)</f>
        <v>284.791169569927</v>
      </c>
      <c r="M4198" s="38" t="n">
        <f aca="false">Sens!$L$4198*(1+Sens!$M$4199)</f>
        <v>304.726551439822</v>
      </c>
      <c r="N4198" s="38" t="n">
        <f aca="false">Q!$N$12</f>
        <v>76.86</v>
      </c>
      <c r="O4198" s="38" t="n">
        <f aca="false">Q!$O$12</f>
        <v>95.302</v>
      </c>
      <c r="P4198" s="8" t="s">
        <v>667</v>
      </c>
    </row>
    <row r="4199" customFormat="false" ht="17.15" hidden="false" customHeight="false" outlineLevel="0" collapsed="false">
      <c r="A4199" s="0" t="s">
        <v>672</v>
      </c>
      <c r="B4199" s="0" t="s">
        <v>52</v>
      </c>
      <c r="E4199" s="13" t="n">
        <f aca="false">Sens!$E$4198/Sens!$N$4198-1</f>
        <v>0.1495966692688</v>
      </c>
      <c r="F4199" s="13" t="n">
        <f aca="false">Sens!$O$4198/(Q!$F$12+Q!$G$12)-1</f>
        <v>0.11661530890813</v>
      </c>
      <c r="G4199" s="13" t="n">
        <f aca="false">Sens!$G$4198/Sens!$D$4198-1</f>
        <v>0.105716640490767</v>
      </c>
      <c r="H4199" s="13" t="n">
        <f aca="false">Sens!$F$4199+(g_sp-Sens!$F$4199)*1/4</f>
        <v>0.104961481681098</v>
      </c>
      <c r="I4199" s="13" t="n">
        <f aca="false">Sens!$F$4199+(g_sp-Sens!$F$4199)*2/4</f>
        <v>0.0933076544540651</v>
      </c>
      <c r="J4199" s="13" t="n">
        <f aca="false">Sens!$F$4199+(g_sp-Sens!$F$4199)*3/4</f>
        <v>0.0816538272270325</v>
      </c>
      <c r="K4199" s="13" t="n">
        <f aca="false">Sens!$F$4199+(g_sp-Sens!$F$4199)*4/4</f>
        <v>0.07</v>
      </c>
      <c r="L4199" s="13" t="n">
        <f aca="false">g_sp</f>
        <v>0.07</v>
      </c>
      <c r="M4199" s="13" t="n">
        <f aca="false">g_sp</f>
        <v>0.07</v>
      </c>
      <c r="P4199" s="8" t="s">
        <v>673</v>
      </c>
    </row>
    <row r="4200" customFormat="false" ht="17.15" hidden="false" customHeight="false" outlineLevel="0" collapsed="false">
      <c r="A4200" s="0" t="s">
        <v>522</v>
      </c>
      <c r="B4200" s="0" t="s">
        <v>86</v>
      </c>
      <c r="C4200" s="38" t="n">
        <f aca="false">Q!$D$13</f>
        <v>56.214</v>
      </c>
      <c r="D4200" s="38" t="n">
        <f aca="false">Q!$E$13</f>
        <v>68.635</v>
      </c>
      <c r="E4200" s="38" t="n">
        <f aca="false">Q!$P$13</f>
        <v>37.052</v>
      </c>
      <c r="F4200" s="38" t="n">
        <f aca="false">Sens!$O$4200*(1+Sens!$F$4201)*Sens!$F$4206</f>
        <v>46.1572219944148</v>
      </c>
      <c r="G4200" s="38" t="n">
        <f aca="false">Sens!$E$4200+Sens!$F$4200</f>
        <v>83.2092219944148</v>
      </c>
      <c r="H4200" s="38" t="n">
        <f aca="false">Sens!$G$4200*(1+Sens!$H$4201)</f>
        <v>100.520991552856</v>
      </c>
      <c r="I4200" s="38" t="n">
        <f aca="false">Sens!$H$4200*(1+Sens!$I$4201)</f>
        <v>118.819235941213</v>
      </c>
      <c r="J4200" s="38" t="n">
        <f aca="false">Sens!$I$4200*(1+Sens!$J$4201)</f>
        <v>137.357060346466</v>
      </c>
      <c r="K4200" s="38" t="n">
        <f aca="false">Sens!$J$4200*(1+Sens!$K$4201)</f>
        <v>155.213478191507</v>
      </c>
      <c r="L4200" s="38" t="n">
        <f aca="false">Sens!$K$4200*(1+Sens!$L$4201)</f>
        <v>175.391230356402</v>
      </c>
      <c r="M4200" s="38" t="n">
        <f aca="false">Sens!$L$4200*(1+Sens!$M$4201)</f>
        <v>198.192090302735</v>
      </c>
      <c r="N4200" s="38" t="n">
        <f aca="false">Q!$N$13</f>
        <v>29.615</v>
      </c>
      <c r="O4200" s="38" t="n">
        <f aca="false">Q!$O$13</f>
        <v>39.02</v>
      </c>
      <c r="P4200" s="8" t="s">
        <v>667</v>
      </c>
    </row>
    <row r="4201" customFormat="false" ht="17.15" hidden="false" customHeight="false" outlineLevel="0" collapsed="false">
      <c r="A4201" s="0" t="s">
        <v>674</v>
      </c>
      <c r="B4201" s="0" t="s">
        <v>52</v>
      </c>
      <c r="E4201" s="13" t="n">
        <f aca="false">Sens!$E$4200/Sens!$N$4200-1</f>
        <v>0.25112274185379</v>
      </c>
      <c r="F4201" s="13" t="n">
        <f aca="false">Sens!$O$4200/(Q!$F$13+Q!$G$13)-1</f>
        <v>0.234068123596572</v>
      </c>
      <c r="G4201" s="13" t="n">
        <f aca="false">Sens!$G$4200/Sens!$D$4200-1</f>
        <v>0.212343876949294</v>
      </c>
      <c r="H4201" s="13" t="n">
        <f aca="false">Sens!$F$4201+(g_ad_hi-Sens!$F$4201)*1/4</f>
        <v>0.208051092697429</v>
      </c>
      <c r="I4201" s="13" t="n">
        <f aca="false">Sens!$F$4201+(g_ad_hi-Sens!$F$4201)*2/4</f>
        <v>0.182034061798286</v>
      </c>
      <c r="J4201" s="13" t="n">
        <f aca="false">Sens!$F$4201+(g_ad_hi-Sens!$F$4201)*3/4</f>
        <v>0.156017030899143</v>
      </c>
      <c r="K4201" s="13" t="n">
        <f aca="false">Sens!$F$4201+(g_ad_hi-Sens!$F$4201)*4/4</f>
        <v>0.13</v>
      </c>
      <c r="L4201" s="13" t="n">
        <f aca="false">g_ad_hi</f>
        <v>0.13</v>
      </c>
      <c r="M4201" s="13" t="n">
        <f aca="false">g_ad_hi</f>
        <v>0.13</v>
      </c>
      <c r="P4201" s="8" t="s">
        <v>675</v>
      </c>
    </row>
    <row r="4202" customFormat="false" ht="17.15" hidden="false" customHeight="false" outlineLevel="0" collapsed="false">
      <c r="A4202" s="0" t="s">
        <v>523</v>
      </c>
      <c r="B4202" s="0" t="s">
        <v>86</v>
      </c>
      <c r="C4202" s="38" t="n">
        <f aca="false">Q!$D$14</f>
        <v>44.374</v>
      </c>
      <c r="D4202" s="38" t="n">
        <f aca="false">Q!$E$14</f>
        <v>49.619</v>
      </c>
      <c r="E4202" s="38" t="n">
        <f aca="false">Q!$P$14</f>
        <v>27.157</v>
      </c>
      <c r="F4202" s="38" t="n">
        <f aca="false">Sens!$O$4202*(1+Sens!$F$4203)*Sens!$F$4206</f>
        <v>27.7764165988154</v>
      </c>
      <c r="G4202" s="38" t="n">
        <f aca="false">Sens!$E$4202+Sens!$F$4202</f>
        <v>54.9334165988154</v>
      </c>
      <c r="H4202" s="38" t="n">
        <f aca="false">Sens!$G$4202*(1+Sens!$H$4203)</f>
        <v>61.1564112561829</v>
      </c>
      <c r="I4202" s="38" t="n">
        <f aca="false">Sens!$H$4202*(1+Sens!$I$4203)</f>
        <v>67.2020282103945</v>
      </c>
      <c r="J4202" s="38" t="n">
        <f aca="false">Sens!$I$4202*(1+Sens!$J$4203)</f>
        <v>72.8757274028885</v>
      </c>
      <c r="K4202" s="38" t="n">
        <f aca="false">Sens!$J$4202*(1+Sens!$K$4203)</f>
        <v>77.9770283210907</v>
      </c>
      <c r="L4202" s="38" t="n">
        <f aca="false">Sens!$K$4202*(1+Sens!$L$4203)</f>
        <v>83.4354203035671</v>
      </c>
      <c r="M4202" s="38" t="n">
        <f aca="false">Sens!$L$4202*(1+Sens!$M$4203)</f>
        <v>89.2758997248168</v>
      </c>
      <c r="N4202" s="38" t="n">
        <f aca="false">Q!$N$14</f>
        <v>23.923</v>
      </c>
      <c r="O4202" s="38" t="n">
        <f aca="false">Q!$O$14</f>
        <v>25.696</v>
      </c>
      <c r="P4202" s="8" t="s">
        <v>667</v>
      </c>
    </row>
    <row r="4203" customFormat="false" ht="17.15" hidden="false" customHeight="false" outlineLevel="0" collapsed="false">
      <c r="A4203" s="0" t="s">
        <v>676</v>
      </c>
      <c r="B4203" s="0" t="s">
        <v>52</v>
      </c>
      <c r="E4203" s="13" t="n">
        <f aca="false">Sens!$E$4202/Sens!$N$4202-1</f>
        <v>0.135183714417088</v>
      </c>
      <c r="F4203" s="13" t="n">
        <f aca="false">Sens!$O$4202/(Q!$F$14+Q!$G$14)-1</f>
        <v>0.127709997366804</v>
      </c>
      <c r="G4203" s="13" t="n">
        <f aca="false">Sens!$G$4202/Sens!$D$4202-1</f>
        <v>0.107104468022641</v>
      </c>
      <c r="H4203" s="13" t="n">
        <f aca="false">Sens!$F$4203+(g_sub-Sens!$F$4203)*1/4</f>
        <v>0.113282498025103</v>
      </c>
      <c r="I4203" s="13" t="n">
        <f aca="false">Sens!$F$4203+(g_sub-Sens!$F$4203)*2/4</f>
        <v>0.0988549986834021</v>
      </c>
      <c r="J4203" s="13" t="n">
        <f aca="false">Sens!$F$4203+(g_sub-Sens!$F$4203)*3/4</f>
        <v>0.084427499341701</v>
      </c>
      <c r="K4203" s="13" t="n">
        <f aca="false">Sens!$F$4203+(g_sub-Sens!$F$4203)*4/4</f>
        <v>0.07</v>
      </c>
      <c r="L4203" s="13" t="n">
        <f aca="false">g_sub</f>
        <v>0.07</v>
      </c>
      <c r="M4203" s="13" t="n">
        <f aca="false">g_sub</f>
        <v>0.07</v>
      </c>
      <c r="P4203" s="8" t="s">
        <v>677</v>
      </c>
    </row>
    <row r="4204" customFormat="false" ht="17.15" hidden="false" customHeight="false" outlineLevel="0" collapsed="false">
      <c r="A4204" s="0" t="s">
        <v>524</v>
      </c>
      <c r="B4204" s="0" t="s">
        <v>86</v>
      </c>
      <c r="C4204" s="38" t="n">
        <f aca="false">Q!$D$15</f>
        <v>5.425</v>
      </c>
      <c r="D4204" s="38" t="n">
        <f aca="false">Q!$E$15</f>
        <v>5.935</v>
      </c>
      <c r="E4204" s="38" t="n">
        <f aca="false">Q!$P$15</f>
        <v>3.474</v>
      </c>
      <c r="F4204" s="38" t="n">
        <f aca="false">Sens!$O$4204*(1+Sens!$F$4205)*Sens!$F$4206</f>
        <v>3.22246550883619</v>
      </c>
      <c r="G4204" s="38" t="n">
        <f aca="false">Sens!$E$4204+Sens!$F$4204</f>
        <v>6.69646550883619</v>
      </c>
      <c r="H4204" s="38" t="n">
        <f aca="false">Sens!$G$4204*(1+Sens!$H$4205)</f>
        <v>7.16251344209196</v>
      </c>
      <c r="I4204" s="38" t="n">
        <f aca="false">Sens!$H$4204*(1+Sens!$I$4205)</f>
        <v>7.61421070299826</v>
      </c>
      <c r="J4204" s="38" t="n">
        <f aca="false">Sens!$I$4204*(1+Sens!$J$4205)</f>
        <v>8.04465753523932</v>
      </c>
      <c r="K4204" s="38" t="n">
        <f aca="false">Sens!$J$4204*(1+Sens!$K$4205)</f>
        <v>8.44689041200128</v>
      </c>
      <c r="L4204" s="38" t="n">
        <f aca="false">Sens!$K$4204*(1+Sens!$L$4205)</f>
        <v>8.86923493260135</v>
      </c>
      <c r="M4204" s="38" t="n">
        <f aca="false">Sens!$L$4204*(1+Sens!$M$4205)</f>
        <v>9.31269667923142</v>
      </c>
      <c r="N4204" s="38" t="n">
        <f aca="false">Q!$N$15</f>
        <v>2.811</v>
      </c>
      <c r="O4204" s="38" t="n">
        <f aca="false">Q!$O$15</f>
        <v>3.124</v>
      </c>
      <c r="P4204" s="8" t="s">
        <v>667</v>
      </c>
    </row>
    <row r="4205" customFormat="false" ht="17.15" hidden="false" customHeight="false" outlineLevel="0" collapsed="false">
      <c r="A4205" s="0" t="s">
        <v>678</v>
      </c>
      <c r="B4205" s="0" t="s">
        <v>52</v>
      </c>
      <c r="E4205" s="13" t="n">
        <f aca="false">Sens!$E$4204/Sens!$N$4204-1</f>
        <v>0.235859124866596</v>
      </c>
      <c r="F4205" s="13" t="n">
        <f aca="false">Sens!$O$4204/(Q!$F$15+Q!$G$15)-1</f>
        <v>0.0761281433000345</v>
      </c>
      <c r="G4205" s="13" t="n">
        <f aca="false">Sens!$G$4204/Sens!$D$4204-1</f>
        <v>0.128300843948811</v>
      </c>
      <c r="H4205" s="13" t="n">
        <f aca="false">Sens!$F$4205+(g_ot-Sens!$F$4205)*1/4</f>
        <v>0.0695961074750259</v>
      </c>
      <c r="I4205" s="13" t="n">
        <f aca="false">Sens!$F$4205+(g_ot-Sens!$F$4205)*2/4</f>
        <v>0.0630640716500172</v>
      </c>
      <c r="J4205" s="13" t="n">
        <f aca="false">Sens!$F$4205+(g_ot-Sens!$F$4205)*3/4</f>
        <v>0.0565320358250086</v>
      </c>
      <c r="K4205" s="13" t="n">
        <f aca="false">Sens!$F$4205+(g_ot-Sens!$F$4205)*4/4</f>
        <v>0.05</v>
      </c>
      <c r="L4205" s="13" t="n">
        <f aca="false">g_ot</f>
        <v>0.05</v>
      </c>
      <c r="M4205" s="13" t="n">
        <f aca="false">g_ot</f>
        <v>0.05</v>
      </c>
      <c r="P4205" s="8" t="s">
        <v>679</v>
      </c>
    </row>
    <row r="4206" customFormat="false" ht="17.15" hidden="false" customHeight="false" outlineLevel="0" collapsed="false">
      <c r="A4206" s="0" t="s">
        <v>680</v>
      </c>
      <c r="B4206" s="0" t="s">
        <v>57</v>
      </c>
      <c r="F4206" s="40" t="n">
        <f aca="false">(g26q3_mid*Q!$O$8/Q!$J$8-Thesis!$F$86-Thesis!$F$90)/(Sens!$O$4194*(1+Sens!$F$4195)+Sens!$O$4196*(1+Sens!$F$4197)+Sens!$O$4198*(1+Sens!$F$4199)+Sens!$O$4200*(1+Sens!$F$4201)+Sens!$O$4202*(1+Sens!$F$4203)+Sens!$O$4204*(1+Sens!$F$4205))</f>
        <v>0.958546670622329</v>
      </c>
      <c r="P4206" s="8" t="s">
        <v>681</v>
      </c>
    </row>
    <row r="4207" customFormat="false" ht="17.15" hidden="false" customHeight="false" outlineLevel="0" collapsed="false">
      <c r="A4207" s="3" t="s">
        <v>682</v>
      </c>
      <c r="B4207" s="8" t="s">
        <v>86</v>
      </c>
      <c r="C4207" s="38" t="n">
        <f aca="false">Sens!$C$4194+Sens!$C$4196+Sens!$C$4198+Sens!$C$4200+Sens!$C$4202+Sens!$C$4204</f>
        <v>530.403</v>
      </c>
      <c r="D4207" s="38" t="n">
        <f aca="false">Sens!$D$4194+Sens!$D$4196+Sens!$D$4198+Sens!$D$4200+Sens!$D$4202+Sens!$D$4204</f>
        <v>588.199</v>
      </c>
      <c r="E4207" s="38" t="n">
        <f aca="false">Sens!$E$4194+Sens!$E$4196+Sens!$E$4198+Sens!$E$4200+Sens!$E$4202+Sens!$E$4204</f>
        <v>302.306</v>
      </c>
      <c r="F4207" s="38" t="n">
        <f aca="false">Sens!$F$4194+Sens!$F$4196+Sens!$F$4198+Sens!$F$4200+Sens!$F$4202+Sens!$F$4204</f>
        <v>349.048241645537</v>
      </c>
      <c r="G4207" s="38" t="n">
        <f aca="false">Sens!$G$4194+Sens!$G$4196+Sens!$G$4198+Sens!$G$4200+Sens!$G$4202+Sens!$G$4204</f>
        <v>651.354241645537</v>
      </c>
      <c r="H4207" s="38" t="n">
        <f aca="false">Sens!$H$4194+Sens!$H$4196+Sens!$H$4198+Sens!$H$4200+Sens!$H$4202+Sens!$H$4204</f>
        <v>721.720958686344</v>
      </c>
      <c r="I4207" s="38" t="n">
        <f aca="false">Sens!$I$4194+Sens!$I$4196+Sens!$I$4198+Sens!$I$4200+Sens!$I$4202+Sens!$I$4204</f>
        <v>790.765515998248</v>
      </c>
      <c r="J4207" s="38" t="n">
        <f aca="false">Sens!$J$4194+Sens!$J$4196+Sens!$J$4198+Sens!$J$4200+Sens!$J$4202+Sens!$J$4204</f>
        <v>856.316524145957</v>
      </c>
      <c r="K4207" s="38" t="n">
        <f aca="false">Sens!$K$4194+Sens!$K$4196+Sens!$K$4198+Sens!$K$4200+Sens!$K$4202+Sens!$K$4204</f>
        <v>916.026097486447</v>
      </c>
      <c r="L4207" s="38" t="n">
        <f aca="false">Sens!$L$4194+Sens!$L$4196+Sens!$L$4198+Sens!$L$4200+Sens!$L$4202+Sens!$L$4204</f>
        <v>980.58411708223</v>
      </c>
      <c r="M4207" s="38" t="n">
        <f aca="false">Sens!$M$4194+Sens!$M$4196+Sens!$M$4198+Sens!$M$4200+Sens!$M$4202+Sens!$M$4204</f>
        <v>1050.44975652488</v>
      </c>
      <c r="N4207" s="38" t="n">
        <f aca="false">Sens!$N$4194+Sens!$N$4196+Sens!$N$4198+Sens!$N$4200+Sens!$N$4202+Sens!$N$4204</f>
        <v>263.229</v>
      </c>
      <c r="O4207" s="38" t="n">
        <f aca="false">Sens!$O$4194+Sens!$O$4196+Sens!$O$4198+Sens!$O$4200+Sens!$O$4202+Sens!$O$4204</f>
        <v>324.97</v>
      </c>
    </row>
    <row r="4208" customFormat="false" ht="17.15" hidden="false" customHeight="false" outlineLevel="0" collapsed="false">
      <c r="A4208" s="5" t="s">
        <v>683</v>
      </c>
      <c r="B4208" s="0" t="s">
        <v>52</v>
      </c>
      <c r="C4208" s="13" t="n">
        <f aca="false">Q!$D$5/(Q!$D$5+Q!$D$6)</f>
        <v>0.730570905519011</v>
      </c>
      <c r="D4208" s="13" t="n">
        <f aca="false">Q!$E$5/(Q!$E$5+Q!$E$6)</f>
        <v>0.724763217890544</v>
      </c>
      <c r="E4208" s="13" t="n">
        <f aca="false">Q!$P$5/(Q!$P$5+Q!$P$6)</f>
        <v>0.728797972914861</v>
      </c>
      <c r="F4208" s="13" t="n">
        <f aca="false">Sens!$O$4208</f>
        <v>0.718066283041511</v>
      </c>
      <c r="G4208" s="13" t="n">
        <f aca="false">Sens!$G$4209/Sens!$G$4207</f>
        <v>0.723047066202847</v>
      </c>
      <c r="H4208" s="13" t="n">
        <f aca="false">Sens!$G$4208</f>
        <v>0.723047066202847</v>
      </c>
      <c r="I4208" s="13" t="n">
        <f aca="false">Sens!$G$4208</f>
        <v>0.723047066202847</v>
      </c>
      <c r="J4208" s="13" t="n">
        <f aca="false">Sens!$G$4208</f>
        <v>0.723047066202847</v>
      </c>
      <c r="K4208" s="13" t="n">
        <f aca="false">Sens!$G$4208</f>
        <v>0.723047066202847</v>
      </c>
      <c r="L4208" s="13" t="n">
        <f aca="false">Sens!$G$4208</f>
        <v>0.723047066202847</v>
      </c>
      <c r="M4208" s="13" t="n">
        <f aca="false">Sens!$G$4208</f>
        <v>0.723047066202847</v>
      </c>
      <c r="N4208" s="13" t="n">
        <f aca="false">Q!$N$5/(Q!$N$5+Q!$N$6)</f>
        <v>0.733030935041352</v>
      </c>
      <c r="O4208" s="13" t="n">
        <f aca="false">Q!$O$5/(Q!$O$5+Q!$O$6)</f>
        <v>0.718066283041511</v>
      </c>
      <c r="P4208" s="8" t="s">
        <v>684</v>
      </c>
    </row>
    <row r="4209" customFormat="false" ht="17.15" hidden="false" customHeight="false" outlineLevel="0" collapsed="false">
      <c r="A4209" s="1" t="s">
        <v>512</v>
      </c>
      <c r="B4209" s="8" t="s">
        <v>86</v>
      </c>
      <c r="C4209" s="38" t="n">
        <f aca="false">Q!$D$5</f>
        <v>387.497</v>
      </c>
      <c r="D4209" s="38" t="n">
        <f aca="false">Q!$E$5</f>
        <v>426.305</v>
      </c>
      <c r="E4209" s="38" t="n">
        <f aca="false">Q!$P$5</f>
        <v>220.32</v>
      </c>
      <c r="F4209" s="38" t="n">
        <f aca="false">Sens!$F$4207*Sens!$F$4208</f>
        <v>250.639773480586</v>
      </c>
      <c r="G4209" s="38" t="n">
        <f aca="false">Sens!$E$4209+Sens!$F$4209</f>
        <v>470.959773480586</v>
      </c>
      <c r="H4209" s="38" t="n">
        <f aca="false">Sens!$H$4207*Sens!$H$4208</f>
        <v>521.838221795268</v>
      </c>
      <c r="I4209" s="38" t="n">
        <f aca="false">Sens!$I$4207*Sens!$I$4208</f>
        <v>571.760686396914</v>
      </c>
      <c r="J4209" s="38" t="n">
        <f aca="false">Sens!$J$4207*Sens!$J$4208</f>
        <v>619.157150524754</v>
      </c>
      <c r="K4209" s="38" t="n">
        <f aca="false">Sens!$K$4207*Sens!$K$4208</f>
        <v>662.329982352819</v>
      </c>
      <c r="L4209" s="38" t="n">
        <f aca="false">Sens!$L$4207*Sens!$L$4208</f>
        <v>709.008469021416</v>
      </c>
      <c r="M4209" s="38" t="n">
        <f aca="false">Sens!$M$4207*Sens!$M$4208</f>
        <v>759.524614648812</v>
      </c>
      <c r="N4209" s="38" t="n">
        <f aca="false">Q!$N$5</f>
        <v>192.955</v>
      </c>
      <c r="O4209" s="38" t="n">
        <f aca="false">Q!$O$5</f>
        <v>233.35</v>
      </c>
      <c r="P4209" s="5" t="s">
        <v>685</v>
      </c>
    </row>
    <row r="4210" customFormat="false" ht="17.15" hidden="false" customHeight="false" outlineLevel="0" collapsed="false">
      <c r="A4210" s="1" t="s">
        <v>515</v>
      </c>
      <c r="B4210" s="8" t="s">
        <v>86</v>
      </c>
      <c r="C4210" s="38" t="n">
        <f aca="false">Q!$D$6</f>
        <v>142.906</v>
      </c>
      <c r="D4210" s="38" t="n">
        <f aca="false">Q!$E$6</f>
        <v>161.894</v>
      </c>
      <c r="E4210" s="38" t="n">
        <f aca="false">Q!$P$6</f>
        <v>81.986</v>
      </c>
      <c r="F4210" s="38" t="n">
        <f aca="false">Sens!$F$4207*(1-Sens!$F$4208)</f>
        <v>98.408468164951</v>
      </c>
      <c r="G4210" s="38" t="n">
        <f aca="false">Sens!$E$4210+Sens!$F$4210</f>
        <v>180.394468164951</v>
      </c>
      <c r="H4210" s="38" t="n">
        <f aca="false">Sens!$H$4207*(1-Sens!$H$4208)</f>
        <v>199.882736891077</v>
      </c>
      <c r="I4210" s="38" t="n">
        <f aca="false">Sens!$I$4207*(1-Sens!$I$4208)</f>
        <v>219.004829601334</v>
      </c>
      <c r="J4210" s="38" t="n">
        <f aca="false">Sens!$J$4207*(1-Sens!$J$4208)</f>
        <v>237.159373621203</v>
      </c>
      <c r="K4210" s="38" t="n">
        <f aca="false">Sens!$K$4207*(1-Sens!$K$4208)</f>
        <v>253.696115133628</v>
      </c>
      <c r="L4210" s="38" t="n">
        <f aca="false">Sens!$L$4207*(1-Sens!$L$4208)</f>
        <v>271.575648060814</v>
      </c>
      <c r="M4210" s="38" t="n">
        <f aca="false">Sens!$M$4207*(1-Sens!$M$4208)</f>
        <v>290.925141876071</v>
      </c>
      <c r="N4210" s="38" t="n">
        <f aca="false">Q!$N$6</f>
        <v>70.274</v>
      </c>
      <c r="O4210" s="38" t="n">
        <f aca="false">Q!$O$6</f>
        <v>91.62</v>
      </c>
      <c r="P4210" s="5" t="s">
        <v>686</v>
      </c>
    </row>
    <row r="4211" customFormat="false" ht="17.15" hidden="false" customHeight="false" outlineLevel="0" collapsed="false">
      <c r="A4211" s="5" t="s">
        <v>687</v>
      </c>
      <c r="B4211" s="0" t="s">
        <v>86</v>
      </c>
      <c r="C4211" s="38" t="n">
        <f aca="false">Sens!$C$4200*Sens!$C$4208</f>
        <v>41.0683128828457</v>
      </c>
      <c r="D4211" s="38" t="n">
        <f aca="false">Sens!$D$4200*Sens!$D$4208</f>
        <v>49.7441234599175</v>
      </c>
      <c r="E4211" s="38" t="n">
        <f aca="false">Sens!$E$4200*Sens!$E$4208</f>
        <v>27.0034224924414</v>
      </c>
      <c r="F4211" s="38" t="n">
        <f aca="false">Sens!$F$4200*Sens!$F$4208</f>
        <v>33.1439448330513</v>
      </c>
      <c r="G4211" s="38" t="n">
        <f aca="false">Sens!$G$4200*Sens!$G$4208</f>
        <v>60.164183844083</v>
      </c>
      <c r="H4211" s="38" t="n">
        <f aca="false">Sens!$H$4200*Sens!$H$4208</f>
        <v>72.6814080340935</v>
      </c>
      <c r="I4211" s="38" t="n">
        <f aca="false">Sens!$I$4200*Sens!$I$4208</f>
        <v>85.9118999557581</v>
      </c>
      <c r="J4211" s="38" t="n">
        <f aca="false">Sens!$J$4200*Sens!$J$4208</f>
        <v>99.3156195057597</v>
      </c>
      <c r="K4211" s="38" t="n">
        <f aca="false">Sens!$K$4200*Sens!$K$4208</f>
        <v>112.226650041508</v>
      </c>
      <c r="L4211" s="38" t="n">
        <f aca="false">Sens!$L$4200*Sens!$L$4208</f>
        <v>126.816114546904</v>
      </c>
      <c r="M4211" s="38" t="n">
        <f aca="false">Sens!$M$4200*Sens!$M$4208</f>
        <v>143.302209438002</v>
      </c>
      <c r="N4211" s="38" t="n">
        <f aca="false">Sens!$N$4200*Sens!$N$4208</f>
        <v>21.7087111412496</v>
      </c>
      <c r="O4211" s="38" t="n">
        <f aca="false">Sens!$O$4200*Sens!$O$4208</f>
        <v>28.0189463642798</v>
      </c>
      <c r="P4211" s="5" t="s">
        <v>688</v>
      </c>
    </row>
    <row r="4212" customFormat="false" ht="15" hidden="false" customHeight="false" outlineLevel="0" collapsed="false">
      <c r="A4212" s="5" t="s">
        <v>689</v>
      </c>
      <c r="B4212" s="0" t="s">
        <v>86</v>
      </c>
      <c r="C4212" s="38" t="n">
        <f aca="false">Sens!$C$4200-Sens!$C$4211</f>
        <v>15.1456871171543</v>
      </c>
      <c r="D4212" s="38" t="n">
        <f aca="false">Sens!$D$4200-Sens!$D$4211</f>
        <v>18.8908765400825</v>
      </c>
      <c r="E4212" s="38" t="n">
        <f aca="false">Sens!$E$4200-Sens!$E$4211</f>
        <v>10.0485775075586</v>
      </c>
      <c r="F4212" s="38" t="n">
        <f aca="false">Sens!$F$4200-Sens!$F$4211</f>
        <v>13.0132771613635</v>
      </c>
      <c r="G4212" s="38" t="n">
        <f aca="false">Sens!$G$4200-Sens!$G$4211</f>
        <v>23.0450381503318</v>
      </c>
      <c r="H4212" s="38" t="n">
        <f aca="false">Sens!$H$4200-Sens!$H$4211</f>
        <v>27.8395835187622</v>
      </c>
      <c r="I4212" s="38" t="n">
        <f aca="false">Sens!$I$4200-Sens!$I$4211</f>
        <v>32.9073359854551</v>
      </c>
      <c r="J4212" s="38" t="n">
        <f aca="false">Sens!$J$4200-Sens!$J$4211</f>
        <v>38.0414408407063</v>
      </c>
      <c r="K4212" s="38" t="n">
        <f aca="false">Sens!$K$4200-Sens!$K$4211</f>
        <v>42.9868281499981</v>
      </c>
      <c r="L4212" s="38" t="n">
        <f aca="false">Sens!$L$4200-Sens!$L$4211</f>
        <v>48.5751158094979</v>
      </c>
      <c r="M4212" s="38" t="n">
        <f aca="false">Sens!$M$4200-Sens!$M$4211</f>
        <v>54.8898808647326</v>
      </c>
      <c r="N4212" s="38" t="n">
        <f aca="false">Sens!$N$4200-Sens!$N$4211</f>
        <v>7.90628885875037</v>
      </c>
      <c r="O4212" s="38" t="n">
        <f aca="false">Sens!$O$4200-Sens!$O$4211</f>
        <v>11.0010536357202</v>
      </c>
    </row>
    <row r="4213" customFormat="false" ht="19.4" hidden="false" customHeight="false" outlineLevel="0" collapsed="false">
      <c r="A4213" s="31" t="s">
        <v>1221</v>
      </c>
    </row>
    <row r="4214" customFormat="false" ht="17.15" hidden="false" customHeight="false" outlineLevel="0" collapsed="false">
      <c r="A4214" s="6" t="s">
        <v>16</v>
      </c>
      <c r="B4214" s="6" t="s">
        <v>17</v>
      </c>
      <c r="C4214" s="20" t="s">
        <v>497</v>
      </c>
      <c r="D4214" s="20" t="s">
        <v>498</v>
      </c>
      <c r="E4214" s="20" t="s">
        <v>580</v>
      </c>
      <c r="F4214" s="20" t="s">
        <v>581</v>
      </c>
      <c r="G4214" s="20" t="s">
        <v>582</v>
      </c>
      <c r="H4214" s="20" t="s">
        <v>583</v>
      </c>
      <c r="I4214" s="20" t="s">
        <v>584</v>
      </c>
      <c r="J4214" s="20" t="s">
        <v>585</v>
      </c>
      <c r="K4214" s="20" t="s">
        <v>586</v>
      </c>
      <c r="L4214" s="20" t="s">
        <v>587</v>
      </c>
      <c r="M4214" s="20" t="s">
        <v>588</v>
      </c>
      <c r="N4214" s="20" t="s">
        <v>589</v>
      </c>
      <c r="O4214" s="20" t="s">
        <v>590</v>
      </c>
      <c r="P4214" s="6" t="s">
        <v>23</v>
      </c>
      <c r="R4214" s="20" t="n">
        <v>2023</v>
      </c>
      <c r="S4214" s="20" t="n">
        <v>2024</v>
      </c>
      <c r="T4214" s="20" t="n">
        <v>2025</v>
      </c>
      <c r="U4214" s="20" t="n">
        <v>2026</v>
      </c>
      <c r="V4214" s="20" t="n">
        <v>2027</v>
      </c>
      <c r="W4214" s="20" t="n">
        <v>2028</v>
      </c>
      <c r="X4214" s="20" t="n">
        <v>2029</v>
      </c>
      <c r="Y4214" s="20" t="n">
        <v>2030</v>
      </c>
      <c r="Z4214" s="20" t="n">
        <v>2031</v>
      </c>
      <c r="AA4214" s="20" t="n">
        <v>2032</v>
      </c>
    </row>
    <row r="4215" customFormat="false" ht="17.15" hidden="false" customHeight="false" outlineLevel="0" collapsed="false">
      <c r="A4215" s="1" t="s">
        <v>591</v>
      </c>
    </row>
    <row r="4216" customFormat="false" ht="17.15" hidden="false" customHeight="false" outlineLevel="0" collapsed="false">
      <c r="A4216" s="5" t="s">
        <v>592</v>
      </c>
      <c r="B4216" s="0" t="s">
        <v>144</v>
      </c>
      <c r="H4216" s="32" t="n">
        <f aca="false">pace_B</f>
        <v>3634.3</v>
      </c>
      <c r="I4216" s="32" t="n">
        <f aca="false">pace_B</f>
        <v>3634.3</v>
      </c>
      <c r="J4216" s="32" t="n">
        <f aca="false">pace_B</f>
        <v>3634.3</v>
      </c>
      <c r="K4216" s="32" t="n">
        <f aca="false">pace_B+(Sens!$J$4217*tg-pace_B)*1/3</f>
        <v>2570.86716666667</v>
      </c>
      <c r="L4216" s="32" t="n">
        <f aca="false">pace_B+(Sens!$J$4217*tg-pace_B)*2/3</f>
        <v>1507.43433333333</v>
      </c>
      <c r="M4216" s="32" t="n">
        <f aca="false">pace_B+(Sens!$J$4217*tg-pace_B)*3/3</f>
        <v>444.0015</v>
      </c>
      <c r="P4216" s="5" t="s">
        <v>593</v>
      </c>
    </row>
    <row r="4217" customFormat="false" ht="17.15" hidden="false" customHeight="false" outlineLevel="0" collapsed="false">
      <c r="A4217" s="15" t="s">
        <v>594</v>
      </c>
      <c r="B4217" s="14" t="s">
        <v>129</v>
      </c>
      <c r="C4217" s="33" t="n">
        <f aca="false">mw_ye24</f>
        <v>360</v>
      </c>
      <c r="D4217" s="33" t="n">
        <f aca="false">mw_ye25</f>
        <v>1440</v>
      </c>
      <c r="E4217" s="33" t="n">
        <f aca="false">mw_open</f>
        <v>2080</v>
      </c>
      <c r="F4217" s="33" t="n">
        <f aca="false">Sens!$E$4217+pace_B*0.5</f>
        <v>3897.15</v>
      </c>
      <c r="G4217" s="33" t="n">
        <f aca="false">Sens!$F$4217</f>
        <v>3897.15</v>
      </c>
      <c r="H4217" s="33" t="n">
        <f aca="false">Sens!$G$4217+Sens!$H$4216</f>
        <v>7531.45</v>
      </c>
      <c r="I4217" s="33" t="n">
        <f aca="false">Sens!$H$4217+Sens!$I$4216</f>
        <v>11165.75</v>
      </c>
      <c r="J4217" s="33" t="n">
        <f aca="false">Sens!$I$4217+Sens!$J$4216</f>
        <v>14800.05</v>
      </c>
      <c r="K4217" s="33" t="n">
        <f aca="false">Sens!$J$4217+Sens!$K$4216</f>
        <v>17370.9171666667</v>
      </c>
      <c r="L4217" s="33" t="n">
        <f aca="false">Sens!$K$4217+Sens!$L$4216</f>
        <v>18878.3515</v>
      </c>
      <c r="M4217" s="33" t="n">
        <f aca="false">Sens!$L$4217+Sens!$M$4216</f>
        <v>19322.353</v>
      </c>
      <c r="N4217" s="33" t="n">
        <f aca="false">(mw_ye24+mw_ye25)/2</f>
        <v>900</v>
      </c>
      <c r="O4217" s="33" t="n">
        <f aca="false">mw_ye25</f>
        <v>1440</v>
      </c>
      <c r="P4217" s="5" t="s">
        <v>595</v>
      </c>
    </row>
    <row r="4218" customFormat="false" ht="17.15" hidden="false" customHeight="false" outlineLevel="0" collapsed="false">
      <c r="A4218" s="5" t="s">
        <v>596</v>
      </c>
      <c r="B4218" s="0" t="s">
        <v>129</v>
      </c>
      <c r="C4218" s="32" t="n">
        <f aca="false">(mw_ye23+mw_ye24)/2</f>
        <v>240</v>
      </c>
      <c r="D4218" s="32" t="n">
        <f aca="false">(Sens!$C$4217+Sens!$D$4217)/2</f>
        <v>900</v>
      </c>
      <c r="E4218" s="32" t="n">
        <f aca="false">(Sens!$D$4217+Sens!$E$4217)/2</f>
        <v>1760</v>
      </c>
      <c r="F4218" s="32" t="n">
        <f aca="false">(Sens!$E$4217+Sens!$F$4217)/2</f>
        <v>2988.575</v>
      </c>
      <c r="G4218" s="32" t="n">
        <f aca="false">(Sens!$E$4218+Sens!$F$4218)/2</f>
        <v>2374.2875</v>
      </c>
      <c r="H4218" s="32" t="n">
        <f aca="false">(Sens!$G$4217+Sens!$H$4217)/2</f>
        <v>5714.3</v>
      </c>
      <c r="I4218" s="32" t="n">
        <f aca="false">(Sens!$H$4217+Sens!$I$4217)/2</f>
        <v>9348.6</v>
      </c>
      <c r="J4218" s="32" t="n">
        <f aca="false">(Sens!$I$4217+Sens!$J$4217)/2</f>
        <v>12982.9</v>
      </c>
      <c r="K4218" s="32" t="n">
        <f aca="false">(Sens!$J$4217+Sens!$K$4217)/2</f>
        <v>16085.4835833333</v>
      </c>
      <c r="L4218" s="32" t="n">
        <f aca="false">(Sens!$K$4217+Sens!$L$4217)/2</f>
        <v>18124.6343333333</v>
      </c>
      <c r="M4218" s="32" t="n">
        <f aca="false">(Sens!$L$4217+Sens!$M$4217)/2</f>
        <v>19100.35225</v>
      </c>
      <c r="N4218" s="32" t="n">
        <f aca="false">(Sens!$C$4217+Sens!$N$4217)/2</f>
        <v>630</v>
      </c>
      <c r="O4218" s="32" t="n">
        <f aca="false">(Sens!$N$4217+Sens!$O$4217)/2</f>
        <v>1170</v>
      </c>
    </row>
    <row r="4219" customFormat="false" ht="15" hidden="false" customHeight="false" outlineLevel="0" collapsed="false">
      <c r="A4219" s="5" t="s">
        <v>597</v>
      </c>
      <c r="B4219" s="5" t="s">
        <v>123</v>
      </c>
      <c r="C4219" s="34" t="n">
        <v>1</v>
      </c>
      <c r="D4219" s="34" t="n">
        <v>1</v>
      </c>
      <c r="E4219" s="34" t="n">
        <v>0.5</v>
      </c>
      <c r="F4219" s="34" t="n">
        <v>0.5</v>
      </c>
      <c r="G4219" s="34" t="n">
        <v>1</v>
      </c>
      <c r="H4219" s="34" t="n">
        <v>1</v>
      </c>
      <c r="I4219" s="34" t="n">
        <v>1</v>
      </c>
      <c r="J4219" s="34" t="n">
        <v>1</v>
      </c>
      <c r="K4219" s="34" t="n">
        <v>1</v>
      </c>
      <c r="L4219" s="34" t="n">
        <v>1</v>
      </c>
      <c r="M4219" s="34" t="n">
        <v>1</v>
      </c>
      <c r="N4219" s="34" t="n">
        <v>0.5</v>
      </c>
      <c r="O4219" s="34" t="n">
        <v>0.5</v>
      </c>
    </row>
    <row r="4220" customFormat="false" ht="17.15" hidden="false" customHeight="false" outlineLevel="0" collapsed="false">
      <c r="A4220" s="5" t="s">
        <v>598</v>
      </c>
      <c r="B4220" s="0" t="s">
        <v>129</v>
      </c>
      <c r="C4220" s="32" t="n">
        <f aca="false">Sens!$C$4217-mw_ye23</f>
        <v>240</v>
      </c>
      <c r="D4220" s="32" t="n">
        <f aca="false">Sens!$D$4217-Sens!$C$4217</f>
        <v>1080</v>
      </c>
      <c r="E4220" s="32" t="n">
        <f aca="false">Sens!$E$4217-Sens!$D$4217</f>
        <v>640</v>
      </c>
      <c r="F4220" s="32" t="n">
        <f aca="false">Sens!$F$4217-Sens!$E$4217</f>
        <v>1817.15</v>
      </c>
      <c r="G4220" s="32" t="n">
        <f aca="false">Sens!$E$4220+Sens!$F$4220</f>
        <v>2457.15</v>
      </c>
      <c r="H4220" s="32" t="n">
        <f aca="false">Sens!$H$4217-Sens!$G$4217</f>
        <v>3634.3</v>
      </c>
      <c r="I4220" s="32" t="n">
        <f aca="false">Sens!$I$4217-Sens!$H$4217</f>
        <v>3634.3</v>
      </c>
      <c r="J4220" s="32" t="n">
        <f aca="false">Sens!$J$4217-Sens!$I$4217</f>
        <v>3634.3</v>
      </c>
      <c r="K4220" s="32" t="n">
        <f aca="false">Sens!$K$4217-Sens!$J$4217</f>
        <v>2570.86716666667</v>
      </c>
      <c r="L4220" s="32" t="n">
        <f aca="false">Sens!$L$4217-Sens!$K$4217</f>
        <v>1507.43433333333</v>
      </c>
      <c r="M4220" s="32" t="n">
        <f aca="false">Sens!$M$4217-Sens!$L$4217</f>
        <v>444.001499999999</v>
      </c>
      <c r="N4220" s="32" t="n">
        <f aca="false">Sens!$N$4217-Sens!$C$4217</f>
        <v>540</v>
      </c>
      <c r="O4220" s="32" t="n">
        <f aca="false">Sens!$O$4217-Sens!$N$4217</f>
        <v>540</v>
      </c>
    </row>
    <row r="4221" customFormat="false" ht="17.15" hidden="false" customHeight="false" outlineLevel="0" collapsed="false">
      <c r="A4221" s="5" t="s">
        <v>599</v>
      </c>
      <c r="B4221" s="0" t="s">
        <v>129</v>
      </c>
      <c r="C4221" s="32" t="n">
        <f aca="false">Sens!$C$4220/ext_sh</f>
        <v>300</v>
      </c>
      <c r="D4221" s="32" t="n">
        <f aca="false">Sens!$D$4220/ext_sh</f>
        <v>1350</v>
      </c>
      <c r="E4221" s="32" t="n">
        <f aca="false">Sens!$E$4220/ext_sh</f>
        <v>800</v>
      </c>
      <c r="F4221" s="32" t="n">
        <f aca="false">Sens!$F$4220/ext_sh</f>
        <v>2271.4375</v>
      </c>
      <c r="G4221" s="32" t="n">
        <f aca="false">Sens!$G$4220/ext_sh</f>
        <v>3071.4375</v>
      </c>
      <c r="H4221" s="32" t="n">
        <f aca="false">Sens!$H$4220/ext_sh</f>
        <v>4542.875</v>
      </c>
      <c r="I4221" s="32" t="n">
        <f aca="false">Sens!$I$4220/ext_sh</f>
        <v>4542.875</v>
      </c>
      <c r="J4221" s="32" t="n">
        <f aca="false">Sens!$J$4220/ext_sh</f>
        <v>4542.875</v>
      </c>
      <c r="K4221" s="32" t="n">
        <f aca="false">Sens!$K$4220/ext_sh</f>
        <v>3213.58395833333</v>
      </c>
      <c r="L4221" s="32" t="n">
        <f aca="false">Sens!$L$4220/ext_sh</f>
        <v>1884.29291666667</v>
      </c>
      <c r="M4221" s="32" t="n">
        <f aca="false">Sens!$M$4220/ext_sh</f>
        <v>555.001874999998</v>
      </c>
      <c r="N4221" s="32" t="n">
        <f aca="false">Sens!$N$4220/ext_sh</f>
        <v>675</v>
      </c>
      <c r="O4221" s="32" t="n">
        <f aca="false">Sens!$O$4220/ext_sh</f>
        <v>675</v>
      </c>
      <c r="P4221" s="8" t="s">
        <v>600</v>
      </c>
      <c r="R4221" s="32" t="n">
        <f aca="false">mw_ye23/ext_sh</f>
        <v>150</v>
      </c>
      <c r="S4221" s="32" t="n">
        <f aca="false">Sens!$C$4221</f>
        <v>300</v>
      </c>
      <c r="T4221" s="32" t="n">
        <f aca="false">Sens!$D$4221</f>
        <v>1350</v>
      </c>
      <c r="U4221" s="32" t="n">
        <f aca="false">Sens!$G$4221</f>
        <v>3071.4375</v>
      </c>
      <c r="V4221" s="32" t="n">
        <f aca="false">Sens!$H$4221</f>
        <v>4542.875</v>
      </c>
      <c r="W4221" s="32" t="n">
        <f aca="false">Sens!$I$4221</f>
        <v>4542.875</v>
      </c>
      <c r="X4221" s="32" t="n">
        <f aca="false">Sens!$J$4221</f>
        <v>4542.875</v>
      </c>
      <c r="Y4221" s="32" t="n">
        <f aca="false">Sens!$K$4221</f>
        <v>3213.58395833333</v>
      </c>
      <c r="Z4221" s="32" t="n">
        <f aca="false">Sens!$L$4221</f>
        <v>1884.29291666667</v>
      </c>
      <c r="AA4221" s="32" t="n">
        <f aca="false">Sens!$M$4221</f>
        <v>555.001874999998</v>
      </c>
    </row>
    <row r="4222" customFormat="false" ht="17.15" hidden="false" customHeight="false" outlineLevel="0" collapsed="false">
      <c r="A4222" s="1" t="s">
        <v>601</v>
      </c>
    </row>
    <row r="4223" customFormat="false" ht="17.15" hidden="false" customHeight="false" outlineLevel="0" collapsed="false">
      <c r="A4223" s="0" t="s">
        <v>602</v>
      </c>
      <c r="B4223" s="0" t="s">
        <v>52</v>
      </c>
      <c r="F4223" s="35" t="n">
        <f aca="false">na_vr26</f>
        <v>0</v>
      </c>
      <c r="G4223" s="35" t="n">
        <f aca="false">na_vr26</f>
        <v>0</v>
      </c>
      <c r="H4223" s="35" t="n">
        <f aca="false">na_vr27</f>
        <v>0.5</v>
      </c>
      <c r="I4223" s="35" t="n">
        <f aca="false">na_vr28</f>
        <v>1</v>
      </c>
      <c r="J4223" s="35" t="n">
        <f aca="false">na_vr28</f>
        <v>1</v>
      </c>
      <c r="K4223" s="35" t="n">
        <f aca="false">na_vr28</f>
        <v>1</v>
      </c>
      <c r="L4223" s="35" t="n">
        <f aca="false">na_vr28</f>
        <v>1</v>
      </c>
      <c r="M4223" s="35" t="n">
        <f aca="false">na_vr28</f>
        <v>1</v>
      </c>
    </row>
    <row r="4224" customFormat="false" ht="17.15" hidden="false" customHeight="false" outlineLevel="0" collapsed="false">
      <c r="A4224" s="5" t="s">
        <v>603</v>
      </c>
      <c r="B4224" s="0" t="s">
        <v>173</v>
      </c>
      <c r="F4224" s="36" t="n">
        <f aca="false">cust_sh*tk_he_gb300*cf_chip+(1-cust_sh)*((1-Sens!$F$4223)*tk_he_gb300+Sens!$F$4223*tk_he_vr200)</f>
        <v>10.8864110021101</v>
      </c>
      <c r="G4224" s="36" t="n">
        <f aca="false">cust_sh*tk_he_gb300*cf_chip+(1-cust_sh)*((1-Sens!$G$4223)*tk_he_gb300+Sens!$G$4223*tk_he_vr200)</f>
        <v>10.8864110021101</v>
      </c>
      <c r="H4224" s="36" t="n">
        <f aca="false">cust_sh*tk_he_gb300*cf_chip+(1-cust_sh)*((1-Sens!$H$4223)*tk_he_gb300+Sens!$H$4223*tk_he_vr200)</f>
        <v>11.2211760027286</v>
      </c>
      <c r="I4224" s="36" t="n">
        <f aca="false">cust_sh*tk_he_gb300*cf_chip+(1-cust_sh)*((1-Sens!$I$4223)*tk_he_gb300+Sens!$I$4223*tk_he_vr200)</f>
        <v>11.5559410033471</v>
      </c>
      <c r="J4224" s="36" t="n">
        <f aca="false">cust_sh*tk_he_gb300*cf_chip+(1-cust_sh)*((1-Sens!$J$4223)*tk_he_gb300+Sens!$J$4223*tk_he_vr200)</f>
        <v>11.5559410033471</v>
      </c>
      <c r="K4224" s="36" t="n">
        <f aca="false">cust_sh*tk_he_gb300*cf_chip+(1-cust_sh)*((1-Sens!$K$4223)*tk_he_gb300+Sens!$K$4223*tk_he_vr200)</f>
        <v>11.5559410033471</v>
      </c>
      <c r="L4224" s="36" t="n">
        <f aca="false">cust_sh*tk_he_gb300*cf_chip+(1-cust_sh)*((1-Sens!$L$4223)*tk_he_gb300+Sens!$L$4223*tk_he_vr200)</f>
        <v>11.5559410033471</v>
      </c>
      <c r="M4224" s="36" t="n">
        <f aca="false">cust_sh*tk_he_gb300*cf_chip+(1-cust_sh)*((1-Sens!$M$4223)*tk_he_gb300+Sens!$M$4223*tk_he_vr200)</f>
        <v>11.5559410033471</v>
      </c>
    </row>
    <row r="4225" customFormat="false" ht="17.15" hidden="false" customHeight="false" outlineLevel="0" collapsed="false">
      <c r="A4225" s="5" t="s">
        <v>604</v>
      </c>
      <c r="B4225" s="0" t="s">
        <v>173</v>
      </c>
      <c r="F4225" s="36" t="n">
        <f aca="false">cust_sh*tk_ox_gb300+(1-cust_sh)*((1-Sens!$F$4223)*tk_ox_gb300+Sens!$F$4223*tk_ox_vr200)</f>
        <v>1.98263481314457</v>
      </c>
      <c r="G4225" s="36" t="n">
        <f aca="false">cust_sh*tk_ox_gb300+(1-cust_sh)*((1-Sens!$G$4223)*tk_ox_gb300+Sens!$G$4223*tk_ox_vr200)</f>
        <v>1.98263481314457</v>
      </c>
      <c r="H4225" s="36" t="n">
        <f aca="false">cust_sh*tk_ox_gb300+(1-cust_sh)*((1-Sens!$H$4223)*tk_ox_gb300+Sens!$H$4223*tk_ox_vr200)</f>
        <v>2.01034999693694</v>
      </c>
      <c r="I4225" s="36" t="n">
        <f aca="false">cust_sh*tk_ox_gb300+(1-cust_sh)*((1-Sens!$I$4223)*tk_ox_gb300+Sens!$I$4223*tk_ox_vr200)</f>
        <v>2.0380651807293</v>
      </c>
      <c r="J4225" s="36" t="n">
        <f aca="false">cust_sh*tk_ox_gb300+(1-cust_sh)*((1-Sens!$J$4223)*tk_ox_gb300+Sens!$J$4223*tk_ox_vr200)</f>
        <v>2.0380651807293</v>
      </c>
      <c r="K4225" s="36" t="n">
        <f aca="false">cust_sh*tk_ox_gb300+(1-cust_sh)*((1-Sens!$K$4223)*tk_ox_gb300+Sens!$K$4223*tk_ox_vr200)</f>
        <v>2.0380651807293</v>
      </c>
      <c r="L4225" s="36" t="n">
        <f aca="false">cust_sh*tk_ox_gb300+(1-cust_sh)*((1-Sens!$L$4223)*tk_ox_gb300+Sens!$L$4223*tk_ox_vr200)</f>
        <v>2.0380651807293</v>
      </c>
      <c r="M4225" s="36" t="n">
        <f aca="false">cust_sh*tk_ox_gb300+(1-cust_sh)*((1-Sens!$M$4223)*tk_ox_gb300+Sens!$M$4223*tk_ox_vr200)</f>
        <v>2.0380651807293</v>
      </c>
    </row>
    <row r="4226" customFormat="false" ht="17.15" hidden="false" customHeight="false" outlineLevel="0" collapsed="false">
      <c r="A4226" s="5" t="s">
        <v>605</v>
      </c>
      <c r="B4226" s="0" t="s">
        <v>192</v>
      </c>
      <c r="F4226" s="36" t="n">
        <f aca="false">cust_sh*tk_cx_gb300*cf_cx+(1-cust_sh)*((1-Sens!$F$4223)*tk_cx_gb300+Sens!$F$4223*tk_cx_vr200)</f>
        <v>32.237224</v>
      </c>
      <c r="G4226" s="36" t="n">
        <f aca="false">cust_sh*tk_cx_gb300*cf_cx+(1-cust_sh)*((1-Sens!$G$4223)*tk_cx_gb300+Sens!$G$4223*tk_cx_vr200)</f>
        <v>32.237224</v>
      </c>
      <c r="H4226" s="36" t="n">
        <f aca="false">cust_sh*tk_cx_gb300*cf_cx+(1-cust_sh)*((1-Sens!$H$4223)*tk_cx_gb300+Sens!$H$4223*tk_cx_vr200)</f>
        <v>33.574506</v>
      </c>
      <c r="I4226" s="36" t="n">
        <f aca="false">cust_sh*tk_cx_gb300*cf_cx+(1-cust_sh)*((1-Sens!$I$4223)*tk_cx_gb300+Sens!$I$4223*tk_cx_vr200)</f>
        <v>34.911788</v>
      </c>
      <c r="J4226" s="36" t="n">
        <f aca="false">cust_sh*tk_cx_gb300*cf_cx+(1-cust_sh)*((1-Sens!$J$4223)*tk_cx_gb300+Sens!$J$4223*tk_cx_vr200)</f>
        <v>34.911788</v>
      </c>
      <c r="K4226" s="36" t="n">
        <f aca="false">cust_sh*tk_cx_gb300*cf_cx+(1-cust_sh)*((1-Sens!$K$4223)*tk_cx_gb300+Sens!$K$4223*tk_cx_vr200)</f>
        <v>34.911788</v>
      </c>
      <c r="L4226" s="36" t="n">
        <f aca="false">cust_sh*tk_cx_gb300*cf_cx+(1-cust_sh)*((1-Sens!$L$4223)*tk_cx_gb300+Sens!$L$4223*tk_cx_vr200)</f>
        <v>34.911788</v>
      </c>
      <c r="M4226" s="36" t="n">
        <f aca="false">cust_sh*tk_cx_gb300*cf_cx+(1-cust_sh)*((1-Sens!$M$4223)*tk_cx_gb300+Sens!$M$4223*tk_cx_vr200)</f>
        <v>34.911788</v>
      </c>
    </row>
    <row r="4227" customFormat="false" ht="17.15" hidden="false" customHeight="false" outlineLevel="0" collapsed="false">
      <c r="A4227" s="5" t="s">
        <v>606</v>
      </c>
      <c r="B4227" s="0" t="s">
        <v>129</v>
      </c>
      <c r="F4227" s="32" t="n">
        <f aca="false">Sens!$F$4217-mw_open</f>
        <v>1817.15</v>
      </c>
      <c r="G4227" s="32" t="n">
        <f aca="false">Sens!$F$4227</f>
        <v>1817.15</v>
      </c>
      <c r="H4227" s="32" t="n">
        <f aca="false">Sens!$H$4217-mw_open</f>
        <v>5451.45</v>
      </c>
      <c r="I4227" s="32" t="n">
        <f aca="false">Sens!$I$4217-mw_open</f>
        <v>9085.75</v>
      </c>
      <c r="J4227" s="32" t="n">
        <f aca="false">Sens!$J$4217-mw_open</f>
        <v>12720.05</v>
      </c>
      <c r="K4227" s="32" t="n">
        <f aca="false">Sens!$K$4217-mw_open</f>
        <v>15290.9171666667</v>
      </c>
      <c r="L4227" s="32" t="n">
        <f aca="false">Sens!$L$4217-mw_open</f>
        <v>16798.3515</v>
      </c>
      <c r="M4227" s="32" t="n">
        <f aca="false">Sens!$M$4217-mw_open</f>
        <v>17242.353</v>
      </c>
    </row>
    <row r="4228" customFormat="false" ht="17.15" hidden="false" customHeight="false" outlineLevel="0" collapsed="false">
      <c r="A4228" s="0" t="s">
        <v>607</v>
      </c>
      <c r="B4228" s="0" t="s">
        <v>608</v>
      </c>
      <c r="F4228" s="32" t="n">
        <f aca="false">Sens!$F$4220*Sens!$F$4224</f>
        <v>19782.2417524844</v>
      </c>
      <c r="G4228" s="32" t="n">
        <f aca="false">Sens!$F$4228</f>
        <v>19782.2417524844</v>
      </c>
      <c r="H4228" s="32" t="n">
        <f aca="false">Sens!$G$4228+Sens!$H$4220*Sens!$H$4224</f>
        <v>60563.3616992009</v>
      </c>
      <c r="I4228" s="32" t="n">
        <f aca="false">Sens!$H$4228+Sens!$I$4220*Sens!$I$4224</f>
        <v>102561.118087665</v>
      </c>
      <c r="J4228" s="32" t="n">
        <f aca="false">Sens!$I$4228+Sens!$J$4220*Sens!$J$4224</f>
        <v>144558.87447613</v>
      </c>
      <c r="K4228" s="32" t="n">
        <f aca="false">Sens!$J$4228+Sens!$K$4220*Sens!$K$4224</f>
        <v>174267.663781572</v>
      </c>
      <c r="L4228" s="32" t="n">
        <f aca="false">Sens!$K$4228+Sens!$L$4220*Sens!$L$4224</f>
        <v>191687.486003992</v>
      </c>
      <c r="M4228" s="32" t="n">
        <f aca="false">Sens!$L$4228+Sens!$M$4220*Sens!$M$4224</f>
        <v>196818.341143389</v>
      </c>
    </row>
    <row r="4229" customFormat="false" ht="17.15" hidden="false" customHeight="false" outlineLevel="0" collapsed="false">
      <c r="A4229" s="0" t="s">
        <v>609</v>
      </c>
      <c r="B4229" s="0" t="s">
        <v>608</v>
      </c>
      <c r="F4229" s="32" t="n">
        <f aca="false">Sens!$F$4220*Sens!$F$4225</f>
        <v>3602.74485070566</v>
      </c>
      <c r="G4229" s="32" t="n">
        <f aca="false">Sens!$F$4229</f>
        <v>3602.74485070566</v>
      </c>
      <c r="H4229" s="32" t="n">
        <f aca="false">Sens!$G$4229+Sens!$H$4220*Sens!$H$4225</f>
        <v>10908.9598445736</v>
      </c>
      <c r="I4229" s="32" t="n">
        <f aca="false">Sens!$H$4229+Sens!$I$4220*Sens!$I$4225</f>
        <v>18315.9001308981</v>
      </c>
      <c r="J4229" s="32" t="n">
        <f aca="false">Sens!$I$4229+Sens!$J$4220*Sens!$J$4225</f>
        <v>25722.8404172225</v>
      </c>
      <c r="K4229" s="32" t="n">
        <f aca="false">Sens!$J$4229+Sens!$K$4220*Sens!$K$4225</f>
        <v>30962.4352738861</v>
      </c>
      <c r="L4229" s="32" t="n">
        <f aca="false">Sens!$K$4229+Sens!$L$4220*Sens!$L$4225</f>
        <v>34034.6847008886</v>
      </c>
      <c r="M4229" s="32" t="n">
        <f aca="false">Sens!$L$4229+Sens!$M$4220*Sens!$M$4225</f>
        <v>34939.5886982302</v>
      </c>
    </row>
    <row r="4230" customFormat="false" ht="17.15" hidden="false" customHeight="false" outlineLevel="0" collapsed="false">
      <c r="A4230" s="5" t="s">
        <v>610</v>
      </c>
      <c r="B4230" s="0" t="s">
        <v>173</v>
      </c>
      <c r="F4230" s="36" t="n">
        <f aca="false">IF(Sens!$F$4227&gt;0,Sens!$F$4228/Sens!$F$4227,Sens!$F$4224)</f>
        <v>10.8864110021101</v>
      </c>
      <c r="G4230" s="36" t="n">
        <f aca="false">IF(Sens!$G$4227&gt;0,Sens!$G$4228/Sens!$G$4227,Sens!$G$4224)</f>
        <v>10.8864110021101</v>
      </c>
      <c r="H4230" s="36" t="n">
        <f aca="false">IF(Sens!$H$4227&gt;0,Sens!$H$4228/Sens!$H$4227,Sens!$H$4224)</f>
        <v>11.1095876691891</v>
      </c>
      <c r="I4230" s="36" t="n">
        <f aca="false">IF(Sens!$I$4227&gt;0,Sens!$I$4228/Sens!$I$4227,Sens!$I$4224)</f>
        <v>11.2881290028523</v>
      </c>
      <c r="J4230" s="36" t="n">
        <f aca="false">IF(Sens!$J$4227&gt;0,Sens!$J$4228/Sens!$J$4227,Sens!$J$4224)</f>
        <v>11.3646467172794</v>
      </c>
      <c r="K4230" s="36" t="n">
        <f aca="false">IF(Sens!$K$4227&gt;0,Sens!$K$4228/Sens!$K$4227,Sens!$K$4224)</f>
        <v>11.3968090914432</v>
      </c>
      <c r="L4230" s="36" t="n">
        <f aca="false">IF(Sens!$L$4227&gt;0,Sens!$L$4228/Sens!$L$4227,Sens!$L$4224)</f>
        <v>11.4110891181192</v>
      </c>
      <c r="M4230" s="36" t="n">
        <f aca="false">IF(Sens!$M$4227&gt;0,Sens!$M$4228/Sens!$M$4227,Sens!$M$4224)</f>
        <v>11.4148191458201</v>
      </c>
    </row>
    <row r="4231" customFormat="false" ht="17.15" hidden="false" customHeight="false" outlineLevel="0" collapsed="false">
      <c r="A4231" s="5" t="s">
        <v>611</v>
      </c>
      <c r="B4231" s="0" t="s">
        <v>173</v>
      </c>
      <c r="F4231" s="36" t="n">
        <f aca="false">IF(Sens!$F$4227&gt;0,Sens!$F$4229/Sens!$F$4227,Sens!$F$4225)</f>
        <v>1.98263481314457</v>
      </c>
      <c r="G4231" s="36" t="n">
        <f aca="false">IF(Sens!$G$4227&gt;0,Sens!$G$4229/Sens!$G$4227,Sens!$G$4225)</f>
        <v>1.98263481314457</v>
      </c>
      <c r="H4231" s="36" t="n">
        <f aca="false">IF(Sens!$H$4227&gt;0,Sens!$H$4229/Sens!$H$4227,Sens!$H$4225)</f>
        <v>2.00111160233948</v>
      </c>
      <c r="I4231" s="36" t="n">
        <f aca="false">IF(Sens!$I$4227&gt;0,Sens!$I$4229/Sens!$I$4227,Sens!$I$4225)</f>
        <v>2.01589303369541</v>
      </c>
      <c r="J4231" s="36" t="n">
        <f aca="false">IF(Sens!$J$4227&gt;0,Sens!$J$4229/Sens!$J$4227,Sens!$J$4225)</f>
        <v>2.02222793284795</v>
      </c>
      <c r="K4231" s="36" t="n">
        <f aca="false">IF(Sens!$K$4227&gt;0,Sens!$K$4229/Sens!$K$4227,Sens!$K$4225)</f>
        <v>2.02489065478573</v>
      </c>
      <c r="L4231" s="36" t="n">
        <f aca="false">IF(Sens!$L$4227&gt;0,Sens!$L$4229/Sens!$L$4227,Sens!$L$4225)</f>
        <v>2.0260728977417</v>
      </c>
      <c r="M4231" s="36" t="n">
        <f aca="false">IF(Sens!$M$4227&gt;0,Sens!$M$4229/Sens!$M$4227,Sens!$M$4225)</f>
        <v>2.02638170661685</v>
      </c>
    </row>
    <row r="4232" customFormat="false" ht="17.15" hidden="false" customHeight="false" outlineLevel="0" collapsed="false">
      <c r="A4232" s="15" t="s">
        <v>612</v>
      </c>
      <c r="B4232" s="14" t="s">
        <v>173</v>
      </c>
      <c r="C4232" s="14"/>
      <c r="D4232" s="14"/>
      <c r="E4232" s="14"/>
      <c r="F4232" s="37" t="n">
        <f aca="false">Sens!$F$4230*k_B</f>
        <v>10.7987645808025</v>
      </c>
      <c r="G4232" s="37" t="n">
        <f aca="false">Sens!$G$4230*k_B</f>
        <v>10.7987645808025</v>
      </c>
      <c r="H4232" s="37" t="n">
        <f aca="false">Sens!$H$4230*k_B</f>
        <v>11.0201444540452</v>
      </c>
      <c r="I4232" s="37" t="n">
        <f aca="false">Sens!$I$4230*k_B</f>
        <v>11.1972483526393</v>
      </c>
      <c r="J4232" s="37" t="n">
        <f aca="false">Sens!$J$4230*k_B</f>
        <v>11.2731500234653</v>
      </c>
      <c r="K4232" s="37" t="n">
        <f aca="false">Sens!$K$4230*k_B</f>
        <v>11.3050534585724</v>
      </c>
      <c r="L4232" s="37" t="n">
        <f aca="false">Sens!$L$4230*k_B</f>
        <v>11.3192185168503</v>
      </c>
      <c r="M4232" s="37" t="n">
        <f aca="false">Sens!$M$4230*k_B</f>
        <v>11.3229185141234</v>
      </c>
      <c r="N4232" s="14"/>
      <c r="O4232" s="14"/>
      <c r="P4232" s="5" t="s">
        <v>613</v>
      </c>
    </row>
    <row r="4233" customFormat="false" ht="17.15" hidden="false" customHeight="false" outlineLevel="0" collapsed="false">
      <c r="A4233" s="5" t="s">
        <v>614</v>
      </c>
      <c r="B4233" s="0" t="s">
        <v>129</v>
      </c>
      <c r="F4233" s="32" t="n">
        <f aca="false">Sens!$F$4227/2</f>
        <v>908.575</v>
      </c>
      <c r="H4233" s="32" t="n">
        <f aca="false">(Sens!$G$4227+Sens!$H$4227)/2</f>
        <v>3634.3</v>
      </c>
      <c r="I4233" s="32" t="n">
        <f aca="false">(Sens!$H$4227+Sens!$I$4227)/2</f>
        <v>7268.6</v>
      </c>
      <c r="J4233" s="32" t="n">
        <f aca="false">(Sens!$I$4227+Sens!$J$4227)/2</f>
        <v>10902.9</v>
      </c>
      <c r="K4233" s="32" t="n">
        <f aca="false">(Sens!$J$4227+Sens!$K$4227)/2</f>
        <v>14005.4835833333</v>
      </c>
      <c r="L4233" s="32" t="n">
        <f aca="false">(Sens!$K$4227+Sens!$L$4227)/2</f>
        <v>16044.6343333333</v>
      </c>
      <c r="M4233" s="32" t="n">
        <f aca="false">(Sens!$L$4227+Sens!$M$4227)/2</f>
        <v>17020.35225</v>
      </c>
    </row>
    <row r="4234" customFormat="false" ht="17.15" hidden="false" customHeight="false" outlineLevel="0" collapsed="false">
      <c r="A4234" s="1" t="s">
        <v>615</v>
      </c>
    </row>
    <row r="4235" customFormat="false" ht="17.15" hidden="false" customHeight="false" outlineLevel="0" collapsed="false">
      <c r="A4235" s="1" t="s">
        <v>616</v>
      </c>
      <c r="B4235" s="8" t="s">
        <v>86</v>
      </c>
      <c r="C4235" s="38" t="n">
        <f aca="false">Sens!$C$4218*rpm_open*Sens!$C$4219/1000</f>
        <v>2.32100535697364</v>
      </c>
      <c r="D4235" s="38" t="n">
        <f aca="false">Sens!$D$4218*rpm_open*Sens!$D$4219/1000</f>
        <v>8.70377008865116</v>
      </c>
      <c r="E4235" s="38" t="n">
        <f aca="false">Sens!$E$4218*rpm_open*Sens!$E$4219/1000</f>
        <v>8.51035297557002</v>
      </c>
      <c r="F4235" s="38" t="n">
        <f aca="false">(mw_open*rpm_open+Sens!$F$4233*Sens!$F$4232)*Sens!$F$4219/1000</f>
        <v>14.9634336447205</v>
      </c>
      <c r="G4235" s="38" t="n">
        <f aca="false">Sens!$E$4235+Sens!$F$4235</f>
        <v>23.4737866202905</v>
      </c>
      <c r="H4235" s="38" t="n">
        <f aca="false">(mw_open*rpm_open+Sens!$H$4233*Sens!$H$4232)/1000</f>
        <v>60.1658907497746</v>
      </c>
      <c r="I4235" s="38" t="n">
        <f aca="false">(mw_open*rpm_open+Sens!$I$4233*Sens!$I$4232)/1000</f>
        <v>101.503699136432</v>
      </c>
      <c r="J4235" s="38" t="n">
        <f aca="false">(mw_open*rpm_open+Sens!$J$4233*Sens!$J$4232)/1000</f>
        <v>143.025407151278</v>
      </c>
      <c r="K4235" s="38" t="n">
        <f aca="false">(mw_open*rpm_open+Sens!$K$4233*Sens!$K$4232)/1000</f>
        <v>178.44812038318</v>
      </c>
      <c r="L4235" s="38" t="n">
        <f aca="false">(mw_open*rpm_open+Sens!$L$4233*Sens!$L$4232)/1000</f>
        <v>201.728101802396</v>
      </c>
      <c r="M4235" s="38" t="n">
        <f aca="false">(mw_open*rpm_open+Sens!$M$4233*Sens!$M$4232)/1000</f>
        <v>212.835441368865</v>
      </c>
      <c r="N4235" s="38" t="n">
        <f aca="false">Sens!$N$4218*rpm_open*Sens!$N$4219/1000</f>
        <v>3.04631953102791</v>
      </c>
      <c r="O4235" s="38" t="n">
        <f aca="false">Sens!$O$4218*rpm_open*Sens!$O$4219/1000</f>
        <v>5.65745055762326</v>
      </c>
      <c r="P4235" s="5" t="s">
        <v>617</v>
      </c>
    </row>
    <row r="4236" customFormat="false" ht="17.15" hidden="false" customHeight="false" outlineLevel="0" collapsed="false">
      <c r="A4236" s="5" t="s">
        <v>618</v>
      </c>
      <c r="B4236" s="0" t="s">
        <v>173</v>
      </c>
      <c r="C4236" s="36" t="n">
        <f aca="false">Sens!$C$4235*1000/(Sens!$C$4218*Sens!$C$4219)</f>
        <v>9.67085565405685</v>
      </c>
      <c r="D4236" s="36" t="n">
        <f aca="false">Sens!$D$4235*1000/(Sens!$D$4218*Sens!$D$4219)</f>
        <v>9.67085565405685</v>
      </c>
      <c r="E4236" s="36" t="n">
        <f aca="false">Sens!$E$4235*1000/(Sens!$E$4218*Sens!$E$4219)</f>
        <v>9.67085565405685</v>
      </c>
      <c r="F4236" s="36" t="n">
        <f aca="false">Sens!$F$4235*1000/(Sens!$F$4218*Sens!$F$4219)</f>
        <v>10.0137581588017</v>
      </c>
      <c r="G4236" s="36" t="n">
        <f aca="false">Sens!$G$4235*1000/(Sens!$G$4218*Sens!$G$4219)</f>
        <v>9.88666562928478</v>
      </c>
      <c r="H4236" s="36" t="n">
        <f aca="false">Sens!$H$4235*1000/(Sens!$H$4218*Sens!$H$4219)</f>
        <v>10.5290045586992</v>
      </c>
      <c r="I4236" s="36" t="n">
        <f aca="false">Sens!$I$4235*1000/(Sens!$I$4218*Sens!$I$4219)</f>
        <v>10.8576363451674</v>
      </c>
      <c r="J4236" s="36" t="n">
        <f aca="false">Sens!$J$4235*1000/(Sens!$J$4218*Sens!$J$4219)</f>
        <v>11.0164452588619</v>
      </c>
      <c r="K4236" s="36" t="n">
        <f aca="false">Sens!$K$4235*1000/(Sens!$K$4218*Sens!$K$4219)</f>
        <v>11.0937367508227</v>
      </c>
      <c r="L4236" s="36" t="n">
        <f aca="false">Sens!$L$4235*1000/(Sens!$L$4218*Sens!$L$4219)</f>
        <v>11.1300508519168</v>
      </c>
      <c r="M4236" s="36" t="n">
        <f aca="false">Sens!$M$4235*1000/(Sens!$M$4218*Sens!$M$4219)</f>
        <v>11.1430113216297</v>
      </c>
      <c r="N4236" s="36" t="n">
        <f aca="false">Sens!$N$4235*1000/(Sens!$N$4218*Sens!$N$4219)</f>
        <v>9.67085565405685</v>
      </c>
      <c r="O4236" s="36" t="n">
        <f aca="false">Sens!$O$4235*1000/(Sens!$O$4218*Sens!$O$4219)</f>
        <v>9.67085565405685</v>
      </c>
    </row>
    <row r="4237" customFormat="false" ht="17.15" hidden="false" customHeight="false" outlineLevel="0" collapsed="false">
      <c r="A4237" s="0" t="s">
        <v>619</v>
      </c>
      <c r="B4237" s="0" t="s">
        <v>86</v>
      </c>
      <c r="C4237" s="38" t="n">
        <f aca="false">Sens!$C$4218/ext_sh*(ox_open+rent_mw)*Sens!$C$4219/1000</f>
        <v>0.642569210675032</v>
      </c>
      <c r="D4237" s="38" t="n">
        <f aca="false">Sens!$D$4218/ext_sh*(ox_open+rent_mw)*Sens!$D$4219/1000</f>
        <v>2.40963454003137</v>
      </c>
      <c r="E4237" s="38" t="n">
        <f aca="false">Sens!$E$4218/ext_sh*(ox_open+rent_mw)*Sens!$E$4219/1000</f>
        <v>2.35608710580845</v>
      </c>
      <c r="F4237" s="38" t="n">
        <f aca="false">((mw_open*ox_open+Sens!$F$4233*Sens!$F$4231)/ext_sh+Sens!$F$4218/ext_sh*rent_mw)*Sens!$F$4219/1000</f>
        <v>4.05421991106232</v>
      </c>
      <c r="G4237" s="38" t="n">
        <f aca="false">Sens!$E$4237+Sens!$F$4237</f>
        <v>6.41030701687077</v>
      </c>
      <c r="H4237" s="38" t="n">
        <f aca="false">((mw_open*ox_open+Sens!$H$4233*Sens!$H$4231)/ext_sh+Sens!$H$4218/ext_sh*rent_mw)*Sens!$H$4219/1000</f>
        <v>15.8108975546616</v>
      </c>
      <c r="I4237" s="38" t="n">
        <f aca="false">((mw_open*ox_open+Sens!$I$4233*Sens!$I$4231)/ext_sh+Sens!$I$4218/ext_sh*rent_mw)*Sens!$I$4219/1000</f>
        <v>26.1871623400817</v>
      </c>
      <c r="J4237" s="38" t="n">
        <f aca="false">((mw_open*ox_open+Sens!$J$4233*Sens!$J$4231)/ext_sh+Sens!$J$4218/ext_sh*rent_mw)*Sens!$J$4219/1000</f>
        <v>36.5826128954935</v>
      </c>
      <c r="K4237" s="38" t="n">
        <f aca="false">((mw_open*ox_open+Sens!$K$4233*Sens!$K$4231)/ext_sh+Sens!$K$4218/ext_sh*rent_mw)*Sens!$K$4219/1000</f>
        <v>45.4546361137628</v>
      </c>
      <c r="L4237" s="38" t="n">
        <f aca="false">((mw_open*ox_open+Sens!$L$4233*Sens!$L$4231)/ext_sh+Sens!$L$4218/ext_sh*rent_mw)*Sens!$L$4219/1000</f>
        <v>51.2855695554452</v>
      </c>
      <c r="M4237" s="38" t="n">
        <f aca="false">((mw_open*ox_open+Sens!$M$4233*Sens!$M$4231)/ext_sh+Sens!$M$4218/ext_sh*rent_mw)*Sens!$M$4219/1000</f>
        <v>54.0722927838398</v>
      </c>
      <c r="N4237" s="38" t="n">
        <f aca="false">Sens!$N$4218/ext_sh*(ox_open+rent_mw)*Sens!$N$4219/1000</f>
        <v>0.84337208901098</v>
      </c>
      <c r="O4237" s="38" t="n">
        <f aca="false">Sens!$O$4218/ext_sh*(ox_open+rent_mw)*Sens!$O$4219/1000</f>
        <v>1.56626245102039</v>
      </c>
    </row>
    <row r="4238" customFormat="false" ht="17.15" hidden="false" customHeight="false" outlineLevel="0" collapsed="false">
      <c r="A4238" s="0" t="s">
        <v>620</v>
      </c>
      <c r="B4238" s="0" t="s">
        <v>86</v>
      </c>
      <c r="C4238" s="38" t="n">
        <f aca="false">Q!$D$7</f>
        <v>107.556</v>
      </c>
      <c r="D4238" s="38" t="n">
        <f aca="false">Q!$E$7</f>
        <v>128.725</v>
      </c>
      <c r="E4238" s="38" t="n">
        <f aca="false">Q!$P$7</f>
        <v>79.819</v>
      </c>
      <c r="N4238" s="38" t="n">
        <f aca="false">Q!$N$7</f>
        <v>60.14</v>
      </c>
      <c r="O4238" s="38" t="n">
        <f aca="false">Q!$O$7</f>
        <v>68.585</v>
      </c>
    </row>
    <row r="4239" customFormat="false" ht="17.15" hidden="false" customHeight="false" outlineLevel="0" collapsed="false">
      <c r="A4239" s="1" t="s">
        <v>621</v>
      </c>
      <c r="B4239" s="8" t="s">
        <v>86</v>
      </c>
      <c r="C4239" s="38" t="n">
        <f aca="false">Sens!$C$4238-Sens!$C$4235</f>
        <v>105.234994643026</v>
      </c>
      <c r="D4239" s="38" t="n">
        <f aca="false">Sens!$D$4238-Sens!$D$4235</f>
        <v>120.021229911349</v>
      </c>
      <c r="E4239" s="38" t="n">
        <f aca="false">Sens!$E$4238-Sens!$E$4235</f>
        <v>71.30864702443</v>
      </c>
      <c r="F4239" s="38" t="n">
        <f aca="false">Sens!$O$4239*(1+Sens!$F$4240)</f>
        <v>71.7692997942464</v>
      </c>
      <c r="G4239" s="38" t="n">
        <f aca="false">Sens!$E$4239+Sens!$F$4239</f>
        <v>143.077946818676</v>
      </c>
      <c r="H4239" s="38" t="n">
        <f aca="false">Sens!$G$4239*(1+Sens!$H$4240)</f>
        <v>161.017077079203</v>
      </c>
      <c r="I4239" s="38" t="n">
        <f aca="false">Sens!$H$4239*(1+Sens!$I$4240)</f>
        <v>178.769759521457</v>
      </c>
      <c r="J4239" s="38" t="n">
        <f aca="false">Sens!$I$4239*(1+Sens!$J$4240)</f>
        <v>195.775538045907</v>
      </c>
      <c r="K4239" s="38" t="n">
        <f aca="false">Sens!$J$4239*(1+Sens!$K$4240)</f>
        <v>211.43758108958</v>
      </c>
      <c r="L4239" s="38" t="n">
        <f aca="false">Sens!$K$4239*(1+Sens!$L$4240)</f>
        <v>228.352587576746</v>
      </c>
      <c r="M4239" s="38" t="n">
        <f aca="false">Sens!$L$4239*(1+Sens!$M$4240)</f>
        <v>246.620794582886</v>
      </c>
      <c r="N4239" s="38" t="n">
        <f aca="false">Sens!$N$4238-Sens!$N$4235</f>
        <v>57.0936804689721</v>
      </c>
      <c r="O4239" s="38" t="n">
        <f aca="false">Sens!$O$4238-Sens!$O$4235</f>
        <v>62.9275494423768</v>
      </c>
      <c r="P4239" s="5" t="s">
        <v>622</v>
      </c>
    </row>
    <row r="4240" customFormat="false" ht="17.15" hidden="false" customHeight="false" outlineLevel="0" collapsed="false">
      <c r="A4240" s="0" t="s">
        <v>623</v>
      </c>
      <c r="B4240" s="0" t="s">
        <v>52</v>
      </c>
      <c r="D4240" s="13" t="n">
        <f aca="false">Sens!$D$4239/Sens!$C$4239-1</f>
        <v>0.140506827776062</v>
      </c>
      <c r="E4240" s="13" t="n">
        <f aca="false">Sens!$E$4239/Sens!$N$4239-1</f>
        <v>0.248976181579029</v>
      </c>
      <c r="F4240" s="13" t="n">
        <f aca="false">Sens!$D$4240</f>
        <v>0.140506827776062</v>
      </c>
      <c r="G4240" s="13" t="n">
        <f aca="false">Sens!$G$4239/Sens!$D$4239-1</f>
        <v>0.19210532106993</v>
      </c>
      <c r="H4240" s="13" t="n">
        <f aca="false">Sens!$F$4240+(g_awso_lt-Sens!$F$4240)*1/4</f>
        <v>0.125380120832046</v>
      </c>
      <c r="I4240" s="13" t="n">
        <f aca="false">Sens!$F$4240+(g_awso_lt-Sens!$F$4240)*2/4</f>
        <v>0.110253413888031</v>
      </c>
      <c r="J4240" s="13" t="n">
        <f aca="false">Sens!$F$4240+(g_awso_lt-Sens!$F$4240)*3/4</f>
        <v>0.0951267069440154</v>
      </c>
      <c r="K4240" s="13" t="n">
        <f aca="false">Sens!$F$4240+(g_awso_lt-Sens!$F$4240)*4/4</f>
        <v>0.08</v>
      </c>
      <c r="L4240" s="13" t="n">
        <f aca="false">g_awso_lt</f>
        <v>0.08</v>
      </c>
      <c r="M4240" s="13" t="n">
        <f aca="false">g_awso_lt</f>
        <v>0.08</v>
      </c>
      <c r="P4240" s="5" t="s">
        <v>624</v>
      </c>
    </row>
    <row r="4241" customFormat="false" ht="17.15" hidden="false" customHeight="false" outlineLevel="0" collapsed="false">
      <c r="A4241" s="1" t="s">
        <v>625</v>
      </c>
    </row>
    <row r="4242" customFormat="false" ht="17.15" hidden="false" customHeight="false" outlineLevel="0" collapsed="false">
      <c r="A4242" s="0" t="s">
        <v>626</v>
      </c>
      <c r="B4242" s="0" t="s">
        <v>86</v>
      </c>
      <c r="F4242" s="38" t="n">
        <f aca="false">cx_rt*Sens!$F$4207+cx_awso*Sens!$F$4239</f>
        <v>34.9734495387866</v>
      </c>
    </row>
    <row r="4243" customFormat="false" ht="17.15" hidden="false" customHeight="false" outlineLevel="0" collapsed="false">
      <c r="A4243" s="0" t="s">
        <v>627</v>
      </c>
      <c r="B4243" s="0" t="s">
        <v>52</v>
      </c>
      <c r="C4243" s="13" t="n">
        <f aca="false">tk_cx_h100/(tk_cx_h100+tk_fac*(1-colo_sh))</f>
        <v>0.730756458006641</v>
      </c>
      <c r="D4243" s="13" t="n">
        <f aca="false">tk_cx_h100/(tk_cx_h100+tk_fac*(1-colo_sh))</f>
        <v>0.730756458006641</v>
      </c>
      <c r="E4243" s="13" t="n">
        <f aca="false">Sens!$F$4243</f>
        <v>0.760792334328868</v>
      </c>
      <c r="F4243" s="13" t="n">
        <f aca="false">Sens!$F$4226/(Sens!$F$4226+tk_fac*(1-colo_sh))</f>
        <v>0.760792334328868</v>
      </c>
      <c r="G4243" s="13" t="n">
        <f aca="false">Sens!$G$4226/(Sens!$G$4226+tk_fac*(1-colo_sh))</f>
        <v>0.760792334328868</v>
      </c>
      <c r="H4243" s="13" t="n">
        <f aca="false">Sens!$H$4226/(Sens!$H$4226+tk_fac*(1-colo_sh))</f>
        <v>0.768110668862996</v>
      </c>
      <c r="I4243" s="13" t="n">
        <f aca="false">Sens!$I$4226/(Sens!$I$4226+tk_fac*(1-colo_sh))</f>
        <v>0.77499450139483</v>
      </c>
      <c r="J4243" s="13" t="n">
        <f aca="false">Sens!$J$4226/(Sens!$J$4226+tk_fac*(1-colo_sh))</f>
        <v>0.77499450139483</v>
      </c>
      <c r="K4243" s="13" t="n">
        <f aca="false">Sens!$K$4226/(Sens!$K$4226+tk_fac*(1-colo_sh))</f>
        <v>0.77499450139483</v>
      </c>
      <c r="L4243" s="13" t="n">
        <f aca="false">Sens!$L$4226/(Sens!$L$4226+tk_fac*(1-colo_sh))</f>
        <v>0.77499450139483</v>
      </c>
      <c r="M4243" s="13" t="n">
        <f aca="false">Sens!$M$4226/(Sens!$M$4226+tk_fac*(1-colo_sh))</f>
        <v>0.77499450139483</v>
      </c>
    </row>
    <row r="4244" customFormat="false" ht="17.15" hidden="false" customHeight="false" outlineLevel="0" collapsed="false">
      <c r="A4244" s="1" t="s">
        <v>628</v>
      </c>
      <c r="B4244" s="8" t="s">
        <v>86</v>
      </c>
      <c r="C4244" s="38" t="n">
        <f aca="false">Q!$D$46-cx_rt*Q!$D$16-cx_awso*Sens!$C$4239</f>
        <v>25.2781053077374</v>
      </c>
      <c r="D4244" s="38" t="n">
        <f aca="false">Q!$E$46-cx_rt*Q!$E$16-cx_awso*Sens!$D$4239</f>
        <v>69.5686316310026</v>
      </c>
      <c r="E4244" s="38" t="n">
        <f aca="false">Q!$P$46-cx_rt*Q!$P$16-cx_awso*Sens!$E$4239</f>
        <v>64.1899206485108</v>
      </c>
      <c r="F4244" s="38" t="n">
        <f aca="false">MAX(Sens!$F$4221*(Sens!$F$4226+tk_fac*(1-colo_sh))/1000,capex_g26-Q!$P$46-Sens!$F$4242)</f>
        <v>96.2481299895</v>
      </c>
      <c r="G4244" s="38" t="n">
        <f aca="false">Sens!$E$4244+Sens!$F$4244</f>
        <v>160.438050638011</v>
      </c>
      <c r="H4244" s="38" t="n">
        <f aca="false">Sens!$H$4221*(Sens!$H$4226+tk_fac*(1-colo_sh))/1000+Sens!$H$4245</f>
        <v>198.57136494475</v>
      </c>
      <c r="I4244" s="38" t="n">
        <f aca="false">Sens!$I$4221*(Sens!$I$4226+tk_fac*(1-colo_sh))/1000+Sens!$I$4245</f>
        <v>204.6464699105</v>
      </c>
      <c r="J4244" s="38" t="n">
        <f aca="false">Sens!$J$4221*(Sens!$J$4226+tk_fac*(1-colo_sh))/1000+Sens!$J$4245</f>
        <v>209.8832381105</v>
      </c>
      <c r="K4244" s="38" t="n">
        <f aca="false">Sens!$K$4221*(Sens!$K$4226+tk_fac*(1-colo_sh))/1000+Sens!$K$4245</f>
        <v>155.238385275201</v>
      </c>
      <c r="L4244" s="38" t="n">
        <f aca="false">Sens!$L$4221*(Sens!$L$4226+tk_fac*(1-colo_sh))/1000+Sens!$L$4245</f>
        <v>132.014141639902</v>
      </c>
      <c r="M4244" s="38" t="n">
        <f aca="false">Sens!$M$4221*(Sens!$M$4226+tk_fac*(1-colo_sh))/1000+Sens!$M$4245</f>
        <v>132.230981659852</v>
      </c>
      <c r="P4244" s="5" t="s">
        <v>629</v>
      </c>
      <c r="R4244" s="38" t="n">
        <f aca="false">Q!$C$46-cx_rt*Q!$C$16-cx_awso*(Q!$C$7-mw_ye23/2*rpm_open/1000)</f>
        <v>1.50429979529945</v>
      </c>
      <c r="S4244" s="38" t="n">
        <f aca="false">Sens!$C$4244</f>
        <v>25.2781053077374</v>
      </c>
      <c r="T4244" s="38" t="n">
        <f aca="false">Sens!$D$4244</f>
        <v>69.5686316310026</v>
      </c>
      <c r="U4244" s="38" t="n">
        <f aca="false">Sens!$G$4244</f>
        <v>160.438050638011</v>
      </c>
      <c r="V4244" s="38" t="n">
        <f aca="false">Sens!$H$4244</f>
        <v>198.57136494475</v>
      </c>
      <c r="W4244" s="38" t="n">
        <f aca="false">Sens!$I$4244</f>
        <v>204.6464699105</v>
      </c>
      <c r="X4244" s="38" t="n">
        <f aca="false">Sens!$J$4244</f>
        <v>209.8832381105</v>
      </c>
      <c r="Y4244" s="38" t="n">
        <f aca="false">Sens!$K$4244</f>
        <v>155.238385275201</v>
      </c>
      <c r="Z4244" s="38" t="n">
        <f aca="false">Sens!$L$4244</f>
        <v>132.014141639902</v>
      </c>
      <c r="AA4244" s="38" t="n">
        <f aca="false">Sens!$M$4244</f>
        <v>132.230981659852</v>
      </c>
    </row>
    <row r="4245" customFormat="false" ht="17.15" hidden="false" customHeight="false" outlineLevel="0" collapsed="false">
      <c r="A4245" s="0" t="s">
        <v>630</v>
      </c>
      <c r="B4245" s="0" t="s">
        <v>86</v>
      </c>
      <c r="H4245" s="38" t="n">
        <f aca="false">SUMPRODUCT(--(Sens!$R$4214:$AA$4214=2027-tk_life),Sens!$R$4221:$AA$4221)*Sens!$H$4226/1000</f>
        <v>0</v>
      </c>
      <c r="I4245" s="38" t="n">
        <f aca="false">SUMPRODUCT(--(Sens!$R$4214:$AA$4214=2028-tk_life),Sens!$R$4221:$AA$4221)*Sens!$I$4226/1000</f>
        <v>0</v>
      </c>
      <c r="J4245" s="38" t="n">
        <f aca="false">SUMPRODUCT(--(Sens!$R$4214:$AA$4214=2029-tk_life),Sens!$R$4221:$AA$4221)*Sens!$J$4226/1000</f>
        <v>5.2367682</v>
      </c>
      <c r="K4245" s="38" t="n">
        <f aca="false">SUMPRODUCT(--(Sens!$R$4214:$AA$4214=2030-tk_life),Sens!$R$4221:$AA$4221)*Sens!$K$4226/1000</f>
        <v>10.4735364</v>
      </c>
      <c r="L4245" s="38" t="n">
        <f aca="false">SUMPRODUCT(--(Sens!$R$4214:$AA$4214=2031-tk_life),Sens!$R$4221:$AA$4221)*Sens!$L$4226/1000</f>
        <v>47.1309138</v>
      </c>
      <c r="M4245" s="38" t="n">
        <f aca="false">SUMPRODUCT(--(Sens!$R$4214:$AA$4214=2032-tk_life),Sens!$R$4221:$AA$4221)*Sens!$M$4226/1000</f>
        <v>107.22937485525</v>
      </c>
    </row>
    <row r="4246" customFormat="false" ht="17.15" hidden="false" customHeight="false" outlineLevel="0" collapsed="false">
      <c r="A4246" s="0" t="s">
        <v>631</v>
      </c>
      <c r="B4246" s="0" t="s">
        <v>86</v>
      </c>
      <c r="C4246" s="38" t="n">
        <f aca="false">MIN(Sens!$C$4244,Sens!$C$4221*(tk_cx_h100+tk_fac*(1-colo_sh))/1000)</f>
        <v>11.2938642</v>
      </c>
      <c r="D4246" s="38" t="n">
        <f aca="false">MIN(Sens!$D$4244,Sens!$D$4221*(tk_cx_h100+tk_fac*(1-colo_sh))/1000)</f>
        <v>50.8223889</v>
      </c>
      <c r="E4246" s="38" t="n">
        <f aca="false">MIN(Sens!$E$4244,Sens!$E$4221*(Sens!$F$4226+tk_fac*(1-colo_sh))/1000)</f>
        <v>33.8985792</v>
      </c>
      <c r="F4246" s="38" t="n">
        <f aca="false">Sens!$F$4244</f>
        <v>96.2481299895</v>
      </c>
      <c r="G4246" s="38" t="n">
        <f aca="false">Sens!$E$4246+Sens!$F$4246</f>
        <v>130.1467091895</v>
      </c>
      <c r="H4246" s="38" t="n">
        <f aca="false">Sens!$H$4244</f>
        <v>198.57136494475</v>
      </c>
      <c r="I4246" s="38" t="n">
        <f aca="false">Sens!$I$4244</f>
        <v>204.6464699105</v>
      </c>
      <c r="J4246" s="38" t="n">
        <f aca="false">Sens!$J$4244</f>
        <v>209.8832381105</v>
      </c>
      <c r="K4246" s="38" t="n">
        <f aca="false">Sens!$K$4244</f>
        <v>155.238385275201</v>
      </c>
      <c r="L4246" s="38" t="n">
        <f aca="false">Sens!$L$4244</f>
        <v>132.014141639902</v>
      </c>
      <c r="M4246" s="38" t="n">
        <f aca="false">Sens!$M$4244</f>
        <v>132.230981659852</v>
      </c>
      <c r="P4246" s="5" t="s">
        <v>632</v>
      </c>
      <c r="R4246" s="38" t="n">
        <f aca="false">MIN(Sens!$R$4244,Sens!$R$4221*(tk_cx_h100+tk_fac*(1-colo_sh))/1000)</f>
        <v>1.50429979529945</v>
      </c>
      <c r="S4246" s="38" t="n">
        <f aca="false">Sens!$C$4246</f>
        <v>11.2938642</v>
      </c>
      <c r="T4246" s="38" t="n">
        <f aca="false">Sens!$D$4246</f>
        <v>50.8223889</v>
      </c>
      <c r="U4246" s="38" t="n">
        <f aca="false">Sens!$G$4246</f>
        <v>130.1467091895</v>
      </c>
      <c r="V4246" s="38" t="n">
        <f aca="false">Sens!$H$4246</f>
        <v>198.57136494475</v>
      </c>
      <c r="W4246" s="38" t="n">
        <f aca="false">Sens!$I$4246</f>
        <v>204.6464699105</v>
      </c>
      <c r="X4246" s="38" t="n">
        <f aca="false">Sens!$J$4246</f>
        <v>209.8832381105</v>
      </c>
      <c r="Y4246" s="38" t="n">
        <f aca="false">Sens!$K$4246</f>
        <v>155.238385275201</v>
      </c>
      <c r="Z4246" s="38" t="n">
        <f aca="false">Sens!$L$4246</f>
        <v>132.014141639902</v>
      </c>
      <c r="AA4246" s="38" t="n">
        <f aca="false">Sens!$M$4246</f>
        <v>132.230981659852</v>
      </c>
    </row>
    <row r="4247" customFormat="false" ht="17.15" hidden="false" customHeight="false" outlineLevel="0" collapsed="false">
      <c r="A4247" s="5" t="s">
        <v>633</v>
      </c>
      <c r="B4247" s="0" t="s">
        <v>86</v>
      </c>
      <c r="C4247" s="38" t="n">
        <f aca="false">Sens!$C$4244-Sens!$C$4246</f>
        <v>13.9842411077374</v>
      </c>
      <c r="D4247" s="38" t="n">
        <f aca="false">Sens!$D$4244-Sens!$D$4246</f>
        <v>18.7462427310026</v>
      </c>
      <c r="E4247" s="38" t="n">
        <f aca="false">Sens!$E$4244-Sens!$E$4246</f>
        <v>30.2913414485108</v>
      </c>
      <c r="F4247" s="38" t="n">
        <f aca="false">Sens!$F$4244-Sens!$F$4246</f>
        <v>0</v>
      </c>
      <c r="G4247" s="38" t="n">
        <f aca="false">Sens!$G$4244-Sens!$G$4246</f>
        <v>30.2913414485108</v>
      </c>
      <c r="H4247" s="38" t="n">
        <f aca="false">Sens!$H$4244-Sens!$H$4246</f>
        <v>0</v>
      </c>
      <c r="I4247" s="38" t="n">
        <f aca="false">Sens!$I$4244-Sens!$I$4246</f>
        <v>0</v>
      </c>
      <c r="J4247" s="38" t="n">
        <f aca="false">Sens!$J$4244-Sens!$J$4246</f>
        <v>0</v>
      </c>
      <c r="K4247" s="38" t="n">
        <f aca="false">Sens!$K$4244-Sens!$K$4246</f>
        <v>0</v>
      </c>
      <c r="L4247" s="38" t="n">
        <f aca="false">Sens!$L$4244-Sens!$L$4246</f>
        <v>0</v>
      </c>
      <c r="M4247" s="38" t="n">
        <f aca="false">Sens!$M$4244-Sens!$M$4246</f>
        <v>0</v>
      </c>
    </row>
    <row r="4248" customFormat="false" ht="17.15" hidden="false" customHeight="false" outlineLevel="0" collapsed="false">
      <c r="A4248" s="5" t="s">
        <v>634</v>
      </c>
      <c r="B4248" s="0" t="s">
        <v>86</v>
      </c>
      <c r="C4248" s="38" t="n">
        <f aca="false">Sens!$C$4246*Sens!$C$4243</f>
        <v>8.2530642</v>
      </c>
      <c r="D4248" s="38" t="n">
        <f aca="false">Sens!$D$4246*Sens!$D$4243</f>
        <v>37.1387889</v>
      </c>
      <c r="E4248" s="38" t="n">
        <f aca="false">Sens!$E$4246*Sens!$E$4243</f>
        <v>25.7897792</v>
      </c>
      <c r="F4248" s="38" t="n">
        <f aca="false">Sens!$F$4246*Sens!$F$4243</f>
        <v>73.2248394895</v>
      </c>
      <c r="G4248" s="38" t="n">
        <f aca="false">Sens!$E$4248+Sens!$F$4248</f>
        <v>99.0146186895</v>
      </c>
      <c r="H4248" s="38" t="n">
        <f aca="false">(Sens!$H$4246-Sens!$H$4245)*Sens!$H$4243+Sens!$H$4245</f>
        <v>152.52478394475</v>
      </c>
      <c r="I4248" s="38" t="n">
        <f aca="false">(Sens!$I$4246-Sens!$I$4245)*Sens!$I$4243+Sens!$I$4245</f>
        <v>158.5998889105</v>
      </c>
      <c r="J4248" s="38" t="n">
        <f aca="false">(Sens!$J$4246-Sens!$J$4245)*Sens!$J$4243+Sens!$J$4245</f>
        <v>163.8366571105</v>
      </c>
      <c r="K4248" s="38" t="n">
        <f aca="false">(Sens!$K$4246-Sens!$K$4245)*Sens!$K$4243+Sens!$K$4245</f>
        <v>122.665498273534</v>
      </c>
      <c r="L4248" s="38" t="n">
        <f aca="false">(Sens!$L$4246-Sens!$L$4245)*Sens!$L$4243+Sens!$L$4245</f>
        <v>112.914948636568</v>
      </c>
      <c r="M4248" s="38" t="n">
        <f aca="false">(Sens!$M$4246-Sens!$M$4245)*Sens!$M$4243+Sens!$M$4245</f>
        <v>126.605482654852</v>
      </c>
      <c r="R4248" s="38" t="n">
        <f aca="false">Sens!$R$4246*Sens!$C$4243</f>
        <v>1.09927679019314</v>
      </c>
      <c r="S4248" s="38" t="n">
        <f aca="false">Sens!$C$4248</f>
        <v>8.2530642</v>
      </c>
      <c r="T4248" s="38" t="n">
        <f aca="false">Sens!$D$4248</f>
        <v>37.1387889</v>
      </c>
      <c r="U4248" s="38" t="n">
        <f aca="false">Sens!$G$4248</f>
        <v>99.0146186895</v>
      </c>
      <c r="V4248" s="38" t="n">
        <f aca="false">Sens!$H$4248</f>
        <v>152.52478394475</v>
      </c>
      <c r="W4248" s="38" t="n">
        <f aca="false">Sens!$I$4248</f>
        <v>158.5998889105</v>
      </c>
      <c r="X4248" s="38" t="n">
        <f aca="false">Sens!$J$4248</f>
        <v>163.8366571105</v>
      </c>
      <c r="Y4248" s="38" t="n">
        <f aca="false">Sens!$K$4248</f>
        <v>122.665498273534</v>
      </c>
      <c r="Z4248" s="38" t="n">
        <f aca="false">Sens!$L$4248</f>
        <v>112.914948636568</v>
      </c>
      <c r="AA4248" s="38" t="n">
        <f aca="false">Sens!$M$4248</f>
        <v>126.605482654852</v>
      </c>
    </row>
    <row r="4249" customFormat="false" ht="15" hidden="false" customHeight="false" outlineLevel="0" collapsed="false">
      <c r="A4249" s="5" t="s">
        <v>635</v>
      </c>
      <c r="B4249" s="0" t="s">
        <v>86</v>
      </c>
      <c r="C4249" s="38" t="n">
        <f aca="false">Sens!$C$4246-Sens!$C$4248</f>
        <v>3.0408</v>
      </c>
      <c r="D4249" s="38" t="n">
        <f aca="false">Sens!$D$4246-Sens!$D$4248</f>
        <v>13.6836</v>
      </c>
      <c r="E4249" s="38" t="n">
        <f aca="false">Sens!$E$4246-Sens!$E$4248</f>
        <v>8.1088</v>
      </c>
      <c r="F4249" s="38" t="n">
        <f aca="false">Sens!$F$4246-Sens!$F$4248</f>
        <v>23.0232905</v>
      </c>
      <c r="G4249" s="38" t="n">
        <f aca="false">Sens!$G$4246-Sens!$G$4248</f>
        <v>31.1320905</v>
      </c>
      <c r="H4249" s="38" t="n">
        <f aca="false">Sens!$H$4246-Sens!$H$4248</f>
        <v>46.046581</v>
      </c>
      <c r="I4249" s="38" t="n">
        <f aca="false">Sens!$I$4246-Sens!$I$4248</f>
        <v>46.046581</v>
      </c>
      <c r="J4249" s="38" t="n">
        <f aca="false">Sens!$J$4246-Sens!$J$4248</f>
        <v>46.046581</v>
      </c>
      <c r="K4249" s="38" t="n">
        <f aca="false">Sens!$K$4246-Sens!$K$4248</f>
        <v>32.5728870016667</v>
      </c>
      <c r="L4249" s="38" t="n">
        <f aca="false">Sens!$L$4246-Sens!$L$4248</f>
        <v>19.0991930033334</v>
      </c>
      <c r="M4249" s="38" t="n">
        <f aca="false">Sens!$M$4246-Sens!$M$4248</f>
        <v>5.62549900499998</v>
      </c>
      <c r="R4249" s="38" t="n">
        <f aca="false">Sens!$R$4246-Sens!$R$4248</f>
        <v>0.405023005106309</v>
      </c>
      <c r="S4249" s="38" t="n">
        <f aca="false">Sens!$S$4246-Sens!$S$4248</f>
        <v>3.0408</v>
      </c>
      <c r="T4249" s="38" t="n">
        <f aca="false">Sens!$T$4246-Sens!$T$4248</f>
        <v>13.6836</v>
      </c>
      <c r="U4249" s="38" t="n">
        <f aca="false">Sens!$U$4246-Sens!$U$4248</f>
        <v>31.1320905</v>
      </c>
      <c r="V4249" s="38" t="n">
        <f aca="false">Sens!$V$4246-Sens!$V$4248</f>
        <v>46.046581</v>
      </c>
      <c r="W4249" s="38" t="n">
        <f aca="false">Sens!$W$4246-Sens!$W$4248</f>
        <v>46.046581</v>
      </c>
      <c r="X4249" s="38" t="n">
        <f aca="false">Sens!$X$4246-Sens!$X$4248</f>
        <v>46.046581</v>
      </c>
      <c r="Y4249" s="38" t="n">
        <f aca="false">Sens!$Y$4246-Sens!$Y$4248</f>
        <v>32.5728870016667</v>
      </c>
      <c r="Z4249" s="38" t="n">
        <f aca="false">Sens!$Z$4246-Sens!$Z$4248</f>
        <v>19.0991930033334</v>
      </c>
      <c r="AA4249" s="38" t="n">
        <f aca="false">Sens!$AA$4246-Sens!$AA$4248</f>
        <v>5.62549900499998</v>
      </c>
    </row>
    <row r="4250" customFormat="false" ht="17.15" hidden="false" customHeight="false" outlineLevel="0" collapsed="false">
      <c r="A4250" s="0" t="s">
        <v>636</v>
      </c>
      <c r="B4250" s="0" t="s">
        <v>52</v>
      </c>
      <c r="C4250" s="13" t="n">
        <f aca="false">Sens!$C$4244/Sens!$C$4366</f>
        <v>0.325505489553393</v>
      </c>
      <c r="D4250" s="13" t="n">
        <f aca="false">Sens!$D$4244/Sens!$D$4366</f>
        <v>0.54214956071542</v>
      </c>
      <c r="E4250" s="13" t="n">
        <f aca="false">Sens!$E$4244/Sens!$E$4366</f>
        <v>0.666492790452817</v>
      </c>
      <c r="F4250" s="13" t="n">
        <f aca="false">Sens!$F$4244/Sens!$F$4366</f>
        <v>0.733477910687338</v>
      </c>
      <c r="G4250" s="13" t="n">
        <f aca="false">Sens!$G$4244/Sens!$G$4366</f>
        <v>0.705124321514523</v>
      </c>
      <c r="H4250" s="13" t="n">
        <f aca="false">Sens!$H$4244/Sens!$H$4366</f>
        <v>0.72627809778989</v>
      </c>
      <c r="I4250" s="13" t="n">
        <f aca="false">Sens!$I$4244/Sens!$I$4366</f>
        <v>0.712771007747211</v>
      </c>
      <c r="J4250" s="13" t="n">
        <f aca="false">Sens!$J$4244/Sens!$J$4366</f>
        <v>0.70048832700199</v>
      </c>
      <c r="K4250" s="13" t="n">
        <f aca="false">Sens!$K$4244/Sens!$K$4366</f>
        <v>0.61690908309574</v>
      </c>
      <c r="L4250" s="13" t="n">
        <f aca="false">Sens!$L$4244/Sens!$L$4366</f>
        <v>0.560304457044873</v>
      </c>
      <c r="M4250" s="13" t="n">
        <f aca="false">Sens!$M$4244/Sens!$M$4366</f>
        <v>0.542799733486147</v>
      </c>
    </row>
    <row r="4251" customFormat="false" ht="17.15" hidden="false" customHeight="false" outlineLevel="0" collapsed="false">
      <c r="A4251" s="0" t="s">
        <v>637</v>
      </c>
      <c r="B4251" s="0" t="s">
        <v>86</v>
      </c>
      <c r="C4251" s="38" t="n">
        <f aca="false">Sens!$S$4251</f>
        <v>0.183212798365523</v>
      </c>
      <c r="D4251" s="38" t="n">
        <f aca="false">Sens!$T$4251</f>
        <v>1.55872349836552</v>
      </c>
      <c r="E4251" s="38" t="n">
        <f aca="false">Sens!$G$4251/2</f>
        <v>3.87426082418276</v>
      </c>
      <c r="F4251" s="38" t="n">
        <f aca="false">Sens!$G$4251/2</f>
        <v>3.87426082418276</v>
      </c>
      <c r="G4251" s="38" t="n">
        <f aca="false">Sens!$U$4251</f>
        <v>7.74852164836552</v>
      </c>
      <c r="H4251" s="38" t="n">
        <f aca="false">Sens!$V$4251</f>
        <v>24.2509580966155</v>
      </c>
      <c r="I4251" s="38" t="n">
        <f aca="false">Sens!$W$4251</f>
        <v>49.6717554207405</v>
      </c>
      <c r="J4251" s="38" t="n">
        <f aca="false">Sens!$X$4251</f>
        <v>76.1050702391572</v>
      </c>
      <c r="K4251" s="38" t="n">
        <f aca="false">Sens!$Y$4251</f>
        <v>103.227966959208</v>
      </c>
      <c r="L4251" s="38" t="n">
        <f aca="false">Sens!$Z$4251</f>
        <v>122.296705971464</v>
      </c>
      <c r="M4251" s="38" t="n">
        <f aca="false">Sens!$AA$4251</f>
        <v>134.926065927559</v>
      </c>
      <c r="N4251" s="38" t="n">
        <f aca="false">Sens!$D$4251/2</f>
        <v>0.779361749182762</v>
      </c>
      <c r="O4251" s="38" t="n">
        <f aca="false">Sens!$D$4251/2</f>
        <v>0.779361749182762</v>
      </c>
      <c r="R4251" s="38" t="n">
        <f aca="false">SUMPRODUCT(--(Sens!$R$4214:$AA$4214&lt;Sens!R$4214),--(Sens!$R$4214:$AA$4214&gt;=Sens!R$4214-tk_life),Sens!$R$4248:$AA$4248)/tk_life</f>
        <v>0</v>
      </c>
      <c r="S4251" s="38" t="n">
        <f aca="false">SUMPRODUCT(--(Sens!$R$4214:$AA$4214&lt;Sens!S$4214),--(Sens!$R$4214:$AA$4214&gt;=Sens!S$4214-tk_life),Sens!$R$4248:$AA$4248)/tk_life</f>
        <v>0.183212798365523</v>
      </c>
      <c r="T4251" s="38" t="n">
        <f aca="false">SUMPRODUCT(--(Sens!$R$4214:$AA$4214&lt;Sens!T$4214),--(Sens!$R$4214:$AA$4214&gt;=Sens!T$4214-tk_life),Sens!$R$4248:$AA$4248)/tk_life</f>
        <v>1.55872349836552</v>
      </c>
      <c r="U4251" s="38" t="n">
        <f aca="false">SUMPRODUCT(--(Sens!$R$4214:$AA$4214&lt;Sens!U$4214),--(Sens!$R$4214:$AA$4214&gt;=Sens!U$4214-tk_life),Sens!$R$4248:$AA$4248)/tk_life</f>
        <v>7.74852164836552</v>
      </c>
      <c r="V4251" s="38" t="n">
        <f aca="false">SUMPRODUCT(--(Sens!$R$4214:$AA$4214&lt;Sens!V$4214),--(Sens!$R$4214:$AA$4214&gt;=Sens!V$4214-tk_life),Sens!$R$4248:$AA$4248)/tk_life</f>
        <v>24.2509580966155</v>
      </c>
      <c r="W4251" s="38" t="n">
        <f aca="false">SUMPRODUCT(--(Sens!$R$4214:$AA$4214&lt;Sens!W$4214),--(Sens!$R$4214:$AA$4214&gt;=Sens!W$4214-tk_life),Sens!$R$4248:$AA$4248)/tk_life</f>
        <v>49.6717554207405</v>
      </c>
      <c r="X4251" s="38" t="n">
        <f aca="false">SUMPRODUCT(--(Sens!$R$4214:$AA$4214&lt;Sens!X$4214),--(Sens!$R$4214:$AA$4214&gt;=Sens!X$4214-tk_life),Sens!$R$4248:$AA$4248)/tk_life</f>
        <v>76.1050702391572</v>
      </c>
      <c r="Y4251" s="38" t="n">
        <f aca="false">SUMPRODUCT(--(Sens!$R$4214:$AA$4214&lt;Sens!Y$4214),--(Sens!$R$4214:$AA$4214&gt;=Sens!Y$4214-tk_life),Sens!$R$4248:$AA$4248)/tk_life</f>
        <v>103.227966959208</v>
      </c>
      <c r="Z4251" s="38" t="n">
        <f aca="false">SUMPRODUCT(--(Sens!$R$4214:$AA$4214&lt;Sens!Z$4214),--(Sens!$R$4214:$AA$4214&gt;=Sens!Z$4214-tk_life),Sens!$R$4248:$AA$4248)/tk_life</f>
        <v>122.296705971464</v>
      </c>
      <c r="AA4251" s="38" t="n">
        <f aca="false">SUMPRODUCT(--(Sens!$R$4214:$AA$4214&lt;Sens!AA$4214),--(Sens!$R$4214:$AA$4214&gt;=Sens!AA$4214-tk_life),Sens!$R$4248:$AA$4248)/tk_life</f>
        <v>134.926065927559</v>
      </c>
    </row>
    <row r="4252" customFormat="false" ht="17.15" hidden="false" customHeight="false" outlineLevel="0" collapsed="false">
      <c r="A4252" s="0" t="s">
        <v>638</v>
      </c>
      <c r="B4252" s="0" t="s">
        <v>86</v>
      </c>
      <c r="C4252" s="38" t="n">
        <f aca="false">Sens!$S$4252</f>
        <v>0.0202511502553155</v>
      </c>
      <c r="D4252" s="38" t="n">
        <f aca="false">Sens!$T$4252</f>
        <v>0.172291150255315</v>
      </c>
      <c r="E4252" s="38" t="n">
        <f aca="false">Sens!$G$4252/2</f>
        <v>0.428235575127658</v>
      </c>
      <c r="F4252" s="38" t="n">
        <f aca="false">Sens!$G$4252/2</f>
        <v>0.428235575127658</v>
      </c>
      <c r="G4252" s="38" t="n">
        <f aca="false">Sens!$U$4252</f>
        <v>0.856471150255315</v>
      </c>
      <c r="H4252" s="38" t="n">
        <f aca="false">Sens!$V$4252</f>
        <v>2.41307567525532</v>
      </c>
      <c r="I4252" s="38" t="n">
        <f aca="false">Sens!$W$4252</f>
        <v>4.71540472525532</v>
      </c>
      <c r="J4252" s="38" t="n">
        <f aca="false">Sens!$X$4252</f>
        <v>7.01773377525532</v>
      </c>
      <c r="K4252" s="38" t="n">
        <f aca="false">Sens!$Y$4252</f>
        <v>9.32006282525532</v>
      </c>
      <c r="L4252" s="38" t="n">
        <f aca="false">Sens!$Z$4252</f>
        <v>10.9487071753387</v>
      </c>
      <c r="M4252" s="38" t="n">
        <f aca="false">Sens!$AA$4252</f>
        <v>11.9036668255053</v>
      </c>
      <c r="N4252" s="38" t="n">
        <f aca="false">Sens!$D$4252/2</f>
        <v>0.0861455751276577</v>
      </c>
      <c r="O4252" s="38" t="n">
        <f aca="false">Sens!$D$4252/2</f>
        <v>0.0861455751276577</v>
      </c>
      <c r="R4252" s="38" t="n">
        <f aca="false">SUMPRODUCT(--(Sens!$R$4214:$AA$4214&lt;Sens!R$4214),Sens!$R$4249:$AA$4249)/fac_life</f>
        <v>0</v>
      </c>
      <c r="S4252" s="38" t="n">
        <f aca="false">SUMPRODUCT(--(Sens!$R$4214:$AA$4214&lt;Sens!S$4214),Sens!$R$4249:$AA$4249)/fac_life</f>
        <v>0.0202511502553155</v>
      </c>
      <c r="T4252" s="38" t="n">
        <f aca="false">SUMPRODUCT(--(Sens!$R$4214:$AA$4214&lt;Sens!T$4214),Sens!$R$4249:$AA$4249)/fac_life</f>
        <v>0.172291150255315</v>
      </c>
      <c r="U4252" s="38" t="n">
        <f aca="false">SUMPRODUCT(--(Sens!$R$4214:$AA$4214&lt;Sens!U$4214),Sens!$R$4249:$AA$4249)/fac_life</f>
        <v>0.856471150255315</v>
      </c>
      <c r="V4252" s="38" t="n">
        <f aca="false">SUMPRODUCT(--(Sens!$R$4214:$AA$4214&lt;Sens!V$4214),Sens!$R$4249:$AA$4249)/fac_life</f>
        <v>2.41307567525532</v>
      </c>
      <c r="W4252" s="38" t="n">
        <f aca="false">SUMPRODUCT(--(Sens!$R$4214:$AA$4214&lt;Sens!W$4214),Sens!$R$4249:$AA$4249)/fac_life</f>
        <v>4.71540472525532</v>
      </c>
      <c r="X4252" s="38" t="n">
        <f aca="false">SUMPRODUCT(--(Sens!$R$4214:$AA$4214&lt;Sens!X$4214),Sens!$R$4249:$AA$4249)/fac_life</f>
        <v>7.01773377525532</v>
      </c>
      <c r="Y4252" s="38" t="n">
        <f aca="false">SUMPRODUCT(--(Sens!$R$4214:$AA$4214&lt;Sens!Y$4214),Sens!$R$4249:$AA$4249)/fac_life</f>
        <v>9.32006282525532</v>
      </c>
      <c r="Z4252" s="38" t="n">
        <f aca="false">SUMPRODUCT(--(Sens!$R$4214:$AA$4214&lt;Sens!Z$4214),Sens!$R$4249:$AA$4249)/fac_life</f>
        <v>10.9487071753387</v>
      </c>
      <c r="AA4252" s="38" t="n">
        <f aca="false">SUMPRODUCT(--(Sens!$R$4214:$AA$4214&lt;Sens!AA$4214),Sens!$R$4249:$AA$4249)/fac_life</f>
        <v>11.9036668255053</v>
      </c>
    </row>
    <row r="4253" customFormat="false" ht="17.15" hidden="false" customHeight="false" outlineLevel="0" collapsed="false">
      <c r="A4253" s="1" t="s">
        <v>639</v>
      </c>
      <c r="B4253" s="8" t="s">
        <v>86</v>
      </c>
      <c r="C4253" s="38" t="n">
        <f aca="false">Sens!$C$4251+Sens!$C$4252</f>
        <v>0.203463948620839</v>
      </c>
      <c r="D4253" s="38" t="n">
        <f aca="false">Sens!$D$4251+Sens!$D$4252</f>
        <v>1.73101464862084</v>
      </c>
      <c r="E4253" s="38" t="n">
        <f aca="false">Sens!$E$4251+Sens!$E$4252</f>
        <v>4.30249639931042</v>
      </c>
      <c r="F4253" s="38" t="n">
        <f aca="false">Sens!$F$4251+Sens!$F$4252</f>
        <v>4.30249639931042</v>
      </c>
      <c r="G4253" s="38" t="n">
        <f aca="false">Sens!$G$4251+Sens!$G$4252</f>
        <v>8.60499279862084</v>
      </c>
      <c r="H4253" s="38" t="n">
        <f aca="false">Sens!$H$4251+Sens!$H$4252</f>
        <v>26.6640337718708</v>
      </c>
      <c r="I4253" s="38" t="n">
        <f aca="false">Sens!$I$4251+Sens!$I$4252</f>
        <v>54.3871601459959</v>
      </c>
      <c r="J4253" s="38" t="n">
        <f aca="false">Sens!$J$4251+Sens!$J$4252</f>
        <v>83.1228040144125</v>
      </c>
      <c r="K4253" s="38" t="n">
        <f aca="false">Sens!$K$4251+Sens!$K$4252</f>
        <v>112.548029784464</v>
      </c>
      <c r="L4253" s="38" t="n">
        <f aca="false">Sens!$L$4251+Sens!$L$4252</f>
        <v>133.245413146803</v>
      </c>
      <c r="M4253" s="38" t="n">
        <f aca="false">Sens!$M$4251+Sens!$M$4252</f>
        <v>146.829732753064</v>
      </c>
      <c r="N4253" s="38" t="n">
        <f aca="false">Sens!$N$4251+Sens!$N$4252</f>
        <v>0.865507324310419</v>
      </c>
      <c r="O4253" s="38" t="n">
        <f aca="false">Sens!$O$4251+Sens!$O$4252</f>
        <v>0.865507324310419</v>
      </c>
      <c r="R4253" s="38" t="n">
        <f aca="false">Sens!$R$4251+Sens!$R$4252</f>
        <v>0</v>
      </c>
      <c r="S4253" s="38" t="n">
        <f aca="false">Sens!$S$4251+Sens!$S$4252</f>
        <v>0.203463948620839</v>
      </c>
      <c r="T4253" s="38" t="n">
        <f aca="false">Sens!$T$4251+Sens!$T$4252</f>
        <v>1.73101464862084</v>
      </c>
      <c r="U4253" s="38" t="n">
        <f aca="false">Sens!$U$4251+Sens!$U$4252</f>
        <v>8.60499279862084</v>
      </c>
      <c r="V4253" s="38" t="n">
        <f aca="false">Sens!$V$4251+Sens!$V$4252</f>
        <v>26.6640337718708</v>
      </c>
      <c r="W4253" s="38" t="n">
        <f aca="false">Sens!$W$4251+Sens!$W$4252</f>
        <v>54.3871601459959</v>
      </c>
      <c r="X4253" s="38" t="n">
        <f aca="false">Sens!$X$4251+Sens!$X$4252</f>
        <v>83.1228040144125</v>
      </c>
      <c r="Y4253" s="38" t="n">
        <f aca="false">Sens!$Y$4251+Sens!$Y$4252</f>
        <v>112.548029784464</v>
      </c>
      <c r="Z4253" s="38" t="n">
        <f aca="false">Sens!$Z$4251+Sens!$Z$4252</f>
        <v>133.245413146803</v>
      </c>
      <c r="AA4253" s="38" t="n">
        <f aca="false">Sens!$AA$4251+Sens!$AA$4252</f>
        <v>146.829732753064</v>
      </c>
    </row>
    <row r="4254" customFormat="false" ht="17.15" hidden="false" customHeight="false" outlineLevel="0" collapsed="false">
      <c r="A4254" s="0" t="s">
        <v>640</v>
      </c>
      <c r="B4254" s="0" t="s">
        <v>86</v>
      </c>
      <c r="C4254" s="38" t="n">
        <f aca="false">Sens!$S$4254</f>
        <v>12.5947000466786</v>
      </c>
      <c r="D4254" s="38" t="n">
        <f aca="false">Sens!$T$4254</f>
        <v>61.6860742980578</v>
      </c>
      <c r="G4254" s="38" t="n">
        <f aca="false">Sens!$U$4254</f>
        <v>183.227790688937</v>
      </c>
      <c r="H4254" s="38" t="n">
        <f aca="false">Sens!$V$4254</f>
        <v>355.135121861816</v>
      </c>
      <c r="I4254" s="38" t="n">
        <f aca="false">Sens!$W$4254</f>
        <v>505.39443162632</v>
      </c>
      <c r="J4254" s="38" t="n">
        <f aca="false">Sens!$X$4254</f>
        <v>632.154865722408</v>
      </c>
      <c r="K4254" s="38" t="n">
        <f aca="false">Sens!$Y$4254</f>
        <v>674.845221213145</v>
      </c>
      <c r="L4254" s="38" t="n">
        <f aca="false">Sens!$Z$4254</f>
        <v>673.613949706244</v>
      </c>
      <c r="M4254" s="38" t="n">
        <f aca="false">Sens!$AA$4254</f>
        <v>659.015198613032</v>
      </c>
      <c r="R4254" s="38" t="n">
        <f aca="false">SUM(Sens!$R$4246:$R$4246)-SUM(Sens!$R$4253:$R$4253)</f>
        <v>1.50429979529945</v>
      </c>
      <c r="S4254" s="38" t="n">
        <f aca="false">SUM(Sens!$R$4246:$S$4246)-SUM(Sens!$R$4253:$S$4253)</f>
        <v>12.5947000466786</v>
      </c>
      <c r="T4254" s="38" t="n">
        <f aca="false">SUM(Sens!$R$4246:$T$4246)-SUM(Sens!$R$4253:$T$4253)</f>
        <v>61.6860742980578</v>
      </c>
      <c r="U4254" s="38" t="n">
        <f aca="false">SUM(Sens!$R$4246:$U$4246)-SUM(Sens!$R$4253:$U$4253)</f>
        <v>183.227790688937</v>
      </c>
      <c r="V4254" s="38" t="n">
        <f aca="false">SUM(Sens!$R$4246:$V$4246)-SUM(Sens!$R$4253:$V$4253)</f>
        <v>355.135121861816</v>
      </c>
      <c r="W4254" s="38" t="n">
        <f aca="false">SUM(Sens!$R$4246:$W$4246)-SUM(Sens!$R$4253:$W$4253)</f>
        <v>505.39443162632</v>
      </c>
      <c r="X4254" s="38" t="n">
        <f aca="false">SUM(Sens!$R$4246:$X$4246)-SUM(Sens!$R$4253:$X$4253)</f>
        <v>632.154865722408</v>
      </c>
      <c r="Y4254" s="38" t="n">
        <f aca="false">SUM(Sens!$R$4246:$Y$4246)-SUM(Sens!$R$4253:$Y$4253)</f>
        <v>674.845221213145</v>
      </c>
      <c r="Z4254" s="38" t="n">
        <f aca="false">SUM(Sens!$R$4246:$Z$4246)-SUM(Sens!$R$4253:$Z$4253)</f>
        <v>673.613949706244</v>
      </c>
      <c r="AA4254" s="38" t="n">
        <f aca="false">SUM(Sens!$R$4246:$AA$4246)-SUM(Sens!$R$4253:$AA$4253)</f>
        <v>659.015198613032</v>
      </c>
    </row>
    <row r="4255" customFormat="false" ht="17.15" hidden="false" customHeight="false" outlineLevel="0" collapsed="false">
      <c r="A4255" s="1" t="s">
        <v>641</v>
      </c>
    </row>
    <row r="4256" customFormat="false" ht="17.15" hidden="false" customHeight="false" outlineLevel="0" collapsed="false">
      <c r="A4256" s="0" t="s">
        <v>642</v>
      </c>
      <c r="B4256" s="0" t="s">
        <v>86</v>
      </c>
      <c r="C4256" s="38" t="n">
        <f aca="false">Sens!$C$4235-ext_sh*Sens!$C$4237</f>
        <v>1.80694998843362</v>
      </c>
      <c r="D4256" s="38" t="n">
        <f aca="false">Sens!$D$4235-ext_sh*Sens!$D$4237</f>
        <v>6.77606245662607</v>
      </c>
      <c r="E4256" s="38" t="n">
        <f aca="false">Sens!$E$4235-ext_sh*Sens!$E$4237</f>
        <v>6.62548329092326</v>
      </c>
      <c r="F4256" s="38" t="n">
        <f aca="false">Sens!$F$4235-ext_sh*Sens!$F$4237</f>
        <v>11.7200577158706</v>
      </c>
      <c r="G4256" s="38" t="n">
        <f aca="false">Sens!$G$4235-ext_sh*Sens!$G$4237</f>
        <v>18.3455410067939</v>
      </c>
      <c r="H4256" s="38" t="n">
        <f aca="false">Sens!$H$4235-ext_sh*Sens!$H$4237</f>
        <v>47.5171727060453</v>
      </c>
      <c r="I4256" s="38" t="n">
        <f aca="false">Sens!$I$4235-ext_sh*Sens!$I$4237</f>
        <v>80.5539692643667</v>
      </c>
      <c r="J4256" s="38" t="n">
        <f aca="false">Sens!$J$4235-ext_sh*Sens!$J$4237</f>
        <v>113.759316834883</v>
      </c>
      <c r="K4256" s="38" t="n">
        <f aca="false">Sens!$K$4235-ext_sh*Sens!$K$4237</f>
        <v>142.084411492169</v>
      </c>
      <c r="L4256" s="38" t="n">
        <f aca="false">Sens!$L$4235-ext_sh*Sens!$L$4237</f>
        <v>160.69964615804</v>
      </c>
      <c r="M4256" s="38" t="n">
        <f aca="false">Sens!$M$4235-ext_sh*Sens!$M$4237</f>
        <v>169.577607141793</v>
      </c>
      <c r="N4256" s="38" t="n">
        <f aca="false">Sens!$N$4235-ext_sh*Sens!$N$4237</f>
        <v>2.37162185981912</v>
      </c>
      <c r="O4256" s="38" t="n">
        <f aca="false">Sens!$O$4235-ext_sh*Sens!$O$4237</f>
        <v>4.40444059680694</v>
      </c>
    </row>
    <row r="4257" customFormat="false" ht="17.15" hidden="false" customHeight="false" outlineLevel="0" collapsed="false">
      <c r="A4257" s="1" t="s">
        <v>643</v>
      </c>
      <c r="B4257" s="8" t="s">
        <v>86</v>
      </c>
      <c r="C4257" s="38" t="n">
        <f aca="false">Sens!$C$4256-ext_sh*Sens!$C$4253</f>
        <v>1.64417882953695</v>
      </c>
      <c r="D4257" s="38" t="n">
        <f aca="false">Sens!$D$4256-ext_sh*Sens!$D$4253</f>
        <v>5.39125073772939</v>
      </c>
      <c r="E4257" s="38" t="n">
        <f aca="false">Sens!$E$4256-ext_sh*Sens!$E$4253</f>
        <v>3.18348617147493</v>
      </c>
      <c r="F4257" s="38" t="n">
        <f aca="false">Sens!$F$4256-ext_sh*Sens!$F$4253</f>
        <v>8.27806059642226</v>
      </c>
      <c r="G4257" s="38" t="n">
        <f aca="false">Sens!$G$4256-ext_sh*Sens!$G$4253</f>
        <v>11.4615467678972</v>
      </c>
      <c r="H4257" s="38" t="n">
        <f aca="false">Sens!$H$4256-ext_sh*Sens!$H$4253</f>
        <v>26.1859456885487</v>
      </c>
      <c r="I4257" s="38" t="n">
        <f aca="false">Sens!$I$4256-ext_sh*Sens!$I$4253</f>
        <v>37.04424114757</v>
      </c>
      <c r="J4257" s="38" t="n">
        <f aca="false">Sens!$J$4256-ext_sh*Sens!$J$4253</f>
        <v>47.2610736233534</v>
      </c>
      <c r="K4257" s="38" t="n">
        <f aca="false">Sens!$K$4256-ext_sh*Sens!$K$4253</f>
        <v>52.0459876645985</v>
      </c>
      <c r="L4257" s="38" t="n">
        <f aca="false">Sens!$L$4256-ext_sh*Sens!$L$4253</f>
        <v>54.1033156405981</v>
      </c>
      <c r="M4257" s="38" t="n">
        <f aca="false">Sens!$M$4256-ext_sh*Sens!$M$4253</f>
        <v>52.1138209393421</v>
      </c>
      <c r="N4257" s="38" t="n">
        <f aca="false">Sens!$N$4256-ext_sh*Sens!$N$4253</f>
        <v>1.67921600037079</v>
      </c>
      <c r="O4257" s="38" t="n">
        <f aca="false">Sens!$O$4256-ext_sh*Sens!$O$4253</f>
        <v>3.71203473735861</v>
      </c>
    </row>
    <row r="4258" customFormat="false" ht="17.15" hidden="false" customHeight="false" outlineLevel="0" collapsed="false">
      <c r="A4258" s="0" t="s">
        <v>644</v>
      </c>
      <c r="B4258" s="0" t="s">
        <v>52</v>
      </c>
      <c r="C4258" s="13" t="n">
        <f aca="false">Sens!$C$4257/Sens!$C$4235</f>
        <v>0.708390794789371</v>
      </c>
      <c r="D4258" s="13" t="n">
        <f aca="false">Sens!$D$4257/Sens!$D$4235</f>
        <v>0.619415573115729</v>
      </c>
      <c r="E4258" s="13" t="n">
        <f aca="false">Sens!$E$4257/Sens!$E$4235</f>
        <v>0.374072166056273</v>
      </c>
      <c r="F4258" s="13" t="n">
        <f aca="false">Sens!$F$4257/Sens!$F$4235</f>
        <v>0.553219320710057</v>
      </c>
      <c r="G4258" s="13" t="n">
        <f aca="false">Sens!$G$4257/Sens!$G$4235</f>
        <v>0.488270041527512</v>
      </c>
      <c r="H4258" s="13" t="n">
        <f aca="false">Sens!$H$4257/Sens!$H$4235</f>
        <v>0.435229086816882</v>
      </c>
      <c r="I4258" s="13" t="n">
        <f aca="false">Sens!$I$4257/Sens!$I$4235</f>
        <v>0.364954592421095</v>
      </c>
      <c r="J4258" s="13" t="n">
        <f aca="false">Sens!$J$4257/Sens!$J$4235</f>
        <v>0.330438308582232</v>
      </c>
      <c r="K4258" s="13" t="n">
        <f aca="false">Sens!$K$4257/Sens!$K$4235</f>
        <v>0.2916589289528</v>
      </c>
      <c r="L4258" s="13" t="n">
        <f aca="false">Sens!$L$4257/Sens!$L$4235</f>
        <v>0.268199200593258</v>
      </c>
      <c r="M4258" s="13" t="n">
        <f aca="false">Sens!$M$4257/Sens!$M$4235</f>
        <v>0.244854995033574</v>
      </c>
      <c r="N4258" s="13" t="n">
        <f aca="false">Sens!$N$4257/Sens!$N$4235</f>
        <v>0.551227795793364</v>
      </c>
      <c r="O4258" s="13" t="n">
        <f aca="false">Sens!$O$4257/Sens!$O$4235</f>
        <v>0.656132068597002</v>
      </c>
    </row>
    <row r="4259" customFormat="false" ht="17.15" hidden="false" customHeight="false" outlineLevel="0" collapsed="false">
      <c r="A4259" s="5" t="s">
        <v>645</v>
      </c>
      <c r="B4259" s="0" t="s">
        <v>86</v>
      </c>
      <c r="C4259" s="39" t="n">
        <v>0</v>
      </c>
      <c r="D4259" s="39" t="n">
        <v>0</v>
      </c>
      <c r="E4259" s="39" t="n">
        <v>0</v>
      </c>
      <c r="F4259" s="38" t="n">
        <f aca="false">IF(internal_ai_reading=2,1,0)*(1-ext_sh)/ext_sh*(mw_open*he_open+Sens!$F$4233*Sens!$F$4230)*Sens!$F$4219/1000</f>
        <v>3.77122048175818</v>
      </c>
      <c r="G4259" s="38" t="n">
        <f aca="false">Sens!$E$4259+Sens!$F$4259</f>
        <v>3.77122048175818</v>
      </c>
      <c r="H4259" s="38" t="n">
        <f aca="false">IF(internal_ai_reading=2,1,0)*(1-ext_sh)/ext_sh*(mw_open*he_open+Sens!$H$4233*Sens!$H$4230)*Sens!$H$4219/1000</f>
        <v>15.1635543609893</v>
      </c>
      <c r="I4259" s="38" t="n">
        <f aca="false">IF(internal_ai_reading=2,1,0)*(1-ext_sh)/ext_sh*(mw_open*he_open+Sens!$I$4233*Sens!$I$4230)*Sens!$I$4219/1000</f>
        <v>25.5818843619889</v>
      </c>
      <c r="J4259" s="38" t="n">
        <f aca="false">IF(internal_ai_reading=2,1,0)*(1-ext_sh)/ext_sh*(mw_open*he_open+Sens!$J$4233*Sens!$J$4230)*Sens!$J$4219/1000</f>
        <v>36.0465624179122</v>
      </c>
      <c r="K4259" s="38" t="n">
        <f aca="false">IF(internal_ai_reading=2,1,0)*(1-ext_sh)/ext_sh*(mw_open*he_open+Sens!$K$4233*Sens!$K$4230)*Sens!$K$4219/1000</f>
        <v>44.9741164026038</v>
      </c>
      <c r="L4259" s="38" t="n">
        <f aca="false">IF(internal_ai_reading=2,1,0)*(1-ext_sh)/ext_sh*(mw_open*he_open+Sens!$L$4233*Sens!$L$4230)*Sens!$L$4219/1000</f>
        <v>50.8413488057813</v>
      </c>
      <c r="M4259" s="38" t="n">
        <f aca="false">IF(internal_ai_reading=2,1,0)*(1-ext_sh)/ext_sh*(mw_open*he_open+Sens!$M$4233*Sens!$M$4230)*Sens!$M$4219/1000</f>
        <v>53.6407214274315</v>
      </c>
      <c r="N4259" s="39" t="n">
        <v>0</v>
      </c>
      <c r="O4259" s="39" t="n">
        <v>0</v>
      </c>
      <c r="P4259" s="8" t="s">
        <v>646</v>
      </c>
    </row>
    <row r="4260" customFormat="false" ht="17.15" hidden="false" customHeight="false" outlineLevel="0" collapsed="false">
      <c r="A4260" s="5" t="s">
        <v>647</v>
      </c>
      <c r="B4260" s="0" t="s">
        <v>86</v>
      </c>
      <c r="C4260" s="38" t="n">
        <f aca="false">(1-ext_sh)*(Sens!$C$4237+Sens!$C$4253)</f>
        <v>0.169206631859174</v>
      </c>
      <c r="D4260" s="38" t="n">
        <f aca="false">(1-ext_sh)*(Sens!$D$4237+Sens!$D$4253)</f>
        <v>0.828129837730442</v>
      </c>
      <c r="E4260" s="38" t="n">
        <f aca="false">(1-ext_sh)*(Sens!$E$4237+Sens!$E$4253)</f>
        <v>1.33171670102377</v>
      </c>
      <c r="F4260" s="38" t="n">
        <f aca="false">(1-ext_sh)*(Sens!$F$4237+Sens!$F$4253)</f>
        <v>1.67134326207455</v>
      </c>
      <c r="G4260" s="38" t="n">
        <f aca="false">(1-ext_sh)*(Sens!$G$4237+Sens!$G$4253)</f>
        <v>3.00305996309832</v>
      </c>
      <c r="H4260" s="38" t="n">
        <f aca="false">(1-ext_sh)*(Sens!$H$4237+Sens!$H$4253)</f>
        <v>8.49498626530648</v>
      </c>
      <c r="I4260" s="38" t="n">
        <f aca="false">(1-ext_sh)*(Sens!$I$4237+Sens!$I$4253)</f>
        <v>16.1148644972155</v>
      </c>
      <c r="J4260" s="38" t="n">
        <f aca="false">(1-ext_sh)*(Sens!$J$4237+Sens!$J$4253)</f>
        <v>23.9410833819812</v>
      </c>
      <c r="K4260" s="38" t="n">
        <f aca="false">(1-ext_sh)*(Sens!$K$4237+Sens!$K$4253)</f>
        <v>31.6005331796453</v>
      </c>
      <c r="L4260" s="38" t="n">
        <f aca="false">(1-ext_sh)*(Sens!$L$4237+Sens!$L$4253)</f>
        <v>36.9061965404496</v>
      </c>
      <c r="M4260" s="38" t="n">
        <f aca="false">(1-ext_sh)*(Sens!$M$4237+Sens!$M$4253)</f>
        <v>40.1804051073808</v>
      </c>
      <c r="N4260" s="38" t="n">
        <f aca="false">(1-ext_sh)*(Sens!$N$4237+Sens!$N$4253)</f>
        <v>0.34177588266428</v>
      </c>
      <c r="O4260" s="38" t="n">
        <f aca="false">(1-ext_sh)*(Sens!$O$4237+Sens!$O$4253)</f>
        <v>0.486353955066162</v>
      </c>
    </row>
    <row r="4261" customFormat="false" ht="17.15" hidden="false" customHeight="false" outlineLevel="0" collapsed="false">
      <c r="A4261" s="0" t="s">
        <v>648</v>
      </c>
      <c r="B4261" s="0" t="s">
        <v>86</v>
      </c>
      <c r="C4261" s="38" t="n">
        <f aca="false">Q!$D$24</f>
        <v>39.834</v>
      </c>
      <c r="D4261" s="38" t="n">
        <f aca="false">Q!$E$24</f>
        <v>45.606</v>
      </c>
      <c r="E4261" s="38" t="n">
        <f aca="false">Q!$P$24</f>
        <v>30.782</v>
      </c>
      <c r="N4261" s="38" t="n">
        <f aca="false">Q!$N$24</f>
        <v>21.707</v>
      </c>
      <c r="O4261" s="38" t="n">
        <f aca="false">Q!$O$24</f>
        <v>23.899</v>
      </c>
    </row>
    <row r="4262" customFormat="false" ht="17.15" hidden="false" customHeight="false" outlineLevel="0" collapsed="false">
      <c r="A4262" s="0" t="s">
        <v>649</v>
      </c>
      <c r="B4262" s="0" t="s">
        <v>86</v>
      </c>
      <c r="C4262" s="38" t="n">
        <f aca="false">Sens!$C$4261-Sens!$C$4257</f>
        <v>38.1898211704631</v>
      </c>
      <c r="D4262" s="38" t="n">
        <f aca="false">Sens!$D$4261-Sens!$D$4257</f>
        <v>40.2147492622706</v>
      </c>
      <c r="E4262" s="38" t="n">
        <f aca="false">Sens!$E$4261-Sens!$E$4257</f>
        <v>27.5985138285251</v>
      </c>
      <c r="F4262" s="38" t="n">
        <f aca="false">Sens!$F$4239*Sens!$F$4263</f>
        <v>25.5484769754606</v>
      </c>
      <c r="G4262" s="38" t="n">
        <f aca="false">Sens!$E$4262+Sens!$F$4262</f>
        <v>53.1469908039857</v>
      </c>
      <c r="H4262" s="38" t="n">
        <f aca="false">Sens!$H$4239*Sens!$H$4263</f>
        <v>57.3189525076539</v>
      </c>
      <c r="I4262" s="38" t="n">
        <f aca="false">Sens!$I$4239*Sens!$I$4263</f>
        <v>63.6385627021087</v>
      </c>
      <c r="J4262" s="38" t="n">
        <f aca="false">Sens!$J$4239*Sens!$J$4263</f>
        <v>69.6922896066105</v>
      </c>
      <c r="K4262" s="38" t="n">
        <f aca="false">Sens!$K$4239*Sens!$K$4263</f>
        <v>75.2676727751394</v>
      </c>
      <c r="L4262" s="38" t="n">
        <f aca="false">Sens!$L$4239*Sens!$L$4263</f>
        <v>81.2890865971505</v>
      </c>
      <c r="M4262" s="38" t="n">
        <f aca="false">Sens!$M$4239*Sens!$M$4263</f>
        <v>87.7922135249226</v>
      </c>
      <c r="N4262" s="38" t="n">
        <f aca="false">Sens!$N$4261-Sens!$N$4257</f>
        <v>20.0277839996292</v>
      </c>
      <c r="O4262" s="38" t="n">
        <f aca="false">Sens!$O$4261-Sens!$O$4257</f>
        <v>20.1869652626414</v>
      </c>
      <c r="P4262" s="5" t="s">
        <v>650</v>
      </c>
    </row>
    <row r="4263" customFormat="false" ht="17.15" hidden="false" customHeight="false" outlineLevel="0" collapsed="false">
      <c r="A4263" s="0" t="s">
        <v>651</v>
      </c>
      <c r="B4263" s="0" t="s">
        <v>52</v>
      </c>
      <c r="C4263" s="13" t="n">
        <f aca="false">Sens!$C$4262/Sens!$C$4239</f>
        <v>0.362900395443635</v>
      </c>
      <c r="D4263" s="13" t="n">
        <f aca="false">Sens!$D$4262/Sens!$D$4239</f>
        <v>0.335063632425483</v>
      </c>
      <c r="E4263" s="13" t="n">
        <f aca="false">Sens!$E$4262/Sens!$E$4239</f>
        <v>0.387028992698038</v>
      </c>
      <c r="F4263" s="13" t="n">
        <f aca="false">(Sens!$O$4262+Sens!$E$4262)/(Sens!$O$4239+Sens!$E$4239)</f>
        <v>0.355980580118587</v>
      </c>
      <c r="G4263" s="13" t="n">
        <f aca="false">Sens!$G$4262/Sens!$G$4239</f>
        <v>0.371454804780916</v>
      </c>
      <c r="H4263" s="13" t="n">
        <f aca="false">Sens!$F$4263</f>
        <v>0.355980580118587</v>
      </c>
      <c r="I4263" s="13" t="n">
        <f aca="false">Sens!$F$4263</f>
        <v>0.355980580118587</v>
      </c>
      <c r="J4263" s="13" t="n">
        <f aca="false">Sens!$F$4263</f>
        <v>0.355980580118587</v>
      </c>
      <c r="K4263" s="13" t="n">
        <f aca="false">Sens!$F$4263</f>
        <v>0.355980580118587</v>
      </c>
      <c r="L4263" s="13" t="n">
        <f aca="false">Sens!$F$4263</f>
        <v>0.355980580118587</v>
      </c>
      <c r="M4263" s="13" t="n">
        <f aca="false">Sens!$F$4263</f>
        <v>0.355980580118587</v>
      </c>
      <c r="N4263" s="13" t="n">
        <f aca="false">Sens!$N$4262/Sens!$N$4239</f>
        <v>0.35078810535806</v>
      </c>
      <c r="O4263" s="13" t="n">
        <f aca="false">Sens!$O$4262/Sens!$O$4239</f>
        <v>0.320796939361619</v>
      </c>
      <c r="P4263" s="8" t="s">
        <v>652</v>
      </c>
    </row>
    <row r="4264" customFormat="false" ht="17.15" hidden="false" customHeight="false" outlineLevel="0" collapsed="false">
      <c r="A4264" s="0" t="s">
        <v>653</v>
      </c>
      <c r="B4264" s="0" t="s">
        <v>52</v>
      </c>
      <c r="D4264" s="13" t="n">
        <f aca="false">(Q!$E$31-ext_sh*Sens!$D$4253)/Sens!$D$4239</f>
        <v>0.167180325480118</v>
      </c>
    </row>
    <row r="4265" customFormat="false" ht="17.15" hidden="false" customHeight="false" outlineLevel="0" collapsed="false">
      <c r="A4265" s="0" t="s">
        <v>654</v>
      </c>
      <c r="B4265" s="0" t="s">
        <v>86</v>
      </c>
      <c r="C4265" s="38" t="n">
        <f aca="false">Q!$D$31</f>
        <v>13.32</v>
      </c>
      <c r="D4265" s="38" t="n">
        <f aca="false">Q!$E$31</f>
        <v>21.45</v>
      </c>
      <c r="E4265" s="38" t="n">
        <f aca="false">Q!$P$31</f>
        <v>15.353</v>
      </c>
      <c r="F4265" s="38" t="n">
        <f aca="false">ext_sh*Sens!$F$4253+Sens!$D$4264*Sens!$F$4239</f>
        <v>15.4404120185306</v>
      </c>
      <c r="G4265" s="38" t="n">
        <f aca="false">Sens!$E$4265+Sens!$F$4265</f>
        <v>30.7934120185306</v>
      </c>
      <c r="H4265" s="38" t="n">
        <f aca="false">ext_sh*Sens!$H$4253+Sens!$D$4264*Sens!$H$4239</f>
        <v>48.250114371455</v>
      </c>
      <c r="I4265" s="38" t="n">
        <f aca="false">ext_sh*Sens!$I$4253+Sens!$D$4264*Sens!$I$4239</f>
        <v>73.3965146995963</v>
      </c>
      <c r="J4265" s="38" t="n">
        <f aca="false">ext_sh*Sens!$J$4253+Sens!$D$4264*Sens!$J$4239</f>
        <v>99.22806138309</v>
      </c>
      <c r="K4265" s="38" t="n">
        <f aca="false">ext_sh*Sens!$K$4253+Sens!$D$4264*Sens!$K$4239</f>
        <v>125.386627452856</v>
      </c>
      <c r="L4265" s="38" t="n">
        <f aca="false">ext_sh*Sens!$L$4253+Sens!$D$4264*Sens!$L$4239</f>
        <v>144.77239043275</v>
      </c>
      <c r="M4265" s="38" t="n">
        <f aca="false">ext_sh*Sens!$M$4253+Sens!$D$4264*Sens!$M$4239</f>
        <v>158.693930910983</v>
      </c>
      <c r="N4265" s="38" t="n">
        <f aca="false">Q!$N$31</f>
        <v>9.234</v>
      </c>
      <c r="O4265" s="38" t="n">
        <f aca="false">Q!$O$31</f>
        <v>12.216</v>
      </c>
    </row>
    <row r="4266" customFormat="false" ht="17.15" hidden="false" customHeight="false" outlineLevel="0" collapsed="false">
      <c r="A4266" s="1" t="s">
        <v>655</v>
      </c>
    </row>
    <row r="4267" customFormat="false" ht="17.15" hidden="false" customHeight="false" outlineLevel="0" collapsed="false">
      <c r="A4267" s="15" t="s">
        <v>656</v>
      </c>
      <c r="B4267" s="14" t="s">
        <v>52</v>
      </c>
      <c r="C4267" s="14"/>
      <c r="D4267" s="14"/>
      <c r="E4267" s="14"/>
      <c r="F4267" s="14"/>
      <c r="G4267" s="17" t="n">
        <f aca="false">Sens!$G$4257*(1-tax)/(ext_sh*(Sens!$D$4254+Sens!$G$4254)/2)</f>
        <v>0.0966870495301478</v>
      </c>
      <c r="H4267" s="17" t="n">
        <f aca="false">Sens!$H$4257*(1-tax)/(ext_sh*(Sens!$G$4254+Sens!$H$4254)/2)</f>
        <v>0.100492020334136</v>
      </c>
      <c r="I4267" s="17" t="n">
        <f aca="false">Sens!$I$4257*(1-tax)/(ext_sh*(Sens!$H$4254+Sens!$I$4254)/2)</f>
        <v>0.0889392292218236</v>
      </c>
      <c r="J4267" s="17" t="n">
        <f aca="false">Sens!$J$4257*(1-tax)/(ext_sh*(Sens!$I$4254+Sens!$J$4254)/2)</f>
        <v>0.0858364613777012</v>
      </c>
      <c r="K4267" s="17" t="n">
        <f aca="false">Sens!$K$4257*(1-tax)/(ext_sh*(Sens!$J$4254+Sens!$K$4254)/2)</f>
        <v>0.08227162714687</v>
      </c>
      <c r="L4267" s="17" t="n">
        <f aca="false">Sens!$L$4257*(1-tax)/(ext_sh*(Sens!$K$4254+Sens!$L$4254)/2)</f>
        <v>0.0828942732763872</v>
      </c>
      <c r="M4267" s="17" t="n">
        <f aca="false">Sens!$M$4257*(1-tax)/(ext_sh*(Sens!$L$4254+Sens!$M$4254)/2)</f>
        <v>0.0807945482347635</v>
      </c>
      <c r="N4267" s="14"/>
      <c r="O4267" s="14"/>
      <c r="P4267" s="8" t="s">
        <v>657</v>
      </c>
    </row>
    <row r="4268" customFormat="false" ht="17.15" hidden="false" customHeight="false" outlineLevel="0" collapsed="false">
      <c r="A4268" s="5" t="s">
        <v>658</v>
      </c>
      <c r="B4268" s="0" t="s">
        <v>57</v>
      </c>
      <c r="H4268" s="36" t="n">
        <f aca="false">Sens!$H$4235*1000/(mw_open*he_open+Sens!$H$4233*Sens!$H$4230)</f>
        <v>0.991949006767191</v>
      </c>
      <c r="I4268" s="36" t="n">
        <f aca="false">Sens!$I$4235*1000/(mw_open*he_open+Sens!$I$4233*Sens!$I$4230)</f>
        <v>0.991949006767191</v>
      </c>
      <c r="J4268" s="36" t="n">
        <f aca="false">Sens!$J$4235*1000/(mw_open*he_open+Sens!$J$4233*Sens!$J$4230)</f>
        <v>0.991949006767191</v>
      </c>
      <c r="K4268" s="36" t="n">
        <f aca="false">Sens!$K$4235*1000/(mw_open*he_open+Sens!$K$4233*Sens!$K$4230)</f>
        <v>0.991949006767191</v>
      </c>
      <c r="L4268" s="36" t="n">
        <f aca="false">Sens!$L$4235*1000/(mw_open*he_open+Sens!$L$4233*Sens!$L$4230)</f>
        <v>0.991949006767191</v>
      </c>
      <c r="M4268" s="36" t="n">
        <f aca="false">Sens!$M$4235*1000/(mw_open*he_open+Sens!$M$4233*Sens!$M$4230)</f>
        <v>0.991949006767191</v>
      </c>
    </row>
    <row r="4269" customFormat="false" ht="17.15" hidden="false" customHeight="false" outlineLevel="0" collapsed="false">
      <c r="A4269" s="5" t="s">
        <v>659</v>
      </c>
      <c r="B4269" s="0" t="s">
        <v>57</v>
      </c>
      <c r="H4269" s="36" t="n">
        <f aca="false">Sens!$H$4268*(Sens!$H$4235+wacc*ext_sh*(Sens!$G$4254+Sens!$H$4254)/2/(1-tax)-Sens!$H$4257)/Sens!$H$4235</f>
        <v>1.04696246089529</v>
      </c>
      <c r="I4269" s="36" t="n">
        <f aca="false">Sens!$I$4268*(Sens!$I$4235+wacc*ext_sh*(Sens!$H$4254+Sens!$I$4254)/2/(1-tax)-Sens!$I$4257)/Sens!$I$4235</f>
        <v>1.09109607940198</v>
      </c>
      <c r="J4269" s="36" t="n">
        <f aca="false">Sens!$J$4268*(Sens!$J$4235+wacc*ext_sh*(Sens!$I$4254+Sens!$J$4254)/2/(1-tax)-Sens!$J$4257)/Sens!$J$4235</f>
        <v>1.09681234280071</v>
      </c>
      <c r="K4269" s="36" t="n">
        <f aca="false">Sens!$K$4268*(Sens!$K$4235+wacc*ext_sh*(Sens!$J$4254+Sens!$K$4254)/2/(1-tax)-Sens!$K$4257)/Sens!$K$4235</f>
        <v>1.10105220068984</v>
      </c>
      <c r="L4269" s="36" t="n">
        <f aca="false">Sens!$L$4268*(Sens!$L$4235+wacc*ext_sh*(Sens!$K$4254+Sens!$L$4254)/2/(1-tax)-Sens!$L$4257)/Sens!$L$4235</f>
        <v>1.08952452639895</v>
      </c>
      <c r="M4269" s="36" t="n">
        <f aca="false">Sens!$M$4268*(Sens!$M$4235+wacc*ext_sh*(Sens!$L$4254+Sens!$M$4254)/2/(1-tax)-Sens!$M$4257)/Sens!$M$4235</f>
        <v>1.08965878549519</v>
      </c>
    </row>
    <row r="4270" customFormat="false" ht="17.15" hidden="false" customHeight="false" outlineLevel="0" collapsed="false">
      <c r="A4270" s="5" t="s">
        <v>660</v>
      </c>
      <c r="B4270" s="0" t="s">
        <v>52</v>
      </c>
      <c r="C4270" s="13" t="n">
        <f aca="false">Sens!$C$4236/tk_pq</f>
        <v>0.195316432429398</v>
      </c>
      <c r="D4270" s="13" t="n">
        <f aca="false">Sens!$D$4236/tk_pq</f>
        <v>0.195316432429398</v>
      </c>
      <c r="E4270" s="13" t="n">
        <f aca="false">Sens!$E$4236/tk_pq</f>
        <v>0.195316432429398</v>
      </c>
      <c r="F4270" s="13" t="n">
        <f aca="false">Sens!$F$4236/tk_pq</f>
        <v>0.202241827274866</v>
      </c>
      <c r="G4270" s="13" t="n">
        <f aca="false">Sens!$G$4236/tk_pq</f>
        <v>0.199675016194063</v>
      </c>
      <c r="H4270" s="13" t="n">
        <f aca="false">Sens!$H$4236/tk_pq</f>
        <v>0.212647947710325</v>
      </c>
      <c r="I4270" s="13" t="n">
        <f aca="false">Sens!$I$4236/tk_pq</f>
        <v>0.219285125475351</v>
      </c>
      <c r="J4270" s="13" t="n">
        <f aca="false">Sens!$J$4236/tk_pq</f>
        <v>0.222492493217189</v>
      </c>
      <c r="K4270" s="13" t="n">
        <f aca="false">Sens!$K$4236/tk_pq</f>
        <v>0.224053502812094</v>
      </c>
      <c r="L4270" s="13" t="n">
        <f aca="false">Sens!$L$4236/tk_pq</f>
        <v>0.224786916785614</v>
      </c>
      <c r="M4270" s="13" t="n">
        <f aca="false">Sens!$M$4236/tk_pq</f>
        <v>0.225048671566937</v>
      </c>
      <c r="N4270" s="13" t="n">
        <f aca="false">Sens!$N$4236/tk_pq</f>
        <v>0.195316432429398</v>
      </c>
      <c r="O4270" s="13" t="n">
        <f aca="false">Sens!$O$4236/tk_pq</f>
        <v>0.195316432429398</v>
      </c>
      <c r="P4270" s="5" t="s">
        <v>661</v>
      </c>
    </row>
    <row r="4273" customFormat="false" ht="17.15" hidden="false" customHeight="false" outlineLevel="0" collapsed="false">
      <c r="A4273" s="1" t="s">
        <v>690</v>
      </c>
    </row>
    <row r="4274" customFormat="false" ht="17.15" hidden="false" customHeight="false" outlineLevel="0" collapsed="false">
      <c r="A4274" s="0" t="s">
        <v>691</v>
      </c>
      <c r="B4274" s="0" t="s">
        <v>86</v>
      </c>
      <c r="C4274" s="38" t="n">
        <f aca="false">Sens!$C$4235</f>
        <v>2.32100535697364</v>
      </c>
      <c r="D4274" s="38" t="n">
        <f aca="false">Sens!$D$4235</f>
        <v>8.70377008865116</v>
      </c>
      <c r="E4274" s="38" t="n">
        <f aca="false">Sens!$E$4235</f>
        <v>8.51035297557002</v>
      </c>
      <c r="F4274" s="38" t="n">
        <f aca="false">Sens!$F$4235</f>
        <v>14.9634336447205</v>
      </c>
      <c r="G4274" s="38" t="n">
        <f aca="false">Sens!$G$4235</f>
        <v>23.4737866202905</v>
      </c>
      <c r="H4274" s="38" t="n">
        <f aca="false">Sens!$H$4235</f>
        <v>60.1658907497746</v>
      </c>
      <c r="I4274" s="38" t="n">
        <f aca="false">Sens!$I$4235</f>
        <v>101.503699136432</v>
      </c>
      <c r="J4274" s="38" t="n">
        <f aca="false">Sens!$J$4235</f>
        <v>143.025407151278</v>
      </c>
      <c r="K4274" s="38" t="n">
        <f aca="false">Sens!$K$4235</f>
        <v>178.44812038318</v>
      </c>
      <c r="L4274" s="38" t="n">
        <f aca="false">Sens!$L$4235</f>
        <v>201.728101802396</v>
      </c>
      <c r="M4274" s="38" t="n">
        <f aca="false">Sens!$M$4235</f>
        <v>212.835441368865</v>
      </c>
      <c r="N4274" s="38" t="n">
        <f aca="false">Sens!$N$4235</f>
        <v>3.04631953102791</v>
      </c>
      <c r="O4274" s="38" t="n">
        <f aca="false">Sens!$O$4235</f>
        <v>5.65745055762326</v>
      </c>
      <c r="P4274" s="8" t="s">
        <v>692</v>
      </c>
    </row>
    <row r="4275" customFormat="false" ht="17.15" hidden="false" customHeight="false" outlineLevel="0" collapsed="false">
      <c r="A4275" s="0" t="s">
        <v>693</v>
      </c>
      <c r="B4275" s="0" t="s">
        <v>86</v>
      </c>
      <c r="C4275" s="38" t="n">
        <f aca="false">Sens!$C$4239</f>
        <v>105.234994643026</v>
      </c>
      <c r="D4275" s="38" t="n">
        <f aca="false">Sens!$D$4239</f>
        <v>120.021229911349</v>
      </c>
      <c r="E4275" s="38" t="n">
        <f aca="false">Sens!$E$4239</f>
        <v>71.30864702443</v>
      </c>
      <c r="F4275" s="38" t="n">
        <f aca="false">Sens!$F$4239</f>
        <v>71.7692997942464</v>
      </c>
      <c r="G4275" s="38" t="n">
        <f aca="false">Sens!$G$4239</f>
        <v>143.077946818676</v>
      </c>
      <c r="H4275" s="38" t="n">
        <f aca="false">Sens!$H$4239</f>
        <v>161.017077079203</v>
      </c>
      <c r="I4275" s="38" t="n">
        <f aca="false">Sens!$I$4239</f>
        <v>178.769759521457</v>
      </c>
      <c r="J4275" s="38" t="n">
        <f aca="false">Sens!$J$4239</f>
        <v>195.775538045907</v>
      </c>
      <c r="K4275" s="38" t="n">
        <f aca="false">Sens!$K$4239</f>
        <v>211.43758108958</v>
      </c>
      <c r="L4275" s="38" t="n">
        <f aca="false">Sens!$L$4239</f>
        <v>228.352587576746</v>
      </c>
      <c r="M4275" s="38" t="n">
        <f aca="false">Sens!$M$4239</f>
        <v>246.620794582886</v>
      </c>
      <c r="N4275" s="38" t="n">
        <f aca="false">Sens!$N$4239</f>
        <v>57.0936804689721</v>
      </c>
      <c r="O4275" s="38" t="n">
        <f aca="false">Sens!$O$4239</f>
        <v>62.9275494423768</v>
      </c>
      <c r="P4275" s="8" t="s">
        <v>692</v>
      </c>
    </row>
    <row r="4276" customFormat="false" ht="17.15" hidden="false" customHeight="false" outlineLevel="0" collapsed="false">
      <c r="A4276" s="1" t="s">
        <v>516</v>
      </c>
      <c r="B4276" s="8" t="s">
        <v>86</v>
      </c>
      <c r="C4276" s="38" t="n">
        <f aca="false">Q!$D$7</f>
        <v>107.556</v>
      </c>
      <c r="D4276" s="38" t="n">
        <f aca="false">Q!$E$7</f>
        <v>128.725</v>
      </c>
      <c r="E4276" s="38" t="n">
        <f aca="false">Q!$P$7</f>
        <v>79.819</v>
      </c>
      <c r="F4276" s="38" t="n">
        <f aca="false">Sens!$F$4274+Sens!$F$4275</f>
        <v>86.7327334389669</v>
      </c>
      <c r="G4276" s="38" t="n">
        <f aca="false">Sens!$G$4274+Sens!$G$4275</f>
        <v>166.551733438967</v>
      </c>
      <c r="H4276" s="38" t="n">
        <f aca="false">Sens!$H$4274+Sens!$H$4275</f>
        <v>221.182967828978</v>
      </c>
      <c r="I4276" s="38" t="n">
        <f aca="false">Sens!$I$4274+Sens!$I$4275</f>
        <v>280.27345865789</v>
      </c>
      <c r="J4276" s="38" t="n">
        <f aca="false">Sens!$J$4274+Sens!$J$4275</f>
        <v>338.800945197185</v>
      </c>
      <c r="K4276" s="38" t="n">
        <f aca="false">Sens!$K$4274+Sens!$K$4275</f>
        <v>389.88570147276</v>
      </c>
      <c r="L4276" s="38" t="n">
        <f aca="false">Sens!$L$4274+Sens!$L$4275</f>
        <v>430.080689379143</v>
      </c>
      <c r="M4276" s="38" t="n">
        <f aca="false">Sens!$M$4274+Sens!$M$4275</f>
        <v>459.456235951751</v>
      </c>
      <c r="N4276" s="38" t="n">
        <f aca="false">Q!$N$7</f>
        <v>60.14</v>
      </c>
      <c r="O4276" s="38" t="n">
        <f aca="false">Q!$O$7</f>
        <v>68.585</v>
      </c>
      <c r="P4276" s="5" t="s">
        <v>694</v>
      </c>
    </row>
    <row r="4277" customFormat="false" ht="15" hidden="false" customHeight="false" outlineLevel="0" collapsed="false">
      <c r="A4277" s="3" t="s">
        <v>695</v>
      </c>
      <c r="B4277" s="8" t="s">
        <v>86</v>
      </c>
      <c r="C4277" s="38" t="n">
        <f aca="false">Q!$D$8</f>
        <v>637.959</v>
      </c>
      <c r="D4277" s="38" t="n">
        <f aca="false">Q!$E$8</f>
        <v>716.924</v>
      </c>
      <c r="E4277" s="38" t="n">
        <f aca="false">Q!$P$8</f>
        <v>382.125</v>
      </c>
      <c r="F4277" s="38" t="n">
        <f aca="false">Sens!$F$4207+Sens!$F$4276</f>
        <v>435.780975084504</v>
      </c>
      <c r="G4277" s="38" t="n">
        <f aca="false">Sens!$G$4207+Sens!$G$4276</f>
        <v>817.905975084504</v>
      </c>
      <c r="H4277" s="38" t="n">
        <f aca="false">Sens!$H$4207+Sens!$H$4276</f>
        <v>942.903926515322</v>
      </c>
      <c r="I4277" s="38" t="n">
        <f aca="false">Sens!$I$4207+Sens!$I$4276</f>
        <v>1071.03897465614</v>
      </c>
      <c r="J4277" s="38" t="n">
        <f aca="false">Sens!$J$4207+Sens!$J$4276</f>
        <v>1195.11746934314</v>
      </c>
      <c r="K4277" s="38" t="n">
        <f aca="false">Sens!$K$4207+Sens!$K$4276</f>
        <v>1305.91179895921</v>
      </c>
      <c r="L4277" s="38" t="n">
        <f aca="false">Sens!$L$4207+Sens!$L$4276</f>
        <v>1410.66480646137</v>
      </c>
      <c r="M4277" s="38" t="n">
        <f aca="false">Sens!$M$4207+Sens!$M$4276</f>
        <v>1509.90599247663</v>
      </c>
      <c r="N4277" s="38" t="n">
        <f aca="false">Q!$N$8</f>
        <v>323.369</v>
      </c>
      <c r="O4277" s="38" t="n">
        <f aca="false">Q!$O$8</f>
        <v>393.555</v>
      </c>
    </row>
    <row r="4278" customFormat="false" ht="17.15" hidden="false" customHeight="false" outlineLevel="0" collapsed="false">
      <c r="A4278" s="24" t="s">
        <v>703</v>
      </c>
      <c r="B4278" s="25" t="s">
        <v>86</v>
      </c>
      <c r="C4278" s="41" t="n">
        <f aca="false">Sens!$C$4207-(Sens!$C$4209+Sens!$C$4210)</f>
        <v>0</v>
      </c>
      <c r="D4278" s="41" t="n">
        <f aca="false">Sens!$D$4207-(Sens!$D$4209+Sens!$D$4210)</f>
        <v>0</v>
      </c>
      <c r="E4278" s="41" t="n">
        <f aca="false">Sens!$E$4207-(Sens!$E$4209+Sens!$E$4210)</f>
        <v>0</v>
      </c>
      <c r="F4278" s="41" t="n">
        <f aca="false">Sens!$F$4207-(Sens!$F$4209+Sens!$F$4210)</f>
        <v>0</v>
      </c>
      <c r="G4278" s="41" t="n">
        <f aca="false">Sens!$G$4207-(Sens!$G$4209+Sens!$G$4210)</f>
        <v>0</v>
      </c>
      <c r="H4278" s="41" t="n">
        <f aca="false">Sens!$H$4207-(Sens!$H$4209+Sens!$H$4210)</f>
        <v>0</v>
      </c>
      <c r="I4278" s="41" t="n">
        <f aca="false">Sens!$I$4207-(Sens!$I$4209+Sens!$I$4210)</f>
        <v>0</v>
      </c>
      <c r="J4278" s="41" t="n">
        <f aca="false">Sens!$J$4207-(Sens!$J$4209+Sens!$J$4210)</f>
        <v>0</v>
      </c>
      <c r="K4278" s="41" t="n">
        <f aca="false">Sens!$K$4207-(Sens!$K$4209+Sens!$K$4210)</f>
        <v>0</v>
      </c>
      <c r="L4278" s="41" t="n">
        <f aca="false">Sens!$L$4207-(Sens!$L$4209+Sens!$L$4210)</f>
        <v>0</v>
      </c>
      <c r="M4278" s="41" t="n">
        <f aca="false">Sens!$M$4207-(Sens!$M$4209+Sens!$M$4210)</f>
        <v>0</v>
      </c>
      <c r="N4278" s="41" t="n">
        <f aca="false">Sens!$N$4207-(Sens!$N$4209+Sens!$N$4210)</f>
        <v>0</v>
      </c>
      <c r="O4278" s="41" t="n">
        <f aca="false">Sens!$O$4207-(Sens!$O$4209+Sens!$O$4210)</f>
        <v>0</v>
      </c>
    </row>
    <row r="4279" customFormat="false" ht="17.15" hidden="false" customHeight="false" outlineLevel="0" collapsed="false">
      <c r="A4279" s="24" t="s">
        <v>704</v>
      </c>
      <c r="B4279" s="25" t="s">
        <v>86</v>
      </c>
      <c r="C4279" s="41" t="n">
        <f aca="false">Sens!$C$4274+Sens!$C$4275-Sens!$C$4276</f>
        <v>0</v>
      </c>
      <c r="D4279" s="41" t="n">
        <f aca="false">Sens!$D$4274+Sens!$D$4275-Sens!$D$4276</f>
        <v>0</v>
      </c>
      <c r="E4279" s="41" t="n">
        <f aca="false">Sens!$E$4274+Sens!$E$4275-Sens!$E$4276</f>
        <v>0</v>
      </c>
      <c r="F4279" s="41" t="n">
        <f aca="false">Sens!$F$4274+Sens!$F$4275-Sens!$F$4276</f>
        <v>0</v>
      </c>
      <c r="G4279" s="41" t="n">
        <f aca="false">Sens!$G$4274+Sens!$G$4275-Sens!$G$4276</f>
        <v>0</v>
      </c>
      <c r="H4279" s="41" t="n">
        <f aca="false">Sens!$H$4274+Sens!$H$4275-Sens!$H$4276</f>
        <v>0</v>
      </c>
      <c r="I4279" s="41" t="n">
        <f aca="false">Sens!$I$4274+Sens!$I$4275-Sens!$I$4276</f>
        <v>0</v>
      </c>
      <c r="J4279" s="41" t="n">
        <f aca="false">Sens!$J$4274+Sens!$J$4275-Sens!$J$4276</f>
        <v>0</v>
      </c>
      <c r="K4279" s="41" t="n">
        <f aca="false">Sens!$K$4274+Sens!$K$4275-Sens!$K$4276</f>
        <v>0</v>
      </c>
      <c r="L4279" s="41" t="n">
        <f aca="false">Sens!$L$4274+Sens!$L$4275-Sens!$L$4276</f>
        <v>0</v>
      </c>
      <c r="M4279" s="41" t="n">
        <f aca="false">Sens!$M$4274+Sens!$M$4275-Sens!$M$4276</f>
        <v>0</v>
      </c>
      <c r="N4279" s="41" t="n">
        <f aca="false">Sens!$N$4274+Sens!$N$4275-Sens!$N$4276</f>
        <v>0</v>
      </c>
      <c r="O4279" s="41" t="n">
        <f aca="false">Sens!$O$4274+Sens!$O$4275-Sens!$O$4276</f>
        <v>0</v>
      </c>
    </row>
    <row r="4280" customFormat="false" ht="17.15" hidden="false" customHeight="false" outlineLevel="0" collapsed="false">
      <c r="A4280" s="24" t="s">
        <v>705</v>
      </c>
      <c r="B4280" s="25" t="s">
        <v>86</v>
      </c>
      <c r="C4280" s="41" t="n">
        <f aca="false">Sens!$C$4209+Sens!$C$4210+Sens!$C$4276-Sens!$C$4277</f>
        <v>0</v>
      </c>
      <c r="D4280" s="41" t="n">
        <f aca="false">Sens!$D$4209+Sens!$D$4210+Sens!$D$4276-Sens!$D$4277</f>
        <v>0</v>
      </c>
      <c r="E4280" s="41" t="n">
        <f aca="false">Sens!$E$4209+Sens!$E$4210+Sens!$E$4276-Sens!$E$4277</f>
        <v>0</v>
      </c>
      <c r="F4280" s="41" t="n">
        <f aca="false">Sens!$F$4209+Sens!$F$4210+Sens!$F$4276-Sens!$F$4277</f>
        <v>0</v>
      </c>
      <c r="G4280" s="41" t="n">
        <f aca="false">Sens!$G$4209+Sens!$G$4210+Sens!$G$4276-Sens!$G$4277</f>
        <v>0</v>
      </c>
      <c r="H4280" s="41" t="n">
        <f aca="false">Sens!$H$4209+Sens!$H$4210+Sens!$H$4276-Sens!$H$4277</f>
        <v>0</v>
      </c>
      <c r="I4280" s="41" t="n">
        <f aca="false">Sens!$I$4209+Sens!$I$4210+Sens!$I$4276-Sens!$I$4277</f>
        <v>0</v>
      </c>
      <c r="J4280" s="41" t="n">
        <f aca="false">Sens!$J$4209+Sens!$J$4210+Sens!$J$4276-Sens!$J$4277</f>
        <v>0</v>
      </c>
      <c r="K4280" s="41" t="n">
        <f aca="false">Sens!$K$4209+Sens!$K$4210+Sens!$K$4276-Sens!$K$4277</f>
        <v>0</v>
      </c>
      <c r="L4280" s="41" t="n">
        <f aca="false">Sens!$L$4209+Sens!$L$4210+Sens!$L$4276-Sens!$L$4277</f>
        <v>0</v>
      </c>
      <c r="M4280" s="41" t="n">
        <f aca="false">Sens!$M$4209+Sens!$M$4210+Sens!$M$4276-Sens!$M$4277</f>
        <v>0</v>
      </c>
      <c r="N4280" s="41" t="n">
        <f aca="false">Sens!$N$4209+Sens!$N$4210+Sens!$N$4276-Sens!$N$4277</f>
        <v>0</v>
      </c>
      <c r="O4280" s="41" t="n">
        <f aca="false">Sens!$O$4209+Sens!$O$4210+Sens!$O$4276-Sens!$O$4277</f>
        <v>0</v>
      </c>
    </row>
    <row r="4281" customFormat="false" ht="15" hidden="false" customHeight="false" outlineLevel="0" collapsed="false">
      <c r="A4281" s="5" t="s">
        <v>699</v>
      </c>
      <c r="B4281" s="0" t="s">
        <v>52</v>
      </c>
      <c r="G4281" s="13" t="n">
        <f aca="false">Sens!$G$4277/Sens!$D$4277-1</f>
        <v>0.140854504918937</v>
      </c>
      <c r="H4281" s="13" t="n">
        <f aca="false">Sens!$H$4277/Sens!$G$4277-1</f>
        <v>0.152826798236684</v>
      </c>
      <c r="I4281" s="13" t="n">
        <f aca="false">Sens!$I$4277/Sens!$H$4277-1</f>
        <v>0.135894065702285</v>
      </c>
      <c r="J4281" s="13" t="n">
        <f aca="false">Sens!$J$4277/Sens!$I$4277-1</f>
        <v>0.11584872037625</v>
      </c>
      <c r="K4281" s="13" t="n">
        <f aca="false">Sens!$K$4277/Sens!$J$4277-1</f>
        <v>0.0927058071345566</v>
      </c>
      <c r="L4281" s="13" t="n">
        <f aca="false">Sens!$L$4277/Sens!$K$4277-1</f>
        <v>0.0802144582701929</v>
      </c>
      <c r="M4281" s="13" t="n">
        <f aca="false">Sens!$M$4277/Sens!$L$4277-1</f>
        <v>0.0703506499635493</v>
      </c>
    </row>
    <row r="4282" customFormat="false" ht="17.15" hidden="false" customHeight="false" outlineLevel="0" collapsed="false">
      <c r="A4282" s="0" t="s">
        <v>700</v>
      </c>
      <c r="B4282" s="0" t="s">
        <v>52</v>
      </c>
      <c r="C4282" s="13" t="n">
        <f aca="false">Sens!$C$4276/Sens!$C$4277</f>
        <v>0.168593906504964</v>
      </c>
      <c r="D4282" s="13" t="n">
        <f aca="false">Sens!$D$4276/Sens!$D$4277</f>
        <v>0.179551807444025</v>
      </c>
      <c r="E4282" s="13" t="n">
        <f aca="false">Sens!$E$4276/Sens!$E$4277</f>
        <v>0.208881910369643</v>
      </c>
      <c r="F4282" s="13" t="n">
        <f aca="false">Sens!$F$4276/Sens!$F$4277</f>
        <v>0.199028269699356</v>
      </c>
      <c r="G4282" s="13" t="n">
        <f aca="false">Sens!$G$4276/Sens!$G$4277</f>
        <v>0.203631882529968</v>
      </c>
      <c r="H4282" s="13" t="n">
        <f aca="false">Sens!$H$4276/Sens!$H$4277</f>
        <v>0.234576356730638</v>
      </c>
      <c r="I4282" s="13" t="n">
        <f aca="false">Sens!$I$4276/Sens!$I$4277</f>
        <v>0.261683715803034</v>
      </c>
      <c r="J4282" s="13" t="n">
        <f aca="false">Sens!$J$4276/Sens!$J$4277</f>
        <v>0.283487568283473</v>
      </c>
      <c r="K4282" s="13" t="n">
        <f aca="false">Sens!$K$4276/Sens!$K$4277</f>
        <v>0.298554390720333</v>
      </c>
      <c r="L4282" s="13" t="n">
        <f aca="false">Sens!$L$4276/Sens!$L$4277</f>
        <v>0.304878017378198</v>
      </c>
      <c r="M4282" s="13" t="n">
        <f aca="false">Sens!$M$4276/Sens!$M$4277</f>
        <v>0.304294597306766</v>
      </c>
      <c r="N4282" s="13" t="n">
        <f aca="false">Sens!$N$4276/Sens!$N$4277</f>
        <v>0.185979484737251</v>
      </c>
      <c r="O4282" s="13" t="n">
        <f aca="false">Sens!$O$4276/Sens!$O$4277</f>
        <v>0.174270432341096</v>
      </c>
    </row>
    <row r="4283" customFormat="false" ht="17.15" hidden="false" customHeight="false" outlineLevel="0" collapsed="false">
      <c r="A4283" s="0" t="s">
        <v>701</v>
      </c>
      <c r="B4283" s="0" t="s">
        <v>52</v>
      </c>
      <c r="C4283" s="13" t="n">
        <f aca="false">Sens!$C$4274/Sens!$C$4276</f>
        <v>0.0215795060896058</v>
      </c>
      <c r="D4283" s="13" t="n">
        <f aca="false">Sens!$D$4274/Sens!$D$4276</f>
        <v>0.0676152269462122</v>
      </c>
      <c r="E4283" s="13" t="n">
        <f aca="false">Sens!$E$4274/Sens!$E$4276</f>
        <v>0.106620641395783</v>
      </c>
      <c r="F4283" s="13" t="n">
        <f aca="false">Sens!$F$4274/Sens!$F$4276</f>
        <v>0.172523487401099</v>
      </c>
      <c r="G4283" s="13" t="n">
        <f aca="false">Sens!$G$4274/Sens!$G$4276</f>
        <v>0.140939911795589</v>
      </c>
      <c r="H4283" s="13" t="n">
        <f aca="false">Sens!$H$4274/Sens!$H$4276</f>
        <v>0.272018642937714</v>
      </c>
      <c r="I4283" s="13" t="n">
        <f aca="false">Sens!$I$4274/Sens!$I$4276</f>
        <v>0.362159512436497</v>
      </c>
      <c r="J4283" s="13" t="n">
        <f aca="false">Sens!$J$4274/Sens!$J$4276</f>
        <v>0.422151735934609</v>
      </c>
      <c r="K4283" s="13" t="n">
        <f aca="false">Sens!$K$4274/Sens!$K$4276</f>
        <v>0.45769342068485</v>
      </c>
      <c r="L4283" s="13" t="n">
        <f aca="false">Sens!$L$4274/Sens!$L$4276</f>
        <v>0.469047103913472</v>
      </c>
      <c r="M4283" s="13" t="n">
        <f aca="false">Sens!$M$4274/Sens!$M$4276</f>
        <v>0.463233328258093</v>
      </c>
      <c r="N4283" s="13" t="n">
        <f aca="false">Sens!$N$4274/Sens!$N$4276</f>
        <v>0.0506537999838362</v>
      </c>
      <c r="O4283" s="13" t="n">
        <f aca="false">Sens!$O$4274/Sens!$O$4276</f>
        <v>0.0824881615167056</v>
      </c>
    </row>
    <row r="4286" customFormat="false" ht="19.4" hidden="false" customHeight="false" outlineLevel="0" collapsed="false">
      <c r="A4286" s="31" t="s">
        <v>1222</v>
      </c>
    </row>
    <row r="4287" customFormat="false" ht="17.15" hidden="false" customHeight="false" outlineLevel="0" collapsed="false">
      <c r="A4287" s="6" t="s">
        <v>16</v>
      </c>
      <c r="B4287" s="6" t="s">
        <v>17</v>
      </c>
      <c r="C4287" s="20" t="s">
        <v>497</v>
      </c>
      <c r="D4287" s="20" t="s">
        <v>498</v>
      </c>
      <c r="E4287" s="20" t="s">
        <v>580</v>
      </c>
      <c r="F4287" s="20" t="s">
        <v>581</v>
      </c>
      <c r="G4287" s="20" t="s">
        <v>582</v>
      </c>
      <c r="H4287" s="20" t="s">
        <v>583</v>
      </c>
      <c r="I4287" s="20" t="s">
        <v>584</v>
      </c>
      <c r="J4287" s="20" t="s">
        <v>585</v>
      </c>
      <c r="K4287" s="20" t="s">
        <v>586</v>
      </c>
      <c r="L4287" s="20" t="s">
        <v>587</v>
      </c>
      <c r="M4287" s="20" t="s">
        <v>588</v>
      </c>
      <c r="N4287" s="20" t="s">
        <v>589</v>
      </c>
      <c r="O4287" s="20" t="s">
        <v>590</v>
      </c>
      <c r="P4287" s="6" t="s">
        <v>23</v>
      </c>
      <c r="R4287" s="20" t="n">
        <v>2023</v>
      </c>
      <c r="S4287" s="20" t="n">
        <v>2024</v>
      </c>
      <c r="T4287" s="20" t="n">
        <v>2025</v>
      </c>
      <c r="U4287" s="20" t="n">
        <v>2026</v>
      </c>
      <c r="V4287" s="20" t="n">
        <v>2027</v>
      </c>
      <c r="W4287" s="20" t="n">
        <v>2028</v>
      </c>
      <c r="X4287" s="20" t="n">
        <v>2029</v>
      </c>
      <c r="Y4287" s="20" t="n">
        <v>2030</v>
      </c>
      <c r="Z4287" s="20" t="n">
        <v>2031</v>
      </c>
      <c r="AA4287" s="20" t="n">
        <v>2032</v>
      </c>
    </row>
    <row r="4288" customFormat="false" ht="17.15" hidden="false" customHeight="false" outlineLevel="0" collapsed="false">
      <c r="A4288" s="1" t="s">
        <v>716</v>
      </c>
    </row>
    <row r="4289" customFormat="false" ht="15" hidden="false" customHeight="false" outlineLevel="0" collapsed="false">
      <c r="A4289" s="0" t="s">
        <v>519</v>
      </c>
      <c r="B4289" s="0" t="s">
        <v>86</v>
      </c>
      <c r="C4289" s="38" t="n">
        <f aca="false">Sens!$C$4194</f>
        <v>247.029</v>
      </c>
      <c r="D4289" s="38" t="n">
        <f aca="false">Sens!$D$4194</f>
        <v>269.287</v>
      </c>
      <c r="E4289" s="38" t="n">
        <f aca="false">Sens!$E$4194</f>
        <v>134.686</v>
      </c>
      <c r="F4289" s="38" t="n">
        <f aca="false">Sens!$F$4194</f>
        <v>158.293876822267</v>
      </c>
      <c r="G4289" s="38" t="n">
        <f aca="false">Sens!$G$4194</f>
        <v>292.979876822267</v>
      </c>
      <c r="H4289" s="38" t="n">
        <f aca="false">Sens!$H$4194</f>
        <v>318.184543087396</v>
      </c>
      <c r="I4289" s="38" t="n">
        <f aca="false">Sens!$I$4194</f>
        <v>341.736278761793</v>
      </c>
      <c r="J4289" s="38" t="n">
        <f aca="false">Sens!$J$4194</f>
        <v>362.927192787048</v>
      </c>
      <c r="K4289" s="38" t="n">
        <f aca="false">Sens!$K$4194</f>
        <v>381.0735524264</v>
      </c>
      <c r="L4289" s="38" t="n">
        <f aca="false">Sens!$L$4194</f>
        <v>400.12723004772</v>
      </c>
      <c r="M4289" s="38" t="n">
        <f aca="false">Sens!$M$4194</f>
        <v>420.133591550106</v>
      </c>
      <c r="N4289" s="38" t="n">
        <f aca="false">Sens!$N$4194</f>
        <v>118.892</v>
      </c>
      <c r="O4289" s="38" t="n">
        <f aca="false">Sens!$O$4194</f>
        <v>150.395</v>
      </c>
    </row>
    <row r="4290" customFormat="false" ht="15" hidden="false" customHeight="false" outlineLevel="0" collapsed="false">
      <c r="A4290" s="0" t="s">
        <v>520</v>
      </c>
      <c r="B4290" s="0" t="s">
        <v>86</v>
      </c>
      <c r="C4290" s="38" t="n">
        <f aca="false">Sens!$C$4196</f>
        <v>21.215</v>
      </c>
      <c r="D4290" s="38" t="n">
        <f aca="false">Sens!$D$4196</f>
        <v>22.561</v>
      </c>
      <c r="E4290" s="38" t="n">
        <f aca="false">Sens!$E$4196</f>
        <v>11.579</v>
      </c>
      <c r="F4290" s="38" t="n">
        <f aca="false">Sens!$F$4196</f>
        <v>11.5938724610325</v>
      </c>
      <c r="G4290" s="38" t="n">
        <f aca="false">Sens!$G$4196</f>
        <v>23.1728724610325</v>
      </c>
      <c r="H4290" s="38" t="n">
        <f aca="false">Sens!$H$4196</f>
        <v>24.353392759506</v>
      </c>
      <c r="I4290" s="38" t="n">
        <f aca="false">Sens!$I$4196</f>
        <v>25.4240338872015</v>
      </c>
      <c r="J4290" s="38" t="n">
        <f aca="false">Sens!$J$4196</f>
        <v>26.3642491017174</v>
      </c>
      <c r="K4290" s="38" t="n">
        <f aca="false">Sens!$K$4196</f>
        <v>27.155176574769</v>
      </c>
      <c r="L4290" s="38" t="n">
        <f aca="false">Sens!$L$4196</f>
        <v>27.969831872012</v>
      </c>
      <c r="M4290" s="38" t="n">
        <f aca="false">Sens!$M$4196</f>
        <v>28.8089268281724</v>
      </c>
      <c r="N4290" s="38" t="n">
        <f aca="false">Sens!$N$4196</f>
        <v>11.128</v>
      </c>
      <c r="O4290" s="38" t="n">
        <f aca="false">Sens!$O$4196</f>
        <v>11.433</v>
      </c>
    </row>
    <row r="4291" customFormat="false" ht="15" hidden="false" customHeight="false" outlineLevel="0" collapsed="false">
      <c r="A4291" s="0" t="s">
        <v>521</v>
      </c>
      <c r="B4291" s="0" t="s">
        <v>86</v>
      </c>
      <c r="C4291" s="38" t="n">
        <f aca="false">Sens!$C$4198</f>
        <v>156.146</v>
      </c>
      <c r="D4291" s="38" t="n">
        <f aca="false">Sens!$D$4198</f>
        <v>172.162</v>
      </c>
      <c r="E4291" s="38" t="n">
        <f aca="false">Sens!$E$4198</f>
        <v>88.358</v>
      </c>
      <c r="F4291" s="38" t="n">
        <f aca="false">Sens!$F$4198</f>
        <v>102.004388260171</v>
      </c>
      <c r="G4291" s="38" t="n">
        <f aca="false">Sens!$G$4198</f>
        <v>190.362388260171</v>
      </c>
      <c r="H4291" s="38" t="n">
        <f aca="false">Sens!$H$4198</f>
        <v>210.343106588311</v>
      </c>
      <c r="I4291" s="38" t="n">
        <f aca="false">Sens!$I$4198</f>
        <v>229.969728494648</v>
      </c>
      <c r="J4291" s="38" t="n">
        <f aca="false">Sens!$J$4198</f>
        <v>248.747636972598</v>
      </c>
      <c r="K4291" s="38" t="n">
        <f aca="false">Sens!$K$4198</f>
        <v>266.15997156068</v>
      </c>
      <c r="L4291" s="38" t="n">
        <f aca="false">Sens!$L$4198</f>
        <v>284.791169569927</v>
      </c>
      <c r="M4291" s="38" t="n">
        <f aca="false">Sens!$M$4198</f>
        <v>304.726551439822</v>
      </c>
      <c r="N4291" s="38" t="n">
        <f aca="false">Sens!$N$4198</f>
        <v>76.86</v>
      </c>
      <c r="O4291" s="38" t="n">
        <f aca="false">Sens!$O$4198</f>
        <v>95.302</v>
      </c>
    </row>
    <row r="4292" customFormat="false" ht="15" hidden="false" customHeight="false" outlineLevel="0" collapsed="false">
      <c r="A4292" s="0" t="s">
        <v>522</v>
      </c>
      <c r="B4292" s="0" t="s">
        <v>86</v>
      </c>
      <c r="C4292" s="38" t="n">
        <f aca="false">Sens!$C$4200</f>
        <v>56.214</v>
      </c>
      <c r="D4292" s="38" t="n">
        <f aca="false">Sens!$D$4200</f>
        <v>68.635</v>
      </c>
      <c r="E4292" s="38" t="n">
        <f aca="false">Sens!$E$4200</f>
        <v>37.052</v>
      </c>
      <c r="F4292" s="38" t="n">
        <f aca="false">Sens!$F$4200</f>
        <v>46.1572219944148</v>
      </c>
      <c r="G4292" s="38" t="n">
        <f aca="false">Sens!$G$4200</f>
        <v>83.2092219944148</v>
      </c>
      <c r="H4292" s="38" t="n">
        <f aca="false">Sens!$H$4200</f>
        <v>100.520991552856</v>
      </c>
      <c r="I4292" s="38" t="n">
        <f aca="false">Sens!$I$4200</f>
        <v>118.819235941213</v>
      </c>
      <c r="J4292" s="38" t="n">
        <f aca="false">Sens!$J$4200</f>
        <v>137.357060346466</v>
      </c>
      <c r="K4292" s="38" t="n">
        <f aca="false">Sens!$K$4200</f>
        <v>155.213478191507</v>
      </c>
      <c r="L4292" s="38" t="n">
        <f aca="false">Sens!$L$4200</f>
        <v>175.391230356402</v>
      </c>
      <c r="M4292" s="38" t="n">
        <f aca="false">Sens!$M$4200</f>
        <v>198.192090302735</v>
      </c>
      <c r="N4292" s="38" t="n">
        <f aca="false">Sens!$N$4200</f>
        <v>29.615</v>
      </c>
      <c r="O4292" s="38" t="n">
        <f aca="false">Sens!$O$4200</f>
        <v>39.02</v>
      </c>
    </row>
    <row r="4293" customFormat="false" ht="15" hidden="false" customHeight="false" outlineLevel="0" collapsed="false">
      <c r="A4293" s="0" t="s">
        <v>523</v>
      </c>
      <c r="B4293" s="0" t="s">
        <v>86</v>
      </c>
      <c r="C4293" s="38" t="n">
        <f aca="false">Sens!$C$4202</f>
        <v>44.374</v>
      </c>
      <c r="D4293" s="38" t="n">
        <f aca="false">Sens!$D$4202</f>
        <v>49.619</v>
      </c>
      <c r="E4293" s="38" t="n">
        <f aca="false">Sens!$E$4202</f>
        <v>27.157</v>
      </c>
      <c r="F4293" s="38" t="n">
        <f aca="false">Sens!$F$4202</f>
        <v>27.7764165988154</v>
      </c>
      <c r="G4293" s="38" t="n">
        <f aca="false">Sens!$G$4202</f>
        <v>54.9334165988154</v>
      </c>
      <c r="H4293" s="38" t="n">
        <f aca="false">Sens!$H$4202</f>
        <v>61.1564112561829</v>
      </c>
      <c r="I4293" s="38" t="n">
        <f aca="false">Sens!$I$4202</f>
        <v>67.2020282103945</v>
      </c>
      <c r="J4293" s="38" t="n">
        <f aca="false">Sens!$J$4202</f>
        <v>72.8757274028885</v>
      </c>
      <c r="K4293" s="38" t="n">
        <f aca="false">Sens!$K$4202</f>
        <v>77.9770283210907</v>
      </c>
      <c r="L4293" s="38" t="n">
        <f aca="false">Sens!$L$4202</f>
        <v>83.4354203035671</v>
      </c>
      <c r="M4293" s="38" t="n">
        <f aca="false">Sens!$M$4202</f>
        <v>89.2758997248168</v>
      </c>
      <c r="N4293" s="38" t="n">
        <f aca="false">Sens!$N$4202</f>
        <v>23.923</v>
      </c>
      <c r="O4293" s="38" t="n">
        <f aca="false">Sens!$O$4202</f>
        <v>25.696</v>
      </c>
    </row>
    <row r="4294" customFormat="false" ht="15" hidden="false" customHeight="false" outlineLevel="0" collapsed="false">
      <c r="A4294" s="0" t="s">
        <v>524</v>
      </c>
      <c r="B4294" s="0" t="s">
        <v>86</v>
      </c>
      <c r="C4294" s="38" t="n">
        <f aca="false">Sens!$C$4204</f>
        <v>5.425</v>
      </c>
      <c r="D4294" s="38" t="n">
        <f aca="false">Sens!$D$4204</f>
        <v>5.935</v>
      </c>
      <c r="E4294" s="38" t="n">
        <f aca="false">Sens!$E$4204</f>
        <v>3.474</v>
      </c>
      <c r="F4294" s="38" t="n">
        <f aca="false">Sens!$F$4204</f>
        <v>3.22246550883619</v>
      </c>
      <c r="G4294" s="38" t="n">
        <f aca="false">Sens!$G$4204</f>
        <v>6.69646550883619</v>
      </c>
      <c r="H4294" s="38" t="n">
        <f aca="false">Sens!$H$4204</f>
        <v>7.16251344209196</v>
      </c>
      <c r="I4294" s="38" t="n">
        <f aca="false">Sens!$I$4204</f>
        <v>7.61421070299826</v>
      </c>
      <c r="J4294" s="38" t="n">
        <f aca="false">Sens!$J$4204</f>
        <v>8.04465753523932</v>
      </c>
      <c r="K4294" s="38" t="n">
        <f aca="false">Sens!$K$4204</f>
        <v>8.44689041200128</v>
      </c>
      <c r="L4294" s="38" t="n">
        <f aca="false">Sens!$L$4204</f>
        <v>8.86923493260135</v>
      </c>
      <c r="M4294" s="38" t="n">
        <f aca="false">Sens!$M$4204</f>
        <v>9.31269667923142</v>
      </c>
      <c r="N4294" s="38" t="n">
        <f aca="false">Sens!$N$4204</f>
        <v>2.811</v>
      </c>
      <c r="O4294" s="38" t="n">
        <f aca="false">Sens!$O$4204</f>
        <v>3.124</v>
      </c>
    </row>
    <row r="4295" customFormat="false" ht="17.15" hidden="false" customHeight="false" outlineLevel="0" collapsed="false">
      <c r="A4295" s="0" t="s">
        <v>717</v>
      </c>
      <c r="B4295" s="0" t="s">
        <v>86</v>
      </c>
      <c r="C4295" s="38" t="n">
        <f aca="false">Sens!$C$4276</f>
        <v>107.556</v>
      </c>
      <c r="D4295" s="38" t="n">
        <f aca="false">Sens!$D$4276</f>
        <v>128.725</v>
      </c>
      <c r="E4295" s="38" t="n">
        <f aca="false">Sens!$E$4276</f>
        <v>79.819</v>
      </c>
      <c r="F4295" s="38" t="n">
        <f aca="false">Sens!$F$4276</f>
        <v>86.7327334389669</v>
      </c>
      <c r="G4295" s="38" t="n">
        <f aca="false">Sens!$G$4276</f>
        <v>166.551733438967</v>
      </c>
      <c r="H4295" s="38" t="n">
        <f aca="false">Sens!$H$4276</f>
        <v>221.182967828978</v>
      </c>
      <c r="I4295" s="38" t="n">
        <f aca="false">Sens!$I$4276</f>
        <v>280.27345865789</v>
      </c>
      <c r="J4295" s="38" t="n">
        <f aca="false">Sens!$J$4276</f>
        <v>338.800945197185</v>
      </c>
      <c r="K4295" s="38" t="n">
        <f aca="false">Sens!$K$4276</f>
        <v>389.88570147276</v>
      </c>
      <c r="L4295" s="38" t="n">
        <f aca="false">Sens!$L$4276</f>
        <v>430.080689379143</v>
      </c>
      <c r="M4295" s="38" t="n">
        <f aca="false">Sens!$M$4276</f>
        <v>459.456235951751</v>
      </c>
      <c r="N4295" s="38" t="n">
        <f aca="false">Sens!$N$4276</f>
        <v>60.14</v>
      </c>
      <c r="O4295" s="38" t="n">
        <f aca="false">Sens!$O$4276</f>
        <v>68.585</v>
      </c>
    </row>
    <row r="4296" customFormat="false" ht="15" hidden="false" customHeight="false" outlineLevel="0" collapsed="false">
      <c r="A4296" s="1" t="s">
        <v>512</v>
      </c>
      <c r="B4296" s="8" t="s">
        <v>86</v>
      </c>
      <c r="C4296" s="38" t="n">
        <f aca="false">Sens!$C$4209</f>
        <v>387.497</v>
      </c>
      <c r="D4296" s="38" t="n">
        <f aca="false">Sens!$D$4209</f>
        <v>426.305</v>
      </c>
      <c r="E4296" s="38" t="n">
        <f aca="false">Sens!$E$4209</f>
        <v>220.32</v>
      </c>
      <c r="F4296" s="38" t="n">
        <f aca="false">Sens!$F$4209</f>
        <v>250.639773480586</v>
      </c>
      <c r="G4296" s="38" t="n">
        <f aca="false">Sens!$G$4209</f>
        <v>470.959773480586</v>
      </c>
      <c r="H4296" s="38" t="n">
        <f aca="false">Sens!$H$4209</f>
        <v>521.838221795268</v>
      </c>
      <c r="I4296" s="38" t="n">
        <f aca="false">Sens!$I$4209</f>
        <v>571.760686396914</v>
      </c>
      <c r="J4296" s="38" t="n">
        <f aca="false">Sens!$J$4209</f>
        <v>619.157150524754</v>
      </c>
      <c r="K4296" s="38" t="n">
        <f aca="false">Sens!$K$4209</f>
        <v>662.329982352819</v>
      </c>
      <c r="L4296" s="38" t="n">
        <f aca="false">Sens!$L$4209</f>
        <v>709.008469021416</v>
      </c>
      <c r="M4296" s="38" t="n">
        <f aca="false">Sens!$M$4209</f>
        <v>759.524614648812</v>
      </c>
      <c r="N4296" s="38" t="n">
        <f aca="false">Sens!$N$4209</f>
        <v>192.955</v>
      </c>
      <c r="O4296" s="38" t="n">
        <f aca="false">Sens!$O$4209</f>
        <v>233.35</v>
      </c>
    </row>
    <row r="4297" customFormat="false" ht="15" hidden="false" customHeight="false" outlineLevel="0" collapsed="false">
      <c r="A4297" s="1" t="s">
        <v>515</v>
      </c>
      <c r="B4297" s="8" t="s">
        <v>86</v>
      </c>
      <c r="C4297" s="38" t="n">
        <f aca="false">Sens!$C$4210</f>
        <v>142.906</v>
      </c>
      <c r="D4297" s="38" t="n">
        <f aca="false">Sens!$D$4210</f>
        <v>161.894</v>
      </c>
      <c r="E4297" s="38" t="n">
        <f aca="false">Sens!$E$4210</f>
        <v>81.986</v>
      </c>
      <c r="F4297" s="38" t="n">
        <f aca="false">Sens!$F$4210</f>
        <v>98.408468164951</v>
      </c>
      <c r="G4297" s="38" t="n">
        <f aca="false">Sens!$G$4210</f>
        <v>180.394468164951</v>
      </c>
      <c r="H4297" s="38" t="n">
        <f aca="false">Sens!$H$4210</f>
        <v>199.882736891077</v>
      </c>
      <c r="I4297" s="38" t="n">
        <f aca="false">Sens!$I$4210</f>
        <v>219.004829601334</v>
      </c>
      <c r="J4297" s="38" t="n">
        <f aca="false">Sens!$J$4210</f>
        <v>237.159373621203</v>
      </c>
      <c r="K4297" s="38" t="n">
        <f aca="false">Sens!$K$4210</f>
        <v>253.696115133628</v>
      </c>
      <c r="L4297" s="38" t="n">
        <f aca="false">Sens!$L$4210</f>
        <v>271.575648060814</v>
      </c>
      <c r="M4297" s="38" t="n">
        <f aca="false">Sens!$M$4210</f>
        <v>290.925141876071</v>
      </c>
      <c r="N4297" s="38" t="n">
        <f aca="false">Sens!$N$4210</f>
        <v>70.274</v>
      </c>
      <c r="O4297" s="38" t="n">
        <f aca="false">Sens!$O$4210</f>
        <v>91.62</v>
      </c>
    </row>
    <row r="4298" customFormat="false" ht="15" hidden="false" customHeight="false" outlineLevel="0" collapsed="false">
      <c r="A4298" s="1" t="s">
        <v>516</v>
      </c>
      <c r="B4298" s="8" t="s">
        <v>86</v>
      </c>
      <c r="C4298" s="38" t="n">
        <f aca="false">Sens!$C$4276</f>
        <v>107.556</v>
      </c>
      <c r="D4298" s="38" t="n">
        <f aca="false">Sens!$D$4276</f>
        <v>128.725</v>
      </c>
      <c r="E4298" s="38" t="n">
        <f aca="false">Sens!$E$4276</f>
        <v>79.819</v>
      </c>
      <c r="F4298" s="38" t="n">
        <f aca="false">Sens!$F$4276</f>
        <v>86.7327334389669</v>
      </c>
      <c r="G4298" s="38" t="n">
        <f aca="false">Sens!$G$4276</f>
        <v>166.551733438967</v>
      </c>
      <c r="H4298" s="38" t="n">
        <f aca="false">Sens!$H$4276</f>
        <v>221.182967828978</v>
      </c>
      <c r="I4298" s="38" t="n">
        <f aca="false">Sens!$I$4276</f>
        <v>280.27345865789</v>
      </c>
      <c r="J4298" s="38" t="n">
        <f aca="false">Sens!$J$4276</f>
        <v>338.800945197185</v>
      </c>
      <c r="K4298" s="38" t="n">
        <f aca="false">Sens!$K$4276</f>
        <v>389.88570147276</v>
      </c>
      <c r="L4298" s="38" t="n">
        <f aca="false">Sens!$L$4276</f>
        <v>430.080689379143</v>
      </c>
      <c r="M4298" s="38" t="n">
        <f aca="false">Sens!$M$4276</f>
        <v>459.456235951751</v>
      </c>
      <c r="N4298" s="38" t="n">
        <f aca="false">Sens!$N$4276</f>
        <v>60.14</v>
      </c>
      <c r="O4298" s="38" t="n">
        <f aca="false">Sens!$O$4276</f>
        <v>68.585</v>
      </c>
    </row>
    <row r="4299" customFormat="false" ht="17.15" hidden="false" customHeight="false" outlineLevel="0" collapsed="false">
      <c r="A4299" s="0" t="s">
        <v>691</v>
      </c>
      <c r="B4299" s="0" t="s">
        <v>86</v>
      </c>
      <c r="C4299" s="38" t="n">
        <f aca="false">Sens!$C$4274</f>
        <v>2.32100535697364</v>
      </c>
      <c r="D4299" s="38" t="n">
        <f aca="false">Sens!$D$4274</f>
        <v>8.70377008865116</v>
      </c>
      <c r="E4299" s="38" t="n">
        <f aca="false">Sens!$E$4274</f>
        <v>8.51035297557002</v>
      </c>
      <c r="F4299" s="38" t="n">
        <f aca="false">Sens!$F$4274</f>
        <v>14.9634336447205</v>
      </c>
      <c r="G4299" s="38" t="n">
        <f aca="false">Sens!$G$4274</f>
        <v>23.4737866202905</v>
      </c>
      <c r="H4299" s="38" t="n">
        <f aca="false">Sens!$H$4274</f>
        <v>60.1658907497746</v>
      </c>
      <c r="I4299" s="38" t="n">
        <f aca="false">Sens!$I$4274</f>
        <v>101.503699136432</v>
      </c>
      <c r="J4299" s="38" t="n">
        <f aca="false">Sens!$J$4274</f>
        <v>143.025407151278</v>
      </c>
      <c r="K4299" s="38" t="n">
        <f aca="false">Sens!$K$4274</f>
        <v>178.44812038318</v>
      </c>
      <c r="L4299" s="38" t="n">
        <f aca="false">Sens!$L$4274</f>
        <v>201.728101802396</v>
      </c>
      <c r="M4299" s="38" t="n">
        <f aca="false">Sens!$M$4274</f>
        <v>212.835441368865</v>
      </c>
      <c r="N4299" s="38" t="n">
        <f aca="false">Sens!$N$4274</f>
        <v>3.04631953102791</v>
      </c>
      <c r="O4299" s="38" t="n">
        <f aca="false">Sens!$O$4274</f>
        <v>5.65745055762326</v>
      </c>
    </row>
    <row r="4300" customFormat="false" ht="17.15" hidden="false" customHeight="false" outlineLevel="0" collapsed="false">
      <c r="A4300" s="0" t="s">
        <v>693</v>
      </c>
      <c r="B4300" s="0" t="s">
        <v>86</v>
      </c>
      <c r="C4300" s="38" t="n">
        <f aca="false">Sens!$C$4275</f>
        <v>105.234994643026</v>
      </c>
      <c r="D4300" s="38" t="n">
        <f aca="false">Sens!$D$4275</f>
        <v>120.021229911349</v>
      </c>
      <c r="E4300" s="38" t="n">
        <f aca="false">Sens!$E$4275</f>
        <v>71.30864702443</v>
      </c>
      <c r="F4300" s="38" t="n">
        <f aca="false">Sens!$F$4275</f>
        <v>71.7692997942464</v>
      </c>
      <c r="G4300" s="38" t="n">
        <f aca="false">Sens!$G$4275</f>
        <v>143.077946818676</v>
      </c>
      <c r="H4300" s="38" t="n">
        <f aca="false">Sens!$H$4275</f>
        <v>161.017077079203</v>
      </c>
      <c r="I4300" s="38" t="n">
        <f aca="false">Sens!$I$4275</f>
        <v>178.769759521457</v>
      </c>
      <c r="J4300" s="38" t="n">
        <f aca="false">Sens!$J$4275</f>
        <v>195.775538045907</v>
      </c>
      <c r="K4300" s="38" t="n">
        <f aca="false">Sens!$K$4275</f>
        <v>211.43758108958</v>
      </c>
      <c r="L4300" s="38" t="n">
        <f aca="false">Sens!$L$4275</f>
        <v>228.352587576746</v>
      </c>
      <c r="M4300" s="38" t="n">
        <f aca="false">Sens!$M$4275</f>
        <v>246.620794582886</v>
      </c>
      <c r="N4300" s="38" t="n">
        <f aca="false">Sens!$N$4275</f>
        <v>57.0936804689721</v>
      </c>
      <c r="O4300" s="38" t="n">
        <f aca="false">Sens!$O$4275</f>
        <v>62.9275494423768</v>
      </c>
    </row>
    <row r="4301" customFormat="false" ht="15" hidden="false" customHeight="false" outlineLevel="0" collapsed="false">
      <c r="A4301" s="3" t="s">
        <v>517</v>
      </c>
      <c r="B4301" s="8" t="s">
        <v>86</v>
      </c>
      <c r="C4301" s="38" t="n">
        <f aca="false">Sens!$C$4277</f>
        <v>637.959</v>
      </c>
      <c r="D4301" s="38" t="n">
        <f aca="false">Sens!$D$4277</f>
        <v>716.924</v>
      </c>
      <c r="E4301" s="38" t="n">
        <f aca="false">Sens!$E$4277</f>
        <v>382.125</v>
      </c>
      <c r="F4301" s="38" t="n">
        <f aca="false">Sens!$F$4277</f>
        <v>435.780975084504</v>
      </c>
      <c r="G4301" s="38" t="n">
        <f aca="false">Sens!$G$4277</f>
        <v>817.905975084504</v>
      </c>
      <c r="H4301" s="38" t="n">
        <f aca="false">Sens!$H$4277</f>
        <v>942.903926515322</v>
      </c>
      <c r="I4301" s="38" t="n">
        <f aca="false">Sens!$I$4277</f>
        <v>1071.03897465614</v>
      </c>
      <c r="J4301" s="38" t="n">
        <f aca="false">Sens!$J$4277</f>
        <v>1195.11746934314</v>
      </c>
      <c r="K4301" s="38" t="n">
        <f aca="false">Sens!$K$4277</f>
        <v>1305.91179895921</v>
      </c>
      <c r="L4301" s="38" t="n">
        <f aca="false">Sens!$L$4277</f>
        <v>1410.66480646137</v>
      </c>
      <c r="M4301" s="38" t="n">
        <f aca="false">Sens!$M$4277</f>
        <v>1509.90599247663</v>
      </c>
      <c r="N4301" s="38" t="n">
        <f aca="false">Sens!$N$4277</f>
        <v>323.369</v>
      </c>
      <c r="O4301" s="38" t="n">
        <f aca="false">Sens!$O$4277</f>
        <v>393.555</v>
      </c>
    </row>
    <row r="4302" customFormat="false" ht="17.15" hidden="false" customHeight="false" outlineLevel="0" collapsed="false">
      <c r="A4302" s="24" t="s">
        <v>703</v>
      </c>
      <c r="B4302" s="25" t="s">
        <v>86</v>
      </c>
      <c r="C4302" s="41" t="n">
        <f aca="false">Sens!$C$4289+Sens!$C$4290+Sens!$C$4291+Sens!$C$4292+Sens!$C$4293+Sens!$C$4294-(Sens!$C$4296+Sens!$C$4297)</f>
        <v>0</v>
      </c>
      <c r="D4302" s="41" t="n">
        <f aca="false">Sens!$D$4289+Sens!$D$4290+Sens!$D$4291+Sens!$D$4292+Sens!$D$4293+Sens!$D$4294-(Sens!$D$4296+Sens!$D$4297)</f>
        <v>0</v>
      </c>
      <c r="E4302" s="41" t="n">
        <f aca="false">Sens!$E$4289+Sens!$E$4290+Sens!$E$4291+Sens!$E$4292+Sens!$E$4293+Sens!$E$4294-(Sens!$E$4296+Sens!$E$4297)</f>
        <v>0</v>
      </c>
      <c r="F4302" s="41" t="n">
        <f aca="false">Sens!$F$4289+Sens!$F$4290+Sens!$F$4291+Sens!$F$4292+Sens!$F$4293+Sens!$F$4294-(Sens!$F$4296+Sens!$F$4297)</f>
        <v>0</v>
      </c>
      <c r="G4302" s="41" t="n">
        <f aca="false">Sens!$G$4289+Sens!$G$4290+Sens!$G$4291+Sens!$G$4292+Sens!$G$4293+Sens!$G$4294-(Sens!$G$4296+Sens!$G$4297)</f>
        <v>0</v>
      </c>
      <c r="H4302" s="41" t="n">
        <f aca="false">Sens!$H$4289+Sens!$H$4290+Sens!$H$4291+Sens!$H$4292+Sens!$H$4293+Sens!$H$4294-(Sens!$H$4296+Sens!$H$4297)</f>
        <v>0</v>
      </c>
      <c r="I4302" s="41" t="n">
        <f aca="false">Sens!$I$4289+Sens!$I$4290+Sens!$I$4291+Sens!$I$4292+Sens!$I$4293+Sens!$I$4294-(Sens!$I$4296+Sens!$I$4297)</f>
        <v>0</v>
      </c>
      <c r="J4302" s="41" t="n">
        <f aca="false">Sens!$J$4289+Sens!$J$4290+Sens!$J$4291+Sens!$J$4292+Sens!$J$4293+Sens!$J$4294-(Sens!$J$4296+Sens!$J$4297)</f>
        <v>0</v>
      </c>
      <c r="K4302" s="41" t="n">
        <f aca="false">Sens!$K$4289+Sens!$K$4290+Sens!$K$4291+Sens!$K$4292+Sens!$K$4293+Sens!$K$4294-(Sens!$K$4296+Sens!$K$4297)</f>
        <v>0</v>
      </c>
      <c r="L4302" s="41" t="n">
        <f aca="false">Sens!$L$4289+Sens!$L$4290+Sens!$L$4291+Sens!$L$4292+Sens!$L$4293+Sens!$L$4294-(Sens!$L$4296+Sens!$L$4297)</f>
        <v>0</v>
      </c>
      <c r="M4302" s="41" t="n">
        <f aca="false">Sens!$M$4289+Sens!$M$4290+Sens!$M$4291+Sens!$M$4292+Sens!$M$4293+Sens!$M$4294-(Sens!$M$4296+Sens!$M$4297)</f>
        <v>0</v>
      </c>
      <c r="N4302" s="41" t="n">
        <f aca="false">Sens!$N$4289+Sens!$N$4290+Sens!$N$4291+Sens!$N$4292+Sens!$N$4293+Sens!$N$4294-(Sens!$N$4296+Sens!$N$4297)</f>
        <v>0</v>
      </c>
      <c r="O4302" s="41" t="n">
        <f aca="false">Sens!$O$4289+Sens!$O$4290+Sens!$O$4291+Sens!$O$4292+Sens!$O$4293+Sens!$O$4294-(Sens!$O$4296+Sens!$O$4297)</f>
        <v>0</v>
      </c>
    </row>
    <row r="4303" customFormat="false" ht="17.15" hidden="false" customHeight="false" outlineLevel="0" collapsed="false">
      <c r="A4303" s="24" t="s">
        <v>704</v>
      </c>
      <c r="B4303" s="25" t="s">
        <v>86</v>
      </c>
      <c r="C4303" s="41" t="n">
        <f aca="false">Sens!$C$4299+Sens!$C$4300-Sens!$C$4298</f>
        <v>0</v>
      </c>
      <c r="D4303" s="41" t="n">
        <f aca="false">Sens!$D$4299+Sens!$D$4300-Sens!$D$4298</f>
        <v>0</v>
      </c>
      <c r="E4303" s="41" t="n">
        <f aca="false">Sens!$E$4299+Sens!$E$4300-Sens!$E$4298</f>
        <v>0</v>
      </c>
      <c r="F4303" s="41" t="n">
        <f aca="false">Sens!$F$4299+Sens!$F$4300-Sens!$F$4298</f>
        <v>0</v>
      </c>
      <c r="G4303" s="41" t="n">
        <f aca="false">Sens!$G$4299+Sens!$G$4300-Sens!$G$4298</f>
        <v>0</v>
      </c>
      <c r="H4303" s="41" t="n">
        <f aca="false">Sens!$H$4299+Sens!$H$4300-Sens!$H$4298</f>
        <v>0</v>
      </c>
      <c r="I4303" s="41" t="n">
        <f aca="false">Sens!$I$4299+Sens!$I$4300-Sens!$I$4298</f>
        <v>0</v>
      </c>
      <c r="J4303" s="41" t="n">
        <f aca="false">Sens!$J$4299+Sens!$J$4300-Sens!$J$4298</f>
        <v>0</v>
      </c>
      <c r="K4303" s="41" t="n">
        <f aca="false">Sens!$K$4299+Sens!$K$4300-Sens!$K$4298</f>
        <v>0</v>
      </c>
      <c r="L4303" s="41" t="n">
        <f aca="false">Sens!$L$4299+Sens!$L$4300-Sens!$L$4298</f>
        <v>0</v>
      </c>
      <c r="M4303" s="41" t="n">
        <f aca="false">Sens!$M$4299+Sens!$M$4300-Sens!$M$4298</f>
        <v>0</v>
      </c>
      <c r="N4303" s="41" t="n">
        <f aca="false">Sens!$N$4299+Sens!$N$4300-Sens!$N$4298</f>
        <v>0</v>
      </c>
      <c r="O4303" s="41" t="n">
        <f aca="false">Sens!$O$4299+Sens!$O$4300-Sens!$O$4298</f>
        <v>0</v>
      </c>
    </row>
    <row r="4304" customFormat="false" ht="17.15" hidden="false" customHeight="false" outlineLevel="0" collapsed="false">
      <c r="A4304" s="24" t="s">
        <v>763</v>
      </c>
      <c r="B4304" s="25" t="s">
        <v>86</v>
      </c>
      <c r="C4304" s="41" t="n">
        <f aca="false">Sens!$C$4289+Sens!$C$4290+Sens!$C$4291+Sens!$C$4292+Sens!$C$4293+Sens!$C$4294+Sens!$C$4295-Sens!$C$4301</f>
        <v>0</v>
      </c>
      <c r="D4304" s="41" t="n">
        <f aca="false">Sens!$D$4289+Sens!$D$4290+Sens!$D$4291+Sens!$D$4292+Sens!$D$4293+Sens!$D$4294+Sens!$D$4295-Sens!$D$4301</f>
        <v>0</v>
      </c>
      <c r="E4304" s="41" t="n">
        <f aca="false">Sens!$E$4289+Sens!$E$4290+Sens!$E$4291+Sens!$E$4292+Sens!$E$4293+Sens!$E$4294+Sens!$E$4295-Sens!$E$4301</f>
        <v>0</v>
      </c>
      <c r="F4304" s="41" t="n">
        <f aca="false">Sens!$F$4289+Sens!$F$4290+Sens!$F$4291+Sens!$F$4292+Sens!$F$4293+Sens!$F$4294+Sens!$F$4295-Sens!$F$4301</f>
        <v>0</v>
      </c>
      <c r="G4304" s="41" t="n">
        <f aca="false">Sens!$G$4289+Sens!$G$4290+Sens!$G$4291+Sens!$G$4292+Sens!$G$4293+Sens!$G$4294+Sens!$G$4295-Sens!$G$4301</f>
        <v>0</v>
      </c>
      <c r="H4304" s="41" t="n">
        <f aca="false">Sens!$H$4289+Sens!$H$4290+Sens!$H$4291+Sens!$H$4292+Sens!$H$4293+Sens!$H$4294+Sens!$H$4295-Sens!$H$4301</f>
        <v>0</v>
      </c>
      <c r="I4304" s="41" t="n">
        <f aca="false">Sens!$I$4289+Sens!$I$4290+Sens!$I$4291+Sens!$I$4292+Sens!$I$4293+Sens!$I$4294+Sens!$I$4295-Sens!$I$4301</f>
        <v>0</v>
      </c>
      <c r="J4304" s="41" t="n">
        <f aca="false">Sens!$J$4289+Sens!$J$4290+Sens!$J$4291+Sens!$J$4292+Sens!$J$4293+Sens!$J$4294+Sens!$J$4295-Sens!$J$4301</f>
        <v>0</v>
      </c>
      <c r="K4304" s="41" t="n">
        <f aca="false">Sens!$K$4289+Sens!$K$4290+Sens!$K$4291+Sens!$K$4292+Sens!$K$4293+Sens!$K$4294+Sens!$K$4295-Sens!$K$4301</f>
        <v>0</v>
      </c>
      <c r="L4304" s="41" t="n">
        <f aca="false">Sens!$L$4289+Sens!$L$4290+Sens!$L$4291+Sens!$L$4292+Sens!$L$4293+Sens!$L$4294+Sens!$L$4295-Sens!$L$4301</f>
        <v>0</v>
      </c>
      <c r="M4304" s="41" t="n">
        <f aca="false">Sens!$M$4289+Sens!$M$4290+Sens!$M$4291+Sens!$M$4292+Sens!$M$4293+Sens!$M$4294+Sens!$M$4295-Sens!$M$4301</f>
        <v>0</v>
      </c>
      <c r="N4304" s="41" t="n">
        <f aca="false">Sens!$N$4289+Sens!$N$4290+Sens!$N$4291+Sens!$N$4292+Sens!$N$4293+Sens!$N$4294+Sens!$N$4295-Sens!$N$4301</f>
        <v>0</v>
      </c>
      <c r="O4304" s="41" t="n">
        <f aca="false">Sens!$O$4289+Sens!$O$4290+Sens!$O$4291+Sens!$O$4292+Sens!$O$4293+Sens!$O$4294+Sens!$O$4295-Sens!$O$4301</f>
        <v>0</v>
      </c>
    </row>
    <row r="4305" customFormat="false" ht="17.15" hidden="false" customHeight="false" outlineLevel="0" collapsed="false">
      <c r="A4305" s="24" t="s">
        <v>705</v>
      </c>
      <c r="B4305" s="25" t="s">
        <v>86</v>
      </c>
      <c r="C4305" s="41" t="n">
        <f aca="false">Sens!$C$4296+Sens!$C$4297+Sens!$C$4298-Sens!$C$4301</f>
        <v>0</v>
      </c>
      <c r="D4305" s="41" t="n">
        <f aca="false">Sens!$D$4296+Sens!$D$4297+Sens!$D$4298-Sens!$D$4301</f>
        <v>0</v>
      </c>
      <c r="E4305" s="41" t="n">
        <f aca="false">Sens!$E$4296+Sens!$E$4297+Sens!$E$4298-Sens!$E$4301</f>
        <v>0</v>
      </c>
      <c r="F4305" s="41" t="n">
        <f aca="false">Sens!$F$4296+Sens!$F$4297+Sens!$F$4298-Sens!$F$4301</f>
        <v>0</v>
      </c>
      <c r="G4305" s="41" t="n">
        <f aca="false">Sens!$G$4296+Sens!$G$4297+Sens!$G$4298-Sens!$G$4301</f>
        <v>0</v>
      </c>
      <c r="H4305" s="41" t="n">
        <f aca="false">Sens!$H$4296+Sens!$H$4297+Sens!$H$4298-Sens!$H$4301</f>
        <v>0</v>
      </c>
      <c r="I4305" s="41" t="n">
        <f aca="false">Sens!$I$4296+Sens!$I$4297+Sens!$I$4298-Sens!$I$4301</f>
        <v>0</v>
      </c>
      <c r="J4305" s="41" t="n">
        <f aca="false">Sens!$J$4296+Sens!$J$4297+Sens!$J$4298-Sens!$J$4301</f>
        <v>0</v>
      </c>
      <c r="K4305" s="41" t="n">
        <f aca="false">Sens!$K$4296+Sens!$K$4297+Sens!$K$4298-Sens!$K$4301</f>
        <v>0</v>
      </c>
      <c r="L4305" s="41" t="n">
        <f aca="false">Sens!$L$4296+Sens!$L$4297+Sens!$L$4298-Sens!$L$4301</f>
        <v>0</v>
      </c>
      <c r="M4305" s="41" t="n">
        <f aca="false">Sens!$M$4296+Sens!$M$4297+Sens!$M$4298-Sens!$M$4301</f>
        <v>0</v>
      </c>
      <c r="N4305" s="41" t="n">
        <f aca="false">Sens!$N$4296+Sens!$N$4297+Sens!$N$4298-Sens!$N$4301</f>
        <v>0</v>
      </c>
      <c r="O4305" s="41" t="n">
        <f aca="false">Sens!$O$4296+Sens!$O$4297+Sens!$O$4298-Sens!$O$4301</f>
        <v>0</v>
      </c>
    </row>
    <row r="4306" customFormat="false" ht="17.15" hidden="false" customHeight="false" outlineLevel="0" collapsed="false">
      <c r="A4306" s="1" t="s">
        <v>719</v>
      </c>
    </row>
    <row r="4307" customFormat="false" ht="17.15" hidden="false" customHeight="false" outlineLevel="0" collapsed="false">
      <c r="A4307" s="0" t="s">
        <v>720</v>
      </c>
      <c r="B4307" s="0" t="s">
        <v>86</v>
      </c>
      <c r="C4307" s="38" t="n">
        <f aca="false">Sens!$C$4211*m_ad</f>
        <v>20.5341564414228</v>
      </c>
      <c r="D4307" s="38" t="n">
        <f aca="false">Sens!$D$4211*m_ad</f>
        <v>24.8720617299587</v>
      </c>
      <c r="E4307" s="38" t="n">
        <f aca="false">Sens!$E$4211*m_ad</f>
        <v>13.5017112462207</v>
      </c>
      <c r="F4307" s="38" t="n">
        <f aca="false">Sens!$F$4211*m_ad</f>
        <v>16.5719724165257</v>
      </c>
      <c r="G4307" s="38" t="n">
        <f aca="false">Sens!$G$4211*m_ad</f>
        <v>30.0820919220415</v>
      </c>
      <c r="H4307" s="38" t="n">
        <f aca="false">Sens!$H$4211*m_ad</f>
        <v>36.3407040170467</v>
      </c>
      <c r="I4307" s="38" t="n">
        <f aca="false">Sens!$I$4211*m_ad</f>
        <v>42.955949977879</v>
      </c>
      <c r="J4307" s="38" t="n">
        <f aca="false">Sens!$J$4211*m_ad</f>
        <v>49.6578097528798</v>
      </c>
      <c r="K4307" s="38" t="n">
        <f aca="false">Sens!$K$4211*m_ad</f>
        <v>56.1133250207542</v>
      </c>
      <c r="L4307" s="38" t="n">
        <f aca="false">Sens!$L$4211*m_ad</f>
        <v>63.4080572734522</v>
      </c>
      <c r="M4307" s="38" t="n">
        <f aca="false">Sens!$M$4211*m_ad</f>
        <v>71.651104719001</v>
      </c>
      <c r="N4307" s="38" t="n">
        <f aca="false">Sens!$N$4211*m_ad</f>
        <v>10.8543555706248</v>
      </c>
      <c r="O4307" s="38" t="n">
        <f aca="false">Sens!$O$4211*m_ad</f>
        <v>14.0094731821399</v>
      </c>
    </row>
    <row r="4308" customFormat="false" ht="17.15" hidden="false" customHeight="false" outlineLevel="0" collapsed="false">
      <c r="A4308" s="0" t="s">
        <v>721</v>
      </c>
      <c r="B4308" s="0" t="s">
        <v>86</v>
      </c>
      <c r="C4308" s="38" t="n">
        <f aca="false">Sens!$C$4209-Sens!$C$4211</f>
        <v>346.428687117154</v>
      </c>
      <c r="D4308" s="38" t="n">
        <f aca="false">Sens!$D$4209-Sens!$D$4211</f>
        <v>376.560876540083</v>
      </c>
      <c r="E4308" s="38" t="n">
        <f aca="false">Sens!$E$4209-Sens!$E$4211</f>
        <v>193.316577507559</v>
      </c>
      <c r="F4308" s="38" t="n">
        <f aca="false">Sens!$F$4209-Sens!$F$4211</f>
        <v>217.495828647535</v>
      </c>
      <c r="G4308" s="38" t="n">
        <f aca="false">Sens!$G$4209-Sens!$G$4211</f>
        <v>410.795589636503</v>
      </c>
      <c r="H4308" s="38" t="n">
        <f aca="false">Sens!$H$4209-Sens!$H$4211</f>
        <v>449.156813761174</v>
      </c>
      <c r="I4308" s="38" t="n">
        <f aca="false">Sens!$I$4209-Sens!$I$4211</f>
        <v>485.848786441156</v>
      </c>
      <c r="J4308" s="38" t="n">
        <f aca="false">Sens!$J$4209-Sens!$J$4211</f>
        <v>519.841531018994</v>
      </c>
      <c r="K4308" s="38" t="n">
        <f aca="false">Sens!$K$4209-Sens!$K$4211</f>
        <v>550.103332311311</v>
      </c>
      <c r="L4308" s="38" t="n">
        <f aca="false">Sens!$L$4209-Sens!$L$4211</f>
        <v>582.192354474511</v>
      </c>
      <c r="M4308" s="38" t="n">
        <f aca="false">Sens!$M$4209-Sens!$M$4211</f>
        <v>616.22240521081</v>
      </c>
      <c r="N4308" s="38" t="n">
        <f aca="false">Sens!$N$4209-Sens!$N$4211</f>
        <v>171.24628885875</v>
      </c>
      <c r="O4308" s="38" t="n">
        <f aca="false">Sens!$O$4209-Sens!$O$4211</f>
        <v>205.33105363572</v>
      </c>
    </row>
    <row r="4309" customFormat="false" ht="17.15" hidden="false" customHeight="false" outlineLevel="0" collapsed="false">
      <c r="A4309" s="0" t="s">
        <v>722</v>
      </c>
      <c r="B4309" s="0" t="s">
        <v>86</v>
      </c>
      <c r="C4309" s="38" t="n">
        <f aca="false">Sens!$C$4260*Sens!$C$4208</f>
        <v>0.123617442257179</v>
      </c>
      <c r="D4309" s="38" t="n">
        <f aca="false">Sens!$D$4260*Sens!$D$4208</f>
        <v>0.600198046024689</v>
      </c>
      <c r="E4309" s="38" t="n">
        <f aca="false">Sens!$E$4260*Sens!$E$4208</f>
        <v>0.970552432202993</v>
      </c>
      <c r="F4309" s="38" t="n">
        <f aca="false">Sens!$F$4260*Sens!$F$4208</f>
        <v>1.20013524388435</v>
      </c>
      <c r="G4309" s="38" t="n">
        <f aca="false">Sens!$G$4260*Sens!$G$4208</f>
        <v>2.17135369594947</v>
      </c>
      <c r="H4309" s="38" t="n">
        <f aca="false">Sens!$H$4260*Sens!$H$4208</f>
        <v>6.14227489656333</v>
      </c>
      <c r="I4309" s="38" t="n">
        <f aca="false">Sens!$I$4260*Sens!$I$4208</f>
        <v>11.6518054969681</v>
      </c>
      <c r="J4309" s="38" t="n">
        <f aca="false">Sens!$J$4260*Sens!$J$4208</f>
        <v>17.3105301010592</v>
      </c>
      <c r="K4309" s="38" t="n">
        <f aca="false">Sens!$K$4260*Sens!$K$4208</f>
        <v>22.8486728059883</v>
      </c>
      <c r="L4309" s="38" t="n">
        <f aca="false">Sens!$L$4260*Sens!$L$4208</f>
        <v>26.6849171332777</v>
      </c>
      <c r="M4309" s="38" t="n">
        <f aca="false">Sens!$M$4260*Sens!$M$4208</f>
        <v>29.0523240317336</v>
      </c>
      <c r="N4309" s="38" t="n">
        <f aca="false">Sens!$N$4260*Sens!$N$4208</f>
        <v>0.25053229484398</v>
      </c>
      <c r="O4309" s="38" t="n">
        <f aca="false">Sens!$O$4260*Sens!$O$4208</f>
        <v>0.349234376756897</v>
      </c>
    </row>
    <row r="4310" customFormat="false" ht="17.15" hidden="false" customHeight="false" outlineLevel="0" collapsed="false">
      <c r="A4310" s="0" t="s">
        <v>723</v>
      </c>
      <c r="B4310" s="0" t="s">
        <v>52</v>
      </c>
      <c r="C4310" s="28" t="n">
        <f aca="false">(Sens!$C$4311-Sens!$C$4307+Sens!$C$4309)/Sens!$C$4308</f>
        <v>0.0131526665379575</v>
      </c>
      <c r="D4310" s="28" t="n">
        <f aca="false">(Sens!$D$4311-Sens!$D$4307+Sens!$D$4309)/Sens!$D$4308</f>
        <v>0.0141999252954702</v>
      </c>
      <c r="E4310" s="28" t="n">
        <f aca="false">(Sens!$E$4311-Sens!$E$4307+Sens!$E$4309)/Sens!$E$4308</f>
        <v>0.0251341154940129</v>
      </c>
      <c r="F4310" s="28" t="n">
        <f aca="false">Sens!$O$4310+(Sens!$E$4310-Sens!$N$4310)</f>
        <v>0.0217171685713677</v>
      </c>
      <c r="G4310" s="28" t="n">
        <f aca="false">(Sens!$G$4311-Sens!$G$4307+Sens!$G$4309)/Sens!$G$4308</f>
        <v>0.0233071940458981</v>
      </c>
      <c r="H4310" s="28" t="n">
        <f aca="false">Sens!$G$4310+step_na</f>
        <v>0.0263071940458981</v>
      </c>
      <c r="I4310" s="28" t="n">
        <f aca="false">Sens!$H$4310+step_na</f>
        <v>0.0293071940458981</v>
      </c>
      <c r="J4310" s="28" t="n">
        <f aca="false">Sens!$I$4310+step_na</f>
        <v>0.0323071940458981</v>
      </c>
      <c r="K4310" s="28" t="n">
        <f aca="false">Sens!$J$4310+step_na</f>
        <v>0.0353071940458981</v>
      </c>
      <c r="L4310" s="28" t="n">
        <f aca="false">Sens!$K$4310</f>
        <v>0.0353071940458981</v>
      </c>
      <c r="M4310" s="28" t="n">
        <f aca="false">Sens!$L$4310</f>
        <v>0.0353071940458981</v>
      </c>
      <c r="N4310" s="28" t="n">
        <f aca="false">(Sens!$N$4311-Sens!$N$4307+Sens!$N$4309)/Sens!$N$4308</f>
        <v>0.0160831323269779</v>
      </c>
      <c r="O4310" s="28" t="n">
        <f aca="false">(Sens!$O$4311-Sens!$O$4307+Sens!$O$4309)/Sens!$O$4308</f>
        <v>0.0126661854043327</v>
      </c>
      <c r="P4310" s="8" t="s">
        <v>724</v>
      </c>
    </row>
    <row r="4311" customFormat="false" ht="17.15" hidden="false" customHeight="false" outlineLevel="0" collapsed="false">
      <c r="A4311" s="1" t="s">
        <v>725</v>
      </c>
      <c r="B4311" s="8" t="s">
        <v>86</v>
      </c>
      <c r="C4311" s="38" t="n">
        <f aca="false">Q!$D$22</f>
        <v>24.967</v>
      </c>
      <c r="D4311" s="38" t="n">
        <f aca="false">Q!$E$22</f>
        <v>29.619</v>
      </c>
      <c r="E4311" s="38" t="n">
        <f aca="false">Q!$P$22</f>
        <v>17.39</v>
      </c>
      <c r="F4311" s="38" t="n">
        <f aca="false">Sens!$F$4307+Sens!$F$4308*Sens!$F$4310-Sens!$F$4309</f>
        <v>20.0952307469491</v>
      </c>
      <c r="G4311" s="38" t="n">
        <f aca="false">Sens!$E$4311+Sens!$F$4311</f>
        <v>37.4852307469491</v>
      </c>
      <c r="H4311" s="38" t="n">
        <f aca="false">Sens!$H$4307+Sens!$H$4308*Sens!$H$4310-Sens!$H$4309</f>
        <v>42.0144845771359</v>
      </c>
      <c r="I4311" s="38" t="n">
        <f aca="false">Sens!$I$4307+Sens!$I$4308*Sens!$I$4310-Sens!$I$4309</f>
        <v>45.543009142106</v>
      </c>
      <c r="J4311" s="38" t="n">
        <f aca="false">Sens!$J$4307+Sens!$J$4308*Sens!$J$4310-Sens!$J$4309</f>
        <v>49.141900867568</v>
      </c>
      <c r="K4311" s="38" t="n">
        <f aca="false">Sens!$K$4307+Sens!$K$4308*Sens!$K$4310-Sens!$K$4309</f>
        <v>52.6872573139765</v>
      </c>
      <c r="L4311" s="38" t="n">
        <f aca="false">Sens!$L$4307+Sens!$L$4308*Sens!$L$4310-Sens!$L$4309</f>
        <v>57.2787185716443</v>
      </c>
      <c r="M4311" s="38" t="n">
        <f aca="false">Sens!$M$4307+Sens!$M$4308*Sens!$M$4310-Sens!$M$4309</f>
        <v>64.3558647234756</v>
      </c>
      <c r="N4311" s="38" t="n">
        <f aca="false">Q!$N$22</f>
        <v>13.358</v>
      </c>
      <c r="O4311" s="38" t="n">
        <f aca="false">Q!$O$22</f>
        <v>16.261</v>
      </c>
    </row>
    <row r="4312" customFormat="false" ht="17.15" hidden="false" customHeight="false" outlineLevel="0" collapsed="false">
      <c r="A4312" s="0" t="s">
        <v>726</v>
      </c>
      <c r="B4312" s="0" t="s">
        <v>86</v>
      </c>
      <c r="C4312" s="38" t="n">
        <f aca="false">Sens!$C$4212*m_ad</f>
        <v>7.57284355857716</v>
      </c>
      <c r="D4312" s="38" t="n">
        <f aca="false">Sens!$D$4212*m_ad</f>
        <v>9.44543827004127</v>
      </c>
      <c r="E4312" s="38" t="n">
        <f aca="false">Sens!$E$4212*m_ad</f>
        <v>5.02428875377928</v>
      </c>
      <c r="F4312" s="38" t="n">
        <f aca="false">Sens!$F$4212*m_ad</f>
        <v>6.50663858068173</v>
      </c>
      <c r="G4312" s="38" t="n">
        <f aca="false">Sens!$G$4212*m_ad</f>
        <v>11.5225190751659</v>
      </c>
      <c r="H4312" s="38" t="n">
        <f aca="false">Sens!$H$4212*m_ad</f>
        <v>13.9197917593811</v>
      </c>
      <c r="I4312" s="38" t="n">
        <f aca="false">Sens!$I$4212*m_ad</f>
        <v>16.4536679927275</v>
      </c>
      <c r="J4312" s="38" t="n">
        <f aca="false">Sens!$J$4212*m_ad</f>
        <v>19.0207204203532</v>
      </c>
      <c r="K4312" s="38" t="n">
        <f aca="false">Sens!$K$4212*m_ad</f>
        <v>21.4934140749991</v>
      </c>
      <c r="L4312" s="38" t="n">
        <f aca="false">Sens!$L$4212*m_ad</f>
        <v>24.2875579047489</v>
      </c>
      <c r="M4312" s="38" t="n">
        <f aca="false">Sens!$M$4212*m_ad</f>
        <v>27.4449404323663</v>
      </c>
      <c r="N4312" s="38" t="n">
        <f aca="false">Sens!$N$4212*m_ad</f>
        <v>3.95314442937518</v>
      </c>
      <c r="O4312" s="38" t="n">
        <f aca="false">Sens!$O$4212*m_ad</f>
        <v>5.50052681786011</v>
      </c>
    </row>
    <row r="4313" customFormat="false" ht="17.15" hidden="false" customHeight="false" outlineLevel="0" collapsed="false">
      <c r="A4313" s="0" t="s">
        <v>727</v>
      </c>
      <c r="B4313" s="0" t="s">
        <v>86</v>
      </c>
      <c r="C4313" s="38" t="n">
        <f aca="false">Sens!$C$4210-Sens!$C$4212</f>
        <v>127.760312882846</v>
      </c>
      <c r="D4313" s="38" t="n">
        <f aca="false">Sens!$D$4210-Sens!$D$4212</f>
        <v>143.003123459917</v>
      </c>
      <c r="E4313" s="38" t="n">
        <f aca="false">Sens!$E$4210-Sens!$E$4212</f>
        <v>71.9374224924414</v>
      </c>
      <c r="F4313" s="38" t="n">
        <f aca="false">Sens!$F$4210-Sens!$F$4212</f>
        <v>85.3951910035875</v>
      </c>
      <c r="G4313" s="38" t="n">
        <f aca="false">Sens!$G$4210-Sens!$G$4212</f>
        <v>157.349430014619</v>
      </c>
      <c r="H4313" s="38" t="n">
        <f aca="false">Sens!$H$4210-Sens!$H$4212</f>
        <v>172.043153372315</v>
      </c>
      <c r="I4313" s="38" t="n">
        <f aca="false">Sens!$I$4210-Sens!$I$4212</f>
        <v>186.097493615879</v>
      </c>
      <c r="J4313" s="38" t="n">
        <f aca="false">Sens!$J$4210-Sens!$J$4212</f>
        <v>199.117932780497</v>
      </c>
      <c r="K4313" s="38" t="n">
        <f aca="false">Sens!$K$4210-Sens!$K$4212</f>
        <v>210.70928698363</v>
      </c>
      <c r="L4313" s="38" t="n">
        <f aca="false">Sens!$L$4210-Sens!$L$4212</f>
        <v>223.000532251317</v>
      </c>
      <c r="M4313" s="38" t="n">
        <f aca="false">Sens!$M$4210-Sens!$M$4212</f>
        <v>236.035261011339</v>
      </c>
      <c r="N4313" s="38" t="n">
        <f aca="false">Sens!$N$4210-Sens!$N$4212</f>
        <v>62.3677111412496</v>
      </c>
      <c r="O4313" s="38" t="n">
        <f aca="false">Sens!$O$4210-Sens!$O$4212</f>
        <v>80.6189463642798</v>
      </c>
    </row>
    <row r="4314" customFormat="false" ht="17.15" hidden="false" customHeight="false" outlineLevel="0" collapsed="false">
      <c r="A4314" s="0" t="s">
        <v>728</v>
      </c>
      <c r="B4314" s="0" t="s">
        <v>86</v>
      </c>
      <c r="C4314" s="38" t="n">
        <f aca="false">Sens!$C$4260*(1-Sens!$C$4208)</f>
        <v>0.0455891896019953</v>
      </c>
      <c r="D4314" s="38" t="n">
        <f aca="false">Sens!$D$4260*(1-Sens!$D$4208)</f>
        <v>0.227931791705753</v>
      </c>
      <c r="E4314" s="38" t="n">
        <f aca="false">Sens!$E$4260*(1-Sens!$E$4208)</f>
        <v>0.361164268820781</v>
      </c>
      <c r="F4314" s="38" t="n">
        <f aca="false">Sens!$F$4260*(1-Sens!$F$4208)</f>
        <v>0.471208018190203</v>
      </c>
      <c r="G4314" s="38" t="n">
        <f aca="false">Sens!$G$4260*(1-Sens!$G$4208)</f>
        <v>0.83170626714885</v>
      </c>
      <c r="H4314" s="38" t="n">
        <f aca="false">Sens!$H$4260*(1-Sens!$H$4208)</f>
        <v>2.35271136874315</v>
      </c>
      <c r="I4314" s="38" t="n">
        <f aca="false">Sens!$I$4260*(1-Sens!$I$4208)</f>
        <v>4.46305900024741</v>
      </c>
      <c r="J4314" s="38" t="n">
        <f aca="false">Sens!$J$4260*(1-Sens!$J$4208)</f>
        <v>6.63055328092195</v>
      </c>
      <c r="K4314" s="38" t="n">
        <f aca="false">Sens!$K$4260*(1-Sens!$K$4208)</f>
        <v>8.75186037365703</v>
      </c>
      <c r="L4314" s="38" t="n">
        <f aca="false">Sens!$L$4260*(1-Sens!$L$4208)</f>
        <v>10.2212794071718</v>
      </c>
      <c r="M4314" s="38" t="n">
        <f aca="false">Sens!$M$4260*(1-Sens!$M$4208)</f>
        <v>11.1280810756472</v>
      </c>
      <c r="N4314" s="38" t="n">
        <f aca="false">Sens!$N$4260*(1-Sens!$N$4208)</f>
        <v>0.0912435878202994</v>
      </c>
      <c r="O4314" s="38" t="n">
        <f aca="false">Sens!$O$4260*(1-Sens!$O$4208)</f>
        <v>0.137119578309265</v>
      </c>
    </row>
    <row r="4315" customFormat="false" ht="17.15" hidden="false" customHeight="false" outlineLevel="0" collapsed="false">
      <c r="A4315" s="0" t="s">
        <v>729</v>
      </c>
      <c r="B4315" s="0" t="s">
        <v>52</v>
      </c>
      <c r="C4315" s="28" t="n">
        <f aca="false">(Sens!$C$4316-Sens!$C$4312+Sens!$C$4314)/Sens!$C$4313</f>
        <v>-0.0292364215826579</v>
      </c>
      <c r="D4315" s="28" t="n">
        <f aca="false">(Sens!$D$4316-Sens!$D$4312+Sens!$D$4314)/Sens!$D$4313</f>
        <v>-0.0312406216748665</v>
      </c>
      <c r="E4315" s="28" t="n">
        <f aca="false">(Sens!$E$4316-Sens!$E$4312+Sens!$E$4314)/Sens!$E$4313</f>
        <v>-0.0211590078184749</v>
      </c>
      <c r="F4315" s="28" t="n">
        <f aca="false">Sens!$O$4315+(Sens!$E$4315-Sens!$N$4315)</f>
        <v>-0.0382539955245511</v>
      </c>
      <c r="G4315" s="28" t="n">
        <f aca="false">(Sens!$G$4316-Sens!$G$4312+Sens!$G$4314)/Sens!$G$4313</f>
        <v>-0.030385172031133</v>
      </c>
      <c r="H4315" s="28" t="n">
        <f aca="false">Sens!$G$4315+step_in</f>
        <v>-0.030385172031133</v>
      </c>
      <c r="I4315" s="28" t="n">
        <f aca="false">Sens!$H$4315+step_in</f>
        <v>-0.030385172031133</v>
      </c>
      <c r="J4315" s="28" t="n">
        <f aca="false">Sens!$I$4315+step_in</f>
        <v>-0.030385172031133</v>
      </c>
      <c r="K4315" s="28" t="n">
        <f aca="false">Sens!$J$4315+step_in</f>
        <v>-0.030385172031133</v>
      </c>
      <c r="L4315" s="28" t="n">
        <f aca="false">Sens!$K$4315</f>
        <v>-0.030385172031133</v>
      </c>
      <c r="M4315" s="28" t="n">
        <f aca="false">Sens!$L$4315</f>
        <v>-0.030385172031133</v>
      </c>
      <c r="N4315" s="28" t="n">
        <f aca="false">(Sens!$N$4316-Sens!$N$4312+Sens!$N$4314)/Sens!$N$4313</f>
        <v>-0.0216602600421776</v>
      </c>
      <c r="O4315" s="28" t="n">
        <f aca="false">(Sens!$O$4316-Sens!$O$4312+Sens!$O$4314)/Sens!$O$4313</f>
        <v>-0.0387552477482538</v>
      </c>
      <c r="P4315" s="8" t="s">
        <v>724</v>
      </c>
    </row>
    <row r="4316" customFormat="false" ht="17.15" hidden="false" customHeight="false" outlineLevel="0" collapsed="false">
      <c r="A4316" s="1" t="s">
        <v>730</v>
      </c>
      <c r="B4316" s="8" t="s">
        <v>86</v>
      </c>
      <c r="C4316" s="38" t="n">
        <f aca="false">Q!$D$23</f>
        <v>3.792</v>
      </c>
      <c r="D4316" s="38" t="n">
        <f aca="false">Q!$E$23</f>
        <v>4.75</v>
      </c>
      <c r="E4316" s="38" t="n">
        <f aca="false">Q!$P$23</f>
        <v>3.141</v>
      </c>
      <c r="F4316" s="38" t="n">
        <f aca="false">Sens!$F$4312+Sens!$F$4313*Sens!$F$4315-Sens!$F$4314</f>
        <v>2.7687233080221</v>
      </c>
      <c r="G4316" s="38" t="n">
        <f aca="false">Sens!$E$4316+Sens!$F$4316</f>
        <v>5.9097233080221</v>
      </c>
      <c r="H4316" s="38" t="n">
        <f aca="false">Sens!$H$4312+Sens!$H$4313*Sens!$H$4315-Sens!$H$4314</f>
        <v>6.33951957864158</v>
      </c>
      <c r="I4316" s="38" t="n">
        <f aca="false">Sens!$I$4312+Sens!$I$4313*Sens!$I$4315-Sens!$I$4314</f>
        <v>6.33600463439898</v>
      </c>
      <c r="J4316" s="38" t="n">
        <f aca="false">Sens!$J$4312+Sens!$J$4313*Sens!$J$4315-Sens!$J$4314</f>
        <v>6.33993449741224</v>
      </c>
      <c r="K4316" s="38" t="n">
        <f aca="false">Sens!$K$4312+Sens!$K$4313*Sens!$K$4315-Sens!$K$4314</f>
        <v>6.33911576778707</v>
      </c>
      <c r="L4316" s="38" t="n">
        <f aca="false">Sens!$L$4312+Sens!$L$4313*Sens!$L$4315-Sens!$L$4314</f>
        <v>7.29036896208663</v>
      </c>
      <c r="M4316" s="38" t="n">
        <f aca="false">Sens!$M$4312+Sens!$M$4313*Sens!$M$4315-Sens!$M$4314</f>
        <v>9.14488734547619</v>
      </c>
      <c r="N4316" s="38" t="n">
        <f aca="false">Q!$N$23</f>
        <v>2.511</v>
      </c>
      <c r="O4316" s="38" t="n">
        <f aca="false">Q!$O$23</f>
        <v>2.239</v>
      </c>
    </row>
    <row r="4317" customFormat="false" ht="17.15" hidden="false" customHeight="false" outlineLevel="0" collapsed="false">
      <c r="A4317" s="0" t="s">
        <v>731</v>
      </c>
      <c r="B4317" s="0" t="s">
        <v>86</v>
      </c>
      <c r="C4317" s="38" t="n">
        <f aca="false">Sens!$C$4257</f>
        <v>1.64417882953695</v>
      </c>
      <c r="D4317" s="38" t="n">
        <f aca="false">Sens!$D$4257</f>
        <v>5.39125073772939</v>
      </c>
      <c r="E4317" s="38" t="n">
        <f aca="false">Sens!$E$4257</f>
        <v>3.18348617147493</v>
      </c>
      <c r="F4317" s="38" t="n">
        <f aca="false">Sens!$F$4257</f>
        <v>8.27806059642226</v>
      </c>
      <c r="G4317" s="38" t="n">
        <f aca="false">Sens!$G$4257</f>
        <v>11.4615467678972</v>
      </c>
      <c r="H4317" s="38" t="n">
        <f aca="false">Sens!$H$4257</f>
        <v>26.1859456885487</v>
      </c>
      <c r="I4317" s="38" t="n">
        <f aca="false">Sens!$I$4257</f>
        <v>37.04424114757</v>
      </c>
      <c r="J4317" s="38" t="n">
        <f aca="false">Sens!$J$4257</f>
        <v>47.2610736233534</v>
      </c>
      <c r="K4317" s="38" t="n">
        <f aca="false">Sens!$K$4257</f>
        <v>52.0459876645985</v>
      </c>
      <c r="L4317" s="38" t="n">
        <f aca="false">Sens!$L$4257</f>
        <v>54.1033156405981</v>
      </c>
      <c r="M4317" s="38" t="n">
        <f aca="false">Sens!$M$4257</f>
        <v>52.1138209393421</v>
      </c>
      <c r="N4317" s="38" t="n">
        <f aca="false">Sens!$N$4257</f>
        <v>1.67921600037079</v>
      </c>
      <c r="O4317" s="38" t="n">
        <f aca="false">Sens!$O$4257</f>
        <v>3.71203473735861</v>
      </c>
    </row>
    <row r="4318" customFormat="false" ht="17.15" hidden="false" customHeight="false" outlineLevel="0" collapsed="false">
      <c r="A4318" s="0" t="s">
        <v>649</v>
      </c>
      <c r="B4318" s="0" t="s">
        <v>86</v>
      </c>
      <c r="C4318" s="38" t="n">
        <f aca="false">Sens!$C$4262</f>
        <v>38.1898211704631</v>
      </c>
      <c r="D4318" s="38" t="n">
        <f aca="false">Sens!$D$4262</f>
        <v>40.2147492622706</v>
      </c>
      <c r="E4318" s="38" t="n">
        <f aca="false">Sens!$E$4262</f>
        <v>27.5985138285251</v>
      </c>
      <c r="F4318" s="38" t="n">
        <f aca="false">Sens!$F$4262</f>
        <v>25.5484769754606</v>
      </c>
      <c r="G4318" s="38" t="n">
        <f aca="false">Sens!$G$4262</f>
        <v>53.1469908039857</v>
      </c>
      <c r="H4318" s="38" t="n">
        <f aca="false">Sens!$H$4262</f>
        <v>57.3189525076539</v>
      </c>
      <c r="I4318" s="38" t="n">
        <f aca="false">Sens!$I$4262</f>
        <v>63.6385627021087</v>
      </c>
      <c r="J4318" s="38" t="n">
        <f aca="false">Sens!$J$4262</f>
        <v>69.6922896066105</v>
      </c>
      <c r="K4318" s="38" t="n">
        <f aca="false">Sens!$K$4262</f>
        <v>75.2676727751394</v>
      </c>
      <c r="L4318" s="38" t="n">
        <f aca="false">Sens!$L$4262</f>
        <v>81.2890865971505</v>
      </c>
      <c r="M4318" s="38" t="n">
        <f aca="false">Sens!$M$4262</f>
        <v>87.7922135249226</v>
      </c>
      <c r="N4318" s="38" t="n">
        <f aca="false">Sens!$N$4262</f>
        <v>20.0277839996292</v>
      </c>
      <c r="O4318" s="38" t="n">
        <f aca="false">Sens!$O$4262</f>
        <v>20.1869652626414</v>
      </c>
    </row>
    <row r="4319" customFormat="false" ht="17.15" hidden="false" customHeight="false" outlineLevel="0" collapsed="false">
      <c r="A4319" s="1" t="s">
        <v>732</v>
      </c>
      <c r="B4319" s="8" t="s">
        <v>86</v>
      </c>
      <c r="C4319" s="38" t="n">
        <f aca="false">Q!$D$24</f>
        <v>39.834</v>
      </c>
      <c r="D4319" s="38" t="n">
        <f aca="false">Q!$E$24</f>
        <v>45.606</v>
      </c>
      <c r="E4319" s="38" t="n">
        <f aca="false">Q!$P$24</f>
        <v>30.782</v>
      </c>
      <c r="F4319" s="38" t="n">
        <f aca="false">Sens!$F$4317+Sens!$F$4318</f>
        <v>33.8265375718829</v>
      </c>
      <c r="G4319" s="38" t="n">
        <f aca="false">Sens!$G$4317+Sens!$G$4318</f>
        <v>64.6085375718829</v>
      </c>
      <c r="H4319" s="38" t="n">
        <f aca="false">Sens!$H$4317+Sens!$H$4318</f>
        <v>83.5048981962026</v>
      </c>
      <c r="I4319" s="38" t="n">
        <f aca="false">Sens!$I$4317+Sens!$I$4318</f>
        <v>100.682803849679</v>
      </c>
      <c r="J4319" s="38" t="n">
        <f aca="false">Sens!$J$4317+Sens!$J$4318</f>
        <v>116.953363229964</v>
      </c>
      <c r="K4319" s="38" t="n">
        <f aca="false">Sens!$K$4317+Sens!$K$4318</f>
        <v>127.313660439738</v>
      </c>
      <c r="L4319" s="38" t="n">
        <f aca="false">Sens!$L$4317+Sens!$L$4318</f>
        <v>135.392402237749</v>
      </c>
      <c r="M4319" s="38" t="n">
        <f aca="false">Sens!$M$4317+Sens!$M$4318</f>
        <v>139.906034464265</v>
      </c>
      <c r="N4319" s="38" t="n">
        <f aca="false">Q!$N$24</f>
        <v>21.707</v>
      </c>
      <c r="O4319" s="38" t="n">
        <f aca="false">Q!$O$24</f>
        <v>23.899</v>
      </c>
    </row>
    <row r="4320" customFormat="false" ht="17.15" hidden="false" customHeight="false" outlineLevel="0" collapsed="false">
      <c r="A4320" s="5" t="s">
        <v>733</v>
      </c>
      <c r="B4320" s="0" t="s">
        <v>86</v>
      </c>
      <c r="C4320" s="38" t="n">
        <f aca="false">Q!$D$26</f>
        <v>0</v>
      </c>
      <c r="D4320" s="38" t="n">
        <f aca="false">Q!$E$26</f>
        <v>0</v>
      </c>
      <c r="E4320" s="38" t="n">
        <f aca="false">Q!$P$26</f>
        <v>0</v>
      </c>
      <c r="F4320" s="39" t="n">
        <v>0</v>
      </c>
      <c r="G4320" s="38" t="n">
        <f aca="false">Sens!$E$4320+Sens!$F$4320</f>
        <v>0</v>
      </c>
      <c r="H4320" s="39" t="n">
        <v>0</v>
      </c>
      <c r="I4320" s="39" t="n">
        <v>0</v>
      </c>
      <c r="J4320" s="39" t="n">
        <v>0</v>
      </c>
      <c r="K4320" s="39" t="n">
        <v>0</v>
      </c>
      <c r="L4320" s="39" t="n">
        <v>0</v>
      </c>
      <c r="M4320" s="39" t="n">
        <v>0</v>
      </c>
      <c r="N4320" s="38" t="n">
        <f aca="false">Q!$N$26</f>
        <v>0</v>
      </c>
      <c r="O4320" s="38" t="n">
        <f aca="false">Q!$O$26</f>
        <v>0</v>
      </c>
    </row>
    <row r="4321" customFormat="false" ht="15" hidden="false" customHeight="false" outlineLevel="0" collapsed="false">
      <c r="A4321" s="3" t="s">
        <v>534</v>
      </c>
      <c r="B4321" s="8" t="s">
        <v>86</v>
      </c>
      <c r="C4321" s="38" t="n">
        <f aca="false">Q!$D$25</f>
        <v>68.593</v>
      </c>
      <c r="D4321" s="38" t="n">
        <f aca="false">Q!$E$25</f>
        <v>79.975</v>
      </c>
      <c r="E4321" s="38" t="n">
        <f aca="false">Q!$P$25</f>
        <v>51.313</v>
      </c>
      <c r="F4321" s="38" t="n">
        <f aca="false">Sens!$F$4311+Sens!$F$4316+Sens!$F$4319+Sens!$F$4320</f>
        <v>56.6904916268541</v>
      </c>
      <c r="G4321" s="38" t="n">
        <f aca="false">Sens!$G$4311+Sens!$G$4316+Sens!$G$4319+Sens!$G$4320</f>
        <v>108.003491626854</v>
      </c>
      <c r="H4321" s="38" t="n">
        <f aca="false">Sens!$H$4311+Sens!$H$4316+Sens!$H$4319+Sens!$H$4320</f>
        <v>131.85890235198</v>
      </c>
      <c r="I4321" s="38" t="n">
        <f aca="false">Sens!$I$4311+Sens!$I$4316+Sens!$I$4319+Sens!$I$4320</f>
        <v>152.561817626184</v>
      </c>
      <c r="J4321" s="38" t="n">
        <f aca="false">Sens!$J$4311+Sens!$J$4316+Sens!$J$4319+Sens!$J$4320</f>
        <v>172.435198594944</v>
      </c>
      <c r="K4321" s="38" t="n">
        <f aca="false">Sens!$K$4311+Sens!$K$4316+Sens!$K$4319+Sens!$K$4320</f>
        <v>186.340033521501</v>
      </c>
      <c r="L4321" s="38" t="n">
        <f aca="false">Sens!$L$4311+Sens!$L$4316+Sens!$L$4319+Sens!$L$4320</f>
        <v>199.96148977148</v>
      </c>
      <c r="M4321" s="38" t="n">
        <f aca="false">Sens!$M$4311+Sens!$M$4316+Sens!$M$4319+Sens!$M$4320</f>
        <v>213.406786533216</v>
      </c>
      <c r="N4321" s="38" t="n">
        <f aca="false">Q!$N$25</f>
        <v>37.576</v>
      </c>
      <c r="O4321" s="38" t="n">
        <f aca="false">Q!$O$25</f>
        <v>42.399</v>
      </c>
    </row>
    <row r="4322" customFormat="false" ht="17.15" hidden="false" customHeight="false" outlineLevel="0" collapsed="false">
      <c r="A4322" s="24" t="s">
        <v>764</v>
      </c>
      <c r="B4322" s="25" t="s">
        <v>86</v>
      </c>
      <c r="C4322" s="41" t="n">
        <f aca="false">Sens!$C$4311+Sens!$C$4316+Sens!$C$4319+Sens!$C$4320-Sens!$C$4321</f>
        <v>0</v>
      </c>
      <c r="D4322" s="41" t="n">
        <f aca="false">Sens!$D$4311+Sens!$D$4316+Sens!$D$4319+Sens!$D$4320-Sens!$D$4321</f>
        <v>0</v>
      </c>
      <c r="E4322" s="41" t="n">
        <f aca="false">Sens!$E$4311+Sens!$E$4316+Sens!$E$4319+Sens!$E$4320-Sens!$E$4321</f>
        <v>0</v>
      </c>
      <c r="F4322" s="41" t="n">
        <f aca="false">Sens!$F$4311+Sens!$F$4316+Sens!$F$4319+Sens!$F$4320-Sens!$F$4321</f>
        <v>0</v>
      </c>
      <c r="G4322" s="41" t="n">
        <f aca="false">Sens!$G$4311+Sens!$G$4316+Sens!$G$4319+Sens!$G$4320-Sens!$G$4321</f>
        <v>0</v>
      </c>
      <c r="H4322" s="41" t="n">
        <f aca="false">Sens!$H$4311+Sens!$H$4316+Sens!$H$4319+Sens!$H$4320-Sens!$H$4321</f>
        <v>0</v>
      </c>
      <c r="I4322" s="41" t="n">
        <f aca="false">Sens!$I$4311+Sens!$I$4316+Sens!$I$4319+Sens!$I$4320-Sens!$I$4321</f>
        <v>0</v>
      </c>
      <c r="J4322" s="41" t="n">
        <f aca="false">Sens!$J$4311+Sens!$J$4316+Sens!$J$4319+Sens!$J$4320-Sens!$J$4321</f>
        <v>0</v>
      </c>
      <c r="K4322" s="41" t="n">
        <f aca="false">Sens!$K$4311+Sens!$K$4316+Sens!$K$4319+Sens!$K$4320-Sens!$K$4321</f>
        <v>0</v>
      </c>
      <c r="L4322" s="41" t="n">
        <f aca="false">Sens!$L$4311+Sens!$L$4316+Sens!$L$4319+Sens!$L$4320-Sens!$L$4321</f>
        <v>0</v>
      </c>
      <c r="M4322" s="41" t="n">
        <f aca="false">Sens!$M$4311+Sens!$M$4316+Sens!$M$4319+Sens!$M$4320-Sens!$M$4321</f>
        <v>0</v>
      </c>
      <c r="N4322" s="41" t="n">
        <f aca="false">Sens!$N$4311+Sens!$N$4316+Sens!$N$4319+Sens!$N$4320-Sens!$N$4321</f>
        <v>0</v>
      </c>
      <c r="O4322" s="41" t="n">
        <f aca="false">Sens!$O$4311+Sens!$O$4316+Sens!$O$4319+Sens!$O$4320-Sens!$O$4321</f>
        <v>0</v>
      </c>
    </row>
    <row r="4323" customFormat="false" ht="17.15" hidden="false" customHeight="false" outlineLevel="0" collapsed="false">
      <c r="A4323" s="5" t="s">
        <v>735</v>
      </c>
      <c r="B4323" s="0" t="s">
        <v>86</v>
      </c>
      <c r="C4323" s="38" t="n">
        <f aca="false">Sens!$C$4259</f>
        <v>0</v>
      </c>
      <c r="D4323" s="38" t="n">
        <f aca="false">Sens!$D$4259</f>
        <v>0</v>
      </c>
      <c r="E4323" s="38" t="n">
        <f aca="false">Sens!$E$4259</f>
        <v>0</v>
      </c>
      <c r="F4323" s="38" t="n">
        <f aca="false">Sens!$F$4259</f>
        <v>3.77122048175818</v>
      </c>
      <c r="G4323" s="38" t="n">
        <f aca="false">Sens!$G$4259</f>
        <v>3.77122048175818</v>
      </c>
      <c r="H4323" s="38" t="n">
        <f aca="false">Sens!$H$4259</f>
        <v>15.1635543609893</v>
      </c>
      <c r="I4323" s="38" t="n">
        <f aca="false">Sens!$I$4259</f>
        <v>25.5818843619889</v>
      </c>
      <c r="J4323" s="38" t="n">
        <f aca="false">Sens!$J$4259</f>
        <v>36.0465624179122</v>
      </c>
      <c r="K4323" s="38" t="n">
        <f aca="false">Sens!$K$4259</f>
        <v>44.9741164026038</v>
      </c>
      <c r="L4323" s="38" t="n">
        <f aca="false">Sens!$L$4259</f>
        <v>50.8413488057813</v>
      </c>
      <c r="M4323" s="38" t="n">
        <f aca="false">Sens!$M$4259</f>
        <v>53.6407214274315</v>
      </c>
      <c r="N4323" s="38" t="n">
        <f aca="false">Sens!$N$4259</f>
        <v>0</v>
      </c>
      <c r="O4323" s="38" t="n">
        <f aca="false">Sens!$O$4259</f>
        <v>0</v>
      </c>
      <c r="P4323" s="5" t="s">
        <v>736</v>
      </c>
    </row>
    <row r="4324" customFormat="false" ht="17.15" hidden="false" customHeight="false" outlineLevel="0" collapsed="false">
      <c r="A4324" s="5" t="s">
        <v>737</v>
      </c>
      <c r="B4324" s="0" t="s">
        <v>86</v>
      </c>
      <c r="C4324" s="38" t="n">
        <f aca="false">Sens!$C$4321+Sens!$C$4323</f>
        <v>68.593</v>
      </c>
      <c r="D4324" s="38" t="n">
        <f aca="false">Sens!$D$4321+Sens!$D$4323</f>
        <v>79.975</v>
      </c>
      <c r="E4324" s="38" t="n">
        <f aca="false">Sens!$E$4321+Sens!$E$4323</f>
        <v>51.313</v>
      </c>
      <c r="F4324" s="38" t="n">
        <f aca="false">Sens!$F$4321+Sens!$F$4323</f>
        <v>60.4617121086123</v>
      </c>
      <c r="G4324" s="38" t="n">
        <f aca="false">Sens!$G$4321+Sens!$G$4323</f>
        <v>111.774712108612</v>
      </c>
      <c r="H4324" s="38" t="n">
        <f aca="false">Sens!$H$4321+Sens!$H$4323</f>
        <v>147.022456712969</v>
      </c>
      <c r="I4324" s="38" t="n">
        <f aca="false">Sens!$I$4321+Sens!$I$4323</f>
        <v>178.143701988173</v>
      </c>
      <c r="J4324" s="38" t="n">
        <f aca="false">Sens!$J$4321+Sens!$J$4323</f>
        <v>208.481761012856</v>
      </c>
      <c r="K4324" s="38" t="n">
        <f aca="false">Sens!$K$4321+Sens!$K$4323</f>
        <v>231.314149924105</v>
      </c>
      <c r="L4324" s="38" t="n">
        <f aca="false">Sens!$L$4321+Sens!$L$4323</f>
        <v>250.802838577261</v>
      </c>
      <c r="M4324" s="38" t="n">
        <f aca="false">Sens!$M$4321+Sens!$M$4323</f>
        <v>267.047507960648</v>
      </c>
      <c r="N4324" s="38" t="n">
        <f aca="false">Sens!$N$4321+Sens!$N$4323</f>
        <v>37.576</v>
      </c>
      <c r="O4324" s="38" t="n">
        <f aca="false">Sens!$O$4321+Sens!$O$4323</f>
        <v>42.399</v>
      </c>
    </row>
    <row r="4325" customFormat="false" ht="17.15" hidden="false" customHeight="false" outlineLevel="0" collapsed="false">
      <c r="A4325" s="0" t="s">
        <v>738</v>
      </c>
      <c r="B4325" s="0" t="s">
        <v>52</v>
      </c>
      <c r="C4325" s="13" t="n">
        <f aca="false">Sens!$C$4311/Sens!$C$4296</f>
        <v>0.0644314665661928</v>
      </c>
      <c r="D4325" s="13" t="n">
        <f aca="false">Sens!$D$4311/Sens!$D$4296</f>
        <v>0.0694784250712518</v>
      </c>
      <c r="E4325" s="13" t="n">
        <f aca="false">Sens!$E$4311/Sens!$E$4296</f>
        <v>0.0789306463326071</v>
      </c>
      <c r="F4325" s="13" t="n">
        <f aca="false">Sens!$F$4311/Sens!$F$4296</f>
        <v>0.0801757457241943</v>
      </c>
      <c r="G4325" s="13" t="n">
        <f aca="false">Sens!$G$4311/Sens!$G$4296</f>
        <v>0.0795932749625682</v>
      </c>
      <c r="H4325" s="13" t="n">
        <f aca="false">Sens!$H$4311/Sens!$H$4296</f>
        <v>0.080512470766504</v>
      </c>
      <c r="I4325" s="13" t="n">
        <f aca="false">Sens!$I$4311/Sens!$I$4296</f>
        <v>0.0796539710155767</v>
      </c>
      <c r="J4325" s="13" t="n">
        <f aca="false">Sens!$J$4311/Sens!$J$4296</f>
        <v>0.0793690274366028</v>
      </c>
      <c r="K4325" s="13" t="n">
        <f aca="false">Sens!$K$4311/Sens!$K$4296</f>
        <v>0.0795483500940327</v>
      </c>
      <c r="L4325" s="13" t="n">
        <f aca="false">Sens!$L$4311/Sens!$L$4296</f>
        <v>0.0807870724741854</v>
      </c>
      <c r="M4325" s="13" t="n">
        <f aca="false">Sens!$M$4311/Sens!$M$4296</f>
        <v>0.0847317696915357</v>
      </c>
      <c r="N4325" s="13" t="n">
        <f aca="false">Sens!$N$4311/Sens!$N$4296</f>
        <v>0.069228576611127</v>
      </c>
      <c r="O4325" s="13" t="n">
        <f aca="false">Sens!$O$4311/Sens!$O$4296</f>
        <v>0.069685022498393</v>
      </c>
    </row>
    <row r="4326" customFormat="false" ht="17.15" hidden="false" customHeight="false" outlineLevel="0" collapsed="false">
      <c r="A4326" s="0" t="s">
        <v>739</v>
      </c>
      <c r="B4326" s="0" t="s">
        <v>52</v>
      </c>
      <c r="C4326" s="13" t="n">
        <f aca="false">Sens!$C$4316/Sens!$C$4297</f>
        <v>0.026534925055631</v>
      </c>
      <c r="D4326" s="13" t="n">
        <f aca="false">Sens!$D$4316/Sens!$D$4297</f>
        <v>0.0293401855535103</v>
      </c>
      <c r="E4326" s="13" t="n">
        <f aca="false">Sens!$E$4316/Sens!$E$4297</f>
        <v>0.03831141902276</v>
      </c>
      <c r="F4326" s="13" t="n">
        <f aca="false">Sens!$F$4316/Sens!$F$4297</f>
        <v>0.0281350107328284</v>
      </c>
      <c r="G4326" s="13" t="n">
        <f aca="false">Sens!$G$4316/Sens!$G$4297</f>
        <v>0.0327600029432073</v>
      </c>
      <c r="H4326" s="13" t="n">
        <f aca="false">Sens!$H$4316/Sens!$H$4297</f>
        <v>0.0317161935905261</v>
      </c>
      <c r="I4326" s="13" t="n">
        <f aca="false">Sens!$I$4316/Sens!$I$4297</f>
        <v>0.0289308899987856</v>
      </c>
      <c r="J4326" s="13" t="n">
        <f aca="false">Sens!$J$4316/Sens!$J$4297</f>
        <v>0.0267328016624742</v>
      </c>
      <c r="K4326" s="13" t="n">
        <f aca="false">Sens!$K$4316/Sens!$K$4297</f>
        <v>0.0249870431182917</v>
      </c>
      <c r="L4326" s="13" t="n">
        <f aca="false">Sens!$L$4316/Sens!$L$4297</f>
        <v>0.0268447079631164</v>
      </c>
      <c r="M4326" s="13" t="n">
        <f aca="false">Sens!$M$4316/Sens!$M$4297</f>
        <v>0.0314338158830279</v>
      </c>
      <c r="N4326" s="13" t="n">
        <f aca="false">Sens!$N$4316/Sens!$N$4297</f>
        <v>0.0357315650169337</v>
      </c>
      <c r="O4326" s="13" t="n">
        <f aca="false">Sens!$O$4316/Sens!$O$4297</f>
        <v>0.0244378956559703</v>
      </c>
    </row>
    <row r="4327" customFormat="false" ht="17.15" hidden="false" customHeight="false" outlineLevel="0" collapsed="false">
      <c r="A4327" s="14" t="s">
        <v>740</v>
      </c>
      <c r="B4327" s="14" t="s">
        <v>52</v>
      </c>
      <c r="C4327" s="17" t="n">
        <f aca="false">Sens!$C$4319/Sens!$C$4298</f>
        <v>0.370355907620217</v>
      </c>
      <c r="D4327" s="17" t="n">
        <f aca="false">Sens!$D$4319/Sens!$D$4298</f>
        <v>0.35429015342785</v>
      </c>
      <c r="E4327" s="17" t="n">
        <f aca="false">Sens!$E$4319/Sens!$E$4298</f>
        <v>0.385647527531039</v>
      </c>
      <c r="F4327" s="17" t="n">
        <f aca="false">Sens!$F$4319/Sens!$F$4298</f>
        <v>0.390008895496028</v>
      </c>
      <c r="G4327" s="17" t="n">
        <f aca="false">Sens!$G$4319/Sens!$G$4298</f>
        <v>0.387918733944362</v>
      </c>
      <c r="H4327" s="17" t="n">
        <f aca="false">Sens!$H$4319/Sens!$H$4298</f>
        <v>0.377537651365497</v>
      </c>
      <c r="I4327" s="17" t="n">
        <f aca="false">Sens!$I$4319/Sens!$I$4298</f>
        <v>0.359230604038662</v>
      </c>
      <c r="J4327" s="17" t="n">
        <f aca="false">Sens!$J$4319/Sens!$J$4298</f>
        <v>0.345197865849801</v>
      </c>
      <c r="K4327" s="17" t="n">
        <f aca="false">Sens!$K$4319/Sens!$K$4298</f>
        <v>0.32654098357242</v>
      </c>
      <c r="L4327" s="17" t="n">
        <f aca="false">Sens!$L$4319/Sens!$L$4298</f>
        <v>0.314806978274702</v>
      </c>
      <c r="M4327" s="17" t="n">
        <f aca="false">Sens!$M$4319/Sens!$M$4298</f>
        <v>0.304503505485029</v>
      </c>
      <c r="N4327" s="17" t="n">
        <f aca="false">Sens!$N$4319/Sens!$N$4298</f>
        <v>0.360941137346192</v>
      </c>
      <c r="O4327" s="17" t="n">
        <f aca="false">Sens!$O$4319/Sens!$O$4298</f>
        <v>0.348458117664212</v>
      </c>
    </row>
    <row r="4328" customFormat="false" ht="17.15" hidden="false" customHeight="false" outlineLevel="0" collapsed="false">
      <c r="A4328" s="0" t="s">
        <v>741</v>
      </c>
      <c r="B4328" s="0" t="s">
        <v>52</v>
      </c>
      <c r="C4328" s="13" t="n">
        <f aca="false">Sens!$C$4317/Sens!$C$4299</f>
        <v>0.708390794789371</v>
      </c>
      <c r="D4328" s="13" t="n">
        <f aca="false">Sens!$D$4317/Sens!$D$4299</f>
        <v>0.619415573115729</v>
      </c>
      <c r="E4328" s="13" t="n">
        <f aca="false">Sens!$E$4317/Sens!$E$4299</f>
        <v>0.374072166056273</v>
      </c>
      <c r="F4328" s="13" t="n">
        <f aca="false">Sens!$F$4317/Sens!$F$4299</f>
        <v>0.553219320710057</v>
      </c>
      <c r="G4328" s="13" t="n">
        <f aca="false">Sens!$G$4317/Sens!$G$4299</f>
        <v>0.488270041527512</v>
      </c>
      <c r="H4328" s="13" t="n">
        <f aca="false">Sens!$H$4317/Sens!$H$4299</f>
        <v>0.435229086816882</v>
      </c>
      <c r="I4328" s="13" t="n">
        <f aca="false">Sens!$I$4317/Sens!$I$4299</f>
        <v>0.364954592421095</v>
      </c>
      <c r="J4328" s="13" t="n">
        <f aca="false">Sens!$J$4317/Sens!$J$4299</f>
        <v>0.330438308582232</v>
      </c>
      <c r="K4328" s="13" t="n">
        <f aca="false">Sens!$K$4317/Sens!$K$4299</f>
        <v>0.2916589289528</v>
      </c>
      <c r="L4328" s="13" t="n">
        <f aca="false">Sens!$L$4317/Sens!$L$4299</f>
        <v>0.268199200593258</v>
      </c>
      <c r="M4328" s="13" t="n">
        <f aca="false">Sens!$M$4317/Sens!$M$4299</f>
        <v>0.244854995033574</v>
      </c>
      <c r="N4328" s="13" t="n">
        <f aca="false">Sens!$N$4317/Sens!$N$4299</f>
        <v>0.551227795793364</v>
      </c>
      <c r="O4328" s="13" t="n">
        <f aca="false">Sens!$O$4317/Sens!$O$4299</f>
        <v>0.656132068597002</v>
      </c>
    </row>
    <row r="4329" customFormat="false" ht="15" hidden="false" customHeight="false" outlineLevel="0" collapsed="false">
      <c r="A4329" s="5" t="s">
        <v>742</v>
      </c>
      <c r="B4329" s="0" t="s">
        <v>52</v>
      </c>
      <c r="C4329" s="13" t="n">
        <f aca="false">Sens!$C$4321/Sens!$C$4301</f>
        <v>0.107519448742004</v>
      </c>
      <c r="D4329" s="13" t="n">
        <f aca="false">Sens!$D$4321/Sens!$D$4301</f>
        <v>0.111552967957552</v>
      </c>
      <c r="E4329" s="13" t="n">
        <f aca="false">Sens!$E$4321/Sens!$E$4301</f>
        <v>0.13428328426562</v>
      </c>
      <c r="F4329" s="13" t="n">
        <f aca="false">Sens!$F$4321/Sens!$F$4301</f>
        <v>0.130089413875539</v>
      </c>
      <c r="G4329" s="13" t="n">
        <f aca="false">Sens!$G$4321/Sens!$G$4301</f>
        <v>0.132048786678316</v>
      </c>
      <c r="H4329" s="13" t="n">
        <f aca="false">Sens!$H$4321/Sens!$H$4301</f>
        <v>0.139843412084717</v>
      </c>
      <c r="I4329" s="13" t="n">
        <f aca="false">Sens!$I$4321/Sens!$I$4301</f>
        <v>0.142442825365122</v>
      </c>
      <c r="J4329" s="13" t="n">
        <f aca="false">Sens!$J$4321/Sens!$J$4301</f>
        <v>0.144283054191918</v>
      </c>
      <c r="K4329" s="13" t="n">
        <f aca="false">Sens!$K$4321/Sens!$K$4301</f>
        <v>0.142689600989907</v>
      </c>
      <c r="L4329" s="13" t="n">
        <f aca="false">Sens!$L$4321/Sens!$L$4301</f>
        <v>0.141749825228205</v>
      </c>
      <c r="M4329" s="13" t="n">
        <f aca="false">Sens!$M$4321/Sens!$M$4301</f>
        <v>0.141337796920174</v>
      </c>
      <c r="N4329" s="13" t="n">
        <f aca="false">Sens!$N$4321/Sens!$N$4301</f>
        <v>0.116201614873411</v>
      </c>
      <c r="O4329" s="13" t="n">
        <f aca="false">Sens!$O$4321/Sens!$O$4301</f>
        <v>0.107733353660861</v>
      </c>
    </row>
    <row r="4330" customFormat="false" ht="17.15" hidden="false" customHeight="false" outlineLevel="0" collapsed="false">
      <c r="A4330" s="1" t="s">
        <v>743</v>
      </c>
    </row>
    <row r="4331" customFormat="false" ht="17.15" hidden="false" customHeight="false" outlineLevel="0" collapsed="false">
      <c r="A4331" s="5" t="s">
        <v>744</v>
      </c>
      <c r="B4331" s="0" t="s">
        <v>52</v>
      </c>
      <c r="D4331" s="28" t="n">
        <f aca="false">(Q!$E$29+Q!$E$30-(1-ext_sh)*Sens!$D$4253)/Sens!$D$4207</f>
        <v>0.0341105596409988</v>
      </c>
    </row>
    <row r="4332" customFormat="false" ht="17.15" hidden="false" customHeight="false" outlineLevel="0" collapsed="false">
      <c r="A4332" s="0" t="s">
        <v>538</v>
      </c>
      <c r="B4332" s="0" t="s">
        <v>86</v>
      </c>
      <c r="C4332" s="38" t="n">
        <f aca="false">Q!$D$29</f>
        <v>14.285</v>
      </c>
      <c r="D4332" s="38" t="n">
        <f aca="false">Q!$E$29</f>
        <v>15.503</v>
      </c>
      <c r="E4332" s="38" t="n">
        <f aca="false">Q!$P$29</f>
        <v>8.78</v>
      </c>
      <c r="F4332" s="38" t="n">
        <f aca="false">(Sens!$D$4331*Sens!$F$4207+(1-ext_sh)*Sens!$F$4253)*Sens!$F$4208</f>
        <v>9.16735846116642</v>
      </c>
      <c r="G4332" s="38" t="n">
        <f aca="false">Sens!$E$4332+Sens!$F$4332</f>
        <v>17.9473584611664</v>
      </c>
      <c r="H4332" s="38" t="n">
        <f aca="false">(Sens!$D$4331*Sens!$H$4207+(1-ext_sh)*Sens!$H$4253)*Sens!$H$4208</f>
        <v>21.6560640658772</v>
      </c>
      <c r="I4332" s="38" t="n">
        <f aca="false">(Sens!$D$4331*Sens!$I$4207+(1-ext_sh)*Sens!$I$4253)*Sens!$I$4208</f>
        <v>27.3679723102537</v>
      </c>
      <c r="J4332" s="38" t="n">
        <f aca="false">(Sens!$D$4331*Sens!$J$4207+(1-ext_sh)*Sens!$J$4253)*Sens!$J$4208</f>
        <v>33.1401368255605</v>
      </c>
      <c r="K4332" s="38" t="n">
        <f aca="false">(Sens!$D$4331*Sens!$K$4207+(1-ext_sh)*Sens!$K$4253)*Sens!$K$4208</f>
        <v>38.8679509135809</v>
      </c>
      <c r="L4332" s="38" t="n">
        <f aca="false">(Sens!$D$4331*Sens!$L$4207+(1-ext_sh)*Sens!$L$4253)*Sens!$L$4208</f>
        <v>43.4532166806846</v>
      </c>
      <c r="M4332" s="38" t="n">
        <f aca="false">(Sens!$D$4331*Sens!$M$4207+(1-ext_sh)*Sens!$M$4253)*Sens!$M$4208</f>
        <v>47.1407711664751</v>
      </c>
      <c r="N4332" s="38" t="n">
        <f aca="false">Q!$N$29</f>
        <v>7.272</v>
      </c>
      <c r="O4332" s="38" t="n">
        <f aca="false">Q!$O$29</f>
        <v>8.231</v>
      </c>
    </row>
    <row r="4333" customFormat="false" ht="17.15" hidden="false" customHeight="false" outlineLevel="0" collapsed="false">
      <c r="A4333" s="0" t="s">
        <v>540</v>
      </c>
      <c r="B4333" s="0" t="s">
        <v>86</v>
      </c>
      <c r="C4333" s="38" t="n">
        <f aca="false">Q!$D$30</f>
        <v>4.462</v>
      </c>
      <c r="D4333" s="38" t="n">
        <f aca="false">Q!$E$30</f>
        <v>4.907</v>
      </c>
      <c r="E4333" s="38" t="n">
        <f aca="false">Q!$P$30</f>
        <v>2.57</v>
      </c>
      <c r="F4333" s="38" t="n">
        <f aca="false">(Sens!$D$4331*Sens!$F$4207+(1-ext_sh)*Sens!$F$4253)*(1-Sens!$F$4208)</f>
        <v>3.59937168293151</v>
      </c>
      <c r="G4333" s="38" t="n">
        <f aca="false">Sens!$E$4333+Sens!$F$4333</f>
        <v>6.16937168293151</v>
      </c>
      <c r="H4333" s="38" t="n">
        <f aca="false">(Sens!$D$4331*Sens!$H$4207+(1-ext_sh)*Sens!$H$4253)*(1-Sens!$H$4208)</f>
        <v>8.29504849392634</v>
      </c>
      <c r="I4333" s="38" t="n">
        <f aca="false">(Sens!$D$4331*Sens!$I$4207+(1-ext_sh)*Sens!$I$4253)*(1-Sens!$I$4208)</f>
        <v>10.4829140144489</v>
      </c>
      <c r="J4333" s="38" t="n">
        <f aca="false">(Sens!$D$4331*Sens!$J$4207+(1-ext_sh)*Sens!$J$4253)*(1-Sens!$J$4208)</f>
        <v>12.6938598457754</v>
      </c>
      <c r="K4333" s="38" t="n">
        <f aca="false">(Sens!$D$4331*Sens!$K$4207+(1-ext_sh)*Sens!$K$4253)*(1-Sens!$K$4208)</f>
        <v>14.8878178743346</v>
      </c>
      <c r="L4333" s="38" t="n">
        <f aca="false">(Sens!$D$4331*Sens!$L$4207+(1-ext_sh)*Sens!$L$4253)*(1-Sens!$L$4208)</f>
        <v>16.6441389574254</v>
      </c>
      <c r="M4333" s="38" t="n">
        <f aca="false">(Sens!$D$4331*Sens!$M$4207+(1-ext_sh)*Sens!$M$4253)*(1-Sens!$M$4208)</f>
        <v>18.0566044539524</v>
      </c>
      <c r="N4333" s="38" t="n">
        <f aca="false">Q!$N$30</f>
        <v>2.316</v>
      </c>
      <c r="O4333" s="38" t="n">
        <f aca="false">Q!$O$30</f>
        <v>2.591</v>
      </c>
    </row>
    <row r="4334" customFormat="false" ht="17.15" hidden="false" customHeight="false" outlineLevel="0" collapsed="false">
      <c r="A4334" s="0" t="s">
        <v>541</v>
      </c>
      <c r="B4334" s="0" t="s">
        <v>86</v>
      </c>
      <c r="C4334" s="38" t="n">
        <f aca="false">Sens!$C$4265</f>
        <v>13.32</v>
      </c>
      <c r="D4334" s="38" t="n">
        <f aca="false">Sens!$D$4265</f>
        <v>21.45</v>
      </c>
      <c r="E4334" s="38" t="n">
        <f aca="false">Sens!$E$4265</f>
        <v>15.353</v>
      </c>
      <c r="F4334" s="38" t="n">
        <f aca="false">Sens!$F$4265</f>
        <v>15.4404120185306</v>
      </c>
      <c r="G4334" s="38" t="n">
        <f aca="false">Sens!$G$4265</f>
        <v>30.7934120185306</v>
      </c>
      <c r="H4334" s="38" t="n">
        <f aca="false">Sens!$H$4265</f>
        <v>48.250114371455</v>
      </c>
      <c r="I4334" s="38" t="n">
        <f aca="false">Sens!$I$4265</f>
        <v>73.3965146995963</v>
      </c>
      <c r="J4334" s="38" t="n">
        <f aca="false">Sens!$J$4265</f>
        <v>99.22806138309</v>
      </c>
      <c r="K4334" s="38" t="n">
        <f aca="false">Sens!$K$4265</f>
        <v>125.386627452856</v>
      </c>
      <c r="L4334" s="38" t="n">
        <f aca="false">Sens!$L$4265</f>
        <v>144.77239043275</v>
      </c>
      <c r="M4334" s="38" t="n">
        <f aca="false">Sens!$M$4265</f>
        <v>158.693930910983</v>
      </c>
      <c r="N4334" s="38" t="n">
        <f aca="false">Sens!$N$4265</f>
        <v>9.234</v>
      </c>
      <c r="O4334" s="38" t="n">
        <f aca="false">Sens!$O$4265</f>
        <v>12.216</v>
      </c>
    </row>
    <row r="4335" customFormat="false" ht="17.15" hidden="false" customHeight="false" outlineLevel="0" collapsed="false">
      <c r="A4335" s="5" t="s">
        <v>745</v>
      </c>
      <c r="B4335" s="0" t="s">
        <v>86</v>
      </c>
      <c r="C4335" s="38" t="n">
        <f aca="false">Sens!$C$4332+Sens!$C$4333+Sens!$C$4334</f>
        <v>32.067</v>
      </c>
      <c r="D4335" s="38" t="n">
        <f aca="false">Sens!$D$4332+Sens!$D$4333+Sens!$D$4334</f>
        <v>41.86</v>
      </c>
      <c r="E4335" s="38" t="n">
        <f aca="false">Sens!$E$4332+Sens!$E$4333+Sens!$E$4334</f>
        <v>26.703</v>
      </c>
      <c r="F4335" s="38" t="n">
        <f aca="false">Sens!$F$4332+Sens!$F$4333+Sens!$F$4334</f>
        <v>28.2071421626285</v>
      </c>
      <c r="G4335" s="38" t="n">
        <f aca="false">Sens!$G$4332+Sens!$G$4333+Sens!$G$4334</f>
        <v>54.9101421626285</v>
      </c>
      <c r="H4335" s="38" t="n">
        <f aca="false">Sens!$H$4332+Sens!$H$4333+Sens!$H$4334</f>
        <v>78.2012269312586</v>
      </c>
      <c r="I4335" s="38" t="n">
        <f aca="false">Sens!$I$4332+Sens!$I$4333+Sens!$I$4334</f>
        <v>111.247401024299</v>
      </c>
      <c r="J4335" s="38" t="n">
        <f aca="false">Sens!$J$4332+Sens!$J$4333+Sens!$J$4334</f>
        <v>145.062058054426</v>
      </c>
      <c r="K4335" s="38" t="n">
        <f aca="false">Sens!$K$4332+Sens!$K$4333+Sens!$K$4334</f>
        <v>179.142396240771</v>
      </c>
      <c r="L4335" s="38" t="n">
        <f aca="false">Sens!$L$4332+Sens!$L$4333+Sens!$L$4334</f>
        <v>204.86974607086</v>
      </c>
      <c r="M4335" s="38" t="n">
        <f aca="false">Sens!$M$4332+Sens!$M$4333+Sens!$M$4334</f>
        <v>223.891306531411</v>
      </c>
      <c r="N4335" s="38" t="n">
        <f aca="false">Sens!$N$4332+Sens!$N$4333+Sens!$N$4334</f>
        <v>18.822</v>
      </c>
      <c r="O4335" s="38" t="n">
        <f aca="false">Sens!$O$4332+Sens!$O$4333+Sens!$O$4334</f>
        <v>23.038</v>
      </c>
    </row>
    <row r="4336" customFormat="false" ht="17.15" hidden="false" customHeight="false" outlineLevel="0" collapsed="false">
      <c r="A4336" s="0" t="s">
        <v>746</v>
      </c>
      <c r="B4336" s="0" t="s">
        <v>86</v>
      </c>
      <c r="C4336" s="38" t="n">
        <f aca="false">Sens!$C$4307+Sens!$C$4312</f>
        <v>28.107</v>
      </c>
      <c r="D4336" s="38" t="n">
        <f aca="false">Sens!$D$4307+Sens!$D$4312</f>
        <v>34.3175</v>
      </c>
      <c r="E4336" s="38" t="n">
        <f aca="false">Sens!$E$4307+Sens!$E$4312</f>
        <v>18.526</v>
      </c>
      <c r="F4336" s="38" t="n">
        <f aca="false">Sens!$F$4307+Sens!$F$4312</f>
        <v>23.0786109972074</v>
      </c>
      <c r="G4336" s="38" t="n">
        <f aca="false">Sens!$G$4307+Sens!$G$4312</f>
        <v>41.6046109972074</v>
      </c>
      <c r="H4336" s="38" t="n">
        <f aca="false">Sens!$H$4307+Sens!$H$4312</f>
        <v>50.2604957764278</v>
      </c>
      <c r="I4336" s="38" t="n">
        <f aca="false">Sens!$I$4307+Sens!$I$4312</f>
        <v>59.4096179706066</v>
      </c>
      <c r="J4336" s="38" t="n">
        <f aca="false">Sens!$J$4307+Sens!$J$4312</f>
        <v>68.678530173233</v>
      </c>
      <c r="K4336" s="38" t="n">
        <f aca="false">Sens!$K$4307+Sens!$K$4312</f>
        <v>77.6067390957533</v>
      </c>
      <c r="L4336" s="38" t="n">
        <f aca="false">Sens!$L$4307+Sens!$L$4312</f>
        <v>87.6956151782012</v>
      </c>
      <c r="M4336" s="38" t="n">
        <f aca="false">Sens!$M$4307+Sens!$M$4312</f>
        <v>99.0960451513673</v>
      </c>
      <c r="N4336" s="38" t="n">
        <f aca="false">Sens!$N$4307+Sens!$N$4312</f>
        <v>14.8075</v>
      </c>
      <c r="O4336" s="38" t="n">
        <f aca="false">Sens!$O$4307+Sens!$O$4312</f>
        <v>19.51</v>
      </c>
    </row>
    <row r="4337" customFormat="false" ht="17.15" hidden="false" customHeight="false" outlineLevel="0" collapsed="false">
      <c r="A4337" s="0" t="s">
        <v>747</v>
      </c>
      <c r="B4337" s="0" t="s">
        <v>86</v>
      </c>
      <c r="C4337" s="38" t="n">
        <f aca="false">Sens!$C$4311+Sens!$C$4316+Sens!$C$4332+Sens!$C$4333-Sens!$C$4336</f>
        <v>19.399</v>
      </c>
      <c r="D4337" s="38" t="n">
        <f aca="false">Sens!$D$4311+Sens!$D$4316+Sens!$D$4332+Sens!$D$4333-Sens!$D$4336</f>
        <v>20.4615</v>
      </c>
      <c r="E4337" s="38" t="n">
        <f aca="false">Sens!$E$4311+Sens!$E$4316+Sens!$E$4332+Sens!$E$4333-Sens!$E$4336</f>
        <v>13.355</v>
      </c>
      <c r="F4337" s="38" t="n">
        <f aca="false">Sens!$F$4311+Sens!$F$4316+Sens!$F$4332+Sens!$F$4333-Sens!$F$4336</f>
        <v>12.5520732018618</v>
      </c>
      <c r="G4337" s="38" t="n">
        <f aca="false">Sens!$G$4311+Sens!$G$4316+Sens!$G$4332+Sens!$G$4333-Sens!$G$4336</f>
        <v>25.9070732018618</v>
      </c>
      <c r="H4337" s="38" t="n">
        <f aca="false">Sens!$H$4311+Sens!$H$4316+Sens!$H$4332+Sens!$H$4333-Sens!$H$4336</f>
        <v>28.0446209391532</v>
      </c>
      <c r="I4337" s="38" t="n">
        <f aca="false">Sens!$I$4311+Sens!$I$4316+Sens!$I$4332+Sens!$I$4333-Sens!$I$4336</f>
        <v>30.320282130601</v>
      </c>
      <c r="J4337" s="38" t="n">
        <f aca="false">Sens!$J$4311+Sens!$J$4316+Sens!$J$4332+Sens!$J$4333-Sens!$J$4336</f>
        <v>32.6373018630831</v>
      </c>
      <c r="K4337" s="38" t="n">
        <f aca="false">Sens!$K$4311+Sens!$K$4316+Sens!$K$4332+Sens!$K$4333-Sens!$K$4336</f>
        <v>35.1754027739259</v>
      </c>
      <c r="L4337" s="38" t="n">
        <f aca="false">Sens!$L$4311+Sens!$L$4316+Sens!$L$4332+Sens!$L$4333-Sens!$L$4336</f>
        <v>36.9708279936398</v>
      </c>
      <c r="M4337" s="38" t="n">
        <f aca="false">Sens!$M$4311+Sens!$M$4316+Sens!$M$4332+Sens!$M$4333-Sens!$M$4336</f>
        <v>39.6020825380119</v>
      </c>
      <c r="N4337" s="38" t="n">
        <f aca="false">Sens!$N$4311+Sens!$N$4316+Sens!$N$4332+Sens!$N$4333-Sens!$N$4336</f>
        <v>10.6495</v>
      </c>
      <c r="O4337" s="38" t="n">
        <f aca="false">Sens!$O$4311+Sens!$O$4316+Sens!$O$4332+Sens!$O$4333-Sens!$O$4336</f>
        <v>9.81200000000001</v>
      </c>
    </row>
    <row r="4338" customFormat="false" ht="17.15" hidden="false" customHeight="false" outlineLevel="0" collapsed="false">
      <c r="A4338" s="0" t="s">
        <v>748</v>
      </c>
      <c r="B4338" s="0" t="s">
        <v>86</v>
      </c>
      <c r="C4338" s="38" t="n">
        <f aca="false">Sens!$C$4318+Sens!$C$4334-ext_sh*Sens!$C$4253</f>
        <v>51.3470500115664</v>
      </c>
      <c r="D4338" s="38" t="n">
        <f aca="false">Sens!$D$4318+Sens!$D$4334-ext_sh*Sens!$D$4253</f>
        <v>60.2799375433739</v>
      </c>
      <c r="E4338" s="38" t="n">
        <f aca="false">Sens!$E$4318+Sens!$E$4334-ext_sh*Sens!$E$4253</f>
        <v>39.5095167090767</v>
      </c>
      <c r="F4338" s="38" t="n">
        <f aca="false">Sens!$F$4318+Sens!$F$4334-ext_sh*Sens!$F$4253</f>
        <v>37.5468918745429</v>
      </c>
      <c r="G4338" s="38" t="n">
        <f aca="false">Sens!$G$4318+Sens!$G$4334-ext_sh*Sens!$G$4253</f>
        <v>77.0564085836196</v>
      </c>
      <c r="H4338" s="38" t="n">
        <f aca="false">Sens!$H$4318+Sens!$H$4334-ext_sh*Sens!$H$4253</f>
        <v>84.2378398616123</v>
      </c>
      <c r="I4338" s="38" t="n">
        <f aca="false">Sens!$I$4318+Sens!$I$4334-ext_sh*Sens!$I$4253</f>
        <v>93.5253492849083</v>
      </c>
      <c r="J4338" s="38" t="n">
        <f aca="false">Sens!$J$4318+Sens!$J$4334-ext_sh*Sens!$J$4253</f>
        <v>102.42210777817</v>
      </c>
      <c r="K4338" s="38" t="n">
        <f aca="false">Sens!$K$4318+Sens!$K$4334-ext_sh*Sens!$K$4253</f>
        <v>110.615876400424</v>
      </c>
      <c r="L4338" s="38" t="n">
        <f aca="false">Sens!$L$4318+Sens!$L$4334-ext_sh*Sens!$L$4253</f>
        <v>119.465146512458</v>
      </c>
      <c r="M4338" s="38" t="n">
        <f aca="false">Sens!$M$4318+Sens!$M$4334-ext_sh*Sens!$M$4253</f>
        <v>129.022358233455</v>
      </c>
      <c r="N4338" s="38" t="n">
        <f aca="false">Sens!$N$4318+Sens!$N$4334-ext_sh*Sens!$N$4253</f>
        <v>28.5693781401809</v>
      </c>
      <c r="O4338" s="38" t="n">
        <f aca="false">Sens!$O$4318+Sens!$O$4334-ext_sh*Sens!$O$4253</f>
        <v>31.7105594031931</v>
      </c>
    </row>
    <row r="4339" customFormat="false" ht="17.15" hidden="false" customHeight="false" outlineLevel="0" collapsed="false">
      <c r="A4339" s="0" t="s">
        <v>749</v>
      </c>
      <c r="B4339" s="0" t="s">
        <v>86</v>
      </c>
      <c r="C4339" s="38" t="n">
        <f aca="false">Sens!$C$4256</f>
        <v>1.80694998843362</v>
      </c>
      <c r="D4339" s="38" t="n">
        <f aca="false">Sens!$D$4256</f>
        <v>6.77606245662607</v>
      </c>
      <c r="E4339" s="38" t="n">
        <f aca="false">Sens!$E$4256</f>
        <v>6.62548329092326</v>
      </c>
      <c r="F4339" s="38" t="n">
        <f aca="false">Sens!$F$4256</f>
        <v>11.7200577158706</v>
      </c>
      <c r="G4339" s="38" t="n">
        <f aca="false">Sens!$G$4256</f>
        <v>18.3455410067939</v>
      </c>
      <c r="H4339" s="38" t="n">
        <f aca="false">Sens!$H$4256</f>
        <v>47.5171727060453</v>
      </c>
      <c r="I4339" s="38" t="n">
        <f aca="false">Sens!$I$4256</f>
        <v>80.5539692643667</v>
      </c>
      <c r="J4339" s="38" t="n">
        <f aca="false">Sens!$J$4256</f>
        <v>113.759316834883</v>
      </c>
      <c r="K4339" s="38" t="n">
        <f aca="false">Sens!$K$4256</f>
        <v>142.084411492169</v>
      </c>
      <c r="L4339" s="38" t="n">
        <f aca="false">Sens!$L$4256</f>
        <v>160.69964615804</v>
      </c>
      <c r="M4339" s="38" t="n">
        <f aca="false">Sens!$M$4256</f>
        <v>169.577607141793</v>
      </c>
      <c r="N4339" s="38" t="n">
        <f aca="false">Sens!$N$4256</f>
        <v>2.37162185981912</v>
      </c>
      <c r="O4339" s="38" t="n">
        <f aca="false">Sens!$O$4256</f>
        <v>4.40444059680694</v>
      </c>
    </row>
    <row r="4340" customFormat="false" ht="17.15" hidden="false" customHeight="false" outlineLevel="0" collapsed="false">
      <c r="A4340" s="0" t="s">
        <v>750</v>
      </c>
      <c r="B4340" s="0" t="s">
        <v>86</v>
      </c>
      <c r="C4340" s="38" t="n">
        <f aca="false">Sens!$C$4321+Sens!$C$4335</f>
        <v>100.66</v>
      </c>
      <c r="D4340" s="38" t="n">
        <f aca="false">Sens!$D$4321+Sens!$D$4335</f>
        <v>121.835</v>
      </c>
      <c r="E4340" s="38" t="n">
        <f aca="false">Sens!$E$4321+Sens!$E$4335</f>
        <v>78.016</v>
      </c>
      <c r="F4340" s="38" t="n">
        <f aca="false">Sens!$F$4321+Sens!$F$4335</f>
        <v>84.8976337894826</v>
      </c>
      <c r="G4340" s="38" t="n">
        <f aca="false">Sens!$G$4321+Sens!$G$4335</f>
        <v>162.913633789483</v>
      </c>
      <c r="H4340" s="38" t="n">
        <f aca="false">Sens!$H$4321+Sens!$H$4335</f>
        <v>210.060129283239</v>
      </c>
      <c r="I4340" s="38" t="n">
        <f aca="false">Sens!$I$4321+Sens!$I$4335</f>
        <v>263.809218650483</v>
      </c>
      <c r="J4340" s="38" t="n">
        <f aca="false">Sens!$J$4321+Sens!$J$4335</f>
        <v>317.49725664937</v>
      </c>
      <c r="K4340" s="38" t="n">
        <f aca="false">Sens!$K$4321+Sens!$K$4335</f>
        <v>365.482429762273</v>
      </c>
      <c r="L4340" s="38" t="n">
        <f aca="false">Sens!$L$4321+Sens!$L$4335</f>
        <v>404.831235842339</v>
      </c>
      <c r="M4340" s="38" t="n">
        <f aca="false">Sens!$M$4321+Sens!$M$4335</f>
        <v>437.298093064627</v>
      </c>
      <c r="N4340" s="38" t="n">
        <f aca="false">Sens!$N$4321+Sens!$N$4335</f>
        <v>56.398</v>
      </c>
      <c r="O4340" s="38" t="n">
        <f aca="false">Sens!$O$4321+Sens!$O$4335</f>
        <v>65.437</v>
      </c>
    </row>
    <row r="4341" customFormat="false" ht="17.15" hidden="false" customHeight="false" outlineLevel="0" collapsed="false">
      <c r="A4341" s="1" t="s">
        <v>751</v>
      </c>
    </row>
    <row r="4342" customFormat="false" ht="15" hidden="false" customHeight="false" outlineLevel="0" collapsed="false">
      <c r="A4342" s="5" t="s">
        <v>544</v>
      </c>
      <c r="B4342" s="0" t="s">
        <v>86</v>
      </c>
      <c r="C4342" s="38" t="n">
        <f aca="false">Q!$D$34</f>
        <v>2.406</v>
      </c>
      <c r="D4342" s="38" t="n">
        <f aca="false">Q!$E$34</f>
        <v>2.274</v>
      </c>
      <c r="E4342" s="38" t="n">
        <f aca="false">Q!$P$34</f>
        <v>2.114</v>
      </c>
      <c r="F4342" s="38" t="n">
        <f aca="false">Sens!$F$4380</f>
        <v>3.24888962733561</v>
      </c>
      <c r="G4342" s="38" t="n">
        <f aca="false">Sens!$E$4342+Sens!$F$4342</f>
        <v>5.36288962733561</v>
      </c>
      <c r="H4342" s="38" t="n">
        <f aca="false">Sens!$H$4380</f>
        <v>7.42354172302123</v>
      </c>
      <c r="I4342" s="38" t="n">
        <f aca="false">Sens!$I$4380</f>
        <v>8.47288614938941</v>
      </c>
      <c r="J4342" s="38" t="n">
        <f aca="false">Sens!$J$4380</f>
        <v>9.55814008318533</v>
      </c>
      <c r="K4342" s="38" t="n">
        <f aca="false">Sens!$K$4380</f>
        <v>9.55814008318533</v>
      </c>
      <c r="L4342" s="38" t="n">
        <f aca="false">Sens!$L$4380</f>
        <v>9.55814008318533</v>
      </c>
      <c r="M4342" s="38" t="n">
        <f aca="false">Sens!$M$4380</f>
        <v>9.55814008318533</v>
      </c>
      <c r="N4342" s="38" t="n">
        <f aca="false">Q!$N$34</f>
        <v>1.057</v>
      </c>
      <c r="O4342" s="38" t="n">
        <f aca="false">Q!$O$34</f>
        <v>1.217</v>
      </c>
    </row>
    <row r="4343" customFormat="false" ht="15" hidden="false" customHeight="false" outlineLevel="0" collapsed="false">
      <c r="A4343" s="5" t="s">
        <v>752</v>
      </c>
      <c r="B4343" s="0" t="s">
        <v>86</v>
      </c>
      <c r="F4343" s="38" t="n">
        <f aca="false">Sens!$F$4381</f>
        <v>2.59</v>
      </c>
      <c r="H4343" s="38" t="n">
        <f aca="false">Sens!$H$4381</f>
        <v>3.76965165045626</v>
      </c>
      <c r="I4343" s="38" t="n">
        <f aca="false">Sens!$I$4381</f>
        <v>2.10589651022864</v>
      </c>
      <c r="J4343" s="38" t="n">
        <f aca="false">Sens!$J$4381</f>
        <v>2.10589651022864</v>
      </c>
      <c r="K4343" s="38" t="n">
        <f aca="false">Sens!$K$4381</f>
        <v>3.12780765292989</v>
      </c>
      <c r="L4343" s="38" t="n">
        <f aca="false">Sens!$L$4381</f>
        <v>8.29781891295254</v>
      </c>
      <c r="M4343" s="38" t="n">
        <f aca="false">Sens!$M$4381</f>
        <v>16.0432649362786</v>
      </c>
    </row>
    <row r="4344" customFormat="false" ht="17.15" hidden="false" customHeight="false" outlineLevel="0" collapsed="false">
      <c r="A4344" s="5" t="s">
        <v>753</v>
      </c>
      <c r="B4344" s="0" t="s">
        <v>86</v>
      </c>
      <c r="C4344" s="38" t="n">
        <f aca="false">Q!$D$39</f>
        <v>2.427</v>
      </c>
      <c r="D4344" s="38" t="n">
        <f aca="false">Q!$E$39</f>
        <v>19.61</v>
      </c>
      <c r="E4344" s="38" t="n">
        <f aca="false">Q!$P$39</f>
        <v>71.492</v>
      </c>
      <c r="F4344" s="39" t="n">
        <v>0</v>
      </c>
      <c r="G4344" s="38" t="n">
        <f aca="false">Sens!$E$4344+Sens!$F$4344</f>
        <v>71.492</v>
      </c>
      <c r="H4344" s="39" t="n">
        <v>0</v>
      </c>
      <c r="I4344" s="39" t="n">
        <v>0</v>
      </c>
      <c r="J4344" s="39" t="n">
        <v>0</v>
      </c>
      <c r="K4344" s="39" t="n">
        <v>0</v>
      </c>
      <c r="L4344" s="39" t="n">
        <v>0</v>
      </c>
      <c r="M4344" s="39" t="n">
        <v>0</v>
      </c>
      <c r="N4344" s="38" t="n">
        <f aca="false">Q!$N$39</f>
        <v>6.017</v>
      </c>
      <c r="O4344" s="38" t="n">
        <f aca="false">Q!$O$39</f>
        <v>13.593</v>
      </c>
      <c r="P4344" s="5" t="s">
        <v>754</v>
      </c>
    </row>
    <row r="4345" customFormat="false" ht="15" hidden="false" customHeight="false" outlineLevel="0" collapsed="false">
      <c r="A4345" s="5" t="s">
        <v>547</v>
      </c>
      <c r="B4345" s="0" t="s">
        <v>86</v>
      </c>
      <c r="C4345" s="38" t="n">
        <f aca="false">Q!$D$36</f>
        <v>68.614</v>
      </c>
      <c r="D4345" s="38" t="n">
        <f aca="false">Q!$E$36</f>
        <v>97.311</v>
      </c>
      <c r="E4345" s="38" t="n">
        <f aca="false">Q!$P$36</f>
        <v>120.691</v>
      </c>
      <c r="F4345" s="38" t="n">
        <f aca="false">Sens!$F$4321-Sens!$F$4342+Sens!$F$4343+Sens!$F$4344</f>
        <v>56.0316019995185</v>
      </c>
      <c r="G4345" s="38" t="n">
        <f aca="false">Sens!$E$4345+Sens!$F$4345</f>
        <v>176.722601999518</v>
      </c>
      <c r="H4345" s="38" t="n">
        <f aca="false">Sens!$H$4321-Sens!$H$4342+Sens!$H$4343+Sens!$H$4344</f>
        <v>128.205012279415</v>
      </c>
      <c r="I4345" s="38" t="n">
        <f aca="false">Sens!$I$4321-Sens!$I$4342+Sens!$I$4343+Sens!$I$4344</f>
        <v>146.194827987023</v>
      </c>
      <c r="J4345" s="38" t="n">
        <f aca="false">Sens!$J$4321-Sens!$J$4342+Sens!$J$4343+Sens!$J$4344</f>
        <v>164.982955021987</v>
      </c>
      <c r="K4345" s="38" t="n">
        <f aca="false">Sens!$K$4321-Sens!$K$4342+Sens!$K$4343+Sens!$K$4344</f>
        <v>179.909701091246</v>
      </c>
      <c r="L4345" s="38" t="n">
        <f aca="false">Sens!$L$4321-Sens!$L$4342+Sens!$L$4343+Sens!$L$4344</f>
        <v>198.701168601247</v>
      </c>
      <c r="M4345" s="38" t="n">
        <f aca="false">Sens!$M$4321-Sens!$M$4342+Sens!$M$4343+Sens!$M$4344</f>
        <v>219.89191138631</v>
      </c>
      <c r="N4345" s="38" t="n">
        <f aca="false">Q!$N$36</f>
        <v>42.536</v>
      </c>
      <c r="O4345" s="38" t="n">
        <f aca="false">Q!$O$36</f>
        <v>54.775</v>
      </c>
    </row>
    <row r="4346" customFormat="false" ht="15" hidden="false" customHeight="false" outlineLevel="0" collapsed="false">
      <c r="A4346" s="5" t="s">
        <v>548</v>
      </c>
      <c r="B4346" s="0" t="s">
        <v>86</v>
      </c>
      <c r="C4346" s="38" t="n">
        <f aca="false">Q!$D$37</f>
        <v>9.265</v>
      </c>
      <c r="D4346" s="38" t="n">
        <f aca="false">Q!$E$37</f>
        <v>19.087</v>
      </c>
      <c r="E4346" s="38" t="n">
        <f aca="false">Q!$P$37</f>
        <v>27.759</v>
      </c>
      <c r="F4346" s="38" t="n">
        <f aca="false">Sens!$F$4345*tax</f>
        <v>9.72621910890414</v>
      </c>
      <c r="G4346" s="38" t="n">
        <f aca="false">Sens!$E$4346+Sens!$F$4346</f>
        <v>37.4852191089041</v>
      </c>
      <c r="H4346" s="38" t="n">
        <f aca="false">Sens!$H$4345*tax</f>
        <v>22.2544063669651</v>
      </c>
      <c r="I4346" s="38" t="n">
        <f aca="false">Sens!$I$4345*tax</f>
        <v>25.3771600105697</v>
      </c>
      <c r="J4346" s="38" t="n">
        <f aca="false">Sens!$J$4345*tax</f>
        <v>28.6384881480297</v>
      </c>
      <c r="K4346" s="38" t="n">
        <f aca="false">Sens!$K$4345*tax</f>
        <v>31.2295402984542</v>
      </c>
      <c r="L4346" s="38" t="n">
        <f aca="false">Sens!$L$4345*tax</f>
        <v>34.4914482906921</v>
      </c>
      <c r="M4346" s="38" t="n">
        <f aca="false">Sens!$M$4345*tax</f>
        <v>38.1698333457851</v>
      </c>
      <c r="N4346" s="38" t="n">
        <f aca="false">Q!$N$37</f>
        <v>7.231</v>
      </c>
      <c r="O4346" s="38" t="n">
        <f aca="false">Q!$O$37</f>
        <v>11.856</v>
      </c>
    </row>
    <row r="4347" customFormat="false" ht="15" hidden="false" customHeight="false" outlineLevel="0" collapsed="false">
      <c r="A4347" s="3" t="s">
        <v>549</v>
      </c>
      <c r="B4347" s="8" t="s">
        <v>86</v>
      </c>
      <c r="C4347" s="38" t="n">
        <f aca="false">Q!$D$38</f>
        <v>59.248</v>
      </c>
      <c r="D4347" s="38" t="n">
        <f aca="false">Q!$E$38</f>
        <v>77.67</v>
      </c>
      <c r="E4347" s="38" t="n">
        <f aca="false">Q!$P$38</f>
        <v>92.902</v>
      </c>
      <c r="F4347" s="38" t="n">
        <f aca="false">Sens!$F$4345-Sens!$F$4346</f>
        <v>46.3053828906144</v>
      </c>
      <c r="G4347" s="38" t="n">
        <f aca="false">Sens!$E$4347+Sens!$F$4347</f>
        <v>139.207382890614</v>
      </c>
      <c r="H4347" s="38" t="n">
        <f aca="false">Sens!$H$4345-Sens!$H$4346</f>
        <v>105.95060591245</v>
      </c>
      <c r="I4347" s="38" t="n">
        <f aca="false">Sens!$I$4345-Sens!$I$4346</f>
        <v>120.817667976453</v>
      </c>
      <c r="J4347" s="38" t="n">
        <f aca="false">Sens!$J$4345-Sens!$J$4346</f>
        <v>136.344466873958</v>
      </c>
      <c r="K4347" s="38" t="n">
        <f aca="false">Sens!$K$4345-Sens!$K$4346</f>
        <v>148.680160792792</v>
      </c>
      <c r="L4347" s="38" t="n">
        <f aca="false">Sens!$L$4345-Sens!$L$4346</f>
        <v>164.209720310555</v>
      </c>
      <c r="M4347" s="38" t="n">
        <f aca="false">Sens!$M$4345-Sens!$M$4346</f>
        <v>181.722078040525</v>
      </c>
      <c r="N4347" s="38" t="n">
        <f aca="false">Q!$N$38</f>
        <v>35.291</v>
      </c>
      <c r="O4347" s="38" t="n">
        <f aca="false">Q!$O$38</f>
        <v>42.379</v>
      </c>
    </row>
    <row r="4348" customFormat="false" ht="17.15" hidden="false" customHeight="false" outlineLevel="0" collapsed="false">
      <c r="A4348" s="5" t="s">
        <v>552</v>
      </c>
      <c r="B4348" s="5" t="s">
        <v>33</v>
      </c>
      <c r="C4348" s="22" t="n">
        <f aca="false">Q!$D$41</f>
        <v>10.721</v>
      </c>
      <c r="D4348" s="22" t="n">
        <f aca="false">Q!$E$41</f>
        <v>10.827</v>
      </c>
      <c r="E4348" s="22" t="n">
        <f aca="false">(Q!$L$41+Q!$M$41)/2</f>
        <v>10.8885</v>
      </c>
      <c r="F4348" s="22" t="n">
        <f aca="false">Sens!$G$4348</f>
        <v>10.924806</v>
      </c>
      <c r="G4348" s="22" t="n">
        <f aca="false">Q!$M$41*(1+sh_g*0.25)</f>
        <v>10.924806</v>
      </c>
      <c r="H4348" s="22" t="n">
        <f aca="false">Sens!$G$4348*(1+sh_g)</f>
        <v>11.012204448</v>
      </c>
      <c r="I4348" s="22" t="n">
        <f aca="false">Sens!$H$4348*(1+sh_g)</f>
        <v>11.100302083584</v>
      </c>
      <c r="J4348" s="22" t="n">
        <f aca="false">Sens!$I$4348*(1+sh_g)</f>
        <v>11.1891045002527</v>
      </c>
      <c r="K4348" s="22" t="n">
        <f aca="false">Sens!$J$4348*(1+sh_g)</f>
        <v>11.2786173362547</v>
      </c>
      <c r="L4348" s="22" t="n">
        <f aca="false">Sens!$K$4348*(1+sh_g)</f>
        <v>11.3688462749447</v>
      </c>
      <c r="M4348" s="22" t="n">
        <f aca="false">Sens!$L$4348*(1+sh_g)</f>
        <v>11.4597970451443</v>
      </c>
      <c r="P4348" s="5" t="s">
        <v>755</v>
      </c>
    </row>
    <row r="4349" customFormat="false" ht="17.15" hidden="false" customHeight="false" outlineLevel="0" collapsed="false">
      <c r="A4349" s="5" t="s">
        <v>756</v>
      </c>
      <c r="B4349" s="0" t="s">
        <v>86</v>
      </c>
      <c r="C4349" s="38" t="n">
        <f aca="false">Sens!$C$4347+Sens!$C$4323*(1-tax)</f>
        <v>59.248</v>
      </c>
      <c r="D4349" s="38" t="n">
        <f aca="false">Sens!$D$4347+Sens!$D$4323*(1-tax)</f>
        <v>77.67</v>
      </c>
      <c r="E4349" s="38" t="n">
        <f aca="false">Sens!$E$4347+Sens!$E$4323*(1-tax)</f>
        <v>92.902</v>
      </c>
      <c r="F4349" s="38" t="n">
        <f aca="false">Sens!$F$4347+Sens!$F$4323*(1-tax)</f>
        <v>49.421977850263</v>
      </c>
      <c r="G4349" s="38" t="n">
        <f aca="false">Sens!$G$4347+Sens!$G$4323*(1-tax)</f>
        <v>142.323977850263</v>
      </c>
      <c r="H4349" s="38" t="n">
        <f aca="false">Sens!$H$4347+Sens!$H$4323*(1-tax)</f>
        <v>118.482001867795</v>
      </c>
      <c r="I4349" s="38" t="n">
        <f aca="false">Sens!$I$4347+Sens!$I$4323*(1-tax)</f>
        <v>141.958933051392</v>
      </c>
      <c r="J4349" s="38" t="n">
        <f aca="false">Sens!$J$4347+Sens!$J$4323*(1-tax)</f>
        <v>166.133903818241</v>
      </c>
      <c r="K4349" s="38" t="n">
        <f aca="false">Sens!$K$4347+Sens!$K$4323*(1-tax)</f>
        <v>185.847466489451</v>
      </c>
      <c r="L4349" s="38" t="n">
        <f aca="false">Sens!$L$4347+Sens!$L$4323*(1-tax)</f>
        <v>206.22579765111</v>
      </c>
      <c r="M4349" s="38" t="n">
        <f aca="false">Sens!$M$4347+Sens!$M$4323*(1-tax)</f>
        <v>226.051600231365</v>
      </c>
      <c r="N4349" s="38" t="n">
        <f aca="false">Sens!$N$4347+Sens!$N$4323*(1-tax)</f>
        <v>35.291</v>
      </c>
      <c r="O4349" s="38" t="n">
        <f aca="false">Sens!$O$4347+Sens!$O$4323*(1-tax)</f>
        <v>42.379</v>
      </c>
    </row>
    <row r="4350" customFormat="false" ht="17.15" hidden="false" customHeight="false" outlineLevel="0" collapsed="false">
      <c r="A4350" s="43" t="s">
        <v>757</v>
      </c>
      <c r="B4350" s="14" t="s">
        <v>27</v>
      </c>
      <c r="C4350" s="44" t="n">
        <f aca="false">Sens!$C$4349/Sens!$C$4348</f>
        <v>5.52635015390355</v>
      </c>
      <c r="D4350" s="44" t="n">
        <f aca="false">Sens!$D$4349/Sens!$D$4348</f>
        <v>7.1737323358271</v>
      </c>
      <c r="E4350" s="44" t="n">
        <f aca="false">Sens!$E$4349/Sens!$E$4348</f>
        <v>8.53212104513937</v>
      </c>
      <c r="F4350" s="14"/>
      <c r="G4350" s="44" t="n">
        <f aca="false">Sens!$G$4349/Sens!$G$4348</f>
        <v>13.0275977303636</v>
      </c>
      <c r="H4350" s="44" t="n">
        <f aca="false">Sens!$H$4349/Sens!$H$4348</f>
        <v>10.7591538485569</v>
      </c>
      <c r="I4350" s="44" t="n">
        <f aca="false">Sens!$I$4349/Sens!$I$4348</f>
        <v>12.7887450253568</v>
      </c>
      <c r="J4350" s="44" t="n">
        <f aca="false">Sens!$J$4349/Sens!$J$4348</f>
        <v>14.8478284222379</v>
      </c>
      <c r="K4350" s="44" t="n">
        <f aca="false">Sens!$K$4349/Sens!$K$4348</f>
        <v>16.4778590272809</v>
      </c>
      <c r="L4350" s="44" t="n">
        <f aca="false">Sens!$L$4349/Sens!$L$4348</f>
        <v>18.1395537122884</v>
      </c>
      <c r="M4350" s="44" t="n">
        <f aca="false">Sens!$M$4349/Sens!$M$4348</f>
        <v>19.7256198640225</v>
      </c>
      <c r="N4350" s="14"/>
      <c r="O4350" s="14"/>
    </row>
    <row r="4351" customFormat="false" ht="17.15" hidden="false" customHeight="false" outlineLevel="0" collapsed="false">
      <c r="A4351" s="0" t="s">
        <v>758</v>
      </c>
      <c r="B4351" s="0" t="s">
        <v>27</v>
      </c>
      <c r="C4351" s="30" t="n">
        <f aca="false">Sens!$C$4347/Sens!$C$4348</f>
        <v>5.52635015390355</v>
      </c>
      <c r="D4351" s="30" t="n">
        <f aca="false">Sens!$D$4347/Sens!$D$4348</f>
        <v>7.1737323358271</v>
      </c>
      <c r="E4351" s="30" t="n">
        <f aca="false">Sens!$E$4347/Sens!$E$4348</f>
        <v>8.53212104513937</v>
      </c>
      <c r="G4351" s="30" t="n">
        <f aca="false">Sens!$G$4347/Sens!$G$4348</f>
        <v>12.7423208147233</v>
      </c>
      <c r="H4351" s="30" t="n">
        <f aca="false">Sens!$H$4347/Sens!$H$4348</f>
        <v>9.62119859041415</v>
      </c>
      <c r="I4351" s="30" t="n">
        <f aca="false">Sens!$I$4347/Sens!$I$4348</f>
        <v>10.8841783824179</v>
      </c>
      <c r="J4351" s="30" t="n">
        <f aca="false">Sens!$J$4347/Sens!$J$4348</f>
        <v>12.1854672883678</v>
      </c>
      <c r="K4351" s="30" t="n">
        <f aca="false">Sens!$K$4347/Sens!$K$4348</f>
        <v>13.182481181879</v>
      </c>
      <c r="L4351" s="30" t="n">
        <f aca="false">Sens!$L$4347/Sens!$L$4348</f>
        <v>14.4438332913735</v>
      </c>
      <c r="M4351" s="30" t="n">
        <f aca="false">Sens!$M$4347/Sens!$M$4348</f>
        <v>15.857355704002</v>
      </c>
    </row>
    <row r="4352" customFormat="false" ht="17.15" hidden="false" customHeight="false" outlineLevel="0" collapsed="false">
      <c r="A4352" s="0" t="s">
        <v>759</v>
      </c>
      <c r="B4352" s="0" t="s">
        <v>27</v>
      </c>
      <c r="C4352" s="30" t="n">
        <f aca="false">(Sens!$C$4347-Sens!$C$4344*(1-tax))/Sens!$C$4348</f>
        <v>5.33926775917445</v>
      </c>
      <c r="D4352" s="30" t="n">
        <f aca="false">(Sens!$D$4347-Sens!$D$4344*(1-tax))/Sens!$D$4348</f>
        <v>5.67691812755503</v>
      </c>
      <c r="E4352" s="30" t="n">
        <f aca="false">(Sens!$E$4347-Sens!$E$4344*(1-tax))/Sens!$E$4348</f>
        <v>3.10602057006846</v>
      </c>
      <c r="G4352" s="30" t="n">
        <f aca="false">(Sens!$G$4347-Sens!$G$4344*(1-tax))/Sens!$G$4348</f>
        <v>7.33425269682635</v>
      </c>
      <c r="H4352" s="30" t="n">
        <f aca="false">(Sens!$H$4347-Sens!$H$4344*(1-tax))/Sens!$H$4348</f>
        <v>9.62119859041415</v>
      </c>
      <c r="I4352" s="30" t="n">
        <f aca="false">(Sens!$I$4347-Sens!$I$4344*(1-tax))/Sens!$I$4348</f>
        <v>10.8841783824179</v>
      </c>
      <c r="J4352" s="30" t="n">
        <f aca="false">(Sens!$J$4347-Sens!$J$4344*(1-tax))/Sens!$J$4348</f>
        <v>12.1854672883678</v>
      </c>
      <c r="K4352" s="30" t="n">
        <f aca="false">(Sens!$K$4347-Sens!$K$4344*(1-tax))/Sens!$K$4348</f>
        <v>13.182481181879</v>
      </c>
      <c r="L4352" s="30" t="n">
        <f aca="false">(Sens!$L$4347-Sens!$L$4344*(1-tax))/Sens!$L$4348</f>
        <v>14.4438332913735</v>
      </c>
      <c r="M4352" s="30" t="n">
        <f aca="false">(Sens!$M$4347-Sens!$M$4344*(1-tax))/Sens!$M$4348</f>
        <v>15.857355704002</v>
      </c>
      <c r="P4352" s="5" t="s">
        <v>760</v>
      </c>
    </row>
    <row r="4353" customFormat="false" ht="17.15" hidden="false" customHeight="false" outlineLevel="0" collapsed="false">
      <c r="A4353" s="0" t="s">
        <v>761</v>
      </c>
      <c r="B4353" s="0" t="s">
        <v>52</v>
      </c>
      <c r="H4353" s="13" t="n">
        <f aca="false">Sens!$H$4350/Sens!$G$4350-1</f>
        <v>-0.174126030658716</v>
      </c>
      <c r="I4353" s="13" t="n">
        <f aca="false">Sens!$I$4350/Sens!$H$4350-1</f>
        <v>0.188638549589296</v>
      </c>
      <c r="J4353" s="13" t="n">
        <f aca="false">Sens!$J$4350/Sens!$I$4350-1</f>
        <v>0.161007463421818</v>
      </c>
      <c r="K4353" s="13" t="n">
        <f aca="false">Sens!$K$4350/Sens!$J$4350-1</f>
        <v>0.109782424654211</v>
      </c>
      <c r="L4353" s="13" t="n">
        <f aca="false">Sens!$L$4350/Sens!$K$4350-1</f>
        <v>0.100844089165737</v>
      </c>
      <c r="M4353" s="13" t="n">
        <f aca="false">Sens!$M$4350/Sens!$L$4350-1</f>
        <v>0.0874368894015105</v>
      </c>
    </row>
    <row r="4356" customFormat="false" ht="19.4" hidden="false" customHeight="false" outlineLevel="0" collapsed="false">
      <c r="A4356" s="31" t="s">
        <v>1223</v>
      </c>
    </row>
    <row r="4357" customFormat="false" ht="17.15" hidden="false" customHeight="false" outlineLevel="0" collapsed="false">
      <c r="A4357" s="6" t="s">
        <v>16</v>
      </c>
      <c r="B4357" s="6" t="s">
        <v>17</v>
      </c>
      <c r="C4357" s="20" t="s">
        <v>497</v>
      </c>
      <c r="D4357" s="20" t="s">
        <v>498</v>
      </c>
      <c r="E4357" s="20" t="s">
        <v>580</v>
      </c>
      <c r="F4357" s="20" t="s">
        <v>581</v>
      </c>
      <c r="G4357" s="20" t="s">
        <v>582</v>
      </c>
      <c r="H4357" s="20" t="s">
        <v>583</v>
      </c>
      <c r="I4357" s="20" t="s">
        <v>584</v>
      </c>
      <c r="J4357" s="20" t="s">
        <v>585</v>
      </c>
      <c r="K4357" s="20" t="s">
        <v>586</v>
      </c>
      <c r="L4357" s="20" t="s">
        <v>587</v>
      </c>
      <c r="M4357" s="20" t="s">
        <v>588</v>
      </c>
      <c r="N4357" s="20" t="s">
        <v>589</v>
      </c>
      <c r="O4357" s="20" t="s">
        <v>590</v>
      </c>
      <c r="P4357" s="6" t="s">
        <v>23</v>
      </c>
      <c r="R4357" s="20" t="n">
        <v>2023</v>
      </c>
      <c r="S4357" s="20" t="n">
        <v>2024</v>
      </c>
      <c r="T4357" s="20" t="n">
        <v>2025</v>
      </c>
      <c r="U4357" s="20" t="n">
        <v>2026</v>
      </c>
      <c r="V4357" s="20" t="n">
        <v>2027</v>
      </c>
      <c r="W4357" s="20" t="n">
        <v>2028</v>
      </c>
      <c r="X4357" s="20" t="n">
        <v>2029</v>
      </c>
      <c r="Y4357" s="20" t="n">
        <v>2030</v>
      </c>
      <c r="Z4357" s="20" t="n">
        <v>2031</v>
      </c>
      <c r="AA4357" s="20" t="n">
        <v>2032</v>
      </c>
    </row>
    <row r="4358" customFormat="false" ht="15" hidden="false" customHeight="false" outlineLevel="0" collapsed="false">
      <c r="A4358" s="5" t="s">
        <v>549</v>
      </c>
      <c r="B4358" s="0" t="s">
        <v>86</v>
      </c>
      <c r="C4358" s="38" t="n">
        <f aca="false">Sens!$C$4347</f>
        <v>59.248</v>
      </c>
      <c r="D4358" s="38" t="n">
        <f aca="false">Sens!$D$4347</f>
        <v>77.67</v>
      </c>
      <c r="E4358" s="38" t="n">
        <f aca="false">Sens!$E$4347</f>
        <v>92.902</v>
      </c>
      <c r="F4358" s="38" t="n">
        <f aca="false">Sens!$F$4347</f>
        <v>46.3053828906144</v>
      </c>
      <c r="G4358" s="38" t="n">
        <f aca="false">Sens!$G$4347</f>
        <v>139.207382890614</v>
      </c>
      <c r="H4358" s="38" t="n">
        <f aca="false">Sens!$H$4347</f>
        <v>105.95060591245</v>
      </c>
      <c r="I4358" s="38" t="n">
        <f aca="false">Sens!$I$4347</f>
        <v>120.817667976453</v>
      </c>
      <c r="J4358" s="38" t="n">
        <f aca="false">Sens!$J$4347</f>
        <v>136.344466873958</v>
      </c>
      <c r="K4358" s="38" t="n">
        <f aca="false">Sens!$K$4347</f>
        <v>148.680160792792</v>
      </c>
      <c r="L4358" s="38" t="n">
        <f aca="false">Sens!$L$4347</f>
        <v>164.209720310555</v>
      </c>
      <c r="M4358" s="38" t="n">
        <f aca="false">Sens!$M$4347</f>
        <v>181.722078040525</v>
      </c>
    </row>
    <row r="4359" customFormat="false" ht="17.15" hidden="false" customHeight="false" outlineLevel="0" collapsed="false">
      <c r="A4359" s="5" t="s">
        <v>784</v>
      </c>
      <c r="B4359" s="0" t="s">
        <v>86</v>
      </c>
      <c r="C4359" s="38" t="n">
        <f aca="false">Sens!$C$4335</f>
        <v>32.067</v>
      </c>
      <c r="D4359" s="38" t="n">
        <f aca="false">Sens!$D$4335</f>
        <v>41.86</v>
      </c>
      <c r="E4359" s="38" t="n">
        <f aca="false">Sens!$E$4335</f>
        <v>26.703</v>
      </c>
      <c r="F4359" s="38" t="n">
        <f aca="false">Sens!$F$4335</f>
        <v>28.2071421626285</v>
      </c>
      <c r="G4359" s="38" t="n">
        <f aca="false">Sens!$G$4335</f>
        <v>54.9101421626285</v>
      </c>
      <c r="H4359" s="38" t="n">
        <f aca="false">Sens!$H$4335</f>
        <v>78.2012269312586</v>
      </c>
      <c r="I4359" s="38" t="n">
        <f aca="false">Sens!$I$4335</f>
        <v>111.247401024299</v>
      </c>
      <c r="J4359" s="38" t="n">
        <f aca="false">Sens!$J$4335</f>
        <v>145.062058054426</v>
      </c>
      <c r="K4359" s="38" t="n">
        <f aca="false">Sens!$K$4335</f>
        <v>179.142396240771</v>
      </c>
      <c r="L4359" s="38" t="n">
        <f aca="false">Sens!$L$4335</f>
        <v>204.86974607086</v>
      </c>
      <c r="M4359" s="38" t="n">
        <f aca="false">Sens!$M$4335</f>
        <v>223.891306531411</v>
      </c>
    </row>
    <row r="4360" customFormat="false" ht="15" hidden="false" customHeight="false" outlineLevel="0" collapsed="false">
      <c r="A4360" s="5" t="s">
        <v>785</v>
      </c>
      <c r="B4360" s="0" t="s">
        <v>86</v>
      </c>
      <c r="C4360" s="38" t="n">
        <f aca="false">Q!$D$48</f>
        <v>22.011</v>
      </c>
      <c r="D4360" s="38" t="n">
        <f aca="false">Q!$E$48</f>
        <v>19.467</v>
      </c>
      <c r="E4360" s="38" t="n">
        <f aca="false">Q!$P$48</f>
        <v>10.07</v>
      </c>
      <c r="F4360" s="38" t="n">
        <f aca="false">sbc_r*Sens!$F$4277</f>
        <v>10.8507035798037</v>
      </c>
      <c r="G4360" s="38" t="n">
        <f aca="false">Sens!$E$4360+Sens!$F$4360</f>
        <v>20.9207035798037</v>
      </c>
      <c r="H4360" s="38" t="n">
        <f aca="false">sbc_r*Sens!$H$4277</f>
        <v>23.4777826380942</v>
      </c>
      <c r="I4360" s="38" t="n">
        <f aca="false">sbc_r*Sens!$I$4277</f>
        <v>26.6682739744594</v>
      </c>
      <c r="J4360" s="38" t="n">
        <f aca="false">sbc_r*Sens!$J$4277</f>
        <v>29.7577593890437</v>
      </c>
      <c r="K4360" s="38" t="n">
        <f aca="false">sbc_r*Sens!$K$4277</f>
        <v>32.516476491721</v>
      </c>
      <c r="L4360" s="38" t="n">
        <f aca="false">sbc_r*Sens!$L$4277</f>
        <v>35.1247680383598</v>
      </c>
      <c r="M4360" s="38" t="n">
        <f aca="false">sbc_r*Sens!$M$4277</f>
        <v>37.5958182996773</v>
      </c>
    </row>
    <row r="4361" customFormat="false" ht="17.15" hidden="false" customHeight="false" outlineLevel="0" collapsed="false">
      <c r="A4361" s="5" t="s">
        <v>786</v>
      </c>
      <c r="B4361" s="0" t="s">
        <v>86</v>
      </c>
      <c r="C4361" s="38" t="n">
        <f aca="false">Q!$D$44-Sens!$C$4358-Sens!$C$4359-Sens!$C$4360</f>
        <v>2.551</v>
      </c>
      <c r="D4361" s="38" t="n">
        <f aca="false">Q!$E$44-Sens!$D$4358-Sens!$D$4359-Sens!$D$4360</f>
        <v>0.51700000000001</v>
      </c>
      <c r="E4361" s="38" t="n">
        <f aca="false">Q!$P$44-Sens!$E$4358-Sens!$E$4359-Sens!$E$4360</f>
        <v>-58.256</v>
      </c>
      <c r="F4361" s="38" t="n">
        <f aca="false">oth_r*Sens!$F$4277</f>
        <v>5.22265251035878</v>
      </c>
      <c r="G4361" s="38" t="n">
        <f aca="false">Sens!$E$4361+Sens!$F$4361</f>
        <v>-53.0333474896412</v>
      </c>
      <c r="H4361" s="38" t="n">
        <f aca="false">oth_r*Sens!$H$4277</f>
        <v>11.3003087339632</v>
      </c>
      <c r="I4361" s="38" t="n">
        <f aca="false">oth_r*Sens!$I$4277</f>
        <v>12.8359536315124</v>
      </c>
      <c r="J4361" s="38" t="n">
        <f aca="false">oth_r*Sens!$J$4277</f>
        <v>14.322982434532</v>
      </c>
      <c r="K4361" s="38" t="n">
        <f aca="false">oth_r*Sens!$K$4277</f>
        <v>15.6508060816994</v>
      </c>
      <c r="L4361" s="38" t="n">
        <f aca="false">oth_r*Sens!$L$4277</f>
        <v>16.9062270130348</v>
      </c>
      <c r="M4361" s="38" t="n">
        <f aca="false">oth_r*Sens!$M$4277</f>
        <v>18.0955910718331</v>
      </c>
      <c r="P4361" s="8" t="s">
        <v>787</v>
      </c>
    </row>
    <row r="4362" customFormat="false" ht="15" hidden="false" customHeight="false" outlineLevel="0" collapsed="false">
      <c r="A4362" s="3" t="s">
        <v>555</v>
      </c>
      <c r="B4362" s="8" t="s">
        <v>86</v>
      </c>
      <c r="C4362" s="38" t="n">
        <f aca="false">Q!$D$44</f>
        <v>115.877</v>
      </c>
      <c r="D4362" s="38" t="n">
        <f aca="false">Q!$E$44</f>
        <v>139.514</v>
      </c>
      <c r="E4362" s="38" t="n">
        <f aca="false">Q!$P$44</f>
        <v>71.419</v>
      </c>
      <c r="F4362" s="38" t="n">
        <f aca="false">Sens!$F$4358+Sens!$F$4359+Sens!$F$4360+Sens!$F$4361</f>
        <v>90.5858811434053</v>
      </c>
      <c r="G4362" s="38" t="n">
        <f aca="false">Sens!$E$4362+Sens!$F$4362</f>
        <v>162.004881143405</v>
      </c>
      <c r="H4362" s="38" t="n">
        <f aca="false">Sens!$H$4358+Sens!$H$4359+Sens!$H$4360+Sens!$H$4361</f>
        <v>218.929924215766</v>
      </c>
      <c r="I4362" s="38" t="n">
        <f aca="false">Sens!$I$4358+Sens!$I$4359+Sens!$I$4360+Sens!$I$4361</f>
        <v>271.569296606724</v>
      </c>
      <c r="J4362" s="38" t="n">
        <f aca="false">Sens!$J$4358+Sens!$J$4359+Sens!$J$4360+Sens!$J$4361</f>
        <v>325.487266751959</v>
      </c>
      <c r="K4362" s="38" t="n">
        <f aca="false">Sens!$K$4358+Sens!$K$4359+Sens!$K$4360+Sens!$K$4361</f>
        <v>375.989839606983</v>
      </c>
      <c r="L4362" s="38" t="n">
        <f aca="false">Sens!$L$4358+Sens!$L$4359+Sens!$L$4360+Sens!$L$4361</f>
        <v>421.110461432809</v>
      </c>
      <c r="M4362" s="38" t="n">
        <f aca="false">Sens!$M$4358+Sens!$M$4359+Sens!$M$4360+Sens!$M$4361</f>
        <v>461.304793943446</v>
      </c>
    </row>
    <row r="4363" customFormat="false" ht="17.15" hidden="false" customHeight="false" outlineLevel="0" collapsed="false">
      <c r="A4363" s="5" t="s">
        <v>788</v>
      </c>
      <c r="B4363" s="0" t="s">
        <v>86</v>
      </c>
      <c r="C4363" s="38" t="n">
        <f aca="false">Sens!$C$4244</f>
        <v>25.2781053077374</v>
      </c>
      <c r="D4363" s="38" t="n">
        <f aca="false">Sens!$D$4244</f>
        <v>69.5686316310026</v>
      </c>
      <c r="E4363" s="38" t="n">
        <f aca="false">Sens!$E$4244</f>
        <v>64.1899206485108</v>
      </c>
      <c r="F4363" s="38" t="n">
        <f aca="false">Sens!$F$4244</f>
        <v>96.2481299895</v>
      </c>
      <c r="G4363" s="38" t="n">
        <f aca="false">Sens!$G$4244</f>
        <v>160.438050638011</v>
      </c>
      <c r="H4363" s="38" t="n">
        <f aca="false">Sens!$H$4244</f>
        <v>198.57136494475</v>
      </c>
      <c r="I4363" s="38" t="n">
        <f aca="false">Sens!$I$4244</f>
        <v>204.6464699105</v>
      </c>
      <c r="J4363" s="38" t="n">
        <f aca="false">Sens!$J$4244</f>
        <v>209.8832381105</v>
      </c>
      <c r="K4363" s="38" t="n">
        <f aca="false">Sens!$K$4244</f>
        <v>155.238385275201</v>
      </c>
      <c r="L4363" s="38" t="n">
        <f aca="false">Sens!$L$4244</f>
        <v>132.014141639902</v>
      </c>
      <c r="M4363" s="38" t="n">
        <f aca="false">Sens!$M$4244</f>
        <v>132.230981659852</v>
      </c>
    </row>
    <row r="4364" customFormat="false" ht="17.15" hidden="false" customHeight="false" outlineLevel="0" collapsed="false">
      <c r="A4364" s="5" t="s">
        <v>789</v>
      </c>
      <c r="B4364" s="0" t="s">
        <v>86</v>
      </c>
      <c r="C4364" s="38" t="n">
        <f aca="false">cx_awso*Sens!$C$4275</f>
        <v>21.0469989286053</v>
      </c>
      <c r="D4364" s="38" t="n">
        <f aca="false">cx_awso*Sens!$D$4275</f>
        <v>24.0042459822698</v>
      </c>
      <c r="E4364" s="38" t="n">
        <f aca="false">cx_awso*Sens!$E$4275</f>
        <v>14.261729404886</v>
      </c>
      <c r="F4364" s="38" t="n">
        <f aca="false">cx_awso*Sens!$F$4275</f>
        <v>14.3538599588493</v>
      </c>
      <c r="G4364" s="38" t="n">
        <f aca="false">Sens!$E$4364+Sens!$F$4364</f>
        <v>28.6155893637353</v>
      </c>
      <c r="H4364" s="38" t="n">
        <f aca="false">cx_awso*Sens!$H$4275</f>
        <v>32.2034154158406</v>
      </c>
      <c r="I4364" s="38" t="n">
        <f aca="false">cx_awso*Sens!$I$4275</f>
        <v>35.7539519042915</v>
      </c>
      <c r="J4364" s="38" t="n">
        <f aca="false">cx_awso*Sens!$J$4275</f>
        <v>39.1551076091815</v>
      </c>
      <c r="K4364" s="38" t="n">
        <f aca="false">cx_awso*Sens!$K$4275</f>
        <v>42.287516217916</v>
      </c>
      <c r="L4364" s="38" t="n">
        <f aca="false">cx_awso*Sens!$L$4275</f>
        <v>45.6705175153492</v>
      </c>
      <c r="M4364" s="38" t="n">
        <f aca="false">cx_awso*Sens!$M$4275</f>
        <v>49.3241589165772</v>
      </c>
    </row>
    <row r="4365" customFormat="false" ht="17.15" hidden="false" customHeight="false" outlineLevel="0" collapsed="false">
      <c r="A4365" s="5" t="s">
        <v>790</v>
      </c>
      <c r="B4365" s="0" t="s">
        <v>86</v>
      </c>
      <c r="C4365" s="38" t="n">
        <f aca="false">Q!$D$46-Sens!$C$4363-Sens!$C$4364</f>
        <v>31.3328957636573</v>
      </c>
      <c r="D4365" s="38" t="n">
        <f aca="false">Q!$E$46-Sens!$D$4363-Sens!$D$4364</f>
        <v>34.7471223867276</v>
      </c>
      <c r="E4365" s="38" t="n">
        <f aca="false">Q!$P$46-Sens!$E$4363-Sens!$E$4364</f>
        <v>17.8583499466032</v>
      </c>
      <c r="F4365" s="38" t="n">
        <f aca="false">cx_rt*Sens!$F$4207</f>
        <v>20.6195895799373</v>
      </c>
      <c r="G4365" s="38" t="n">
        <f aca="false">Sens!$E$4365+Sens!$F$4365</f>
        <v>38.4779395265405</v>
      </c>
      <c r="H4365" s="38" t="n">
        <f aca="false">cx_rt*Sens!$H$4207</f>
        <v>42.6347655819557</v>
      </c>
      <c r="I4365" s="38" t="n">
        <f aca="false">cx_rt*Sens!$I$4207</f>
        <v>46.7134867002408</v>
      </c>
      <c r="J4365" s="38" t="n">
        <f aca="false">cx_rt*Sens!$J$4207</f>
        <v>50.5858307584282</v>
      </c>
      <c r="K4365" s="38" t="n">
        <f aca="false">cx_rt*Sens!$K$4207</f>
        <v>54.113099340186</v>
      </c>
      <c r="L4365" s="38" t="n">
        <f aca="false">cx_rt*Sens!$L$4207</f>
        <v>57.9267838380165</v>
      </c>
      <c r="M4365" s="38" t="n">
        <f aca="false">cx_rt*Sens!$M$4207</f>
        <v>62.0540093592106</v>
      </c>
    </row>
    <row r="4366" customFormat="false" ht="15" hidden="false" customHeight="false" outlineLevel="0" collapsed="false">
      <c r="A4366" s="3" t="s">
        <v>791</v>
      </c>
      <c r="B4366" s="8" t="s">
        <v>86</v>
      </c>
      <c r="C4366" s="38" t="n">
        <f aca="false">Q!$D$46</f>
        <v>77.658</v>
      </c>
      <c r="D4366" s="38" t="n">
        <f aca="false">Q!$E$46</f>
        <v>128.32</v>
      </c>
      <c r="E4366" s="38" t="n">
        <f aca="false">Q!$P$46</f>
        <v>96.31</v>
      </c>
      <c r="F4366" s="38" t="n">
        <f aca="false">Sens!$F$4363+Sens!$F$4364+Sens!$F$4365</f>
        <v>131.221579528287</v>
      </c>
      <c r="G4366" s="38" t="n">
        <f aca="false">Sens!$E$4366+Sens!$F$4366</f>
        <v>227.531579528287</v>
      </c>
      <c r="H4366" s="38" t="n">
        <f aca="false">Sens!$H$4363+Sens!$H$4364+Sens!$H$4365</f>
        <v>273.409545942546</v>
      </c>
      <c r="I4366" s="38" t="n">
        <f aca="false">Sens!$I$4363+Sens!$I$4364+Sens!$I$4365</f>
        <v>287.113908515032</v>
      </c>
      <c r="J4366" s="38" t="n">
        <f aca="false">Sens!$J$4363+Sens!$J$4364+Sens!$J$4365</f>
        <v>299.62417647811</v>
      </c>
      <c r="K4366" s="38" t="n">
        <f aca="false">Sens!$K$4363+Sens!$K$4364+Sens!$K$4365</f>
        <v>251.639000833303</v>
      </c>
      <c r="L4366" s="38" t="n">
        <f aca="false">Sens!$L$4363+Sens!$L$4364+Sens!$L$4365</f>
        <v>235.611442993267</v>
      </c>
      <c r="M4366" s="38" t="n">
        <f aca="false">Sens!$M$4363+Sens!$M$4364+Sens!$M$4365</f>
        <v>243.60914993564</v>
      </c>
    </row>
    <row r="4367" customFormat="false" ht="17.15" hidden="false" customHeight="false" outlineLevel="0" collapsed="false">
      <c r="A4367" s="5" t="s">
        <v>563</v>
      </c>
      <c r="B4367" s="0" t="s">
        <v>86</v>
      </c>
      <c r="C4367" s="38" t="n">
        <f aca="false">Q!$D$50</f>
        <v>2.043</v>
      </c>
      <c r="D4367" s="38" t="n">
        <f aca="false">Q!$E$50</f>
        <v>1.557</v>
      </c>
      <c r="E4367" s="38" t="n">
        <f aca="false">lease_pr/2</f>
        <v>0.8</v>
      </c>
      <c r="F4367" s="38" t="n">
        <f aca="false">lease_pr/2</f>
        <v>0.8</v>
      </c>
      <c r="G4367" s="38" t="n">
        <f aca="false">Sens!$E$4367+Sens!$F$4367</f>
        <v>1.6</v>
      </c>
      <c r="H4367" s="38" t="n">
        <f aca="false">lease_pr</f>
        <v>1.6</v>
      </c>
      <c r="I4367" s="38" t="n">
        <f aca="false">lease_pr</f>
        <v>1.6</v>
      </c>
      <c r="J4367" s="38" t="n">
        <f aca="false">lease_pr</f>
        <v>1.6</v>
      </c>
      <c r="K4367" s="38" t="n">
        <f aca="false">lease_pr</f>
        <v>1.6</v>
      </c>
      <c r="L4367" s="38" t="n">
        <f aca="false">lease_pr</f>
        <v>1.6</v>
      </c>
      <c r="M4367" s="38" t="n">
        <f aca="false">lease_pr</f>
        <v>1.6</v>
      </c>
      <c r="P4367" s="8" t="s">
        <v>792</v>
      </c>
    </row>
    <row r="4368" customFormat="false" ht="15" hidden="false" customHeight="false" outlineLevel="0" collapsed="false">
      <c r="A4368" s="47" t="s">
        <v>793</v>
      </c>
      <c r="B4368" s="14" t="s">
        <v>86</v>
      </c>
      <c r="C4368" s="48" t="n">
        <f aca="false">Sens!$C$4362-Sens!$C$4366-Sens!$C$4367</f>
        <v>36.176</v>
      </c>
      <c r="D4368" s="48" t="n">
        <f aca="false">Sens!$D$4362-Sens!$D$4366-Sens!$D$4367</f>
        <v>9.63700000000002</v>
      </c>
      <c r="E4368" s="48" t="n">
        <f aca="false">Sens!$E$4362-Sens!$E$4366-Sens!$E$4367</f>
        <v>-25.691</v>
      </c>
      <c r="F4368" s="48" t="n">
        <f aca="false">Sens!$F$4362-Sens!$F$4366-Sens!$F$4367</f>
        <v>-41.4356983848813</v>
      </c>
      <c r="G4368" s="48" t="n">
        <f aca="false">Sens!$G$4362-Sens!$G$4366-Sens!$G$4367</f>
        <v>-67.1266983848813</v>
      </c>
      <c r="H4368" s="48" t="n">
        <f aca="false">Sens!$H$4362-Sens!$H$4366-Sens!$H$4367</f>
        <v>-56.0796217267804</v>
      </c>
      <c r="I4368" s="48" t="n">
        <f aca="false">Sens!$I$4362-Sens!$I$4366-Sens!$I$4367</f>
        <v>-17.1446119083084</v>
      </c>
      <c r="J4368" s="48" t="n">
        <f aca="false">Sens!$J$4362-Sens!$J$4366-Sens!$J$4367</f>
        <v>24.2630902738497</v>
      </c>
      <c r="K4368" s="48" t="n">
        <f aca="false">Sens!$K$4362-Sens!$K$4366-Sens!$K$4367</f>
        <v>122.750838773681</v>
      </c>
      <c r="L4368" s="48" t="n">
        <f aca="false">Sens!$L$4362-Sens!$L$4366-Sens!$L$4367</f>
        <v>183.899018439542</v>
      </c>
      <c r="M4368" s="48" t="n">
        <f aca="false">Sens!$M$4362-Sens!$M$4366-Sens!$M$4367</f>
        <v>216.095644007806</v>
      </c>
      <c r="N4368" s="14"/>
      <c r="O4368" s="14"/>
    </row>
    <row r="4369" customFormat="false" ht="17.15" hidden="false" customHeight="false" outlineLevel="0" collapsed="false">
      <c r="A4369" s="5" t="s">
        <v>794</v>
      </c>
      <c r="B4369" s="0" t="s">
        <v>86</v>
      </c>
      <c r="C4369" s="38" t="n">
        <f aca="false">dps*Sens!$C$4348</f>
        <v>0</v>
      </c>
      <c r="D4369" s="38" t="n">
        <f aca="false">dps*Sens!$D$4348</f>
        <v>0</v>
      </c>
      <c r="E4369" s="38" t="n">
        <f aca="false">dps*Sens!$E$4348</f>
        <v>0</v>
      </c>
      <c r="F4369" s="38" t="n">
        <f aca="false">0</f>
        <v>0</v>
      </c>
      <c r="G4369" s="38" t="n">
        <f aca="false">dps*Sens!$G$4348</f>
        <v>0</v>
      </c>
      <c r="H4369" s="38" t="n">
        <f aca="false">dps*Sens!$H$4348</f>
        <v>0</v>
      </c>
      <c r="I4369" s="38" t="n">
        <f aca="false">dps*Sens!$I$4348</f>
        <v>0</v>
      </c>
      <c r="J4369" s="38" t="n">
        <f aca="false">dps*Sens!$J$4348</f>
        <v>0</v>
      </c>
      <c r="K4369" s="38" t="n">
        <f aca="false">dps*Sens!$K$4348</f>
        <v>0</v>
      </c>
      <c r="L4369" s="38" t="n">
        <f aca="false">dps*Sens!$L$4348</f>
        <v>0</v>
      </c>
      <c r="M4369" s="38" t="n">
        <f aca="false">dps*Sens!$M$4348</f>
        <v>0</v>
      </c>
      <c r="P4369" s="8" t="s">
        <v>795</v>
      </c>
    </row>
    <row r="4370" customFormat="false" ht="17.15" hidden="false" customHeight="false" outlineLevel="0" collapsed="false">
      <c r="A4370" s="5" t="s">
        <v>796</v>
      </c>
      <c r="B4370" s="0" t="s">
        <v>86</v>
      </c>
      <c r="C4370" s="38" t="n">
        <f aca="false">0</f>
        <v>0</v>
      </c>
      <c r="D4370" s="38" t="n">
        <f aca="false">0</f>
        <v>0</v>
      </c>
      <c r="E4370" s="38" t="n">
        <f aca="false">0</f>
        <v>0</v>
      </c>
      <c r="F4370" s="38" t="n">
        <f aca="false">0</f>
        <v>0</v>
      </c>
      <c r="G4370" s="38" t="n">
        <f aca="false">0</f>
        <v>0</v>
      </c>
      <c r="H4370" s="38" t="n">
        <f aca="false">0</f>
        <v>0</v>
      </c>
      <c r="I4370" s="38" t="n">
        <f aca="false">0</f>
        <v>0</v>
      </c>
      <c r="J4370" s="38" t="n">
        <f aca="false">0</f>
        <v>0</v>
      </c>
      <c r="K4370" s="38" t="n">
        <f aca="false">0</f>
        <v>0</v>
      </c>
      <c r="L4370" s="38" t="n">
        <f aca="false">0</f>
        <v>0</v>
      </c>
      <c r="M4370" s="38" t="n">
        <f aca="false">0</f>
        <v>0</v>
      </c>
      <c r="P4370" s="8" t="s">
        <v>797</v>
      </c>
    </row>
    <row r="4371" customFormat="false" ht="15" hidden="false" customHeight="false" outlineLevel="0" collapsed="false">
      <c r="A4371" s="3" t="s">
        <v>798</v>
      </c>
      <c r="B4371" s="8" t="s">
        <v>86</v>
      </c>
      <c r="C4371" s="38" t="n">
        <f aca="false">Sens!$C$4368-Sens!$C$4369</f>
        <v>36.176</v>
      </c>
      <c r="D4371" s="38" t="n">
        <f aca="false">Sens!$D$4368-Sens!$D$4369</f>
        <v>9.63700000000002</v>
      </c>
      <c r="E4371" s="38" t="n">
        <f aca="false">Sens!$E$4368-Sens!$E$4369</f>
        <v>-25.691</v>
      </c>
      <c r="F4371" s="38" t="n">
        <f aca="false">Sens!$F$4368-Sens!$F$4369</f>
        <v>-41.4356983848813</v>
      </c>
      <c r="G4371" s="38" t="n">
        <f aca="false">Sens!$G$4368-Sens!$G$4369</f>
        <v>-67.1266983848813</v>
      </c>
      <c r="H4371" s="38" t="n">
        <f aca="false">Sens!$H$4368-Sens!$H$4369</f>
        <v>-56.0796217267804</v>
      </c>
      <c r="I4371" s="38" t="n">
        <f aca="false">Sens!$I$4368-Sens!$I$4369</f>
        <v>-17.1446119083084</v>
      </c>
      <c r="J4371" s="38" t="n">
        <f aca="false">Sens!$J$4368-Sens!$J$4369</f>
        <v>24.2630902738497</v>
      </c>
      <c r="K4371" s="38" t="n">
        <f aca="false">Sens!$K$4368-Sens!$K$4369</f>
        <v>122.750838773681</v>
      </c>
      <c r="L4371" s="38" t="n">
        <f aca="false">Sens!$L$4368-Sens!$L$4369</f>
        <v>183.899018439542</v>
      </c>
      <c r="M4371" s="38" t="n">
        <f aca="false">Sens!$M$4368-Sens!$M$4369</f>
        <v>216.095644007806</v>
      </c>
    </row>
    <row r="4372" customFormat="false" ht="17.15" hidden="false" customHeight="false" outlineLevel="0" collapsed="false">
      <c r="A4372" s="5" t="s">
        <v>799</v>
      </c>
      <c r="B4372" s="0" t="s">
        <v>86</v>
      </c>
      <c r="E4372" s="38" t="n">
        <f aca="false">Q!$P$53</f>
        <v>39.767</v>
      </c>
      <c r="F4372" s="38" t="n">
        <f aca="false">inv_2h26</f>
        <v>21.3</v>
      </c>
      <c r="G4372" s="38" t="n">
        <f aca="false">Sens!$E$4372+Sens!$F$4372</f>
        <v>61.067</v>
      </c>
      <c r="H4372" s="39" t="n">
        <v>0</v>
      </c>
      <c r="I4372" s="39" t="n">
        <v>0</v>
      </c>
      <c r="J4372" s="39" t="n">
        <v>0</v>
      </c>
      <c r="K4372" s="39" t="n">
        <v>0</v>
      </c>
      <c r="L4372" s="39" t="n">
        <v>0</v>
      </c>
      <c r="M4372" s="39" t="n">
        <v>0</v>
      </c>
    </row>
    <row r="4373" customFormat="false" ht="17.15" hidden="false" customHeight="false" outlineLevel="0" collapsed="false">
      <c r="A4373" s="5" t="s">
        <v>800</v>
      </c>
      <c r="B4373" s="0" t="s">
        <v>86</v>
      </c>
      <c r="F4373" s="38" t="n">
        <f aca="false">iss_2h26</f>
        <v>29.249999</v>
      </c>
      <c r="G4373" s="38" t="n">
        <f aca="false">Sens!$F$4373</f>
        <v>29.249999</v>
      </c>
      <c r="H4373" s="39" t="n">
        <v>0</v>
      </c>
      <c r="I4373" s="39" t="n">
        <v>0</v>
      </c>
      <c r="J4373" s="39" t="n">
        <v>0</v>
      </c>
      <c r="K4373" s="39" t="n">
        <v>0</v>
      </c>
      <c r="L4373" s="39" t="n">
        <v>0</v>
      </c>
      <c r="M4373" s="39" t="n">
        <v>0</v>
      </c>
    </row>
    <row r="4374" customFormat="false" ht="17.15" hidden="false" customHeight="false" outlineLevel="0" collapsed="false">
      <c r="A4374" s="5" t="s">
        <v>801</v>
      </c>
      <c r="B4374" s="0" t="s">
        <v>86</v>
      </c>
      <c r="F4374" s="38" t="n">
        <f aca="false">cash_q2</f>
        <v>122.988</v>
      </c>
      <c r="G4374" s="38" t="n">
        <f aca="false">cash_q2</f>
        <v>122.988</v>
      </c>
      <c r="H4374" s="38" t="n">
        <f aca="false">Sens!$G$4377</f>
        <v>89.5023006151187</v>
      </c>
      <c r="I4374" s="38" t="n">
        <f aca="false">Sens!$H$4377</f>
        <v>50</v>
      </c>
      <c r="J4374" s="38" t="n">
        <f aca="false">Sens!$I$4377</f>
        <v>50</v>
      </c>
      <c r="K4374" s="38" t="n">
        <f aca="false">Sens!$J$4377</f>
        <v>74.2630902738497</v>
      </c>
      <c r="L4374" s="38" t="n">
        <f aca="false">Sens!$K$4377</f>
        <v>197.01392904753</v>
      </c>
      <c r="M4374" s="38" t="n">
        <f aca="false">Sens!$L$4377</f>
        <v>380.912947487072</v>
      </c>
    </row>
    <row r="4375" customFormat="false" ht="15" hidden="false" customHeight="false" outlineLevel="0" collapsed="false">
      <c r="A4375" s="5" t="s">
        <v>802</v>
      </c>
      <c r="B4375" s="0" t="s">
        <v>86</v>
      </c>
      <c r="F4375" s="38" t="n">
        <f aca="false">Sens!$F$4374+Sens!$F$4371-Sens!$F$4370-Sens!$F$4372+Sens!$F$4373</f>
        <v>89.5023006151187</v>
      </c>
      <c r="H4375" s="38" t="n">
        <f aca="false">Sens!$H$4374+Sens!$H$4371-Sens!$H$4370-Sens!$H$4372+Sens!$H$4373</f>
        <v>33.4226788883383</v>
      </c>
      <c r="I4375" s="38" t="n">
        <f aca="false">Sens!$I$4374+Sens!$I$4371-Sens!$I$4370-Sens!$I$4372+Sens!$I$4373</f>
        <v>32.8553880916916</v>
      </c>
      <c r="J4375" s="38" t="n">
        <f aca="false">Sens!$J$4374+Sens!$J$4371-Sens!$J$4370-Sens!$J$4372+Sens!$J$4373</f>
        <v>74.2630902738497</v>
      </c>
      <c r="K4375" s="38" t="n">
        <f aca="false">Sens!$K$4374+Sens!$K$4371-Sens!$K$4370-Sens!$K$4372+Sens!$K$4373</f>
        <v>197.01392904753</v>
      </c>
      <c r="L4375" s="38" t="n">
        <f aca="false">Sens!$L$4374+Sens!$L$4371-Sens!$L$4370-Sens!$L$4372+Sens!$L$4373</f>
        <v>380.912947487072</v>
      </c>
      <c r="M4375" s="38" t="n">
        <f aca="false">Sens!$M$4374+Sens!$M$4371-Sens!$M$4370-Sens!$M$4372+Sens!$M$4373</f>
        <v>597.008591494878</v>
      </c>
    </row>
    <row r="4376" customFormat="false" ht="17.15" hidden="false" customHeight="false" outlineLevel="0" collapsed="false">
      <c r="A4376" s="5" t="s">
        <v>803</v>
      </c>
      <c r="B4376" s="0" t="s">
        <v>86</v>
      </c>
      <c r="F4376" s="38" t="n">
        <f aca="false">MAX(0,min_cash-Sens!$F$4375)</f>
        <v>0</v>
      </c>
      <c r="G4376" s="38" t="n">
        <f aca="false">Sens!$F$4376</f>
        <v>0</v>
      </c>
      <c r="H4376" s="38" t="n">
        <f aca="false">MAX(0,min_cash-Sens!$H$4375)</f>
        <v>16.5773211116617</v>
      </c>
      <c r="I4376" s="38" t="n">
        <f aca="false">MAX(0,min_cash-Sens!$I$4375)</f>
        <v>17.1446119083084</v>
      </c>
      <c r="J4376" s="38" t="n">
        <f aca="false">MAX(0,min_cash-Sens!$J$4375)</f>
        <v>0</v>
      </c>
      <c r="K4376" s="38" t="n">
        <f aca="false">MAX(0,min_cash-Sens!$K$4375)</f>
        <v>0</v>
      </c>
      <c r="L4376" s="38" t="n">
        <f aca="false">MAX(0,min_cash-Sens!$L$4375)</f>
        <v>0</v>
      </c>
      <c r="M4376" s="38" t="n">
        <f aca="false">MAX(0,min_cash-Sens!$M$4375)</f>
        <v>0</v>
      </c>
      <c r="P4376" s="5" t="s">
        <v>804</v>
      </c>
    </row>
    <row r="4377" customFormat="false" ht="15" hidden="false" customHeight="false" outlineLevel="0" collapsed="false">
      <c r="A4377" s="5" t="s">
        <v>805</v>
      </c>
      <c r="B4377" s="0" t="s">
        <v>86</v>
      </c>
      <c r="D4377" s="38" t="n">
        <f aca="false">Q!$E$61</f>
        <v>123.029</v>
      </c>
      <c r="E4377" s="38" t="n">
        <f aca="false">Q!$M$61</f>
        <v>122.988</v>
      </c>
      <c r="F4377" s="38" t="n">
        <f aca="false">Sens!$F$4375+Sens!$F$4376</f>
        <v>89.5023006151187</v>
      </c>
      <c r="G4377" s="38" t="n">
        <f aca="false">Sens!$F$4377</f>
        <v>89.5023006151187</v>
      </c>
      <c r="H4377" s="38" t="n">
        <f aca="false">Sens!$H$4375+Sens!$H$4376</f>
        <v>50</v>
      </c>
      <c r="I4377" s="38" t="n">
        <f aca="false">Sens!$I$4375+Sens!$I$4376</f>
        <v>50</v>
      </c>
      <c r="J4377" s="38" t="n">
        <f aca="false">Sens!$J$4375+Sens!$J$4376</f>
        <v>74.2630902738497</v>
      </c>
      <c r="K4377" s="38" t="n">
        <f aca="false">Sens!$K$4375+Sens!$K$4376</f>
        <v>197.01392904753</v>
      </c>
      <c r="L4377" s="38" t="n">
        <f aca="false">Sens!$L$4375+Sens!$L$4376</f>
        <v>380.912947487072</v>
      </c>
      <c r="M4377" s="38" t="n">
        <f aca="false">Sens!$M$4375+Sens!$M$4376</f>
        <v>597.008591494878</v>
      </c>
    </row>
    <row r="4378" customFormat="false" ht="15" hidden="false" customHeight="false" outlineLevel="0" collapsed="false">
      <c r="A4378" s="5" t="s">
        <v>806</v>
      </c>
      <c r="B4378" s="0" t="s">
        <v>86</v>
      </c>
      <c r="D4378" s="38" t="n">
        <f aca="false">Q!$E$62</f>
        <v>68.836</v>
      </c>
      <c r="E4378" s="38" t="n">
        <f aca="false">Q!$M$62</f>
        <v>132.995</v>
      </c>
      <c r="F4378" s="38" t="n">
        <f aca="false">debt_q2+Sens!$F$4373+Sens!$F$4376</f>
        <v>162.244999</v>
      </c>
      <c r="G4378" s="38" t="n">
        <f aca="false">Sens!$F$4378</f>
        <v>162.244999</v>
      </c>
      <c r="H4378" s="38" t="n">
        <f aca="false">Sens!$G$4378+Sens!$H$4376</f>
        <v>178.822320111662</v>
      </c>
      <c r="I4378" s="38" t="n">
        <f aca="false">Sens!$H$4378+Sens!$I$4376</f>
        <v>195.96693201997</v>
      </c>
      <c r="J4378" s="38" t="n">
        <f aca="false">Sens!$I$4378+Sens!$J$4376</f>
        <v>195.96693201997</v>
      </c>
      <c r="K4378" s="38" t="n">
        <f aca="false">Sens!$J$4378+Sens!$K$4376</f>
        <v>195.96693201997</v>
      </c>
      <c r="L4378" s="38" t="n">
        <f aca="false">Sens!$K$4378+Sens!$L$4376</f>
        <v>195.96693201997</v>
      </c>
      <c r="M4378" s="38" t="n">
        <f aca="false">Sens!$L$4378+Sens!$M$4376</f>
        <v>195.96693201997</v>
      </c>
    </row>
    <row r="4379" customFormat="false" ht="15" hidden="false" customHeight="false" outlineLevel="0" collapsed="false">
      <c r="A4379" s="5" t="s">
        <v>807</v>
      </c>
      <c r="B4379" s="0" t="s">
        <v>86</v>
      </c>
      <c r="D4379" s="38" t="n">
        <f aca="false">Sens!$D$4378-Sens!$D$4377</f>
        <v>-54.193</v>
      </c>
      <c r="E4379" s="38" t="n">
        <f aca="false">Sens!$E$4378-Sens!$E$4377</f>
        <v>10.007</v>
      </c>
      <c r="F4379" s="38" t="n">
        <f aca="false">Sens!$F$4378-Sens!$F$4377</f>
        <v>72.7426983848813</v>
      </c>
      <c r="G4379" s="38" t="n">
        <f aca="false">Sens!$G$4378-Sens!$G$4377</f>
        <v>72.7426983848813</v>
      </c>
      <c r="H4379" s="38" t="n">
        <f aca="false">Sens!$H$4378-Sens!$H$4377</f>
        <v>128.822320111662</v>
      </c>
      <c r="I4379" s="38" t="n">
        <f aca="false">Sens!$I$4378-Sens!$I$4377</f>
        <v>145.96693201997</v>
      </c>
      <c r="J4379" s="38" t="n">
        <f aca="false">Sens!$J$4378-Sens!$J$4377</f>
        <v>121.70384174612</v>
      </c>
      <c r="K4379" s="38" t="n">
        <f aca="false">Sens!$K$4378-Sens!$K$4377</f>
        <v>-1.0469970275602</v>
      </c>
      <c r="L4379" s="38" t="n">
        <f aca="false">Sens!$L$4378-Sens!$L$4377</f>
        <v>-184.946015467102</v>
      </c>
      <c r="M4379" s="38" t="n">
        <f aca="false">Sens!$M$4378-Sens!$M$4377</f>
        <v>-401.041659474907</v>
      </c>
    </row>
    <row r="4380" customFormat="false" ht="17.15" hidden="false" customHeight="false" outlineLevel="0" collapsed="false">
      <c r="A4380" s="5" t="s">
        <v>808</v>
      </c>
      <c r="B4380" s="0" t="s">
        <v>86</v>
      </c>
      <c r="F4380" s="38" t="n">
        <f aca="false">debt_q2*kd_book*0.5+iss_2h26*kd_new*iss_t</f>
        <v>3.24888962733561</v>
      </c>
      <c r="H4380" s="38" t="n">
        <f aca="false">debt_q2*kd_book+(Sens!$G$4378-debt_q2)*kd_new</f>
        <v>7.42354172302123</v>
      </c>
      <c r="I4380" s="38" t="n">
        <f aca="false">debt_q2*kd_book+(Sens!$H$4378-debt_q2)*kd_new</f>
        <v>8.47288614938941</v>
      </c>
      <c r="J4380" s="38" t="n">
        <f aca="false">debt_q2*kd_book+(Sens!$I$4378-debt_q2)*kd_new</f>
        <v>9.55814008318533</v>
      </c>
      <c r="K4380" s="38" t="n">
        <f aca="false">debt_q2*kd_book+(Sens!$J$4378-debt_q2)*kd_new</f>
        <v>9.55814008318533</v>
      </c>
      <c r="L4380" s="38" t="n">
        <f aca="false">debt_q2*kd_book+(Sens!$K$4378-debt_q2)*kd_new</f>
        <v>9.55814008318533</v>
      </c>
      <c r="M4380" s="38" t="n">
        <f aca="false">debt_q2*kd_book+(Sens!$L$4378-debt_q2)*kd_new</f>
        <v>9.55814008318533</v>
      </c>
    </row>
    <row r="4381" customFormat="false" ht="17.15" hidden="false" customHeight="false" outlineLevel="0" collapsed="false">
      <c r="A4381" s="5" t="s">
        <v>809</v>
      </c>
      <c r="B4381" s="0" t="s">
        <v>86</v>
      </c>
      <c r="F4381" s="38" t="n">
        <f aca="false">cash_q2*y_cash*0.5</f>
        <v>2.59</v>
      </c>
      <c r="H4381" s="38" t="n">
        <f aca="false">Sens!$G$4377*y_cash</f>
        <v>3.76965165045626</v>
      </c>
      <c r="I4381" s="38" t="n">
        <f aca="false">Sens!$H$4377*y_cash</f>
        <v>2.10589651022864</v>
      </c>
      <c r="J4381" s="38" t="n">
        <f aca="false">Sens!$I$4377*y_cash</f>
        <v>2.10589651022864</v>
      </c>
      <c r="K4381" s="38" t="n">
        <f aca="false">Sens!$J$4377*y_cash</f>
        <v>3.12780765292989</v>
      </c>
      <c r="L4381" s="38" t="n">
        <f aca="false">Sens!$K$4377*y_cash</f>
        <v>8.29781891295254</v>
      </c>
      <c r="M4381" s="38" t="n">
        <f aca="false">Sens!$L$4377*y_cash</f>
        <v>16.0432649362786</v>
      </c>
    </row>
    <row r="4382" customFormat="false" ht="17.15" hidden="false" customHeight="false" outlineLevel="0" collapsed="false">
      <c r="A4382" s="47" t="s">
        <v>810</v>
      </c>
      <c r="B4382" s="14" t="s">
        <v>86</v>
      </c>
      <c r="C4382" s="14"/>
      <c r="D4382" s="14"/>
      <c r="E4382" s="14"/>
      <c r="F4382" s="14"/>
      <c r="G4382" s="48" t="n">
        <f aca="false">SUM(Sens!$G$4371:$K$4371)</f>
        <v>6.66299702756018</v>
      </c>
      <c r="H4382" s="14"/>
      <c r="I4382" s="14"/>
      <c r="J4382" s="14"/>
      <c r="K4382" s="14"/>
      <c r="L4382" s="14"/>
      <c r="M4382" s="14"/>
      <c r="N4382" s="14"/>
      <c r="O4382" s="14"/>
    </row>
    <row r="4383" customFormat="false" ht="17.15" hidden="false" customHeight="false" outlineLevel="0" collapsed="false">
      <c r="A4383" s="0" t="s">
        <v>776</v>
      </c>
      <c r="B4383" s="0" t="s">
        <v>86</v>
      </c>
      <c r="G4383" s="38" t="n">
        <f aca="false">SUM(Sens!$G$4376:$K$4376)</f>
        <v>33.7219330199701</v>
      </c>
    </row>
    <row r="4384" customFormat="false" ht="17.15" hidden="false" customHeight="false" outlineLevel="0" collapsed="false">
      <c r="A4384" s="24" t="s">
        <v>813</v>
      </c>
      <c r="B4384" s="25" t="s">
        <v>86</v>
      </c>
      <c r="C4384" s="25"/>
      <c r="D4384" s="25"/>
      <c r="E4384" s="25"/>
      <c r="F4384" s="25"/>
      <c r="G4384" s="41" t="n">
        <f aca="false">Sens!$G$4382-(Sens!$G$4371+Sens!$H$4371+Sens!$I$4371+Sens!$J$4371+Sens!$K$4371)</f>
        <v>-2.8421709430404E-014</v>
      </c>
      <c r="H4384" s="25"/>
      <c r="I4384" s="25"/>
      <c r="J4384" s="25"/>
      <c r="K4384" s="25"/>
      <c r="L4384" s="25"/>
      <c r="M4384" s="25"/>
      <c r="N4384" s="25"/>
      <c r="O4384" s="25"/>
    </row>
    <row r="4387" customFormat="false" ht="19.4" hidden="false" customHeight="false" outlineLevel="0" collapsed="false">
      <c r="A4387" s="31" t="s">
        <v>1224</v>
      </c>
    </row>
    <row r="4388" customFormat="false" ht="17.15" hidden="false" customHeight="false" outlineLevel="0" collapsed="false">
      <c r="A4388" s="6" t="s">
        <v>16</v>
      </c>
      <c r="B4388" s="6" t="s">
        <v>17</v>
      </c>
      <c r="C4388" s="20" t="s">
        <v>497</v>
      </c>
      <c r="D4388" s="20" t="s">
        <v>498</v>
      </c>
      <c r="E4388" s="20" t="s">
        <v>580</v>
      </c>
      <c r="F4388" s="20" t="s">
        <v>581</v>
      </c>
      <c r="G4388" s="20" t="s">
        <v>582</v>
      </c>
      <c r="H4388" s="20" t="s">
        <v>583</v>
      </c>
      <c r="I4388" s="20" t="s">
        <v>584</v>
      </c>
      <c r="J4388" s="20" t="s">
        <v>585</v>
      </c>
      <c r="K4388" s="20" t="s">
        <v>586</v>
      </c>
      <c r="L4388" s="20" t="s">
        <v>587</v>
      </c>
      <c r="M4388" s="20" t="s">
        <v>588</v>
      </c>
      <c r="N4388" s="20" t="s">
        <v>589</v>
      </c>
      <c r="O4388" s="20" t="s">
        <v>590</v>
      </c>
      <c r="P4388" s="6" t="s">
        <v>23</v>
      </c>
      <c r="R4388" s="20" t="n">
        <v>2023</v>
      </c>
      <c r="S4388" s="20" t="n">
        <v>2024</v>
      </c>
      <c r="T4388" s="20" t="n">
        <v>2025</v>
      </c>
      <c r="U4388" s="20" t="n">
        <v>2026</v>
      </c>
      <c r="V4388" s="20" t="n">
        <v>2027</v>
      </c>
      <c r="W4388" s="20" t="n">
        <v>2028</v>
      </c>
      <c r="X4388" s="20" t="n">
        <v>2029</v>
      </c>
      <c r="Y4388" s="20" t="n">
        <v>2030</v>
      </c>
      <c r="Z4388" s="20" t="n">
        <v>2031</v>
      </c>
      <c r="AA4388" s="20" t="n">
        <v>2032</v>
      </c>
    </row>
    <row r="4389" customFormat="false" ht="17.15" hidden="false" customHeight="false" outlineLevel="0" collapsed="false">
      <c r="A4389" s="1" t="s">
        <v>915</v>
      </c>
    </row>
    <row r="4390" customFormat="false" ht="17.15" hidden="false" customHeight="false" outlineLevel="0" collapsed="false">
      <c r="A4390" s="0" t="s">
        <v>916</v>
      </c>
      <c r="B4390" s="0" t="s">
        <v>86</v>
      </c>
      <c r="H4390" s="38" t="n">
        <f aca="false">Sens!$H$4324*(1-tax)</f>
        <v>121.501633161788</v>
      </c>
      <c r="I4390" s="38" t="n">
        <f aca="false">Sens!$I$4324*(1-tax)</f>
        <v>147.220711808039</v>
      </c>
      <c r="J4390" s="38" t="n">
        <f aca="false">Sens!$J$4324*(1-tax)</f>
        <v>172.292553218322</v>
      </c>
      <c r="K4390" s="38" t="n">
        <f aca="false">Sens!$K$4324*(1-tax)</f>
        <v>191.161592708784</v>
      </c>
      <c r="L4390" s="38" t="n">
        <f aca="false">Sens!$L$4324*(1-tax)</f>
        <v>207.267346567618</v>
      </c>
      <c r="M4390" s="38" t="n">
        <f aca="false">Sens!$M$4324*(1-tax)</f>
        <v>220.692192705974</v>
      </c>
    </row>
    <row r="4391" customFormat="false" ht="15" hidden="false" customHeight="false" outlineLevel="0" collapsed="false">
      <c r="A4391" s="5" t="s">
        <v>917</v>
      </c>
      <c r="B4391" s="0" t="s">
        <v>86</v>
      </c>
      <c r="H4391" s="38" t="n">
        <f aca="false">Sens!$H$4335</f>
        <v>78.2012269312586</v>
      </c>
      <c r="I4391" s="38" t="n">
        <f aca="false">Sens!$I$4335</f>
        <v>111.247401024299</v>
      </c>
      <c r="J4391" s="38" t="n">
        <f aca="false">Sens!$J$4335</f>
        <v>145.062058054426</v>
      </c>
      <c r="K4391" s="38" t="n">
        <f aca="false">Sens!$K$4335</f>
        <v>179.142396240771</v>
      </c>
      <c r="L4391" s="38" t="n">
        <f aca="false">Sens!$L$4335</f>
        <v>204.86974607086</v>
      </c>
      <c r="M4391" s="38" t="n">
        <f aca="false">Sens!$M$4335</f>
        <v>223.891306531411</v>
      </c>
    </row>
    <row r="4392" customFormat="false" ht="15" hidden="false" customHeight="false" outlineLevel="0" collapsed="false">
      <c r="A4392" s="5" t="s">
        <v>918</v>
      </c>
      <c r="B4392" s="0" t="s">
        <v>86</v>
      </c>
      <c r="H4392" s="38" t="n">
        <f aca="false">Sens!$H$4366</f>
        <v>273.409545942546</v>
      </c>
      <c r="I4392" s="38" t="n">
        <f aca="false">Sens!$I$4366</f>
        <v>287.113908515032</v>
      </c>
      <c r="J4392" s="38" t="n">
        <f aca="false">Sens!$J$4366</f>
        <v>299.62417647811</v>
      </c>
      <c r="K4392" s="38" t="n">
        <f aca="false">Sens!$K$4366</f>
        <v>251.639000833303</v>
      </c>
      <c r="L4392" s="38" t="n">
        <f aca="false">Sens!$L$4366</f>
        <v>235.611442993267</v>
      </c>
      <c r="M4392" s="38" t="n">
        <f aca="false">Sens!$M$4366</f>
        <v>243.60914993564</v>
      </c>
    </row>
    <row r="4393" customFormat="false" ht="15" hidden="false" customHeight="false" outlineLevel="0" collapsed="false">
      <c r="A4393" s="5" t="s">
        <v>919</v>
      </c>
      <c r="B4393" s="0" t="s">
        <v>86</v>
      </c>
      <c r="H4393" s="38" t="n">
        <f aca="false">Sens!$H$4367</f>
        <v>1.6</v>
      </c>
      <c r="I4393" s="38" t="n">
        <f aca="false">Sens!$I$4367</f>
        <v>1.6</v>
      </c>
      <c r="J4393" s="38" t="n">
        <f aca="false">Sens!$J$4367</f>
        <v>1.6</v>
      </c>
      <c r="K4393" s="38" t="n">
        <f aca="false">Sens!$K$4367</f>
        <v>1.6</v>
      </c>
      <c r="L4393" s="38" t="n">
        <f aca="false">Sens!$L$4367</f>
        <v>1.6</v>
      </c>
      <c r="M4393" s="38" t="n">
        <f aca="false">Sens!$M$4367</f>
        <v>1.6</v>
      </c>
    </row>
    <row r="4394" customFormat="false" ht="15" hidden="false" customHeight="false" outlineLevel="0" collapsed="false">
      <c r="A4394" s="5" t="s">
        <v>920</v>
      </c>
      <c r="B4394" s="0" t="s">
        <v>86</v>
      </c>
      <c r="H4394" s="38" t="n">
        <f aca="false">Sens!$H$4361</f>
        <v>11.3003087339632</v>
      </c>
      <c r="I4394" s="38" t="n">
        <f aca="false">Sens!$I$4361</f>
        <v>12.8359536315124</v>
      </c>
      <c r="J4394" s="38" t="n">
        <f aca="false">Sens!$J$4361</f>
        <v>14.322982434532</v>
      </c>
      <c r="K4394" s="38" t="n">
        <f aca="false">Sens!$K$4361</f>
        <v>15.6508060816994</v>
      </c>
      <c r="L4394" s="38" t="n">
        <f aca="false">Sens!$L$4361</f>
        <v>16.9062270130348</v>
      </c>
      <c r="M4394" s="38" t="n">
        <f aca="false">Sens!$M$4361</f>
        <v>18.0955910718331</v>
      </c>
    </row>
    <row r="4395" customFormat="false" ht="17.15" hidden="false" customHeight="false" outlineLevel="0" collapsed="false">
      <c r="A4395" s="1" t="s">
        <v>921</v>
      </c>
      <c r="B4395" s="8" t="s">
        <v>86</v>
      </c>
      <c r="H4395" s="38" t="n">
        <f aca="false">Sens!$H$4390+Sens!$H$4391-Sens!$H$4392+Sens!$H$4394</f>
        <v>-62.4063771155364</v>
      </c>
      <c r="I4395" s="38" t="n">
        <f aca="false">Sens!$I$4390+Sens!$I$4391-Sens!$I$4392+Sens!$I$4394</f>
        <v>-15.8098420511824</v>
      </c>
      <c r="J4395" s="38" t="n">
        <f aca="false">Sens!$J$4390+Sens!$J$4391-Sens!$J$4392+Sens!$J$4394</f>
        <v>32.05341722917</v>
      </c>
      <c r="K4395" s="38" t="n">
        <f aca="false">Sens!$K$4390+Sens!$K$4391-Sens!$K$4392+Sens!$K$4394</f>
        <v>134.315794197952</v>
      </c>
      <c r="L4395" s="38" t="n">
        <f aca="false">Sens!$L$4390+Sens!$L$4391-Sens!$L$4392+Sens!$L$4394</f>
        <v>193.431876658245</v>
      </c>
      <c r="M4395" s="38" t="n">
        <f aca="false">Sens!$M$4390+Sens!$M$4391-Sens!$M$4392+Sens!$M$4394</f>
        <v>219.069940373578</v>
      </c>
    </row>
    <row r="4396" customFormat="false" ht="15" hidden="false" customHeight="false" outlineLevel="0" collapsed="false">
      <c r="A4396" s="5" t="s">
        <v>922</v>
      </c>
      <c r="B4396" s="0" t="s">
        <v>57</v>
      </c>
      <c r="H4396" s="40" t="n">
        <f aca="false">1/(1+wacc)^(2027-2026-0.5)</f>
        <v>0.947751320380232</v>
      </c>
      <c r="I4396" s="40" t="n">
        <f aca="false">1/(1+wacc)^(2028-2026-0.5)</f>
        <v>0.851301099754987</v>
      </c>
      <c r="J4396" s="40" t="n">
        <f aca="false">1/(1+wacc)^(2029-2026-0.5)</f>
        <v>0.764666370660713</v>
      </c>
      <c r="K4396" s="40" t="n">
        <f aca="false">1/(1+wacc)^(2030-2026-0.5)</f>
        <v>0.686848235703811</v>
      </c>
      <c r="L4396" s="40" t="n">
        <f aca="false">1/(1+wacc)^(2031-2026-0.5)</f>
        <v>0.616949452715975</v>
      </c>
      <c r="M4396" s="40" t="n">
        <f aca="false">1/(1+wacc)^(2032-2026-0.5)</f>
        <v>0.554164089562688</v>
      </c>
    </row>
    <row r="4397" customFormat="false" ht="15" hidden="false" customHeight="false" outlineLevel="0" collapsed="false">
      <c r="A4397" s="5" t="s">
        <v>923</v>
      </c>
      <c r="B4397" s="0" t="s">
        <v>86</v>
      </c>
      <c r="H4397" s="38" t="n">
        <f aca="false">Sens!$H$4395*Sens!$H$4396</f>
        <v>-59.1457263113963</v>
      </c>
      <c r="I4397" s="38" t="n">
        <f aca="false">Sens!$I$4395*Sens!$I$4396</f>
        <v>-13.4589359251243</v>
      </c>
      <c r="J4397" s="38" t="n">
        <f aca="false">Sens!$J$4395*Sens!$J$4396</f>
        <v>24.510170219903</v>
      </c>
      <c r="K4397" s="38" t="n">
        <f aca="false">Sens!$K$4395*Sens!$K$4396</f>
        <v>92.2545662720197</v>
      </c>
      <c r="L4397" s="38" t="n">
        <f aca="false">Sens!$L$4395*Sens!$L$4396</f>
        <v>119.337690442128</v>
      </c>
      <c r="M4397" s="38" t="n">
        <f aca="false">Sens!$M$4395*Sens!$M$4396</f>
        <v>121.400694057676</v>
      </c>
    </row>
    <row r="4398" customFormat="false" ht="15" hidden="false" customHeight="false" outlineLevel="0" collapsed="false">
      <c r="A4398" s="5" t="s">
        <v>924</v>
      </c>
      <c r="B4398" s="0" t="s">
        <v>86</v>
      </c>
      <c r="C4398" s="38" t="n">
        <f aca="false">SUM(Sens!$H$4397:$M$4397)</f>
        <v>284.898458755206</v>
      </c>
    </row>
    <row r="4399" customFormat="false" ht="17.15" hidden="false" customHeight="false" outlineLevel="0" collapsed="false">
      <c r="A4399" s="5" t="s">
        <v>925</v>
      </c>
      <c r="B4399" s="0" t="s">
        <v>86</v>
      </c>
      <c r="C4399" s="38" t="n">
        <f aca="false">Sens!$M$4390*(1+tg)*(1-tg/ronic)/(wacc-tg)</f>
        <v>2006.33829859818</v>
      </c>
    </row>
    <row r="4400" customFormat="false" ht="15" hidden="false" customHeight="false" outlineLevel="0" collapsed="false">
      <c r="A4400" s="5" t="s">
        <v>926</v>
      </c>
      <c r="B4400" s="0" t="s">
        <v>86</v>
      </c>
      <c r="C4400" s="38" t="n">
        <f aca="false">Sens!$C$4399/(1+wacc)^6</f>
        <v>1053.7484313876</v>
      </c>
    </row>
    <row r="4401" customFormat="false" ht="17.15" hidden="false" customHeight="false" outlineLevel="0" collapsed="false">
      <c r="A4401" s="5" t="s">
        <v>927</v>
      </c>
      <c r="B4401" s="0" t="s">
        <v>86</v>
      </c>
      <c r="C4401" s="38" t="n">
        <f aca="false">Sens!$C$4398+Sens!$C$4400</f>
        <v>1338.6468901428</v>
      </c>
    </row>
    <row r="4402" customFormat="false" ht="17.15" hidden="false" customHeight="false" outlineLevel="0" collapsed="false">
      <c r="A4402" s="5" t="s">
        <v>928</v>
      </c>
      <c r="B4402" s="0" t="s">
        <v>52</v>
      </c>
      <c r="C4402" s="13" t="n">
        <f aca="false">Sens!$C$4400/Sens!$C$4401</f>
        <v>0.78717430201118</v>
      </c>
    </row>
    <row r="4403" customFormat="false" ht="17.15" hidden="false" customHeight="false" outlineLevel="0" collapsed="false">
      <c r="A4403" s="5" t="s">
        <v>929</v>
      </c>
      <c r="B4403" s="0" t="s">
        <v>86</v>
      </c>
      <c r="C4403" s="38" t="n">
        <f aca="false">Sens!$G$4379+fin_debt</f>
        <v>97.2636983848813</v>
      </c>
    </row>
    <row r="4404" customFormat="false" ht="17.15" hidden="false" customHeight="false" outlineLevel="0" collapsed="false">
      <c r="A4404" s="5" t="s">
        <v>930</v>
      </c>
      <c r="B4404" s="0" t="s">
        <v>86</v>
      </c>
      <c r="C4404" s="38" t="n">
        <f aca="false">(ant_val*ant_sh+oai_val*oai_sh)*(1-liq_disc)</f>
        <v>178.944</v>
      </c>
    </row>
    <row r="4405" customFormat="false" ht="15" hidden="false" customHeight="false" outlineLevel="0" collapsed="false">
      <c r="A4405" s="5" t="s">
        <v>931</v>
      </c>
      <c r="B4405" s="0" t="s">
        <v>86</v>
      </c>
      <c r="C4405" s="38" t="n">
        <f aca="false">Sens!$C$4401-Sens!$C$4403+Sens!$C$4404</f>
        <v>1420.32719175792</v>
      </c>
    </row>
    <row r="4406" customFormat="false" ht="17.15" hidden="false" customHeight="false" outlineLevel="0" collapsed="false">
      <c r="A4406" s="5" t="s">
        <v>932</v>
      </c>
      <c r="B4406" s="0" t="s">
        <v>27</v>
      </c>
      <c r="C4406" s="30" t="n">
        <f aca="false">Sens!$C$4405/sh_out</f>
        <v>131.678643117373</v>
      </c>
    </row>
    <row r="4407" customFormat="false" ht="17.15" hidden="false" customHeight="false" outlineLevel="0" collapsed="false">
      <c r="A4407" s="1" t="s">
        <v>933</v>
      </c>
      <c r="B4407" s="8" t="s">
        <v>27</v>
      </c>
      <c r="C4407" s="30" t="n">
        <f aca="false">Sens!$C$4406*(1+ke)^tp_yf-dps*tp_yf</f>
        <v>144.236683416822</v>
      </c>
    </row>
    <row r="4408" customFormat="false" ht="17.15" hidden="false" customHeight="false" outlineLevel="0" collapsed="false">
      <c r="A4408" s="3" t="s">
        <v>934</v>
      </c>
    </row>
    <row r="4409" customFormat="false" ht="17.15" hidden="false" customHeight="false" outlineLevel="0" collapsed="false">
      <c r="A4409" s="5" t="s">
        <v>935</v>
      </c>
      <c r="B4409" s="0" t="s">
        <v>86</v>
      </c>
      <c r="C4409" s="38" t="n">
        <f aca="false">(1-tp_yf)*(Sens!$H$4336+sbc_ab*Sens!$H$4360*Sens!$H$4200/Sens!$H$4277)+tp_yf*(Sens!$I$4336+sbc_ab*Sens!$I$4360*Sens!$I$4200/Sens!$I$4277)</f>
        <v>60.6577179255492</v>
      </c>
    </row>
    <row r="4410" customFormat="false" ht="15" hidden="false" customHeight="false" outlineLevel="0" collapsed="false">
      <c r="A4410" s="5" t="s">
        <v>936</v>
      </c>
      <c r="B4410" s="0" t="s">
        <v>57</v>
      </c>
      <c r="C4410" s="30" t="n">
        <f aca="false">m_ads*m_x</f>
        <v>9.11</v>
      </c>
    </row>
    <row r="4411" customFormat="false" ht="17.15" hidden="false" customHeight="false" outlineLevel="0" collapsed="false">
      <c r="A4411" s="5" t="s">
        <v>937</v>
      </c>
      <c r="B4411" s="0" t="s">
        <v>86</v>
      </c>
      <c r="C4411" s="38" t="n">
        <f aca="false">Sens!$C$4409*Sens!$C$4410</f>
        <v>552.591810301753</v>
      </c>
    </row>
    <row r="4412" customFormat="false" ht="17.15" hidden="false" customHeight="false" outlineLevel="0" collapsed="false">
      <c r="A4412" s="5" t="s">
        <v>938</v>
      </c>
      <c r="B4412" s="0" t="s">
        <v>86</v>
      </c>
      <c r="C4412" s="38" t="n">
        <f aca="false">(1-tp_yf)*(Sens!$H$4337+sbc_ab*Sens!$H$4360*(Sens!$H$4207-Sens!$H$4200)/Sens!$H$4277+IF(internal_ai_reading=2,1,0)*(1-ext_sh)*Sens!$H$4237)+tp_yf*(Sens!$I$4337+sbc_ab*Sens!$I$4360*(Sens!$I$4207-Sens!$I$4200)/Sens!$I$4277+IF(internal_ai_reading=2,1,0)*(1-ext_sh)*Sens!$I$4237)</f>
        <v>51.2889657854076</v>
      </c>
    </row>
    <row r="4413" customFormat="false" ht="17.15" hidden="false" customHeight="false" outlineLevel="0" collapsed="false">
      <c r="A4413" s="5" t="s">
        <v>939</v>
      </c>
      <c r="B4413" s="0" t="s">
        <v>57</v>
      </c>
      <c r="C4413" s="30" t="n">
        <f aca="false">m_retail*m_x</f>
        <v>17.72</v>
      </c>
    </row>
    <row r="4414" customFormat="false" ht="17.15" hidden="false" customHeight="false" outlineLevel="0" collapsed="false">
      <c r="A4414" s="5" t="s">
        <v>940</v>
      </c>
      <c r="B4414" s="0" t="s">
        <v>86</v>
      </c>
      <c r="C4414" s="38" t="n">
        <f aca="false">Sens!$C$4412*Sens!$C$4413</f>
        <v>908.840473717423</v>
      </c>
    </row>
    <row r="4415" customFormat="false" ht="17.15" hidden="false" customHeight="false" outlineLevel="0" collapsed="false">
      <c r="A4415" s="0" t="s">
        <v>941</v>
      </c>
      <c r="B4415" s="0" t="s">
        <v>86</v>
      </c>
      <c r="C4415" s="38" t="n">
        <f aca="false">(1-tp_yf)*(Sens!$H$4338+sbc_ab*Sens!$H$4360*Sens!$H$4275/Sens!$H$4277)+tp_yf*(Sens!$I$4338+sbc_ab*Sens!$I$4360*Sens!$I$4275/Sens!$I$4277)</f>
        <v>96.2439586897193</v>
      </c>
    </row>
    <row r="4416" customFormat="false" ht="17.15" hidden="false" customHeight="false" outlineLevel="0" collapsed="false">
      <c r="A4416" s="0" t="s">
        <v>942</v>
      </c>
      <c r="B4416" s="0" t="s">
        <v>57</v>
      </c>
      <c r="C4416" s="30" t="n">
        <f aca="false">m_cloud*m_x</f>
        <v>13.82</v>
      </c>
    </row>
    <row r="4417" customFormat="false" ht="17.15" hidden="false" customHeight="false" outlineLevel="0" collapsed="false">
      <c r="A4417" s="0" t="s">
        <v>943</v>
      </c>
      <c r="B4417" s="0" t="s">
        <v>86</v>
      </c>
      <c r="C4417" s="38" t="n">
        <f aca="false">Sens!$C$4415*Sens!$C$4416</f>
        <v>1330.09150909192</v>
      </c>
    </row>
    <row r="4418" customFormat="false" ht="17.15" hidden="false" customHeight="false" outlineLevel="0" collapsed="false">
      <c r="A4418" s="0" t="s">
        <v>944</v>
      </c>
      <c r="B4418" s="0" t="s">
        <v>86</v>
      </c>
      <c r="H4418" s="38" t="n">
        <f aca="false">Sens!$H$4256-tax*Sens!$H$4257-ext_sh*Sens!$H$4244</f>
        <v>-115.885394236225</v>
      </c>
      <c r="I4418" s="38" t="n">
        <f aca="false">Sens!$I$4256-tax*Sens!$I$4257-ext_sh*Sens!$I$4244</f>
        <v>-89.5935137276694</v>
      </c>
      <c r="J4418" s="38" t="n">
        <f aca="false">Sens!$J$4256-tax*Sens!$J$4257-ext_sh*Sens!$J$4244</f>
        <v>-62.3510647460279</v>
      </c>
      <c r="K4418" s="38" t="n">
        <f aca="false">Sens!$K$4256-tax*Sens!$K$4257-ext_sh*Sens!$K$4244</f>
        <v>8.85932514072565</v>
      </c>
      <c r="L4418" s="38" t="n">
        <f aca="false">Sens!$L$4256-tax*Sens!$L$4257-ext_sh*Sens!$L$4244</f>
        <v>45.6968344120177</v>
      </c>
      <c r="M4418" s="38" t="n">
        <f aca="false">Sens!$M$4256-tax*Sens!$M$4257-ext_sh*Sens!$M$4244</f>
        <v>54.7466688757428</v>
      </c>
    </row>
    <row r="4419" customFormat="false" ht="17.15" hidden="false" customHeight="false" outlineLevel="0" collapsed="false">
      <c r="A4419" s="5" t="s">
        <v>945</v>
      </c>
      <c r="B4419" s="0" t="s">
        <v>86</v>
      </c>
      <c r="H4419" s="38" t="n">
        <f aca="false">Sens!$H$4418*Sens!$H$4396</f>
        <v>-109.830535400166</v>
      </c>
      <c r="I4419" s="38" t="n">
        <f aca="false">Sens!$I$4418*Sens!$I$4396</f>
        <v>-76.2710567672785</v>
      </c>
      <c r="J4419" s="38" t="n">
        <f aca="false">Sens!$J$4418*Sens!$J$4396</f>
        <v>-47.6777623861763</v>
      </c>
      <c r="K4419" s="38" t="n">
        <f aca="false">Sens!$K$4418*Sens!$K$4396</f>
        <v>6.08501184243383</v>
      </c>
      <c r="L4419" s="38" t="n">
        <f aca="false">Sens!$L$4418*Sens!$L$4396</f>
        <v>28.1926369813469</v>
      </c>
      <c r="M4419" s="38" t="n">
        <f aca="false">Sens!$M$4418*Sens!$M$4396</f>
        <v>30.338637914116</v>
      </c>
    </row>
    <row r="4420" customFormat="false" ht="17.15" hidden="false" customHeight="false" outlineLevel="0" collapsed="false">
      <c r="A4420" s="5" t="s">
        <v>946</v>
      </c>
      <c r="B4420" s="0" t="s">
        <v>86</v>
      </c>
      <c r="C4420" s="38" t="n">
        <f aca="false">Sens!$M$4257*(1-tax)*(1+tg)*(1-tg/ronic)/(wacc-tg)</f>
        <v>391.533160655061</v>
      </c>
    </row>
    <row r="4421" customFormat="false" ht="17.15" hidden="false" customHeight="false" outlineLevel="0" collapsed="false">
      <c r="A4421" s="0" t="s">
        <v>947</v>
      </c>
      <c r="B4421" s="0" t="s">
        <v>86</v>
      </c>
      <c r="C4421" s="38" t="n">
        <f aca="false">(SUM(Sens!$I$4419:$M$4419)+Sens!$C$4420/(1+wacc)^6)*(1+wacc)^tp_yf</f>
        <v>159.796867964901</v>
      </c>
    </row>
    <row r="4422" customFormat="false" ht="17.15" hidden="false" customHeight="false" outlineLevel="0" collapsed="false">
      <c r="A4422" s="5" t="s">
        <v>948</v>
      </c>
      <c r="B4422" s="0" t="s">
        <v>86</v>
      </c>
      <c r="C4422" s="38" t="n">
        <f aca="false">(1-tp_yf)*(Sens!$H$4339)+tp_yf*(Sens!$I$4339)</f>
        <v>74.6707041238437</v>
      </c>
    </row>
    <row r="4423" customFormat="false" ht="17.15" hidden="false" customHeight="false" outlineLevel="0" collapsed="false">
      <c r="A4423" s="5" t="s">
        <v>949</v>
      </c>
      <c r="B4423" s="0" t="s">
        <v>86</v>
      </c>
      <c r="C4423" s="38" t="n">
        <f aca="false">Sens!$C$4422*m_ai</f>
        <v>448.024224743062</v>
      </c>
    </row>
    <row r="4424" customFormat="false" ht="17.15" hidden="false" customHeight="false" outlineLevel="0" collapsed="false">
      <c r="A4424" s="0" t="s">
        <v>950</v>
      </c>
      <c r="B4424" s="0" t="s">
        <v>86</v>
      </c>
      <c r="C4424" s="38" t="n">
        <f aca="false">IF(ai_leg=1,Sens!$C$4421,Sens!$C$4423)</f>
        <v>159.796867964901</v>
      </c>
    </row>
    <row r="4425" customFormat="false" ht="17.15" hidden="false" customHeight="false" outlineLevel="0" collapsed="false">
      <c r="A4425" s="5" t="s">
        <v>951</v>
      </c>
      <c r="B4425" s="0" t="s">
        <v>86</v>
      </c>
      <c r="C4425" s="38" t="n">
        <f aca="false">Sens!$C$4411+Sens!$C$4414+Sens!$C$4417+Sens!$C$4424</f>
        <v>2951.320661076</v>
      </c>
    </row>
    <row r="4426" customFormat="false" ht="17.15" hidden="false" customHeight="false" outlineLevel="0" collapsed="false">
      <c r="A4426" s="5" t="s">
        <v>952</v>
      </c>
      <c r="B4426" s="0" t="s">
        <v>86</v>
      </c>
      <c r="C4426" s="38" t="n">
        <f aca="false">Sens!$H$4379+fin_debt</f>
        <v>153.343320111662</v>
      </c>
    </row>
    <row r="4427" customFormat="false" ht="15" hidden="false" customHeight="false" outlineLevel="0" collapsed="false">
      <c r="A4427" s="5" t="s">
        <v>953</v>
      </c>
      <c r="B4427" s="0" t="s">
        <v>86</v>
      </c>
      <c r="C4427" s="38" t="n">
        <f aca="false">Sens!$C$4425-Sens!$C$4426+Sens!$C$4404</f>
        <v>2976.92134096434</v>
      </c>
    </row>
    <row r="4428" customFormat="false" ht="15" hidden="false" customHeight="false" outlineLevel="0" collapsed="false">
      <c r="A4428" s="3" t="s">
        <v>954</v>
      </c>
      <c r="B4428" s="8" t="s">
        <v>27</v>
      </c>
      <c r="C4428" s="30" t="n">
        <f aca="false">Sens!$C$4427/sh_val</f>
        <v>269.885457563976</v>
      </c>
    </row>
    <row r="4429" customFormat="false" ht="17.15" hidden="false" customHeight="false" outlineLevel="0" collapsed="false">
      <c r="A4429" s="47" t="s">
        <v>955</v>
      </c>
      <c r="B4429" s="14" t="s">
        <v>27</v>
      </c>
      <c r="C4429" s="44" t="n">
        <f aca="false">w_dcf*Sens!$C$4407+(1-w_dcf)*Sens!$C$4428</f>
        <v>207.061070490399</v>
      </c>
      <c r="D4429" s="14"/>
      <c r="E4429" s="14"/>
      <c r="F4429" s="14"/>
      <c r="G4429" s="14"/>
      <c r="H4429" s="14"/>
      <c r="I4429" s="14"/>
      <c r="J4429" s="14"/>
      <c r="K4429" s="14"/>
      <c r="L4429" s="14"/>
      <c r="M4429" s="14"/>
      <c r="N4429" s="14"/>
      <c r="O4429" s="14"/>
    </row>
    <row r="4430" customFormat="false" ht="17.15" hidden="false" customHeight="false" outlineLevel="0" collapsed="false">
      <c r="A4430" s="5" t="s">
        <v>956</v>
      </c>
      <c r="B4430" s="0" t="s">
        <v>27</v>
      </c>
      <c r="C4430" s="30" t="n">
        <f aca="false">v022_wdcf*Sens!$C$4407+(1-v022_wdcf)*Sens!$C$4428</f>
        <v>213.343509197757</v>
      </c>
    </row>
    <row r="4431" customFormat="false" ht="17.15" hidden="false" customHeight="false" outlineLevel="0" collapsed="false">
      <c r="A4431" s="5" t="s">
        <v>957</v>
      </c>
      <c r="B4431" s="0" t="s">
        <v>27</v>
      </c>
      <c r="C4431" s="30" t="n">
        <f aca="false">(Sens!$C$4427-Sens!$C$4424+Sens!$C$4423)/sh_val</f>
        <v>296.015933702567</v>
      </c>
    </row>
    <row r="4434" customFormat="false" ht="19.4" hidden="false" customHeight="false" outlineLevel="0" collapsed="false">
      <c r="A4434" s="31" t="s">
        <v>1225</v>
      </c>
    </row>
    <row r="4435" customFormat="false" ht="17.15" hidden="false" customHeight="false" outlineLevel="0" collapsed="false">
      <c r="A4435" s="6" t="s">
        <v>16</v>
      </c>
      <c r="B4435" s="6" t="s">
        <v>17</v>
      </c>
      <c r="C4435" s="20" t="s">
        <v>497</v>
      </c>
      <c r="D4435" s="20" t="s">
        <v>498</v>
      </c>
      <c r="E4435" s="20" t="s">
        <v>580</v>
      </c>
      <c r="F4435" s="20" t="s">
        <v>581</v>
      </c>
      <c r="G4435" s="20" t="s">
        <v>582</v>
      </c>
      <c r="H4435" s="20" t="s">
        <v>583</v>
      </c>
      <c r="I4435" s="20" t="s">
        <v>584</v>
      </c>
      <c r="J4435" s="20" t="s">
        <v>585</v>
      </c>
      <c r="K4435" s="20" t="s">
        <v>586</v>
      </c>
      <c r="L4435" s="20" t="s">
        <v>587</v>
      </c>
      <c r="M4435" s="20" t="s">
        <v>588</v>
      </c>
      <c r="N4435" s="20" t="s">
        <v>589</v>
      </c>
      <c r="O4435" s="20" t="s">
        <v>590</v>
      </c>
      <c r="P4435" s="6" t="s">
        <v>23</v>
      </c>
      <c r="R4435" s="20" t="n">
        <v>2023</v>
      </c>
      <c r="S4435" s="20" t="n">
        <v>2024</v>
      </c>
      <c r="T4435" s="20" t="n">
        <v>2025</v>
      </c>
      <c r="U4435" s="20" t="n">
        <v>2026</v>
      </c>
      <c r="V4435" s="20" t="n">
        <v>2027</v>
      </c>
      <c r="W4435" s="20" t="n">
        <v>2028</v>
      </c>
      <c r="X4435" s="20" t="n">
        <v>2029</v>
      </c>
      <c r="Y4435" s="20" t="n">
        <v>2030</v>
      </c>
      <c r="Z4435" s="20" t="n">
        <v>2031</v>
      </c>
      <c r="AA4435" s="20" t="n">
        <v>2032</v>
      </c>
    </row>
    <row r="4436" customFormat="false" ht="17.15" hidden="false" customHeight="false" outlineLevel="0" collapsed="false">
      <c r="A4436" s="1" t="s">
        <v>666</v>
      </c>
    </row>
    <row r="4437" customFormat="false" ht="17.15" hidden="false" customHeight="false" outlineLevel="0" collapsed="false">
      <c r="A4437" s="0" t="s">
        <v>519</v>
      </c>
      <c r="B4437" s="0" t="s">
        <v>86</v>
      </c>
      <c r="C4437" s="38" t="n">
        <f aca="false">Q!$D$10</f>
        <v>247.029</v>
      </c>
      <c r="D4437" s="38" t="n">
        <f aca="false">Q!$E$10</f>
        <v>269.287</v>
      </c>
      <c r="E4437" s="38" t="n">
        <f aca="false">Q!$P$10</f>
        <v>134.686</v>
      </c>
      <c r="F4437" s="38" t="n">
        <f aca="false">Sens!$O$4437*(1+Sens!$F$4438)*Sens!$F$4449</f>
        <v>158.293876822267</v>
      </c>
      <c r="G4437" s="38" t="n">
        <f aca="false">Sens!$E$4437+Sens!$F$4437</f>
        <v>292.979876822267</v>
      </c>
      <c r="H4437" s="38" t="n">
        <f aca="false">Sens!$G$4437*(1+Sens!$H$4438)</f>
        <v>318.184543087396</v>
      </c>
      <c r="I4437" s="38" t="n">
        <f aca="false">Sens!$H$4437*(1+Sens!$I$4438)</f>
        <v>341.736278761793</v>
      </c>
      <c r="J4437" s="38" t="n">
        <f aca="false">Sens!$I$4437*(1+Sens!$J$4438)</f>
        <v>362.927192787048</v>
      </c>
      <c r="K4437" s="38" t="n">
        <f aca="false">Sens!$J$4437*(1+Sens!$K$4438)</f>
        <v>381.0735524264</v>
      </c>
      <c r="L4437" s="38" t="n">
        <f aca="false">Sens!$K$4437*(1+Sens!$L$4438)</f>
        <v>400.12723004772</v>
      </c>
      <c r="M4437" s="38" t="n">
        <f aca="false">Sens!$L$4437*(1+Sens!$M$4438)</f>
        <v>420.133591550106</v>
      </c>
      <c r="N4437" s="38" t="n">
        <f aca="false">Q!$N$10</f>
        <v>118.892</v>
      </c>
      <c r="O4437" s="38" t="n">
        <f aca="false">Q!$O$10</f>
        <v>150.395</v>
      </c>
      <c r="P4437" s="8" t="s">
        <v>667</v>
      </c>
    </row>
    <row r="4438" customFormat="false" ht="17.15" hidden="false" customHeight="false" outlineLevel="0" collapsed="false">
      <c r="A4438" s="0" t="s">
        <v>668</v>
      </c>
      <c r="B4438" s="0" t="s">
        <v>52</v>
      </c>
      <c r="E4438" s="13" t="n">
        <f aca="false">Sens!$E$4437/Sens!$N$4437-1</f>
        <v>0.132843252699929</v>
      </c>
      <c r="F4438" s="13" t="n">
        <f aca="false">Sens!$O$4437/(Q!$F$10+Q!$G$10)-1</f>
        <v>0.0980382135842941</v>
      </c>
      <c r="G4438" s="13" t="n">
        <f aca="false">Sens!$G$4437/Sens!$D$4437-1</f>
        <v>0.0879837378791657</v>
      </c>
      <c r="H4438" s="13" t="n">
        <f aca="false">Sens!$F$4438+(g_os-Sens!$F$4438)*1/4</f>
        <v>0.0860286601882206</v>
      </c>
      <c r="I4438" s="13" t="n">
        <f aca="false">Sens!$F$4438+(g_os-Sens!$F$4438)*2/4</f>
        <v>0.074019106792147</v>
      </c>
      <c r="J4438" s="13" t="n">
        <f aca="false">Sens!$F$4438+(g_os-Sens!$F$4438)*3/4</f>
        <v>0.0620095533960735</v>
      </c>
      <c r="K4438" s="13" t="n">
        <f aca="false">Sens!$F$4438+(g_os-Sens!$F$4438)*4/4</f>
        <v>0.05</v>
      </c>
      <c r="L4438" s="13" t="n">
        <f aca="false">g_os</f>
        <v>0.05</v>
      </c>
      <c r="M4438" s="13" t="n">
        <f aca="false">g_os</f>
        <v>0.05</v>
      </c>
      <c r="P4438" s="8" t="s">
        <v>669</v>
      </c>
    </row>
    <row r="4439" customFormat="false" ht="17.15" hidden="false" customHeight="false" outlineLevel="0" collapsed="false">
      <c r="A4439" s="0" t="s">
        <v>520</v>
      </c>
      <c r="B4439" s="0" t="s">
        <v>86</v>
      </c>
      <c r="C4439" s="38" t="n">
        <f aca="false">Q!$D$11</f>
        <v>21.215</v>
      </c>
      <c r="D4439" s="38" t="n">
        <f aca="false">Q!$E$11</f>
        <v>22.561</v>
      </c>
      <c r="E4439" s="38" t="n">
        <f aca="false">Q!$P$11</f>
        <v>11.579</v>
      </c>
      <c r="F4439" s="38" t="n">
        <f aca="false">Sens!$O$4439*(1+Sens!$F$4440)*Sens!$F$4449</f>
        <v>11.5938724610325</v>
      </c>
      <c r="G4439" s="38" t="n">
        <f aca="false">Sens!$E$4439+Sens!$F$4439</f>
        <v>23.1728724610325</v>
      </c>
      <c r="H4439" s="38" t="n">
        <f aca="false">Sens!$G$4439*(1+Sens!$H$4440)</f>
        <v>24.353392759506</v>
      </c>
      <c r="I4439" s="38" t="n">
        <f aca="false">Sens!$H$4439*(1+Sens!$I$4440)</f>
        <v>25.4240338872015</v>
      </c>
      <c r="J4439" s="38" t="n">
        <f aca="false">Sens!$I$4439*(1+Sens!$J$4440)</f>
        <v>26.3642491017174</v>
      </c>
      <c r="K4439" s="38" t="n">
        <f aca="false">Sens!$J$4439*(1+Sens!$K$4440)</f>
        <v>27.155176574769</v>
      </c>
      <c r="L4439" s="38" t="n">
        <f aca="false">Sens!$K$4439*(1+Sens!$L$4440)</f>
        <v>27.969831872012</v>
      </c>
      <c r="M4439" s="38" t="n">
        <f aca="false">Sens!$L$4439*(1+Sens!$M$4440)</f>
        <v>28.8089268281724</v>
      </c>
      <c r="N4439" s="38" t="n">
        <f aca="false">Q!$N$11</f>
        <v>11.128</v>
      </c>
      <c r="O4439" s="38" t="n">
        <f aca="false">Q!$O$11</f>
        <v>11.433</v>
      </c>
      <c r="P4439" s="8" t="s">
        <v>667</v>
      </c>
    </row>
    <row r="4440" customFormat="false" ht="17.15" hidden="false" customHeight="false" outlineLevel="0" collapsed="false">
      <c r="A4440" s="0" t="s">
        <v>670</v>
      </c>
      <c r="B4440" s="0" t="s">
        <v>52</v>
      </c>
      <c r="E4440" s="13" t="n">
        <f aca="false">Sens!$E$4439/Sens!$N$4439-1</f>
        <v>0.0405283968368082</v>
      </c>
      <c r="F4440" s="13" t="n">
        <f aca="false">Sens!$O$4439/(Q!$F$11+Q!$G$11)-1</f>
        <v>0.0579254187100955</v>
      </c>
      <c r="G4440" s="13" t="n">
        <f aca="false">Sens!$G$4439/Sens!$D$4439-1</f>
        <v>0.0271208040881397</v>
      </c>
      <c r="H4440" s="13" t="n">
        <f aca="false">Sens!$F$4440+(g_ps-Sens!$F$4440)*1/4</f>
        <v>0.0509440640325716</v>
      </c>
      <c r="I4440" s="13" t="n">
        <f aca="false">Sens!$F$4440+(g_ps-Sens!$F$4440)*2/4</f>
        <v>0.0439627093550477</v>
      </c>
      <c r="J4440" s="13" t="n">
        <f aca="false">Sens!$F$4440+(g_ps-Sens!$F$4440)*3/4</f>
        <v>0.0369813546775239</v>
      </c>
      <c r="K4440" s="13" t="n">
        <f aca="false">Sens!$F$4440+(g_ps-Sens!$F$4440)*4/4</f>
        <v>0.03</v>
      </c>
      <c r="L4440" s="13" t="n">
        <f aca="false">g_ps</f>
        <v>0.03</v>
      </c>
      <c r="M4440" s="13" t="n">
        <f aca="false">g_ps</f>
        <v>0.03</v>
      </c>
      <c r="P4440" s="8" t="s">
        <v>671</v>
      </c>
    </row>
    <row r="4441" customFormat="false" ht="17.15" hidden="false" customHeight="false" outlineLevel="0" collapsed="false">
      <c r="A4441" s="0" t="s">
        <v>521</v>
      </c>
      <c r="B4441" s="0" t="s">
        <v>86</v>
      </c>
      <c r="C4441" s="38" t="n">
        <f aca="false">Q!$D$12</f>
        <v>156.146</v>
      </c>
      <c r="D4441" s="38" t="n">
        <f aca="false">Q!$E$12</f>
        <v>172.162</v>
      </c>
      <c r="E4441" s="38" t="n">
        <f aca="false">Q!$P$12</f>
        <v>88.358</v>
      </c>
      <c r="F4441" s="38" t="n">
        <f aca="false">Sens!$O$4441*(1+Sens!$F$4442)*Sens!$F$4449</f>
        <v>102.004388260171</v>
      </c>
      <c r="G4441" s="38" t="n">
        <f aca="false">Sens!$E$4441+Sens!$F$4441</f>
        <v>190.362388260171</v>
      </c>
      <c r="H4441" s="38" t="n">
        <f aca="false">Sens!$G$4441*(1+Sens!$H$4442)</f>
        <v>210.343106588311</v>
      </c>
      <c r="I4441" s="38" t="n">
        <f aca="false">Sens!$H$4441*(1+Sens!$I$4442)</f>
        <v>229.969728494648</v>
      </c>
      <c r="J4441" s="38" t="n">
        <f aca="false">Sens!$I$4441*(1+Sens!$J$4442)</f>
        <v>248.747636972598</v>
      </c>
      <c r="K4441" s="38" t="n">
        <f aca="false">Sens!$J$4441*(1+Sens!$K$4442)</f>
        <v>266.15997156068</v>
      </c>
      <c r="L4441" s="38" t="n">
        <f aca="false">Sens!$K$4441*(1+Sens!$L$4442)</f>
        <v>284.791169569927</v>
      </c>
      <c r="M4441" s="38" t="n">
        <f aca="false">Sens!$L$4441*(1+Sens!$M$4442)</f>
        <v>304.726551439822</v>
      </c>
      <c r="N4441" s="38" t="n">
        <f aca="false">Q!$N$12</f>
        <v>76.86</v>
      </c>
      <c r="O4441" s="38" t="n">
        <f aca="false">Q!$O$12</f>
        <v>95.302</v>
      </c>
      <c r="P4441" s="8" t="s">
        <v>667</v>
      </c>
    </row>
    <row r="4442" customFormat="false" ht="17.15" hidden="false" customHeight="false" outlineLevel="0" collapsed="false">
      <c r="A4442" s="0" t="s">
        <v>672</v>
      </c>
      <c r="B4442" s="0" t="s">
        <v>52</v>
      </c>
      <c r="E4442" s="13" t="n">
        <f aca="false">Sens!$E$4441/Sens!$N$4441-1</f>
        <v>0.1495966692688</v>
      </c>
      <c r="F4442" s="13" t="n">
        <f aca="false">Sens!$O$4441/(Q!$F$12+Q!$G$12)-1</f>
        <v>0.11661530890813</v>
      </c>
      <c r="G4442" s="13" t="n">
        <f aca="false">Sens!$G$4441/Sens!$D$4441-1</f>
        <v>0.105716640490767</v>
      </c>
      <c r="H4442" s="13" t="n">
        <f aca="false">Sens!$F$4442+(g_sp-Sens!$F$4442)*1/4</f>
        <v>0.104961481681098</v>
      </c>
      <c r="I4442" s="13" t="n">
        <f aca="false">Sens!$F$4442+(g_sp-Sens!$F$4442)*2/4</f>
        <v>0.0933076544540651</v>
      </c>
      <c r="J4442" s="13" t="n">
        <f aca="false">Sens!$F$4442+(g_sp-Sens!$F$4442)*3/4</f>
        <v>0.0816538272270325</v>
      </c>
      <c r="K4442" s="13" t="n">
        <f aca="false">Sens!$F$4442+(g_sp-Sens!$F$4442)*4/4</f>
        <v>0.07</v>
      </c>
      <c r="L4442" s="13" t="n">
        <f aca="false">g_sp</f>
        <v>0.07</v>
      </c>
      <c r="M4442" s="13" t="n">
        <f aca="false">g_sp</f>
        <v>0.07</v>
      </c>
      <c r="P4442" s="8" t="s">
        <v>673</v>
      </c>
    </row>
    <row r="4443" customFormat="false" ht="17.15" hidden="false" customHeight="false" outlineLevel="0" collapsed="false">
      <c r="A4443" s="0" t="s">
        <v>522</v>
      </c>
      <c r="B4443" s="0" t="s">
        <v>86</v>
      </c>
      <c r="C4443" s="38" t="n">
        <f aca="false">Q!$D$13</f>
        <v>56.214</v>
      </c>
      <c r="D4443" s="38" t="n">
        <f aca="false">Q!$E$13</f>
        <v>68.635</v>
      </c>
      <c r="E4443" s="38" t="n">
        <f aca="false">Q!$P$13</f>
        <v>37.052</v>
      </c>
      <c r="F4443" s="38" t="n">
        <f aca="false">Sens!$O$4443*(1+Sens!$F$4444)*Sens!$F$4449</f>
        <v>46.1572219944148</v>
      </c>
      <c r="G4443" s="38" t="n">
        <f aca="false">Sens!$E$4443+Sens!$F$4443</f>
        <v>83.2092219944148</v>
      </c>
      <c r="H4443" s="38" t="n">
        <f aca="false">Sens!$G$4443*(1+Sens!$H$4444)</f>
        <v>99.8969223878976</v>
      </c>
      <c r="I4443" s="38" t="n">
        <f aca="false">Sens!$H$4443*(1+Sens!$I$4444)</f>
        <v>116.583111095496</v>
      </c>
      <c r="J4443" s="38" t="n">
        <f aca="false">Sens!$I$4443*(1+Sens!$J$4444)</f>
        <v>132.148941941952</v>
      </c>
      <c r="K4443" s="38" t="n">
        <f aca="false">Sens!$J$4443*(1+Sens!$K$4444)</f>
        <v>145.363836136147</v>
      </c>
      <c r="L4443" s="38" t="n">
        <f aca="false">Sens!$K$4443*(1+Sens!$L$4444)</f>
        <v>159.900219749762</v>
      </c>
      <c r="M4443" s="38" t="n">
        <f aca="false">Sens!$L$4443*(1+Sens!$M$4444)</f>
        <v>175.890241724738</v>
      </c>
      <c r="N4443" s="38" t="n">
        <f aca="false">Q!$N$13</f>
        <v>29.615</v>
      </c>
      <c r="O4443" s="38" t="n">
        <f aca="false">Q!$O$13</f>
        <v>39.02</v>
      </c>
      <c r="P4443" s="8" t="s">
        <v>667</v>
      </c>
    </row>
    <row r="4444" customFormat="false" ht="17.15" hidden="false" customHeight="false" outlineLevel="0" collapsed="false">
      <c r="A4444" s="0" t="s">
        <v>674</v>
      </c>
      <c r="B4444" s="0" t="s">
        <v>52</v>
      </c>
      <c r="E4444" s="13" t="n">
        <f aca="false">Sens!$E$4443/Sens!$N$4443-1</f>
        <v>0.25112274185379</v>
      </c>
      <c r="F4444" s="13" t="n">
        <f aca="false">Sens!$O$4443/(Q!$F$13+Q!$G$13)-1</f>
        <v>0.234068123596572</v>
      </c>
      <c r="G4444" s="13" t="n">
        <f aca="false">Sens!$G$4443/Sens!$D$4443-1</f>
        <v>0.212343876949294</v>
      </c>
      <c r="H4444" s="13" t="n">
        <f aca="false">Sens!$F$4444+(g_ad-Sens!$F$4444)*1/4</f>
        <v>0.200551092697429</v>
      </c>
      <c r="I4444" s="13" t="n">
        <f aca="false">Sens!$F$4444+(g_ad-Sens!$F$4444)*2/4</f>
        <v>0.167034061798286</v>
      </c>
      <c r="J4444" s="13" t="n">
        <f aca="false">Sens!$F$4444+(g_ad-Sens!$F$4444)*3/4</f>
        <v>0.133517030899143</v>
      </c>
      <c r="K4444" s="13" t="n">
        <f aca="false">Sens!$F$4444+(g_ad-Sens!$F$4444)*4/4</f>
        <v>0.1</v>
      </c>
      <c r="L4444" s="13" t="n">
        <f aca="false">g_ad</f>
        <v>0.1</v>
      </c>
      <c r="M4444" s="13" t="n">
        <f aca="false">g_ad</f>
        <v>0.1</v>
      </c>
      <c r="P4444" s="8" t="s">
        <v>675</v>
      </c>
    </row>
    <row r="4445" customFormat="false" ht="17.15" hidden="false" customHeight="false" outlineLevel="0" collapsed="false">
      <c r="A4445" s="0" t="s">
        <v>523</v>
      </c>
      <c r="B4445" s="0" t="s">
        <v>86</v>
      </c>
      <c r="C4445" s="38" t="n">
        <f aca="false">Q!$D$14</f>
        <v>44.374</v>
      </c>
      <c r="D4445" s="38" t="n">
        <f aca="false">Q!$E$14</f>
        <v>49.619</v>
      </c>
      <c r="E4445" s="38" t="n">
        <f aca="false">Q!$P$14</f>
        <v>27.157</v>
      </c>
      <c r="F4445" s="38" t="n">
        <f aca="false">Sens!$O$4445*(1+Sens!$F$4446)*Sens!$F$4449</f>
        <v>27.7764165988154</v>
      </c>
      <c r="G4445" s="38" t="n">
        <f aca="false">Sens!$E$4445+Sens!$F$4445</f>
        <v>54.9334165988154</v>
      </c>
      <c r="H4445" s="38" t="n">
        <f aca="false">Sens!$G$4445*(1+Sens!$H$4446)</f>
        <v>61.1564112561829</v>
      </c>
      <c r="I4445" s="38" t="n">
        <f aca="false">Sens!$H$4445*(1+Sens!$I$4446)</f>
        <v>67.2020282103945</v>
      </c>
      <c r="J4445" s="38" t="n">
        <f aca="false">Sens!$I$4445*(1+Sens!$J$4446)</f>
        <v>72.8757274028885</v>
      </c>
      <c r="K4445" s="38" t="n">
        <f aca="false">Sens!$J$4445*(1+Sens!$K$4446)</f>
        <v>77.9770283210907</v>
      </c>
      <c r="L4445" s="38" t="n">
        <f aca="false">Sens!$K$4445*(1+Sens!$L$4446)</f>
        <v>83.4354203035671</v>
      </c>
      <c r="M4445" s="38" t="n">
        <f aca="false">Sens!$L$4445*(1+Sens!$M$4446)</f>
        <v>89.2758997248168</v>
      </c>
      <c r="N4445" s="38" t="n">
        <f aca="false">Q!$N$14</f>
        <v>23.923</v>
      </c>
      <c r="O4445" s="38" t="n">
        <f aca="false">Q!$O$14</f>
        <v>25.696</v>
      </c>
      <c r="P4445" s="8" t="s">
        <v>667</v>
      </c>
    </row>
    <row r="4446" customFormat="false" ht="17.15" hidden="false" customHeight="false" outlineLevel="0" collapsed="false">
      <c r="A4446" s="0" t="s">
        <v>676</v>
      </c>
      <c r="B4446" s="0" t="s">
        <v>52</v>
      </c>
      <c r="E4446" s="13" t="n">
        <f aca="false">Sens!$E$4445/Sens!$N$4445-1</f>
        <v>0.135183714417088</v>
      </c>
      <c r="F4446" s="13" t="n">
        <f aca="false">Sens!$O$4445/(Q!$F$14+Q!$G$14)-1</f>
        <v>0.127709997366804</v>
      </c>
      <c r="G4446" s="13" t="n">
        <f aca="false">Sens!$G$4445/Sens!$D$4445-1</f>
        <v>0.107104468022641</v>
      </c>
      <c r="H4446" s="13" t="n">
        <f aca="false">Sens!$F$4446+(g_sub-Sens!$F$4446)*1/4</f>
        <v>0.113282498025103</v>
      </c>
      <c r="I4446" s="13" t="n">
        <f aca="false">Sens!$F$4446+(g_sub-Sens!$F$4446)*2/4</f>
        <v>0.0988549986834021</v>
      </c>
      <c r="J4446" s="13" t="n">
        <f aca="false">Sens!$F$4446+(g_sub-Sens!$F$4446)*3/4</f>
        <v>0.084427499341701</v>
      </c>
      <c r="K4446" s="13" t="n">
        <f aca="false">Sens!$F$4446+(g_sub-Sens!$F$4446)*4/4</f>
        <v>0.07</v>
      </c>
      <c r="L4446" s="13" t="n">
        <f aca="false">g_sub</f>
        <v>0.07</v>
      </c>
      <c r="M4446" s="13" t="n">
        <f aca="false">g_sub</f>
        <v>0.07</v>
      </c>
      <c r="P4446" s="8" t="s">
        <v>677</v>
      </c>
    </row>
    <row r="4447" customFormat="false" ht="17.15" hidden="false" customHeight="false" outlineLevel="0" collapsed="false">
      <c r="A4447" s="0" t="s">
        <v>524</v>
      </c>
      <c r="B4447" s="0" t="s">
        <v>86</v>
      </c>
      <c r="C4447" s="38" t="n">
        <f aca="false">Q!$D$15</f>
        <v>5.425</v>
      </c>
      <c r="D4447" s="38" t="n">
        <f aca="false">Q!$E$15</f>
        <v>5.935</v>
      </c>
      <c r="E4447" s="38" t="n">
        <f aca="false">Q!$P$15</f>
        <v>3.474</v>
      </c>
      <c r="F4447" s="38" t="n">
        <f aca="false">Sens!$O$4447*(1+Sens!$F$4448)*Sens!$F$4449</f>
        <v>3.22246550883619</v>
      </c>
      <c r="G4447" s="38" t="n">
        <f aca="false">Sens!$E$4447+Sens!$F$4447</f>
        <v>6.69646550883619</v>
      </c>
      <c r="H4447" s="38" t="n">
        <f aca="false">Sens!$G$4447*(1+Sens!$H$4448)</f>
        <v>7.16251344209196</v>
      </c>
      <c r="I4447" s="38" t="n">
        <f aca="false">Sens!$H$4447*(1+Sens!$I$4448)</f>
        <v>7.61421070299826</v>
      </c>
      <c r="J4447" s="38" t="n">
        <f aca="false">Sens!$I$4447*(1+Sens!$J$4448)</f>
        <v>8.04465753523932</v>
      </c>
      <c r="K4447" s="38" t="n">
        <f aca="false">Sens!$J$4447*(1+Sens!$K$4448)</f>
        <v>8.44689041200128</v>
      </c>
      <c r="L4447" s="38" t="n">
        <f aca="false">Sens!$K$4447*(1+Sens!$L$4448)</f>
        <v>8.86923493260135</v>
      </c>
      <c r="M4447" s="38" t="n">
        <f aca="false">Sens!$L$4447*(1+Sens!$M$4448)</f>
        <v>9.31269667923142</v>
      </c>
      <c r="N4447" s="38" t="n">
        <f aca="false">Q!$N$15</f>
        <v>2.811</v>
      </c>
      <c r="O4447" s="38" t="n">
        <f aca="false">Q!$O$15</f>
        <v>3.124</v>
      </c>
      <c r="P4447" s="8" t="s">
        <v>667</v>
      </c>
    </row>
    <row r="4448" customFormat="false" ht="17.15" hidden="false" customHeight="false" outlineLevel="0" collapsed="false">
      <c r="A4448" s="0" t="s">
        <v>678</v>
      </c>
      <c r="B4448" s="0" t="s">
        <v>52</v>
      </c>
      <c r="E4448" s="13" t="n">
        <f aca="false">Sens!$E$4447/Sens!$N$4447-1</f>
        <v>0.235859124866596</v>
      </c>
      <c r="F4448" s="13" t="n">
        <f aca="false">Sens!$O$4447/(Q!$F$15+Q!$G$15)-1</f>
        <v>0.0761281433000345</v>
      </c>
      <c r="G4448" s="13" t="n">
        <f aca="false">Sens!$G$4447/Sens!$D$4447-1</f>
        <v>0.128300843948811</v>
      </c>
      <c r="H4448" s="13" t="n">
        <f aca="false">Sens!$F$4448+(g_ot-Sens!$F$4448)*1/4</f>
        <v>0.0695961074750259</v>
      </c>
      <c r="I4448" s="13" t="n">
        <f aca="false">Sens!$F$4448+(g_ot-Sens!$F$4448)*2/4</f>
        <v>0.0630640716500172</v>
      </c>
      <c r="J4448" s="13" t="n">
        <f aca="false">Sens!$F$4448+(g_ot-Sens!$F$4448)*3/4</f>
        <v>0.0565320358250086</v>
      </c>
      <c r="K4448" s="13" t="n">
        <f aca="false">Sens!$F$4448+(g_ot-Sens!$F$4448)*4/4</f>
        <v>0.05</v>
      </c>
      <c r="L4448" s="13" t="n">
        <f aca="false">g_ot</f>
        <v>0.05</v>
      </c>
      <c r="M4448" s="13" t="n">
        <f aca="false">g_ot</f>
        <v>0.05</v>
      </c>
      <c r="P4448" s="8" t="s">
        <v>679</v>
      </c>
    </row>
    <row r="4449" customFormat="false" ht="17.15" hidden="false" customHeight="false" outlineLevel="0" collapsed="false">
      <c r="A4449" s="0" t="s">
        <v>680</v>
      </c>
      <c r="B4449" s="0" t="s">
        <v>57</v>
      </c>
      <c r="F4449" s="40" t="n">
        <f aca="false">(g26q3_mid*Q!$O$8/Q!$J$8-Thesis!$F$86-Thesis!$F$90)/(Sens!$O$4437*(1+Sens!$F$4438)+Sens!$O$4439*(1+Sens!$F$4440)+Sens!$O$4441*(1+Sens!$F$4442)+Sens!$O$4443*(1+Sens!$F$4444)+Sens!$O$4445*(1+Sens!$F$4446)+Sens!$O$4447*(1+Sens!$F$4448))</f>
        <v>0.958546670622329</v>
      </c>
      <c r="P4449" s="8" t="s">
        <v>681</v>
      </c>
    </row>
    <row r="4450" customFormat="false" ht="17.15" hidden="false" customHeight="false" outlineLevel="0" collapsed="false">
      <c r="A4450" s="3" t="s">
        <v>682</v>
      </c>
      <c r="B4450" s="8" t="s">
        <v>86</v>
      </c>
      <c r="C4450" s="38" t="n">
        <f aca="false">Sens!$C$4437+Sens!$C$4439+Sens!$C$4441+Sens!$C$4443+Sens!$C$4445+Sens!$C$4447</f>
        <v>530.403</v>
      </c>
      <c r="D4450" s="38" t="n">
        <f aca="false">Sens!$D$4437+Sens!$D$4439+Sens!$D$4441+Sens!$D$4443+Sens!$D$4445+Sens!$D$4447</f>
        <v>588.199</v>
      </c>
      <c r="E4450" s="38" t="n">
        <f aca="false">Sens!$E$4437+Sens!$E$4439+Sens!$E$4441+Sens!$E$4443+Sens!$E$4445+Sens!$E$4447</f>
        <v>302.306</v>
      </c>
      <c r="F4450" s="38" t="n">
        <f aca="false">Sens!$F$4437+Sens!$F$4439+Sens!$F$4441+Sens!$F$4443+Sens!$F$4445+Sens!$F$4447</f>
        <v>349.048241645537</v>
      </c>
      <c r="G4450" s="38" t="n">
        <f aca="false">Sens!$G$4437+Sens!$G$4439+Sens!$G$4441+Sens!$G$4443+Sens!$G$4445+Sens!$G$4447</f>
        <v>651.354241645537</v>
      </c>
      <c r="H4450" s="38" t="n">
        <f aca="false">Sens!$H$4437+Sens!$H$4439+Sens!$H$4441+Sens!$H$4443+Sens!$H$4445+Sens!$H$4447</f>
        <v>721.096889521386</v>
      </c>
      <c r="I4450" s="38" t="n">
        <f aca="false">Sens!$I$4437+Sens!$I$4439+Sens!$I$4441+Sens!$I$4443+Sens!$I$4445+Sens!$I$4447</f>
        <v>788.529391152531</v>
      </c>
      <c r="J4450" s="38" t="n">
        <f aca="false">Sens!$J$4437+Sens!$J$4439+Sens!$J$4441+Sens!$J$4443+Sens!$J$4445+Sens!$J$4447</f>
        <v>851.108405741443</v>
      </c>
      <c r="K4450" s="38" t="n">
        <f aca="false">Sens!$K$4437+Sens!$K$4439+Sens!$K$4441+Sens!$K$4443+Sens!$K$4445+Sens!$K$4447</f>
        <v>906.176455431088</v>
      </c>
      <c r="L4450" s="38" t="n">
        <f aca="false">Sens!$L$4437+Sens!$L$4439+Sens!$L$4441+Sens!$L$4443+Sens!$L$4445+Sens!$L$4447</f>
        <v>965.093106475589</v>
      </c>
      <c r="M4450" s="38" t="n">
        <f aca="false">Sens!$M$4437+Sens!$M$4439+Sens!$M$4441+Sens!$M$4443+Sens!$M$4445+Sens!$M$4447</f>
        <v>1028.14790794689</v>
      </c>
      <c r="N4450" s="38" t="n">
        <f aca="false">Sens!$N$4437+Sens!$N$4439+Sens!$N$4441+Sens!$N$4443+Sens!$N$4445+Sens!$N$4447</f>
        <v>263.229</v>
      </c>
      <c r="O4450" s="38" t="n">
        <f aca="false">Sens!$O$4437+Sens!$O$4439+Sens!$O$4441+Sens!$O$4443+Sens!$O$4445+Sens!$O$4447</f>
        <v>324.97</v>
      </c>
    </row>
    <row r="4451" customFormat="false" ht="17.15" hidden="false" customHeight="false" outlineLevel="0" collapsed="false">
      <c r="A4451" s="5" t="s">
        <v>683</v>
      </c>
      <c r="B4451" s="0" t="s">
        <v>52</v>
      </c>
      <c r="C4451" s="13" t="n">
        <f aca="false">Q!$D$5/(Q!$D$5+Q!$D$6)</f>
        <v>0.730570905519011</v>
      </c>
      <c r="D4451" s="13" t="n">
        <f aca="false">Q!$E$5/(Q!$E$5+Q!$E$6)</f>
        <v>0.724763217890544</v>
      </c>
      <c r="E4451" s="13" t="n">
        <f aca="false">Q!$P$5/(Q!$P$5+Q!$P$6)</f>
        <v>0.728797972914861</v>
      </c>
      <c r="F4451" s="13" t="n">
        <f aca="false">Sens!$O$4451</f>
        <v>0.718066283041511</v>
      </c>
      <c r="G4451" s="13" t="n">
        <f aca="false">Sens!$G$4452/Sens!$G$4450</f>
        <v>0.723047066202847</v>
      </c>
      <c r="H4451" s="13" t="n">
        <f aca="false">Sens!$G$4451</f>
        <v>0.723047066202847</v>
      </c>
      <c r="I4451" s="13" t="n">
        <f aca="false">Sens!$G$4451</f>
        <v>0.723047066202847</v>
      </c>
      <c r="J4451" s="13" t="n">
        <f aca="false">Sens!$G$4451</f>
        <v>0.723047066202847</v>
      </c>
      <c r="K4451" s="13" t="n">
        <f aca="false">Sens!$G$4451</f>
        <v>0.723047066202847</v>
      </c>
      <c r="L4451" s="13" t="n">
        <f aca="false">Sens!$G$4451</f>
        <v>0.723047066202847</v>
      </c>
      <c r="M4451" s="13" t="n">
        <f aca="false">Sens!$G$4451</f>
        <v>0.723047066202847</v>
      </c>
      <c r="N4451" s="13" t="n">
        <f aca="false">Q!$N$5/(Q!$N$5+Q!$N$6)</f>
        <v>0.733030935041352</v>
      </c>
      <c r="O4451" s="13" t="n">
        <f aca="false">Q!$O$5/(Q!$O$5+Q!$O$6)</f>
        <v>0.718066283041511</v>
      </c>
      <c r="P4451" s="8" t="s">
        <v>684</v>
      </c>
    </row>
    <row r="4452" customFormat="false" ht="17.15" hidden="false" customHeight="false" outlineLevel="0" collapsed="false">
      <c r="A4452" s="1" t="s">
        <v>512</v>
      </c>
      <c r="B4452" s="8" t="s">
        <v>86</v>
      </c>
      <c r="C4452" s="38" t="n">
        <f aca="false">Q!$D$5</f>
        <v>387.497</v>
      </c>
      <c r="D4452" s="38" t="n">
        <f aca="false">Q!$E$5</f>
        <v>426.305</v>
      </c>
      <c r="E4452" s="38" t="n">
        <f aca="false">Q!$P$5</f>
        <v>220.32</v>
      </c>
      <c r="F4452" s="38" t="n">
        <f aca="false">Sens!$F$4450*Sens!$F$4451</f>
        <v>250.639773480586</v>
      </c>
      <c r="G4452" s="38" t="n">
        <f aca="false">Sens!$E$4452+Sens!$F$4452</f>
        <v>470.959773480586</v>
      </c>
      <c r="H4452" s="38" t="n">
        <f aca="false">Sens!$H$4450*Sens!$H$4451</f>
        <v>521.386990416437</v>
      </c>
      <c r="I4452" s="38" t="n">
        <f aca="false">Sens!$I$4450*Sens!$I$4451</f>
        <v>570.143862887555</v>
      </c>
      <c r="J4452" s="38" t="n">
        <f aca="false">Sens!$J$4450*Sens!$J$4451</f>
        <v>615.391435791933</v>
      </c>
      <c r="K4452" s="38" t="n">
        <f aca="false">Sens!$K$4450*Sens!$K$4451</f>
        <v>655.208227561543</v>
      </c>
      <c r="L4452" s="38" t="n">
        <f aca="false">Sens!$L$4450*Sens!$L$4451</f>
        <v>697.807739249767</v>
      </c>
      <c r="M4452" s="38" t="n">
        <f aca="false">Sens!$M$4450*Sens!$M$4451</f>
        <v>743.399328463592</v>
      </c>
      <c r="N4452" s="38" t="n">
        <f aca="false">Q!$N$5</f>
        <v>192.955</v>
      </c>
      <c r="O4452" s="38" t="n">
        <f aca="false">Q!$O$5</f>
        <v>233.35</v>
      </c>
      <c r="P4452" s="5" t="s">
        <v>685</v>
      </c>
    </row>
    <row r="4453" customFormat="false" ht="17.15" hidden="false" customHeight="false" outlineLevel="0" collapsed="false">
      <c r="A4453" s="1" t="s">
        <v>515</v>
      </c>
      <c r="B4453" s="8" t="s">
        <v>86</v>
      </c>
      <c r="C4453" s="38" t="n">
        <f aca="false">Q!$D$6</f>
        <v>142.906</v>
      </c>
      <c r="D4453" s="38" t="n">
        <f aca="false">Q!$E$6</f>
        <v>161.894</v>
      </c>
      <c r="E4453" s="38" t="n">
        <f aca="false">Q!$P$6</f>
        <v>81.986</v>
      </c>
      <c r="F4453" s="38" t="n">
        <f aca="false">Sens!$F$4450*(1-Sens!$F$4451)</f>
        <v>98.408468164951</v>
      </c>
      <c r="G4453" s="38" t="n">
        <f aca="false">Sens!$E$4453+Sens!$F$4453</f>
        <v>180.394468164951</v>
      </c>
      <c r="H4453" s="38" t="n">
        <f aca="false">Sens!$H$4450*(1-Sens!$H$4451)</f>
        <v>199.709899104949</v>
      </c>
      <c r="I4453" s="38" t="n">
        <f aca="false">Sens!$I$4450*(1-Sens!$I$4451)</f>
        <v>218.385528264976</v>
      </c>
      <c r="J4453" s="38" t="n">
        <f aca="false">Sens!$J$4450*(1-Sens!$J$4451)</f>
        <v>235.71696994951</v>
      </c>
      <c r="K4453" s="38" t="n">
        <f aca="false">Sens!$K$4450*(1-Sens!$K$4451)</f>
        <v>250.968227869545</v>
      </c>
      <c r="L4453" s="38" t="n">
        <f aca="false">Sens!$L$4450*(1-Sens!$L$4451)</f>
        <v>267.285367225822</v>
      </c>
      <c r="M4453" s="38" t="n">
        <f aca="false">Sens!$M$4450*(1-Sens!$M$4451)</f>
        <v>284.748579483295</v>
      </c>
      <c r="N4453" s="38" t="n">
        <f aca="false">Q!$N$6</f>
        <v>70.274</v>
      </c>
      <c r="O4453" s="38" t="n">
        <f aca="false">Q!$O$6</f>
        <v>91.62</v>
      </c>
      <c r="P4453" s="5" t="s">
        <v>686</v>
      </c>
    </row>
    <row r="4454" customFormat="false" ht="17.15" hidden="false" customHeight="false" outlineLevel="0" collapsed="false">
      <c r="A4454" s="5" t="s">
        <v>687</v>
      </c>
      <c r="B4454" s="0" t="s">
        <v>86</v>
      </c>
      <c r="C4454" s="38" t="n">
        <f aca="false">Sens!$C$4443*Sens!$C$4451</f>
        <v>41.0683128828457</v>
      </c>
      <c r="D4454" s="38" t="n">
        <f aca="false">Sens!$D$4443*Sens!$D$4451</f>
        <v>49.7441234599175</v>
      </c>
      <c r="E4454" s="38" t="n">
        <f aca="false">Sens!$E$4443*Sens!$E$4451</f>
        <v>27.0034224924414</v>
      </c>
      <c r="F4454" s="38" t="n">
        <f aca="false">Sens!$F$4443*Sens!$F$4451</f>
        <v>33.1439448330513</v>
      </c>
      <c r="G4454" s="38" t="n">
        <f aca="false">Sens!$G$4443*Sens!$G$4451</f>
        <v>60.164183844083</v>
      </c>
      <c r="H4454" s="38" t="n">
        <f aca="false">Sens!$H$4443*Sens!$H$4451</f>
        <v>72.2301766552629</v>
      </c>
      <c r="I4454" s="38" t="n">
        <f aca="false">Sens!$I$4443*Sens!$I$4451</f>
        <v>84.2950764463991</v>
      </c>
      <c r="J4454" s="38" t="n">
        <f aca="false">Sens!$J$4443*Sens!$J$4451</f>
        <v>95.5499047729386</v>
      </c>
      <c r="K4454" s="38" t="n">
        <f aca="false">Sens!$K$4443*Sens!$K$4451</f>
        <v>105.104895250232</v>
      </c>
      <c r="L4454" s="38" t="n">
        <f aca="false">Sens!$L$4443*Sens!$L$4451</f>
        <v>115.615384775256</v>
      </c>
      <c r="M4454" s="38" t="n">
        <f aca="false">Sens!$M$4443*Sens!$M$4451</f>
        <v>127.176923252781</v>
      </c>
      <c r="N4454" s="38" t="n">
        <f aca="false">Sens!$N$4443*Sens!$N$4451</f>
        <v>21.7087111412496</v>
      </c>
      <c r="O4454" s="38" t="n">
        <f aca="false">Sens!$O$4443*Sens!$O$4451</f>
        <v>28.0189463642798</v>
      </c>
      <c r="P4454" s="5" t="s">
        <v>688</v>
      </c>
    </row>
    <row r="4455" customFormat="false" ht="15" hidden="false" customHeight="false" outlineLevel="0" collapsed="false">
      <c r="A4455" s="5" t="s">
        <v>689</v>
      </c>
      <c r="B4455" s="0" t="s">
        <v>86</v>
      </c>
      <c r="C4455" s="38" t="n">
        <f aca="false">Sens!$C$4443-Sens!$C$4454</f>
        <v>15.1456871171543</v>
      </c>
      <c r="D4455" s="38" t="n">
        <f aca="false">Sens!$D$4443-Sens!$D$4454</f>
        <v>18.8908765400825</v>
      </c>
      <c r="E4455" s="38" t="n">
        <f aca="false">Sens!$E$4443-Sens!$E$4454</f>
        <v>10.0485775075586</v>
      </c>
      <c r="F4455" s="38" t="n">
        <f aca="false">Sens!$F$4443-Sens!$F$4454</f>
        <v>13.0132771613635</v>
      </c>
      <c r="G4455" s="38" t="n">
        <f aca="false">Sens!$G$4443-Sens!$G$4454</f>
        <v>23.0450381503318</v>
      </c>
      <c r="H4455" s="38" t="n">
        <f aca="false">Sens!$H$4443-Sens!$H$4454</f>
        <v>27.6667457326347</v>
      </c>
      <c r="I4455" s="38" t="n">
        <f aca="false">Sens!$I$4443-Sens!$I$4454</f>
        <v>32.2880346490971</v>
      </c>
      <c r="J4455" s="38" t="n">
        <f aca="false">Sens!$J$4443-Sens!$J$4454</f>
        <v>36.5990371690132</v>
      </c>
      <c r="K4455" s="38" t="n">
        <f aca="false">Sens!$K$4443-Sens!$K$4454</f>
        <v>40.2589408859145</v>
      </c>
      <c r="L4455" s="38" t="n">
        <f aca="false">Sens!$L$4443-Sens!$L$4454</f>
        <v>44.2848349745059</v>
      </c>
      <c r="M4455" s="38" t="n">
        <f aca="false">Sens!$M$4443-Sens!$M$4454</f>
        <v>48.7133184719565</v>
      </c>
      <c r="N4455" s="38" t="n">
        <f aca="false">Sens!$N$4443-Sens!$N$4454</f>
        <v>7.90628885875037</v>
      </c>
      <c r="O4455" s="38" t="n">
        <f aca="false">Sens!$O$4443-Sens!$O$4454</f>
        <v>11.0010536357202</v>
      </c>
    </row>
    <row r="4456" customFormat="false" ht="19.4" hidden="false" customHeight="false" outlineLevel="0" collapsed="false">
      <c r="A4456" s="31" t="s">
        <v>1226</v>
      </c>
    </row>
    <row r="4457" customFormat="false" ht="17.15" hidden="false" customHeight="false" outlineLevel="0" collapsed="false">
      <c r="A4457" s="6" t="s">
        <v>16</v>
      </c>
      <c r="B4457" s="6" t="s">
        <v>17</v>
      </c>
      <c r="C4457" s="20" t="s">
        <v>497</v>
      </c>
      <c r="D4457" s="20" t="s">
        <v>498</v>
      </c>
      <c r="E4457" s="20" t="s">
        <v>580</v>
      </c>
      <c r="F4457" s="20" t="s">
        <v>581</v>
      </c>
      <c r="G4457" s="20" t="s">
        <v>582</v>
      </c>
      <c r="H4457" s="20" t="s">
        <v>583</v>
      </c>
      <c r="I4457" s="20" t="s">
        <v>584</v>
      </c>
      <c r="J4457" s="20" t="s">
        <v>585</v>
      </c>
      <c r="K4457" s="20" t="s">
        <v>586</v>
      </c>
      <c r="L4457" s="20" t="s">
        <v>587</v>
      </c>
      <c r="M4457" s="20" t="s">
        <v>588</v>
      </c>
      <c r="N4457" s="20" t="s">
        <v>589</v>
      </c>
      <c r="O4457" s="20" t="s">
        <v>590</v>
      </c>
      <c r="P4457" s="6" t="s">
        <v>23</v>
      </c>
      <c r="R4457" s="20" t="n">
        <v>2023</v>
      </c>
      <c r="S4457" s="20" t="n">
        <v>2024</v>
      </c>
      <c r="T4457" s="20" t="n">
        <v>2025</v>
      </c>
      <c r="U4457" s="20" t="n">
        <v>2026</v>
      </c>
      <c r="V4457" s="20" t="n">
        <v>2027</v>
      </c>
      <c r="W4457" s="20" t="n">
        <v>2028</v>
      </c>
      <c r="X4457" s="20" t="n">
        <v>2029</v>
      </c>
      <c r="Y4457" s="20" t="n">
        <v>2030</v>
      </c>
      <c r="Z4457" s="20" t="n">
        <v>2031</v>
      </c>
      <c r="AA4457" s="20" t="n">
        <v>2032</v>
      </c>
    </row>
    <row r="4458" customFormat="false" ht="17.15" hidden="false" customHeight="false" outlineLevel="0" collapsed="false">
      <c r="A4458" s="1" t="s">
        <v>591</v>
      </c>
    </row>
    <row r="4459" customFormat="false" ht="17.15" hidden="false" customHeight="false" outlineLevel="0" collapsed="false">
      <c r="A4459" s="5" t="s">
        <v>592</v>
      </c>
      <c r="B4459" s="0" t="s">
        <v>144</v>
      </c>
      <c r="H4459" s="32" t="n">
        <f aca="false">pace_B</f>
        <v>3634.3</v>
      </c>
      <c r="I4459" s="32" t="n">
        <f aca="false">pace_B</f>
        <v>3634.3</v>
      </c>
      <c r="J4459" s="32" t="n">
        <f aca="false">pace_B</f>
        <v>3634.3</v>
      </c>
      <c r="K4459" s="32" t="n">
        <f aca="false">pace_B+(Sens!$J$4460*tg-pace_B)*1/3</f>
        <v>2570.86716666667</v>
      </c>
      <c r="L4459" s="32" t="n">
        <f aca="false">pace_B+(Sens!$J$4460*tg-pace_B)*2/3</f>
        <v>1507.43433333333</v>
      </c>
      <c r="M4459" s="32" t="n">
        <f aca="false">pace_B+(Sens!$J$4460*tg-pace_B)*3/3</f>
        <v>444.0015</v>
      </c>
      <c r="P4459" s="5" t="s">
        <v>593</v>
      </c>
    </row>
    <row r="4460" customFormat="false" ht="17.15" hidden="false" customHeight="false" outlineLevel="0" collapsed="false">
      <c r="A4460" s="15" t="s">
        <v>594</v>
      </c>
      <c r="B4460" s="14" t="s">
        <v>129</v>
      </c>
      <c r="C4460" s="33" t="n">
        <f aca="false">mw_ye24</f>
        <v>360</v>
      </c>
      <c r="D4460" s="33" t="n">
        <f aca="false">mw_ye25</f>
        <v>1440</v>
      </c>
      <c r="E4460" s="33" t="n">
        <f aca="false">mw_open</f>
        <v>2080</v>
      </c>
      <c r="F4460" s="33" t="n">
        <f aca="false">Sens!$E$4460+pace_B*0.5</f>
        <v>3897.15</v>
      </c>
      <c r="G4460" s="33" t="n">
        <f aca="false">Sens!$F$4460</f>
        <v>3897.15</v>
      </c>
      <c r="H4460" s="33" t="n">
        <f aca="false">Sens!$G$4460+Sens!$H$4459</f>
        <v>7531.45</v>
      </c>
      <c r="I4460" s="33" t="n">
        <f aca="false">Sens!$H$4460+Sens!$I$4459</f>
        <v>11165.75</v>
      </c>
      <c r="J4460" s="33" t="n">
        <f aca="false">Sens!$I$4460+Sens!$J$4459</f>
        <v>14800.05</v>
      </c>
      <c r="K4460" s="33" t="n">
        <f aca="false">Sens!$J$4460+Sens!$K$4459</f>
        <v>17370.9171666667</v>
      </c>
      <c r="L4460" s="33" t="n">
        <f aca="false">Sens!$K$4460+Sens!$L$4459</f>
        <v>18878.3515</v>
      </c>
      <c r="M4460" s="33" t="n">
        <f aca="false">Sens!$L$4460+Sens!$M$4459</f>
        <v>19322.353</v>
      </c>
      <c r="N4460" s="33" t="n">
        <f aca="false">(mw_ye24+mw_ye25)/2</f>
        <v>900</v>
      </c>
      <c r="O4460" s="33" t="n">
        <f aca="false">mw_ye25</f>
        <v>1440</v>
      </c>
      <c r="P4460" s="5" t="s">
        <v>595</v>
      </c>
    </row>
    <row r="4461" customFormat="false" ht="17.15" hidden="false" customHeight="false" outlineLevel="0" collapsed="false">
      <c r="A4461" s="5" t="s">
        <v>596</v>
      </c>
      <c r="B4461" s="0" t="s">
        <v>129</v>
      </c>
      <c r="C4461" s="32" t="n">
        <f aca="false">(mw_ye23+mw_ye24)/2</f>
        <v>240</v>
      </c>
      <c r="D4461" s="32" t="n">
        <f aca="false">(Sens!$C$4460+Sens!$D$4460)/2</f>
        <v>900</v>
      </c>
      <c r="E4461" s="32" t="n">
        <f aca="false">(Sens!$D$4460+Sens!$E$4460)/2</f>
        <v>1760</v>
      </c>
      <c r="F4461" s="32" t="n">
        <f aca="false">(Sens!$E$4460+Sens!$F$4460)/2</f>
        <v>2988.575</v>
      </c>
      <c r="G4461" s="32" t="n">
        <f aca="false">(Sens!$E$4461+Sens!$F$4461)/2</f>
        <v>2374.2875</v>
      </c>
      <c r="H4461" s="32" t="n">
        <f aca="false">(Sens!$G$4460+Sens!$H$4460)/2</f>
        <v>5714.3</v>
      </c>
      <c r="I4461" s="32" t="n">
        <f aca="false">(Sens!$H$4460+Sens!$I$4460)/2</f>
        <v>9348.6</v>
      </c>
      <c r="J4461" s="32" t="n">
        <f aca="false">(Sens!$I$4460+Sens!$J$4460)/2</f>
        <v>12982.9</v>
      </c>
      <c r="K4461" s="32" t="n">
        <f aca="false">(Sens!$J$4460+Sens!$K$4460)/2</f>
        <v>16085.4835833333</v>
      </c>
      <c r="L4461" s="32" t="n">
        <f aca="false">(Sens!$K$4460+Sens!$L$4460)/2</f>
        <v>18124.6343333333</v>
      </c>
      <c r="M4461" s="32" t="n">
        <f aca="false">(Sens!$L$4460+Sens!$M$4460)/2</f>
        <v>19100.35225</v>
      </c>
      <c r="N4461" s="32" t="n">
        <f aca="false">(Sens!$C$4460+Sens!$N$4460)/2</f>
        <v>630</v>
      </c>
      <c r="O4461" s="32" t="n">
        <f aca="false">(Sens!$N$4460+Sens!$O$4460)/2</f>
        <v>1170</v>
      </c>
    </row>
    <row r="4462" customFormat="false" ht="15" hidden="false" customHeight="false" outlineLevel="0" collapsed="false">
      <c r="A4462" s="5" t="s">
        <v>597</v>
      </c>
      <c r="B4462" s="5" t="s">
        <v>123</v>
      </c>
      <c r="C4462" s="34" t="n">
        <v>1</v>
      </c>
      <c r="D4462" s="34" t="n">
        <v>1</v>
      </c>
      <c r="E4462" s="34" t="n">
        <v>0.5</v>
      </c>
      <c r="F4462" s="34" t="n">
        <v>0.5</v>
      </c>
      <c r="G4462" s="34" t="n">
        <v>1</v>
      </c>
      <c r="H4462" s="34" t="n">
        <v>1</v>
      </c>
      <c r="I4462" s="34" t="n">
        <v>1</v>
      </c>
      <c r="J4462" s="34" t="n">
        <v>1</v>
      </c>
      <c r="K4462" s="34" t="n">
        <v>1</v>
      </c>
      <c r="L4462" s="34" t="n">
        <v>1</v>
      </c>
      <c r="M4462" s="34" t="n">
        <v>1</v>
      </c>
      <c r="N4462" s="34" t="n">
        <v>0.5</v>
      </c>
      <c r="O4462" s="34" t="n">
        <v>0.5</v>
      </c>
    </row>
    <row r="4463" customFormat="false" ht="17.15" hidden="false" customHeight="false" outlineLevel="0" collapsed="false">
      <c r="A4463" s="5" t="s">
        <v>598</v>
      </c>
      <c r="B4463" s="0" t="s">
        <v>129</v>
      </c>
      <c r="C4463" s="32" t="n">
        <f aca="false">Sens!$C$4460-mw_ye23</f>
        <v>240</v>
      </c>
      <c r="D4463" s="32" t="n">
        <f aca="false">Sens!$D$4460-Sens!$C$4460</f>
        <v>1080</v>
      </c>
      <c r="E4463" s="32" t="n">
        <f aca="false">Sens!$E$4460-Sens!$D$4460</f>
        <v>640</v>
      </c>
      <c r="F4463" s="32" t="n">
        <f aca="false">Sens!$F$4460-Sens!$E$4460</f>
        <v>1817.15</v>
      </c>
      <c r="G4463" s="32" t="n">
        <f aca="false">Sens!$E$4463+Sens!$F$4463</f>
        <v>2457.15</v>
      </c>
      <c r="H4463" s="32" t="n">
        <f aca="false">Sens!$H$4460-Sens!$G$4460</f>
        <v>3634.3</v>
      </c>
      <c r="I4463" s="32" t="n">
        <f aca="false">Sens!$I$4460-Sens!$H$4460</f>
        <v>3634.3</v>
      </c>
      <c r="J4463" s="32" t="n">
        <f aca="false">Sens!$J$4460-Sens!$I$4460</f>
        <v>3634.3</v>
      </c>
      <c r="K4463" s="32" t="n">
        <f aca="false">Sens!$K$4460-Sens!$J$4460</f>
        <v>2570.86716666667</v>
      </c>
      <c r="L4463" s="32" t="n">
        <f aca="false">Sens!$L$4460-Sens!$K$4460</f>
        <v>1507.43433333333</v>
      </c>
      <c r="M4463" s="32" t="n">
        <f aca="false">Sens!$M$4460-Sens!$L$4460</f>
        <v>444.001499999999</v>
      </c>
      <c r="N4463" s="32" t="n">
        <f aca="false">Sens!$N$4460-Sens!$C$4460</f>
        <v>540</v>
      </c>
      <c r="O4463" s="32" t="n">
        <f aca="false">Sens!$O$4460-Sens!$N$4460</f>
        <v>540</v>
      </c>
    </row>
    <row r="4464" customFormat="false" ht="17.15" hidden="false" customHeight="false" outlineLevel="0" collapsed="false">
      <c r="A4464" s="5" t="s">
        <v>599</v>
      </c>
      <c r="B4464" s="0" t="s">
        <v>129</v>
      </c>
      <c r="C4464" s="32" t="n">
        <f aca="false">Sens!$C$4463/ext_sh</f>
        <v>300</v>
      </c>
      <c r="D4464" s="32" t="n">
        <f aca="false">Sens!$D$4463/ext_sh</f>
        <v>1350</v>
      </c>
      <c r="E4464" s="32" t="n">
        <f aca="false">Sens!$E$4463/ext_sh</f>
        <v>800</v>
      </c>
      <c r="F4464" s="32" t="n">
        <f aca="false">Sens!$F$4463/ext_sh</f>
        <v>2271.4375</v>
      </c>
      <c r="G4464" s="32" t="n">
        <f aca="false">Sens!$G$4463/ext_sh</f>
        <v>3071.4375</v>
      </c>
      <c r="H4464" s="32" t="n">
        <f aca="false">Sens!$H$4463/ext_sh</f>
        <v>4542.875</v>
      </c>
      <c r="I4464" s="32" t="n">
        <f aca="false">Sens!$I$4463/ext_sh</f>
        <v>4542.875</v>
      </c>
      <c r="J4464" s="32" t="n">
        <f aca="false">Sens!$J$4463/ext_sh</f>
        <v>4542.875</v>
      </c>
      <c r="K4464" s="32" t="n">
        <f aca="false">Sens!$K$4463/ext_sh</f>
        <v>3213.58395833333</v>
      </c>
      <c r="L4464" s="32" t="n">
        <f aca="false">Sens!$L$4463/ext_sh</f>
        <v>1884.29291666667</v>
      </c>
      <c r="M4464" s="32" t="n">
        <f aca="false">Sens!$M$4463/ext_sh</f>
        <v>555.001874999998</v>
      </c>
      <c r="N4464" s="32" t="n">
        <f aca="false">Sens!$N$4463/ext_sh</f>
        <v>675</v>
      </c>
      <c r="O4464" s="32" t="n">
        <f aca="false">Sens!$O$4463/ext_sh</f>
        <v>675</v>
      </c>
      <c r="P4464" s="8" t="s">
        <v>600</v>
      </c>
      <c r="R4464" s="32" t="n">
        <f aca="false">mw_ye23/ext_sh</f>
        <v>150</v>
      </c>
      <c r="S4464" s="32" t="n">
        <f aca="false">Sens!$C$4464</f>
        <v>300</v>
      </c>
      <c r="T4464" s="32" t="n">
        <f aca="false">Sens!$D$4464</f>
        <v>1350</v>
      </c>
      <c r="U4464" s="32" t="n">
        <f aca="false">Sens!$G$4464</f>
        <v>3071.4375</v>
      </c>
      <c r="V4464" s="32" t="n">
        <f aca="false">Sens!$H$4464</f>
        <v>4542.875</v>
      </c>
      <c r="W4464" s="32" t="n">
        <f aca="false">Sens!$I$4464</f>
        <v>4542.875</v>
      </c>
      <c r="X4464" s="32" t="n">
        <f aca="false">Sens!$J$4464</f>
        <v>4542.875</v>
      </c>
      <c r="Y4464" s="32" t="n">
        <f aca="false">Sens!$K$4464</f>
        <v>3213.58395833333</v>
      </c>
      <c r="Z4464" s="32" t="n">
        <f aca="false">Sens!$L$4464</f>
        <v>1884.29291666667</v>
      </c>
      <c r="AA4464" s="32" t="n">
        <f aca="false">Sens!$M$4464</f>
        <v>555.001874999998</v>
      </c>
    </row>
    <row r="4465" customFormat="false" ht="17.15" hidden="false" customHeight="false" outlineLevel="0" collapsed="false">
      <c r="A4465" s="1" t="s">
        <v>601</v>
      </c>
    </row>
    <row r="4466" customFormat="false" ht="17.15" hidden="false" customHeight="false" outlineLevel="0" collapsed="false">
      <c r="A4466" s="0" t="s">
        <v>602</v>
      </c>
      <c r="B4466" s="0" t="s">
        <v>52</v>
      </c>
      <c r="F4466" s="35" t="n">
        <f aca="false">na_vr26</f>
        <v>0</v>
      </c>
      <c r="G4466" s="35" t="n">
        <f aca="false">na_vr26</f>
        <v>0</v>
      </c>
      <c r="H4466" s="35" t="n">
        <f aca="false">na_vr27</f>
        <v>0.5</v>
      </c>
      <c r="I4466" s="35" t="n">
        <f aca="false">na_vr28</f>
        <v>1</v>
      </c>
      <c r="J4466" s="35" t="n">
        <f aca="false">na_vr28</f>
        <v>1</v>
      </c>
      <c r="K4466" s="35" t="n">
        <f aca="false">na_vr28</f>
        <v>1</v>
      </c>
      <c r="L4466" s="35" t="n">
        <f aca="false">na_vr28</f>
        <v>1</v>
      </c>
      <c r="M4466" s="35" t="n">
        <f aca="false">na_vr28</f>
        <v>1</v>
      </c>
    </row>
    <row r="4467" customFormat="false" ht="17.15" hidden="false" customHeight="false" outlineLevel="0" collapsed="false">
      <c r="A4467" s="5" t="s">
        <v>603</v>
      </c>
      <c r="B4467" s="0" t="s">
        <v>173</v>
      </c>
      <c r="F4467" s="36" t="n">
        <f aca="false">cust_sh*tk_he_gb300*cf_chip+(1-cust_sh)*((1-Sens!$F$4466)*tk_he_gb300+Sens!$F$4466*tk_he_vr200)</f>
        <v>10.8864110021101</v>
      </c>
      <c r="G4467" s="36" t="n">
        <f aca="false">cust_sh*tk_he_gb300*cf_chip+(1-cust_sh)*((1-Sens!$G$4466)*tk_he_gb300+Sens!$G$4466*tk_he_vr200)</f>
        <v>10.8864110021101</v>
      </c>
      <c r="H4467" s="36" t="n">
        <f aca="false">cust_sh*tk_he_gb300*cf_chip+(1-cust_sh)*((1-Sens!$H$4466)*tk_he_gb300+Sens!$H$4466*tk_he_vr200)</f>
        <v>11.2211760027286</v>
      </c>
      <c r="I4467" s="36" t="n">
        <f aca="false">cust_sh*tk_he_gb300*cf_chip+(1-cust_sh)*((1-Sens!$I$4466)*tk_he_gb300+Sens!$I$4466*tk_he_vr200)</f>
        <v>11.5559410033471</v>
      </c>
      <c r="J4467" s="36" t="n">
        <f aca="false">cust_sh*tk_he_gb300*cf_chip+(1-cust_sh)*((1-Sens!$J$4466)*tk_he_gb300+Sens!$J$4466*tk_he_vr200)</f>
        <v>11.5559410033471</v>
      </c>
      <c r="K4467" s="36" t="n">
        <f aca="false">cust_sh*tk_he_gb300*cf_chip+(1-cust_sh)*((1-Sens!$K$4466)*tk_he_gb300+Sens!$K$4466*tk_he_vr200)</f>
        <v>11.5559410033471</v>
      </c>
      <c r="L4467" s="36" t="n">
        <f aca="false">cust_sh*tk_he_gb300*cf_chip+(1-cust_sh)*((1-Sens!$L$4466)*tk_he_gb300+Sens!$L$4466*tk_he_vr200)</f>
        <v>11.5559410033471</v>
      </c>
      <c r="M4467" s="36" t="n">
        <f aca="false">cust_sh*tk_he_gb300*cf_chip+(1-cust_sh)*((1-Sens!$M$4466)*tk_he_gb300+Sens!$M$4466*tk_he_vr200)</f>
        <v>11.5559410033471</v>
      </c>
    </row>
    <row r="4468" customFormat="false" ht="17.15" hidden="false" customHeight="false" outlineLevel="0" collapsed="false">
      <c r="A4468" s="5" t="s">
        <v>604</v>
      </c>
      <c r="B4468" s="0" t="s">
        <v>173</v>
      </c>
      <c r="F4468" s="36" t="n">
        <f aca="false">cust_sh*tk_ox_gb300+(1-cust_sh)*((1-Sens!$F$4466)*tk_ox_gb300+Sens!$F$4466*tk_ox_vr200)</f>
        <v>1.98263481314457</v>
      </c>
      <c r="G4468" s="36" t="n">
        <f aca="false">cust_sh*tk_ox_gb300+(1-cust_sh)*((1-Sens!$G$4466)*tk_ox_gb300+Sens!$G$4466*tk_ox_vr200)</f>
        <v>1.98263481314457</v>
      </c>
      <c r="H4468" s="36" t="n">
        <f aca="false">cust_sh*tk_ox_gb300+(1-cust_sh)*((1-Sens!$H$4466)*tk_ox_gb300+Sens!$H$4466*tk_ox_vr200)</f>
        <v>2.01034999693694</v>
      </c>
      <c r="I4468" s="36" t="n">
        <f aca="false">cust_sh*tk_ox_gb300+(1-cust_sh)*((1-Sens!$I$4466)*tk_ox_gb300+Sens!$I$4466*tk_ox_vr200)</f>
        <v>2.0380651807293</v>
      </c>
      <c r="J4468" s="36" t="n">
        <f aca="false">cust_sh*tk_ox_gb300+(1-cust_sh)*((1-Sens!$J$4466)*tk_ox_gb300+Sens!$J$4466*tk_ox_vr200)</f>
        <v>2.0380651807293</v>
      </c>
      <c r="K4468" s="36" t="n">
        <f aca="false">cust_sh*tk_ox_gb300+(1-cust_sh)*((1-Sens!$K$4466)*tk_ox_gb300+Sens!$K$4466*tk_ox_vr200)</f>
        <v>2.0380651807293</v>
      </c>
      <c r="L4468" s="36" t="n">
        <f aca="false">cust_sh*tk_ox_gb300+(1-cust_sh)*((1-Sens!$L$4466)*tk_ox_gb300+Sens!$L$4466*tk_ox_vr200)</f>
        <v>2.0380651807293</v>
      </c>
      <c r="M4468" s="36" t="n">
        <f aca="false">cust_sh*tk_ox_gb300+(1-cust_sh)*((1-Sens!$M$4466)*tk_ox_gb300+Sens!$M$4466*tk_ox_vr200)</f>
        <v>2.0380651807293</v>
      </c>
    </row>
    <row r="4469" customFormat="false" ht="17.15" hidden="false" customHeight="false" outlineLevel="0" collapsed="false">
      <c r="A4469" s="5" t="s">
        <v>605</v>
      </c>
      <c r="B4469" s="0" t="s">
        <v>192</v>
      </c>
      <c r="F4469" s="36" t="n">
        <f aca="false">cust_sh*tk_cx_gb300*cf_cx+(1-cust_sh)*((1-Sens!$F$4466)*tk_cx_gb300+Sens!$F$4466*tk_cx_vr200)</f>
        <v>32.237224</v>
      </c>
      <c r="G4469" s="36" t="n">
        <f aca="false">cust_sh*tk_cx_gb300*cf_cx+(1-cust_sh)*((1-Sens!$G$4466)*tk_cx_gb300+Sens!$G$4466*tk_cx_vr200)</f>
        <v>32.237224</v>
      </c>
      <c r="H4469" s="36" t="n">
        <f aca="false">cust_sh*tk_cx_gb300*cf_cx+(1-cust_sh)*((1-Sens!$H$4466)*tk_cx_gb300+Sens!$H$4466*tk_cx_vr200)</f>
        <v>33.574506</v>
      </c>
      <c r="I4469" s="36" t="n">
        <f aca="false">cust_sh*tk_cx_gb300*cf_cx+(1-cust_sh)*((1-Sens!$I$4466)*tk_cx_gb300+Sens!$I$4466*tk_cx_vr200)</f>
        <v>34.911788</v>
      </c>
      <c r="J4469" s="36" t="n">
        <f aca="false">cust_sh*tk_cx_gb300*cf_cx+(1-cust_sh)*((1-Sens!$J$4466)*tk_cx_gb300+Sens!$J$4466*tk_cx_vr200)</f>
        <v>34.911788</v>
      </c>
      <c r="K4469" s="36" t="n">
        <f aca="false">cust_sh*tk_cx_gb300*cf_cx+(1-cust_sh)*((1-Sens!$K$4466)*tk_cx_gb300+Sens!$K$4466*tk_cx_vr200)</f>
        <v>34.911788</v>
      </c>
      <c r="L4469" s="36" t="n">
        <f aca="false">cust_sh*tk_cx_gb300*cf_cx+(1-cust_sh)*((1-Sens!$L$4466)*tk_cx_gb300+Sens!$L$4466*tk_cx_vr200)</f>
        <v>34.911788</v>
      </c>
      <c r="M4469" s="36" t="n">
        <f aca="false">cust_sh*tk_cx_gb300*cf_cx+(1-cust_sh)*((1-Sens!$M$4466)*tk_cx_gb300+Sens!$M$4466*tk_cx_vr200)</f>
        <v>34.911788</v>
      </c>
    </row>
    <row r="4470" customFormat="false" ht="17.15" hidden="false" customHeight="false" outlineLevel="0" collapsed="false">
      <c r="A4470" s="5" t="s">
        <v>606</v>
      </c>
      <c r="B4470" s="0" t="s">
        <v>129</v>
      </c>
      <c r="F4470" s="32" t="n">
        <f aca="false">Sens!$F$4460-mw_open</f>
        <v>1817.15</v>
      </c>
      <c r="G4470" s="32" t="n">
        <f aca="false">Sens!$F$4470</f>
        <v>1817.15</v>
      </c>
      <c r="H4470" s="32" t="n">
        <f aca="false">Sens!$H$4460-mw_open</f>
        <v>5451.45</v>
      </c>
      <c r="I4470" s="32" t="n">
        <f aca="false">Sens!$I$4460-mw_open</f>
        <v>9085.75</v>
      </c>
      <c r="J4470" s="32" t="n">
        <f aca="false">Sens!$J$4460-mw_open</f>
        <v>12720.05</v>
      </c>
      <c r="K4470" s="32" t="n">
        <f aca="false">Sens!$K$4460-mw_open</f>
        <v>15290.9171666667</v>
      </c>
      <c r="L4470" s="32" t="n">
        <f aca="false">Sens!$L$4460-mw_open</f>
        <v>16798.3515</v>
      </c>
      <c r="M4470" s="32" t="n">
        <f aca="false">Sens!$M$4460-mw_open</f>
        <v>17242.353</v>
      </c>
    </row>
    <row r="4471" customFormat="false" ht="17.15" hidden="false" customHeight="false" outlineLevel="0" collapsed="false">
      <c r="A4471" s="0" t="s">
        <v>607</v>
      </c>
      <c r="B4471" s="0" t="s">
        <v>608</v>
      </c>
      <c r="F4471" s="32" t="n">
        <f aca="false">Sens!$F$4463*Sens!$F$4467</f>
        <v>19782.2417524844</v>
      </c>
      <c r="G4471" s="32" t="n">
        <f aca="false">Sens!$F$4471</f>
        <v>19782.2417524844</v>
      </c>
      <c r="H4471" s="32" t="n">
        <f aca="false">Sens!$G$4471+Sens!$H$4463*Sens!$H$4467</f>
        <v>60563.3616992009</v>
      </c>
      <c r="I4471" s="32" t="n">
        <f aca="false">Sens!$H$4471+Sens!$I$4463*Sens!$I$4467</f>
        <v>102561.118087665</v>
      </c>
      <c r="J4471" s="32" t="n">
        <f aca="false">Sens!$I$4471+Sens!$J$4463*Sens!$J$4467</f>
        <v>144558.87447613</v>
      </c>
      <c r="K4471" s="32" t="n">
        <f aca="false">Sens!$J$4471+Sens!$K$4463*Sens!$K$4467</f>
        <v>174267.663781572</v>
      </c>
      <c r="L4471" s="32" t="n">
        <f aca="false">Sens!$K$4471+Sens!$L$4463*Sens!$L$4467</f>
        <v>191687.486003992</v>
      </c>
      <c r="M4471" s="32" t="n">
        <f aca="false">Sens!$L$4471+Sens!$M$4463*Sens!$M$4467</f>
        <v>196818.341143389</v>
      </c>
    </row>
    <row r="4472" customFormat="false" ht="17.15" hidden="false" customHeight="false" outlineLevel="0" collapsed="false">
      <c r="A4472" s="0" t="s">
        <v>609</v>
      </c>
      <c r="B4472" s="0" t="s">
        <v>608</v>
      </c>
      <c r="F4472" s="32" t="n">
        <f aca="false">Sens!$F$4463*Sens!$F$4468</f>
        <v>3602.74485070566</v>
      </c>
      <c r="G4472" s="32" t="n">
        <f aca="false">Sens!$F$4472</f>
        <v>3602.74485070566</v>
      </c>
      <c r="H4472" s="32" t="n">
        <f aca="false">Sens!$G$4472+Sens!$H$4463*Sens!$H$4468</f>
        <v>10908.9598445736</v>
      </c>
      <c r="I4472" s="32" t="n">
        <f aca="false">Sens!$H$4472+Sens!$I$4463*Sens!$I$4468</f>
        <v>18315.9001308981</v>
      </c>
      <c r="J4472" s="32" t="n">
        <f aca="false">Sens!$I$4472+Sens!$J$4463*Sens!$J$4468</f>
        <v>25722.8404172225</v>
      </c>
      <c r="K4472" s="32" t="n">
        <f aca="false">Sens!$J$4472+Sens!$K$4463*Sens!$K$4468</f>
        <v>30962.4352738861</v>
      </c>
      <c r="L4472" s="32" t="n">
        <f aca="false">Sens!$K$4472+Sens!$L$4463*Sens!$L$4468</f>
        <v>34034.6847008886</v>
      </c>
      <c r="M4472" s="32" t="n">
        <f aca="false">Sens!$L$4472+Sens!$M$4463*Sens!$M$4468</f>
        <v>34939.5886982302</v>
      </c>
    </row>
    <row r="4473" customFormat="false" ht="17.15" hidden="false" customHeight="false" outlineLevel="0" collapsed="false">
      <c r="A4473" s="5" t="s">
        <v>610</v>
      </c>
      <c r="B4473" s="0" t="s">
        <v>173</v>
      </c>
      <c r="F4473" s="36" t="n">
        <f aca="false">IF(Sens!$F$4470&gt;0,Sens!$F$4471/Sens!$F$4470,Sens!$F$4467)</f>
        <v>10.8864110021101</v>
      </c>
      <c r="G4473" s="36" t="n">
        <f aca="false">IF(Sens!$G$4470&gt;0,Sens!$G$4471/Sens!$G$4470,Sens!$G$4467)</f>
        <v>10.8864110021101</v>
      </c>
      <c r="H4473" s="36" t="n">
        <f aca="false">IF(Sens!$H$4470&gt;0,Sens!$H$4471/Sens!$H$4470,Sens!$H$4467)</f>
        <v>11.1095876691891</v>
      </c>
      <c r="I4473" s="36" t="n">
        <f aca="false">IF(Sens!$I$4470&gt;0,Sens!$I$4471/Sens!$I$4470,Sens!$I$4467)</f>
        <v>11.2881290028523</v>
      </c>
      <c r="J4473" s="36" t="n">
        <f aca="false">IF(Sens!$J$4470&gt;0,Sens!$J$4471/Sens!$J$4470,Sens!$J$4467)</f>
        <v>11.3646467172794</v>
      </c>
      <c r="K4473" s="36" t="n">
        <f aca="false">IF(Sens!$K$4470&gt;0,Sens!$K$4471/Sens!$K$4470,Sens!$K$4467)</f>
        <v>11.3968090914432</v>
      </c>
      <c r="L4473" s="36" t="n">
        <f aca="false">IF(Sens!$L$4470&gt;0,Sens!$L$4471/Sens!$L$4470,Sens!$L$4467)</f>
        <v>11.4110891181192</v>
      </c>
      <c r="M4473" s="36" t="n">
        <f aca="false">IF(Sens!$M$4470&gt;0,Sens!$M$4471/Sens!$M$4470,Sens!$M$4467)</f>
        <v>11.4148191458201</v>
      </c>
    </row>
    <row r="4474" customFormat="false" ht="17.15" hidden="false" customHeight="false" outlineLevel="0" collapsed="false">
      <c r="A4474" s="5" t="s">
        <v>611</v>
      </c>
      <c r="B4474" s="0" t="s">
        <v>173</v>
      </c>
      <c r="F4474" s="36" t="n">
        <f aca="false">IF(Sens!$F$4470&gt;0,Sens!$F$4472/Sens!$F$4470,Sens!$F$4468)</f>
        <v>1.98263481314457</v>
      </c>
      <c r="G4474" s="36" t="n">
        <f aca="false">IF(Sens!$G$4470&gt;0,Sens!$G$4472/Sens!$G$4470,Sens!$G$4468)</f>
        <v>1.98263481314457</v>
      </c>
      <c r="H4474" s="36" t="n">
        <f aca="false">IF(Sens!$H$4470&gt;0,Sens!$H$4472/Sens!$H$4470,Sens!$H$4468)</f>
        <v>2.00111160233948</v>
      </c>
      <c r="I4474" s="36" t="n">
        <f aca="false">IF(Sens!$I$4470&gt;0,Sens!$I$4472/Sens!$I$4470,Sens!$I$4468)</f>
        <v>2.01589303369541</v>
      </c>
      <c r="J4474" s="36" t="n">
        <f aca="false">IF(Sens!$J$4470&gt;0,Sens!$J$4472/Sens!$J$4470,Sens!$J$4468)</f>
        <v>2.02222793284795</v>
      </c>
      <c r="K4474" s="36" t="n">
        <f aca="false">IF(Sens!$K$4470&gt;0,Sens!$K$4472/Sens!$K$4470,Sens!$K$4468)</f>
        <v>2.02489065478573</v>
      </c>
      <c r="L4474" s="36" t="n">
        <f aca="false">IF(Sens!$L$4470&gt;0,Sens!$L$4472/Sens!$L$4470,Sens!$L$4468)</f>
        <v>2.0260728977417</v>
      </c>
      <c r="M4474" s="36" t="n">
        <f aca="false">IF(Sens!$M$4470&gt;0,Sens!$M$4472/Sens!$M$4470,Sens!$M$4468)</f>
        <v>2.02638170661685</v>
      </c>
    </row>
    <row r="4475" customFormat="false" ht="17.15" hidden="false" customHeight="false" outlineLevel="0" collapsed="false">
      <c r="A4475" s="15" t="s">
        <v>612</v>
      </c>
      <c r="B4475" s="14" t="s">
        <v>173</v>
      </c>
      <c r="C4475" s="14"/>
      <c r="D4475" s="14"/>
      <c r="E4475" s="14"/>
      <c r="F4475" s="37" t="n">
        <f aca="false">Sens!$F$4473*k_B</f>
        <v>10.7987645808025</v>
      </c>
      <c r="G4475" s="37" t="n">
        <f aca="false">Sens!$G$4473*k_B</f>
        <v>10.7987645808025</v>
      </c>
      <c r="H4475" s="37" t="n">
        <f aca="false">Sens!$H$4473*k_B</f>
        <v>11.0201444540452</v>
      </c>
      <c r="I4475" s="37" t="n">
        <f aca="false">Sens!$I$4473*k_B</f>
        <v>11.1972483526393</v>
      </c>
      <c r="J4475" s="37" t="n">
        <f aca="false">Sens!$J$4473*k_B</f>
        <v>11.2731500234653</v>
      </c>
      <c r="K4475" s="37" t="n">
        <f aca="false">Sens!$K$4473*k_B</f>
        <v>11.3050534585724</v>
      </c>
      <c r="L4475" s="37" t="n">
        <f aca="false">Sens!$L$4473*k_B</f>
        <v>11.3192185168503</v>
      </c>
      <c r="M4475" s="37" t="n">
        <f aca="false">Sens!$M$4473*k_B</f>
        <v>11.3229185141234</v>
      </c>
      <c r="N4475" s="14"/>
      <c r="O4475" s="14"/>
      <c r="P4475" s="5" t="s">
        <v>613</v>
      </c>
    </row>
    <row r="4476" customFormat="false" ht="17.15" hidden="false" customHeight="false" outlineLevel="0" collapsed="false">
      <c r="A4476" s="5" t="s">
        <v>614</v>
      </c>
      <c r="B4476" s="0" t="s">
        <v>129</v>
      </c>
      <c r="F4476" s="32" t="n">
        <f aca="false">Sens!$F$4470/2</f>
        <v>908.575</v>
      </c>
      <c r="H4476" s="32" t="n">
        <f aca="false">(Sens!$G$4470+Sens!$H$4470)/2</f>
        <v>3634.3</v>
      </c>
      <c r="I4476" s="32" t="n">
        <f aca="false">(Sens!$H$4470+Sens!$I$4470)/2</f>
        <v>7268.6</v>
      </c>
      <c r="J4476" s="32" t="n">
        <f aca="false">(Sens!$I$4470+Sens!$J$4470)/2</f>
        <v>10902.9</v>
      </c>
      <c r="K4476" s="32" t="n">
        <f aca="false">(Sens!$J$4470+Sens!$K$4470)/2</f>
        <v>14005.4835833333</v>
      </c>
      <c r="L4476" s="32" t="n">
        <f aca="false">(Sens!$K$4470+Sens!$L$4470)/2</f>
        <v>16044.6343333333</v>
      </c>
      <c r="M4476" s="32" t="n">
        <f aca="false">(Sens!$L$4470+Sens!$M$4470)/2</f>
        <v>17020.35225</v>
      </c>
    </row>
    <row r="4477" customFormat="false" ht="17.15" hidden="false" customHeight="false" outlineLevel="0" collapsed="false">
      <c r="A4477" s="1" t="s">
        <v>615</v>
      </c>
    </row>
    <row r="4478" customFormat="false" ht="17.15" hidden="false" customHeight="false" outlineLevel="0" collapsed="false">
      <c r="A4478" s="1" t="s">
        <v>616</v>
      </c>
      <c r="B4478" s="8" t="s">
        <v>86</v>
      </c>
      <c r="C4478" s="38" t="n">
        <f aca="false">Sens!$C$4461*rpm_open*Sens!$C$4462/1000</f>
        <v>2.32100535697364</v>
      </c>
      <c r="D4478" s="38" t="n">
        <f aca="false">Sens!$D$4461*rpm_open*Sens!$D$4462/1000</f>
        <v>8.70377008865116</v>
      </c>
      <c r="E4478" s="38" t="n">
        <f aca="false">Sens!$E$4461*rpm_open*Sens!$E$4462/1000</f>
        <v>8.51035297557002</v>
      </c>
      <c r="F4478" s="38" t="n">
        <f aca="false">(mw_open*rpm_open+Sens!$F$4476*Sens!$F$4475)*Sens!$F$4462/1000</f>
        <v>14.9634336447205</v>
      </c>
      <c r="G4478" s="38" t="n">
        <f aca="false">Sens!$E$4478+Sens!$F$4478</f>
        <v>23.4737866202905</v>
      </c>
      <c r="H4478" s="38" t="n">
        <f aca="false">(mw_open*rpm_open+Sens!$H$4476*Sens!$H$4475)/1000</f>
        <v>60.1658907497746</v>
      </c>
      <c r="I4478" s="38" t="n">
        <f aca="false">(mw_open*rpm_open+Sens!$I$4476*Sens!$I$4475)/1000</f>
        <v>101.503699136432</v>
      </c>
      <c r="J4478" s="38" t="n">
        <f aca="false">(mw_open*rpm_open+Sens!$J$4476*Sens!$J$4475)/1000</f>
        <v>143.025407151278</v>
      </c>
      <c r="K4478" s="38" t="n">
        <f aca="false">(mw_open*rpm_open+Sens!$K$4476*Sens!$K$4475)/1000</f>
        <v>178.44812038318</v>
      </c>
      <c r="L4478" s="38" t="n">
        <f aca="false">(mw_open*rpm_open+Sens!$L$4476*Sens!$L$4475)/1000</f>
        <v>201.728101802396</v>
      </c>
      <c r="M4478" s="38" t="n">
        <f aca="false">(mw_open*rpm_open+Sens!$M$4476*Sens!$M$4475)/1000</f>
        <v>212.835441368865</v>
      </c>
      <c r="N4478" s="38" t="n">
        <f aca="false">Sens!$N$4461*rpm_open*Sens!$N$4462/1000</f>
        <v>3.04631953102791</v>
      </c>
      <c r="O4478" s="38" t="n">
        <f aca="false">Sens!$O$4461*rpm_open*Sens!$O$4462/1000</f>
        <v>5.65745055762326</v>
      </c>
      <c r="P4478" s="5" t="s">
        <v>617</v>
      </c>
    </row>
    <row r="4479" customFormat="false" ht="17.15" hidden="false" customHeight="false" outlineLevel="0" collapsed="false">
      <c r="A4479" s="5" t="s">
        <v>618</v>
      </c>
      <c r="B4479" s="0" t="s">
        <v>173</v>
      </c>
      <c r="C4479" s="36" t="n">
        <f aca="false">Sens!$C$4478*1000/(Sens!$C$4461*Sens!$C$4462)</f>
        <v>9.67085565405685</v>
      </c>
      <c r="D4479" s="36" t="n">
        <f aca="false">Sens!$D$4478*1000/(Sens!$D$4461*Sens!$D$4462)</f>
        <v>9.67085565405685</v>
      </c>
      <c r="E4479" s="36" t="n">
        <f aca="false">Sens!$E$4478*1000/(Sens!$E$4461*Sens!$E$4462)</f>
        <v>9.67085565405685</v>
      </c>
      <c r="F4479" s="36" t="n">
        <f aca="false">Sens!$F$4478*1000/(Sens!$F$4461*Sens!$F$4462)</f>
        <v>10.0137581588017</v>
      </c>
      <c r="G4479" s="36" t="n">
        <f aca="false">Sens!$G$4478*1000/(Sens!$G$4461*Sens!$G$4462)</f>
        <v>9.88666562928478</v>
      </c>
      <c r="H4479" s="36" t="n">
        <f aca="false">Sens!$H$4478*1000/(Sens!$H$4461*Sens!$H$4462)</f>
        <v>10.5290045586992</v>
      </c>
      <c r="I4479" s="36" t="n">
        <f aca="false">Sens!$I$4478*1000/(Sens!$I$4461*Sens!$I$4462)</f>
        <v>10.8576363451674</v>
      </c>
      <c r="J4479" s="36" t="n">
        <f aca="false">Sens!$J$4478*1000/(Sens!$J$4461*Sens!$J$4462)</f>
        <v>11.0164452588619</v>
      </c>
      <c r="K4479" s="36" t="n">
        <f aca="false">Sens!$K$4478*1000/(Sens!$K$4461*Sens!$K$4462)</f>
        <v>11.0937367508227</v>
      </c>
      <c r="L4479" s="36" t="n">
        <f aca="false">Sens!$L$4478*1000/(Sens!$L$4461*Sens!$L$4462)</f>
        <v>11.1300508519168</v>
      </c>
      <c r="M4479" s="36" t="n">
        <f aca="false">Sens!$M$4478*1000/(Sens!$M$4461*Sens!$M$4462)</f>
        <v>11.1430113216297</v>
      </c>
      <c r="N4479" s="36" t="n">
        <f aca="false">Sens!$N$4478*1000/(Sens!$N$4461*Sens!$N$4462)</f>
        <v>9.67085565405685</v>
      </c>
      <c r="O4479" s="36" t="n">
        <f aca="false">Sens!$O$4478*1000/(Sens!$O$4461*Sens!$O$4462)</f>
        <v>9.67085565405685</v>
      </c>
    </row>
    <row r="4480" customFormat="false" ht="17.15" hidden="false" customHeight="false" outlineLevel="0" collapsed="false">
      <c r="A4480" s="0" t="s">
        <v>619</v>
      </c>
      <c r="B4480" s="0" t="s">
        <v>86</v>
      </c>
      <c r="C4480" s="38" t="n">
        <f aca="false">Sens!$C$4461/ext_sh*(ox_open+rent_mw)*Sens!$C$4462/1000</f>
        <v>0.642569210675032</v>
      </c>
      <c r="D4480" s="38" t="n">
        <f aca="false">Sens!$D$4461/ext_sh*(ox_open+rent_mw)*Sens!$D$4462/1000</f>
        <v>2.40963454003137</v>
      </c>
      <c r="E4480" s="38" t="n">
        <f aca="false">Sens!$E$4461/ext_sh*(ox_open+rent_mw)*Sens!$E$4462/1000</f>
        <v>2.35608710580845</v>
      </c>
      <c r="F4480" s="38" t="n">
        <f aca="false">((mw_open*ox_open+Sens!$F$4476*Sens!$F$4474)/ext_sh+Sens!$F$4461/ext_sh*rent_mw)*Sens!$F$4462/1000</f>
        <v>4.05421991106232</v>
      </c>
      <c r="G4480" s="38" t="n">
        <f aca="false">Sens!$E$4480+Sens!$F$4480</f>
        <v>6.41030701687077</v>
      </c>
      <c r="H4480" s="38" t="n">
        <f aca="false">((mw_open*ox_open+Sens!$H$4476*Sens!$H$4474)/ext_sh+Sens!$H$4461/ext_sh*rent_mw)*Sens!$H$4462/1000</f>
        <v>15.8108975546616</v>
      </c>
      <c r="I4480" s="38" t="n">
        <f aca="false">((mw_open*ox_open+Sens!$I$4476*Sens!$I$4474)/ext_sh+Sens!$I$4461/ext_sh*rent_mw)*Sens!$I$4462/1000</f>
        <v>26.1871623400817</v>
      </c>
      <c r="J4480" s="38" t="n">
        <f aca="false">((mw_open*ox_open+Sens!$J$4476*Sens!$J$4474)/ext_sh+Sens!$J$4461/ext_sh*rent_mw)*Sens!$J$4462/1000</f>
        <v>36.5826128954935</v>
      </c>
      <c r="K4480" s="38" t="n">
        <f aca="false">((mw_open*ox_open+Sens!$K$4476*Sens!$K$4474)/ext_sh+Sens!$K$4461/ext_sh*rent_mw)*Sens!$K$4462/1000</f>
        <v>45.4546361137628</v>
      </c>
      <c r="L4480" s="38" t="n">
        <f aca="false">((mw_open*ox_open+Sens!$L$4476*Sens!$L$4474)/ext_sh+Sens!$L$4461/ext_sh*rent_mw)*Sens!$L$4462/1000</f>
        <v>51.2855695554452</v>
      </c>
      <c r="M4480" s="38" t="n">
        <f aca="false">((mw_open*ox_open+Sens!$M$4476*Sens!$M$4474)/ext_sh+Sens!$M$4461/ext_sh*rent_mw)*Sens!$M$4462/1000</f>
        <v>54.0722927838398</v>
      </c>
      <c r="N4480" s="38" t="n">
        <f aca="false">Sens!$N$4461/ext_sh*(ox_open+rent_mw)*Sens!$N$4462/1000</f>
        <v>0.84337208901098</v>
      </c>
      <c r="O4480" s="38" t="n">
        <f aca="false">Sens!$O$4461/ext_sh*(ox_open+rent_mw)*Sens!$O$4462/1000</f>
        <v>1.56626245102039</v>
      </c>
    </row>
    <row r="4481" customFormat="false" ht="17.15" hidden="false" customHeight="false" outlineLevel="0" collapsed="false">
      <c r="A4481" s="0" t="s">
        <v>620</v>
      </c>
      <c r="B4481" s="0" t="s">
        <v>86</v>
      </c>
      <c r="C4481" s="38" t="n">
        <f aca="false">Q!$D$7</f>
        <v>107.556</v>
      </c>
      <c r="D4481" s="38" t="n">
        <f aca="false">Q!$E$7</f>
        <v>128.725</v>
      </c>
      <c r="E4481" s="38" t="n">
        <f aca="false">Q!$P$7</f>
        <v>79.819</v>
      </c>
      <c r="N4481" s="38" t="n">
        <f aca="false">Q!$N$7</f>
        <v>60.14</v>
      </c>
      <c r="O4481" s="38" t="n">
        <f aca="false">Q!$O$7</f>
        <v>68.585</v>
      </c>
    </row>
    <row r="4482" customFormat="false" ht="17.15" hidden="false" customHeight="false" outlineLevel="0" collapsed="false">
      <c r="A4482" s="1" t="s">
        <v>621</v>
      </c>
      <c r="B4482" s="8" t="s">
        <v>86</v>
      </c>
      <c r="C4482" s="38" t="n">
        <f aca="false">Sens!$C$4481-Sens!$C$4478</f>
        <v>105.234994643026</v>
      </c>
      <c r="D4482" s="38" t="n">
        <f aca="false">Sens!$D$4481-Sens!$D$4478</f>
        <v>120.021229911349</v>
      </c>
      <c r="E4482" s="38" t="n">
        <f aca="false">Sens!$E$4481-Sens!$E$4478</f>
        <v>71.30864702443</v>
      </c>
      <c r="F4482" s="38" t="n">
        <f aca="false">Sens!$O$4482*(1+Sens!$F$4483)</f>
        <v>71.7692997942464</v>
      </c>
      <c r="G4482" s="38" t="n">
        <f aca="false">Sens!$E$4482+Sens!$F$4482</f>
        <v>143.077946818676</v>
      </c>
      <c r="H4482" s="38" t="n">
        <f aca="false">Sens!$G$4482*(1+Sens!$H$4483)</f>
        <v>161.017077079203</v>
      </c>
      <c r="I4482" s="38" t="n">
        <f aca="false">Sens!$H$4482*(1+Sens!$I$4483)</f>
        <v>178.769759521457</v>
      </c>
      <c r="J4482" s="38" t="n">
        <f aca="false">Sens!$I$4482*(1+Sens!$J$4483)</f>
        <v>195.775538045907</v>
      </c>
      <c r="K4482" s="38" t="n">
        <f aca="false">Sens!$J$4482*(1+Sens!$K$4483)</f>
        <v>211.43758108958</v>
      </c>
      <c r="L4482" s="38" t="n">
        <f aca="false">Sens!$K$4482*(1+Sens!$L$4483)</f>
        <v>228.352587576746</v>
      </c>
      <c r="M4482" s="38" t="n">
        <f aca="false">Sens!$L$4482*(1+Sens!$M$4483)</f>
        <v>246.620794582886</v>
      </c>
      <c r="N4482" s="38" t="n">
        <f aca="false">Sens!$N$4481-Sens!$N$4478</f>
        <v>57.0936804689721</v>
      </c>
      <c r="O4482" s="38" t="n">
        <f aca="false">Sens!$O$4481-Sens!$O$4478</f>
        <v>62.9275494423768</v>
      </c>
      <c r="P4482" s="5" t="s">
        <v>622</v>
      </c>
    </row>
    <row r="4483" customFormat="false" ht="17.15" hidden="false" customHeight="false" outlineLevel="0" collapsed="false">
      <c r="A4483" s="0" t="s">
        <v>623</v>
      </c>
      <c r="B4483" s="0" t="s">
        <v>52</v>
      </c>
      <c r="D4483" s="13" t="n">
        <f aca="false">Sens!$D$4482/Sens!$C$4482-1</f>
        <v>0.140506827776062</v>
      </c>
      <c r="E4483" s="13" t="n">
        <f aca="false">Sens!$E$4482/Sens!$N$4482-1</f>
        <v>0.248976181579029</v>
      </c>
      <c r="F4483" s="13" t="n">
        <f aca="false">Sens!$D$4483</f>
        <v>0.140506827776062</v>
      </c>
      <c r="G4483" s="13" t="n">
        <f aca="false">Sens!$G$4482/Sens!$D$4482-1</f>
        <v>0.19210532106993</v>
      </c>
      <c r="H4483" s="13" t="n">
        <f aca="false">Sens!$F$4483+(g_awso_lt-Sens!$F$4483)*1/4</f>
        <v>0.125380120832046</v>
      </c>
      <c r="I4483" s="13" t="n">
        <f aca="false">Sens!$F$4483+(g_awso_lt-Sens!$F$4483)*2/4</f>
        <v>0.110253413888031</v>
      </c>
      <c r="J4483" s="13" t="n">
        <f aca="false">Sens!$F$4483+(g_awso_lt-Sens!$F$4483)*3/4</f>
        <v>0.0951267069440154</v>
      </c>
      <c r="K4483" s="13" t="n">
        <f aca="false">Sens!$F$4483+(g_awso_lt-Sens!$F$4483)*4/4</f>
        <v>0.08</v>
      </c>
      <c r="L4483" s="13" t="n">
        <f aca="false">g_awso_lt</f>
        <v>0.08</v>
      </c>
      <c r="M4483" s="13" t="n">
        <f aca="false">g_awso_lt</f>
        <v>0.08</v>
      </c>
      <c r="P4483" s="5" t="s">
        <v>624</v>
      </c>
    </row>
    <row r="4484" customFormat="false" ht="17.15" hidden="false" customHeight="false" outlineLevel="0" collapsed="false">
      <c r="A4484" s="1" t="s">
        <v>625</v>
      </c>
    </row>
    <row r="4485" customFormat="false" ht="17.15" hidden="false" customHeight="false" outlineLevel="0" collapsed="false">
      <c r="A4485" s="0" t="s">
        <v>626</v>
      </c>
      <c r="B4485" s="0" t="s">
        <v>86</v>
      </c>
      <c r="F4485" s="38" t="n">
        <f aca="false">cx_rt*Sens!$F$4450+cx_awso*Sens!$F$4482</f>
        <v>34.9734495387866</v>
      </c>
    </row>
    <row r="4486" customFormat="false" ht="17.15" hidden="false" customHeight="false" outlineLevel="0" collapsed="false">
      <c r="A4486" s="0" t="s">
        <v>627</v>
      </c>
      <c r="B4486" s="0" t="s">
        <v>52</v>
      </c>
      <c r="C4486" s="13" t="n">
        <f aca="false">tk_cx_h100/(tk_cx_h100+tk_fac*(1-colo_sh))</f>
        <v>0.730756458006641</v>
      </c>
      <c r="D4486" s="13" t="n">
        <f aca="false">tk_cx_h100/(tk_cx_h100+tk_fac*(1-colo_sh))</f>
        <v>0.730756458006641</v>
      </c>
      <c r="E4486" s="13" t="n">
        <f aca="false">Sens!$F$4486</f>
        <v>0.760792334328868</v>
      </c>
      <c r="F4486" s="13" t="n">
        <f aca="false">Sens!$F$4469/(Sens!$F$4469+tk_fac*(1-colo_sh))</f>
        <v>0.760792334328868</v>
      </c>
      <c r="G4486" s="13" t="n">
        <f aca="false">Sens!$G$4469/(Sens!$G$4469+tk_fac*(1-colo_sh))</f>
        <v>0.760792334328868</v>
      </c>
      <c r="H4486" s="13" t="n">
        <f aca="false">Sens!$H$4469/(Sens!$H$4469+tk_fac*(1-colo_sh))</f>
        <v>0.768110668862996</v>
      </c>
      <c r="I4486" s="13" t="n">
        <f aca="false">Sens!$I$4469/(Sens!$I$4469+tk_fac*(1-colo_sh))</f>
        <v>0.77499450139483</v>
      </c>
      <c r="J4486" s="13" t="n">
        <f aca="false">Sens!$J$4469/(Sens!$J$4469+tk_fac*(1-colo_sh))</f>
        <v>0.77499450139483</v>
      </c>
      <c r="K4486" s="13" t="n">
        <f aca="false">Sens!$K$4469/(Sens!$K$4469+tk_fac*(1-colo_sh))</f>
        <v>0.77499450139483</v>
      </c>
      <c r="L4486" s="13" t="n">
        <f aca="false">Sens!$L$4469/(Sens!$L$4469+tk_fac*(1-colo_sh))</f>
        <v>0.77499450139483</v>
      </c>
      <c r="M4486" s="13" t="n">
        <f aca="false">Sens!$M$4469/(Sens!$M$4469+tk_fac*(1-colo_sh))</f>
        <v>0.77499450139483</v>
      </c>
    </row>
    <row r="4487" customFormat="false" ht="17.15" hidden="false" customHeight="false" outlineLevel="0" collapsed="false">
      <c r="A4487" s="1" t="s">
        <v>628</v>
      </c>
      <c r="B4487" s="8" t="s">
        <v>86</v>
      </c>
      <c r="C4487" s="38" t="n">
        <f aca="false">Q!$D$46-cx_rt*Q!$D$16-cx_awso*Sens!$C$4482</f>
        <v>25.2781053077374</v>
      </c>
      <c r="D4487" s="38" t="n">
        <f aca="false">Q!$E$46-cx_rt*Q!$E$16-cx_awso*Sens!$D$4482</f>
        <v>69.5686316310026</v>
      </c>
      <c r="E4487" s="38" t="n">
        <f aca="false">Q!$P$46-cx_rt*Q!$P$16-cx_awso*Sens!$E$4482</f>
        <v>64.1899206485108</v>
      </c>
      <c r="F4487" s="38" t="n">
        <f aca="false">MAX(Sens!$F$4464*(Sens!$F$4469+tk_fac*(1-colo_sh))/1000,capex_g26-Q!$P$46-Sens!$F$4485)</f>
        <v>96.2481299895</v>
      </c>
      <c r="G4487" s="38" t="n">
        <f aca="false">Sens!$E$4487+Sens!$F$4487</f>
        <v>160.438050638011</v>
      </c>
      <c r="H4487" s="38" t="n">
        <f aca="false">Sens!$H$4464*(Sens!$H$4469+tk_fac*(1-colo_sh))/1000+Sens!$H$4488</f>
        <v>198.57136494475</v>
      </c>
      <c r="I4487" s="38" t="n">
        <f aca="false">Sens!$I$4464*(Sens!$I$4469+tk_fac*(1-colo_sh))/1000+Sens!$I$4488</f>
        <v>204.6464699105</v>
      </c>
      <c r="J4487" s="38" t="n">
        <f aca="false">Sens!$J$4464*(Sens!$J$4469+tk_fac*(1-colo_sh))/1000+Sens!$J$4488</f>
        <v>209.8832381105</v>
      </c>
      <c r="K4487" s="38" t="n">
        <f aca="false">Sens!$K$4464*(Sens!$K$4469+tk_fac*(1-colo_sh))/1000+Sens!$K$4488</f>
        <v>155.238385275201</v>
      </c>
      <c r="L4487" s="38" t="n">
        <f aca="false">Sens!$L$4464*(Sens!$L$4469+tk_fac*(1-colo_sh))/1000+Sens!$L$4488</f>
        <v>132.014141639902</v>
      </c>
      <c r="M4487" s="38" t="n">
        <f aca="false">Sens!$M$4464*(Sens!$M$4469+tk_fac*(1-colo_sh))/1000+Sens!$M$4488</f>
        <v>132.230981659852</v>
      </c>
      <c r="P4487" s="5" t="s">
        <v>629</v>
      </c>
      <c r="R4487" s="38" t="n">
        <f aca="false">Q!$C$46-cx_rt*Q!$C$16-cx_awso*(Q!$C$7-mw_ye23/2*rpm_open/1000)</f>
        <v>1.50429979529945</v>
      </c>
      <c r="S4487" s="38" t="n">
        <f aca="false">Sens!$C$4487</f>
        <v>25.2781053077374</v>
      </c>
      <c r="T4487" s="38" t="n">
        <f aca="false">Sens!$D$4487</f>
        <v>69.5686316310026</v>
      </c>
      <c r="U4487" s="38" t="n">
        <f aca="false">Sens!$G$4487</f>
        <v>160.438050638011</v>
      </c>
      <c r="V4487" s="38" t="n">
        <f aca="false">Sens!$H$4487</f>
        <v>198.57136494475</v>
      </c>
      <c r="W4487" s="38" t="n">
        <f aca="false">Sens!$I$4487</f>
        <v>204.6464699105</v>
      </c>
      <c r="X4487" s="38" t="n">
        <f aca="false">Sens!$J$4487</f>
        <v>209.8832381105</v>
      </c>
      <c r="Y4487" s="38" t="n">
        <f aca="false">Sens!$K$4487</f>
        <v>155.238385275201</v>
      </c>
      <c r="Z4487" s="38" t="n">
        <f aca="false">Sens!$L$4487</f>
        <v>132.014141639902</v>
      </c>
      <c r="AA4487" s="38" t="n">
        <f aca="false">Sens!$M$4487</f>
        <v>132.230981659852</v>
      </c>
    </row>
    <row r="4488" customFormat="false" ht="17.15" hidden="false" customHeight="false" outlineLevel="0" collapsed="false">
      <c r="A4488" s="0" t="s">
        <v>630</v>
      </c>
      <c r="B4488" s="0" t="s">
        <v>86</v>
      </c>
      <c r="H4488" s="38" t="n">
        <f aca="false">SUMPRODUCT(--(Sens!$R$4457:$AA$4457=2027-tk_life),Sens!$R$4464:$AA$4464)*Sens!$H$4469/1000</f>
        <v>0</v>
      </c>
      <c r="I4488" s="38" t="n">
        <f aca="false">SUMPRODUCT(--(Sens!$R$4457:$AA$4457=2028-tk_life),Sens!$R$4464:$AA$4464)*Sens!$I$4469/1000</f>
        <v>0</v>
      </c>
      <c r="J4488" s="38" t="n">
        <f aca="false">SUMPRODUCT(--(Sens!$R$4457:$AA$4457=2029-tk_life),Sens!$R$4464:$AA$4464)*Sens!$J$4469/1000</f>
        <v>5.2367682</v>
      </c>
      <c r="K4488" s="38" t="n">
        <f aca="false">SUMPRODUCT(--(Sens!$R$4457:$AA$4457=2030-tk_life),Sens!$R$4464:$AA$4464)*Sens!$K$4469/1000</f>
        <v>10.4735364</v>
      </c>
      <c r="L4488" s="38" t="n">
        <f aca="false">SUMPRODUCT(--(Sens!$R$4457:$AA$4457=2031-tk_life),Sens!$R$4464:$AA$4464)*Sens!$L$4469/1000</f>
        <v>47.1309138</v>
      </c>
      <c r="M4488" s="38" t="n">
        <f aca="false">SUMPRODUCT(--(Sens!$R$4457:$AA$4457=2032-tk_life),Sens!$R$4464:$AA$4464)*Sens!$M$4469/1000</f>
        <v>107.22937485525</v>
      </c>
    </row>
    <row r="4489" customFormat="false" ht="17.15" hidden="false" customHeight="false" outlineLevel="0" collapsed="false">
      <c r="A4489" s="0" t="s">
        <v>631</v>
      </c>
      <c r="B4489" s="0" t="s">
        <v>86</v>
      </c>
      <c r="C4489" s="38" t="n">
        <f aca="false">MIN(Sens!$C$4487,Sens!$C$4464*(tk_cx_h100+tk_fac*(1-colo_sh))/1000)</f>
        <v>11.2938642</v>
      </c>
      <c r="D4489" s="38" t="n">
        <f aca="false">MIN(Sens!$D$4487,Sens!$D$4464*(tk_cx_h100+tk_fac*(1-colo_sh))/1000)</f>
        <v>50.8223889</v>
      </c>
      <c r="E4489" s="38" t="n">
        <f aca="false">MIN(Sens!$E$4487,Sens!$E$4464*(Sens!$F$4469+tk_fac*(1-colo_sh))/1000)</f>
        <v>33.8985792</v>
      </c>
      <c r="F4489" s="38" t="n">
        <f aca="false">Sens!$F$4487</f>
        <v>96.2481299895</v>
      </c>
      <c r="G4489" s="38" t="n">
        <f aca="false">Sens!$E$4489+Sens!$F$4489</f>
        <v>130.1467091895</v>
      </c>
      <c r="H4489" s="38" t="n">
        <f aca="false">Sens!$H$4487</f>
        <v>198.57136494475</v>
      </c>
      <c r="I4489" s="38" t="n">
        <f aca="false">Sens!$I$4487</f>
        <v>204.6464699105</v>
      </c>
      <c r="J4489" s="38" t="n">
        <f aca="false">Sens!$J$4487</f>
        <v>209.8832381105</v>
      </c>
      <c r="K4489" s="38" t="n">
        <f aca="false">Sens!$K$4487</f>
        <v>155.238385275201</v>
      </c>
      <c r="L4489" s="38" t="n">
        <f aca="false">Sens!$L$4487</f>
        <v>132.014141639902</v>
      </c>
      <c r="M4489" s="38" t="n">
        <f aca="false">Sens!$M$4487</f>
        <v>132.230981659852</v>
      </c>
      <c r="P4489" s="5" t="s">
        <v>632</v>
      </c>
      <c r="R4489" s="38" t="n">
        <f aca="false">MIN(Sens!$R$4487,Sens!$R$4464*(tk_cx_h100+tk_fac*(1-colo_sh))/1000)</f>
        <v>1.50429979529945</v>
      </c>
      <c r="S4489" s="38" t="n">
        <f aca="false">Sens!$C$4489</f>
        <v>11.2938642</v>
      </c>
      <c r="T4489" s="38" t="n">
        <f aca="false">Sens!$D$4489</f>
        <v>50.8223889</v>
      </c>
      <c r="U4489" s="38" t="n">
        <f aca="false">Sens!$G$4489</f>
        <v>130.1467091895</v>
      </c>
      <c r="V4489" s="38" t="n">
        <f aca="false">Sens!$H$4489</f>
        <v>198.57136494475</v>
      </c>
      <c r="W4489" s="38" t="n">
        <f aca="false">Sens!$I$4489</f>
        <v>204.6464699105</v>
      </c>
      <c r="X4489" s="38" t="n">
        <f aca="false">Sens!$J$4489</f>
        <v>209.8832381105</v>
      </c>
      <c r="Y4489" s="38" t="n">
        <f aca="false">Sens!$K$4489</f>
        <v>155.238385275201</v>
      </c>
      <c r="Z4489" s="38" t="n">
        <f aca="false">Sens!$L$4489</f>
        <v>132.014141639902</v>
      </c>
      <c r="AA4489" s="38" t="n">
        <f aca="false">Sens!$M$4489</f>
        <v>132.230981659852</v>
      </c>
    </row>
    <row r="4490" customFormat="false" ht="17.15" hidden="false" customHeight="false" outlineLevel="0" collapsed="false">
      <c r="A4490" s="5" t="s">
        <v>633</v>
      </c>
      <c r="B4490" s="0" t="s">
        <v>86</v>
      </c>
      <c r="C4490" s="38" t="n">
        <f aca="false">Sens!$C$4487-Sens!$C$4489</f>
        <v>13.9842411077374</v>
      </c>
      <c r="D4490" s="38" t="n">
        <f aca="false">Sens!$D$4487-Sens!$D$4489</f>
        <v>18.7462427310026</v>
      </c>
      <c r="E4490" s="38" t="n">
        <f aca="false">Sens!$E$4487-Sens!$E$4489</f>
        <v>30.2913414485108</v>
      </c>
      <c r="F4490" s="38" t="n">
        <f aca="false">Sens!$F$4487-Sens!$F$4489</f>
        <v>0</v>
      </c>
      <c r="G4490" s="38" t="n">
        <f aca="false">Sens!$G$4487-Sens!$G$4489</f>
        <v>30.2913414485108</v>
      </c>
      <c r="H4490" s="38" t="n">
        <f aca="false">Sens!$H$4487-Sens!$H$4489</f>
        <v>0</v>
      </c>
      <c r="I4490" s="38" t="n">
        <f aca="false">Sens!$I$4487-Sens!$I$4489</f>
        <v>0</v>
      </c>
      <c r="J4490" s="38" t="n">
        <f aca="false">Sens!$J$4487-Sens!$J$4489</f>
        <v>0</v>
      </c>
      <c r="K4490" s="38" t="n">
        <f aca="false">Sens!$K$4487-Sens!$K$4489</f>
        <v>0</v>
      </c>
      <c r="L4490" s="38" t="n">
        <f aca="false">Sens!$L$4487-Sens!$L$4489</f>
        <v>0</v>
      </c>
      <c r="M4490" s="38" t="n">
        <f aca="false">Sens!$M$4487-Sens!$M$4489</f>
        <v>0</v>
      </c>
    </row>
    <row r="4491" customFormat="false" ht="17.15" hidden="false" customHeight="false" outlineLevel="0" collapsed="false">
      <c r="A4491" s="5" t="s">
        <v>634</v>
      </c>
      <c r="B4491" s="0" t="s">
        <v>86</v>
      </c>
      <c r="C4491" s="38" t="n">
        <f aca="false">Sens!$C$4489*Sens!$C$4486</f>
        <v>8.2530642</v>
      </c>
      <c r="D4491" s="38" t="n">
        <f aca="false">Sens!$D$4489*Sens!$D$4486</f>
        <v>37.1387889</v>
      </c>
      <c r="E4491" s="38" t="n">
        <f aca="false">Sens!$E$4489*Sens!$E$4486</f>
        <v>25.7897792</v>
      </c>
      <c r="F4491" s="38" t="n">
        <f aca="false">Sens!$F$4489*Sens!$F$4486</f>
        <v>73.2248394895</v>
      </c>
      <c r="G4491" s="38" t="n">
        <f aca="false">Sens!$E$4491+Sens!$F$4491</f>
        <v>99.0146186895</v>
      </c>
      <c r="H4491" s="38" t="n">
        <f aca="false">(Sens!$H$4489-Sens!$H$4488)*Sens!$H$4486+Sens!$H$4488</f>
        <v>152.52478394475</v>
      </c>
      <c r="I4491" s="38" t="n">
        <f aca="false">(Sens!$I$4489-Sens!$I$4488)*Sens!$I$4486+Sens!$I$4488</f>
        <v>158.5998889105</v>
      </c>
      <c r="J4491" s="38" t="n">
        <f aca="false">(Sens!$J$4489-Sens!$J$4488)*Sens!$J$4486+Sens!$J$4488</f>
        <v>163.8366571105</v>
      </c>
      <c r="K4491" s="38" t="n">
        <f aca="false">(Sens!$K$4489-Sens!$K$4488)*Sens!$K$4486+Sens!$K$4488</f>
        <v>122.665498273534</v>
      </c>
      <c r="L4491" s="38" t="n">
        <f aca="false">(Sens!$L$4489-Sens!$L$4488)*Sens!$L$4486+Sens!$L$4488</f>
        <v>112.914948636568</v>
      </c>
      <c r="M4491" s="38" t="n">
        <f aca="false">(Sens!$M$4489-Sens!$M$4488)*Sens!$M$4486+Sens!$M$4488</f>
        <v>126.605482654852</v>
      </c>
      <c r="R4491" s="38" t="n">
        <f aca="false">Sens!$R$4489*Sens!$C$4486</f>
        <v>1.09927679019314</v>
      </c>
      <c r="S4491" s="38" t="n">
        <f aca="false">Sens!$C$4491</f>
        <v>8.2530642</v>
      </c>
      <c r="T4491" s="38" t="n">
        <f aca="false">Sens!$D$4491</f>
        <v>37.1387889</v>
      </c>
      <c r="U4491" s="38" t="n">
        <f aca="false">Sens!$G$4491</f>
        <v>99.0146186895</v>
      </c>
      <c r="V4491" s="38" t="n">
        <f aca="false">Sens!$H$4491</f>
        <v>152.52478394475</v>
      </c>
      <c r="W4491" s="38" t="n">
        <f aca="false">Sens!$I$4491</f>
        <v>158.5998889105</v>
      </c>
      <c r="X4491" s="38" t="n">
        <f aca="false">Sens!$J$4491</f>
        <v>163.8366571105</v>
      </c>
      <c r="Y4491" s="38" t="n">
        <f aca="false">Sens!$K$4491</f>
        <v>122.665498273534</v>
      </c>
      <c r="Z4491" s="38" t="n">
        <f aca="false">Sens!$L$4491</f>
        <v>112.914948636568</v>
      </c>
      <c r="AA4491" s="38" t="n">
        <f aca="false">Sens!$M$4491</f>
        <v>126.605482654852</v>
      </c>
    </row>
    <row r="4492" customFormat="false" ht="15" hidden="false" customHeight="false" outlineLevel="0" collapsed="false">
      <c r="A4492" s="5" t="s">
        <v>635</v>
      </c>
      <c r="B4492" s="0" t="s">
        <v>86</v>
      </c>
      <c r="C4492" s="38" t="n">
        <f aca="false">Sens!$C$4489-Sens!$C$4491</f>
        <v>3.0408</v>
      </c>
      <c r="D4492" s="38" t="n">
        <f aca="false">Sens!$D$4489-Sens!$D$4491</f>
        <v>13.6836</v>
      </c>
      <c r="E4492" s="38" t="n">
        <f aca="false">Sens!$E$4489-Sens!$E$4491</f>
        <v>8.1088</v>
      </c>
      <c r="F4492" s="38" t="n">
        <f aca="false">Sens!$F$4489-Sens!$F$4491</f>
        <v>23.0232905</v>
      </c>
      <c r="G4492" s="38" t="n">
        <f aca="false">Sens!$G$4489-Sens!$G$4491</f>
        <v>31.1320905</v>
      </c>
      <c r="H4492" s="38" t="n">
        <f aca="false">Sens!$H$4489-Sens!$H$4491</f>
        <v>46.046581</v>
      </c>
      <c r="I4492" s="38" t="n">
        <f aca="false">Sens!$I$4489-Sens!$I$4491</f>
        <v>46.046581</v>
      </c>
      <c r="J4492" s="38" t="n">
        <f aca="false">Sens!$J$4489-Sens!$J$4491</f>
        <v>46.046581</v>
      </c>
      <c r="K4492" s="38" t="n">
        <f aca="false">Sens!$K$4489-Sens!$K$4491</f>
        <v>32.5728870016667</v>
      </c>
      <c r="L4492" s="38" t="n">
        <f aca="false">Sens!$L$4489-Sens!$L$4491</f>
        <v>19.0991930033334</v>
      </c>
      <c r="M4492" s="38" t="n">
        <f aca="false">Sens!$M$4489-Sens!$M$4491</f>
        <v>5.62549900499998</v>
      </c>
      <c r="R4492" s="38" t="n">
        <f aca="false">Sens!$R$4489-Sens!$R$4491</f>
        <v>0.405023005106309</v>
      </c>
      <c r="S4492" s="38" t="n">
        <f aca="false">Sens!$S$4489-Sens!$S$4491</f>
        <v>3.0408</v>
      </c>
      <c r="T4492" s="38" t="n">
        <f aca="false">Sens!$T$4489-Sens!$T$4491</f>
        <v>13.6836</v>
      </c>
      <c r="U4492" s="38" t="n">
        <f aca="false">Sens!$U$4489-Sens!$U$4491</f>
        <v>31.1320905</v>
      </c>
      <c r="V4492" s="38" t="n">
        <f aca="false">Sens!$V$4489-Sens!$V$4491</f>
        <v>46.046581</v>
      </c>
      <c r="W4492" s="38" t="n">
        <f aca="false">Sens!$W$4489-Sens!$W$4491</f>
        <v>46.046581</v>
      </c>
      <c r="X4492" s="38" t="n">
        <f aca="false">Sens!$X$4489-Sens!$X$4491</f>
        <v>46.046581</v>
      </c>
      <c r="Y4492" s="38" t="n">
        <f aca="false">Sens!$Y$4489-Sens!$Y$4491</f>
        <v>32.5728870016667</v>
      </c>
      <c r="Z4492" s="38" t="n">
        <f aca="false">Sens!$Z$4489-Sens!$Z$4491</f>
        <v>19.0991930033334</v>
      </c>
      <c r="AA4492" s="38" t="n">
        <f aca="false">Sens!$AA$4489-Sens!$AA$4491</f>
        <v>5.62549900499998</v>
      </c>
    </row>
    <row r="4493" customFormat="false" ht="17.15" hidden="false" customHeight="false" outlineLevel="0" collapsed="false">
      <c r="A4493" s="0" t="s">
        <v>636</v>
      </c>
      <c r="B4493" s="0" t="s">
        <v>52</v>
      </c>
      <c r="C4493" s="13" t="n">
        <f aca="false">Sens!$C$4487/Sens!$C$4609</f>
        <v>0.325505489553393</v>
      </c>
      <c r="D4493" s="13" t="n">
        <f aca="false">Sens!$D$4487/Sens!$D$4609</f>
        <v>0.54214956071542</v>
      </c>
      <c r="E4493" s="13" t="n">
        <f aca="false">Sens!$E$4487/Sens!$E$4609</f>
        <v>0.666492790452817</v>
      </c>
      <c r="F4493" s="13" t="n">
        <f aca="false">Sens!$F$4487/Sens!$F$4609</f>
        <v>0.733477910687338</v>
      </c>
      <c r="G4493" s="13" t="n">
        <f aca="false">Sens!$G$4487/Sens!$G$4609</f>
        <v>0.705124321514523</v>
      </c>
      <c r="H4493" s="13" t="n">
        <f aca="false">Sens!$H$4487/Sens!$H$4609</f>
        <v>0.726376041178204</v>
      </c>
      <c r="I4493" s="13" t="n">
        <f aca="false">Sens!$I$4487/Sens!$I$4609</f>
        <v>0.713099092661699</v>
      </c>
      <c r="J4493" s="13" t="n">
        <f aca="false">Sens!$J$4487/Sens!$J$4609</f>
        <v>0.701208348786245</v>
      </c>
      <c r="K4493" s="13" t="n">
        <f aca="false">Sens!$K$4487/Sens!$K$4609</f>
        <v>0.618338844562383</v>
      </c>
      <c r="L4493" s="13" t="n">
        <f aca="false">Sens!$L$4487/Sens!$L$4609</f>
        <v>0.562489158462506</v>
      </c>
      <c r="M4493" s="13" t="n">
        <f aca="false">Sens!$M$4487/Sens!$M$4609</f>
        <v>0.545751190895923</v>
      </c>
    </row>
    <row r="4494" customFormat="false" ht="17.15" hidden="false" customHeight="false" outlineLevel="0" collapsed="false">
      <c r="A4494" s="0" t="s">
        <v>637</v>
      </c>
      <c r="B4494" s="0" t="s">
        <v>86</v>
      </c>
      <c r="C4494" s="38" t="n">
        <f aca="false">Sens!$S$4494</f>
        <v>0.183212798365523</v>
      </c>
      <c r="D4494" s="38" t="n">
        <f aca="false">Sens!$T$4494</f>
        <v>1.55872349836552</v>
      </c>
      <c r="E4494" s="38" t="n">
        <f aca="false">Sens!$G$4494/2</f>
        <v>3.87426082418276</v>
      </c>
      <c r="F4494" s="38" t="n">
        <f aca="false">Sens!$G$4494/2</f>
        <v>3.87426082418276</v>
      </c>
      <c r="G4494" s="38" t="n">
        <f aca="false">Sens!$U$4494</f>
        <v>7.74852164836552</v>
      </c>
      <c r="H4494" s="38" t="n">
        <f aca="false">Sens!$V$4494</f>
        <v>24.2509580966155</v>
      </c>
      <c r="I4494" s="38" t="n">
        <f aca="false">Sens!$W$4494</f>
        <v>49.6717554207405</v>
      </c>
      <c r="J4494" s="38" t="n">
        <f aca="false">Sens!$X$4494</f>
        <v>76.1050702391572</v>
      </c>
      <c r="K4494" s="38" t="n">
        <f aca="false">Sens!$Y$4494</f>
        <v>103.227966959208</v>
      </c>
      <c r="L4494" s="38" t="n">
        <f aca="false">Sens!$Z$4494</f>
        <v>122.296705971464</v>
      </c>
      <c r="M4494" s="38" t="n">
        <f aca="false">Sens!$AA$4494</f>
        <v>134.926065927559</v>
      </c>
      <c r="N4494" s="38" t="n">
        <f aca="false">Sens!$D$4494/2</f>
        <v>0.779361749182762</v>
      </c>
      <c r="O4494" s="38" t="n">
        <f aca="false">Sens!$D$4494/2</f>
        <v>0.779361749182762</v>
      </c>
      <c r="R4494" s="38" t="n">
        <f aca="false">SUMPRODUCT(--(Sens!$R$4457:$AA$4457&lt;Sens!R$4457),--(Sens!$R$4457:$AA$4457&gt;=Sens!R$4457-tk_life),Sens!$R$4491:$AA$4491)/tk_life</f>
        <v>0</v>
      </c>
      <c r="S4494" s="38" t="n">
        <f aca="false">SUMPRODUCT(--(Sens!$R$4457:$AA$4457&lt;Sens!S$4457),--(Sens!$R$4457:$AA$4457&gt;=Sens!S$4457-tk_life),Sens!$R$4491:$AA$4491)/tk_life</f>
        <v>0.183212798365523</v>
      </c>
      <c r="T4494" s="38" t="n">
        <f aca="false">SUMPRODUCT(--(Sens!$R$4457:$AA$4457&lt;Sens!T$4457),--(Sens!$R$4457:$AA$4457&gt;=Sens!T$4457-tk_life),Sens!$R$4491:$AA$4491)/tk_life</f>
        <v>1.55872349836552</v>
      </c>
      <c r="U4494" s="38" t="n">
        <f aca="false">SUMPRODUCT(--(Sens!$R$4457:$AA$4457&lt;Sens!U$4457),--(Sens!$R$4457:$AA$4457&gt;=Sens!U$4457-tk_life),Sens!$R$4491:$AA$4491)/tk_life</f>
        <v>7.74852164836552</v>
      </c>
      <c r="V4494" s="38" t="n">
        <f aca="false">SUMPRODUCT(--(Sens!$R$4457:$AA$4457&lt;Sens!V$4457),--(Sens!$R$4457:$AA$4457&gt;=Sens!V$4457-tk_life),Sens!$R$4491:$AA$4491)/tk_life</f>
        <v>24.2509580966155</v>
      </c>
      <c r="W4494" s="38" t="n">
        <f aca="false">SUMPRODUCT(--(Sens!$R$4457:$AA$4457&lt;Sens!W$4457),--(Sens!$R$4457:$AA$4457&gt;=Sens!W$4457-tk_life),Sens!$R$4491:$AA$4491)/tk_life</f>
        <v>49.6717554207405</v>
      </c>
      <c r="X4494" s="38" t="n">
        <f aca="false">SUMPRODUCT(--(Sens!$R$4457:$AA$4457&lt;Sens!X$4457),--(Sens!$R$4457:$AA$4457&gt;=Sens!X$4457-tk_life),Sens!$R$4491:$AA$4491)/tk_life</f>
        <v>76.1050702391572</v>
      </c>
      <c r="Y4494" s="38" t="n">
        <f aca="false">SUMPRODUCT(--(Sens!$R$4457:$AA$4457&lt;Sens!Y$4457),--(Sens!$R$4457:$AA$4457&gt;=Sens!Y$4457-tk_life),Sens!$R$4491:$AA$4491)/tk_life</f>
        <v>103.227966959208</v>
      </c>
      <c r="Z4494" s="38" t="n">
        <f aca="false">SUMPRODUCT(--(Sens!$R$4457:$AA$4457&lt;Sens!Z$4457),--(Sens!$R$4457:$AA$4457&gt;=Sens!Z$4457-tk_life),Sens!$R$4491:$AA$4491)/tk_life</f>
        <v>122.296705971464</v>
      </c>
      <c r="AA4494" s="38" t="n">
        <f aca="false">SUMPRODUCT(--(Sens!$R$4457:$AA$4457&lt;Sens!AA$4457),--(Sens!$R$4457:$AA$4457&gt;=Sens!AA$4457-tk_life),Sens!$R$4491:$AA$4491)/tk_life</f>
        <v>134.926065927559</v>
      </c>
    </row>
    <row r="4495" customFormat="false" ht="17.15" hidden="false" customHeight="false" outlineLevel="0" collapsed="false">
      <c r="A4495" s="0" t="s">
        <v>638</v>
      </c>
      <c r="B4495" s="0" t="s">
        <v>86</v>
      </c>
      <c r="C4495" s="38" t="n">
        <f aca="false">Sens!$S$4495</f>
        <v>0.0202511502553155</v>
      </c>
      <c r="D4495" s="38" t="n">
        <f aca="false">Sens!$T$4495</f>
        <v>0.172291150255315</v>
      </c>
      <c r="E4495" s="38" t="n">
        <f aca="false">Sens!$G$4495/2</f>
        <v>0.428235575127658</v>
      </c>
      <c r="F4495" s="38" t="n">
        <f aca="false">Sens!$G$4495/2</f>
        <v>0.428235575127658</v>
      </c>
      <c r="G4495" s="38" t="n">
        <f aca="false">Sens!$U$4495</f>
        <v>0.856471150255315</v>
      </c>
      <c r="H4495" s="38" t="n">
        <f aca="false">Sens!$V$4495</f>
        <v>2.41307567525532</v>
      </c>
      <c r="I4495" s="38" t="n">
        <f aca="false">Sens!$W$4495</f>
        <v>4.71540472525532</v>
      </c>
      <c r="J4495" s="38" t="n">
        <f aca="false">Sens!$X$4495</f>
        <v>7.01773377525532</v>
      </c>
      <c r="K4495" s="38" t="n">
        <f aca="false">Sens!$Y$4495</f>
        <v>9.32006282525532</v>
      </c>
      <c r="L4495" s="38" t="n">
        <f aca="false">Sens!$Z$4495</f>
        <v>10.9487071753387</v>
      </c>
      <c r="M4495" s="38" t="n">
        <f aca="false">Sens!$AA$4495</f>
        <v>11.9036668255053</v>
      </c>
      <c r="N4495" s="38" t="n">
        <f aca="false">Sens!$D$4495/2</f>
        <v>0.0861455751276577</v>
      </c>
      <c r="O4495" s="38" t="n">
        <f aca="false">Sens!$D$4495/2</f>
        <v>0.0861455751276577</v>
      </c>
      <c r="R4495" s="38" t="n">
        <f aca="false">SUMPRODUCT(--(Sens!$R$4457:$AA$4457&lt;Sens!R$4457),Sens!$R$4492:$AA$4492)/fac_life</f>
        <v>0</v>
      </c>
      <c r="S4495" s="38" t="n">
        <f aca="false">SUMPRODUCT(--(Sens!$R$4457:$AA$4457&lt;Sens!S$4457),Sens!$R$4492:$AA$4492)/fac_life</f>
        <v>0.0202511502553155</v>
      </c>
      <c r="T4495" s="38" t="n">
        <f aca="false">SUMPRODUCT(--(Sens!$R$4457:$AA$4457&lt;Sens!T$4457),Sens!$R$4492:$AA$4492)/fac_life</f>
        <v>0.172291150255315</v>
      </c>
      <c r="U4495" s="38" t="n">
        <f aca="false">SUMPRODUCT(--(Sens!$R$4457:$AA$4457&lt;Sens!U$4457),Sens!$R$4492:$AA$4492)/fac_life</f>
        <v>0.856471150255315</v>
      </c>
      <c r="V4495" s="38" t="n">
        <f aca="false">SUMPRODUCT(--(Sens!$R$4457:$AA$4457&lt;Sens!V$4457),Sens!$R$4492:$AA$4492)/fac_life</f>
        <v>2.41307567525532</v>
      </c>
      <c r="W4495" s="38" t="n">
        <f aca="false">SUMPRODUCT(--(Sens!$R$4457:$AA$4457&lt;Sens!W$4457),Sens!$R$4492:$AA$4492)/fac_life</f>
        <v>4.71540472525532</v>
      </c>
      <c r="X4495" s="38" t="n">
        <f aca="false">SUMPRODUCT(--(Sens!$R$4457:$AA$4457&lt;Sens!X$4457),Sens!$R$4492:$AA$4492)/fac_life</f>
        <v>7.01773377525532</v>
      </c>
      <c r="Y4495" s="38" t="n">
        <f aca="false">SUMPRODUCT(--(Sens!$R$4457:$AA$4457&lt;Sens!Y$4457),Sens!$R$4492:$AA$4492)/fac_life</f>
        <v>9.32006282525532</v>
      </c>
      <c r="Z4495" s="38" t="n">
        <f aca="false">SUMPRODUCT(--(Sens!$R$4457:$AA$4457&lt;Sens!Z$4457),Sens!$R$4492:$AA$4492)/fac_life</f>
        <v>10.9487071753387</v>
      </c>
      <c r="AA4495" s="38" t="n">
        <f aca="false">SUMPRODUCT(--(Sens!$R$4457:$AA$4457&lt;Sens!AA$4457),Sens!$R$4492:$AA$4492)/fac_life</f>
        <v>11.9036668255053</v>
      </c>
    </row>
    <row r="4496" customFormat="false" ht="17.15" hidden="false" customHeight="false" outlineLevel="0" collapsed="false">
      <c r="A4496" s="1" t="s">
        <v>639</v>
      </c>
      <c r="B4496" s="8" t="s">
        <v>86</v>
      </c>
      <c r="C4496" s="38" t="n">
        <f aca="false">Sens!$C$4494+Sens!$C$4495</f>
        <v>0.203463948620839</v>
      </c>
      <c r="D4496" s="38" t="n">
        <f aca="false">Sens!$D$4494+Sens!$D$4495</f>
        <v>1.73101464862084</v>
      </c>
      <c r="E4496" s="38" t="n">
        <f aca="false">Sens!$E$4494+Sens!$E$4495</f>
        <v>4.30249639931042</v>
      </c>
      <c r="F4496" s="38" t="n">
        <f aca="false">Sens!$F$4494+Sens!$F$4495</f>
        <v>4.30249639931042</v>
      </c>
      <c r="G4496" s="38" t="n">
        <f aca="false">Sens!$G$4494+Sens!$G$4495</f>
        <v>8.60499279862084</v>
      </c>
      <c r="H4496" s="38" t="n">
        <f aca="false">Sens!$H$4494+Sens!$H$4495</f>
        <v>26.6640337718708</v>
      </c>
      <c r="I4496" s="38" t="n">
        <f aca="false">Sens!$I$4494+Sens!$I$4495</f>
        <v>54.3871601459959</v>
      </c>
      <c r="J4496" s="38" t="n">
        <f aca="false">Sens!$J$4494+Sens!$J$4495</f>
        <v>83.1228040144125</v>
      </c>
      <c r="K4496" s="38" t="n">
        <f aca="false">Sens!$K$4494+Sens!$K$4495</f>
        <v>112.548029784464</v>
      </c>
      <c r="L4496" s="38" t="n">
        <f aca="false">Sens!$L$4494+Sens!$L$4495</f>
        <v>133.245413146803</v>
      </c>
      <c r="M4496" s="38" t="n">
        <f aca="false">Sens!$M$4494+Sens!$M$4495</f>
        <v>146.829732753064</v>
      </c>
      <c r="N4496" s="38" t="n">
        <f aca="false">Sens!$N$4494+Sens!$N$4495</f>
        <v>0.865507324310419</v>
      </c>
      <c r="O4496" s="38" t="n">
        <f aca="false">Sens!$O$4494+Sens!$O$4495</f>
        <v>0.865507324310419</v>
      </c>
      <c r="R4496" s="38" t="n">
        <f aca="false">Sens!$R$4494+Sens!$R$4495</f>
        <v>0</v>
      </c>
      <c r="S4496" s="38" t="n">
        <f aca="false">Sens!$S$4494+Sens!$S$4495</f>
        <v>0.203463948620839</v>
      </c>
      <c r="T4496" s="38" t="n">
        <f aca="false">Sens!$T$4494+Sens!$T$4495</f>
        <v>1.73101464862084</v>
      </c>
      <c r="U4496" s="38" t="n">
        <f aca="false">Sens!$U$4494+Sens!$U$4495</f>
        <v>8.60499279862084</v>
      </c>
      <c r="V4496" s="38" t="n">
        <f aca="false">Sens!$V$4494+Sens!$V$4495</f>
        <v>26.6640337718708</v>
      </c>
      <c r="W4496" s="38" t="n">
        <f aca="false">Sens!$W$4494+Sens!$W$4495</f>
        <v>54.3871601459959</v>
      </c>
      <c r="X4496" s="38" t="n">
        <f aca="false">Sens!$X$4494+Sens!$X$4495</f>
        <v>83.1228040144125</v>
      </c>
      <c r="Y4496" s="38" t="n">
        <f aca="false">Sens!$Y$4494+Sens!$Y$4495</f>
        <v>112.548029784464</v>
      </c>
      <c r="Z4496" s="38" t="n">
        <f aca="false">Sens!$Z$4494+Sens!$Z$4495</f>
        <v>133.245413146803</v>
      </c>
      <c r="AA4496" s="38" t="n">
        <f aca="false">Sens!$AA$4494+Sens!$AA$4495</f>
        <v>146.829732753064</v>
      </c>
    </row>
    <row r="4497" customFormat="false" ht="17.15" hidden="false" customHeight="false" outlineLevel="0" collapsed="false">
      <c r="A4497" s="0" t="s">
        <v>640</v>
      </c>
      <c r="B4497" s="0" t="s">
        <v>86</v>
      </c>
      <c r="C4497" s="38" t="n">
        <f aca="false">Sens!$S$4497</f>
        <v>12.5947000466786</v>
      </c>
      <c r="D4497" s="38" t="n">
        <f aca="false">Sens!$T$4497</f>
        <v>61.6860742980578</v>
      </c>
      <c r="G4497" s="38" t="n">
        <f aca="false">Sens!$U$4497</f>
        <v>183.227790688937</v>
      </c>
      <c r="H4497" s="38" t="n">
        <f aca="false">Sens!$V$4497</f>
        <v>355.135121861816</v>
      </c>
      <c r="I4497" s="38" t="n">
        <f aca="false">Sens!$W$4497</f>
        <v>505.39443162632</v>
      </c>
      <c r="J4497" s="38" t="n">
        <f aca="false">Sens!$X$4497</f>
        <v>632.154865722408</v>
      </c>
      <c r="K4497" s="38" t="n">
        <f aca="false">Sens!$Y$4497</f>
        <v>674.845221213145</v>
      </c>
      <c r="L4497" s="38" t="n">
        <f aca="false">Sens!$Z$4497</f>
        <v>673.613949706244</v>
      </c>
      <c r="M4497" s="38" t="n">
        <f aca="false">Sens!$AA$4497</f>
        <v>659.015198613032</v>
      </c>
      <c r="R4497" s="38" t="n">
        <f aca="false">SUM(Sens!$R$4489:$R$4489)-SUM(Sens!$R$4496:$R$4496)</f>
        <v>1.50429979529945</v>
      </c>
      <c r="S4497" s="38" t="n">
        <f aca="false">SUM(Sens!$R$4489:$S$4489)-SUM(Sens!$R$4496:$S$4496)</f>
        <v>12.5947000466786</v>
      </c>
      <c r="T4497" s="38" t="n">
        <f aca="false">SUM(Sens!$R$4489:$T$4489)-SUM(Sens!$R$4496:$T$4496)</f>
        <v>61.6860742980578</v>
      </c>
      <c r="U4497" s="38" t="n">
        <f aca="false">SUM(Sens!$R$4489:$U$4489)-SUM(Sens!$R$4496:$U$4496)</f>
        <v>183.227790688937</v>
      </c>
      <c r="V4497" s="38" t="n">
        <f aca="false">SUM(Sens!$R$4489:$V$4489)-SUM(Sens!$R$4496:$V$4496)</f>
        <v>355.135121861816</v>
      </c>
      <c r="W4497" s="38" t="n">
        <f aca="false">SUM(Sens!$R$4489:$W$4489)-SUM(Sens!$R$4496:$W$4496)</f>
        <v>505.39443162632</v>
      </c>
      <c r="X4497" s="38" t="n">
        <f aca="false">SUM(Sens!$R$4489:$X$4489)-SUM(Sens!$R$4496:$X$4496)</f>
        <v>632.154865722408</v>
      </c>
      <c r="Y4497" s="38" t="n">
        <f aca="false">SUM(Sens!$R$4489:$Y$4489)-SUM(Sens!$R$4496:$Y$4496)</f>
        <v>674.845221213145</v>
      </c>
      <c r="Z4497" s="38" t="n">
        <f aca="false">SUM(Sens!$R$4489:$Z$4489)-SUM(Sens!$R$4496:$Z$4496)</f>
        <v>673.613949706244</v>
      </c>
      <c r="AA4497" s="38" t="n">
        <f aca="false">SUM(Sens!$R$4489:$AA$4489)-SUM(Sens!$R$4496:$AA$4496)</f>
        <v>659.015198613032</v>
      </c>
    </row>
    <row r="4498" customFormat="false" ht="17.15" hidden="false" customHeight="false" outlineLevel="0" collapsed="false">
      <c r="A4498" s="1" t="s">
        <v>641</v>
      </c>
    </row>
    <row r="4499" customFormat="false" ht="17.15" hidden="false" customHeight="false" outlineLevel="0" collapsed="false">
      <c r="A4499" s="0" t="s">
        <v>642</v>
      </c>
      <c r="B4499" s="0" t="s">
        <v>86</v>
      </c>
      <c r="C4499" s="38" t="n">
        <f aca="false">Sens!$C$4478-ext_sh*Sens!$C$4480</f>
        <v>1.80694998843362</v>
      </c>
      <c r="D4499" s="38" t="n">
        <f aca="false">Sens!$D$4478-ext_sh*Sens!$D$4480</f>
        <v>6.77606245662607</v>
      </c>
      <c r="E4499" s="38" t="n">
        <f aca="false">Sens!$E$4478-ext_sh*Sens!$E$4480</f>
        <v>6.62548329092326</v>
      </c>
      <c r="F4499" s="38" t="n">
        <f aca="false">Sens!$F$4478-ext_sh*Sens!$F$4480</f>
        <v>11.7200577158706</v>
      </c>
      <c r="G4499" s="38" t="n">
        <f aca="false">Sens!$G$4478-ext_sh*Sens!$G$4480</f>
        <v>18.3455410067939</v>
      </c>
      <c r="H4499" s="38" t="n">
        <f aca="false">Sens!$H$4478-ext_sh*Sens!$H$4480</f>
        <v>47.5171727060453</v>
      </c>
      <c r="I4499" s="38" t="n">
        <f aca="false">Sens!$I$4478-ext_sh*Sens!$I$4480</f>
        <v>80.5539692643667</v>
      </c>
      <c r="J4499" s="38" t="n">
        <f aca="false">Sens!$J$4478-ext_sh*Sens!$J$4480</f>
        <v>113.759316834883</v>
      </c>
      <c r="K4499" s="38" t="n">
        <f aca="false">Sens!$K$4478-ext_sh*Sens!$K$4480</f>
        <v>142.084411492169</v>
      </c>
      <c r="L4499" s="38" t="n">
        <f aca="false">Sens!$L$4478-ext_sh*Sens!$L$4480</f>
        <v>160.69964615804</v>
      </c>
      <c r="M4499" s="38" t="n">
        <f aca="false">Sens!$M$4478-ext_sh*Sens!$M$4480</f>
        <v>169.577607141793</v>
      </c>
      <c r="N4499" s="38" t="n">
        <f aca="false">Sens!$N$4478-ext_sh*Sens!$N$4480</f>
        <v>2.37162185981912</v>
      </c>
      <c r="O4499" s="38" t="n">
        <f aca="false">Sens!$O$4478-ext_sh*Sens!$O$4480</f>
        <v>4.40444059680694</v>
      </c>
    </row>
    <row r="4500" customFormat="false" ht="17.15" hidden="false" customHeight="false" outlineLevel="0" collapsed="false">
      <c r="A4500" s="1" t="s">
        <v>643</v>
      </c>
      <c r="B4500" s="8" t="s">
        <v>86</v>
      </c>
      <c r="C4500" s="38" t="n">
        <f aca="false">Sens!$C$4499-ext_sh*Sens!$C$4496</f>
        <v>1.64417882953695</v>
      </c>
      <c r="D4500" s="38" t="n">
        <f aca="false">Sens!$D$4499-ext_sh*Sens!$D$4496</f>
        <v>5.39125073772939</v>
      </c>
      <c r="E4500" s="38" t="n">
        <f aca="false">Sens!$E$4499-ext_sh*Sens!$E$4496</f>
        <v>3.18348617147493</v>
      </c>
      <c r="F4500" s="38" t="n">
        <f aca="false">Sens!$F$4499-ext_sh*Sens!$F$4496</f>
        <v>8.27806059642226</v>
      </c>
      <c r="G4500" s="38" t="n">
        <f aca="false">Sens!$G$4499-ext_sh*Sens!$G$4496</f>
        <v>11.4615467678972</v>
      </c>
      <c r="H4500" s="38" t="n">
        <f aca="false">Sens!$H$4499-ext_sh*Sens!$H$4496</f>
        <v>26.1859456885487</v>
      </c>
      <c r="I4500" s="38" t="n">
        <f aca="false">Sens!$I$4499-ext_sh*Sens!$I$4496</f>
        <v>37.04424114757</v>
      </c>
      <c r="J4500" s="38" t="n">
        <f aca="false">Sens!$J$4499-ext_sh*Sens!$J$4496</f>
        <v>47.2610736233534</v>
      </c>
      <c r="K4500" s="38" t="n">
        <f aca="false">Sens!$K$4499-ext_sh*Sens!$K$4496</f>
        <v>52.0459876645985</v>
      </c>
      <c r="L4500" s="38" t="n">
        <f aca="false">Sens!$L$4499-ext_sh*Sens!$L$4496</f>
        <v>54.1033156405981</v>
      </c>
      <c r="M4500" s="38" t="n">
        <f aca="false">Sens!$M$4499-ext_sh*Sens!$M$4496</f>
        <v>52.1138209393421</v>
      </c>
      <c r="N4500" s="38" t="n">
        <f aca="false">Sens!$N$4499-ext_sh*Sens!$N$4496</f>
        <v>1.67921600037079</v>
      </c>
      <c r="O4500" s="38" t="n">
        <f aca="false">Sens!$O$4499-ext_sh*Sens!$O$4496</f>
        <v>3.71203473735861</v>
      </c>
    </row>
    <row r="4501" customFormat="false" ht="17.15" hidden="false" customHeight="false" outlineLevel="0" collapsed="false">
      <c r="A4501" s="0" t="s">
        <v>644</v>
      </c>
      <c r="B4501" s="0" t="s">
        <v>52</v>
      </c>
      <c r="C4501" s="13" t="n">
        <f aca="false">Sens!$C$4500/Sens!$C$4478</f>
        <v>0.708390794789371</v>
      </c>
      <c r="D4501" s="13" t="n">
        <f aca="false">Sens!$D$4500/Sens!$D$4478</f>
        <v>0.619415573115729</v>
      </c>
      <c r="E4501" s="13" t="n">
        <f aca="false">Sens!$E$4500/Sens!$E$4478</f>
        <v>0.374072166056273</v>
      </c>
      <c r="F4501" s="13" t="n">
        <f aca="false">Sens!$F$4500/Sens!$F$4478</f>
        <v>0.553219320710057</v>
      </c>
      <c r="G4501" s="13" t="n">
        <f aca="false">Sens!$G$4500/Sens!$G$4478</f>
        <v>0.488270041527512</v>
      </c>
      <c r="H4501" s="13" t="n">
        <f aca="false">Sens!$H$4500/Sens!$H$4478</f>
        <v>0.435229086816882</v>
      </c>
      <c r="I4501" s="13" t="n">
        <f aca="false">Sens!$I$4500/Sens!$I$4478</f>
        <v>0.364954592421095</v>
      </c>
      <c r="J4501" s="13" t="n">
        <f aca="false">Sens!$J$4500/Sens!$J$4478</f>
        <v>0.330438308582232</v>
      </c>
      <c r="K4501" s="13" t="n">
        <f aca="false">Sens!$K$4500/Sens!$K$4478</f>
        <v>0.2916589289528</v>
      </c>
      <c r="L4501" s="13" t="n">
        <f aca="false">Sens!$L$4500/Sens!$L$4478</f>
        <v>0.268199200593258</v>
      </c>
      <c r="M4501" s="13" t="n">
        <f aca="false">Sens!$M$4500/Sens!$M$4478</f>
        <v>0.244854995033574</v>
      </c>
      <c r="N4501" s="13" t="n">
        <f aca="false">Sens!$N$4500/Sens!$N$4478</f>
        <v>0.551227795793364</v>
      </c>
      <c r="O4501" s="13" t="n">
        <f aca="false">Sens!$O$4500/Sens!$O$4478</f>
        <v>0.656132068597002</v>
      </c>
    </row>
    <row r="4502" customFormat="false" ht="17.15" hidden="false" customHeight="false" outlineLevel="0" collapsed="false">
      <c r="A4502" s="5" t="s">
        <v>645</v>
      </c>
      <c r="B4502" s="0" t="s">
        <v>86</v>
      </c>
      <c r="C4502" s="39" t="n">
        <v>0</v>
      </c>
      <c r="D4502" s="39" t="n">
        <v>0</v>
      </c>
      <c r="E4502" s="39" t="n">
        <v>0</v>
      </c>
      <c r="F4502" s="38" t="n">
        <f aca="false">IF(internal_ai_reading=2,1,0)*(1-ext_sh)/ext_sh*(mw_open*he_open+Sens!$F$4476*Sens!$F$4473)*Sens!$F$4462/1000</f>
        <v>3.77122048175818</v>
      </c>
      <c r="G4502" s="38" t="n">
        <f aca="false">Sens!$E$4502+Sens!$F$4502</f>
        <v>3.77122048175818</v>
      </c>
      <c r="H4502" s="38" t="n">
        <f aca="false">IF(internal_ai_reading=2,1,0)*(1-ext_sh)/ext_sh*(mw_open*he_open+Sens!$H$4476*Sens!$H$4473)*Sens!$H$4462/1000</f>
        <v>15.1635543609893</v>
      </c>
      <c r="I4502" s="38" t="n">
        <f aca="false">IF(internal_ai_reading=2,1,0)*(1-ext_sh)/ext_sh*(mw_open*he_open+Sens!$I$4476*Sens!$I$4473)*Sens!$I$4462/1000</f>
        <v>25.5818843619889</v>
      </c>
      <c r="J4502" s="38" t="n">
        <f aca="false">IF(internal_ai_reading=2,1,0)*(1-ext_sh)/ext_sh*(mw_open*he_open+Sens!$J$4476*Sens!$J$4473)*Sens!$J$4462/1000</f>
        <v>36.0465624179122</v>
      </c>
      <c r="K4502" s="38" t="n">
        <f aca="false">IF(internal_ai_reading=2,1,0)*(1-ext_sh)/ext_sh*(mw_open*he_open+Sens!$K$4476*Sens!$K$4473)*Sens!$K$4462/1000</f>
        <v>44.9741164026038</v>
      </c>
      <c r="L4502" s="38" t="n">
        <f aca="false">IF(internal_ai_reading=2,1,0)*(1-ext_sh)/ext_sh*(mw_open*he_open+Sens!$L$4476*Sens!$L$4473)*Sens!$L$4462/1000</f>
        <v>50.8413488057813</v>
      </c>
      <c r="M4502" s="38" t="n">
        <f aca="false">IF(internal_ai_reading=2,1,0)*(1-ext_sh)/ext_sh*(mw_open*he_open+Sens!$M$4476*Sens!$M$4473)*Sens!$M$4462/1000</f>
        <v>53.6407214274315</v>
      </c>
      <c r="N4502" s="39" t="n">
        <v>0</v>
      </c>
      <c r="O4502" s="39" t="n">
        <v>0</v>
      </c>
      <c r="P4502" s="8" t="s">
        <v>646</v>
      </c>
    </row>
    <row r="4503" customFormat="false" ht="17.15" hidden="false" customHeight="false" outlineLevel="0" collapsed="false">
      <c r="A4503" s="5" t="s">
        <v>647</v>
      </c>
      <c r="B4503" s="0" t="s">
        <v>86</v>
      </c>
      <c r="C4503" s="38" t="n">
        <f aca="false">(1-ext_sh)*(Sens!$C$4480+Sens!$C$4496)</f>
        <v>0.169206631859174</v>
      </c>
      <c r="D4503" s="38" t="n">
        <f aca="false">(1-ext_sh)*(Sens!$D$4480+Sens!$D$4496)</f>
        <v>0.828129837730442</v>
      </c>
      <c r="E4503" s="38" t="n">
        <f aca="false">(1-ext_sh)*(Sens!$E$4480+Sens!$E$4496)</f>
        <v>1.33171670102377</v>
      </c>
      <c r="F4503" s="38" t="n">
        <f aca="false">(1-ext_sh)*(Sens!$F$4480+Sens!$F$4496)</f>
        <v>1.67134326207455</v>
      </c>
      <c r="G4503" s="38" t="n">
        <f aca="false">(1-ext_sh)*(Sens!$G$4480+Sens!$G$4496)</f>
        <v>3.00305996309832</v>
      </c>
      <c r="H4503" s="38" t="n">
        <f aca="false">(1-ext_sh)*(Sens!$H$4480+Sens!$H$4496)</f>
        <v>8.49498626530648</v>
      </c>
      <c r="I4503" s="38" t="n">
        <f aca="false">(1-ext_sh)*(Sens!$I$4480+Sens!$I$4496)</f>
        <v>16.1148644972155</v>
      </c>
      <c r="J4503" s="38" t="n">
        <f aca="false">(1-ext_sh)*(Sens!$J$4480+Sens!$J$4496)</f>
        <v>23.9410833819812</v>
      </c>
      <c r="K4503" s="38" t="n">
        <f aca="false">(1-ext_sh)*(Sens!$K$4480+Sens!$K$4496)</f>
        <v>31.6005331796453</v>
      </c>
      <c r="L4503" s="38" t="n">
        <f aca="false">(1-ext_sh)*(Sens!$L$4480+Sens!$L$4496)</f>
        <v>36.9061965404496</v>
      </c>
      <c r="M4503" s="38" t="n">
        <f aca="false">(1-ext_sh)*(Sens!$M$4480+Sens!$M$4496)</f>
        <v>40.1804051073808</v>
      </c>
      <c r="N4503" s="38" t="n">
        <f aca="false">(1-ext_sh)*(Sens!$N$4480+Sens!$N$4496)</f>
        <v>0.34177588266428</v>
      </c>
      <c r="O4503" s="38" t="n">
        <f aca="false">(1-ext_sh)*(Sens!$O$4480+Sens!$O$4496)</f>
        <v>0.486353955066162</v>
      </c>
    </row>
    <row r="4504" customFormat="false" ht="17.15" hidden="false" customHeight="false" outlineLevel="0" collapsed="false">
      <c r="A4504" s="0" t="s">
        <v>648</v>
      </c>
      <c r="B4504" s="0" t="s">
        <v>86</v>
      </c>
      <c r="C4504" s="38" t="n">
        <f aca="false">Q!$D$24</f>
        <v>39.834</v>
      </c>
      <c r="D4504" s="38" t="n">
        <f aca="false">Q!$E$24</f>
        <v>45.606</v>
      </c>
      <c r="E4504" s="38" t="n">
        <f aca="false">Q!$P$24</f>
        <v>30.782</v>
      </c>
      <c r="N4504" s="38" t="n">
        <f aca="false">Q!$N$24</f>
        <v>21.707</v>
      </c>
      <c r="O4504" s="38" t="n">
        <f aca="false">Q!$O$24</f>
        <v>23.899</v>
      </c>
    </row>
    <row r="4505" customFormat="false" ht="17.15" hidden="false" customHeight="false" outlineLevel="0" collapsed="false">
      <c r="A4505" s="0" t="s">
        <v>649</v>
      </c>
      <c r="B4505" s="0" t="s">
        <v>86</v>
      </c>
      <c r="C4505" s="38" t="n">
        <f aca="false">Sens!$C$4504-Sens!$C$4500</f>
        <v>38.1898211704631</v>
      </c>
      <c r="D4505" s="38" t="n">
        <f aca="false">Sens!$D$4504-Sens!$D$4500</f>
        <v>40.2147492622706</v>
      </c>
      <c r="E4505" s="38" t="n">
        <f aca="false">Sens!$E$4504-Sens!$E$4500</f>
        <v>27.5985138285251</v>
      </c>
      <c r="F4505" s="38" t="n">
        <f aca="false">Sens!$F$4482*Sens!$F$4506</f>
        <v>25.5484769754606</v>
      </c>
      <c r="G4505" s="38" t="n">
        <f aca="false">Sens!$E$4505+Sens!$F$4505</f>
        <v>53.1469908039857</v>
      </c>
      <c r="H4505" s="38" t="n">
        <f aca="false">Sens!$H$4482*Sens!$H$4506</f>
        <v>57.3189525076539</v>
      </c>
      <c r="I4505" s="38" t="n">
        <f aca="false">Sens!$I$4482*Sens!$I$4506</f>
        <v>63.6385627021087</v>
      </c>
      <c r="J4505" s="38" t="n">
        <f aca="false">Sens!$J$4482*Sens!$J$4506</f>
        <v>69.6922896066105</v>
      </c>
      <c r="K4505" s="38" t="n">
        <f aca="false">Sens!$K$4482*Sens!$K$4506</f>
        <v>75.2676727751394</v>
      </c>
      <c r="L4505" s="38" t="n">
        <f aca="false">Sens!$L$4482*Sens!$L$4506</f>
        <v>81.2890865971505</v>
      </c>
      <c r="M4505" s="38" t="n">
        <f aca="false">Sens!$M$4482*Sens!$M$4506</f>
        <v>87.7922135249226</v>
      </c>
      <c r="N4505" s="38" t="n">
        <f aca="false">Sens!$N$4504-Sens!$N$4500</f>
        <v>20.0277839996292</v>
      </c>
      <c r="O4505" s="38" t="n">
        <f aca="false">Sens!$O$4504-Sens!$O$4500</f>
        <v>20.1869652626414</v>
      </c>
      <c r="P4505" s="5" t="s">
        <v>650</v>
      </c>
    </row>
    <row r="4506" customFormat="false" ht="17.15" hidden="false" customHeight="false" outlineLevel="0" collapsed="false">
      <c r="A4506" s="0" t="s">
        <v>651</v>
      </c>
      <c r="B4506" s="0" t="s">
        <v>52</v>
      </c>
      <c r="C4506" s="13" t="n">
        <f aca="false">Sens!$C$4505/Sens!$C$4482</f>
        <v>0.362900395443635</v>
      </c>
      <c r="D4506" s="13" t="n">
        <f aca="false">Sens!$D$4505/Sens!$D$4482</f>
        <v>0.335063632425483</v>
      </c>
      <c r="E4506" s="13" t="n">
        <f aca="false">Sens!$E$4505/Sens!$E$4482</f>
        <v>0.387028992698038</v>
      </c>
      <c r="F4506" s="13" t="n">
        <f aca="false">(Sens!$O$4505+Sens!$E$4505)/(Sens!$O$4482+Sens!$E$4482)</f>
        <v>0.355980580118587</v>
      </c>
      <c r="G4506" s="13" t="n">
        <f aca="false">Sens!$G$4505/Sens!$G$4482</f>
        <v>0.371454804780916</v>
      </c>
      <c r="H4506" s="13" t="n">
        <f aca="false">Sens!$F$4506</f>
        <v>0.355980580118587</v>
      </c>
      <c r="I4506" s="13" t="n">
        <f aca="false">Sens!$F$4506</f>
        <v>0.355980580118587</v>
      </c>
      <c r="J4506" s="13" t="n">
        <f aca="false">Sens!$F$4506</f>
        <v>0.355980580118587</v>
      </c>
      <c r="K4506" s="13" t="n">
        <f aca="false">Sens!$F$4506</f>
        <v>0.355980580118587</v>
      </c>
      <c r="L4506" s="13" t="n">
        <f aca="false">Sens!$F$4506</f>
        <v>0.355980580118587</v>
      </c>
      <c r="M4506" s="13" t="n">
        <f aca="false">Sens!$F$4506</f>
        <v>0.355980580118587</v>
      </c>
      <c r="N4506" s="13" t="n">
        <f aca="false">Sens!$N$4505/Sens!$N$4482</f>
        <v>0.35078810535806</v>
      </c>
      <c r="O4506" s="13" t="n">
        <f aca="false">Sens!$O$4505/Sens!$O$4482</f>
        <v>0.320796939361619</v>
      </c>
      <c r="P4506" s="8" t="s">
        <v>652</v>
      </c>
    </row>
    <row r="4507" customFormat="false" ht="17.15" hidden="false" customHeight="false" outlineLevel="0" collapsed="false">
      <c r="A4507" s="0" t="s">
        <v>653</v>
      </c>
      <c r="B4507" s="0" t="s">
        <v>52</v>
      </c>
      <c r="D4507" s="13" t="n">
        <f aca="false">(Q!$E$31-ext_sh*Sens!$D$4496)/Sens!$D$4482</f>
        <v>0.167180325480118</v>
      </c>
    </row>
    <row r="4508" customFormat="false" ht="17.15" hidden="false" customHeight="false" outlineLevel="0" collapsed="false">
      <c r="A4508" s="0" t="s">
        <v>654</v>
      </c>
      <c r="B4508" s="0" t="s">
        <v>86</v>
      </c>
      <c r="C4508" s="38" t="n">
        <f aca="false">Q!$D$31</f>
        <v>13.32</v>
      </c>
      <c r="D4508" s="38" t="n">
        <f aca="false">Q!$E$31</f>
        <v>21.45</v>
      </c>
      <c r="E4508" s="38" t="n">
        <f aca="false">Q!$P$31</f>
        <v>15.353</v>
      </c>
      <c r="F4508" s="38" t="n">
        <f aca="false">ext_sh*Sens!$F$4496+Sens!$D$4507*Sens!$F$4482</f>
        <v>15.4404120185306</v>
      </c>
      <c r="G4508" s="38" t="n">
        <f aca="false">Sens!$E$4508+Sens!$F$4508</f>
        <v>30.7934120185306</v>
      </c>
      <c r="H4508" s="38" t="n">
        <f aca="false">ext_sh*Sens!$H$4496+Sens!$D$4507*Sens!$H$4482</f>
        <v>48.250114371455</v>
      </c>
      <c r="I4508" s="38" t="n">
        <f aca="false">ext_sh*Sens!$I$4496+Sens!$D$4507*Sens!$I$4482</f>
        <v>73.3965146995963</v>
      </c>
      <c r="J4508" s="38" t="n">
        <f aca="false">ext_sh*Sens!$J$4496+Sens!$D$4507*Sens!$J$4482</f>
        <v>99.22806138309</v>
      </c>
      <c r="K4508" s="38" t="n">
        <f aca="false">ext_sh*Sens!$K$4496+Sens!$D$4507*Sens!$K$4482</f>
        <v>125.386627452856</v>
      </c>
      <c r="L4508" s="38" t="n">
        <f aca="false">ext_sh*Sens!$L$4496+Sens!$D$4507*Sens!$L$4482</f>
        <v>144.77239043275</v>
      </c>
      <c r="M4508" s="38" t="n">
        <f aca="false">ext_sh*Sens!$M$4496+Sens!$D$4507*Sens!$M$4482</f>
        <v>158.693930910983</v>
      </c>
      <c r="N4508" s="38" t="n">
        <f aca="false">Q!$N$31</f>
        <v>9.234</v>
      </c>
      <c r="O4508" s="38" t="n">
        <f aca="false">Q!$O$31</f>
        <v>12.216</v>
      </c>
    </row>
    <row r="4509" customFormat="false" ht="17.15" hidden="false" customHeight="false" outlineLevel="0" collapsed="false">
      <c r="A4509" s="1" t="s">
        <v>655</v>
      </c>
    </row>
    <row r="4510" customFormat="false" ht="17.15" hidden="false" customHeight="false" outlineLevel="0" collapsed="false">
      <c r="A4510" s="15" t="s">
        <v>656</v>
      </c>
      <c r="B4510" s="14" t="s">
        <v>52</v>
      </c>
      <c r="C4510" s="14"/>
      <c r="D4510" s="14"/>
      <c r="E4510" s="14"/>
      <c r="F4510" s="14"/>
      <c r="G4510" s="17" t="n">
        <f aca="false">Sens!$G$4500*(1-tax)/(ext_sh*(Sens!$D$4497+Sens!$G$4497)/2)</f>
        <v>0.0966870495301478</v>
      </c>
      <c r="H4510" s="17" t="n">
        <f aca="false">Sens!$H$4500*(1-tax)/(ext_sh*(Sens!$G$4497+Sens!$H$4497)/2)</f>
        <v>0.100492020334136</v>
      </c>
      <c r="I4510" s="17" t="n">
        <f aca="false">Sens!$I$4500*(1-tax)/(ext_sh*(Sens!$H$4497+Sens!$I$4497)/2)</f>
        <v>0.0889392292218236</v>
      </c>
      <c r="J4510" s="17" t="n">
        <f aca="false">Sens!$J$4500*(1-tax)/(ext_sh*(Sens!$I$4497+Sens!$J$4497)/2)</f>
        <v>0.0858364613777012</v>
      </c>
      <c r="K4510" s="17" t="n">
        <f aca="false">Sens!$K$4500*(1-tax)/(ext_sh*(Sens!$J$4497+Sens!$K$4497)/2)</f>
        <v>0.08227162714687</v>
      </c>
      <c r="L4510" s="17" t="n">
        <f aca="false">Sens!$L$4500*(1-tax)/(ext_sh*(Sens!$K$4497+Sens!$L$4497)/2)</f>
        <v>0.0828942732763872</v>
      </c>
      <c r="M4510" s="17" t="n">
        <f aca="false">Sens!$M$4500*(1-tax)/(ext_sh*(Sens!$L$4497+Sens!$M$4497)/2)</f>
        <v>0.0807945482347635</v>
      </c>
      <c r="N4510" s="14"/>
      <c r="O4510" s="14"/>
      <c r="P4510" s="8" t="s">
        <v>657</v>
      </c>
    </row>
    <row r="4511" customFormat="false" ht="17.15" hidden="false" customHeight="false" outlineLevel="0" collapsed="false">
      <c r="A4511" s="5" t="s">
        <v>658</v>
      </c>
      <c r="B4511" s="0" t="s">
        <v>57</v>
      </c>
      <c r="H4511" s="36" t="n">
        <f aca="false">Sens!$H$4478*1000/(mw_open*he_open+Sens!$H$4476*Sens!$H$4473)</f>
        <v>0.991949006767191</v>
      </c>
      <c r="I4511" s="36" t="n">
        <f aca="false">Sens!$I$4478*1000/(mw_open*he_open+Sens!$I$4476*Sens!$I$4473)</f>
        <v>0.991949006767191</v>
      </c>
      <c r="J4511" s="36" t="n">
        <f aca="false">Sens!$J$4478*1000/(mw_open*he_open+Sens!$J$4476*Sens!$J$4473)</f>
        <v>0.991949006767191</v>
      </c>
      <c r="K4511" s="36" t="n">
        <f aca="false">Sens!$K$4478*1000/(mw_open*he_open+Sens!$K$4476*Sens!$K$4473)</f>
        <v>0.991949006767191</v>
      </c>
      <c r="L4511" s="36" t="n">
        <f aca="false">Sens!$L$4478*1000/(mw_open*he_open+Sens!$L$4476*Sens!$L$4473)</f>
        <v>0.991949006767191</v>
      </c>
      <c r="M4511" s="36" t="n">
        <f aca="false">Sens!$M$4478*1000/(mw_open*he_open+Sens!$M$4476*Sens!$M$4473)</f>
        <v>0.991949006767191</v>
      </c>
    </row>
    <row r="4512" customFormat="false" ht="17.15" hidden="false" customHeight="false" outlineLevel="0" collapsed="false">
      <c r="A4512" s="5" t="s">
        <v>659</v>
      </c>
      <c r="B4512" s="0" t="s">
        <v>57</v>
      </c>
      <c r="H4512" s="36" t="n">
        <f aca="false">Sens!$H$4511*(Sens!$H$4478+wacc*ext_sh*(Sens!$G$4497+Sens!$H$4497)/2/(1-tax)-Sens!$H$4500)/Sens!$H$4478</f>
        <v>1.04696246089529</v>
      </c>
      <c r="I4512" s="36" t="n">
        <f aca="false">Sens!$I$4511*(Sens!$I$4478+wacc*ext_sh*(Sens!$H$4497+Sens!$I$4497)/2/(1-tax)-Sens!$I$4500)/Sens!$I$4478</f>
        <v>1.09109607940198</v>
      </c>
      <c r="J4512" s="36" t="n">
        <f aca="false">Sens!$J$4511*(Sens!$J$4478+wacc*ext_sh*(Sens!$I$4497+Sens!$J$4497)/2/(1-tax)-Sens!$J$4500)/Sens!$J$4478</f>
        <v>1.09681234280071</v>
      </c>
      <c r="K4512" s="36" t="n">
        <f aca="false">Sens!$K$4511*(Sens!$K$4478+wacc*ext_sh*(Sens!$J$4497+Sens!$K$4497)/2/(1-tax)-Sens!$K$4500)/Sens!$K$4478</f>
        <v>1.10105220068984</v>
      </c>
      <c r="L4512" s="36" t="n">
        <f aca="false">Sens!$L$4511*(Sens!$L$4478+wacc*ext_sh*(Sens!$K$4497+Sens!$L$4497)/2/(1-tax)-Sens!$L$4500)/Sens!$L$4478</f>
        <v>1.08952452639895</v>
      </c>
      <c r="M4512" s="36" t="n">
        <f aca="false">Sens!$M$4511*(Sens!$M$4478+wacc*ext_sh*(Sens!$L$4497+Sens!$M$4497)/2/(1-tax)-Sens!$M$4500)/Sens!$M$4478</f>
        <v>1.08965878549519</v>
      </c>
    </row>
    <row r="4513" customFormat="false" ht="17.15" hidden="false" customHeight="false" outlineLevel="0" collapsed="false">
      <c r="A4513" s="5" t="s">
        <v>660</v>
      </c>
      <c r="B4513" s="0" t="s">
        <v>52</v>
      </c>
      <c r="C4513" s="13" t="n">
        <f aca="false">Sens!$C$4479/tk_pq</f>
        <v>0.195316432429398</v>
      </c>
      <c r="D4513" s="13" t="n">
        <f aca="false">Sens!$D$4479/tk_pq</f>
        <v>0.195316432429398</v>
      </c>
      <c r="E4513" s="13" t="n">
        <f aca="false">Sens!$E$4479/tk_pq</f>
        <v>0.195316432429398</v>
      </c>
      <c r="F4513" s="13" t="n">
        <f aca="false">Sens!$F$4479/tk_pq</f>
        <v>0.202241827274866</v>
      </c>
      <c r="G4513" s="13" t="n">
        <f aca="false">Sens!$G$4479/tk_pq</f>
        <v>0.199675016194063</v>
      </c>
      <c r="H4513" s="13" t="n">
        <f aca="false">Sens!$H$4479/tk_pq</f>
        <v>0.212647947710325</v>
      </c>
      <c r="I4513" s="13" t="n">
        <f aca="false">Sens!$I$4479/tk_pq</f>
        <v>0.219285125475351</v>
      </c>
      <c r="J4513" s="13" t="n">
        <f aca="false">Sens!$J$4479/tk_pq</f>
        <v>0.222492493217189</v>
      </c>
      <c r="K4513" s="13" t="n">
        <f aca="false">Sens!$K$4479/tk_pq</f>
        <v>0.224053502812094</v>
      </c>
      <c r="L4513" s="13" t="n">
        <f aca="false">Sens!$L$4479/tk_pq</f>
        <v>0.224786916785614</v>
      </c>
      <c r="M4513" s="13" t="n">
        <f aca="false">Sens!$M$4479/tk_pq</f>
        <v>0.225048671566937</v>
      </c>
      <c r="N4513" s="13" t="n">
        <f aca="false">Sens!$N$4479/tk_pq</f>
        <v>0.195316432429398</v>
      </c>
      <c r="O4513" s="13" t="n">
        <f aca="false">Sens!$O$4479/tk_pq</f>
        <v>0.195316432429398</v>
      </c>
      <c r="P4513" s="5" t="s">
        <v>661</v>
      </c>
    </row>
    <row r="4516" customFormat="false" ht="17.15" hidden="false" customHeight="false" outlineLevel="0" collapsed="false">
      <c r="A4516" s="1" t="s">
        <v>690</v>
      </c>
    </row>
    <row r="4517" customFormat="false" ht="17.15" hidden="false" customHeight="false" outlineLevel="0" collapsed="false">
      <c r="A4517" s="0" t="s">
        <v>691</v>
      </c>
      <c r="B4517" s="0" t="s">
        <v>86</v>
      </c>
      <c r="C4517" s="38" t="n">
        <f aca="false">Sens!$C$4478</f>
        <v>2.32100535697364</v>
      </c>
      <c r="D4517" s="38" t="n">
        <f aca="false">Sens!$D$4478</f>
        <v>8.70377008865116</v>
      </c>
      <c r="E4517" s="38" t="n">
        <f aca="false">Sens!$E$4478</f>
        <v>8.51035297557002</v>
      </c>
      <c r="F4517" s="38" t="n">
        <f aca="false">Sens!$F$4478</f>
        <v>14.9634336447205</v>
      </c>
      <c r="G4517" s="38" t="n">
        <f aca="false">Sens!$G$4478</f>
        <v>23.4737866202905</v>
      </c>
      <c r="H4517" s="38" t="n">
        <f aca="false">Sens!$H$4478</f>
        <v>60.1658907497746</v>
      </c>
      <c r="I4517" s="38" t="n">
        <f aca="false">Sens!$I$4478</f>
        <v>101.503699136432</v>
      </c>
      <c r="J4517" s="38" t="n">
        <f aca="false">Sens!$J$4478</f>
        <v>143.025407151278</v>
      </c>
      <c r="K4517" s="38" t="n">
        <f aca="false">Sens!$K$4478</f>
        <v>178.44812038318</v>
      </c>
      <c r="L4517" s="38" t="n">
        <f aca="false">Sens!$L$4478</f>
        <v>201.728101802396</v>
      </c>
      <c r="M4517" s="38" t="n">
        <f aca="false">Sens!$M$4478</f>
        <v>212.835441368865</v>
      </c>
      <c r="N4517" s="38" t="n">
        <f aca="false">Sens!$N$4478</f>
        <v>3.04631953102791</v>
      </c>
      <c r="O4517" s="38" t="n">
        <f aca="false">Sens!$O$4478</f>
        <v>5.65745055762326</v>
      </c>
      <c r="P4517" s="8" t="s">
        <v>692</v>
      </c>
    </row>
    <row r="4518" customFormat="false" ht="17.15" hidden="false" customHeight="false" outlineLevel="0" collapsed="false">
      <c r="A4518" s="0" t="s">
        <v>693</v>
      </c>
      <c r="B4518" s="0" t="s">
        <v>86</v>
      </c>
      <c r="C4518" s="38" t="n">
        <f aca="false">Sens!$C$4482</f>
        <v>105.234994643026</v>
      </c>
      <c r="D4518" s="38" t="n">
        <f aca="false">Sens!$D$4482</f>
        <v>120.021229911349</v>
      </c>
      <c r="E4518" s="38" t="n">
        <f aca="false">Sens!$E$4482</f>
        <v>71.30864702443</v>
      </c>
      <c r="F4518" s="38" t="n">
        <f aca="false">Sens!$F$4482</f>
        <v>71.7692997942464</v>
      </c>
      <c r="G4518" s="38" t="n">
        <f aca="false">Sens!$G$4482</f>
        <v>143.077946818676</v>
      </c>
      <c r="H4518" s="38" t="n">
        <f aca="false">Sens!$H$4482</f>
        <v>161.017077079203</v>
      </c>
      <c r="I4518" s="38" t="n">
        <f aca="false">Sens!$I$4482</f>
        <v>178.769759521457</v>
      </c>
      <c r="J4518" s="38" t="n">
        <f aca="false">Sens!$J$4482</f>
        <v>195.775538045907</v>
      </c>
      <c r="K4518" s="38" t="n">
        <f aca="false">Sens!$K$4482</f>
        <v>211.43758108958</v>
      </c>
      <c r="L4518" s="38" t="n">
        <f aca="false">Sens!$L$4482</f>
        <v>228.352587576746</v>
      </c>
      <c r="M4518" s="38" t="n">
        <f aca="false">Sens!$M$4482</f>
        <v>246.620794582886</v>
      </c>
      <c r="N4518" s="38" t="n">
        <f aca="false">Sens!$N$4482</f>
        <v>57.0936804689721</v>
      </c>
      <c r="O4518" s="38" t="n">
        <f aca="false">Sens!$O$4482</f>
        <v>62.9275494423768</v>
      </c>
      <c r="P4518" s="8" t="s">
        <v>692</v>
      </c>
    </row>
    <row r="4519" customFormat="false" ht="17.15" hidden="false" customHeight="false" outlineLevel="0" collapsed="false">
      <c r="A4519" s="1" t="s">
        <v>516</v>
      </c>
      <c r="B4519" s="8" t="s">
        <v>86</v>
      </c>
      <c r="C4519" s="38" t="n">
        <f aca="false">Q!$D$7</f>
        <v>107.556</v>
      </c>
      <c r="D4519" s="38" t="n">
        <f aca="false">Q!$E$7</f>
        <v>128.725</v>
      </c>
      <c r="E4519" s="38" t="n">
        <f aca="false">Q!$P$7</f>
        <v>79.819</v>
      </c>
      <c r="F4519" s="38" t="n">
        <f aca="false">Sens!$F$4517+Sens!$F$4518</f>
        <v>86.7327334389669</v>
      </c>
      <c r="G4519" s="38" t="n">
        <f aca="false">Sens!$G$4517+Sens!$G$4518</f>
        <v>166.551733438967</v>
      </c>
      <c r="H4519" s="38" t="n">
        <f aca="false">Sens!$H$4517+Sens!$H$4518</f>
        <v>221.182967828978</v>
      </c>
      <c r="I4519" s="38" t="n">
        <f aca="false">Sens!$I$4517+Sens!$I$4518</f>
        <v>280.27345865789</v>
      </c>
      <c r="J4519" s="38" t="n">
        <f aca="false">Sens!$J$4517+Sens!$J$4518</f>
        <v>338.800945197185</v>
      </c>
      <c r="K4519" s="38" t="n">
        <f aca="false">Sens!$K$4517+Sens!$K$4518</f>
        <v>389.88570147276</v>
      </c>
      <c r="L4519" s="38" t="n">
        <f aca="false">Sens!$L$4517+Sens!$L$4518</f>
        <v>430.080689379143</v>
      </c>
      <c r="M4519" s="38" t="n">
        <f aca="false">Sens!$M$4517+Sens!$M$4518</f>
        <v>459.456235951751</v>
      </c>
      <c r="N4519" s="38" t="n">
        <f aca="false">Q!$N$7</f>
        <v>60.14</v>
      </c>
      <c r="O4519" s="38" t="n">
        <f aca="false">Q!$O$7</f>
        <v>68.585</v>
      </c>
      <c r="P4519" s="5" t="s">
        <v>694</v>
      </c>
    </row>
    <row r="4520" customFormat="false" ht="15" hidden="false" customHeight="false" outlineLevel="0" collapsed="false">
      <c r="A4520" s="3" t="s">
        <v>695</v>
      </c>
      <c r="B4520" s="8" t="s">
        <v>86</v>
      </c>
      <c r="C4520" s="38" t="n">
        <f aca="false">Q!$D$8</f>
        <v>637.959</v>
      </c>
      <c r="D4520" s="38" t="n">
        <f aca="false">Q!$E$8</f>
        <v>716.924</v>
      </c>
      <c r="E4520" s="38" t="n">
        <f aca="false">Q!$P$8</f>
        <v>382.125</v>
      </c>
      <c r="F4520" s="38" t="n">
        <f aca="false">Sens!$F$4450+Sens!$F$4519</f>
        <v>435.780975084504</v>
      </c>
      <c r="G4520" s="38" t="n">
        <f aca="false">Sens!$G$4450+Sens!$G$4519</f>
        <v>817.905975084504</v>
      </c>
      <c r="H4520" s="38" t="n">
        <f aca="false">Sens!$H$4450+Sens!$H$4519</f>
        <v>942.279857350364</v>
      </c>
      <c r="I4520" s="38" t="n">
        <f aca="false">Sens!$I$4450+Sens!$I$4519</f>
        <v>1068.80284981042</v>
      </c>
      <c r="J4520" s="38" t="n">
        <f aca="false">Sens!$J$4450+Sens!$J$4519</f>
        <v>1189.90935093863</v>
      </c>
      <c r="K4520" s="38" t="n">
        <f aca="false">Sens!$K$4450+Sens!$K$4519</f>
        <v>1296.06215690385</v>
      </c>
      <c r="L4520" s="38" t="n">
        <f aca="false">Sens!$L$4450+Sens!$L$4519</f>
        <v>1395.17379585473</v>
      </c>
      <c r="M4520" s="38" t="n">
        <f aca="false">Sens!$M$4450+Sens!$M$4519</f>
        <v>1487.60414389864</v>
      </c>
      <c r="N4520" s="38" t="n">
        <f aca="false">Q!$N$8</f>
        <v>323.369</v>
      </c>
      <c r="O4520" s="38" t="n">
        <f aca="false">Q!$O$8</f>
        <v>393.555</v>
      </c>
    </row>
    <row r="4521" customFormat="false" ht="17.15" hidden="false" customHeight="false" outlineLevel="0" collapsed="false">
      <c r="A4521" s="24" t="s">
        <v>703</v>
      </c>
      <c r="B4521" s="25" t="s">
        <v>86</v>
      </c>
      <c r="C4521" s="41" t="n">
        <f aca="false">Sens!$C$4450-(Sens!$C$4452+Sens!$C$4453)</f>
        <v>0</v>
      </c>
      <c r="D4521" s="41" t="n">
        <f aca="false">Sens!$D$4450-(Sens!$D$4452+Sens!$D$4453)</f>
        <v>0</v>
      </c>
      <c r="E4521" s="41" t="n">
        <f aca="false">Sens!$E$4450-(Sens!$E$4452+Sens!$E$4453)</f>
        <v>0</v>
      </c>
      <c r="F4521" s="41" t="n">
        <f aca="false">Sens!$F$4450-(Sens!$F$4452+Sens!$F$4453)</f>
        <v>0</v>
      </c>
      <c r="G4521" s="41" t="n">
        <f aca="false">Sens!$G$4450-(Sens!$G$4452+Sens!$G$4453)</f>
        <v>0</v>
      </c>
      <c r="H4521" s="41" t="n">
        <f aca="false">Sens!$H$4450-(Sens!$H$4452+Sens!$H$4453)</f>
        <v>0</v>
      </c>
      <c r="I4521" s="41" t="n">
        <f aca="false">Sens!$I$4450-(Sens!$I$4452+Sens!$I$4453)</f>
        <v>0</v>
      </c>
      <c r="J4521" s="41" t="n">
        <f aca="false">Sens!$J$4450-(Sens!$J$4452+Sens!$J$4453)</f>
        <v>0</v>
      </c>
      <c r="K4521" s="41" t="n">
        <f aca="false">Sens!$K$4450-(Sens!$K$4452+Sens!$K$4453)</f>
        <v>0</v>
      </c>
      <c r="L4521" s="41" t="n">
        <f aca="false">Sens!$L$4450-(Sens!$L$4452+Sens!$L$4453)</f>
        <v>0</v>
      </c>
      <c r="M4521" s="41" t="n">
        <f aca="false">Sens!$M$4450-(Sens!$M$4452+Sens!$M$4453)</f>
        <v>0</v>
      </c>
      <c r="N4521" s="41" t="n">
        <f aca="false">Sens!$N$4450-(Sens!$N$4452+Sens!$N$4453)</f>
        <v>0</v>
      </c>
      <c r="O4521" s="41" t="n">
        <f aca="false">Sens!$O$4450-(Sens!$O$4452+Sens!$O$4453)</f>
        <v>0</v>
      </c>
    </row>
    <row r="4522" customFormat="false" ht="17.15" hidden="false" customHeight="false" outlineLevel="0" collapsed="false">
      <c r="A4522" s="24" t="s">
        <v>704</v>
      </c>
      <c r="B4522" s="25" t="s">
        <v>86</v>
      </c>
      <c r="C4522" s="41" t="n">
        <f aca="false">Sens!$C$4517+Sens!$C$4518-Sens!$C$4519</f>
        <v>0</v>
      </c>
      <c r="D4522" s="41" t="n">
        <f aca="false">Sens!$D$4517+Sens!$D$4518-Sens!$D$4519</f>
        <v>0</v>
      </c>
      <c r="E4522" s="41" t="n">
        <f aca="false">Sens!$E$4517+Sens!$E$4518-Sens!$E$4519</f>
        <v>0</v>
      </c>
      <c r="F4522" s="41" t="n">
        <f aca="false">Sens!$F$4517+Sens!$F$4518-Sens!$F$4519</f>
        <v>0</v>
      </c>
      <c r="G4522" s="41" t="n">
        <f aca="false">Sens!$G$4517+Sens!$G$4518-Sens!$G$4519</f>
        <v>0</v>
      </c>
      <c r="H4522" s="41" t="n">
        <f aca="false">Sens!$H$4517+Sens!$H$4518-Sens!$H$4519</f>
        <v>0</v>
      </c>
      <c r="I4522" s="41" t="n">
        <f aca="false">Sens!$I$4517+Sens!$I$4518-Sens!$I$4519</f>
        <v>0</v>
      </c>
      <c r="J4522" s="41" t="n">
        <f aca="false">Sens!$J$4517+Sens!$J$4518-Sens!$J$4519</f>
        <v>0</v>
      </c>
      <c r="K4522" s="41" t="n">
        <f aca="false">Sens!$K$4517+Sens!$K$4518-Sens!$K$4519</f>
        <v>0</v>
      </c>
      <c r="L4522" s="41" t="n">
        <f aca="false">Sens!$L$4517+Sens!$L$4518-Sens!$L$4519</f>
        <v>0</v>
      </c>
      <c r="M4522" s="41" t="n">
        <f aca="false">Sens!$M$4517+Sens!$M$4518-Sens!$M$4519</f>
        <v>0</v>
      </c>
      <c r="N4522" s="41" t="n">
        <f aca="false">Sens!$N$4517+Sens!$N$4518-Sens!$N$4519</f>
        <v>0</v>
      </c>
      <c r="O4522" s="41" t="n">
        <f aca="false">Sens!$O$4517+Sens!$O$4518-Sens!$O$4519</f>
        <v>0</v>
      </c>
    </row>
    <row r="4523" customFormat="false" ht="17.15" hidden="false" customHeight="false" outlineLevel="0" collapsed="false">
      <c r="A4523" s="24" t="s">
        <v>705</v>
      </c>
      <c r="B4523" s="25" t="s">
        <v>86</v>
      </c>
      <c r="C4523" s="41" t="n">
        <f aca="false">Sens!$C$4452+Sens!$C$4453+Sens!$C$4519-Sens!$C$4520</f>
        <v>0</v>
      </c>
      <c r="D4523" s="41" t="n">
        <f aca="false">Sens!$D$4452+Sens!$D$4453+Sens!$D$4519-Sens!$D$4520</f>
        <v>0</v>
      </c>
      <c r="E4523" s="41" t="n">
        <f aca="false">Sens!$E$4452+Sens!$E$4453+Sens!$E$4519-Sens!$E$4520</f>
        <v>0</v>
      </c>
      <c r="F4523" s="41" t="n">
        <f aca="false">Sens!$F$4452+Sens!$F$4453+Sens!$F$4519-Sens!$F$4520</f>
        <v>0</v>
      </c>
      <c r="G4523" s="41" t="n">
        <f aca="false">Sens!$G$4452+Sens!$G$4453+Sens!$G$4519-Sens!$G$4520</f>
        <v>0</v>
      </c>
      <c r="H4523" s="41" t="n">
        <f aca="false">Sens!$H$4452+Sens!$H$4453+Sens!$H$4519-Sens!$H$4520</f>
        <v>0</v>
      </c>
      <c r="I4523" s="41" t="n">
        <f aca="false">Sens!$I$4452+Sens!$I$4453+Sens!$I$4519-Sens!$I$4520</f>
        <v>0</v>
      </c>
      <c r="J4523" s="41" t="n">
        <f aca="false">Sens!$J$4452+Sens!$J$4453+Sens!$J$4519-Sens!$J$4520</f>
        <v>0</v>
      </c>
      <c r="K4523" s="41" t="n">
        <f aca="false">Sens!$K$4452+Sens!$K$4453+Sens!$K$4519-Sens!$K$4520</f>
        <v>0</v>
      </c>
      <c r="L4523" s="41" t="n">
        <f aca="false">Sens!$L$4452+Sens!$L$4453+Sens!$L$4519-Sens!$L$4520</f>
        <v>0</v>
      </c>
      <c r="M4523" s="41" t="n">
        <f aca="false">Sens!$M$4452+Sens!$M$4453+Sens!$M$4519-Sens!$M$4520</f>
        <v>0</v>
      </c>
      <c r="N4523" s="41" t="n">
        <f aca="false">Sens!$N$4452+Sens!$N$4453+Sens!$N$4519-Sens!$N$4520</f>
        <v>0</v>
      </c>
      <c r="O4523" s="41" t="n">
        <f aca="false">Sens!$O$4452+Sens!$O$4453+Sens!$O$4519-Sens!$O$4520</f>
        <v>0</v>
      </c>
    </row>
    <row r="4524" customFormat="false" ht="15" hidden="false" customHeight="false" outlineLevel="0" collapsed="false">
      <c r="A4524" s="5" t="s">
        <v>699</v>
      </c>
      <c r="B4524" s="0" t="s">
        <v>52</v>
      </c>
      <c r="G4524" s="13" t="n">
        <f aca="false">Sens!$G$4520/Sens!$D$4520-1</f>
        <v>0.140854504918937</v>
      </c>
      <c r="H4524" s="13" t="n">
        <f aca="false">Sens!$H$4520/Sens!$G$4520-1</f>
        <v>0.152063789793209</v>
      </c>
      <c r="I4524" s="13" t="n">
        <f aca="false">Sens!$I$4520/Sens!$H$4520-1</f>
        <v>0.134273264437417</v>
      </c>
      <c r="J4524" s="13" t="n">
        <f aca="false">Sens!$J$4520/Sens!$I$4520-1</f>
        <v>0.113310421234083</v>
      </c>
      <c r="K4524" s="13" t="n">
        <f aca="false">Sens!$K$4520/Sens!$J$4520-1</f>
        <v>0.0892108343223652</v>
      </c>
      <c r="L4524" s="13" t="n">
        <f aca="false">Sens!$L$4520/Sens!$K$4520-1</f>
        <v>0.076471362444261</v>
      </c>
      <c r="M4524" s="13" t="n">
        <f aca="false">Sens!$M$4520/Sens!$L$4520-1</f>
        <v>0.066250060256672</v>
      </c>
    </row>
    <row r="4525" customFormat="false" ht="17.15" hidden="false" customHeight="false" outlineLevel="0" collapsed="false">
      <c r="A4525" s="0" t="s">
        <v>700</v>
      </c>
      <c r="B4525" s="0" t="s">
        <v>52</v>
      </c>
      <c r="C4525" s="13" t="n">
        <f aca="false">Sens!$C$4519/Sens!$C$4520</f>
        <v>0.168593906504964</v>
      </c>
      <c r="D4525" s="13" t="n">
        <f aca="false">Sens!$D$4519/Sens!$D$4520</f>
        <v>0.179551807444025</v>
      </c>
      <c r="E4525" s="13" t="n">
        <f aca="false">Sens!$E$4519/Sens!$E$4520</f>
        <v>0.208881910369643</v>
      </c>
      <c r="F4525" s="13" t="n">
        <f aca="false">Sens!$F$4519/Sens!$F$4520</f>
        <v>0.199028269699356</v>
      </c>
      <c r="G4525" s="13" t="n">
        <f aca="false">Sens!$G$4519/Sens!$G$4520</f>
        <v>0.203631882529968</v>
      </c>
      <c r="H4525" s="13" t="n">
        <f aca="false">Sens!$H$4519/Sens!$H$4520</f>
        <v>0.234731715958496</v>
      </c>
      <c r="I4525" s="13" t="n">
        <f aca="false">Sens!$I$4519/Sens!$I$4520</f>
        <v>0.262231204480418</v>
      </c>
      <c r="J4525" s="13" t="n">
        <f aca="false">Sens!$J$4519/Sens!$J$4520</f>
        <v>0.284728366013706</v>
      </c>
      <c r="K4525" s="13" t="n">
        <f aca="false">Sens!$K$4519/Sens!$K$4520</f>
        <v>0.300823304959505</v>
      </c>
      <c r="L4525" s="13" t="n">
        <f aca="false">Sens!$L$4519/Sens!$L$4520</f>
        <v>0.308263164529735</v>
      </c>
      <c r="M4525" s="13" t="n">
        <f aca="false">Sens!$M$4519/Sens!$M$4520</f>
        <v>0.308856517936036</v>
      </c>
      <c r="N4525" s="13" t="n">
        <f aca="false">Sens!$N$4519/Sens!$N$4520</f>
        <v>0.185979484737251</v>
      </c>
      <c r="O4525" s="13" t="n">
        <f aca="false">Sens!$O$4519/Sens!$O$4520</f>
        <v>0.174270432341096</v>
      </c>
    </row>
    <row r="4526" customFormat="false" ht="17.15" hidden="false" customHeight="false" outlineLevel="0" collapsed="false">
      <c r="A4526" s="0" t="s">
        <v>701</v>
      </c>
      <c r="B4526" s="0" t="s">
        <v>52</v>
      </c>
      <c r="C4526" s="13" t="n">
        <f aca="false">Sens!$C$4517/Sens!$C$4519</f>
        <v>0.0215795060896058</v>
      </c>
      <c r="D4526" s="13" t="n">
        <f aca="false">Sens!$D$4517/Sens!$D$4519</f>
        <v>0.0676152269462122</v>
      </c>
      <c r="E4526" s="13" t="n">
        <f aca="false">Sens!$E$4517/Sens!$E$4519</f>
        <v>0.106620641395783</v>
      </c>
      <c r="F4526" s="13" t="n">
        <f aca="false">Sens!$F$4517/Sens!$F$4519</f>
        <v>0.172523487401099</v>
      </c>
      <c r="G4526" s="13" t="n">
        <f aca="false">Sens!$G$4517/Sens!$G$4519</f>
        <v>0.140939911795589</v>
      </c>
      <c r="H4526" s="13" t="n">
        <f aca="false">Sens!$H$4517/Sens!$H$4519</f>
        <v>0.272018642937714</v>
      </c>
      <c r="I4526" s="13" t="n">
        <f aca="false">Sens!$I$4517/Sens!$I$4519</f>
        <v>0.362159512436497</v>
      </c>
      <c r="J4526" s="13" t="n">
        <f aca="false">Sens!$J$4517/Sens!$J$4519</f>
        <v>0.422151735934609</v>
      </c>
      <c r="K4526" s="13" t="n">
        <f aca="false">Sens!$K$4517/Sens!$K$4519</f>
        <v>0.45769342068485</v>
      </c>
      <c r="L4526" s="13" t="n">
        <f aca="false">Sens!$L$4517/Sens!$L$4519</f>
        <v>0.469047103913472</v>
      </c>
      <c r="M4526" s="13" t="n">
        <f aca="false">Sens!$M$4517/Sens!$M$4519</f>
        <v>0.463233328258093</v>
      </c>
      <c r="N4526" s="13" t="n">
        <f aca="false">Sens!$N$4517/Sens!$N$4519</f>
        <v>0.0506537999838362</v>
      </c>
      <c r="O4526" s="13" t="n">
        <f aca="false">Sens!$O$4517/Sens!$O$4519</f>
        <v>0.0824881615167056</v>
      </c>
    </row>
    <row r="4529" customFormat="false" ht="19.4" hidden="false" customHeight="false" outlineLevel="0" collapsed="false">
      <c r="A4529" s="31" t="s">
        <v>1227</v>
      </c>
    </row>
    <row r="4530" customFormat="false" ht="17.15" hidden="false" customHeight="false" outlineLevel="0" collapsed="false">
      <c r="A4530" s="6" t="s">
        <v>16</v>
      </c>
      <c r="B4530" s="6" t="s">
        <v>17</v>
      </c>
      <c r="C4530" s="20" t="s">
        <v>497</v>
      </c>
      <c r="D4530" s="20" t="s">
        <v>498</v>
      </c>
      <c r="E4530" s="20" t="s">
        <v>580</v>
      </c>
      <c r="F4530" s="20" t="s">
        <v>581</v>
      </c>
      <c r="G4530" s="20" t="s">
        <v>582</v>
      </c>
      <c r="H4530" s="20" t="s">
        <v>583</v>
      </c>
      <c r="I4530" s="20" t="s">
        <v>584</v>
      </c>
      <c r="J4530" s="20" t="s">
        <v>585</v>
      </c>
      <c r="K4530" s="20" t="s">
        <v>586</v>
      </c>
      <c r="L4530" s="20" t="s">
        <v>587</v>
      </c>
      <c r="M4530" s="20" t="s">
        <v>588</v>
      </c>
      <c r="N4530" s="20" t="s">
        <v>589</v>
      </c>
      <c r="O4530" s="20" t="s">
        <v>590</v>
      </c>
      <c r="P4530" s="6" t="s">
        <v>23</v>
      </c>
      <c r="R4530" s="20" t="n">
        <v>2023</v>
      </c>
      <c r="S4530" s="20" t="n">
        <v>2024</v>
      </c>
      <c r="T4530" s="20" t="n">
        <v>2025</v>
      </c>
      <c r="U4530" s="20" t="n">
        <v>2026</v>
      </c>
      <c r="V4530" s="20" t="n">
        <v>2027</v>
      </c>
      <c r="W4530" s="20" t="n">
        <v>2028</v>
      </c>
      <c r="X4530" s="20" t="n">
        <v>2029</v>
      </c>
      <c r="Y4530" s="20" t="n">
        <v>2030</v>
      </c>
      <c r="Z4530" s="20" t="n">
        <v>2031</v>
      </c>
      <c r="AA4530" s="20" t="n">
        <v>2032</v>
      </c>
    </row>
    <row r="4531" customFormat="false" ht="17.15" hidden="false" customHeight="false" outlineLevel="0" collapsed="false">
      <c r="A4531" s="1" t="s">
        <v>716</v>
      </c>
    </row>
    <row r="4532" customFormat="false" ht="15" hidden="false" customHeight="false" outlineLevel="0" collapsed="false">
      <c r="A4532" s="0" t="s">
        <v>519</v>
      </c>
      <c r="B4532" s="0" t="s">
        <v>86</v>
      </c>
      <c r="C4532" s="38" t="n">
        <f aca="false">Sens!$C$4437</f>
        <v>247.029</v>
      </c>
      <c r="D4532" s="38" t="n">
        <f aca="false">Sens!$D$4437</f>
        <v>269.287</v>
      </c>
      <c r="E4532" s="38" t="n">
        <f aca="false">Sens!$E$4437</f>
        <v>134.686</v>
      </c>
      <c r="F4532" s="38" t="n">
        <f aca="false">Sens!$F$4437</f>
        <v>158.293876822267</v>
      </c>
      <c r="G4532" s="38" t="n">
        <f aca="false">Sens!$G$4437</f>
        <v>292.979876822267</v>
      </c>
      <c r="H4532" s="38" t="n">
        <f aca="false">Sens!$H$4437</f>
        <v>318.184543087396</v>
      </c>
      <c r="I4532" s="38" t="n">
        <f aca="false">Sens!$I$4437</f>
        <v>341.736278761793</v>
      </c>
      <c r="J4532" s="38" t="n">
        <f aca="false">Sens!$J$4437</f>
        <v>362.927192787048</v>
      </c>
      <c r="K4532" s="38" t="n">
        <f aca="false">Sens!$K$4437</f>
        <v>381.0735524264</v>
      </c>
      <c r="L4532" s="38" t="n">
        <f aca="false">Sens!$L$4437</f>
        <v>400.12723004772</v>
      </c>
      <c r="M4532" s="38" t="n">
        <f aca="false">Sens!$M$4437</f>
        <v>420.133591550106</v>
      </c>
      <c r="N4532" s="38" t="n">
        <f aca="false">Sens!$N$4437</f>
        <v>118.892</v>
      </c>
      <c r="O4532" s="38" t="n">
        <f aca="false">Sens!$O$4437</f>
        <v>150.395</v>
      </c>
    </row>
    <row r="4533" customFormat="false" ht="15" hidden="false" customHeight="false" outlineLevel="0" collapsed="false">
      <c r="A4533" s="0" t="s">
        <v>520</v>
      </c>
      <c r="B4533" s="0" t="s">
        <v>86</v>
      </c>
      <c r="C4533" s="38" t="n">
        <f aca="false">Sens!$C$4439</f>
        <v>21.215</v>
      </c>
      <c r="D4533" s="38" t="n">
        <f aca="false">Sens!$D$4439</f>
        <v>22.561</v>
      </c>
      <c r="E4533" s="38" t="n">
        <f aca="false">Sens!$E$4439</f>
        <v>11.579</v>
      </c>
      <c r="F4533" s="38" t="n">
        <f aca="false">Sens!$F$4439</f>
        <v>11.5938724610325</v>
      </c>
      <c r="G4533" s="38" t="n">
        <f aca="false">Sens!$G$4439</f>
        <v>23.1728724610325</v>
      </c>
      <c r="H4533" s="38" t="n">
        <f aca="false">Sens!$H$4439</f>
        <v>24.353392759506</v>
      </c>
      <c r="I4533" s="38" t="n">
        <f aca="false">Sens!$I$4439</f>
        <v>25.4240338872015</v>
      </c>
      <c r="J4533" s="38" t="n">
        <f aca="false">Sens!$J$4439</f>
        <v>26.3642491017174</v>
      </c>
      <c r="K4533" s="38" t="n">
        <f aca="false">Sens!$K$4439</f>
        <v>27.155176574769</v>
      </c>
      <c r="L4533" s="38" t="n">
        <f aca="false">Sens!$L$4439</f>
        <v>27.969831872012</v>
      </c>
      <c r="M4533" s="38" t="n">
        <f aca="false">Sens!$M$4439</f>
        <v>28.8089268281724</v>
      </c>
      <c r="N4533" s="38" t="n">
        <f aca="false">Sens!$N$4439</f>
        <v>11.128</v>
      </c>
      <c r="O4533" s="38" t="n">
        <f aca="false">Sens!$O$4439</f>
        <v>11.433</v>
      </c>
    </row>
    <row r="4534" customFormat="false" ht="15" hidden="false" customHeight="false" outlineLevel="0" collapsed="false">
      <c r="A4534" s="0" t="s">
        <v>521</v>
      </c>
      <c r="B4534" s="0" t="s">
        <v>86</v>
      </c>
      <c r="C4534" s="38" t="n">
        <f aca="false">Sens!$C$4441</f>
        <v>156.146</v>
      </c>
      <c r="D4534" s="38" t="n">
        <f aca="false">Sens!$D$4441</f>
        <v>172.162</v>
      </c>
      <c r="E4534" s="38" t="n">
        <f aca="false">Sens!$E$4441</f>
        <v>88.358</v>
      </c>
      <c r="F4534" s="38" t="n">
        <f aca="false">Sens!$F$4441</f>
        <v>102.004388260171</v>
      </c>
      <c r="G4534" s="38" t="n">
        <f aca="false">Sens!$G$4441</f>
        <v>190.362388260171</v>
      </c>
      <c r="H4534" s="38" t="n">
        <f aca="false">Sens!$H$4441</f>
        <v>210.343106588311</v>
      </c>
      <c r="I4534" s="38" t="n">
        <f aca="false">Sens!$I$4441</f>
        <v>229.969728494648</v>
      </c>
      <c r="J4534" s="38" t="n">
        <f aca="false">Sens!$J$4441</f>
        <v>248.747636972598</v>
      </c>
      <c r="K4534" s="38" t="n">
        <f aca="false">Sens!$K$4441</f>
        <v>266.15997156068</v>
      </c>
      <c r="L4534" s="38" t="n">
        <f aca="false">Sens!$L$4441</f>
        <v>284.791169569927</v>
      </c>
      <c r="M4534" s="38" t="n">
        <f aca="false">Sens!$M$4441</f>
        <v>304.726551439822</v>
      </c>
      <c r="N4534" s="38" t="n">
        <f aca="false">Sens!$N$4441</f>
        <v>76.86</v>
      </c>
      <c r="O4534" s="38" t="n">
        <f aca="false">Sens!$O$4441</f>
        <v>95.302</v>
      </c>
    </row>
    <row r="4535" customFormat="false" ht="15" hidden="false" customHeight="false" outlineLevel="0" collapsed="false">
      <c r="A4535" s="0" t="s">
        <v>522</v>
      </c>
      <c r="B4535" s="0" t="s">
        <v>86</v>
      </c>
      <c r="C4535" s="38" t="n">
        <f aca="false">Sens!$C$4443</f>
        <v>56.214</v>
      </c>
      <c r="D4535" s="38" t="n">
        <f aca="false">Sens!$D$4443</f>
        <v>68.635</v>
      </c>
      <c r="E4535" s="38" t="n">
        <f aca="false">Sens!$E$4443</f>
        <v>37.052</v>
      </c>
      <c r="F4535" s="38" t="n">
        <f aca="false">Sens!$F$4443</f>
        <v>46.1572219944148</v>
      </c>
      <c r="G4535" s="38" t="n">
        <f aca="false">Sens!$G$4443</f>
        <v>83.2092219944148</v>
      </c>
      <c r="H4535" s="38" t="n">
        <f aca="false">Sens!$H$4443</f>
        <v>99.8969223878976</v>
      </c>
      <c r="I4535" s="38" t="n">
        <f aca="false">Sens!$I$4443</f>
        <v>116.583111095496</v>
      </c>
      <c r="J4535" s="38" t="n">
        <f aca="false">Sens!$J$4443</f>
        <v>132.148941941952</v>
      </c>
      <c r="K4535" s="38" t="n">
        <f aca="false">Sens!$K$4443</f>
        <v>145.363836136147</v>
      </c>
      <c r="L4535" s="38" t="n">
        <f aca="false">Sens!$L$4443</f>
        <v>159.900219749762</v>
      </c>
      <c r="M4535" s="38" t="n">
        <f aca="false">Sens!$M$4443</f>
        <v>175.890241724738</v>
      </c>
      <c r="N4535" s="38" t="n">
        <f aca="false">Sens!$N$4443</f>
        <v>29.615</v>
      </c>
      <c r="O4535" s="38" t="n">
        <f aca="false">Sens!$O$4443</f>
        <v>39.02</v>
      </c>
    </row>
    <row r="4536" customFormat="false" ht="15" hidden="false" customHeight="false" outlineLevel="0" collapsed="false">
      <c r="A4536" s="0" t="s">
        <v>523</v>
      </c>
      <c r="B4536" s="0" t="s">
        <v>86</v>
      </c>
      <c r="C4536" s="38" t="n">
        <f aca="false">Sens!$C$4445</f>
        <v>44.374</v>
      </c>
      <c r="D4536" s="38" t="n">
        <f aca="false">Sens!$D$4445</f>
        <v>49.619</v>
      </c>
      <c r="E4536" s="38" t="n">
        <f aca="false">Sens!$E$4445</f>
        <v>27.157</v>
      </c>
      <c r="F4536" s="38" t="n">
        <f aca="false">Sens!$F$4445</f>
        <v>27.7764165988154</v>
      </c>
      <c r="G4536" s="38" t="n">
        <f aca="false">Sens!$G$4445</f>
        <v>54.9334165988154</v>
      </c>
      <c r="H4536" s="38" t="n">
        <f aca="false">Sens!$H$4445</f>
        <v>61.1564112561829</v>
      </c>
      <c r="I4536" s="38" t="n">
        <f aca="false">Sens!$I$4445</f>
        <v>67.2020282103945</v>
      </c>
      <c r="J4536" s="38" t="n">
        <f aca="false">Sens!$J$4445</f>
        <v>72.8757274028885</v>
      </c>
      <c r="K4536" s="38" t="n">
        <f aca="false">Sens!$K$4445</f>
        <v>77.9770283210907</v>
      </c>
      <c r="L4536" s="38" t="n">
        <f aca="false">Sens!$L$4445</f>
        <v>83.4354203035671</v>
      </c>
      <c r="M4536" s="38" t="n">
        <f aca="false">Sens!$M$4445</f>
        <v>89.2758997248168</v>
      </c>
      <c r="N4536" s="38" t="n">
        <f aca="false">Sens!$N$4445</f>
        <v>23.923</v>
      </c>
      <c r="O4536" s="38" t="n">
        <f aca="false">Sens!$O$4445</f>
        <v>25.696</v>
      </c>
    </row>
    <row r="4537" customFormat="false" ht="15" hidden="false" customHeight="false" outlineLevel="0" collapsed="false">
      <c r="A4537" s="0" t="s">
        <v>524</v>
      </c>
      <c r="B4537" s="0" t="s">
        <v>86</v>
      </c>
      <c r="C4537" s="38" t="n">
        <f aca="false">Sens!$C$4447</f>
        <v>5.425</v>
      </c>
      <c r="D4537" s="38" t="n">
        <f aca="false">Sens!$D$4447</f>
        <v>5.935</v>
      </c>
      <c r="E4537" s="38" t="n">
        <f aca="false">Sens!$E$4447</f>
        <v>3.474</v>
      </c>
      <c r="F4537" s="38" t="n">
        <f aca="false">Sens!$F$4447</f>
        <v>3.22246550883619</v>
      </c>
      <c r="G4537" s="38" t="n">
        <f aca="false">Sens!$G$4447</f>
        <v>6.69646550883619</v>
      </c>
      <c r="H4537" s="38" t="n">
        <f aca="false">Sens!$H$4447</f>
        <v>7.16251344209196</v>
      </c>
      <c r="I4537" s="38" t="n">
        <f aca="false">Sens!$I$4447</f>
        <v>7.61421070299826</v>
      </c>
      <c r="J4537" s="38" t="n">
        <f aca="false">Sens!$J$4447</f>
        <v>8.04465753523932</v>
      </c>
      <c r="K4537" s="38" t="n">
        <f aca="false">Sens!$K$4447</f>
        <v>8.44689041200128</v>
      </c>
      <c r="L4537" s="38" t="n">
        <f aca="false">Sens!$L$4447</f>
        <v>8.86923493260135</v>
      </c>
      <c r="M4537" s="38" t="n">
        <f aca="false">Sens!$M$4447</f>
        <v>9.31269667923142</v>
      </c>
      <c r="N4537" s="38" t="n">
        <f aca="false">Sens!$N$4447</f>
        <v>2.811</v>
      </c>
      <c r="O4537" s="38" t="n">
        <f aca="false">Sens!$O$4447</f>
        <v>3.124</v>
      </c>
    </row>
    <row r="4538" customFormat="false" ht="17.15" hidden="false" customHeight="false" outlineLevel="0" collapsed="false">
      <c r="A4538" s="0" t="s">
        <v>717</v>
      </c>
      <c r="B4538" s="0" t="s">
        <v>86</v>
      </c>
      <c r="C4538" s="38" t="n">
        <f aca="false">Sens!$C$4519</f>
        <v>107.556</v>
      </c>
      <c r="D4538" s="38" t="n">
        <f aca="false">Sens!$D$4519</f>
        <v>128.725</v>
      </c>
      <c r="E4538" s="38" t="n">
        <f aca="false">Sens!$E$4519</f>
        <v>79.819</v>
      </c>
      <c r="F4538" s="38" t="n">
        <f aca="false">Sens!$F$4519</f>
        <v>86.7327334389669</v>
      </c>
      <c r="G4538" s="38" t="n">
        <f aca="false">Sens!$G$4519</f>
        <v>166.551733438967</v>
      </c>
      <c r="H4538" s="38" t="n">
        <f aca="false">Sens!$H$4519</f>
        <v>221.182967828978</v>
      </c>
      <c r="I4538" s="38" t="n">
        <f aca="false">Sens!$I$4519</f>
        <v>280.27345865789</v>
      </c>
      <c r="J4538" s="38" t="n">
        <f aca="false">Sens!$J$4519</f>
        <v>338.800945197185</v>
      </c>
      <c r="K4538" s="38" t="n">
        <f aca="false">Sens!$K$4519</f>
        <v>389.88570147276</v>
      </c>
      <c r="L4538" s="38" t="n">
        <f aca="false">Sens!$L$4519</f>
        <v>430.080689379143</v>
      </c>
      <c r="M4538" s="38" t="n">
        <f aca="false">Sens!$M$4519</f>
        <v>459.456235951751</v>
      </c>
      <c r="N4538" s="38" t="n">
        <f aca="false">Sens!$N$4519</f>
        <v>60.14</v>
      </c>
      <c r="O4538" s="38" t="n">
        <f aca="false">Sens!$O$4519</f>
        <v>68.585</v>
      </c>
    </row>
    <row r="4539" customFormat="false" ht="15" hidden="false" customHeight="false" outlineLevel="0" collapsed="false">
      <c r="A4539" s="1" t="s">
        <v>512</v>
      </c>
      <c r="B4539" s="8" t="s">
        <v>86</v>
      </c>
      <c r="C4539" s="38" t="n">
        <f aca="false">Sens!$C$4452</f>
        <v>387.497</v>
      </c>
      <c r="D4539" s="38" t="n">
        <f aca="false">Sens!$D$4452</f>
        <v>426.305</v>
      </c>
      <c r="E4539" s="38" t="n">
        <f aca="false">Sens!$E$4452</f>
        <v>220.32</v>
      </c>
      <c r="F4539" s="38" t="n">
        <f aca="false">Sens!$F$4452</f>
        <v>250.639773480586</v>
      </c>
      <c r="G4539" s="38" t="n">
        <f aca="false">Sens!$G$4452</f>
        <v>470.959773480586</v>
      </c>
      <c r="H4539" s="38" t="n">
        <f aca="false">Sens!$H$4452</f>
        <v>521.386990416437</v>
      </c>
      <c r="I4539" s="38" t="n">
        <f aca="false">Sens!$I$4452</f>
        <v>570.143862887555</v>
      </c>
      <c r="J4539" s="38" t="n">
        <f aca="false">Sens!$J$4452</f>
        <v>615.391435791933</v>
      </c>
      <c r="K4539" s="38" t="n">
        <f aca="false">Sens!$K$4452</f>
        <v>655.208227561543</v>
      </c>
      <c r="L4539" s="38" t="n">
        <f aca="false">Sens!$L$4452</f>
        <v>697.807739249767</v>
      </c>
      <c r="M4539" s="38" t="n">
        <f aca="false">Sens!$M$4452</f>
        <v>743.399328463592</v>
      </c>
      <c r="N4539" s="38" t="n">
        <f aca="false">Sens!$N$4452</f>
        <v>192.955</v>
      </c>
      <c r="O4539" s="38" t="n">
        <f aca="false">Sens!$O$4452</f>
        <v>233.35</v>
      </c>
    </row>
    <row r="4540" customFormat="false" ht="15" hidden="false" customHeight="false" outlineLevel="0" collapsed="false">
      <c r="A4540" s="1" t="s">
        <v>515</v>
      </c>
      <c r="B4540" s="8" t="s">
        <v>86</v>
      </c>
      <c r="C4540" s="38" t="n">
        <f aca="false">Sens!$C$4453</f>
        <v>142.906</v>
      </c>
      <c r="D4540" s="38" t="n">
        <f aca="false">Sens!$D$4453</f>
        <v>161.894</v>
      </c>
      <c r="E4540" s="38" t="n">
        <f aca="false">Sens!$E$4453</f>
        <v>81.986</v>
      </c>
      <c r="F4540" s="38" t="n">
        <f aca="false">Sens!$F$4453</f>
        <v>98.408468164951</v>
      </c>
      <c r="G4540" s="38" t="n">
        <f aca="false">Sens!$G$4453</f>
        <v>180.394468164951</v>
      </c>
      <c r="H4540" s="38" t="n">
        <f aca="false">Sens!$H$4453</f>
        <v>199.709899104949</v>
      </c>
      <c r="I4540" s="38" t="n">
        <f aca="false">Sens!$I$4453</f>
        <v>218.385528264976</v>
      </c>
      <c r="J4540" s="38" t="n">
        <f aca="false">Sens!$J$4453</f>
        <v>235.71696994951</v>
      </c>
      <c r="K4540" s="38" t="n">
        <f aca="false">Sens!$K$4453</f>
        <v>250.968227869545</v>
      </c>
      <c r="L4540" s="38" t="n">
        <f aca="false">Sens!$L$4453</f>
        <v>267.285367225822</v>
      </c>
      <c r="M4540" s="38" t="n">
        <f aca="false">Sens!$M$4453</f>
        <v>284.748579483295</v>
      </c>
      <c r="N4540" s="38" t="n">
        <f aca="false">Sens!$N$4453</f>
        <v>70.274</v>
      </c>
      <c r="O4540" s="38" t="n">
        <f aca="false">Sens!$O$4453</f>
        <v>91.62</v>
      </c>
    </row>
    <row r="4541" customFormat="false" ht="15" hidden="false" customHeight="false" outlineLevel="0" collapsed="false">
      <c r="A4541" s="1" t="s">
        <v>516</v>
      </c>
      <c r="B4541" s="8" t="s">
        <v>86</v>
      </c>
      <c r="C4541" s="38" t="n">
        <f aca="false">Sens!$C$4519</f>
        <v>107.556</v>
      </c>
      <c r="D4541" s="38" t="n">
        <f aca="false">Sens!$D$4519</f>
        <v>128.725</v>
      </c>
      <c r="E4541" s="38" t="n">
        <f aca="false">Sens!$E$4519</f>
        <v>79.819</v>
      </c>
      <c r="F4541" s="38" t="n">
        <f aca="false">Sens!$F$4519</f>
        <v>86.7327334389669</v>
      </c>
      <c r="G4541" s="38" t="n">
        <f aca="false">Sens!$G$4519</f>
        <v>166.551733438967</v>
      </c>
      <c r="H4541" s="38" t="n">
        <f aca="false">Sens!$H$4519</f>
        <v>221.182967828978</v>
      </c>
      <c r="I4541" s="38" t="n">
        <f aca="false">Sens!$I$4519</f>
        <v>280.27345865789</v>
      </c>
      <c r="J4541" s="38" t="n">
        <f aca="false">Sens!$J$4519</f>
        <v>338.800945197185</v>
      </c>
      <c r="K4541" s="38" t="n">
        <f aca="false">Sens!$K$4519</f>
        <v>389.88570147276</v>
      </c>
      <c r="L4541" s="38" t="n">
        <f aca="false">Sens!$L$4519</f>
        <v>430.080689379143</v>
      </c>
      <c r="M4541" s="38" t="n">
        <f aca="false">Sens!$M$4519</f>
        <v>459.456235951751</v>
      </c>
      <c r="N4541" s="38" t="n">
        <f aca="false">Sens!$N$4519</f>
        <v>60.14</v>
      </c>
      <c r="O4541" s="38" t="n">
        <f aca="false">Sens!$O$4519</f>
        <v>68.585</v>
      </c>
    </row>
    <row r="4542" customFormat="false" ht="17.15" hidden="false" customHeight="false" outlineLevel="0" collapsed="false">
      <c r="A4542" s="0" t="s">
        <v>691</v>
      </c>
      <c r="B4542" s="0" t="s">
        <v>86</v>
      </c>
      <c r="C4542" s="38" t="n">
        <f aca="false">Sens!$C$4517</f>
        <v>2.32100535697364</v>
      </c>
      <c r="D4542" s="38" t="n">
        <f aca="false">Sens!$D$4517</f>
        <v>8.70377008865116</v>
      </c>
      <c r="E4542" s="38" t="n">
        <f aca="false">Sens!$E$4517</f>
        <v>8.51035297557002</v>
      </c>
      <c r="F4542" s="38" t="n">
        <f aca="false">Sens!$F$4517</f>
        <v>14.9634336447205</v>
      </c>
      <c r="G4542" s="38" t="n">
        <f aca="false">Sens!$G$4517</f>
        <v>23.4737866202905</v>
      </c>
      <c r="H4542" s="38" t="n">
        <f aca="false">Sens!$H$4517</f>
        <v>60.1658907497746</v>
      </c>
      <c r="I4542" s="38" t="n">
        <f aca="false">Sens!$I$4517</f>
        <v>101.503699136432</v>
      </c>
      <c r="J4542" s="38" t="n">
        <f aca="false">Sens!$J$4517</f>
        <v>143.025407151278</v>
      </c>
      <c r="K4542" s="38" t="n">
        <f aca="false">Sens!$K$4517</f>
        <v>178.44812038318</v>
      </c>
      <c r="L4542" s="38" t="n">
        <f aca="false">Sens!$L$4517</f>
        <v>201.728101802396</v>
      </c>
      <c r="M4542" s="38" t="n">
        <f aca="false">Sens!$M$4517</f>
        <v>212.835441368865</v>
      </c>
      <c r="N4542" s="38" t="n">
        <f aca="false">Sens!$N$4517</f>
        <v>3.04631953102791</v>
      </c>
      <c r="O4542" s="38" t="n">
        <f aca="false">Sens!$O$4517</f>
        <v>5.65745055762326</v>
      </c>
    </row>
    <row r="4543" customFormat="false" ht="17.15" hidden="false" customHeight="false" outlineLevel="0" collapsed="false">
      <c r="A4543" s="0" t="s">
        <v>693</v>
      </c>
      <c r="B4543" s="0" t="s">
        <v>86</v>
      </c>
      <c r="C4543" s="38" t="n">
        <f aca="false">Sens!$C$4518</f>
        <v>105.234994643026</v>
      </c>
      <c r="D4543" s="38" t="n">
        <f aca="false">Sens!$D$4518</f>
        <v>120.021229911349</v>
      </c>
      <c r="E4543" s="38" t="n">
        <f aca="false">Sens!$E$4518</f>
        <v>71.30864702443</v>
      </c>
      <c r="F4543" s="38" t="n">
        <f aca="false">Sens!$F$4518</f>
        <v>71.7692997942464</v>
      </c>
      <c r="G4543" s="38" t="n">
        <f aca="false">Sens!$G$4518</f>
        <v>143.077946818676</v>
      </c>
      <c r="H4543" s="38" t="n">
        <f aca="false">Sens!$H$4518</f>
        <v>161.017077079203</v>
      </c>
      <c r="I4543" s="38" t="n">
        <f aca="false">Sens!$I$4518</f>
        <v>178.769759521457</v>
      </c>
      <c r="J4543" s="38" t="n">
        <f aca="false">Sens!$J$4518</f>
        <v>195.775538045907</v>
      </c>
      <c r="K4543" s="38" t="n">
        <f aca="false">Sens!$K$4518</f>
        <v>211.43758108958</v>
      </c>
      <c r="L4543" s="38" t="n">
        <f aca="false">Sens!$L$4518</f>
        <v>228.352587576746</v>
      </c>
      <c r="M4543" s="38" t="n">
        <f aca="false">Sens!$M$4518</f>
        <v>246.620794582886</v>
      </c>
      <c r="N4543" s="38" t="n">
        <f aca="false">Sens!$N$4518</f>
        <v>57.0936804689721</v>
      </c>
      <c r="O4543" s="38" t="n">
        <f aca="false">Sens!$O$4518</f>
        <v>62.9275494423768</v>
      </c>
    </row>
    <row r="4544" customFormat="false" ht="15" hidden="false" customHeight="false" outlineLevel="0" collapsed="false">
      <c r="A4544" s="3" t="s">
        <v>517</v>
      </c>
      <c r="B4544" s="8" t="s">
        <v>86</v>
      </c>
      <c r="C4544" s="38" t="n">
        <f aca="false">Sens!$C$4520</f>
        <v>637.959</v>
      </c>
      <c r="D4544" s="38" t="n">
        <f aca="false">Sens!$D$4520</f>
        <v>716.924</v>
      </c>
      <c r="E4544" s="38" t="n">
        <f aca="false">Sens!$E$4520</f>
        <v>382.125</v>
      </c>
      <c r="F4544" s="38" t="n">
        <f aca="false">Sens!$F$4520</f>
        <v>435.780975084504</v>
      </c>
      <c r="G4544" s="38" t="n">
        <f aca="false">Sens!$G$4520</f>
        <v>817.905975084504</v>
      </c>
      <c r="H4544" s="38" t="n">
        <f aca="false">Sens!$H$4520</f>
        <v>942.279857350364</v>
      </c>
      <c r="I4544" s="38" t="n">
        <f aca="false">Sens!$I$4520</f>
        <v>1068.80284981042</v>
      </c>
      <c r="J4544" s="38" t="n">
        <f aca="false">Sens!$J$4520</f>
        <v>1189.90935093863</v>
      </c>
      <c r="K4544" s="38" t="n">
        <f aca="false">Sens!$K$4520</f>
        <v>1296.06215690385</v>
      </c>
      <c r="L4544" s="38" t="n">
        <f aca="false">Sens!$L$4520</f>
        <v>1395.17379585473</v>
      </c>
      <c r="M4544" s="38" t="n">
        <f aca="false">Sens!$M$4520</f>
        <v>1487.60414389864</v>
      </c>
      <c r="N4544" s="38" t="n">
        <f aca="false">Sens!$N$4520</f>
        <v>323.369</v>
      </c>
      <c r="O4544" s="38" t="n">
        <f aca="false">Sens!$O$4520</f>
        <v>393.555</v>
      </c>
    </row>
    <row r="4545" customFormat="false" ht="17.15" hidden="false" customHeight="false" outlineLevel="0" collapsed="false">
      <c r="A4545" s="24" t="s">
        <v>703</v>
      </c>
      <c r="B4545" s="25" t="s">
        <v>86</v>
      </c>
      <c r="C4545" s="41" t="n">
        <f aca="false">Sens!$C$4532+Sens!$C$4533+Sens!$C$4534+Sens!$C$4535+Sens!$C$4536+Sens!$C$4537-(Sens!$C$4539+Sens!$C$4540)</f>
        <v>0</v>
      </c>
      <c r="D4545" s="41" t="n">
        <f aca="false">Sens!$D$4532+Sens!$D$4533+Sens!$D$4534+Sens!$D$4535+Sens!$D$4536+Sens!$D$4537-(Sens!$D$4539+Sens!$D$4540)</f>
        <v>0</v>
      </c>
      <c r="E4545" s="41" t="n">
        <f aca="false">Sens!$E$4532+Sens!$E$4533+Sens!$E$4534+Sens!$E$4535+Sens!$E$4536+Sens!$E$4537-(Sens!$E$4539+Sens!$E$4540)</f>
        <v>0</v>
      </c>
      <c r="F4545" s="41" t="n">
        <f aca="false">Sens!$F$4532+Sens!$F$4533+Sens!$F$4534+Sens!$F$4535+Sens!$F$4536+Sens!$F$4537-(Sens!$F$4539+Sens!$F$4540)</f>
        <v>0</v>
      </c>
      <c r="G4545" s="41" t="n">
        <f aca="false">Sens!$G$4532+Sens!$G$4533+Sens!$G$4534+Sens!$G$4535+Sens!$G$4536+Sens!$G$4537-(Sens!$G$4539+Sens!$G$4540)</f>
        <v>0</v>
      </c>
      <c r="H4545" s="41" t="n">
        <f aca="false">Sens!$H$4532+Sens!$H$4533+Sens!$H$4534+Sens!$H$4535+Sens!$H$4536+Sens!$H$4537-(Sens!$H$4539+Sens!$H$4540)</f>
        <v>0</v>
      </c>
      <c r="I4545" s="41" t="n">
        <f aca="false">Sens!$I$4532+Sens!$I$4533+Sens!$I$4534+Sens!$I$4535+Sens!$I$4536+Sens!$I$4537-(Sens!$I$4539+Sens!$I$4540)</f>
        <v>0</v>
      </c>
      <c r="J4545" s="41" t="n">
        <f aca="false">Sens!$J$4532+Sens!$J$4533+Sens!$J$4534+Sens!$J$4535+Sens!$J$4536+Sens!$J$4537-(Sens!$J$4539+Sens!$J$4540)</f>
        <v>0</v>
      </c>
      <c r="K4545" s="41" t="n">
        <f aca="false">Sens!$K$4532+Sens!$K$4533+Sens!$K$4534+Sens!$K$4535+Sens!$K$4536+Sens!$K$4537-(Sens!$K$4539+Sens!$K$4540)</f>
        <v>0</v>
      </c>
      <c r="L4545" s="41" t="n">
        <f aca="false">Sens!$L$4532+Sens!$L$4533+Sens!$L$4534+Sens!$L$4535+Sens!$L$4536+Sens!$L$4537-(Sens!$L$4539+Sens!$L$4540)</f>
        <v>0</v>
      </c>
      <c r="M4545" s="41" t="n">
        <f aca="false">Sens!$M$4532+Sens!$M$4533+Sens!$M$4534+Sens!$M$4535+Sens!$M$4536+Sens!$M$4537-(Sens!$M$4539+Sens!$M$4540)</f>
        <v>0</v>
      </c>
      <c r="N4545" s="41" t="n">
        <f aca="false">Sens!$N$4532+Sens!$N$4533+Sens!$N$4534+Sens!$N$4535+Sens!$N$4536+Sens!$N$4537-(Sens!$N$4539+Sens!$N$4540)</f>
        <v>0</v>
      </c>
      <c r="O4545" s="41" t="n">
        <f aca="false">Sens!$O$4532+Sens!$O$4533+Sens!$O$4534+Sens!$O$4535+Sens!$O$4536+Sens!$O$4537-(Sens!$O$4539+Sens!$O$4540)</f>
        <v>0</v>
      </c>
    </row>
    <row r="4546" customFormat="false" ht="17.15" hidden="false" customHeight="false" outlineLevel="0" collapsed="false">
      <c r="A4546" s="24" t="s">
        <v>704</v>
      </c>
      <c r="B4546" s="25" t="s">
        <v>86</v>
      </c>
      <c r="C4546" s="41" t="n">
        <f aca="false">Sens!$C$4542+Sens!$C$4543-Sens!$C$4541</f>
        <v>0</v>
      </c>
      <c r="D4546" s="41" t="n">
        <f aca="false">Sens!$D$4542+Sens!$D$4543-Sens!$D$4541</f>
        <v>0</v>
      </c>
      <c r="E4546" s="41" t="n">
        <f aca="false">Sens!$E$4542+Sens!$E$4543-Sens!$E$4541</f>
        <v>0</v>
      </c>
      <c r="F4546" s="41" t="n">
        <f aca="false">Sens!$F$4542+Sens!$F$4543-Sens!$F$4541</f>
        <v>0</v>
      </c>
      <c r="G4546" s="41" t="n">
        <f aca="false">Sens!$G$4542+Sens!$G$4543-Sens!$G$4541</f>
        <v>0</v>
      </c>
      <c r="H4546" s="41" t="n">
        <f aca="false">Sens!$H$4542+Sens!$H$4543-Sens!$H$4541</f>
        <v>0</v>
      </c>
      <c r="I4546" s="41" t="n">
        <f aca="false">Sens!$I$4542+Sens!$I$4543-Sens!$I$4541</f>
        <v>0</v>
      </c>
      <c r="J4546" s="41" t="n">
        <f aca="false">Sens!$J$4542+Sens!$J$4543-Sens!$J$4541</f>
        <v>0</v>
      </c>
      <c r="K4546" s="41" t="n">
        <f aca="false">Sens!$K$4542+Sens!$K$4543-Sens!$K$4541</f>
        <v>0</v>
      </c>
      <c r="L4546" s="41" t="n">
        <f aca="false">Sens!$L$4542+Sens!$L$4543-Sens!$L$4541</f>
        <v>0</v>
      </c>
      <c r="M4546" s="41" t="n">
        <f aca="false">Sens!$M$4542+Sens!$M$4543-Sens!$M$4541</f>
        <v>0</v>
      </c>
      <c r="N4546" s="41" t="n">
        <f aca="false">Sens!$N$4542+Sens!$N$4543-Sens!$N$4541</f>
        <v>0</v>
      </c>
      <c r="O4546" s="41" t="n">
        <f aca="false">Sens!$O$4542+Sens!$O$4543-Sens!$O$4541</f>
        <v>0</v>
      </c>
    </row>
    <row r="4547" customFormat="false" ht="17.15" hidden="false" customHeight="false" outlineLevel="0" collapsed="false">
      <c r="A4547" s="24" t="s">
        <v>763</v>
      </c>
      <c r="B4547" s="25" t="s">
        <v>86</v>
      </c>
      <c r="C4547" s="41" t="n">
        <f aca="false">Sens!$C$4532+Sens!$C$4533+Sens!$C$4534+Sens!$C$4535+Sens!$C$4536+Sens!$C$4537+Sens!$C$4538-Sens!$C$4544</f>
        <v>0</v>
      </c>
      <c r="D4547" s="41" t="n">
        <f aca="false">Sens!$D$4532+Sens!$D$4533+Sens!$D$4534+Sens!$D$4535+Sens!$D$4536+Sens!$D$4537+Sens!$D$4538-Sens!$D$4544</f>
        <v>0</v>
      </c>
      <c r="E4547" s="41" t="n">
        <f aca="false">Sens!$E$4532+Sens!$E$4533+Sens!$E$4534+Sens!$E$4535+Sens!$E$4536+Sens!$E$4537+Sens!$E$4538-Sens!$E$4544</f>
        <v>0</v>
      </c>
      <c r="F4547" s="41" t="n">
        <f aca="false">Sens!$F$4532+Sens!$F$4533+Sens!$F$4534+Sens!$F$4535+Sens!$F$4536+Sens!$F$4537+Sens!$F$4538-Sens!$F$4544</f>
        <v>0</v>
      </c>
      <c r="G4547" s="41" t="n">
        <f aca="false">Sens!$G$4532+Sens!$G$4533+Sens!$G$4534+Sens!$G$4535+Sens!$G$4536+Sens!$G$4537+Sens!$G$4538-Sens!$G$4544</f>
        <v>0</v>
      </c>
      <c r="H4547" s="41" t="n">
        <f aca="false">Sens!$H$4532+Sens!$H$4533+Sens!$H$4534+Sens!$H$4535+Sens!$H$4536+Sens!$H$4537+Sens!$H$4538-Sens!$H$4544</f>
        <v>0</v>
      </c>
      <c r="I4547" s="41" t="n">
        <f aca="false">Sens!$I$4532+Sens!$I$4533+Sens!$I$4534+Sens!$I$4535+Sens!$I$4536+Sens!$I$4537+Sens!$I$4538-Sens!$I$4544</f>
        <v>0</v>
      </c>
      <c r="J4547" s="41" t="n">
        <f aca="false">Sens!$J$4532+Sens!$J$4533+Sens!$J$4534+Sens!$J$4535+Sens!$J$4536+Sens!$J$4537+Sens!$J$4538-Sens!$J$4544</f>
        <v>0</v>
      </c>
      <c r="K4547" s="41" t="n">
        <f aca="false">Sens!$K$4532+Sens!$K$4533+Sens!$K$4534+Sens!$K$4535+Sens!$K$4536+Sens!$K$4537+Sens!$K$4538-Sens!$K$4544</f>
        <v>0</v>
      </c>
      <c r="L4547" s="41" t="n">
        <f aca="false">Sens!$L$4532+Sens!$L$4533+Sens!$L$4534+Sens!$L$4535+Sens!$L$4536+Sens!$L$4537+Sens!$L$4538-Sens!$L$4544</f>
        <v>0</v>
      </c>
      <c r="M4547" s="41" t="n">
        <f aca="false">Sens!$M$4532+Sens!$M$4533+Sens!$M$4534+Sens!$M$4535+Sens!$M$4536+Sens!$M$4537+Sens!$M$4538-Sens!$M$4544</f>
        <v>0</v>
      </c>
      <c r="N4547" s="41" t="n">
        <f aca="false">Sens!$N$4532+Sens!$N$4533+Sens!$N$4534+Sens!$N$4535+Sens!$N$4536+Sens!$N$4537+Sens!$N$4538-Sens!$N$4544</f>
        <v>0</v>
      </c>
      <c r="O4547" s="41" t="n">
        <f aca="false">Sens!$O$4532+Sens!$O$4533+Sens!$O$4534+Sens!$O$4535+Sens!$O$4536+Sens!$O$4537+Sens!$O$4538-Sens!$O$4544</f>
        <v>0</v>
      </c>
    </row>
    <row r="4548" customFormat="false" ht="17.15" hidden="false" customHeight="false" outlineLevel="0" collapsed="false">
      <c r="A4548" s="24" t="s">
        <v>705</v>
      </c>
      <c r="B4548" s="25" t="s">
        <v>86</v>
      </c>
      <c r="C4548" s="41" t="n">
        <f aca="false">Sens!$C$4539+Sens!$C$4540+Sens!$C$4541-Sens!$C$4544</f>
        <v>0</v>
      </c>
      <c r="D4548" s="41" t="n">
        <f aca="false">Sens!$D$4539+Sens!$D$4540+Sens!$D$4541-Sens!$D$4544</f>
        <v>0</v>
      </c>
      <c r="E4548" s="41" t="n">
        <f aca="false">Sens!$E$4539+Sens!$E$4540+Sens!$E$4541-Sens!$E$4544</f>
        <v>0</v>
      </c>
      <c r="F4548" s="41" t="n">
        <f aca="false">Sens!$F$4539+Sens!$F$4540+Sens!$F$4541-Sens!$F$4544</f>
        <v>0</v>
      </c>
      <c r="G4548" s="41" t="n">
        <f aca="false">Sens!$G$4539+Sens!$G$4540+Sens!$G$4541-Sens!$G$4544</f>
        <v>0</v>
      </c>
      <c r="H4548" s="41" t="n">
        <f aca="false">Sens!$H$4539+Sens!$H$4540+Sens!$H$4541-Sens!$H$4544</f>
        <v>0</v>
      </c>
      <c r="I4548" s="41" t="n">
        <f aca="false">Sens!$I$4539+Sens!$I$4540+Sens!$I$4541-Sens!$I$4544</f>
        <v>0</v>
      </c>
      <c r="J4548" s="41" t="n">
        <f aca="false">Sens!$J$4539+Sens!$J$4540+Sens!$J$4541-Sens!$J$4544</f>
        <v>0</v>
      </c>
      <c r="K4548" s="41" t="n">
        <f aca="false">Sens!$K$4539+Sens!$K$4540+Sens!$K$4541-Sens!$K$4544</f>
        <v>0</v>
      </c>
      <c r="L4548" s="41" t="n">
        <f aca="false">Sens!$L$4539+Sens!$L$4540+Sens!$L$4541-Sens!$L$4544</f>
        <v>0</v>
      </c>
      <c r="M4548" s="41" t="n">
        <f aca="false">Sens!$M$4539+Sens!$M$4540+Sens!$M$4541-Sens!$M$4544</f>
        <v>0</v>
      </c>
      <c r="N4548" s="41" t="n">
        <f aca="false">Sens!$N$4539+Sens!$N$4540+Sens!$N$4541-Sens!$N$4544</f>
        <v>0</v>
      </c>
      <c r="O4548" s="41" t="n">
        <f aca="false">Sens!$O$4539+Sens!$O$4540+Sens!$O$4541-Sens!$O$4544</f>
        <v>0</v>
      </c>
    </row>
    <row r="4549" customFormat="false" ht="17.15" hidden="false" customHeight="false" outlineLevel="0" collapsed="false">
      <c r="A4549" s="1" t="s">
        <v>719</v>
      </c>
    </row>
    <row r="4550" customFormat="false" ht="17.15" hidden="false" customHeight="false" outlineLevel="0" collapsed="false">
      <c r="A4550" s="0" t="s">
        <v>720</v>
      </c>
      <c r="B4550" s="0" t="s">
        <v>86</v>
      </c>
      <c r="C4550" s="38" t="n">
        <f aca="false">Sens!$C$4454*m_ad</f>
        <v>20.5341564414228</v>
      </c>
      <c r="D4550" s="38" t="n">
        <f aca="false">Sens!$D$4454*m_ad</f>
        <v>24.8720617299587</v>
      </c>
      <c r="E4550" s="38" t="n">
        <f aca="false">Sens!$E$4454*m_ad</f>
        <v>13.5017112462207</v>
      </c>
      <c r="F4550" s="38" t="n">
        <f aca="false">Sens!$F$4454*m_ad</f>
        <v>16.5719724165257</v>
      </c>
      <c r="G4550" s="38" t="n">
        <f aca="false">Sens!$G$4454*m_ad</f>
        <v>30.0820919220415</v>
      </c>
      <c r="H4550" s="38" t="n">
        <f aca="false">Sens!$H$4454*m_ad</f>
        <v>36.1150883276314</v>
      </c>
      <c r="I4550" s="38" t="n">
        <f aca="false">Sens!$I$4454*m_ad</f>
        <v>42.1475382231996</v>
      </c>
      <c r="J4550" s="38" t="n">
        <f aca="false">Sens!$J$4454*m_ad</f>
        <v>47.7749523864693</v>
      </c>
      <c r="K4550" s="38" t="n">
        <f aca="false">Sens!$K$4454*m_ad</f>
        <v>52.5524476251162</v>
      </c>
      <c r="L4550" s="38" t="n">
        <f aca="false">Sens!$L$4454*m_ad</f>
        <v>57.8076923876279</v>
      </c>
      <c r="M4550" s="38" t="n">
        <f aca="false">Sens!$M$4454*m_ad</f>
        <v>63.5884616263907</v>
      </c>
      <c r="N4550" s="38" t="n">
        <f aca="false">Sens!$N$4454*m_ad</f>
        <v>10.8543555706248</v>
      </c>
      <c r="O4550" s="38" t="n">
        <f aca="false">Sens!$O$4454*m_ad</f>
        <v>14.0094731821399</v>
      </c>
    </row>
    <row r="4551" customFormat="false" ht="17.15" hidden="false" customHeight="false" outlineLevel="0" collapsed="false">
      <c r="A4551" s="0" t="s">
        <v>721</v>
      </c>
      <c r="B4551" s="0" t="s">
        <v>86</v>
      </c>
      <c r="C4551" s="38" t="n">
        <f aca="false">Sens!$C$4452-Sens!$C$4454</f>
        <v>346.428687117154</v>
      </c>
      <c r="D4551" s="38" t="n">
        <f aca="false">Sens!$D$4452-Sens!$D$4454</f>
        <v>376.560876540083</v>
      </c>
      <c r="E4551" s="38" t="n">
        <f aca="false">Sens!$E$4452-Sens!$E$4454</f>
        <v>193.316577507559</v>
      </c>
      <c r="F4551" s="38" t="n">
        <f aca="false">Sens!$F$4452-Sens!$F$4454</f>
        <v>217.495828647535</v>
      </c>
      <c r="G4551" s="38" t="n">
        <f aca="false">Sens!$G$4452-Sens!$G$4454</f>
        <v>410.795589636503</v>
      </c>
      <c r="H4551" s="38" t="n">
        <f aca="false">Sens!$H$4452-Sens!$H$4454</f>
        <v>449.156813761174</v>
      </c>
      <c r="I4551" s="38" t="n">
        <f aca="false">Sens!$I$4452-Sens!$I$4454</f>
        <v>485.848786441156</v>
      </c>
      <c r="J4551" s="38" t="n">
        <f aca="false">Sens!$J$4452-Sens!$J$4454</f>
        <v>519.841531018994</v>
      </c>
      <c r="K4551" s="38" t="n">
        <f aca="false">Sens!$K$4452-Sens!$K$4454</f>
        <v>550.103332311311</v>
      </c>
      <c r="L4551" s="38" t="n">
        <f aca="false">Sens!$L$4452-Sens!$L$4454</f>
        <v>582.192354474511</v>
      </c>
      <c r="M4551" s="38" t="n">
        <f aca="false">Sens!$M$4452-Sens!$M$4454</f>
        <v>616.22240521081</v>
      </c>
      <c r="N4551" s="38" t="n">
        <f aca="false">Sens!$N$4452-Sens!$N$4454</f>
        <v>171.24628885875</v>
      </c>
      <c r="O4551" s="38" t="n">
        <f aca="false">Sens!$O$4452-Sens!$O$4454</f>
        <v>205.33105363572</v>
      </c>
    </row>
    <row r="4552" customFormat="false" ht="17.15" hidden="false" customHeight="false" outlineLevel="0" collapsed="false">
      <c r="A4552" s="0" t="s">
        <v>722</v>
      </c>
      <c r="B4552" s="0" t="s">
        <v>86</v>
      </c>
      <c r="C4552" s="38" t="n">
        <f aca="false">Sens!$C$4503*Sens!$C$4451</f>
        <v>0.123617442257179</v>
      </c>
      <c r="D4552" s="38" t="n">
        <f aca="false">Sens!$D$4503*Sens!$D$4451</f>
        <v>0.600198046024689</v>
      </c>
      <c r="E4552" s="38" t="n">
        <f aca="false">Sens!$E$4503*Sens!$E$4451</f>
        <v>0.970552432202993</v>
      </c>
      <c r="F4552" s="38" t="n">
        <f aca="false">Sens!$F$4503*Sens!$F$4451</f>
        <v>1.20013524388435</v>
      </c>
      <c r="G4552" s="38" t="n">
        <f aca="false">Sens!$G$4503*Sens!$G$4451</f>
        <v>2.17135369594947</v>
      </c>
      <c r="H4552" s="38" t="n">
        <f aca="false">Sens!$H$4503*Sens!$H$4451</f>
        <v>6.14227489656333</v>
      </c>
      <c r="I4552" s="38" t="n">
        <f aca="false">Sens!$I$4503*Sens!$I$4451</f>
        <v>11.6518054969681</v>
      </c>
      <c r="J4552" s="38" t="n">
        <f aca="false">Sens!$J$4503*Sens!$J$4451</f>
        <v>17.3105301010592</v>
      </c>
      <c r="K4552" s="38" t="n">
        <f aca="false">Sens!$K$4503*Sens!$K$4451</f>
        <v>22.8486728059883</v>
      </c>
      <c r="L4552" s="38" t="n">
        <f aca="false">Sens!$L$4503*Sens!$L$4451</f>
        <v>26.6849171332777</v>
      </c>
      <c r="M4552" s="38" t="n">
        <f aca="false">Sens!$M$4503*Sens!$M$4451</f>
        <v>29.0523240317336</v>
      </c>
      <c r="N4552" s="38" t="n">
        <f aca="false">Sens!$N$4503*Sens!$N$4451</f>
        <v>0.25053229484398</v>
      </c>
      <c r="O4552" s="38" t="n">
        <f aca="false">Sens!$O$4503*Sens!$O$4451</f>
        <v>0.349234376756897</v>
      </c>
    </row>
    <row r="4553" customFormat="false" ht="17.15" hidden="false" customHeight="false" outlineLevel="0" collapsed="false">
      <c r="A4553" s="0" t="s">
        <v>723</v>
      </c>
      <c r="B4553" s="0" t="s">
        <v>52</v>
      </c>
      <c r="C4553" s="28" t="n">
        <f aca="false">(Sens!$C$4554-Sens!$C$4550+Sens!$C$4552)/Sens!$C$4551</f>
        <v>0.0131526665379575</v>
      </c>
      <c r="D4553" s="28" t="n">
        <f aca="false">(Sens!$D$4554-Sens!$D$4550+Sens!$D$4552)/Sens!$D$4551</f>
        <v>0.0141999252954702</v>
      </c>
      <c r="E4553" s="28" t="n">
        <f aca="false">(Sens!$E$4554-Sens!$E$4550+Sens!$E$4552)/Sens!$E$4551</f>
        <v>0.0251341154940129</v>
      </c>
      <c r="F4553" s="28" t="n">
        <f aca="false">Sens!$O$4553+(Sens!$E$4553-Sens!$N$4553)</f>
        <v>0.0217171685713677</v>
      </c>
      <c r="G4553" s="28" t="n">
        <f aca="false">(Sens!$G$4554-Sens!$G$4550+Sens!$G$4552)/Sens!$G$4551</f>
        <v>0.0233071940458981</v>
      </c>
      <c r="H4553" s="28" t="n">
        <f aca="false">Sens!$G$4553+step_na_lo</f>
        <v>0.0233071940458981</v>
      </c>
      <c r="I4553" s="28" t="n">
        <f aca="false">Sens!$H$4553+step_na_lo</f>
        <v>0.0233071940458981</v>
      </c>
      <c r="J4553" s="28" t="n">
        <f aca="false">Sens!$I$4553+step_na_lo</f>
        <v>0.0233071940458981</v>
      </c>
      <c r="K4553" s="28" t="n">
        <f aca="false">Sens!$J$4553+step_na_lo</f>
        <v>0.0233071940458981</v>
      </c>
      <c r="L4553" s="28" t="n">
        <f aca="false">Sens!$K$4553</f>
        <v>0.0233071940458981</v>
      </c>
      <c r="M4553" s="28" t="n">
        <f aca="false">Sens!$L$4553</f>
        <v>0.0233071940458981</v>
      </c>
      <c r="N4553" s="28" t="n">
        <f aca="false">(Sens!$N$4554-Sens!$N$4550+Sens!$N$4552)/Sens!$N$4551</f>
        <v>0.0160831323269779</v>
      </c>
      <c r="O4553" s="28" t="n">
        <f aca="false">(Sens!$O$4554-Sens!$O$4550+Sens!$O$4552)/Sens!$O$4551</f>
        <v>0.0126661854043327</v>
      </c>
      <c r="P4553" s="8" t="s">
        <v>724</v>
      </c>
    </row>
    <row r="4554" customFormat="false" ht="17.15" hidden="false" customHeight="false" outlineLevel="0" collapsed="false">
      <c r="A4554" s="1" t="s">
        <v>725</v>
      </c>
      <c r="B4554" s="8" t="s">
        <v>86</v>
      </c>
      <c r="C4554" s="38" t="n">
        <f aca="false">Q!$D$22</f>
        <v>24.967</v>
      </c>
      <c r="D4554" s="38" t="n">
        <f aca="false">Q!$E$22</f>
        <v>29.619</v>
      </c>
      <c r="E4554" s="38" t="n">
        <f aca="false">Q!$P$22</f>
        <v>17.39</v>
      </c>
      <c r="F4554" s="38" t="n">
        <f aca="false">Sens!$F$4550+Sens!$F$4551*Sens!$F$4553-Sens!$F$4552</f>
        <v>20.0952307469491</v>
      </c>
      <c r="G4554" s="38" t="n">
        <f aca="false">Sens!$E$4554+Sens!$F$4554</f>
        <v>37.4852307469491</v>
      </c>
      <c r="H4554" s="38" t="n">
        <f aca="false">Sens!$H$4550+Sens!$H$4551*Sens!$H$4553-Sens!$H$4552</f>
        <v>40.4413984464371</v>
      </c>
      <c r="I4554" s="38" t="n">
        <f aca="false">Sens!$I$4550+Sens!$I$4551*Sens!$I$4553-Sens!$I$4552</f>
        <v>41.8195046687796</v>
      </c>
      <c r="J4554" s="38" t="n">
        <f aca="false">Sens!$J$4550+Sens!$J$4551*Sens!$J$4553-Sens!$J$4552</f>
        <v>42.5804697219865</v>
      </c>
      <c r="K4554" s="38" t="n">
        <f aca="false">Sens!$K$4550+Sens!$K$4551*Sens!$K$4553-Sens!$K$4552</f>
        <v>42.5251399306029</v>
      </c>
      <c r="L4554" s="38" t="n">
        <f aca="false">Sens!$L$4550+Sens!$L$4551*Sens!$L$4553-Sens!$L$4552</f>
        <v>44.6920454321258</v>
      </c>
      <c r="M4554" s="38" t="n">
        <f aca="false">Sens!$M$4550+Sens!$M$4551*Sens!$M$4553-Sens!$M$4552</f>
        <v>48.8985527683355</v>
      </c>
      <c r="N4554" s="38" t="n">
        <f aca="false">Q!$N$22</f>
        <v>13.358</v>
      </c>
      <c r="O4554" s="38" t="n">
        <f aca="false">Q!$O$22</f>
        <v>16.261</v>
      </c>
    </row>
    <row r="4555" customFormat="false" ht="17.15" hidden="false" customHeight="false" outlineLevel="0" collapsed="false">
      <c r="A4555" s="0" t="s">
        <v>726</v>
      </c>
      <c r="B4555" s="0" t="s">
        <v>86</v>
      </c>
      <c r="C4555" s="38" t="n">
        <f aca="false">Sens!$C$4455*m_ad</f>
        <v>7.57284355857716</v>
      </c>
      <c r="D4555" s="38" t="n">
        <f aca="false">Sens!$D$4455*m_ad</f>
        <v>9.44543827004127</v>
      </c>
      <c r="E4555" s="38" t="n">
        <f aca="false">Sens!$E$4455*m_ad</f>
        <v>5.02428875377928</v>
      </c>
      <c r="F4555" s="38" t="n">
        <f aca="false">Sens!$F$4455*m_ad</f>
        <v>6.50663858068173</v>
      </c>
      <c r="G4555" s="38" t="n">
        <f aca="false">Sens!$G$4455*m_ad</f>
        <v>11.5225190751659</v>
      </c>
      <c r="H4555" s="38" t="n">
        <f aca="false">Sens!$H$4455*m_ad</f>
        <v>13.8333728663174</v>
      </c>
      <c r="I4555" s="38" t="n">
        <f aca="false">Sens!$I$4455*m_ad</f>
        <v>16.1440173245485</v>
      </c>
      <c r="J4555" s="38" t="n">
        <f aca="false">Sens!$J$4455*m_ad</f>
        <v>18.2995185845066</v>
      </c>
      <c r="K4555" s="38" t="n">
        <f aca="false">Sens!$K$4455*m_ad</f>
        <v>20.1294704429572</v>
      </c>
      <c r="L4555" s="38" t="n">
        <f aca="false">Sens!$L$4455*m_ad</f>
        <v>22.142417487253</v>
      </c>
      <c r="M4555" s="38" t="n">
        <f aca="false">Sens!$M$4455*m_ad</f>
        <v>24.3566592359783</v>
      </c>
      <c r="N4555" s="38" t="n">
        <f aca="false">Sens!$N$4455*m_ad</f>
        <v>3.95314442937518</v>
      </c>
      <c r="O4555" s="38" t="n">
        <f aca="false">Sens!$O$4455*m_ad</f>
        <v>5.50052681786011</v>
      </c>
    </row>
    <row r="4556" customFormat="false" ht="17.15" hidden="false" customHeight="false" outlineLevel="0" collapsed="false">
      <c r="A4556" s="0" t="s">
        <v>727</v>
      </c>
      <c r="B4556" s="0" t="s">
        <v>86</v>
      </c>
      <c r="C4556" s="38" t="n">
        <f aca="false">Sens!$C$4453-Sens!$C$4455</f>
        <v>127.760312882846</v>
      </c>
      <c r="D4556" s="38" t="n">
        <f aca="false">Sens!$D$4453-Sens!$D$4455</f>
        <v>143.003123459917</v>
      </c>
      <c r="E4556" s="38" t="n">
        <f aca="false">Sens!$E$4453-Sens!$E$4455</f>
        <v>71.9374224924414</v>
      </c>
      <c r="F4556" s="38" t="n">
        <f aca="false">Sens!$F$4453-Sens!$F$4455</f>
        <v>85.3951910035875</v>
      </c>
      <c r="G4556" s="38" t="n">
        <f aca="false">Sens!$G$4453-Sens!$G$4455</f>
        <v>157.349430014619</v>
      </c>
      <c r="H4556" s="38" t="n">
        <f aca="false">Sens!$H$4453-Sens!$H$4455</f>
        <v>172.043153372315</v>
      </c>
      <c r="I4556" s="38" t="n">
        <f aca="false">Sens!$I$4453-Sens!$I$4455</f>
        <v>186.097493615879</v>
      </c>
      <c r="J4556" s="38" t="n">
        <f aca="false">Sens!$J$4453-Sens!$J$4455</f>
        <v>199.117932780497</v>
      </c>
      <c r="K4556" s="38" t="n">
        <f aca="false">Sens!$K$4453-Sens!$K$4455</f>
        <v>210.70928698363</v>
      </c>
      <c r="L4556" s="38" t="n">
        <f aca="false">Sens!$L$4453-Sens!$L$4455</f>
        <v>223.000532251316</v>
      </c>
      <c r="M4556" s="38" t="n">
        <f aca="false">Sens!$M$4453-Sens!$M$4455</f>
        <v>236.035261011339</v>
      </c>
      <c r="N4556" s="38" t="n">
        <f aca="false">Sens!$N$4453-Sens!$N$4455</f>
        <v>62.3677111412496</v>
      </c>
      <c r="O4556" s="38" t="n">
        <f aca="false">Sens!$O$4453-Sens!$O$4455</f>
        <v>80.6189463642798</v>
      </c>
    </row>
    <row r="4557" customFormat="false" ht="17.15" hidden="false" customHeight="false" outlineLevel="0" collapsed="false">
      <c r="A4557" s="0" t="s">
        <v>728</v>
      </c>
      <c r="B4557" s="0" t="s">
        <v>86</v>
      </c>
      <c r="C4557" s="38" t="n">
        <f aca="false">Sens!$C$4503*(1-Sens!$C$4451)</f>
        <v>0.0455891896019953</v>
      </c>
      <c r="D4557" s="38" t="n">
        <f aca="false">Sens!$D$4503*(1-Sens!$D$4451)</f>
        <v>0.227931791705753</v>
      </c>
      <c r="E4557" s="38" t="n">
        <f aca="false">Sens!$E$4503*(1-Sens!$E$4451)</f>
        <v>0.361164268820781</v>
      </c>
      <c r="F4557" s="38" t="n">
        <f aca="false">Sens!$F$4503*(1-Sens!$F$4451)</f>
        <v>0.471208018190203</v>
      </c>
      <c r="G4557" s="38" t="n">
        <f aca="false">Sens!$G$4503*(1-Sens!$G$4451)</f>
        <v>0.83170626714885</v>
      </c>
      <c r="H4557" s="38" t="n">
        <f aca="false">Sens!$H$4503*(1-Sens!$H$4451)</f>
        <v>2.35271136874315</v>
      </c>
      <c r="I4557" s="38" t="n">
        <f aca="false">Sens!$I$4503*(1-Sens!$I$4451)</f>
        <v>4.46305900024741</v>
      </c>
      <c r="J4557" s="38" t="n">
        <f aca="false">Sens!$J$4503*(1-Sens!$J$4451)</f>
        <v>6.63055328092195</v>
      </c>
      <c r="K4557" s="38" t="n">
        <f aca="false">Sens!$K$4503*(1-Sens!$K$4451)</f>
        <v>8.75186037365703</v>
      </c>
      <c r="L4557" s="38" t="n">
        <f aca="false">Sens!$L$4503*(1-Sens!$L$4451)</f>
        <v>10.2212794071718</v>
      </c>
      <c r="M4557" s="38" t="n">
        <f aca="false">Sens!$M$4503*(1-Sens!$M$4451)</f>
        <v>11.1280810756472</v>
      </c>
      <c r="N4557" s="38" t="n">
        <f aca="false">Sens!$N$4503*(1-Sens!$N$4451)</f>
        <v>0.0912435878202994</v>
      </c>
      <c r="O4557" s="38" t="n">
        <f aca="false">Sens!$O$4503*(1-Sens!$O$4451)</f>
        <v>0.137119578309265</v>
      </c>
    </row>
    <row r="4558" customFormat="false" ht="17.15" hidden="false" customHeight="false" outlineLevel="0" collapsed="false">
      <c r="A4558" s="0" t="s">
        <v>729</v>
      </c>
      <c r="B4558" s="0" t="s">
        <v>52</v>
      </c>
      <c r="C4558" s="28" t="n">
        <f aca="false">(Sens!$C$4559-Sens!$C$4555+Sens!$C$4557)/Sens!$C$4556</f>
        <v>-0.0292364215826579</v>
      </c>
      <c r="D4558" s="28" t="n">
        <f aca="false">(Sens!$D$4559-Sens!$D$4555+Sens!$D$4557)/Sens!$D$4556</f>
        <v>-0.0312406216748665</v>
      </c>
      <c r="E4558" s="28" t="n">
        <f aca="false">(Sens!$E$4559-Sens!$E$4555+Sens!$E$4557)/Sens!$E$4556</f>
        <v>-0.0211590078184749</v>
      </c>
      <c r="F4558" s="28" t="n">
        <f aca="false">Sens!$O$4558+(Sens!$E$4558-Sens!$N$4558)</f>
        <v>-0.0382539955245511</v>
      </c>
      <c r="G4558" s="28" t="n">
        <f aca="false">(Sens!$G$4559-Sens!$G$4555+Sens!$G$4557)/Sens!$G$4556</f>
        <v>-0.030385172031133</v>
      </c>
      <c r="H4558" s="28" t="n">
        <f aca="false">Sens!$G$4558+step_in</f>
        <v>-0.030385172031133</v>
      </c>
      <c r="I4558" s="28" t="n">
        <f aca="false">Sens!$H$4558+step_in</f>
        <v>-0.030385172031133</v>
      </c>
      <c r="J4558" s="28" t="n">
        <f aca="false">Sens!$I$4558+step_in</f>
        <v>-0.030385172031133</v>
      </c>
      <c r="K4558" s="28" t="n">
        <f aca="false">Sens!$J$4558+step_in</f>
        <v>-0.030385172031133</v>
      </c>
      <c r="L4558" s="28" t="n">
        <f aca="false">Sens!$K$4558</f>
        <v>-0.030385172031133</v>
      </c>
      <c r="M4558" s="28" t="n">
        <f aca="false">Sens!$L$4558</f>
        <v>-0.030385172031133</v>
      </c>
      <c r="N4558" s="28" t="n">
        <f aca="false">(Sens!$N$4559-Sens!$N$4555+Sens!$N$4557)/Sens!$N$4556</f>
        <v>-0.0216602600421776</v>
      </c>
      <c r="O4558" s="28" t="n">
        <f aca="false">(Sens!$O$4559-Sens!$O$4555+Sens!$O$4557)/Sens!$O$4556</f>
        <v>-0.0387552477482538</v>
      </c>
      <c r="P4558" s="8" t="s">
        <v>724</v>
      </c>
    </row>
    <row r="4559" customFormat="false" ht="17.15" hidden="false" customHeight="false" outlineLevel="0" collapsed="false">
      <c r="A4559" s="1" t="s">
        <v>730</v>
      </c>
      <c r="B4559" s="8" t="s">
        <v>86</v>
      </c>
      <c r="C4559" s="38" t="n">
        <f aca="false">Q!$D$23</f>
        <v>3.792</v>
      </c>
      <c r="D4559" s="38" t="n">
        <f aca="false">Q!$E$23</f>
        <v>4.75</v>
      </c>
      <c r="E4559" s="38" t="n">
        <f aca="false">Q!$P$23</f>
        <v>3.141</v>
      </c>
      <c r="F4559" s="38" t="n">
        <f aca="false">Sens!$F$4555+Sens!$F$4556*Sens!$F$4558-Sens!$F$4557</f>
        <v>2.7687233080221</v>
      </c>
      <c r="G4559" s="38" t="n">
        <f aca="false">Sens!$E$4559+Sens!$F$4559</f>
        <v>5.9097233080221</v>
      </c>
      <c r="H4559" s="38" t="n">
        <f aca="false">Sens!$H$4555+Sens!$H$4556*Sens!$H$4558-Sens!$H$4557</f>
        <v>6.25310068557783</v>
      </c>
      <c r="I4559" s="38" t="n">
        <f aca="false">Sens!$I$4555+Sens!$I$4556*Sens!$I$4558-Sens!$I$4557</f>
        <v>6.02635396621997</v>
      </c>
      <c r="J4559" s="38" t="n">
        <f aca="false">Sens!$J$4555+Sens!$J$4556*Sens!$J$4558-Sens!$J$4557</f>
        <v>5.61873266156566</v>
      </c>
      <c r="K4559" s="38" t="n">
        <f aca="false">Sens!$K$4555+Sens!$K$4556*Sens!$K$4558-Sens!$K$4557</f>
        <v>4.97517213574524</v>
      </c>
      <c r="L4559" s="38" t="n">
        <f aca="false">Sens!$L$4555+Sens!$L$4556*Sens!$L$4558-Sens!$L$4557</f>
        <v>5.14522854459066</v>
      </c>
      <c r="M4559" s="38" t="n">
        <f aca="false">Sens!$M$4555+Sens!$M$4556*Sens!$M$4558-Sens!$M$4557</f>
        <v>6.05660614908815</v>
      </c>
      <c r="N4559" s="38" t="n">
        <f aca="false">Q!$N$23</f>
        <v>2.511</v>
      </c>
      <c r="O4559" s="38" t="n">
        <f aca="false">Q!$O$23</f>
        <v>2.239</v>
      </c>
    </row>
    <row r="4560" customFormat="false" ht="17.15" hidden="false" customHeight="false" outlineLevel="0" collapsed="false">
      <c r="A4560" s="0" t="s">
        <v>731</v>
      </c>
      <c r="B4560" s="0" t="s">
        <v>86</v>
      </c>
      <c r="C4560" s="38" t="n">
        <f aca="false">Sens!$C$4500</f>
        <v>1.64417882953695</v>
      </c>
      <c r="D4560" s="38" t="n">
        <f aca="false">Sens!$D$4500</f>
        <v>5.39125073772939</v>
      </c>
      <c r="E4560" s="38" t="n">
        <f aca="false">Sens!$E$4500</f>
        <v>3.18348617147493</v>
      </c>
      <c r="F4560" s="38" t="n">
        <f aca="false">Sens!$F$4500</f>
        <v>8.27806059642226</v>
      </c>
      <c r="G4560" s="38" t="n">
        <f aca="false">Sens!$G$4500</f>
        <v>11.4615467678972</v>
      </c>
      <c r="H4560" s="38" t="n">
        <f aca="false">Sens!$H$4500</f>
        <v>26.1859456885487</v>
      </c>
      <c r="I4560" s="38" t="n">
        <f aca="false">Sens!$I$4500</f>
        <v>37.04424114757</v>
      </c>
      <c r="J4560" s="38" t="n">
        <f aca="false">Sens!$J$4500</f>
        <v>47.2610736233534</v>
      </c>
      <c r="K4560" s="38" t="n">
        <f aca="false">Sens!$K$4500</f>
        <v>52.0459876645985</v>
      </c>
      <c r="L4560" s="38" t="n">
        <f aca="false">Sens!$L$4500</f>
        <v>54.1033156405981</v>
      </c>
      <c r="M4560" s="38" t="n">
        <f aca="false">Sens!$M$4500</f>
        <v>52.1138209393421</v>
      </c>
      <c r="N4560" s="38" t="n">
        <f aca="false">Sens!$N$4500</f>
        <v>1.67921600037079</v>
      </c>
      <c r="O4560" s="38" t="n">
        <f aca="false">Sens!$O$4500</f>
        <v>3.71203473735861</v>
      </c>
    </row>
    <row r="4561" customFormat="false" ht="17.15" hidden="false" customHeight="false" outlineLevel="0" collapsed="false">
      <c r="A4561" s="0" t="s">
        <v>649</v>
      </c>
      <c r="B4561" s="0" t="s">
        <v>86</v>
      </c>
      <c r="C4561" s="38" t="n">
        <f aca="false">Sens!$C$4505</f>
        <v>38.1898211704631</v>
      </c>
      <c r="D4561" s="38" t="n">
        <f aca="false">Sens!$D$4505</f>
        <v>40.2147492622706</v>
      </c>
      <c r="E4561" s="38" t="n">
        <f aca="false">Sens!$E$4505</f>
        <v>27.5985138285251</v>
      </c>
      <c r="F4561" s="38" t="n">
        <f aca="false">Sens!$F$4505</f>
        <v>25.5484769754606</v>
      </c>
      <c r="G4561" s="38" t="n">
        <f aca="false">Sens!$G$4505</f>
        <v>53.1469908039857</v>
      </c>
      <c r="H4561" s="38" t="n">
        <f aca="false">Sens!$H$4505</f>
        <v>57.3189525076539</v>
      </c>
      <c r="I4561" s="38" t="n">
        <f aca="false">Sens!$I$4505</f>
        <v>63.6385627021087</v>
      </c>
      <c r="J4561" s="38" t="n">
        <f aca="false">Sens!$J$4505</f>
        <v>69.6922896066105</v>
      </c>
      <c r="K4561" s="38" t="n">
        <f aca="false">Sens!$K$4505</f>
        <v>75.2676727751394</v>
      </c>
      <c r="L4561" s="38" t="n">
        <f aca="false">Sens!$L$4505</f>
        <v>81.2890865971505</v>
      </c>
      <c r="M4561" s="38" t="n">
        <f aca="false">Sens!$M$4505</f>
        <v>87.7922135249226</v>
      </c>
      <c r="N4561" s="38" t="n">
        <f aca="false">Sens!$N$4505</f>
        <v>20.0277839996292</v>
      </c>
      <c r="O4561" s="38" t="n">
        <f aca="false">Sens!$O$4505</f>
        <v>20.1869652626414</v>
      </c>
    </row>
    <row r="4562" customFormat="false" ht="17.15" hidden="false" customHeight="false" outlineLevel="0" collapsed="false">
      <c r="A4562" s="1" t="s">
        <v>732</v>
      </c>
      <c r="B4562" s="8" t="s">
        <v>86</v>
      </c>
      <c r="C4562" s="38" t="n">
        <f aca="false">Q!$D$24</f>
        <v>39.834</v>
      </c>
      <c r="D4562" s="38" t="n">
        <f aca="false">Q!$E$24</f>
        <v>45.606</v>
      </c>
      <c r="E4562" s="38" t="n">
        <f aca="false">Q!$P$24</f>
        <v>30.782</v>
      </c>
      <c r="F4562" s="38" t="n">
        <f aca="false">Sens!$F$4560+Sens!$F$4561</f>
        <v>33.8265375718829</v>
      </c>
      <c r="G4562" s="38" t="n">
        <f aca="false">Sens!$G$4560+Sens!$G$4561</f>
        <v>64.6085375718829</v>
      </c>
      <c r="H4562" s="38" t="n">
        <f aca="false">Sens!$H$4560+Sens!$H$4561</f>
        <v>83.5048981962026</v>
      </c>
      <c r="I4562" s="38" t="n">
        <f aca="false">Sens!$I$4560+Sens!$I$4561</f>
        <v>100.682803849679</v>
      </c>
      <c r="J4562" s="38" t="n">
        <f aca="false">Sens!$J$4560+Sens!$J$4561</f>
        <v>116.953363229964</v>
      </c>
      <c r="K4562" s="38" t="n">
        <f aca="false">Sens!$K$4560+Sens!$K$4561</f>
        <v>127.313660439738</v>
      </c>
      <c r="L4562" s="38" t="n">
        <f aca="false">Sens!$L$4560+Sens!$L$4561</f>
        <v>135.392402237749</v>
      </c>
      <c r="M4562" s="38" t="n">
        <f aca="false">Sens!$M$4560+Sens!$M$4561</f>
        <v>139.906034464265</v>
      </c>
      <c r="N4562" s="38" t="n">
        <f aca="false">Q!$N$24</f>
        <v>21.707</v>
      </c>
      <c r="O4562" s="38" t="n">
        <f aca="false">Q!$O$24</f>
        <v>23.899</v>
      </c>
    </row>
    <row r="4563" customFormat="false" ht="17.15" hidden="false" customHeight="false" outlineLevel="0" collapsed="false">
      <c r="A4563" s="5" t="s">
        <v>733</v>
      </c>
      <c r="B4563" s="0" t="s">
        <v>86</v>
      </c>
      <c r="C4563" s="38" t="n">
        <f aca="false">Q!$D$26</f>
        <v>0</v>
      </c>
      <c r="D4563" s="38" t="n">
        <f aca="false">Q!$E$26</f>
        <v>0</v>
      </c>
      <c r="E4563" s="38" t="n">
        <f aca="false">Q!$P$26</f>
        <v>0</v>
      </c>
      <c r="F4563" s="39" t="n">
        <v>0</v>
      </c>
      <c r="G4563" s="38" t="n">
        <f aca="false">Sens!$E$4563+Sens!$F$4563</f>
        <v>0</v>
      </c>
      <c r="H4563" s="39" t="n">
        <v>0</v>
      </c>
      <c r="I4563" s="39" t="n">
        <v>0</v>
      </c>
      <c r="J4563" s="39" t="n">
        <v>0</v>
      </c>
      <c r="K4563" s="39" t="n">
        <v>0</v>
      </c>
      <c r="L4563" s="39" t="n">
        <v>0</v>
      </c>
      <c r="M4563" s="39" t="n">
        <v>0</v>
      </c>
      <c r="N4563" s="38" t="n">
        <f aca="false">Q!$N$26</f>
        <v>0</v>
      </c>
      <c r="O4563" s="38" t="n">
        <f aca="false">Q!$O$26</f>
        <v>0</v>
      </c>
    </row>
    <row r="4564" customFormat="false" ht="15" hidden="false" customHeight="false" outlineLevel="0" collapsed="false">
      <c r="A4564" s="3" t="s">
        <v>534</v>
      </c>
      <c r="B4564" s="8" t="s">
        <v>86</v>
      </c>
      <c r="C4564" s="38" t="n">
        <f aca="false">Q!$D$25</f>
        <v>68.593</v>
      </c>
      <c r="D4564" s="38" t="n">
        <f aca="false">Q!$E$25</f>
        <v>79.975</v>
      </c>
      <c r="E4564" s="38" t="n">
        <f aca="false">Q!$P$25</f>
        <v>51.313</v>
      </c>
      <c r="F4564" s="38" t="n">
        <f aca="false">Sens!$F$4554+Sens!$F$4559+Sens!$F$4562+Sens!$F$4563</f>
        <v>56.6904916268541</v>
      </c>
      <c r="G4564" s="38" t="n">
        <f aca="false">Sens!$G$4554+Sens!$G$4559+Sens!$G$4562+Sens!$G$4563</f>
        <v>108.003491626854</v>
      </c>
      <c r="H4564" s="38" t="n">
        <f aca="false">Sens!$H$4554+Sens!$H$4559+Sens!$H$4562+Sens!$H$4563</f>
        <v>130.199397328218</v>
      </c>
      <c r="I4564" s="38" t="n">
        <f aca="false">Sens!$I$4554+Sens!$I$4559+Sens!$I$4562+Sens!$I$4563</f>
        <v>148.528662484678</v>
      </c>
      <c r="J4564" s="38" t="n">
        <f aca="false">Sens!$J$4554+Sens!$J$4559+Sens!$J$4562+Sens!$J$4563</f>
        <v>165.152565613516</v>
      </c>
      <c r="K4564" s="38" t="n">
        <f aca="false">Sens!$K$4554+Sens!$K$4559+Sens!$K$4562+Sens!$K$4563</f>
        <v>174.813972506086</v>
      </c>
      <c r="L4564" s="38" t="n">
        <f aca="false">Sens!$L$4554+Sens!$L$4559+Sens!$L$4562+Sens!$L$4563</f>
        <v>185.229676214465</v>
      </c>
      <c r="M4564" s="38" t="n">
        <f aca="false">Sens!$M$4554+Sens!$M$4559+Sens!$M$4562+Sens!$M$4563</f>
        <v>194.861193381688</v>
      </c>
      <c r="N4564" s="38" t="n">
        <f aca="false">Q!$N$25</f>
        <v>37.576</v>
      </c>
      <c r="O4564" s="38" t="n">
        <f aca="false">Q!$O$25</f>
        <v>42.399</v>
      </c>
    </row>
    <row r="4565" customFormat="false" ht="17.15" hidden="false" customHeight="false" outlineLevel="0" collapsed="false">
      <c r="A4565" s="24" t="s">
        <v>764</v>
      </c>
      <c r="B4565" s="25" t="s">
        <v>86</v>
      </c>
      <c r="C4565" s="41" t="n">
        <f aca="false">Sens!$C$4554+Sens!$C$4559+Sens!$C$4562+Sens!$C$4563-Sens!$C$4564</f>
        <v>0</v>
      </c>
      <c r="D4565" s="41" t="n">
        <f aca="false">Sens!$D$4554+Sens!$D$4559+Sens!$D$4562+Sens!$D$4563-Sens!$D$4564</f>
        <v>0</v>
      </c>
      <c r="E4565" s="41" t="n">
        <f aca="false">Sens!$E$4554+Sens!$E$4559+Sens!$E$4562+Sens!$E$4563-Sens!$E$4564</f>
        <v>0</v>
      </c>
      <c r="F4565" s="41" t="n">
        <f aca="false">Sens!$F$4554+Sens!$F$4559+Sens!$F$4562+Sens!$F$4563-Sens!$F$4564</f>
        <v>0</v>
      </c>
      <c r="G4565" s="41" t="n">
        <f aca="false">Sens!$G$4554+Sens!$G$4559+Sens!$G$4562+Sens!$G$4563-Sens!$G$4564</f>
        <v>0</v>
      </c>
      <c r="H4565" s="41" t="n">
        <f aca="false">Sens!$H$4554+Sens!$H$4559+Sens!$H$4562+Sens!$H$4563-Sens!$H$4564</f>
        <v>0</v>
      </c>
      <c r="I4565" s="41" t="n">
        <f aca="false">Sens!$I$4554+Sens!$I$4559+Sens!$I$4562+Sens!$I$4563-Sens!$I$4564</f>
        <v>0</v>
      </c>
      <c r="J4565" s="41" t="n">
        <f aca="false">Sens!$J$4554+Sens!$J$4559+Sens!$J$4562+Sens!$J$4563-Sens!$J$4564</f>
        <v>0</v>
      </c>
      <c r="K4565" s="41" t="n">
        <f aca="false">Sens!$K$4554+Sens!$K$4559+Sens!$K$4562+Sens!$K$4563-Sens!$K$4564</f>
        <v>0</v>
      </c>
      <c r="L4565" s="41" t="n">
        <f aca="false">Sens!$L$4554+Sens!$L$4559+Sens!$L$4562+Sens!$L$4563-Sens!$L$4564</f>
        <v>0</v>
      </c>
      <c r="M4565" s="41" t="n">
        <f aca="false">Sens!$M$4554+Sens!$M$4559+Sens!$M$4562+Sens!$M$4563-Sens!$M$4564</f>
        <v>0</v>
      </c>
      <c r="N4565" s="41" t="n">
        <f aca="false">Sens!$N$4554+Sens!$N$4559+Sens!$N$4562+Sens!$N$4563-Sens!$N$4564</f>
        <v>0</v>
      </c>
      <c r="O4565" s="41" t="n">
        <f aca="false">Sens!$O$4554+Sens!$O$4559+Sens!$O$4562+Sens!$O$4563-Sens!$O$4564</f>
        <v>0</v>
      </c>
    </row>
    <row r="4566" customFormat="false" ht="17.15" hidden="false" customHeight="false" outlineLevel="0" collapsed="false">
      <c r="A4566" s="5" t="s">
        <v>735</v>
      </c>
      <c r="B4566" s="0" t="s">
        <v>86</v>
      </c>
      <c r="C4566" s="38" t="n">
        <f aca="false">Sens!$C$4502</f>
        <v>0</v>
      </c>
      <c r="D4566" s="38" t="n">
        <f aca="false">Sens!$D$4502</f>
        <v>0</v>
      </c>
      <c r="E4566" s="38" t="n">
        <f aca="false">Sens!$E$4502</f>
        <v>0</v>
      </c>
      <c r="F4566" s="38" t="n">
        <f aca="false">Sens!$F$4502</f>
        <v>3.77122048175818</v>
      </c>
      <c r="G4566" s="38" t="n">
        <f aca="false">Sens!$G$4502</f>
        <v>3.77122048175818</v>
      </c>
      <c r="H4566" s="38" t="n">
        <f aca="false">Sens!$H$4502</f>
        <v>15.1635543609893</v>
      </c>
      <c r="I4566" s="38" t="n">
        <f aca="false">Sens!$I$4502</f>
        <v>25.5818843619889</v>
      </c>
      <c r="J4566" s="38" t="n">
        <f aca="false">Sens!$J$4502</f>
        <v>36.0465624179122</v>
      </c>
      <c r="K4566" s="38" t="n">
        <f aca="false">Sens!$K$4502</f>
        <v>44.9741164026038</v>
      </c>
      <c r="L4566" s="38" t="n">
        <f aca="false">Sens!$L$4502</f>
        <v>50.8413488057813</v>
      </c>
      <c r="M4566" s="38" t="n">
        <f aca="false">Sens!$M$4502</f>
        <v>53.6407214274315</v>
      </c>
      <c r="N4566" s="38" t="n">
        <f aca="false">Sens!$N$4502</f>
        <v>0</v>
      </c>
      <c r="O4566" s="38" t="n">
        <f aca="false">Sens!$O$4502</f>
        <v>0</v>
      </c>
      <c r="P4566" s="5" t="s">
        <v>736</v>
      </c>
    </row>
    <row r="4567" customFormat="false" ht="17.15" hidden="false" customHeight="false" outlineLevel="0" collapsed="false">
      <c r="A4567" s="5" t="s">
        <v>737</v>
      </c>
      <c r="B4567" s="0" t="s">
        <v>86</v>
      </c>
      <c r="C4567" s="38" t="n">
        <f aca="false">Sens!$C$4564+Sens!$C$4566</f>
        <v>68.593</v>
      </c>
      <c r="D4567" s="38" t="n">
        <f aca="false">Sens!$D$4564+Sens!$D$4566</f>
        <v>79.975</v>
      </c>
      <c r="E4567" s="38" t="n">
        <f aca="false">Sens!$E$4564+Sens!$E$4566</f>
        <v>51.313</v>
      </c>
      <c r="F4567" s="38" t="n">
        <f aca="false">Sens!$F$4564+Sens!$F$4566</f>
        <v>60.4617121086123</v>
      </c>
      <c r="G4567" s="38" t="n">
        <f aca="false">Sens!$G$4564+Sens!$G$4566</f>
        <v>111.774712108612</v>
      </c>
      <c r="H4567" s="38" t="n">
        <f aca="false">Sens!$H$4564+Sens!$H$4566</f>
        <v>145.362951689207</v>
      </c>
      <c r="I4567" s="38" t="n">
        <f aca="false">Sens!$I$4564+Sens!$I$4566</f>
        <v>174.110546846667</v>
      </c>
      <c r="J4567" s="38" t="n">
        <f aca="false">Sens!$J$4564+Sens!$J$4566</f>
        <v>201.199128031428</v>
      </c>
      <c r="K4567" s="38" t="n">
        <f aca="false">Sens!$K$4564+Sens!$K$4566</f>
        <v>219.78808890869</v>
      </c>
      <c r="L4567" s="38" t="n">
        <f aca="false">Sens!$L$4564+Sens!$L$4566</f>
        <v>236.071025020246</v>
      </c>
      <c r="M4567" s="38" t="n">
        <f aca="false">Sens!$M$4564+Sens!$M$4566</f>
        <v>248.50191480912</v>
      </c>
      <c r="N4567" s="38" t="n">
        <f aca="false">Sens!$N$4564+Sens!$N$4566</f>
        <v>37.576</v>
      </c>
      <c r="O4567" s="38" t="n">
        <f aca="false">Sens!$O$4564+Sens!$O$4566</f>
        <v>42.399</v>
      </c>
    </row>
    <row r="4568" customFormat="false" ht="17.15" hidden="false" customHeight="false" outlineLevel="0" collapsed="false">
      <c r="A4568" s="0" t="s">
        <v>738</v>
      </c>
      <c r="B4568" s="0" t="s">
        <v>52</v>
      </c>
      <c r="C4568" s="13" t="n">
        <f aca="false">Sens!$C$4554/Sens!$C$4539</f>
        <v>0.0644314665661928</v>
      </c>
      <c r="D4568" s="13" t="n">
        <f aca="false">Sens!$D$4554/Sens!$D$4539</f>
        <v>0.0694784250712518</v>
      </c>
      <c r="E4568" s="13" t="n">
        <f aca="false">Sens!$E$4554/Sens!$E$4539</f>
        <v>0.0789306463326071</v>
      </c>
      <c r="F4568" s="13" t="n">
        <f aca="false">Sens!$F$4554/Sens!$F$4539</f>
        <v>0.0801757457241943</v>
      </c>
      <c r="G4568" s="13" t="n">
        <f aca="false">Sens!$G$4554/Sens!$G$4539</f>
        <v>0.0795932749625682</v>
      </c>
      <c r="H4568" s="13" t="n">
        <f aca="false">Sens!$H$4554/Sens!$H$4539</f>
        <v>0.0775650317130777</v>
      </c>
      <c r="I4568" s="13" t="n">
        <f aca="false">Sens!$I$4554/Sens!$I$4539</f>
        <v>0.0733490394108255</v>
      </c>
      <c r="J4568" s="13" t="n">
        <f aca="false">Sens!$J$4554/Sens!$J$4539</f>
        <v>0.0691924964265886</v>
      </c>
      <c r="K4568" s="13" t="n">
        <f aca="false">Sens!$K$4554/Sens!$K$4539</f>
        <v>0.0649032447117867</v>
      </c>
      <c r="L4568" s="13" t="n">
        <f aca="false">Sens!$L$4554/Sens!$L$4539</f>
        <v>0.0640463596465346</v>
      </c>
      <c r="M4568" s="13" t="n">
        <f aca="false">Sens!$M$4554/Sens!$M$4539</f>
        <v>0.0657769665590037</v>
      </c>
      <c r="N4568" s="13" t="n">
        <f aca="false">Sens!$N$4554/Sens!$N$4539</f>
        <v>0.069228576611127</v>
      </c>
      <c r="O4568" s="13" t="n">
        <f aca="false">Sens!$O$4554/Sens!$O$4539</f>
        <v>0.069685022498393</v>
      </c>
    </row>
    <row r="4569" customFormat="false" ht="17.15" hidden="false" customHeight="false" outlineLevel="0" collapsed="false">
      <c r="A4569" s="0" t="s">
        <v>739</v>
      </c>
      <c r="B4569" s="0" t="s">
        <v>52</v>
      </c>
      <c r="C4569" s="13" t="n">
        <f aca="false">Sens!$C$4559/Sens!$C$4540</f>
        <v>0.026534925055631</v>
      </c>
      <c r="D4569" s="13" t="n">
        <f aca="false">Sens!$D$4559/Sens!$D$4540</f>
        <v>0.0293401855535103</v>
      </c>
      <c r="E4569" s="13" t="n">
        <f aca="false">Sens!$E$4559/Sens!$E$4540</f>
        <v>0.03831141902276</v>
      </c>
      <c r="F4569" s="13" t="n">
        <f aca="false">Sens!$F$4559/Sens!$F$4540</f>
        <v>0.0281350107328284</v>
      </c>
      <c r="G4569" s="13" t="n">
        <f aca="false">Sens!$G$4559/Sens!$G$4540</f>
        <v>0.0327600029432073</v>
      </c>
      <c r="H4569" s="13" t="n">
        <f aca="false">Sens!$H$4559/Sens!$H$4540</f>
        <v>0.031310920057557</v>
      </c>
      <c r="I4569" s="13" t="n">
        <f aca="false">Sens!$I$4559/Sens!$I$4540</f>
        <v>0.0275950243319601</v>
      </c>
      <c r="J4569" s="13" t="n">
        <f aca="false">Sens!$J$4559/Sens!$J$4540</f>
        <v>0.0238367762099147</v>
      </c>
      <c r="K4569" s="13" t="n">
        <f aca="false">Sens!$K$4559/Sens!$K$4540</f>
        <v>0.0198239122855479</v>
      </c>
      <c r="L4569" s="13" t="n">
        <f aca="false">Sens!$L$4559/Sens!$L$4540</f>
        <v>0.0192499447238486</v>
      </c>
      <c r="M4569" s="13" t="n">
        <f aca="false">Sens!$M$4559/Sens!$M$4540</f>
        <v>0.0212700135680342</v>
      </c>
      <c r="N4569" s="13" t="n">
        <f aca="false">Sens!$N$4559/Sens!$N$4540</f>
        <v>0.0357315650169337</v>
      </c>
      <c r="O4569" s="13" t="n">
        <f aca="false">Sens!$O$4559/Sens!$O$4540</f>
        <v>0.0244378956559703</v>
      </c>
    </row>
    <row r="4570" customFormat="false" ht="17.15" hidden="false" customHeight="false" outlineLevel="0" collapsed="false">
      <c r="A4570" s="14" t="s">
        <v>740</v>
      </c>
      <c r="B4570" s="14" t="s">
        <v>52</v>
      </c>
      <c r="C4570" s="17" t="n">
        <f aca="false">Sens!$C$4562/Sens!$C$4541</f>
        <v>0.370355907620217</v>
      </c>
      <c r="D4570" s="17" t="n">
        <f aca="false">Sens!$D$4562/Sens!$D$4541</f>
        <v>0.35429015342785</v>
      </c>
      <c r="E4570" s="17" t="n">
        <f aca="false">Sens!$E$4562/Sens!$E$4541</f>
        <v>0.385647527531039</v>
      </c>
      <c r="F4570" s="17" t="n">
        <f aca="false">Sens!$F$4562/Sens!$F$4541</f>
        <v>0.390008895496028</v>
      </c>
      <c r="G4570" s="17" t="n">
        <f aca="false">Sens!$G$4562/Sens!$G$4541</f>
        <v>0.387918733944362</v>
      </c>
      <c r="H4570" s="17" t="n">
        <f aca="false">Sens!$H$4562/Sens!$H$4541</f>
        <v>0.377537651365497</v>
      </c>
      <c r="I4570" s="17" t="n">
        <f aca="false">Sens!$I$4562/Sens!$I$4541</f>
        <v>0.359230604038662</v>
      </c>
      <c r="J4570" s="17" t="n">
        <f aca="false">Sens!$J$4562/Sens!$J$4541</f>
        <v>0.345197865849801</v>
      </c>
      <c r="K4570" s="17" t="n">
        <f aca="false">Sens!$K$4562/Sens!$K$4541</f>
        <v>0.32654098357242</v>
      </c>
      <c r="L4570" s="17" t="n">
        <f aca="false">Sens!$L$4562/Sens!$L$4541</f>
        <v>0.314806978274702</v>
      </c>
      <c r="M4570" s="17" t="n">
        <f aca="false">Sens!$M$4562/Sens!$M$4541</f>
        <v>0.304503505485029</v>
      </c>
      <c r="N4570" s="17" t="n">
        <f aca="false">Sens!$N$4562/Sens!$N$4541</f>
        <v>0.360941137346192</v>
      </c>
      <c r="O4570" s="17" t="n">
        <f aca="false">Sens!$O$4562/Sens!$O$4541</f>
        <v>0.348458117664212</v>
      </c>
    </row>
    <row r="4571" customFormat="false" ht="17.15" hidden="false" customHeight="false" outlineLevel="0" collapsed="false">
      <c r="A4571" s="0" t="s">
        <v>741</v>
      </c>
      <c r="B4571" s="0" t="s">
        <v>52</v>
      </c>
      <c r="C4571" s="13" t="n">
        <f aca="false">Sens!$C$4560/Sens!$C$4542</f>
        <v>0.708390794789371</v>
      </c>
      <c r="D4571" s="13" t="n">
        <f aca="false">Sens!$D$4560/Sens!$D$4542</f>
        <v>0.619415573115729</v>
      </c>
      <c r="E4571" s="13" t="n">
        <f aca="false">Sens!$E$4560/Sens!$E$4542</f>
        <v>0.374072166056273</v>
      </c>
      <c r="F4571" s="13" t="n">
        <f aca="false">Sens!$F$4560/Sens!$F$4542</f>
        <v>0.553219320710057</v>
      </c>
      <c r="G4571" s="13" t="n">
        <f aca="false">Sens!$G$4560/Sens!$G$4542</f>
        <v>0.488270041527512</v>
      </c>
      <c r="H4571" s="13" t="n">
        <f aca="false">Sens!$H$4560/Sens!$H$4542</f>
        <v>0.435229086816882</v>
      </c>
      <c r="I4571" s="13" t="n">
        <f aca="false">Sens!$I$4560/Sens!$I$4542</f>
        <v>0.364954592421095</v>
      </c>
      <c r="J4571" s="13" t="n">
        <f aca="false">Sens!$J$4560/Sens!$J$4542</f>
        <v>0.330438308582232</v>
      </c>
      <c r="K4571" s="13" t="n">
        <f aca="false">Sens!$K$4560/Sens!$K$4542</f>
        <v>0.2916589289528</v>
      </c>
      <c r="L4571" s="13" t="n">
        <f aca="false">Sens!$L$4560/Sens!$L$4542</f>
        <v>0.268199200593258</v>
      </c>
      <c r="M4571" s="13" t="n">
        <f aca="false">Sens!$M$4560/Sens!$M$4542</f>
        <v>0.244854995033574</v>
      </c>
      <c r="N4571" s="13" t="n">
        <f aca="false">Sens!$N$4560/Sens!$N$4542</f>
        <v>0.551227795793364</v>
      </c>
      <c r="O4571" s="13" t="n">
        <f aca="false">Sens!$O$4560/Sens!$O$4542</f>
        <v>0.656132068597002</v>
      </c>
    </row>
    <row r="4572" customFormat="false" ht="15" hidden="false" customHeight="false" outlineLevel="0" collapsed="false">
      <c r="A4572" s="5" t="s">
        <v>742</v>
      </c>
      <c r="B4572" s="0" t="s">
        <v>52</v>
      </c>
      <c r="C4572" s="13" t="n">
        <f aca="false">Sens!$C$4564/Sens!$C$4544</f>
        <v>0.107519448742004</v>
      </c>
      <c r="D4572" s="13" t="n">
        <f aca="false">Sens!$D$4564/Sens!$D$4544</f>
        <v>0.111552967957552</v>
      </c>
      <c r="E4572" s="13" t="n">
        <f aca="false">Sens!$E$4564/Sens!$E$4544</f>
        <v>0.13428328426562</v>
      </c>
      <c r="F4572" s="13" t="n">
        <f aca="false">Sens!$F$4564/Sens!$F$4544</f>
        <v>0.130089413875539</v>
      </c>
      <c r="G4572" s="13" t="n">
        <f aca="false">Sens!$G$4564/Sens!$G$4544</f>
        <v>0.132048786678316</v>
      </c>
      <c r="H4572" s="13" t="n">
        <f aca="false">Sens!$H$4564/Sens!$H$4544</f>
        <v>0.138174870567997</v>
      </c>
      <c r="I4572" s="13" t="n">
        <f aca="false">Sens!$I$4564/Sens!$I$4544</f>
        <v>0.138967315170449</v>
      </c>
      <c r="J4572" s="13" t="n">
        <f aca="false">Sens!$J$4564/Sens!$J$4544</f>
        <v>0.138794241328753</v>
      </c>
      <c r="K4572" s="13" t="n">
        <f aca="false">Sens!$K$4564/Sens!$K$4544</f>
        <v>0.134880855501327</v>
      </c>
      <c r="L4572" s="13" t="n">
        <f aca="false">Sens!$L$4564/Sens!$L$4544</f>
        <v>0.132764589447429</v>
      </c>
      <c r="M4572" s="13" t="n">
        <f aca="false">Sens!$M$4564/Sens!$M$4544</f>
        <v>0.130989950640367</v>
      </c>
      <c r="N4572" s="13" t="n">
        <f aca="false">Sens!$N$4564/Sens!$N$4544</f>
        <v>0.116201614873411</v>
      </c>
      <c r="O4572" s="13" t="n">
        <f aca="false">Sens!$O$4564/Sens!$O$4544</f>
        <v>0.107733353660861</v>
      </c>
    </row>
    <row r="4573" customFormat="false" ht="17.15" hidden="false" customHeight="false" outlineLevel="0" collapsed="false">
      <c r="A4573" s="1" t="s">
        <v>743</v>
      </c>
    </row>
    <row r="4574" customFormat="false" ht="17.15" hidden="false" customHeight="false" outlineLevel="0" collapsed="false">
      <c r="A4574" s="5" t="s">
        <v>744</v>
      </c>
      <c r="B4574" s="0" t="s">
        <v>52</v>
      </c>
      <c r="D4574" s="28" t="n">
        <f aca="false">(Q!$E$29+Q!$E$30-(1-ext_sh)*Sens!$D$4496)/Sens!$D$4450</f>
        <v>0.0341105596409988</v>
      </c>
    </row>
    <row r="4575" customFormat="false" ht="17.15" hidden="false" customHeight="false" outlineLevel="0" collapsed="false">
      <c r="A4575" s="0" t="s">
        <v>538</v>
      </c>
      <c r="B4575" s="0" t="s">
        <v>86</v>
      </c>
      <c r="C4575" s="38" t="n">
        <f aca="false">Q!$D$29</f>
        <v>14.285</v>
      </c>
      <c r="D4575" s="38" t="n">
        <f aca="false">Q!$E$29</f>
        <v>15.503</v>
      </c>
      <c r="E4575" s="38" t="n">
        <f aca="false">Q!$P$29</f>
        <v>8.78</v>
      </c>
      <c r="F4575" s="38" t="n">
        <f aca="false">(Sens!$D$4574*Sens!$F$4450+(1-ext_sh)*Sens!$F$4496)*Sens!$F$4451</f>
        <v>9.16735846116642</v>
      </c>
      <c r="G4575" s="38" t="n">
        <f aca="false">Sens!$E$4575+Sens!$F$4575</f>
        <v>17.9473584611664</v>
      </c>
      <c r="H4575" s="38" t="n">
        <f aca="false">(Sens!$D$4574*Sens!$H$4450+(1-ext_sh)*Sens!$H$4496)*Sens!$H$4451</f>
        <v>21.6406723110177</v>
      </c>
      <c r="I4575" s="38" t="n">
        <f aca="false">(Sens!$D$4574*Sens!$I$4450+(1-ext_sh)*Sens!$I$4496)*Sens!$I$4451</f>
        <v>27.3128215555087</v>
      </c>
      <c r="J4575" s="38" t="n">
        <f aca="false">(Sens!$D$4574*Sens!$J$4450+(1-ext_sh)*Sens!$J$4496)*Sens!$J$4451</f>
        <v>33.0116861885756</v>
      </c>
      <c r="K4575" s="38" t="n">
        <f aca="false">(Sens!$D$4574*Sens!$K$4450+(1-ext_sh)*Sens!$K$4496)*Sens!$K$4451</f>
        <v>38.6250238720245</v>
      </c>
      <c r="L4575" s="38" t="n">
        <f aca="false">(Sens!$D$4574*Sens!$L$4450+(1-ext_sh)*Sens!$L$4496)*Sens!$L$4451</f>
        <v>43.0711535197861</v>
      </c>
      <c r="M4575" s="38" t="n">
        <f aca="false">(Sens!$D$4574*Sens!$M$4450+(1-ext_sh)*Sens!$M$4496)*Sens!$M$4451</f>
        <v>46.590728630326</v>
      </c>
      <c r="N4575" s="38" t="n">
        <f aca="false">Q!$N$29</f>
        <v>7.272</v>
      </c>
      <c r="O4575" s="38" t="n">
        <f aca="false">Q!$O$29</f>
        <v>8.231</v>
      </c>
    </row>
    <row r="4576" customFormat="false" ht="17.15" hidden="false" customHeight="false" outlineLevel="0" collapsed="false">
      <c r="A4576" s="0" t="s">
        <v>540</v>
      </c>
      <c r="B4576" s="0" t="s">
        <v>86</v>
      </c>
      <c r="C4576" s="38" t="n">
        <f aca="false">Q!$D$30</f>
        <v>4.462</v>
      </c>
      <c r="D4576" s="38" t="n">
        <f aca="false">Q!$E$30</f>
        <v>4.907</v>
      </c>
      <c r="E4576" s="38" t="n">
        <f aca="false">Q!$P$30</f>
        <v>2.57</v>
      </c>
      <c r="F4576" s="38" t="n">
        <f aca="false">(Sens!$D$4574*Sens!$F$4450+(1-ext_sh)*Sens!$F$4496)*(1-Sens!$F$4451)</f>
        <v>3.59937168293151</v>
      </c>
      <c r="G4576" s="38" t="n">
        <f aca="false">Sens!$E$4576+Sens!$F$4576</f>
        <v>6.16937168293151</v>
      </c>
      <c r="H4576" s="38" t="n">
        <f aca="false">(Sens!$D$4574*Sens!$H$4450+(1-ext_sh)*Sens!$H$4496)*(1-Sens!$H$4451)</f>
        <v>8.28915290031442</v>
      </c>
      <c r="I4576" s="38" t="n">
        <f aca="false">(Sens!$D$4574*Sens!$I$4450+(1-ext_sh)*Sens!$I$4496)*(1-Sens!$I$4451)</f>
        <v>10.4617892992793</v>
      </c>
      <c r="J4576" s="38" t="n">
        <f aca="false">(Sens!$D$4574*Sens!$J$4450+(1-ext_sh)*Sens!$J$4496)*(1-Sens!$J$4451)</f>
        <v>12.6446586493057</v>
      </c>
      <c r="K4576" s="38" t="n">
        <f aca="false">(Sens!$D$4574*Sens!$K$4450+(1-ext_sh)*Sens!$K$4496)*(1-Sens!$K$4451)</f>
        <v>14.7947681131192</v>
      </c>
      <c r="L4576" s="38" t="n">
        <f aca="false">(Sens!$D$4574*Sens!$L$4450+(1-ext_sh)*Sens!$L$4496)*(1-Sens!$L$4451)</f>
        <v>16.4977950771268</v>
      </c>
      <c r="M4576" s="38" t="n">
        <f aca="false">(Sens!$D$4574*Sens!$M$4450+(1-ext_sh)*Sens!$M$4496)*(1-Sens!$M$4451)</f>
        <v>17.8459184540772</v>
      </c>
      <c r="N4576" s="38" t="n">
        <f aca="false">Q!$N$30</f>
        <v>2.316</v>
      </c>
      <c r="O4576" s="38" t="n">
        <f aca="false">Q!$O$30</f>
        <v>2.591</v>
      </c>
    </row>
    <row r="4577" customFormat="false" ht="17.15" hidden="false" customHeight="false" outlineLevel="0" collapsed="false">
      <c r="A4577" s="0" t="s">
        <v>541</v>
      </c>
      <c r="B4577" s="0" t="s">
        <v>86</v>
      </c>
      <c r="C4577" s="38" t="n">
        <f aca="false">Sens!$C$4508</f>
        <v>13.32</v>
      </c>
      <c r="D4577" s="38" t="n">
        <f aca="false">Sens!$D$4508</f>
        <v>21.45</v>
      </c>
      <c r="E4577" s="38" t="n">
        <f aca="false">Sens!$E$4508</f>
        <v>15.353</v>
      </c>
      <c r="F4577" s="38" t="n">
        <f aca="false">Sens!$F$4508</f>
        <v>15.4404120185306</v>
      </c>
      <c r="G4577" s="38" t="n">
        <f aca="false">Sens!$G$4508</f>
        <v>30.7934120185306</v>
      </c>
      <c r="H4577" s="38" t="n">
        <f aca="false">Sens!$H$4508</f>
        <v>48.250114371455</v>
      </c>
      <c r="I4577" s="38" t="n">
        <f aca="false">Sens!$I$4508</f>
        <v>73.3965146995963</v>
      </c>
      <c r="J4577" s="38" t="n">
        <f aca="false">Sens!$J$4508</f>
        <v>99.22806138309</v>
      </c>
      <c r="K4577" s="38" t="n">
        <f aca="false">Sens!$K$4508</f>
        <v>125.386627452856</v>
      </c>
      <c r="L4577" s="38" t="n">
        <f aca="false">Sens!$L$4508</f>
        <v>144.77239043275</v>
      </c>
      <c r="M4577" s="38" t="n">
        <f aca="false">Sens!$M$4508</f>
        <v>158.693930910983</v>
      </c>
      <c r="N4577" s="38" t="n">
        <f aca="false">Sens!$N$4508</f>
        <v>9.234</v>
      </c>
      <c r="O4577" s="38" t="n">
        <f aca="false">Sens!$O$4508</f>
        <v>12.216</v>
      </c>
    </row>
    <row r="4578" customFormat="false" ht="17.15" hidden="false" customHeight="false" outlineLevel="0" collapsed="false">
      <c r="A4578" s="5" t="s">
        <v>745</v>
      </c>
      <c r="B4578" s="0" t="s">
        <v>86</v>
      </c>
      <c r="C4578" s="38" t="n">
        <f aca="false">Sens!$C$4575+Sens!$C$4576+Sens!$C$4577</f>
        <v>32.067</v>
      </c>
      <c r="D4578" s="38" t="n">
        <f aca="false">Sens!$D$4575+Sens!$D$4576+Sens!$D$4577</f>
        <v>41.86</v>
      </c>
      <c r="E4578" s="38" t="n">
        <f aca="false">Sens!$E$4575+Sens!$E$4576+Sens!$E$4577</f>
        <v>26.703</v>
      </c>
      <c r="F4578" s="38" t="n">
        <f aca="false">Sens!$F$4575+Sens!$F$4576+Sens!$F$4577</f>
        <v>28.2071421626285</v>
      </c>
      <c r="G4578" s="38" t="n">
        <f aca="false">Sens!$G$4575+Sens!$G$4576+Sens!$G$4577</f>
        <v>54.9101421626285</v>
      </c>
      <c r="H4578" s="38" t="n">
        <f aca="false">Sens!$H$4575+Sens!$H$4576+Sens!$H$4577</f>
        <v>78.1799395827871</v>
      </c>
      <c r="I4578" s="38" t="n">
        <f aca="false">Sens!$I$4575+Sens!$I$4576+Sens!$I$4577</f>
        <v>111.171125554384</v>
      </c>
      <c r="J4578" s="38" t="n">
        <f aca="false">Sens!$J$4575+Sens!$J$4576+Sens!$J$4577</f>
        <v>144.884406220971</v>
      </c>
      <c r="K4578" s="38" t="n">
        <f aca="false">Sens!$K$4575+Sens!$K$4576+Sens!$K$4577</f>
        <v>178.806419437999</v>
      </c>
      <c r="L4578" s="38" t="n">
        <f aca="false">Sens!$L$4575+Sens!$L$4576+Sens!$L$4577</f>
        <v>204.341339029663</v>
      </c>
      <c r="M4578" s="38" t="n">
        <f aca="false">Sens!$M$4575+Sens!$M$4576+Sens!$M$4577</f>
        <v>223.130577995387</v>
      </c>
      <c r="N4578" s="38" t="n">
        <f aca="false">Sens!$N$4575+Sens!$N$4576+Sens!$N$4577</f>
        <v>18.822</v>
      </c>
      <c r="O4578" s="38" t="n">
        <f aca="false">Sens!$O$4575+Sens!$O$4576+Sens!$O$4577</f>
        <v>23.038</v>
      </c>
    </row>
    <row r="4579" customFormat="false" ht="17.15" hidden="false" customHeight="false" outlineLevel="0" collapsed="false">
      <c r="A4579" s="0" t="s">
        <v>746</v>
      </c>
      <c r="B4579" s="0" t="s">
        <v>86</v>
      </c>
      <c r="C4579" s="38" t="n">
        <f aca="false">Sens!$C$4550+Sens!$C$4555</f>
        <v>28.107</v>
      </c>
      <c r="D4579" s="38" t="n">
        <f aca="false">Sens!$D$4550+Sens!$D$4555</f>
        <v>34.3175</v>
      </c>
      <c r="E4579" s="38" t="n">
        <f aca="false">Sens!$E$4550+Sens!$E$4555</f>
        <v>18.526</v>
      </c>
      <c r="F4579" s="38" t="n">
        <f aca="false">Sens!$F$4550+Sens!$F$4555</f>
        <v>23.0786109972074</v>
      </c>
      <c r="G4579" s="38" t="n">
        <f aca="false">Sens!$G$4550+Sens!$G$4555</f>
        <v>41.6046109972074</v>
      </c>
      <c r="H4579" s="38" t="n">
        <f aca="false">Sens!$H$4550+Sens!$H$4555</f>
        <v>49.9484611939488</v>
      </c>
      <c r="I4579" s="38" t="n">
        <f aca="false">Sens!$I$4550+Sens!$I$4555</f>
        <v>58.2915555477481</v>
      </c>
      <c r="J4579" s="38" t="n">
        <f aca="false">Sens!$J$4550+Sens!$J$4555</f>
        <v>66.0744709709759</v>
      </c>
      <c r="K4579" s="38" t="n">
        <f aca="false">Sens!$K$4550+Sens!$K$4555</f>
        <v>72.6819180680735</v>
      </c>
      <c r="L4579" s="38" t="n">
        <f aca="false">Sens!$L$4550+Sens!$L$4555</f>
        <v>79.9501098748808</v>
      </c>
      <c r="M4579" s="38" t="n">
        <f aca="false">Sens!$M$4550+Sens!$M$4555</f>
        <v>87.9451208623689</v>
      </c>
      <c r="N4579" s="38" t="n">
        <f aca="false">Sens!$N$4550+Sens!$N$4555</f>
        <v>14.8075</v>
      </c>
      <c r="O4579" s="38" t="n">
        <f aca="false">Sens!$O$4550+Sens!$O$4555</f>
        <v>19.51</v>
      </c>
    </row>
    <row r="4580" customFormat="false" ht="17.15" hidden="false" customHeight="false" outlineLevel="0" collapsed="false">
      <c r="A4580" s="0" t="s">
        <v>747</v>
      </c>
      <c r="B4580" s="0" t="s">
        <v>86</v>
      </c>
      <c r="C4580" s="38" t="n">
        <f aca="false">Sens!$C$4554+Sens!$C$4559+Sens!$C$4575+Sens!$C$4576-Sens!$C$4579</f>
        <v>19.399</v>
      </c>
      <c r="D4580" s="38" t="n">
        <f aca="false">Sens!$D$4554+Sens!$D$4559+Sens!$D$4575+Sens!$D$4576-Sens!$D$4579</f>
        <v>20.4615</v>
      </c>
      <c r="E4580" s="38" t="n">
        <f aca="false">Sens!$E$4554+Sens!$E$4559+Sens!$E$4575+Sens!$E$4576-Sens!$E$4579</f>
        <v>13.355</v>
      </c>
      <c r="F4580" s="38" t="n">
        <f aca="false">Sens!$F$4554+Sens!$F$4559+Sens!$F$4575+Sens!$F$4576-Sens!$F$4579</f>
        <v>12.5520732018618</v>
      </c>
      <c r="G4580" s="38" t="n">
        <f aca="false">Sens!$G$4554+Sens!$G$4559+Sens!$G$4575+Sens!$G$4576-Sens!$G$4579</f>
        <v>25.9070732018618</v>
      </c>
      <c r="H4580" s="38" t="n">
        <f aca="false">Sens!$H$4554+Sens!$H$4559+Sens!$H$4575+Sens!$H$4576-Sens!$H$4579</f>
        <v>26.6758631493982</v>
      </c>
      <c r="I4580" s="38" t="n">
        <f aca="false">Sens!$I$4554+Sens!$I$4559+Sens!$I$4575+Sens!$I$4576-Sens!$I$4579</f>
        <v>27.3289139420395</v>
      </c>
      <c r="J4580" s="38" t="n">
        <f aca="false">Sens!$J$4554+Sens!$J$4559+Sens!$J$4575+Sens!$J$4576-Sens!$J$4579</f>
        <v>27.7810762504576</v>
      </c>
      <c r="K4580" s="38" t="n">
        <f aca="false">Sens!$K$4554+Sens!$K$4559+Sens!$K$4575+Sens!$K$4576-Sens!$K$4579</f>
        <v>28.2381859834183</v>
      </c>
      <c r="L4580" s="38" t="n">
        <f aca="false">Sens!$L$4554+Sens!$L$4559+Sens!$L$4575+Sens!$L$4576-Sens!$L$4579</f>
        <v>29.4561126987485</v>
      </c>
      <c r="M4580" s="38" t="n">
        <f aca="false">Sens!$M$4554+Sens!$M$4559+Sens!$M$4575+Sens!$M$4576-Sens!$M$4579</f>
        <v>31.4466851394579</v>
      </c>
      <c r="N4580" s="38" t="n">
        <f aca="false">Sens!$N$4554+Sens!$N$4559+Sens!$N$4575+Sens!$N$4576-Sens!$N$4579</f>
        <v>10.6495</v>
      </c>
      <c r="O4580" s="38" t="n">
        <f aca="false">Sens!$O$4554+Sens!$O$4559+Sens!$O$4575+Sens!$O$4576-Sens!$O$4579</f>
        <v>9.81200000000001</v>
      </c>
    </row>
    <row r="4581" customFormat="false" ht="17.15" hidden="false" customHeight="false" outlineLevel="0" collapsed="false">
      <c r="A4581" s="0" t="s">
        <v>748</v>
      </c>
      <c r="B4581" s="0" t="s">
        <v>86</v>
      </c>
      <c r="C4581" s="38" t="n">
        <f aca="false">Sens!$C$4561+Sens!$C$4577-ext_sh*Sens!$C$4496</f>
        <v>51.3470500115664</v>
      </c>
      <c r="D4581" s="38" t="n">
        <f aca="false">Sens!$D$4561+Sens!$D$4577-ext_sh*Sens!$D$4496</f>
        <v>60.2799375433739</v>
      </c>
      <c r="E4581" s="38" t="n">
        <f aca="false">Sens!$E$4561+Sens!$E$4577-ext_sh*Sens!$E$4496</f>
        <v>39.5095167090767</v>
      </c>
      <c r="F4581" s="38" t="n">
        <f aca="false">Sens!$F$4561+Sens!$F$4577-ext_sh*Sens!$F$4496</f>
        <v>37.5468918745429</v>
      </c>
      <c r="G4581" s="38" t="n">
        <f aca="false">Sens!$G$4561+Sens!$G$4577-ext_sh*Sens!$G$4496</f>
        <v>77.0564085836196</v>
      </c>
      <c r="H4581" s="38" t="n">
        <f aca="false">Sens!$H$4561+Sens!$H$4577-ext_sh*Sens!$H$4496</f>
        <v>84.2378398616123</v>
      </c>
      <c r="I4581" s="38" t="n">
        <f aca="false">Sens!$I$4561+Sens!$I$4577-ext_sh*Sens!$I$4496</f>
        <v>93.5253492849083</v>
      </c>
      <c r="J4581" s="38" t="n">
        <f aca="false">Sens!$J$4561+Sens!$J$4577-ext_sh*Sens!$J$4496</f>
        <v>102.42210777817</v>
      </c>
      <c r="K4581" s="38" t="n">
        <f aca="false">Sens!$K$4561+Sens!$K$4577-ext_sh*Sens!$K$4496</f>
        <v>110.615876400424</v>
      </c>
      <c r="L4581" s="38" t="n">
        <f aca="false">Sens!$L$4561+Sens!$L$4577-ext_sh*Sens!$L$4496</f>
        <v>119.465146512458</v>
      </c>
      <c r="M4581" s="38" t="n">
        <f aca="false">Sens!$M$4561+Sens!$M$4577-ext_sh*Sens!$M$4496</f>
        <v>129.022358233455</v>
      </c>
      <c r="N4581" s="38" t="n">
        <f aca="false">Sens!$N$4561+Sens!$N$4577-ext_sh*Sens!$N$4496</f>
        <v>28.5693781401809</v>
      </c>
      <c r="O4581" s="38" t="n">
        <f aca="false">Sens!$O$4561+Sens!$O$4577-ext_sh*Sens!$O$4496</f>
        <v>31.7105594031931</v>
      </c>
    </row>
    <row r="4582" customFormat="false" ht="17.15" hidden="false" customHeight="false" outlineLevel="0" collapsed="false">
      <c r="A4582" s="0" t="s">
        <v>749</v>
      </c>
      <c r="B4582" s="0" t="s">
        <v>86</v>
      </c>
      <c r="C4582" s="38" t="n">
        <f aca="false">Sens!$C$4499</f>
        <v>1.80694998843362</v>
      </c>
      <c r="D4582" s="38" t="n">
        <f aca="false">Sens!$D$4499</f>
        <v>6.77606245662607</v>
      </c>
      <c r="E4582" s="38" t="n">
        <f aca="false">Sens!$E$4499</f>
        <v>6.62548329092326</v>
      </c>
      <c r="F4582" s="38" t="n">
        <f aca="false">Sens!$F$4499</f>
        <v>11.7200577158706</v>
      </c>
      <c r="G4582" s="38" t="n">
        <f aca="false">Sens!$G$4499</f>
        <v>18.3455410067939</v>
      </c>
      <c r="H4582" s="38" t="n">
        <f aca="false">Sens!$H$4499</f>
        <v>47.5171727060453</v>
      </c>
      <c r="I4582" s="38" t="n">
        <f aca="false">Sens!$I$4499</f>
        <v>80.5539692643667</v>
      </c>
      <c r="J4582" s="38" t="n">
        <f aca="false">Sens!$J$4499</f>
        <v>113.759316834883</v>
      </c>
      <c r="K4582" s="38" t="n">
        <f aca="false">Sens!$K$4499</f>
        <v>142.084411492169</v>
      </c>
      <c r="L4582" s="38" t="n">
        <f aca="false">Sens!$L$4499</f>
        <v>160.69964615804</v>
      </c>
      <c r="M4582" s="38" t="n">
        <f aca="false">Sens!$M$4499</f>
        <v>169.577607141793</v>
      </c>
      <c r="N4582" s="38" t="n">
        <f aca="false">Sens!$N$4499</f>
        <v>2.37162185981912</v>
      </c>
      <c r="O4582" s="38" t="n">
        <f aca="false">Sens!$O$4499</f>
        <v>4.40444059680694</v>
      </c>
    </row>
    <row r="4583" customFormat="false" ht="17.15" hidden="false" customHeight="false" outlineLevel="0" collapsed="false">
      <c r="A4583" s="0" t="s">
        <v>750</v>
      </c>
      <c r="B4583" s="0" t="s">
        <v>86</v>
      </c>
      <c r="C4583" s="38" t="n">
        <f aca="false">Sens!$C$4564+Sens!$C$4578</f>
        <v>100.66</v>
      </c>
      <c r="D4583" s="38" t="n">
        <f aca="false">Sens!$D$4564+Sens!$D$4578</f>
        <v>121.835</v>
      </c>
      <c r="E4583" s="38" t="n">
        <f aca="false">Sens!$E$4564+Sens!$E$4578</f>
        <v>78.016</v>
      </c>
      <c r="F4583" s="38" t="n">
        <f aca="false">Sens!$F$4564+Sens!$F$4578</f>
        <v>84.8976337894826</v>
      </c>
      <c r="G4583" s="38" t="n">
        <f aca="false">Sens!$G$4564+Sens!$G$4578</f>
        <v>162.913633789483</v>
      </c>
      <c r="H4583" s="38" t="n">
        <f aca="false">Sens!$H$4564+Sens!$H$4578</f>
        <v>208.379336911005</v>
      </c>
      <c r="I4583" s="38" t="n">
        <f aca="false">Sens!$I$4564+Sens!$I$4578</f>
        <v>259.699788039063</v>
      </c>
      <c r="J4583" s="38" t="n">
        <f aca="false">Sens!$J$4564+Sens!$J$4578</f>
        <v>310.036971834487</v>
      </c>
      <c r="K4583" s="38" t="n">
        <f aca="false">Sens!$K$4564+Sens!$K$4578</f>
        <v>353.620391944085</v>
      </c>
      <c r="L4583" s="38" t="n">
        <f aca="false">Sens!$L$4564+Sens!$L$4578</f>
        <v>389.571015244128</v>
      </c>
      <c r="M4583" s="38" t="n">
        <f aca="false">Sens!$M$4564+Sens!$M$4578</f>
        <v>417.991771377075</v>
      </c>
      <c r="N4583" s="38" t="n">
        <f aca="false">Sens!$N$4564+Sens!$N$4578</f>
        <v>56.398</v>
      </c>
      <c r="O4583" s="38" t="n">
        <f aca="false">Sens!$O$4564+Sens!$O$4578</f>
        <v>65.437</v>
      </c>
    </row>
    <row r="4584" customFormat="false" ht="17.15" hidden="false" customHeight="false" outlineLevel="0" collapsed="false">
      <c r="A4584" s="1" t="s">
        <v>751</v>
      </c>
    </row>
    <row r="4585" customFormat="false" ht="15" hidden="false" customHeight="false" outlineLevel="0" collapsed="false">
      <c r="A4585" s="5" t="s">
        <v>544</v>
      </c>
      <c r="B4585" s="0" t="s">
        <v>86</v>
      </c>
      <c r="C4585" s="38" t="n">
        <f aca="false">Q!$D$34</f>
        <v>2.406</v>
      </c>
      <c r="D4585" s="38" t="n">
        <f aca="false">Q!$E$34</f>
        <v>2.274</v>
      </c>
      <c r="E4585" s="38" t="n">
        <f aca="false">Q!$P$34</f>
        <v>2.114</v>
      </c>
      <c r="F4585" s="38" t="n">
        <f aca="false">Sens!$F$4623</f>
        <v>3.24888962733561</v>
      </c>
      <c r="G4585" s="38" t="n">
        <f aca="false">Sens!$E$4585+Sens!$F$4585</f>
        <v>5.36288962733561</v>
      </c>
      <c r="H4585" s="38" t="n">
        <f aca="false">Sens!$H$4623</f>
        <v>7.42354172302123</v>
      </c>
      <c r="I4585" s="38" t="n">
        <f aca="false">Sens!$I$4623</f>
        <v>8.56016925673661</v>
      </c>
      <c r="J4585" s="38" t="n">
        <f aca="false">Sens!$J$4623</f>
        <v>9.8626593203771</v>
      </c>
      <c r="K4585" s="38" t="n">
        <f aca="false">Sens!$K$4623</f>
        <v>9.8626593203771</v>
      </c>
      <c r="L4585" s="38" t="n">
        <f aca="false">Sens!$L$4623</f>
        <v>9.8626593203771</v>
      </c>
      <c r="M4585" s="38" t="n">
        <f aca="false">Sens!$M$4623</f>
        <v>9.8626593203771</v>
      </c>
      <c r="N4585" s="38" t="n">
        <f aca="false">Q!$N$34</f>
        <v>1.057</v>
      </c>
      <c r="O4585" s="38" t="n">
        <f aca="false">Q!$O$34</f>
        <v>1.217</v>
      </c>
    </row>
    <row r="4586" customFormat="false" ht="15" hidden="false" customHeight="false" outlineLevel="0" collapsed="false">
      <c r="A4586" s="5" t="s">
        <v>752</v>
      </c>
      <c r="B4586" s="0" t="s">
        <v>86</v>
      </c>
      <c r="F4586" s="38" t="n">
        <f aca="false">Sens!$F$4624</f>
        <v>2.59</v>
      </c>
      <c r="H4586" s="38" t="n">
        <f aca="false">Sens!$H$4624</f>
        <v>3.76965165045626</v>
      </c>
      <c r="I4586" s="38" t="n">
        <f aca="false">Sens!$I$4624</f>
        <v>2.10589651022864</v>
      </c>
      <c r="J4586" s="38" t="n">
        <f aca="false">Sens!$J$4624</f>
        <v>2.10589651022864</v>
      </c>
      <c r="K4586" s="38" t="n">
        <f aca="false">Sens!$K$4624</f>
        <v>2.86110743846386</v>
      </c>
      <c r="L4586" s="38" t="n">
        <f aca="false">Sens!$L$4624</f>
        <v>7.60510443988371</v>
      </c>
      <c r="M4586" s="38" t="n">
        <f aca="false">Sens!$M$4624</f>
        <v>14.7952932048102</v>
      </c>
    </row>
    <row r="4587" customFormat="false" ht="17.15" hidden="false" customHeight="false" outlineLevel="0" collapsed="false">
      <c r="A4587" s="5" t="s">
        <v>753</v>
      </c>
      <c r="B4587" s="0" t="s">
        <v>86</v>
      </c>
      <c r="C4587" s="38" t="n">
        <f aca="false">Q!$D$39</f>
        <v>2.427</v>
      </c>
      <c r="D4587" s="38" t="n">
        <f aca="false">Q!$E$39</f>
        <v>19.61</v>
      </c>
      <c r="E4587" s="38" t="n">
        <f aca="false">Q!$P$39</f>
        <v>71.492</v>
      </c>
      <c r="F4587" s="39" t="n">
        <v>0</v>
      </c>
      <c r="G4587" s="38" t="n">
        <f aca="false">Sens!$E$4587+Sens!$F$4587</f>
        <v>71.492</v>
      </c>
      <c r="H4587" s="39" t="n">
        <v>0</v>
      </c>
      <c r="I4587" s="39" t="n">
        <v>0</v>
      </c>
      <c r="J4587" s="39" t="n">
        <v>0</v>
      </c>
      <c r="K4587" s="39" t="n">
        <v>0</v>
      </c>
      <c r="L4587" s="39" t="n">
        <v>0</v>
      </c>
      <c r="M4587" s="39" t="n">
        <v>0</v>
      </c>
      <c r="N4587" s="38" t="n">
        <f aca="false">Q!$N$39</f>
        <v>6.017</v>
      </c>
      <c r="O4587" s="38" t="n">
        <f aca="false">Q!$O$39</f>
        <v>13.593</v>
      </c>
      <c r="P4587" s="5" t="s">
        <v>754</v>
      </c>
    </row>
    <row r="4588" customFormat="false" ht="15" hidden="false" customHeight="false" outlineLevel="0" collapsed="false">
      <c r="A4588" s="5" t="s">
        <v>547</v>
      </c>
      <c r="B4588" s="0" t="s">
        <v>86</v>
      </c>
      <c r="C4588" s="38" t="n">
        <f aca="false">Q!$D$36</f>
        <v>68.614</v>
      </c>
      <c r="D4588" s="38" t="n">
        <f aca="false">Q!$E$36</f>
        <v>97.311</v>
      </c>
      <c r="E4588" s="38" t="n">
        <f aca="false">Q!$P$36</f>
        <v>120.691</v>
      </c>
      <c r="F4588" s="38" t="n">
        <f aca="false">Sens!$F$4564-Sens!$F$4585+Sens!$F$4586+Sens!$F$4587</f>
        <v>56.0316019995185</v>
      </c>
      <c r="G4588" s="38" t="n">
        <f aca="false">Sens!$E$4588+Sens!$F$4588</f>
        <v>176.722601999518</v>
      </c>
      <c r="H4588" s="38" t="n">
        <f aca="false">Sens!$H$4564-Sens!$H$4585+Sens!$H$4586+Sens!$H$4587</f>
        <v>126.545507255653</v>
      </c>
      <c r="I4588" s="38" t="n">
        <f aca="false">Sens!$I$4564-Sens!$I$4585+Sens!$I$4586+Sens!$I$4587</f>
        <v>142.07438973817</v>
      </c>
      <c r="J4588" s="38" t="n">
        <f aca="false">Sens!$J$4564-Sens!$J$4585+Sens!$J$4586+Sens!$J$4587</f>
        <v>157.395802803368</v>
      </c>
      <c r="K4588" s="38" t="n">
        <f aca="false">Sens!$K$4564-Sens!$K$4585+Sens!$K$4586+Sens!$K$4587</f>
        <v>167.812420624173</v>
      </c>
      <c r="L4588" s="38" t="n">
        <f aca="false">Sens!$L$4564-Sens!$L$4585+Sens!$L$4586+Sens!$L$4587</f>
        <v>182.972121333972</v>
      </c>
      <c r="M4588" s="38" t="n">
        <f aca="false">Sens!$M$4564-Sens!$M$4585+Sens!$M$4586+Sens!$M$4587</f>
        <v>199.793827266121</v>
      </c>
      <c r="N4588" s="38" t="n">
        <f aca="false">Q!$N$36</f>
        <v>42.536</v>
      </c>
      <c r="O4588" s="38" t="n">
        <f aca="false">Q!$O$36</f>
        <v>54.775</v>
      </c>
    </row>
    <row r="4589" customFormat="false" ht="15" hidden="false" customHeight="false" outlineLevel="0" collapsed="false">
      <c r="A4589" s="5" t="s">
        <v>548</v>
      </c>
      <c r="B4589" s="0" t="s">
        <v>86</v>
      </c>
      <c r="C4589" s="38" t="n">
        <f aca="false">Q!$D$37</f>
        <v>9.265</v>
      </c>
      <c r="D4589" s="38" t="n">
        <f aca="false">Q!$E$37</f>
        <v>19.087</v>
      </c>
      <c r="E4589" s="38" t="n">
        <f aca="false">Q!$P$37</f>
        <v>27.759</v>
      </c>
      <c r="F4589" s="38" t="n">
        <f aca="false">Sens!$F$4588*tax</f>
        <v>9.72621910890414</v>
      </c>
      <c r="G4589" s="38" t="n">
        <f aca="false">Sens!$E$4589+Sens!$F$4589</f>
        <v>37.4852191089041</v>
      </c>
      <c r="H4589" s="38" t="n">
        <f aca="false">Sens!$H$4588*tax</f>
        <v>21.96634197299</v>
      </c>
      <c r="I4589" s="38" t="n">
        <f aca="false">Sens!$I$4588*tax</f>
        <v>24.6619156876714</v>
      </c>
      <c r="J4589" s="38" t="n">
        <f aca="false">Sens!$J$4588*tax</f>
        <v>27.3214759217589</v>
      </c>
      <c r="K4589" s="38" t="n">
        <f aca="false">Sens!$K$4588*tax</f>
        <v>29.1296395951755</v>
      </c>
      <c r="L4589" s="38" t="n">
        <f aca="false">Sens!$L$4588*tax</f>
        <v>31.7611290666024</v>
      </c>
      <c r="M4589" s="38" t="n">
        <f aca="false">Sens!$M$4588*tax</f>
        <v>34.6811169277927</v>
      </c>
      <c r="N4589" s="38" t="n">
        <f aca="false">Q!$N$37</f>
        <v>7.231</v>
      </c>
      <c r="O4589" s="38" t="n">
        <f aca="false">Q!$O$37</f>
        <v>11.856</v>
      </c>
    </row>
    <row r="4590" customFormat="false" ht="15" hidden="false" customHeight="false" outlineLevel="0" collapsed="false">
      <c r="A4590" s="3" t="s">
        <v>549</v>
      </c>
      <c r="B4590" s="8" t="s">
        <v>86</v>
      </c>
      <c r="C4590" s="38" t="n">
        <f aca="false">Q!$D$38</f>
        <v>59.248</v>
      </c>
      <c r="D4590" s="38" t="n">
        <f aca="false">Q!$E$38</f>
        <v>77.67</v>
      </c>
      <c r="E4590" s="38" t="n">
        <f aca="false">Q!$P$38</f>
        <v>92.902</v>
      </c>
      <c r="F4590" s="38" t="n">
        <f aca="false">Sens!$F$4588-Sens!$F$4589</f>
        <v>46.3053828906144</v>
      </c>
      <c r="G4590" s="38" t="n">
        <f aca="false">Sens!$E$4590+Sens!$F$4590</f>
        <v>139.207382890614</v>
      </c>
      <c r="H4590" s="38" t="n">
        <f aca="false">Sens!$H$4588-Sens!$H$4589</f>
        <v>104.579165282663</v>
      </c>
      <c r="I4590" s="38" t="n">
        <f aca="false">Sens!$I$4588-Sens!$I$4589</f>
        <v>117.412474050499</v>
      </c>
      <c r="J4590" s="38" t="n">
        <f aca="false">Sens!$J$4588-Sens!$J$4589</f>
        <v>130.074326881609</v>
      </c>
      <c r="K4590" s="38" t="n">
        <f aca="false">Sens!$K$4588-Sens!$K$4589</f>
        <v>138.682781028997</v>
      </c>
      <c r="L4590" s="38" t="n">
        <f aca="false">Sens!$L$4588-Sens!$L$4589</f>
        <v>151.210992267369</v>
      </c>
      <c r="M4590" s="38" t="n">
        <f aca="false">Sens!$M$4588-Sens!$M$4589</f>
        <v>165.112710338329</v>
      </c>
      <c r="N4590" s="38" t="n">
        <f aca="false">Q!$N$38</f>
        <v>35.291</v>
      </c>
      <c r="O4590" s="38" t="n">
        <f aca="false">Q!$O$38</f>
        <v>42.379</v>
      </c>
    </row>
    <row r="4591" customFormat="false" ht="17.15" hidden="false" customHeight="false" outlineLevel="0" collapsed="false">
      <c r="A4591" s="5" t="s">
        <v>552</v>
      </c>
      <c r="B4591" s="5" t="s">
        <v>33</v>
      </c>
      <c r="C4591" s="22" t="n">
        <f aca="false">Q!$D$41</f>
        <v>10.721</v>
      </c>
      <c r="D4591" s="22" t="n">
        <f aca="false">Q!$E$41</f>
        <v>10.827</v>
      </c>
      <c r="E4591" s="22" t="n">
        <f aca="false">(Q!$L$41+Q!$M$41)/2</f>
        <v>10.8885</v>
      </c>
      <c r="F4591" s="22" t="n">
        <f aca="false">Sens!$G$4591</f>
        <v>10.924806</v>
      </c>
      <c r="G4591" s="22" t="n">
        <f aca="false">Q!$M$41*(1+sh_g*0.25)</f>
        <v>10.924806</v>
      </c>
      <c r="H4591" s="22" t="n">
        <f aca="false">Sens!$G$4591*(1+sh_g)</f>
        <v>11.012204448</v>
      </c>
      <c r="I4591" s="22" t="n">
        <f aca="false">Sens!$H$4591*(1+sh_g)</f>
        <v>11.100302083584</v>
      </c>
      <c r="J4591" s="22" t="n">
        <f aca="false">Sens!$I$4591*(1+sh_g)</f>
        <v>11.1891045002527</v>
      </c>
      <c r="K4591" s="22" t="n">
        <f aca="false">Sens!$J$4591*(1+sh_g)</f>
        <v>11.2786173362547</v>
      </c>
      <c r="L4591" s="22" t="n">
        <f aca="false">Sens!$K$4591*(1+sh_g)</f>
        <v>11.3688462749447</v>
      </c>
      <c r="M4591" s="22" t="n">
        <f aca="false">Sens!$L$4591*(1+sh_g)</f>
        <v>11.4597970451443</v>
      </c>
      <c r="P4591" s="5" t="s">
        <v>755</v>
      </c>
    </row>
    <row r="4592" customFormat="false" ht="17.15" hidden="false" customHeight="false" outlineLevel="0" collapsed="false">
      <c r="A4592" s="5" t="s">
        <v>756</v>
      </c>
      <c r="B4592" s="0" t="s">
        <v>86</v>
      </c>
      <c r="C4592" s="38" t="n">
        <f aca="false">Sens!$C$4590+Sens!$C$4566*(1-tax)</f>
        <v>59.248</v>
      </c>
      <c r="D4592" s="38" t="n">
        <f aca="false">Sens!$D$4590+Sens!$D$4566*(1-tax)</f>
        <v>77.67</v>
      </c>
      <c r="E4592" s="38" t="n">
        <f aca="false">Sens!$E$4590+Sens!$E$4566*(1-tax)</f>
        <v>92.902</v>
      </c>
      <c r="F4592" s="38" t="n">
        <f aca="false">Sens!$F$4590+Sens!$F$4566*(1-tax)</f>
        <v>49.421977850263</v>
      </c>
      <c r="G4592" s="38" t="n">
        <f aca="false">Sens!$G$4590+Sens!$G$4566*(1-tax)</f>
        <v>142.323977850263</v>
      </c>
      <c r="H4592" s="38" t="n">
        <f aca="false">Sens!$H$4590+Sens!$H$4566*(1-tax)</f>
        <v>117.110561238007</v>
      </c>
      <c r="I4592" s="38" t="n">
        <f aca="false">Sens!$I$4590+Sens!$I$4566*(1-tax)</f>
        <v>138.553739125438</v>
      </c>
      <c r="J4592" s="38" t="n">
        <f aca="false">Sens!$J$4590+Sens!$J$4566*(1-tax)</f>
        <v>159.863763825892</v>
      </c>
      <c r="K4592" s="38" t="n">
        <f aca="false">Sens!$K$4590+Sens!$K$4566*(1-tax)</f>
        <v>175.850086725656</v>
      </c>
      <c r="L4592" s="38" t="n">
        <f aca="false">Sens!$L$4590+Sens!$L$4566*(1-tax)</f>
        <v>193.227069607925</v>
      </c>
      <c r="M4592" s="38" t="n">
        <f aca="false">Sens!$M$4590+Sens!$M$4566*(1-tax)</f>
        <v>209.442232529169</v>
      </c>
      <c r="N4592" s="38" t="n">
        <f aca="false">Sens!$N$4590+Sens!$N$4566*(1-tax)</f>
        <v>35.291</v>
      </c>
      <c r="O4592" s="38" t="n">
        <f aca="false">Sens!$O$4590+Sens!$O$4566*(1-tax)</f>
        <v>42.379</v>
      </c>
    </row>
    <row r="4593" customFormat="false" ht="17.15" hidden="false" customHeight="false" outlineLevel="0" collapsed="false">
      <c r="A4593" s="43" t="s">
        <v>757</v>
      </c>
      <c r="B4593" s="14" t="s">
        <v>27</v>
      </c>
      <c r="C4593" s="44" t="n">
        <f aca="false">Sens!$C$4592/Sens!$C$4591</f>
        <v>5.52635015390355</v>
      </c>
      <c r="D4593" s="44" t="n">
        <f aca="false">Sens!$D$4592/Sens!$D$4591</f>
        <v>7.1737323358271</v>
      </c>
      <c r="E4593" s="44" t="n">
        <f aca="false">Sens!$E$4592/Sens!$E$4591</f>
        <v>8.53212104513937</v>
      </c>
      <c r="F4593" s="14"/>
      <c r="G4593" s="44" t="n">
        <f aca="false">Sens!$G$4592/Sens!$G$4591</f>
        <v>13.0275977303636</v>
      </c>
      <c r="H4593" s="44" t="n">
        <f aca="false">Sens!$H$4592/Sens!$H$4591</f>
        <v>10.6346156022627</v>
      </c>
      <c r="I4593" s="44" t="n">
        <f aca="false">Sens!$I$4592/Sens!$I$4591</f>
        <v>12.4819791463461</v>
      </c>
      <c r="J4593" s="44" t="n">
        <f aca="false">Sens!$J$4592/Sens!$J$4591</f>
        <v>14.2874493505966</v>
      </c>
      <c r="K4593" s="44" t="n">
        <f aca="false">Sens!$K$4592/Sens!$K$4591</f>
        <v>15.5914578430099</v>
      </c>
      <c r="L4593" s="44" t="n">
        <f aca="false">Sens!$L$4592/Sens!$L$4591</f>
        <v>16.9961898450302</v>
      </c>
      <c r="M4593" s="44" t="n">
        <f aca="false">Sens!$M$4592/Sens!$M$4591</f>
        <v>18.2762601906561</v>
      </c>
      <c r="N4593" s="14"/>
      <c r="O4593" s="14"/>
    </row>
    <row r="4594" customFormat="false" ht="17.15" hidden="false" customHeight="false" outlineLevel="0" collapsed="false">
      <c r="A4594" s="0" t="s">
        <v>758</v>
      </c>
      <c r="B4594" s="0" t="s">
        <v>27</v>
      </c>
      <c r="C4594" s="30" t="n">
        <f aca="false">Sens!$C$4590/Sens!$C$4591</f>
        <v>5.52635015390355</v>
      </c>
      <c r="D4594" s="30" t="n">
        <f aca="false">Sens!$D$4590/Sens!$D$4591</f>
        <v>7.1737323358271</v>
      </c>
      <c r="E4594" s="30" t="n">
        <f aca="false">Sens!$E$4590/Sens!$E$4591</f>
        <v>8.53212104513937</v>
      </c>
      <c r="G4594" s="30" t="n">
        <f aca="false">Sens!$G$4590/Sens!$G$4591</f>
        <v>12.7423208147233</v>
      </c>
      <c r="H4594" s="30" t="n">
        <f aca="false">Sens!$H$4590/Sens!$H$4591</f>
        <v>9.49666034411991</v>
      </c>
      <c r="I4594" s="30" t="n">
        <f aca="false">Sens!$I$4590/Sens!$I$4591</f>
        <v>10.5774125034072</v>
      </c>
      <c r="J4594" s="30" t="n">
        <f aca="false">Sens!$J$4590/Sens!$J$4591</f>
        <v>11.6250882167265</v>
      </c>
      <c r="K4594" s="30" t="n">
        <f aca="false">Sens!$K$4590/Sens!$K$4591</f>
        <v>12.2960799976081</v>
      </c>
      <c r="L4594" s="30" t="n">
        <f aca="false">Sens!$L$4590/Sens!$L$4591</f>
        <v>13.3004694241153</v>
      </c>
      <c r="M4594" s="30" t="n">
        <f aca="false">Sens!$M$4590/Sens!$M$4591</f>
        <v>14.4079960306356</v>
      </c>
    </row>
    <row r="4595" customFormat="false" ht="17.15" hidden="false" customHeight="false" outlineLevel="0" collapsed="false">
      <c r="A4595" s="0" t="s">
        <v>759</v>
      </c>
      <c r="B4595" s="0" t="s">
        <v>27</v>
      </c>
      <c r="C4595" s="30" t="n">
        <f aca="false">(Sens!$C$4590-Sens!$C$4587*(1-tax))/Sens!$C$4591</f>
        <v>5.33926775917445</v>
      </c>
      <c r="D4595" s="30" t="n">
        <f aca="false">(Sens!$D$4590-Sens!$D$4587*(1-tax))/Sens!$D$4591</f>
        <v>5.67691812755503</v>
      </c>
      <c r="E4595" s="30" t="n">
        <f aca="false">(Sens!$E$4590-Sens!$E$4587*(1-tax))/Sens!$E$4591</f>
        <v>3.10602057006846</v>
      </c>
      <c r="G4595" s="30" t="n">
        <f aca="false">(Sens!$G$4590-Sens!$G$4587*(1-tax))/Sens!$G$4591</f>
        <v>7.33425269682635</v>
      </c>
      <c r="H4595" s="30" t="n">
        <f aca="false">(Sens!$H$4590-Sens!$H$4587*(1-tax))/Sens!$H$4591</f>
        <v>9.49666034411991</v>
      </c>
      <c r="I4595" s="30" t="n">
        <f aca="false">(Sens!$I$4590-Sens!$I$4587*(1-tax))/Sens!$I$4591</f>
        <v>10.5774125034072</v>
      </c>
      <c r="J4595" s="30" t="n">
        <f aca="false">(Sens!$J$4590-Sens!$J$4587*(1-tax))/Sens!$J$4591</f>
        <v>11.6250882167265</v>
      </c>
      <c r="K4595" s="30" t="n">
        <f aca="false">(Sens!$K$4590-Sens!$K$4587*(1-tax))/Sens!$K$4591</f>
        <v>12.2960799976081</v>
      </c>
      <c r="L4595" s="30" t="n">
        <f aca="false">(Sens!$L$4590-Sens!$L$4587*(1-tax))/Sens!$L$4591</f>
        <v>13.3004694241153</v>
      </c>
      <c r="M4595" s="30" t="n">
        <f aca="false">(Sens!$M$4590-Sens!$M$4587*(1-tax))/Sens!$M$4591</f>
        <v>14.4079960306356</v>
      </c>
      <c r="P4595" s="5" t="s">
        <v>760</v>
      </c>
    </row>
    <row r="4596" customFormat="false" ht="17.15" hidden="false" customHeight="false" outlineLevel="0" collapsed="false">
      <c r="A4596" s="0" t="s">
        <v>761</v>
      </c>
      <c r="B4596" s="0" t="s">
        <v>52</v>
      </c>
      <c r="H4596" s="13" t="n">
        <f aca="false">Sens!$H$4593/Sens!$G$4593-1</f>
        <v>-0.183685601722533</v>
      </c>
      <c r="I4596" s="13" t="n">
        <f aca="false">Sens!$I$4593/Sens!$H$4593-1</f>
        <v>0.173712300770928</v>
      </c>
      <c r="J4596" s="13" t="n">
        <f aca="false">Sens!$J$4593/Sens!$I$4593-1</f>
        <v>0.144646148105363</v>
      </c>
      <c r="K4596" s="13" t="n">
        <f aca="false">Sens!$K$4593/Sens!$J$4593-1</f>
        <v>0.0912695093724976</v>
      </c>
      <c r="L4596" s="13" t="n">
        <f aca="false">Sens!$L$4593/Sens!$K$4593-1</f>
        <v>0.0900962575895368</v>
      </c>
      <c r="M4596" s="13" t="n">
        <f aca="false">Sens!$M$4593/Sens!$L$4593-1</f>
        <v>0.0753151357626343</v>
      </c>
    </row>
    <row r="4599" customFormat="false" ht="19.4" hidden="false" customHeight="false" outlineLevel="0" collapsed="false">
      <c r="A4599" s="31" t="s">
        <v>1228</v>
      </c>
    </row>
    <row r="4600" customFormat="false" ht="17.15" hidden="false" customHeight="false" outlineLevel="0" collapsed="false">
      <c r="A4600" s="6" t="s">
        <v>16</v>
      </c>
      <c r="B4600" s="6" t="s">
        <v>17</v>
      </c>
      <c r="C4600" s="20" t="s">
        <v>497</v>
      </c>
      <c r="D4600" s="20" t="s">
        <v>498</v>
      </c>
      <c r="E4600" s="20" t="s">
        <v>580</v>
      </c>
      <c r="F4600" s="20" t="s">
        <v>581</v>
      </c>
      <c r="G4600" s="20" t="s">
        <v>582</v>
      </c>
      <c r="H4600" s="20" t="s">
        <v>583</v>
      </c>
      <c r="I4600" s="20" t="s">
        <v>584</v>
      </c>
      <c r="J4600" s="20" t="s">
        <v>585</v>
      </c>
      <c r="K4600" s="20" t="s">
        <v>586</v>
      </c>
      <c r="L4600" s="20" t="s">
        <v>587</v>
      </c>
      <c r="M4600" s="20" t="s">
        <v>588</v>
      </c>
      <c r="N4600" s="20" t="s">
        <v>589</v>
      </c>
      <c r="O4600" s="20" t="s">
        <v>590</v>
      </c>
      <c r="P4600" s="6" t="s">
        <v>23</v>
      </c>
      <c r="R4600" s="20" t="n">
        <v>2023</v>
      </c>
      <c r="S4600" s="20" t="n">
        <v>2024</v>
      </c>
      <c r="T4600" s="20" t="n">
        <v>2025</v>
      </c>
      <c r="U4600" s="20" t="n">
        <v>2026</v>
      </c>
      <c r="V4600" s="20" t="n">
        <v>2027</v>
      </c>
      <c r="W4600" s="20" t="n">
        <v>2028</v>
      </c>
      <c r="X4600" s="20" t="n">
        <v>2029</v>
      </c>
      <c r="Y4600" s="20" t="n">
        <v>2030</v>
      </c>
      <c r="Z4600" s="20" t="n">
        <v>2031</v>
      </c>
      <c r="AA4600" s="20" t="n">
        <v>2032</v>
      </c>
    </row>
    <row r="4601" customFormat="false" ht="15" hidden="false" customHeight="false" outlineLevel="0" collapsed="false">
      <c r="A4601" s="5" t="s">
        <v>549</v>
      </c>
      <c r="B4601" s="0" t="s">
        <v>86</v>
      </c>
      <c r="C4601" s="38" t="n">
        <f aca="false">Sens!$C$4590</f>
        <v>59.248</v>
      </c>
      <c r="D4601" s="38" t="n">
        <f aca="false">Sens!$D$4590</f>
        <v>77.67</v>
      </c>
      <c r="E4601" s="38" t="n">
        <f aca="false">Sens!$E$4590</f>
        <v>92.902</v>
      </c>
      <c r="F4601" s="38" t="n">
        <f aca="false">Sens!$F$4590</f>
        <v>46.3053828906144</v>
      </c>
      <c r="G4601" s="38" t="n">
        <f aca="false">Sens!$G$4590</f>
        <v>139.207382890614</v>
      </c>
      <c r="H4601" s="38" t="n">
        <f aca="false">Sens!$H$4590</f>
        <v>104.579165282663</v>
      </c>
      <c r="I4601" s="38" t="n">
        <f aca="false">Sens!$I$4590</f>
        <v>117.412474050499</v>
      </c>
      <c r="J4601" s="38" t="n">
        <f aca="false">Sens!$J$4590</f>
        <v>130.074326881609</v>
      </c>
      <c r="K4601" s="38" t="n">
        <f aca="false">Sens!$K$4590</f>
        <v>138.682781028997</v>
      </c>
      <c r="L4601" s="38" t="n">
        <f aca="false">Sens!$L$4590</f>
        <v>151.210992267369</v>
      </c>
      <c r="M4601" s="38" t="n">
        <f aca="false">Sens!$M$4590</f>
        <v>165.112710338329</v>
      </c>
    </row>
    <row r="4602" customFormat="false" ht="17.15" hidden="false" customHeight="false" outlineLevel="0" collapsed="false">
      <c r="A4602" s="5" t="s">
        <v>784</v>
      </c>
      <c r="B4602" s="0" t="s">
        <v>86</v>
      </c>
      <c r="C4602" s="38" t="n">
        <f aca="false">Sens!$C$4578</f>
        <v>32.067</v>
      </c>
      <c r="D4602" s="38" t="n">
        <f aca="false">Sens!$D$4578</f>
        <v>41.86</v>
      </c>
      <c r="E4602" s="38" t="n">
        <f aca="false">Sens!$E$4578</f>
        <v>26.703</v>
      </c>
      <c r="F4602" s="38" t="n">
        <f aca="false">Sens!$F$4578</f>
        <v>28.2071421626285</v>
      </c>
      <c r="G4602" s="38" t="n">
        <f aca="false">Sens!$G$4578</f>
        <v>54.9101421626285</v>
      </c>
      <c r="H4602" s="38" t="n">
        <f aca="false">Sens!$H$4578</f>
        <v>78.1799395827871</v>
      </c>
      <c r="I4602" s="38" t="n">
        <f aca="false">Sens!$I$4578</f>
        <v>111.171125554384</v>
      </c>
      <c r="J4602" s="38" t="n">
        <f aca="false">Sens!$J$4578</f>
        <v>144.884406220971</v>
      </c>
      <c r="K4602" s="38" t="n">
        <f aca="false">Sens!$K$4578</f>
        <v>178.806419437999</v>
      </c>
      <c r="L4602" s="38" t="n">
        <f aca="false">Sens!$L$4578</f>
        <v>204.341339029663</v>
      </c>
      <c r="M4602" s="38" t="n">
        <f aca="false">Sens!$M$4578</f>
        <v>223.130577995387</v>
      </c>
    </row>
    <row r="4603" customFormat="false" ht="15" hidden="false" customHeight="false" outlineLevel="0" collapsed="false">
      <c r="A4603" s="5" t="s">
        <v>785</v>
      </c>
      <c r="B4603" s="0" t="s">
        <v>86</v>
      </c>
      <c r="C4603" s="38" t="n">
        <f aca="false">Q!$D$48</f>
        <v>22.011</v>
      </c>
      <c r="D4603" s="38" t="n">
        <f aca="false">Q!$E$48</f>
        <v>19.467</v>
      </c>
      <c r="E4603" s="38" t="n">
        <f aca="false">Q!$P$48</f>
        <v>10.07</v>
      </c>
      <c r="F4603" s="38" t="n">
        <f aca="false">sbc_r*Sens!$F$4520</f>
        <v>10.8507035798037</v>
      </c>
      <c r="G4603" s="38" t="n">
        <f aca="false">Sens!$E$4603+Sens!$F$4603</f>
        <v>20.9207035798037</v>
      </c>
      <c r="H4603" s="38" t="n">
        <f aca="false">sbc_r*Sens!$H$4520</f>
        <v>23.46224366345</v>
      </c>
      <c r="I4603" s="38" t="n">
        <f aca="false">sbc_r*Sens!$I$4520</f>
        <v>26.6125957111676</v>
      </c>
      <c r="J4603" s="38" t="n">
        <f aca="false">sbc_r*Sens!$J$4520</f>
        <v>29.6280801413323</v>
      </c>
      <c r="K4603" s="38" t="n">
        <f aca="false">sbc_r*Sens!$K$4520</f>
        <v>32.2712258901105</v>
      </c>
      <c r="L4603" s="38" t="n">
        <f aca="false">sbc_r*Sens!$L$4520</f>
        <v>34.7390505016737</v>
      </c>
      <c r="M4603" s="38" t="n">
        <f aca="false">sbc_r*Sens!$M$4520</f>
        <v>37.0405146906692</v>
      </c>
    </row>
    <row r="4604" customFormat="false" ht="17.15" hidden="false" customHeight="false" outlineLevel="0" collapsed="false">
      <c r="A4604" s="5" t="s">
        <v>786</v>
      </c>
      <c r="B4604" s="0" t="s">
        <v>86</v>
      </c>
      <c r="C4604" s="38" t="n">
        <f aca="false">Q!$D$44-Sens!$C$4601-Sens!$C$4602-Sens!$C$4603</f>
        <v>2.551</v>
      </c>
      <c r="D4604" s="38" t="n">
        <f aca="false">Q!$E$44-Sens!$D$4601-Sens!$D$4602-Sens!$D$4603</f>
        <v>0.51700000000001</v>
      </c>
      <c r="E4604" s="38" t="n">
        <f aca="false">Q!$P$44-Sens!$E$4601-Sens!$E$4602-Sens!$E$4603</f>
        <v>-58.256</v>
      </c>
      <c r="F4604" s="38" t="n">
        <f aca="false">oth_r*Sens!$F$4520</f>
        <v>5.22265251035878</v>
      </c>
      <c r="G4604" s="38" t="n">
        <f aca="false">Sens!$E$4604+Sens!$F$4604</f>
        <v>-53.0333474896412</v>
      </c>
      <c r="H4604" s="38" t="n">
        <f aca="false">oth_r*Sens!$H$4520</f>
        <v>11.2928295263397</v>
      </c>
      <c r="I4604" s="38" t="n">
        <f aca="false">oth_r*Sens!$I$4520</f>
        <v>12.8091546115766</v>
      </c>
      <c r="J4604" s="38" t="n">
        <f aca="false">oth_r*Sens!$J$4520</f>
        <v>14.2605653162668</v>
      </c>
      <c r="K4604" s="38" t="n">
        <f aca="false">oth_r*Sens!$K$4520</f>
        <v>15.5327622460396</v>
      </c>
      <c r="L4604" s="38" t="n">
        <f aca="false">oth_r*Sens!$L$4520</f>
        <v>16.720573737517</v>
      </c>
      <c r="M4604" s="38" t="n">
        <f aca="false">oth_r*Sens!$M$4520</f>
        <v>17.8283127551536</v>
      </c>
      <c r="P4604" s="8" t="s">
        <v>787</v>
      </c>
    </row>
    <row r="4605" customFormat="false" ht="15" hidden="false" customHeight="false" outlineLevel="0" collapsed="false">
      <c r="A4605" s="3" t="s">
        <v>555</v>
      </c>
      <c r="B4605" s="8" t="s">
        <v>86</v>
      </c>
      <c r="C4605" s="38" t="n">
        <f aca="false">Q!$D$44</f>
        <v>115.877</v>
      </c>
      <c r="D4605" s="38" t="n">
        <f aca="false">Q!$E$44</f>
        <v>139.514</v>
      </c>
      <c r="E4605" s="38" t="n">
        <f aca="false">Q!$P$44</f>
        <v>71.419</v>
      </c>
      <c r="F4605" s="38" t="n">
        <f aca="false">Sens!$F$4601+Sens!$F$4602+Sens!$F$4603+Sens!$F$4604</f>
        <v>90.5858811434053</v>
      </c>
      <c r="G4605" s="38" t="n">
        <f aca="false">Sens!$E$4605+Sens!$F$4605</f>
        <v>162.004881143405</v>
      </c>
      <c r="H4605" s="38" t="n">
        <f aca="false">Sens!$H$4601+Sens!$H$4602+Sens!$H$4603+Sens!$H$4604</f>
        <v>217.514178055239</v>
      </c>
      <c r="I4605" s="38" t="n">
        <f aca="false">Sens!$I$4601+Sens!$I$4602+Sens!$I$4603+Sens!$I$4604</f>
        <v>268.005349927627</v>
      </c>
      <c r="J4605" s="38" t="n">
        <f aca="false">Sens!$J$4601+Sens!$J$4602+Sens!$J$4603+Sens!$J$4604</f>
        <v>318.847378560179</v>
      </c>
      <c r="K4605" s="38" t="n">
        <f aca="false">Sens!$K$4601+Sens!$K$4602+Sens!$K$4603+Sens!$K$4604</f>
        <v>365.293188603147</v>
      </c>
      <c r="L4605" s="38" t="n">
        <f aca="false">Sens!$L$4601+Sens!$L$4602+Sens!$L$4603+Sens!$L$4604</f>
        <v>407.011955536223</v>
      </c>
      <c r="M4605" s="38" t="n">
        <f aca="false">Sens!$M$4601+Sens!$M$4602+Sens!$M$4603+Sens!$M$4604</f>
        <v>443.112115779538</v>
      </c>
    </row>
    <row r="4606" customFormat="false" ht="17.15" hidden="false" customHeight="false" outlineLevel="0" collapsed="false">
      <c r="A4606" s="5" t="s">
        <v>788</v>
      </c>
      <c r="B4606" s="0" t="s">
        <v>86</v>
      </c>
      <c r="C4606" s="38" t="n">
        <f aca="false">Sens!$C$4487</f>
        <v>25.2781053077374</v>
      </c>
      <c r="D4606" s="38" t="n">
        <f aca="false">Sens!$D$4487</f>
        <v>69.5686316310026</v>
      </c>
      <c r="E4606" s="38" t="n">
        <f aca="false">Sens!$E$4487</f>
        <v>64.1899206485108</v>
      </c>
      <c r="F4606" s="38" t="n">
        <f aca="false">Sens!$F$4487</f>
        <v>96.2481299895</v>
      </c>
      <c r="G4606" s="38" t="n">
        <f aca="false">Sens!$G$4487</f>
        <v>160.438050638011</v>
      </c>
      <c r="H4606" s="38" t="n">
        <f aca="false">Sens!$H$4487</f>
        <v>198.57136494475</v>
      </c>
      <c r="I4606" s="38" t="n">
        <f aca="false">Sens!$I$4487</f>
        <v>204.6464699105</v>
      </c>
      <c r="J4606" s="38" t="n">
        <f aca="false">Sens!$J$4487</f>
        <v>209.8832381105</v>
      </c>
      <c r="K4606" s="38" t="n">
        <f aca="false">Sens!$K$4487</f>
        <v>155.238385275201</v>
      </c>
      <c r="L4606" s="38" t="n">
        <f aca="false">Sens!$L$4487</f>
        <v>132.014141639902</v>
      </c>
      <c r="M4606" s="38" t="n">
        <f aca="false">Sens!$M$4487</f>
        <v>132.230981659852</v>
      </c>
    </row>
    <row r="4607" customFormat="false" ht="17.15" hidden="false" customHeight="false" outlineLevel="0" collapsed="false">
      <c r="A4607" s="5" t="s">
        <v>789</v>
      </c>
      <c r="B4607" s="0" t="s">
        <v>86</v>
      </c>
      <c r="C4607" s="38" t="n">
        <f aca="false">cx_awso*Sens!$C$4518</f>
        <v>21.0469989286053</v>
      </c>
      <c r="D4607" s="38" t="n">
        <f aca="false">cx_awso*Sens!$D$4518</f>
        <v>24.0042459822698</v>
      </c>
      <c r="E4607" s="38" t="n">
        <f aca="false">cx_awso*Sens!$E$4518</f>
        <v>14.261729404886</v>
      </c>
      <c r="F4607" s="38" t="n">
        <f aca="false">cx_awso*Sens!$F$4518</f>
        <v>14.3538599588493</v>
      </c>
      <c r="G4607" s="38" t="n">
        <f aca="false">Sens!$E$4607+Sens!$F$4607</f>
        <v>28.6155893637353</v>
      </c>
      <c r="H4607" s="38" t="n">
        <f aca="false">cx_awso*Sens!$H$4518</f>
        <v>32.2034154158406</v>
      </c>
      <c r="I4607" s="38" t="n">
        <f aca="false">cx_awso*Sens!$I$4518</f>
        <v>35.7539519042915</v>
      </c>
      <c r="J4607" s="38" t="n">
        <f aca="false">cx_awso*Sens!$J$4518</f>
        <v>39.1551076091815</v>
      </c>
      <c r="K4607" s="38" t="n">
        <f aca="false">cx_awso*Sens!$K$4518</f>
        <v>42.287516217916</v>
      </c>
      <c r="L4607" s="38" t="n">
        <f aca="false">cx_awso*Sens!$L$4518</f>
        <v>45.6705175153492</v>
      </c>
      <c r="M4607" s="38" t="n">
        <f aca="false">cx_awso*Sens!$M$4518</f>
        <v>49.3241589165772</v>
      </c>
    </row>
    <row r="4608" customFormat="false" ht="17.15" hidden="false" customHeight="false" outlineLevel="0" collapsed="false">
      <c r="A4608" s="5" t="s">
        <v>790</v>
      </c>
      <c r="B4608" s="0" t="s">
        <v>86</v>
      </c>
      <c r="C4608" s="38" t="n">
        <f aca="false">Q!$D$46-Sens!$C$4606-Sens!$C$4607</f>
        <v>31.3328957636573</v>
      </c>
      <c r="D4608" s="38" t="n">
        <f aca="false">Q!$E$46-Sens!$D$4606-Sens!$D$4607</f>
        <v>34.7471223867276</v>
      </c>
      <c r="E4608" s="38" t="n">
        <f aca="false">Q!$P$46-Sens!$E$4606-Sens!$E$4607</f>
        <v>17.8583499466032</v>
      </c>
      <c r="F4608" s="38" t="n">
        <f aca="false">cx_rt*Sens!$F$4450</f>
        <v>20.6195895799373</v>
      </c>
      <c r="G4608" s="38" t="n">
        <f aca="false">Sens!$E$4608+Sens!$F$4608</f>
        <v>38.4779395265405</v>
      </c>
      <c r="H4608" s="38" t="n">
        <f aca="false">cx_rt*Sens!$H$4450</f>
        <v>42.5978994743075</v>
      </c>
      <c r="I4608" s="38" t="n">
        <f aca="false">cx_rt*Sens!$I$4450</f>
        <v>46.5813904136335</v>
      </c>
      <c r="J4608" s="38" t="n">
        <f aca="false">cx_rt*Sens!$J$4450</f>
        <v>50.2781676586844</v>
      </c>
      <c r="K4608" s="38" t="n">
        <f aca="false">cx_rt*Sens!$K$4450</f>
        <v>53.5312440191755</v>
      </c>
      <c r="L4608" s="38" t="n">
        <f aca="false">cx_rt*Sens!$L$4450</f>
        <v>57.0116717051447</v>
      </c>
      <c r="M4608" s="38" t="n">
        <f aca="false">cx_rt*Sens!$M$4450</f>
        <v>60.7365554669226</v>
      </c>
    </row>
    <row r="4609" customFormat="false" ht="15" hidden="false" customHeight="false" outlineLevel="0" collapsed="false">
      <c r="A4609" s="3" t="s">
        <v>791</v>
      </c>
      <c r="B4609" s="8" t="s">
        <v>86</v>
      </c>
      <c r="C4609" s="38" t="n">
        <f aca="false">Q!$D$46</f>
        <v>77.658</v>
      </c>
      <c r="D4609" s="38" t="n">
        <f aca="false">Q!$E$46</f>
        <v>128.32</v>
      </c>
      <c r="E4609" s="38" t="n">
        <f aca="false">Q!$P$46</f>
        <v>96.31</v>
      </c>
      <c r="F4609" s="38" t="n">
        <f aca="false">Sens!$F$4606+Sens!$F$4607+Sens!$F$4608</f>
        <v>131.221579528287</v>
      </c>
      <c r="G4609" s="38" t="n">
        <f aca="false">Sens!$E$4609+Sens!$F$4609</f>
        <v>227.531579528287</v>
      </c>
      <c r="H4609" s="38" t="n">
        <f aca="false">Sens!$H$4606+Sens!$H$4607+Sens!$H$4608</f>
        <v>273.372679834898</v>
      </c>
      <c r="I4609" s="38" t="n">
        <f aca="false">Sens!$I$4606+Sens!$I$4607+Sens!$I$4608</f>
        <v>286.981812228425</v>
      </c>
      <c r="J4609" s="38" t="n">
        <f aca="false">Sens!$J$4606+Sens!$J$4607+Sens!$J$4608</f>
        <v>299.316513378366</v>
      </c>
      <c r="K4609" s="38" t="n">
        <f aca="false">Sens!$K$4606+Sens!$K$4607+Sens!$K$4608</f>
        <v>251.057145512292</v>
      </c>
      <c r="L4609" s="38" t="n">
        <f aca="false">Sens!$L$4606+Sens!$L$4607+Sens!$L$4608</f>
        <v>234.696330860396</v>
      </c>
      <c r="M4609" s="38" t="n">
        <f aca="false">Sens!$M$4606+Sens!$M$4607+Sens!$M$4608</f>
        <v>242.291696043352</v>
      </c>
    </row>
    <row r="4610" customFormat="false" ht="17.15" hidden="false" customHeight="false" outlineLevel="0" collapsed="false">
      <c r="A4610" s="5" t="s">
        <v>563</v>
      </c>
      <c r="B4610" s="0" t="s">
        <v>86</v>
      </c>
      <c r="C4610" s="38" t="n">
        <f aca="false">Q!$D$50</f>
        <v>2.043</v>
      </c>
      <c r="D4610" s="38" t="n">
        <f aca="false">Q!$E$50</f>
        <v>1.557</v>
      </c>
      <c r="E4610" s="38" t="n">
        <f aca="false">lease_pr/2</f>
        <v>0.8</v>
      </c>
      <c r="F4610" s="38" t="n">
        <f aca="false">lease_pr/2</f>
        <v>0.8</v>
      </c>
      <c r="G4610" s="38" t="n">
        <f aca="false">Sens!$E$4610+Sens!$F$4610</f>
        <v>1.6</v>
      </c>
      <c r="H4610" s="38" t="n">
        <f aca="false">lease_pr</f>
        <v>1.6</v>
      </c>
      <c r="I4610" s="38" t="n">
        <f aca="false">lease_pr</f>
        <v>1.6</v>
      </c>
      <c r="J4610" s="38" t="n">
        <f aca="false">lease_pr</f>
        <v>1.6</v>
      </c>
      <c r="K4610" s="38" t="n">
        <f aca="false">lease_pr</f>
        <v>1.6</v>
      </c>
      <c r="L4610" s="38" t="n">
        <f aca="false">lease_pr</f>
        <v>1.6</v>
      </c>
      <c r="M4610" s="38" t="n">
        <f aca="false">lease_pr</f>
        <v>1.6</v>
      </c>
      <c r="P4610" s="8" t="s">
        <v>792</v>
      </c>
    </row>
    <row r="4611" customFormat="false" ht="15" hidden="false" customHeight="false" outlineLevel="0" collapsed="false">
      <c r="A4611" s="47" t="s">
        <v>793</v>
      </c>
      <c r="B4611" s="14" t="s">
        <v>86</v>
      </c>
      <c r="C4611" s="48" t="n">
        <f aca="false">Sens!$C$4605-Sens!$C$4609-Sens!$C$4610</f>
        <v>36.176</v>
      </c>
      <c r="D4611" s="48" t="n">
        <f aca="false">Sens!$D$4605-Sens!$D$4609-Sens!$D$4610</f>
        <v>9.63700000000002</v>
      </c>
      <c r="E4611" s="48" t="n">
        <f aca="false">Sens!$E$4605-Sens!$E$4609-Sens!$E$4610</f>
        <v>-25.691</v>
      </c>
      <c r="F4611" s="48" t="n">
        <f aca="false">Sens!$F$4605-Sens!$F$4609-Sens!$F$4610</f>
        <v>-41.4356983848813</v>
      </c>
      <c r="G4611" s="48" t="n">
        <f aca="false">Sens!$G$4605-Sens!$G$4609-Sens!$G$4610</f>
        <v>-67.1266983848813</v>
      </c>
      <c r="H4611" s="48" t="n">
        <f aca="false">Sens!$H$4605-Sens!$H$4609-Sens!$H$4610</f>
        <v>-57.4585017796588</v>
      </c>
      <c r="I4611" s="48" t="n">
        <f aca="false">Sens!$I$4605-Sens!$I$4609-Sens!$I$4610</f>
        <v>-20.5764623007976</v>
      </c>
      <c r="J4611" s="48" t="n">
        <f aca="false">Sens!$J$4605-Sens!$J$4609-Sens!$J$4610</f>
        <v>17.9308651818133</v>
      </c>
      <c r="K4611" s="48" t="n">
        <f aca="false">Sens!$K$4605-Sens!$K$4609-Sens!$K$4610</f>
        <v>112.636043090854</v>
      </c>
      <c r="L4611" s="48" t="n">
        <f aca="false">Sens!$L$4605-Sens!$L$4609-Sens!$L$4610</f>
        <v>170.715624675827</v>
      </c>
      <c r="M4611" s="48" t="n">
        <f aca="false">Sens!$M$4605-Sens!$M$4609-Sens!$M$4610</f>
        <v>199.220419736186</v>
      </c>
      <c r="N4611" s="14"/>
      <c r="O4611" s="14"/>
    </row>
    <row r="4612" customFormat="false" ht="17.15" hidden="false" customHeight="false" outlineLevel="0" collapsed="false">
      <c r="A4612" s="5" t="s">
        <v>794</v>
      </c>
      <c r="B4612" s="0" t="s">
        <v>86</v>
      </c>
      <c r="C4612" s="38" t="n">
        <f aca="false">dps*Sens!$C$4591</f>
        <v>0</v>
      </c>
      <c r="D4612" s="38" t="n">
        <f aca="false">dps*Sens!$D$4591</f>
        <v>0</v>
      </c>
      <c r="E4612" s="38" t="n">
        <f aca="false">dps*Sens!$E$4591</f>
        <v>0</v>
      </c>
      <c r="F4612" s="38" t="n">
        <f aca="false">0</f>
        <v>0</v>
      </c>
      <c r="G4612" s="38" t="n">
        <f aca="false">dps*Sens!$G$4591</f>
        <v>0</v>
      </c>
      <c r="H4612" s="38" t="n">
        <f aca="false">dps*Sens!$H$4591</f>
        <v>0</v>
      </c>
      <c r="I4612" s="38" t="n">
        <f aca="false">dps*Sens!$I$4591</f>
        <v>0</v>
      </c>
      <c r="J4612" s="38" t="n">
        <f aca="false">dps*Sens!$J$4591</f>
        <v>0</v>
      </c>
      <c r="K4612" s="38" t="n">
        <f aca="false">dps*Sens!$K$4591</f>
        <v>0</v>
      </c>
      <c r="L4612" s="38" t="n">
        <f aca="false">dps*Sens!$L$4591</f>
        <v>0</v>
      </c>
      <c r="M4612" s="38" t="n">
        <f aca="false">dps*Sens!$M$4591</f>
        <v>0</v>
      </c>
      <c r="P4612" s="8" t="s">
        <v>795</v>
      </c>
    </row>
    <row r="4613" customFormat="false" ht="17.15" hidden="false" customHeight="false" outlineLevel="0" collapsed="false">
      <c r="A4613" s="5" t="s">
        <v>796</v>
      </c>
      <c r="B4613" s="0" t="s">
        <v>86</v>
      </c>
      <c r="C4613" s="38" t="n">
        <f aca="false">0</f>
        <v>0</v>
      </c>
      <c r="D4613" s="38" t="n">
        <f aca="false">0</f>
        <v>0</v>
      </c>
      <c r="E4613" s="38" t="n">
        <f aca="false">0</f>
        <v>0</v>
      </c>
      <c r="F4613" s="38" t="n">
        <f aca="false">0</f>
        <v>0</v>
      </c>
      <c r="G4613" s="38" t="n">
        <f aca="false">0</f>
        <v>0</v>
      </c>
      <c r="H4613" s="38" t="n">
        <f aca="false">0</f>
        <v>0</v>
      </c>
      <c r="I4613" s="38" t="n">
        <f aca="false">0</f>
        <v>0</v>
      </c>
      <c r="J4613" s="38" t="n">
        <f aca="false">0</f>
        <v>0</v>
      </c>
      <c r="K4613" s="38" t="n">
        <f aca="false">0</f>
        <v>0</v>
      </c>
      <c r="L4613" s="38" t="n">
        <f aca="false">0</f>
        <v>0</v>
      </c>
      <c r="M4613" s="38" t="n">
        <f aca="false">0</f>
        <v>0</v>
      </c>
      <c r="P4613" s="8" t="s">
        <v>797</v>
      </c>
    </row>
    <row r="4614" customFormat="false" ht="15" hidden="false" customHeight="false" outlineLevel="0" collapsed="false">
      <c r="A4614" s="3" t="s">
        <v>798</v>
      </c>
      <c r="B4614" s="8" t="s">
        <v>86</v>
      </c>
      <c r="C4614" s="38" t="n">
        <f aca="false">Sens!$C$4611-Sens!$C$4612</f>
        <v>36.176</v>
      </c>
      <c r="D4614" s="38" t="n">
        <f aca="false">Sens!$D$4611-Sens!$D$4612</f>
        <v>9.63700000000002</v>
      </c>
      <c r="E4614" s="38" t="n">
        <f aca="false">Sens!$E$4611-Sens!$E$4612</f>
        <v>-25.691</v>
      </c>
      <c r="F4614" s="38" t="n">
        <f aca="false">Sens!$F$4611-Sens!$F$4612</f>
        <v>-41.4356983848813</v>
      </c>
      <c r="G4614" s="38" t="n">
        <f aca="false">Sens!$G$4611-Sens!$G$4612</f>
        <v>-67.1266983848813</v>
      </c>
      <c r="H4614" s="38" t="n">
        <f aca="false">Sens!$H$4611-Sens!$H$4612</f>
        <v>-57.4585017796588</v>
      </c>
      <c r="I4614" s="38" t="n">
        <f aca="false">Sens!$I$4611-Sens!$I$4612</f>
        <v>-20.5764623007976</v>
      </c>
      <c r="J4614" s="38" t="n">
        <f aca="false">Sens!$J$4611-Sens!$J$4612</f>
        <v>17.9308651818133</v>
      </c>
      <c r="K4614" s="38" t="n">
        <f aca="false">Sens!$K$4611-Sens!$K$4612</f>
        <v>112.636043090854</v>
      </c>
      <c r="L4614" s="38" t="n">
        <f aca="false">Sens!$L$4611-Sens!$L$4612</f>
        <v>170.715624675827</v>
      </c>
      <c r="M4614" s="38" t="n">
        <f aca="false">Sens!$M$4611-Sens!$M$4612</f>
        <v>199.220419736186</v>
      </c>
    </row>
    <row r="4615" customFormat="false" ht="17.15" hidden="false" customHeight="false" outlineLevel="0" collapsed="false">
      <c r="A4615" s="5" t="s">
        <v>799</v>
      </c>
      <c r="B4615" s="0" t="s">
        <v>86</v>
      </c>
      <c r="E4615" s="38" t="n">
        <f aca="false">Q!$P$53</f>
        <v>39.767</v>
      </c>
      <c r="F4615" s="38" t="n">
        <f aca="false">inv_2h26</f>
        <v>21.3</v>
      </c>
      <c r="G4615" s="38" t="n">
        <f aca="false">Sens!$E$4615+Sens!$F$4615</f>
        <v>61.067</v>
      </c>
      <c r="H4615" s="39" t="n">
        <v>0</v>
      </c>
      <c r="I4615" s="39" t="n">
        <v>0</v>
      </c>
      <c r="J4615" s="39" t="n">
        <v>0</v>
      </c>
      <c r="K4615" s="39" t="n">
        <v>0</v>
      </c>
      <c r="L4615" s="39" t="n">
        <v>0</v>
      </c>
      <c r="M4615" s="39" t="n">
        <v>0</v>
      </c>
    </row>
    <row r="4616" customFormat="false" ht="17.15" hidden="false" customHeight="false" outlineLevel="0" collapsed="false">
      <c r="A4616" s="5" t="s">
        <v>800</v>
      </c>
      <c r="B4616" s="0" t="s">
        <v>86</v>
      </c>
      <c r="F4616" s="38" t="n">
        <f aca="false">iss_2h26</f>
        <v>29.249999</v>
      </c>
      <c r="G4616" s="38" t="n">
        <f aca="false">Sens!$F$4616</f>
        <v>29.249999</v>
      </c>
      <c r="H4616" s="39" t="n">
        <v>0</v>
      </c>
      <c r="I4616" s="39" t="n">
        <v>0</v>
      </c>
      <c r="J4616" s="39" t="n">
        <v>0</v>
      </c>
      <c r="K4616" s="39" t="n">
        <v>0</v>
      </c>
      <c r="L4616" s="39" t="n">
        <v>0</v>
      </c>
      <c r="M4616" s="39" t="n">
        <v>0</v>
      </c>
    </row>
    <row r="4617" customFormat="false" ht="17.15" hidden="false" customHeight="false" outlineLevel="0" collapsed="false">
      <c r="A4617" s="5" t="s">
        <v>801</v>
      </c>
      <c r="B4617" s="0" t="s">
        <v>86</v>
      </c>
      <c r="F4617" s="38" t="n">
        <f aca="false">cash_q2</f>
        <v>122.988</v>
      </c>
      <c r="G4617" s="38" t="n">
        <f aca="false">cash_q2</f>
        <v>122.988</v>
      </c>
      <c r="H4617" s="38" t="n">
        <f aca="false">Sens!$G$4620</f>
        <v>89.5023006151187</v>
      </c>
      <c r="I4617" s="38" t="n">
        <f aca="false">Sens!$H$4620</f>
        <v>50</v>
      </c>
      <c r="J4617" s="38" t="n">
        <f aca="false">Sens!$I$4620</f>
        <v>50</v>
      </c>
      <c r="K4617" s="38" t="n">
        <f aca="false">Sens!$J$4620</f>
        <v>67.9308651818133</v>
      </c>
      <c r="L4617" s="38" t="n">
        <f aca="false">Sens!$K$4620</f>
        <v>180.566908272668</v>
      </c>
      <c r="M4617" s="38" t="n">
        <f aca="false">Sens!$L$4620</f>
        <v>351.282532948494</v>
      </c>
    </row>
    <row r="4618" customFormat="false" ht="15" hidden="false" customHeight="false" outlineLevel="0" collapsed="false">
      <c r="A4618" s="5" t="s">
        <v>802</v>
      </c>
      <c r="B4618" s="0" t="s">
        <v>86</v>
      </c>
      <c r="F4618" s="38" t="n">
        <f aca="false">Sens!$F$4617+Sens!$F$4614-Sens!$F$4613-Sens!$F$4615+Sens!$F$4616</f>
        <v>89.5023006151187</v>
      </c>
      <c r="H4618" s="38" t="n">
        <f aca="false">Sens!$H$4617+Sens!$H$4614-Sens!$H$4613-Sens!$H$4615+Sens!$H$4616</f>
        <v>32.04379883546</v>
      </c>
      <c r="I4618" s="38" t="n">
        <f aca="false">Sens!$I$4617+Sens!$I$4614-Sens!$I$4613-Sens!$I$4615+Sens!$I$4616</f>
        <v>29.4235376992024</v>
      </c>
      <c r="J4618" s="38" t="n">
        <f aca="false">Sens!$J$4617+Sens!$J$4614-Sens!$J$4613-Sens!$J$4615+Sens!$J$4616</f>
        <v>67.9308651818133</v>
      </c>
      <c r="K4618" s="38" t="n">
        <f aca="false">Sens!$K$4617+Sens!$K$4614-Sens!$K$4613-Sens!$K$4615+Sens!$K$4616</f>
        <v>180.566908272668</v>
      </c>
      <c r="L4618" s="38" t="n">
        <f aca="false">Sens!$L$4617+Sens!$L$4614-Sens!$L$4613-Sens!$L$4615+Sens!$L$4616</f>
        <v>351.282532948494</v>
      </c>
      <c r="M4618" s="38" t="n">
        <f aca="false">Sens!$M$4617+Sens!$M$4614-Sens!$M$4613-Sens!$M$4615+Sens!$M$4616</f>
        <v>550.50295268468</v>
      </c>
    </row>
    <row r="4619" customFormat="false" ht="17.15" hidden="false" customHeight="false" outlineLevel="0" collapsed="false">
      <c r="A4619" s="5" t="s">
        <v>803</v>
      </c>
      <c r="B4619" s="0" t="s">
        <v>86</v>
      </c>
      <c r="F4619" s="38" t="n">
        <f aca="false">MAX(0,min_cash-Sens!$F$4618)</f>
        <v>0</v>
      </c>
      <c r="G4619" s="38" t="n">
        <f aca="false">Sens!$F$4619</f>
        <v>0</v>
      </c>
      <c r="H4619" s="38" t="n">
        <f aca="false">MAX(0,min_cash-Sens!$H$4618)</f>
        <v>17.95620116454</v>
      </c>
      <c r="I4619" s="38" t="n">
        <f aca="false">MAX(0,min_cash-Sens!$I$4618)</f>
        <v>20.5764623007976</v>
      </c>
      <c r="J4619" s="38" t="n">
        <f aca="false">MAX(0,min_cash-Sens!$J$4618)</f>
        <v>0</v>
      </c>
      <c r="K4619" s="38" t="n">
        <f aca="false">MAX(0,min_cash-Sens!$K$4618)</f>
        <v>0</v>
      </c>
      <c r="L4619" s="38" t="n">
        <f aca="false">MAX(0,min_cash-Sens!$L$4618)</f>
        <v>0</v>
      </c>
      <c r="M4619" s="38" t="n">
        <f aca="false">MAX(0,min_cash-Sens!$M$4618)</f>
        <v>0</v>
      </c>
      <c r="P4619" s="5" t="s">
        <v>804</v>
      </c>
    </row>
    <row r="4620" customFormat="false" ht="15" hidden="false" customHeight="false" outlineLevel="0" collapsed="false">
      <c r="A4620" s="5" t="s">
        <v>805</v>
      </c>
      <c r="B4620" s="0" t="s">
        <v>86</v>
      </c>
      <c r="D4620" s="38" t="n">
        <f aca="false">Q!$E$61</f>
        <v>123.029</v>
      </c>
      <c r="E4620" s="38" t="n">
        <f aca="false">Q!$M$61</f>
        <v>122.988</v>
      </c>
      <c r="F4620" s="38" t="n">
        <f aca="false">Sens!$F$4618+Sens!$F$4619</f>
        <v>89.5023006151187</v>
      </c>
      <c r="G4620" s="38" t="n">
        <f aca="false">Sens!$F$4620</f>
        <v>89.5023006151187</v>
      </c>
      <c r="H4620" s="38" t="n">
        <f aca="false">Sens!$H$4618+Sens!$H$4619</f>
        <v>50</v>
      </c>
      <c r="I4620" s="38" t="n">
        <f aca="false">Sens!$I$4618+Sens!$I$4619</f>
        <v>50</v>
      </c>
      <c r="J4620" s="38" t="n">
        <f aca="false">Sens!$J$4618+Sens!$J$4619</f>
        <v>67.9308651818133</v>
      </c>
      <c r="K4620" s="38" t="n">
        <f aca="false">Sens!$K$4618+Sens!$K$4619</f>
        <v>180.566908272668</v>
      </c>
      <c r="L4620" s="38" t="n">
        <f aca="false">Sens!$L$4618+Sens!$L$4619</f>
        <v>351.282532948494</v>
      </c>
      <c r="M4620" s="38" t="n">
        <f aca="false">Sens!$M$4618+Sens!$M$4619</f>
        <v>550.50295268468</v>
      </c>
    </row>
    <row r="4621" customFormat="false" ht="15" hidden="false" customHeight="false" outlineLevel="0" collapsed="false">
      <c r="A4621" s="5" t="s">
        <v>806</v>
      </c>
      <c r="B4621" s="0" t="s">
        <v>86</v>
      </c>
      <c r="D4621" s="38" t="n">
        <f aca="false">Q!$E$62</f>
        <v>68.836</v>
      </c>
      <c r="E4621" s="38" t="n">
        <f aca="false">Q!$M$62</f>
        <v>132.995</v>
      </c>
      <c r="F4621" s="38" t="n">
        <f aca="false">debt_q2+Sens!$F$4616+Sens!$F$4619</f>
        <v>162.244999</v>
      </c>
      <c r="G4621" s="38" t="n">
        <f aca="false">Sens!$F$4621</f>
        <v>162.244999</v>
      </c>
      <c r="H4621" s="38" t="n">
        <f aca="false">Sens!$G$4621+Sens!$H$4619</f>
        <v>180.20120016454</v>
      </c>
      <c r="I4621" s="38" t="n">
        <f aca="false">Sens!$H$4621+Sens!$I$4619</f>
        <v>200.777662465338</v>
      </c>
      <c r="J4621" s="38" t="n">
        <f aca="false">Sens!$I$4621+Sens!$J$4619</f>
        <v>200.777662465338</v>
      </c>
      <c r="K4621" s="38" t="n">
        <f aca="false">Sens!$J$4621+Sens!$K$4619</f>
        <v>200.777662465338</v>
      </c>
      <c r="L4621" s="38" t="n">
        <f aca="false">Sens!$K$4621+Sens!$L$4619</f>
        <v>200.777662465338</v>
      </c>
      <c r="M4621" s="38" t="n">
        <f aca="false">Sens!$L$4621+Sens!$M$4619</f>
        <v>200.777662465338</v>
      </c>
    </row>
    <row r="4622" customFormat="false" ht="15" hidden="false" customHeight="false" outlineLevel="0" collapsed="false">
      <c r="A4622" s="5" t="s">
        <v>807</v>
      </c>
      <c r="B4622" s="0" t="s">
        <v>86</v>
      </c>
      <c r="D4622" s="38" t="n">
        <f aca="false">Sens!$D$4621-Sens!$D$4620</f>
        <v>-54.193</v>
      </c>
      <c r="E4622" s="38" t="n">
        <f aca="false">Sens!$E$4621-Sens!$E$4620</f>
        <v>10.007</v>
      </c>
      <c r="F4622" s="38" t="n">
        <f aca="false">Sens!$F$4621-Sens!$F$4620</f>
        <v>72.7426983848813</v>
      </c>
      <c r="G4622" s="38" t="n">
        <f aca="false">Sens!$G$4621-Sens!$G$4620</f>
        <v>72.7426983848813</v>
      </c>
      <c r="H4622" s="38" t="n">
        <f aca="false">Sens!$H$4621-Sens!$H$4620</f>
        <v>130.20120016454</v>
      </c>
      <c r="I4622" s="38" t="n">
        <f aca="false">Sens!$I$4621-Sens!$I$4620</f>
        <v>150.777662465338</v>
      </c>
      <c r="J4622" s="38" t="n">
        <f aca="false">Sens!$J$4621-Sens!$J$4620</f>
        <v>132.846797283524</v>
      </c>
      <c r="K4622" s="38" t="n">
        <f aca="false">Sens!$K$4621-Sens!$K$4620</f>
        <v>20.21075419267</v>
      </c>
      <c r="L4622" s="38" t="n">
        <f aca="false">Sens!$L$4621-Sens!$L$4620</f>
        <v>-150.504870483157</v>
      </c>
      <c r="M4622" s="38" t="n">
        <f aca="false">Sens!$M$4621-Sens!$M$4620</f>
        <v>-349.725290219343</v>
      </c>
    </row>
    <row r="4623" customFormat="false" ht="17.15" hidden="false" customHeight="false" outlineLevel="0" collapsed="false">
      <c r="A4623" s="5" t="s">
        <v>808</v>
      </c>
      <c r="B4623" s="0" t="s">
        <v>86</v>
      </c>
      <c r="F4623" s="38" t="n">
        <f aca="false">debt_q2*kd_book*0.5+iss_2h26*kd_new*iss_t</f>
        <v>3.24888962733561</v>
      </c>
      <c r="H4623" s="38" t="n">
        <f aca="false">debt_q2*kd_book+(Sens!$G$4621-debt_q2)*kd_new</f>
        <v>7.42354172302123</v>
      </c>
      <c r="I4623" s="38" t="n">
        <f aca="false">debt_q2*kd_book+(Sens!$H$4621-debt_q2)*kd_new</f>
        <v>8.56016925673661</v>
      </c>
      <c r="J4623" s="38" t="n">
        <f aca="false">debt_q2*kd_book+(Sens!$I$4621-debt_q2)*kd_new</f>
        <v>9.8626593203771</v>
      </c>
      <c r="K4623" s="38" t="n">
        <f aca="false">debt_q2*kd_book+(Sens!$J$4621-debt_q2)*kd_new</f>
        <v>9.8626593203771</v>
      </c>
      <c r="L4623" s="38" t="n">
        <f aca="false">debt_q2*kd_book+(Sens!$K$4621-debt_q2)*kd_new</f>
        <v>9.8626593203771</v>
      </c>
      <c r="M4623" s="38" t="n">
        <f aca="false">debt_q2*kd_book+(Sens!$L$4621-debt_q2)*kd_new</f>
        <v>9.8626593203771</v>
      </c>
    </row>
    <row r="4624" customFormat="false" ht="17.15" hidden="false" customHeight="false" outlineLevel="0" collapsed="false">
      <c r="A4624" s="5" t="s">
        <v>809</v>
      </c>
      <c r="B4624" s="0" t="s">
        <v>86</v>
      </c>
      <c r="F4624" s="38" t="n">
        <f aca="false">cash_q2*y_cash*0.5</f>
        <v>2.59</v>
      </c>
      <c r="H4624" s="38" t="n">
        <f aca="false">Sens!$G$4620*y_cash</f>
        <v>3.76965165045626</v>
      </c>
      <c r="I4624" s="38" t="n">
        <f aca="false">Sens!$H$4620*y_cash</f>
        <v>2.10589651022864</v>
      </c>
      <c r="J4624" s="38" t="n">
        <f aca="false">Sens!$I$4620*y_cash</f>
        <v>2.10589651022864</v>
      </c>
      <c r="K4624" s="38" t="n">
        <f aca="false">Sens!$J$4620*y_cash</f>
        <v>2.86110743846386</v>
      </c>
      <c r="L4624" s="38" t="n">
        <f aca="false">Sens!$K$4620*y_cash</f>
        <v>7.60510443988371</v>
      </c>
      <c r="M4624" s="38" t="n">
        <f aca="false">Sens!$L$4620*y_cash</f>
        <v>14.7952932048102</v>
      </c>
    </row>
    <row r="4625" customFormat="false" ht="17.15" hidden="false" customHeight="false" outlineLevel="0" collapsed="false">
      <c r="A4625" s="47" t="s">
        <v>810</v>
      </c>
      <c r="B4625" s="14" t="s">
        <v>86</v>
      </c>
      <c r="C4625" s="14"/>
      <c r="D4625" s="14"/>
      <c r="E4625" s="14"/>
      <c r="F4625" s="14"/>
      <c r="G4625" s="48" t="n">
        <f aca="false">SUM(Sens!$G$4614:$K$4614)</f>
        <v>-14.5947541926701</v>
      </c>
      <c r="H4625" s="14"/>
      <c r="I4625" s="14"/>
      <c r="J4625" s="14"/>
      <c r="K4625" s="14"/>
      <c r="L4625" s="14"/>
      <c r="M4625" s="14"/>
      <c r="N4625" s="14"/>
      <c r="O4625" s="14"/>
    </row>
    <row r="4626" customFormat="false" ht="17.15" hidden="false" customHeight="false" outlineLevel="0" collapsed="false">
      <c r="A4626" s="0" t="s">
        <v>776</v>
      </c>
      <c r="B4626" s="0" t="s">
        <v>86</v>
      </c>
      <c r="G4626" s="38" t="n">
        <f aca="false">SUM(Sens!$G$4619:$K$4619)</f>
        <v>38.5326634653377</v>
      </c>
    </row>
    <row r="4627" customFormat="false" ht="17.15" hidden="false" customHeight="false" outlineLevel="0" collapsed="false">
      <c r="A4627" s="24" t="s">
        <v>813</v>
      </c>
      <c r="B4627" s="25" t="s">
        <v>86</v>
      </c>
      <c r="C4627" s="25"/>
      <c r="D4627" s="25"/>
      <c r="E4627" s="25"/>
      <c r="F4627" s="25"/>
      <c r="G4627" s="41" t="n">
        <f aca="false">Sens!$G$4625-(Sens!$G$4614+Sens!$H$4614+Sens!$I$4614+Sens!$J$4614+Sens!$K$4614)</f>
        <v>0</v>
      </c>
      <c r="H4627" s="25"/>
      <c r="I4627" s="25"/>
      <c r="J4627" s="25"/>
      <c r="K4627" s="25"/>
      <c r="L4627" s="25"/>
      <c r="M4627" s="25"/>
      <c r="N4627" s="25"/>
      <c r="O4627" s="25"/>
    </row>
    <row r="4630" customFormat="false" ht="19.4" hidden="false" customHeight="false" outlineLevel="0" collapsed="false">
      <c r="A4630" s="31" t="s">
        <v>1229</v>
      </c>
    </row>
    <row r="4631" customFormat="false" ht="17.15" hidden="false" customHeight="false" outlineLevel="0" collapsed="false">
      <c r="A4631" s="6" t="s">
        <v>16</v>
      </c>
      <c r="B4631" s="6" t="s">
        <v>17</v>
      </c>
      <c r="C4631" s="20" t="s">
        <v>497</v>
      </c>
      <c r="D4631" s="20" t="s">
        <v>498</v>
      </c>
      <c r="E4631" s="20" t="s">
        <v>580</v>
      </c>
      <c r="F4631" s="20" t="s">
        <v>581</v>
      </c>
      <c r="G4631" s="20" t="s">
        <v>582</v>
      </c>
      <c r="H4631" s="20" t="s">
        <v>583</v>
      </c>
      <c r="I4631" s="20" t="s">
        <v>584</v>
      </c>
      <c r="J4631" s="20" t="s">
        <v>585</v>
      </c>
      <c r="K4631" s="20" t="s">
        <v>586</v>
      </c>
      <c r="L4631" s="20" t="s">
        <v>587</v>
      </c>
      <c r="M4631" s="20" t="s">
        <v>588</v>
      </c>
      <c r="N4631" s="20" t="s">
        <v>589</v>
      </c>
      <c r="O4631" s="20" t="s">
        <v>590</v>
      </c>
      <c r="P4631" s="6" t="s">
        <v>23</v>
      </c>
      <c r="R4631" s="20" t="n">
        <v>2023</v>
      </c>
      <c r="S4631" s="20" t="n">
        <v>2024</v>
      </c>
      <c r="T4631" s="20" t="n">
        <v>2025</v>
      </c>
      <c r="U4631" s="20" t="n">
        <v>2026</v>
      </c>
      <c r="V4631" s="20" t="n">
        <v>2027</v>
      </c>
      <c r="W4631" s="20" t="n">
        <v>2028</v>
      </c>
      <c r="X4631" s="20" t="n">
        <v>2029</v>
      </c>
      <c r="Y4631" s="20" t="n">
        <v>2030</v>
      </c>
      <c r="Z4631" s="20" t="n">
        <v>2031</v>
      </c>
      <c r="AA4631" s="20" t="n">
        <v>2032</v>
      </c>
    </row>
    <row r="4632" customFormat="false" ht="17.15" hidden="false" customHeight="false" outlineLevel="0" collapsed="false">
      <c r="A4632" s="1" t="s">
        <v>915</v>
      </c>
    </row>
    <row r="4633" customFormat="false" ht="17.15" hidden="false" customHeight="false" outlineLevel="0" collapsed="false">
      <c r="A4633" s="0" t="s">
        <v>916</v>
      </c>
      <c r="B4633" s="0" t="s">
        <v>86</v>
      </c>
      <c r="H4633" s="38" t="n">
        <f aca="false">Sens!$H$4567*(1-tax)</f>
        <v>120.130192532001</v>
      </c>
      <c r="I4633" s="38" t="n">
        <f aca="false">Sens!$I$4567*(1-tax)</f>
        <v>143.88764999256</v>
      </c>
      <c r="J4633" s="38" t="n">
        <f aca="false">Sens!$J$4567*(1-tax)</f>
        <v>166.27407263553</v>
      </c>
      <c r="K4633" s="38" t="n">
        <f aca="false">Sens!$K$4567*(1-tax)</f>
        <v>181.636277538535</v>
      </c>
      <c r="L4633" s="38" t="n">
        <f aca="false">Sens!$L$4567*(1-tax)</f>
        <v>195.092747893167</v>
      </c>
      <c r="M4633" s="38" t="n">
        <f aca="false">Sens!$M$4567*(1-tax)</f>
        <v>205.36582756256</v>
      </c>
    </row>
    <row r="4634" customFormat="false" ht="15" hidden="false" customHeight="false" outlineLevel="0" collapsed="false">
      <c r="A4634" s="5" t="s">
        <v>917</v>
      </c>
      <c r="B4634" s="0" t="s">
        <v>86</v>
      </c>
      <c r="H4634" s="38" t="n">
        <f aca="false">Sens!$H$4578</f>
        <v>78.1799395827871</v>
      </c>
      <c r="I4634" s="38" t="n">
        <f aca="false">Sens!$I$4578</f>
        <v>111.171125554384</v>
      </c>
      <c r="J4634" s="38" t="n">
        <f aca="false">Sens!$J$4578</f>
        <v>144.884406220971</v>
      </c>
      <c r="K4634" s="38" t="n">
        <f aca="false">Sens!$K$4578</f>
        <v>178.806419437999</v>
      </c>
      <c r="L4634" s="38" t="n">
        <f aca="false">Sens!$L$4578</f>
        <v>204.341339029663</v>
      </c>
      <c r="M4634" s="38" t="n">
        <f aca="false">Sens!$M$4578</f>
        <v>223.130577995387</v>
      </c>
    </row>
    <row r="4635" customFormat="false" ht="15" hidden="false" customHeight="false" outlineLevel="0" collapsed="false">
      <c r="A4635" s="5" t="s">
        <v>918</v>
      </c>
      <c r="B4635" s="0" t="s">
        <v>86</v>
      </c>
      <c r="H4635" s="38" t="n">
        <f aca="false">Sens!$H$4609</f>
        <v>273.372679834898</v>
      </c>
      <c r="I4635" s="38" t="n">
        <f aca="false">Sens!$I$4609</f>
        <v>286.981812228425</v>
      </c>
      <c r="J4635" s="38" t="n">
        <f aca="false">Sens!$J$4609</f>
        <v>299.316513378366</v>
      </c>
      <c r="K4635" s="38" t="n">
        <f aca="false">Sens!$K$4609</f>
        <v>251.057145512292</v>
      </c>
      <c r="L4635" s="38" t="n">
        <f aca="false">Sens!$L$4609</f>
        <v>234.696330860396</v>
      </c>
      <c r="M4635" s="38" t="n">
        <f aca="false">Sens!$M$4609</f>
        <v>242.291696043352</v>
      </c>
    </row>
    <row r="4636" customFormat="false" ht="15" hidden="false" customHeight="false" outlineLevel="0" collapsed="false">
      <c r="A4636" s="5" t="s">
        <v>919</v>
      </c>
      <c r="B4636" s="0" t="s">
        <v>86</v>
      </c>
      <c r="H4636" s="38" t="n">
        <f aca="false">Sens!$H$4610</f>
        <v>1.6</v>
      </c>
      <c r="I4636" s="38" t="n">
        <f aca="false">Sens!$I$4610</f>
        <v>1.6</v>
      </c>
      <c r="J4636" s="38" t="n">
        <f aca="false">Sens!$J$4610</f>
        <v>1.6</v>
      </c>
      <c r="K4636" s="38" t="n">
        <f aca="false">Sens!$K$4610</f>
        <v>1.6</v>
      </c>
      <c r="L4636" s="38" t="n">
        <f aca="false">Sens!$L$4610</f>
        <v>1.6</v>
      </c>
      <c r="M4636" s="38" t="n">
        <f aca="false">Sens!$M$4610</f>
        <v>1.6</v>
      </c>
    </row>
    <row r="4637" customFormat="false" ht="15" hidden="false" customHeight="false" outlineLevel="0" collapsed="false">
      <c r="A4637" s="5" t="s">
        <v>920</v>
      </c>
      <c r="B4637" s="0" t="s">
        <v>86</v>
      </c>
      <c r="H4637" s="38" t="n">
        <f aca="false">Sens!$H$4604</f>
        <v>11.2928295263397</v>
      </c>
      <c r="I4637" s="38" t="n">
        <f aca="false">Sens!$I$4604</f>
        <v>12.8091546115766</v>
      </c>
      <c r="J4637" s="38" t="n">
        <f aca="false">Sens!$J$4604</f>
        <v>14.2605653162668</v>
      </c>
      <c r="K4637" s="38" t="n">
        <f aca="false">Sens!$K$4604</f>
        <v>15.5327622460396</v>
      </c>
      <c r="L4637" s="38" t="n">
        <f aca="false">Sens!$L$4604</f>
        <v>16.720573737517</v>
      </c>
      <c r="M4637" s="38" t="n">
        <f aca="false">Sens!$M$4604</f>
        <v>17.8283127551536</v>
      </c>
    </row>
    <row r="4638" customFormat="false" ht="17.15" hidden="false" customHeight="false" outlineLevel="0" collapsed="false">
      <c r="A4638" s="1" t="s">
        <v>921</v>
      </c>
      <c r="B4638" s="8" t="s">
        <v>86</v>
      </c>
      <c r="H4638" s="38" t="n">
        <f aca="false">Sens!$H$4633+Sens!$H$4634-Sens!$H$4635+Sens!$H$4637</f>
        <v>-63.7697181937706</v>
      </c>
      <c r="I4638" s="38" t="n">
        <f aca="false">Sens!$I$4633+Sens!$I$4634-Sens!$I$4635+Sens!$I$4637</f>
        <v>-19.1138820699036</v>
      </c>
      <c r="J4638" s="38" t="n">
        <f aca="false">Sens!$J$4633+Sens!$J$4634-Sens!$J$4635+Sens!$J$4637</f>
        <v>26.1025307944018</v>
      </c>
      <c r="K4638" s="38" t="n">
        <f aca="false">Sens!$K$4633+Sens!$K$4634-Sens!$K$4635+Sens!$K$4637</f>
        <v>124.918313710282</v>
      </c>
      <c r="L4638" s="38" t="n">
        <f aca="false">Sens!$L$4633+Sens!$L$4634-Sens!$L$4635+Sens!$L$4637</f>
        <v>181.45832979995</v>
      </c>
      <c r="M4638" s="38" t="n">
        <f aca="false">Sens!$M$4633+Sens!$M$4634-Sens!$M$4635+Sens!$M$4637</f>
        <v>204.033022269748</v>
      </c>
    </row>
    <row r="4639" customFormat="false" ht="15" hidden="false" customHeight="false" outlineLevel="0" collapsed="false">
      <c r="A4639" s="5" t="s">
        <v>922</v>
      </c>
      <c r="B4639" s="0" t="s">
        <v>57</v>
      </c>
      <c r="H4639" s="40" t="n">
        <f aca="false">1/(1+wacc)^(2027-2026-0.5)</f>
        <v>0.947751320380232</v>
      </c>
      <c r="I4639" s="40" t="n">
        <f aca="false">1/(1+wacc)^(2028-2026-0.5)</f>
        <v>0.851301099754987</v>
      </c>
      <c r="J4639" s="40" t="n">
        <f aca="false">1/(1+wacc)^(2029-2026-0.5)</f>
        <v>0.764666370660713</v>
      </c>
      <c r="K4639" s="40" t="n">
        <f aca="false">1/(1+wacc)^(2030-2026-0.5)</f>
        <v>0.686848235703811</v>
      </c>
      <c r="L4639" s="40" t="n">
        <f aca="false">1/(1+wacc)^(2031-2026-0.5)</f>
        <v>0.616949452715975</v>
      </c>
      <c r="M4639" s="40" t="n">
        <f aca="false">1/(1+wacc)^(2032-2026-0.5)</f>
        <v>0.554164089562688</v>
      </c>
    </row>
    <row r="4640" customFormat="false" ht="15" hidden="false" customHeight="false" outlineLevel="0" collapsed="false">
      <c r="A4640" s="5" t="s">
        <v>923</v>
      </c>
      <c r="B4640" s="0" t="s">
        <v>86</v>
      </c>
      <c r="H4640" s="38" t="n">
        <f aca="false">Sens!$H$4638*Sens!$H$4639</f>
        <v>-60.4378346184214</v>
      </c>
      <c r="I4640" s="38" t="n">
        <f aca="false">Sens!$I$4638*Sens!$I$4639</f>
        <v>-16.2716688266961</v>
      </c>
      <c r="J4640" s="38" t="n">
        <f aca="false">Sens!$J$4638*Sens!$J$4639</f>
        <v>19.9597274876148</v>
      </c>
      <c r="K4640" s="38" t="n">
        <f aca="false">Sens!$K$4638*Sens!$K$4639</f>
        <v>85.7999233790021</v>
      </c>
      <c r="L4640" s="38" t="n">
        <f aca="false">Sens!$L$4638*Sens!$L$4639</f>
        <v>111.950617260834</v>
      </c>
      <c r="M4640" s="38" t="n">
        <f aca="false">Sens!$M$4638*Sens!$M$4639</f>
        <v>113.067774026839</v>
      </c>
    </row>
    <row r="4641" customFormat="false" ht="15" hidden="false" customHeight="false" outlineLevel="0" collapsed="false">
      <c r="A4641" s="5" t="s">
        <v>924</v>
      </c>
      <c r="B4641" s="0" t="s">
        <v>86</v>
      </c>
      <c r="C4641" s="38" t="n">
        <f aca="false">SUM(Sens!$H$4640:$M$4640)</f>
        <v>254.068538709172</v>
      </c>
    </row>
    <row r="4642" customFormat="false" ht="17.15" hidden="false" customHeight="false" outlineLevel="0" collapsed="false">
      <c r="A4642" s="5" t="s">
        <v>925</v>
      </c>
      <c r="B4642" s="0" t="s">
        <v>86</v>
      </c>
      <c r="C4642" s="38" t="n">
        <f aca="false">Sens!$M$4633*(1+tg)*(1-tg/ronic)/(wacc-tg)</f>
        <v>1867.00453699793</v>
      </c>
    </row>
    <row r="4643" customFormat="false" ht="15" hidden="false" customHeight="false" outlineLevel="0" collapsed="false">
      <c r="A4643" s="5" t="s">
        <v>926</v>
      </c>
      <c r="B4643" s="0" t="s">
        <v>86</v>
      </c>
      <c r="C4643" s="38" t="n">
        <f aca="false">Sens!$C$4642/(1+wacc)^6</f>
        <v>980.568981626715</v>
      </c>
    </row>
    <row r="4644" customFormat="false" ht="17.15" hidden="false" customHeight="false" outlineLevel="0" collapsed="false">
      <c r="A4644" s="5" t="s">
        <v>927</v>
      </c>
      <c r="B4644" s="0" t="s">
        <v>86</v>
      </c>
      <c r="C4644" s="38" t="n">
        <f aca="false">Sens!$C$4641+Sens!$C$4643</f>
        <v>1234.63752033589</v>
      </c>
    </row>
    <row r="4645" customFormat="false" ht="17.15" hidden="false" customHeight="false" outlineLevel="0" collapsed="false">
      <c r="A4645" s="5" t="s">
        <v>928</v>
      </c>
      <c r="B4645" s="0" t="s">
        <v>52</v>
      </c>
      <c r="C4645" s="13" t="n">
        <f aca="false">Sens!$C$4643/Sens!$C$4644</f>
        <v>0.79421608810329</v>
      </c>
    </row>
    <row r="4646" customFormat="false" ht="17.15" hidden="false" customHeight="false" outlineLevel="0" collapsed="false">
      <c r="A4646" s="5" t="s">
        <v>929</v>
      </c>
      <c r="B4646" s="0" t="s">
        <v>86</v>
      </c>
      <c r="C4646" s="38" t="n">
        <f aca="false">Sens!$G$4622+fin_debt</f>
        <v>97.2636983848813</v>
      </c>
    </row>
    <row r="4647" customFormat="false" ht="17.15" hidden="false" customHeight="false" outlineLevel="0" collapsed="false">
      <c r="A4647" s="5" t="s">
        <v>930</v>
      </c>
      <c r="B4647" s="0" t="s">
        <v>86</v>
      </c>
      <c r="C4647" s="38" t="n">
        <f aca="false">(ant_val*ant_sh+oai_val*oai_sh)*(1-liq_disc)</f>
        <v>178.944</v>
      </c>
    </row>
    <row r="4648" customFormat="false" ht="15" hidden="false" customHeight="false" outlineLevel="0" collapsed="false">
      <c r="A4648" s="5" t="s">
        <v>931</v>
      </c>
      <c r="B4648" s="0" t="s">
        <v>86</v>
      </c>
      <c r="C4648" s="38" t="n">
        <f aca="false">Sens!$C$4644-Sens!$C$4646+Sens!$C$4647</f>
        <v>1316.31782195101</v>
      </c>
    </row>
    <row r="4649" customFormat="false" ht="17.15" hidden="false" customHeight="false" outlineLevel="0" collapsed="false">
      <c r="A4649" s="5" t="s">
        <v>932</v>
      </c>
      <c r="B4649" s="0" t="s">
        <v>27</v>
      </c>
      <c r="C4649" s="30" t="n">
        <f aca="false">Sens!$C$4648/sh_out</f>
        <v>122.035926448183</v>
      </c>
    </row>
    <row r="4650" customFormat="false" ht="17.15" hidden="false" customHeight="false" outlineLevel="0" collapsed="false">
      <c r="A4650" s="1" t="s">
        <v>933</v>
      </c>
      <c r="B4650" s="8" t="s">
        <v>27</v>
      </c>
      <c r="C4650" s="30" t="n">
        <f aca="false">Sens!$C$4649*(1+ke)^tp_yf-dps*tp_yf</f>
        <v>133.67435198201</v>
      </c>
    </row>
    <row r="4651" customFormat="false" ht="17.15" hidden="false" customHeight="false" outlineLevel="0" collapsed="false">
      <c r="A4651" s="3" t="s">
        <v>934</v>
      </c>
    </row>
    <row r="4652" customFormat="false" ht="17.15" hidden="false" customHeight="false" outlineLevel="0" collapsed="false">
      <c r="A4652" s="5" t="s">
        <v>935</v>
      </c>
      <c r="B4652" s="0" t="s">
        <v>86</v>
      </c>
      <c r="C4652" s="38" t="n">
        <f aca="false">(1-tp_yf)*(Sens!$H$4579+sbc_ab*Sens!$H$4603*Sens!$H$4443/Sens!$H$4520)+tp_yf*(Sens!$I$4579+sbc_ab*Sens!$I$4603*Sens!$I$4443/Sens!$I$4520)</f>
        <v>59.634664536349</v>
      </c>
    </row>
    <row r="4653" customFormat="false" ht="15" hidden="false" customHeight="false" outlineLevel="0" collapsed="false">
      <c r="A4653" s="5" t="s">
        <v>936</v>
      </c>
      <c r="B4653" s="0" t="s">
        <v>57</v>
      </c>
      <c r="C4653" s="30" t="n">
        <f aca="false">m_ads*m_x</f>
        <v>9.11</v>
      </c>
    </row>
    <row r="4654" customFormat="false" ht="17.15" hidden="false" customHeight="false" outlineLevel="0" collapsed="false">
      <c r="A4654" s="5" t="s">
        <v>937</v>
      </c>
      <c r="B4654" s="0" t="s">
        <v>86</v>
      </c>
      <c r="C4654" s="38" t="n">
        <f aca="false">Sens!$C$4652*Sens!$C$4653</f>
        <v>543.271793926139</v>
      </c>
    </row>
    <row r="4655" customFormat="false" ht="17.15" hidden="false" customHeight="false" outlineLevel="0" collapsed="false">
      <c r="A4655" s="5" t="s">
        <v>938</v>
      </c>
      <c r="B4655" s="0" t="s">
        <v>86</v>
      </c>
      <c r="C4655" s="38" t="n">
        <f aca="false">(1-tp_yf)*(Sens!$H$4580+sbc_ab*Sens!$H$4603*(Sens!$H$4450-Sens!$H$4443)/Sens!$H$4520+IF(internal_ai_reading=2,1,0)*(1-ext_sh)*Sens!$H$4480)+tp_yf*(Sens!$I$4580+sbc_ab*Sens!$I$4603*(Sens!$I$4450-Sens!$I$4443)/Sens!$I$4520+IF(internal_ai_reading=2,1,0)*(1-ext_sh)*Sens!$I$4480)</f>
        <v>48.586555613072</v>
      </c>
    </row>
    <row r="4656" customFormat="false" ht="17.15" hidden="false" customHeight="false" outlineLevel="0" collapsed="false">
      <c r="A4656" s="5" t="s">
        <v>939</v>
      </c>
      <c r="B4656" s="0" t="s">
        <v>57</v>
      </c>
      <c r="C4656" s="30" t="n">
        <f aca="false">m_retail*m_x</f>
        <v>17.72</v>
      </c>
    </row>
    <row r="4657" customFormat="false" ht="17.15" hidden="false" customHeight="false" outlineLevel="0" collapsed="false">
      <c r="A4657" s="5" t="s">
        <v>940</v>
      </c>
      <c r="B4657" s="0" t="s">
        <v>86</v>
      </c>
      <c r="C4657" s="38" t="n">
        <f aca="false">Sens!$C$4655*Sens!$C$4656</f>
        <v>860.953765463635</v>
      </c>
    </row>
    <row r="4658" customFormat="false" ht="17.15" hidden="false" customHeight="false" outlineLevel="0" collapsed="false">
      <c r="A4658" s="0" t="s">
        <v>941</v>
      </c>
      <c r="B4658" s="0" t="s">
        <v>86</v>
      </c>
      <c r="C4658" s="38" t="n">
        <f aca="false">(1-tp_yf)*(Sens!$H$4581+sbc_ab*Sens!$H$4603*Sens!$H$4518/Sens!$H$4520)+tp_yf*(Sens!$I$4581+sbc_ab*Sens!$I$4603*Sens!$I$4518/Sens!$I$4520)</f>
        <v>96.2439586897193</v>
      </c>
    </row>
    <row r="4659" customFormat="false" ht="17.15" hidden="false" customHeight="false" outlineLevel="0" collapsed="false">
      <c r="A4659" s="0" t="s">
        <v>942</v>
      </c>
      <c r="B4659" s="0" t="s">
        <v>57</v>
      </c>
      <c r="C4659" s="30" t="n">
        <f aca="false">m_cloud*m_x</f>
        <v>13.82</v>
      </c>
    </row>
    <row r="4660" customFormat="false" ht="17.15" hidden="false" customHeight="false" outlineLevel="0" collapsed="false">
      <c r="A4660" s="0" t="s">
        <v>943</v>
      </c>
      <c r="B4660" s="0" t="s">
        <v>86</v>
      </c>
      <c r="C4660" s="38" t="n">
        <f aca="false">Sens!$C$4658*Sens!$C$4659</f>
        <v>1330.09150909192</v>
      </c>
    </row>
    <row r="4661" customFormat="false" ht="17.15" hidden="false" customHeight="false" outlineLevel="0" collapsed="false">
      <c r="A4661" s="0" t="s">
        <v>944</v>
      </c>
      <c r="B4661" s="0" t="s">
        <v>86</v>
      </c>
      <c r="H4661" s="38" t="n">
        <f aca="false">Sens!$H$4499-tax*Sens!$H$4500-ext_sh*Sens!$H$4487</f>
        <v>-115.885394236225</v>
      </c>
      <c r="I4661" s="38" t="n">
        <f aca="false">Sens!$I$4499-tax*Sens!$I$4500-ext_sh*Sens!$I$4487</f>
        <v>-89.5935137276694</v>
      </c>
      <c r="J4661" s="38" t="n">
        <f aca="false">Sens!$J$4499-tax*Sens!$J$4500-ext_sh*Sens!$J$4487</f>
        <v>-62.3510647460279</v>
      </c>
      <c r="K4661" s="38" t="n">
        <f aca="false">Sens!$K$4499-tax*Sens!$K$4500-ext_sh*Sens!$K$4487</f>
        <v>8.85932514072565</v>
      </c>
      <c r="L4661" s="38" t="n">
        <f aca="false">Sens!$L$4499-tax*Sens!$L$4500-ext_sh*Sens!$L$4487</f>
        <v>45.6968344120177</v>
      </c>
      <c r="M4661" s="38" t="n">
        <f aca="false">Sens!$M$4499-tax*Sens!$M$4500-ext_sh*Sens!$M$4487</f>
        <v>54.7466688757428</v>
      </c>
    </row>
    <row r="4662" customFormat="false" ht="17.15" hidden="false" customHeight="false" outlineLevel="0" collapsed="false">
      <c r="A4662" s="5" t="s">
        <v>945</v>
      </c>
      <c r="B4662" s="0" t="s">
        <v>86</v>
      </c>
      <c r="H4662" s="38" t="n">
        <f aca="false">Sens!$H$4661*Sens!$H$4639</f>
        <v>-109.830535400166</v>
      </c>
      <c r="I4662" s="38" t="n">
        <f aca="false">Sens!$I$4661*Sens!$I$4639</f>
        <v>-76.2710567672785</v>
      </c>
      <c r="J4662" s="38" t="n">
        <f aca="false">Sens!$J$4661*Sens!$J$4639</f>
        <v>-47.6777623861763</v>
      </c>
      <c r="K4662" s="38" t="n">
        <f aca="false">Sens!$K$4661*Sens!$K$4639</f>
        <v>6.08501184243383</v>
      </c>
      <c r="L4662" s="38" t="n">
        <f aca="false">Sens!$L$4661*Sens!$L$4639</f>
        <v>28.1926369813469</v>
      </c>
      <c r="M4662" s="38" t="n">
        <f aca="false">Sens!$M$4661*Sens!$M$4639</f>
        <v>30.338637914116</v>
      </c>
    </row>
    <row r="4663" customFormat="false" ht="17.15" hidden="false" customHeight="false" outlineLevel="0" collapsed="false">
      <c r="A4663" s="5" t="s">
        <v>946</v>
      </c>
      <c r="B4663" s="0" t="s">
        <v>86</v>
      </c>
      <c r="C4663" s="38" t="n">
        <f aca="false">Sens!$M$4500*(1-tax)*(1+tg)*(1-tg/ronic)/(wacc-tg)</f>
        <v>391.533160655061</v>
      </c>
    </row>
    <row r="4664" customFormat="false" ht="17.15" hidden="false" customHeight="false" outlineLevel="0" collapsed="false">
      <c r="A4664" s="0" t="s">
        <v>947</v>
      </c>
      <c r="B4664" s="0" t="s">
        <v>86</v>
      </c>
      <c r="C4664" s="38" t="n">
        <f aca="false">(SUM(Sens!$I$4662:$M$4662)+Sens!$C$4663/(1+wacc)^6)*(1+wacc)^tp_yf</f>
        <v>159.796867964901</v>
      </c>
    </row>
    <row r="4665" customFormat="false" ht="17.15" hidden="false" customHeight="false" outlineLevel="0" collapsed="false">
      <c r="A4665" s="5" t="s">
        <v>948</v>
      </c>
      <c r="B4665" s="0" t="s">
        <v>86</v>
      </c>
      <c r="C4665" s="38" t="n">
        <f aca="false">(1-tp_yf)*(Sens!$H$4582)+tp_yf*(Sens!$I$4582)</f>
        <v>74.6707041238437</v>
      </c>
    </row>
    <row r="4666" customFormat="false" ht="17.15" hidden="false" customHeight="false" outlineLevel="0" collapsed="false">
      <c r="A4666" s="5" t="s">
        <v>949</v>
      </c>
      <c r="B4666" s="0" t="s">
        <v>86</v>
      </c>
      <c r="C4666" s="38" t="n">
        <f aca="false">Sens!$C$4665*m_ai</f>
        <v>448.024224743062</v>
      </c>
    </row>
    <row r="4667" customFormat="false" ht="17.15" hidden="false" customHeight="false" outlineLevel="0" collapsed="false">
      <c r="A4667" s="0" t="s">
        <v>950</v>
      </c>
      <c r="B4667" s="0" t="s">
        <v>86</v>
      </c>
      <c r="C4667" s="38" t="n">
        <f aca="false">IF(ai_leg=1,Sens!$C$4664,Sens!$C$4666)</f>
        <v>159.796867964901</v>
      </c>
    </row>
    <row r="4668" customFormat="false" ht="17.15" hidden="false" customHeight="false" outlineLevel="0" collapsed="false">
      <c r="A4668" s="5" t="s">
        <v>951</v>
      </c>
      <c r="B4668" s="0" t="s">
        <v>86</v>
      </c>
      <c r="C4668" s="38" t="n">
        <f aca="false">Sens!$C$4654+Sens!$C$4657+Sens!$C$4660+Sens!$C$4667</f>
        <v>2894.1139364466</v>
      </c>
    </row>
    <row r="4669" customFormat="false" ht="17.15" hidden="false" customHeight="false" outlineLevel="0" collapsed="false">
      <c r="A4669" s="5" t="s">
        <v>952</v>
      </c>
      <c r="B4669" s="0" t="s">
        <v>86</v>
      </c>
      <c r="C4669" s="38" t="n">
        <f aca="false">Sens!$H$4622+fin_debt</f>
        <v>154.72220016454</v>
      </c>
    </row>
    <row r="4670" customFormat="false" ht="15" hidden="false" customHeight="false" outlineLevel="0" collapsed="false">
      <c r="A4670" s="5" t="s">
        <v>953</v>
      </c>
      <c r="B4670" s="0" t="s">
        <v>86</v>
      </c>
      <c r="C4670" s="38" t="n">
        <f aca="false">Sens!$C$4668-Sens!$C$4669+Sens!$C$4647</f>
        <v>2918.33573628206</v>
      </c>
    </row>
    <row r="4671" customFormat="false" ht="15" hidden="false" customHeight="false" outlineLevel="0" collapsed="false">
      <c r="A4671" s="3" t="s">
        <v>954</v>
      </c>
      <c r="B4671" s="8" t="s">
        <v>27</v>
      </c>
      <c r="C4671" s="30" t="n">
        <f aca="false">Sens!$C$4670/sh_val</f>
        <v>264.574130553496</v>
      </c>
    </row>
    <row r="4672" customFormat="false" ht="17.15" hidden="false" customHeight="false" outlineLevel="0" collapsed="false">
      <c r="A4672" s="47" t="s">
        <v>955</v>
      </c>
      <c r="B4672" s="14" t="s">
        <v>27</v>
      </c>
      <c r="C4672" s="44" t="n">
        <f aca="false">w_dcf*Sens!$C$4650+(1-w_dcf)*Sens!$C$4671</f>
        <v>199.124241267753</v>
      </c>
      <c r="D4672" s="14"/>
      <c r="E4672" s="14"/>
      <c r="F4672" s="14"/>
      <c r="G4672" s="14"/>
      <c r="H4672" s="14"/>
      <c r="I4672" s="14"/>
      <c r="J4672" s="14"/>
      <c r="K4672" s="14"/>
      <c r="L4672" s="14"/>
      <c r="M4672" s="14"/>
      <c r="N4672" s="14"/>
      <c r="O4672" s="14"/>
    </row>
    <row r="4673" customFormat="false" ht="17.15" hidden="false" customHeight="false" outlineLevel="0" collapsed="false">
      <c r="A4673" s="5" t="s">
        <v>956</v>
      </c>
      <c r="B4673" s="0" t="s">
        <v>27</v>
      </c>
      <c r="C4673" s="30" t="n">
        <f aca="false">v022_wdcf*Sens!$C$4650+(1-v022_wdcf)*Sens!$C$4671</f>
        <v>205.669230196327</v>
      </c>
    </row>
    <row r="4674" customFormat="false" ht="17.15" hidden="false" customHeight="false" outlineLevel="0" collapsed="false">
      <c r="A4674" s="5" t="s">
        <v>957</v>
      </c>
      <c r="B4674" s="0" t="s">
        <v>27</v>
      </c>
      <c r="C4674" s="30" t="n">
        <f aca="false">(Sens!$C$4670-Sens!$C$4667+Sens!$C$4666)/sh_val</f>
        <v>290.704606692087</v>
      </c>
    </row>
    <row r="4677" customFormat="false" ht="19.4" hidden="false" customHeight="false" outlineLevel="0" collapsed="false">
      <c r="A4677" s="31" t="s">
        <v>1230</v>
      </c>
    </row>
    <row r="4678" customFormat="false" ht="17.15" hidden="false" customHeight="false" outlineLevel="0" collapsed="false">
      <c r="A4678" s="6" t="s">
        <v>16</v>
      </c>
      <c r="B4678" s="6" t="s">
        <v>17</v>
      </c>
      <c r="C4678" s="20" t="s">
        <v>497</v>
      </c>
      <c r="D4678" s="20" t="s">
        <v>498</v>
      </c>
      <c r="E4678" s="20" t="s">
        <v>580</v>
      </c>
      <c r="F4678" s="20" t="s">
        <v>581</v>
      </c>
      <c r="G4678" s="20" t="s">
        <v>582</v>
      </c>
      <c r="H4678" s="20" t="s">
        <v>583</v>
      </c>
      <c r="I4678" s="20" t="s">
        <v>584</v>
      </c>
      <c r="J4678" s="20" t="s">
        <v>585</v>
      </c>
      <c r="K4678" s="20" t="s">
        <v>586</v>
      </c>
      <c r="L4678" s="20" t="s">
        <v>587</v>
      </c>
      <c r="M4678" s="20" t="s">
        <v>588</v>
      </c>
      <c r="N4678" s="20" t="s">
        <v>589</v>
      </c>
      <c r="O4678" s="20" t="s">
        <v>590</v>
      </c>
      <c r="P4678" s="6" t="s">
        <v>23</v>
      </c>
      <c r="R4678" s="20" t="n">
        <v>2023</v>
      </c>
      <c r="S4678" s="20" t="n">
        <v>2024</v>
      </c>
      <c r="T4678" s="20" t="n">
        <v>2025</v>
      </c>
      <c r="U4678" s="20" t="n">
        <v>2026</v>
      </c>
      <c r="V4678" s="20" t="n">
        <v>2027</v>
      </c>
      <c r="W4678" s="20" t="n">
        <v>2028</v>
      </c>
      <c r="X4678" s="20" t="n">
        <v>2029</v>
      </c>
      <c r="Y4678" s="20" t="n">
        <v>2030</v>
      </c>
      <c r="Z4678" s="20" t="n">
        <v>2031</v>
      </c>
      <c r="AA4678" s="20" t="n">
        <v>2032</v>
      </c>
    </row>
    <row r="4679" customFormat="false" ht="17.15" hidden="false" customHeight="false" outlineLevel="0" collapsed="false">
      <c r="A4679" s="1" t="s">
        <v>666</v>
      </c>
    </row>
    <row r="4680" customFormat="false" ht="17.15" hidden="false" customHeight="false" outlineLevel="0" collapsed="false">
      <c r="A4680" s="0" t="s">
        <v>519</v>
      </c>
      <c r="B4680" s="0" t="s">
        <v>86</v>
      </c>
      <c r="C4680" s="38" t="n">
        <f aca="false">Q!$D$10</f>
        <v>247.029</v>
      </c>
      <c r="D4680" s="38" t="n">
        <f aca="false">Q!$E$10</f>
        <v>269.287</v>
      </c>
      <c r="E4680" s="38" t="n">
        <f aca="false">Q!$P$10</f>
        <v>134.686</v>
      </c>
      <c r="F4680" s="38" t="n">
        <f aca="false">Sens!$O$4680*(1+Sens!$F$4681)*Sens!$F$4692</f>
        <v>158.293876822267</v>
      </c>
      <c r="G4680" s="38" t="n">
        <f aca="false">Sens!$E$4680+Sens!$F$4680</f>
        <v>292.979876822267</v>
      </c>
      <c r="H4680" s="38" t="n">
        <f aca="false">Sens!$G$4680*(1+Sens!$H$4681)</f>
        <v>318.184543087396</v>
      </c>
      <c r="I4680" s="38" t="n">
        <f aca="false">Sens!$H$4680*(1+Sens!$I$4681)</f>
        <v>341.736278761793</v>
      </c>
      <c r="J4680" s="38" t="n">
        <f aca="false">Sens!$I$4680*(1+Sens!$J$4681)</f>
        <v>362.927192787048</v>
      </c>
      <c r="K4680" s="38" t="n">
        <f aca="false">Sens!$J$4680*(1+Sens!$K$4681)</f>
        <v>381.0735524264</v>
      </c>
      <c r="L4680" s="38" t="n">
        <f aca="false">Sens!$K$4680*(1+Sens!$L$4681)</f>
        <v>400.12723004772</v>
      </c>
      <c r="M4680" s="38" t="n">
        <f aca="false">Sens!$L$4680*(1+Sens!$M$4681)</f>
        <v>420.133591550106</v>
      </c>
      <c r="N4680" s="38" t="n">
        <f aca="false">Q!$N$10</f>
        <v>118.892</v>
      </c>
      <c r="O4680" s="38" t="n">
        <f aca="false">Q!$O$10</f>
        <v>150.395</v>
      </c>
      <c r="P4680" s="8" t="s">
        <v>667</v>
      </c>
    </row>
    <row r="4681" customFormat="false" ht="17.15" hidden="false" customHeight="false" outlineLevel="0" collapsed="false">
      <c r="A4681" s="0" t="s">
        <v>668</v>
      </c>
      <c r="B4681" s="0" t="s">
        <v>52</v>
      </c>
      <c r="E4681" s="13" t="n">
        <f aca="false">Sens!$E$4680/Sens!$N$4680-1</f>
        <v>0.132843252699929</v>
      </c>
      <c r="F4681" s="13" t="n">
        <f aca="false">Sens!$O$4680/(Q!$F$10+Q!$G$10)-1</f>
        <v>0.0980382135842941</v>
      </c>
      <c r="G4681" s="13" t="n">
        <f aca="false">Sens!$G$4680/Sens!$D$4680-1</f>
        <v>0.0879837378791657</v>
      </c>
      <c r="H4681" s="13" t="n">
        <f aca="false">Sens!$F$4681+(g_os-Sens!$F$4681)*1/4</f>
        <v>0.0860286601882206</v>
      </c>
      <c r="I4681" s="13" t="n">
        <f aca="false">Sens!$F$4681+(g_os-Sens!$F$4681)*2/4</f>
        <v>0.074019106792147</v>
      </c>
      <c r="J4681" s="13" t="n">
        <f aca="false">Sens!$F$4681+(g_os-Sens!$F$4681)*3/4</f>
        <v>0.0620095533960735</v>
      </c>
      <c r="K4681" s="13" t="n">
        <f aca="false">Sens!$F$4681+(g_os-Sens!$F$4681)*4/4</f>
        <v>0.05</v>
      </c>
      <c r="L4681" s="13" t="n">
        <f aca="false">g_os</f>
        <v>0.05</v>
      </c>
      <c r="M4681" s="13" t="n">
        <f aca="false">g_os</f>
        <v>0.05</v>
      </c>
      <c r="P4681" s="8" t="s">
        <v>669</v>
      </c>
    </row>
    <row r="4682" customFormat="false" ht="17.15" hidden="false" customHeight="false" outlineLevel="0" collapsed="false">
      <c r="A4682" s="0" t="s">
        <v>520</v>
      </c>
      <c r="B4682" s="0" t="s">
        <v>86</v>
      </c>
      <c r="C4682" s="38" t="n">
        <f aca="false">Q!$D$11</f>
        <v>21.215</v>
      </c>
      <c r="D4682" s="38" t="n">
        <f aca="false">Q!$E$11</f>
        <v>22.561</v>
      </c>
      <c r="E4682" s="38" t="n">
        <f aca="false">Q!$P$11</f>
        <v>11.579</v>
      </c>
      <c r="F4682" s="38" t="n">
        <f aca="false">Sens!$O$4682*(1+Sens!$F$4683)*Sens!$F$4692</f>
        <v>11.5938724610325</v>
      </c>
      <c r="G4682" s="38" t="n">
        <f aca="false">Sens!$E$4682+Sens!$F$4682</f>
        <v>23.1728724610325</v>
      </c>
      <c r="H4682" s="38" t="n">
        <f aca="false">Sens!$G$4682*(1+Sens!$H$4683)</f>
        <v>24.353392759506</v>
      </c>
      <c r="I4682" s="38" t="n">
        <f aca="false">Sens!$H$4682*(1+Sens!$I$4683)</f>
        <v>25.4240338872015</v>
      </c>
      <c r="J4682" s="38" t="n">
        <f aca="false">Sens!$I$4682*(1+Sens!$J$4683)</f>
        <v>26.3642491017174</v>
      </c>
      <c r="K4682" s="38" t="n">
        <f aca="false">Sens!$J$4682*(1+Sens!$K$4683)</f>
        <v>27.155176574769</v>
      </c>
      <c r="L4682" s="38" t="n">
        <f aca="false">Sens!$K$4682*(1+Sens!$L$4683)</f>
        <v>27.969831872012</v>
      </c>
      <c r="M4682" s="38" t="n">
        <f aca="false">Sens!$L$4682*(1+Sens!$M$4683)</f>
        <v>28.8089268281724</v>
      </c>
      <c r="N4682" s="38" t="n">
        <f aca="false">Q!$N$11</f>
        <v>11.128</v>
      </c>
      <c r="O4682" s="38" t="n">
        <f aca="false">Q!$O$11</f>
        <v>11.433</v>
      </c>
      <c r="P4682" s="8" t="s">
        <v>667</v>
      </c>
    </row>
    <row r="4683" customFormat="false" ht="17.15" hidden="false" customHeight="false" outlineLevel="0" collapsed="false">
      <c r="A4683" s="0" t="s">
        <v>670</v>
      </c>
      <c r="B4683" s="0" t="s">
        <v>52</v>
      </c>
      <c r="E4683" s="13" t="n">
        <f aca="false">Sens!$E$4682/Sens!$N$4682-1</f>
        <v>0.0405283968368082</v>
      </c>
      <c r="F4683" s="13" t="n">
        <f aca="false">Sens!$O$4682/(Q!$F$11+Q!$G$11)-1</f>
        <v>0.0579254187100955</v>
      </c>
      <c r="G4683" s="13" t="n">
        <f aca="false">Sens!$G$4682/Sens!$D$4682-1</f>
        <v>0.0271208040881397</v>
      </c>
      <c r="H4683" s="13" t="n">
        <f aca="false">Sens!$F$4683+(g_ps-Sens!$F$4683)*1/4</f>
        <v>0.0509440640325716</v>
      </c>
      <c r="I4683" s="13" t="n">
        <f aca="false">Sens!$F$4683+(g_ps-Sens!$F$4683)*2/4</f>
        <v>0.0439627093550477</v>
      </c>
      <c r="J4683" s="13" t="n">
        <f aca="false">Sens!$F$4683+(g_ps-Sens!$F$4683)*3/4</f>
        <v>0.0369813546775239</v>
      </c>
      <c r="K4683" s="13" t="n">
        <f aca="false">Sens!$F$4683+(g_ps-Sens!$F$4683)*4/4</f>
        <v>0.03</v>
      </c>
      <c r="L4683" s="13" t="n">
        <f aca="false">g_ps</f>
        <v>0.03</v>
      </c>
      <c r="M4683" s="13" t="n">
        <f aca="false">g_ps</f>
        <v>0.03</v>
      </c>
      <c r="P4683" s="8" t="s">
        <v>671</v>
      </c>
    </row>
    <row r="4684" customFormat="false" ht="17.15" hidden="false" customHeight="false" outlineLevel="0" collapsed="false">
      <c r="A4684" s="0" t="s">
        <v>521</v>
      </c>
      <c r="B4684" s="0" t="s">
        <v>86</v>
      </c>
      <c r="C4684" s="38" t="n">
        <f aca="false">Q!$D$12</f>
        <v>156.146</v>
      </c>
      <c r="D4684" s="38" t="n">
        <f aca="false">Q!$E$12</f>
        <v>172.162</v>
      </c>
      <c r="E4684" s="38" t="n">
        <f aca="false">Q!$P$12</f>
        <v>88.358</v>
      </c>
      <c r="F4684" s="38" t="n">
        <f aca="false">Sens!$O$4684*(1+Sens!$F$4685)*Sens!$F$4692</f>
        <v>102.004388260171</v>
      </c>
      <c r="G4684" s="38" t="n">
        <f aca="false">Sens!$E$4684+Sens!$F$4684</f>
        <v>190.362388260171</v>
      </c>
      <c r="H4684" s="38" t="n">
        <f aca="false">Sens!$G$4684*(1+Sens!$H$4685)</f>
        <v>210.343106588311</v>
      </c>
      <c r="I4684" s="38" t="n">
        <f aca="false">Sens!$H$4684*(1+Sens!$I$4685)</f>
        <v>229.969728494648</v>
      </c>
      <c r="J4684" s="38" t="n">
        <f aca="false">Sens!$I$4684*(1+Sens!$J$4685)</f>
        <v>248.747636972598</v>
      </c>
      <c r="K4684" s="38" t="n">
        <f aca="false">Sens!$J$4684*(1+Sens!$K$4685)</f>
        <v>266.15997156068</v>
      </c>
      <c r="L4684" s="38" t="n">
        <f aca="false">Sens!$K$4684*(1+Sens!$L$4685)</f>
        <v>284.791169569927</v>
      </c>
      <c r="M4684" s="38" t="n">
        <f aca="false">Sens!$L$4684*(1+Sens!$M$4685)</f>
        <v>304.726551439822</v>
      </c>
      <c r="N4684" s="38" t="n">
        <f aca="false">Q!$N$12</f>
        <v>76.86</v>
      </c>
      <c r="O4684" s="38" t="n">
        <f aca="false">Q!$O$12</f>
        <v>95.302</v>
      </c>
      <c r="P4684" s="8" t="s">
        <v>667</v>
      </c>
    </row>
    <row r="4685" customFormat="false" ht="17.15" hidden="false" customHeight="false" outlineLevel="0" collapsed="false">
      <c r="A4685" s="0" t="s">
        <v>672</v>
      </c>
      <c r="B4685" s="0" t="s">
        <v>52</v>
      </c>
      <c r="E4685" s="13" t="n">
        <f aca="false">Sens!$E$4684/Sens!$N$4684-1</f>
        <v>0.1495966692688</v>
      </c>
      <c r="F4685" s="13" t="n">
        <f aca="false">Sens!$O$4684/(Q!$F$12+Q!$G$12)-1</f>
        <v>0.11661530890813</v>
      </c>
      <c r="G4685" s="13" t="n">
        <f aca="false">Sens!$G$4684/Sens!$D$4684-1</f>
        <v>0.105716640490767</v>
      </c>
      <c r="H4685" s="13" t="n">
        <f aca="false">Sens!$F$4685+(g_sp-Sens!$F$4685)*1/4</f>
        <v>0.104961481681098</v>
      </c>
      <c r="I4685" s="13" t="n">
        <f aca="false">Sens!$F$4685+(g_sp-Sens!$F$4685)*2/4</f>
        <v>0.0933076544540651</v>
      </c>
      <c r="J4685" s="13" t="n">
        <f aca="false">Sens!$F$4685+(g_sp-Sens!$F$4685)*3/4</f>
        <v>0.0816538272270325</v>
      </c>
      <c r="K4685" s="13" t="n">
        <f aca="false">Sens!$F$4685+(g_sp-Sens!$F$4685)*4/4</f>
        <v>0.07</v>
      </c>
      <c r="L4685" s="13" t="n">
        <f aca="false">g_sp</f>
        <v>0.07</v>
      </c>
      <c r="M4685" s="13" t="n">
        <f aca="false">g_sp</f>
        <v>0.07</v>
      </c>
      <c r="P4685" s="8" t="s">
        <v>673</v>
      </c>
    </row>
    <row r="4686" customFormat="false" ht="17.15" hidden="false" customHeight="false" outlineLevel="0" collapsed="false">
      <c r="A4686" s="0" t="s">
        <v>522</v>
      </c>
      <c r="B4686" s="0" t="s">
        <v>86</v>
      </c>
      <c r="C4686" s="38" t="n">
        <f aca="false">Q!$D$13</f>
        <v>56.214</v>
      </c>
      <c r="D4686" s="38" t="n">
        <f aca="false">Q!$E$13</f>
        <v>68.635</v>
      </c>
      <c r="E4686" s="38" t="n">
        <f aca="false">Q!$P$13</f>
        <v>37.052</v>
      </c>
      <c r="F4686" s="38" t="n">
        <f aca="false">Sens!$O$4686*(1+Sens!$F$4687)*Sens!$F$4692</f>
        <v>46.1572219944148</v>
      </c>
      <c r="G4686" s="38" t="n">
        <f aca="false">Sens!$E$4686+Sens!$F$4686</f>
        <v>83.2092219944148</v>
      </c>
      <c r="H4686" s="38" t="n">
        <f aca="false">Sens!$G$4686*(1+Sens!$H$4687)</f>
        <v>99.8969223878976</v>
      </c>
      <c r="I4686" s="38" t="n">
        <f aca="false">Sens!$H$4686*(1+Sens!$I$4687)</f>
        <v>116.583111095496</v>
      </c>
      <c r="J4686" s="38" t="n">
        <f aca="false">Sens!$I$4686*(1+Sens!$J$4687)</f>
        <v>132.148941941952</v>
      </c>
      <c r="K4686" s="38" t="n">
        <f aca="false">Sens!$J$4686*(1+Sens!$K$4687)</f>
        <v>145.363836136147</v>
      </c>
      <c r="L4686" s="38" t="n">
        <f aca="false">Sens!$K$4686*(1+Sens!$L$4687)</f>
        <v>159.900219749762</v>
      </c>
      <c r="M4686" s="38" t="n">
        <f aca="false">Sens!$L$4686*(1+Sens!$M$4687)</f>
        <v>175.890241724738</v>
      </c>
      <c r="N4686" s="38" t="n">
        <f aca="false">Q!$N$13</f>
        <v>29.615</v>
      </c>
      <c r="O4686" s="38" t="n">
        <f aca="false">Q!$O$13</f>
        <v>39.02</v>
      </c>
      <c r="P4686" s="8" t="s">
        <v>667</v>
      </c>
    </row>
    <row r="4687" customFormat="false" ht="17.15" hidden="false" customHeight="false" outlineLevel="0" collapsed="false">
      <c r="A4687" s="0" t="s">
        <v>674</v>
      </c>
      <c r="B4687" s="0" t="s">
        <v>52</v>
      </c>
      <c r="E4687" s="13" t="n">
        <f aca="false">Sens!$E$4686/Sens!$N$4686-1</f>
        <v>0.25112274185379</v>
      </c>
      <c r="F4687" s="13" t="n">
        <f aca="false">Sens!$O$4686/(Q!$F$13+Q!$G$13)-1</f>
        <v>0.234068123596572</v>
      </c>
      <c r="G4687" s="13" t="n">
        <f aca="false">Sens!$G$4686/Sens!$D$4686-1</f>
        <v>0.212343876949294</v>
      </c>
      <c r="H4687" s="13" t="n">
        <f aca="false">Sens!$F$4687+(g_ad-Sens!$F$4687)*1/4</f>
        <v>0.200551092697429</v>
      </c>
      <c r="I4687" s="13" t="n">
        <f aca="false">Sens!$F$4687+(g_ad-Sens!$F$4687)*2/4</f>
        <v>0.167034061798286</v>
      </c>
      <c r="J4687" s="13" t="n">
        <f aca="false">Sens!$F$4687+(g_ad-Sens!$F$4687)*3/4</f>
        <v>0.133517030899143</v>
      </c>
      <c r="K4687" s="13" t="n">
        <f aca="false">Sens!$F$4687+(g_ad-Sens!$F$4687)*4/4</f>
        <v>0.1</v>
      </c>
      <c r="L4687" s="13" t="n">
        <f aca="false">g_ad</f>
        <v>0.1</v>
      </c>
      <c r="M4687" s="13" t="n">
        <f aca="false">g_ad</f>
        <v>0.1</v>
      </c>
      <c r="P4687" s="8" t="s">
        <v>675</v>
      </c>
    </row>
    <row r="4688" customFormat="false" ht="17.15" hidden="false" customHeight="false" outlineLevel="0" collapsed="false">
      <c r="A4688" s="0" t="s">
        <v>523</v>
      </c>
      <c r="B4688" s="0" t="s">
        <v>86</v>
      </c>
      <c r="C4688" s="38" t="n">
        <f aca="false">Q!$D$14</f>
        <v>44.374</v>
      </c>
      <c r="D4688" s="38" t="n">
        <f aca="false">Q!$E$14</f>
        <v>49.619</v>
      </c>
      <c r="E4688" s="38" t="n">
        <f aca="false">Q!$P$14</f>
        <v>27.157</v>
      </c>
      <c r="F4688" s="38" t="n">
        <f aca="false">Sens!$O$4688*(1+Sens!$F$4689)*Sens!$F$4692</f>
        <v>27.7764165988154</v>
      </c>
      <c r="G4688" s="38" t="n">
        <f aca="false">Sens!$E$4688+Sens!$F$4688</f>
        <v>54.9334165988154</v>
      </c>
      <c r="H4688" s="38" t="n">
        <f aca="false">Sens!$G$4688*(1+Sens!$H$4689)</f>
        <v>61.1564112561829</v>
      </c>
      <c r="I4688" s="38" t="n">
        <f aca="false">Sens!$H$4688*(1+Sens!$I$4689)</f>
        <v>67.2020282103945</v>
      </c>
      <c r="J4688" s="38" t="n">
        <f aca="false">Sens!$I$4688*(1+Sens!$J$4689)</f>
        <v>72.8757274028885</v>
      </c>
      <c r="K4688" s="38" t="n">
        <f aca="false">Sens!$J$4688*(1+Sens!$K$4689)</f>
        <v>77.9770283210907</v>
      </c>
      <c r="L4688" s="38" t="n">
        <f aca="false">Sens!$K$4688*(1+Sens!$L$4689)</f>
        <v>83.4354203035671</v>
      </c>
      <c r="M4688" s="38" t="n">
        <f aca="false">Sens!$L$4688*(1+Sens!$M$4689)</f>
        <v>89.2758997248168</v>
      </c>
      <c r="N4688" s="38" t="n">
        <f aca="false">Q!$N$14</f>
        <v>23.923</v>
      </c>
      <c r="O4688" s="38" t="n">
        <f aca="false">Q!$O$14</f>
        <v>25.696</v>
      </c>
      <c r="P4688" s="8" t="s">
        <v>667</v>
      </c>
    </row>
    <row r="4689" customFormat="false" ht="17.15" hidden="false" customHeight="false" outlineLevel="0" collapsed="false">
      <c r="A4689" s="0" t="s">
        <v>676</v>
      </c>
      <c r="B4689" s="0" t="s">
        <v>52</v>
      </c>
      <c r="E4689" s="13" t="n">
        <f aca="false">Sens!$E$4688/Sens!$N$4688-1</f>
        <v>0.135183714417088</v>
      </c>
      <c r="F4689" s="13" t="n">
        <f aca="false">Sens!$O$4688/(Q!$F$14+Q!$G$14)-1</f>
        <v>0.127709997366804</v>
      </c>
      <c r="G4689" s="13" t="n">
        <f aca="false">Sens!$G$4688/Sens!$D$4688-1</f>
        <v>0.107104468022641</v>
      </c>
      <c r="H4689" s="13" t="n">
        <f aca="false">Sens!$F$4689+(g_sub-Sens!$F$4689)*1/4</f>
        <v>0.113282498025103</v>
      </c>
      <c r="I4689" s="13" t="n">
        <f aca="false">Sens!$F$4689+(g_sub-Sens!$F$4689)*2/4</f>
        <v>0.0988549986834021</v>
      </c>
      <c r="J4689" s="13" t="n">
        <f aca="false">Sens!$F$4689+(g_sub-Sens!$F$4689)*3/4</f>
        <v>0.084427499341701</v>
      </c>
      <c r="K4689" s="13" t="n">
        <f aca="false">Sens!$F$4689+(g_sub-Sens!$F$4689)*4/4</f>
        <v>0.07</v>
      </c>
      <c r="L4689" s="13" t="n">
        <f aca="false">g_sub</f>
        <v>0.07</v>
      </c>
      <c r="M4689" s="13" t="n">
        <f aca="false">g_sub</f>
        <v>0.07</v>
      </c>
      <c r="P4689" s="8" t="s">
        <v>677</v>
      </c>
    </row>
    <row r="4690" customFormat="false" ht="17.15" hidden="false" customHeight="false" outlineLevel="0" collapsed="false">
      <c r="A4690" s="0" t="s">
        <v>524</v>
      </c>
      <c r="B4690" s="0" t="s">
        <v>86</v>
      </c>
      <c r="C4690" s="38" t="n">
        <f aca="false">Q!$D$15</f>
        <v>5.425</v>
      </c>
      <c r="D4690" s="38" t="n">
        <f aca="false">Q!$E$15</f>
        <v>5.935</v>
      </c>
      <c r="E4690" s="38" t="n">
        <f aca="false">Q!$P$15</f>
        <v>3.474</v>
      </c>
      <c r="F4690" s="38" t="n">
        <f aca="false">Sens!$O$4690*(1+Sens!$F$4691)*Sens!$F$4692</f>
        <v>3.22246550883619</v>
      </c>
      <c r="G4690" s="38" t="n">
        <f aca="false">Sens!$E$4690+Sens!$F$4690</f>
        <v>6.69646550883619</v>
      </c>
      <c r="H4690" s="38" t="n">
        <f aca="false">Sens!$G$4690*(1+Sens!$H$4691)</f>
        <v>7.16251344209196</v>
      </c>
      <c r="I4690" s="38" t="n">
        <f aca="false">Sens!$H$4690*(1+Sens!$I$4691)</f>
        <v>7.61421070299826</v>
      </c>
      <c r="J4690" s="38" t="n">
        <f aca="false">Sens!$I$4690*(1+Sens!$J$4691)</f>
        <v>8.04465753523932</v>
      </c>
      <c r="K4690" s="38" t="n">
        <f aca="false">Sens!$J$4690*(1+Sens!$K$4691)</f>
        <v>8.44689041200128</v>
      </c>
      <c r="L4690" s="38" t="n">
        <f aca="false">Sens!$K$4690*(1+Sens!$L$4691)</f>
        <v>8.86923493260135</v>
      </c>
      <c r="M4690" s="38" t="n">
        <f aca="false">Sens!$L$4690*(1+Sens!$M$4691)</f>
        <v>9.31269667923142</v>
      </c>
      <c r="N4690" s="38" t="n">
        <f aca="false">Q!$N$15</f>
        <v>2.811</v>
      </c>
      <c r="O4690" s="38" t="n">
        <f aca="false">Q!$O$15</f>
        <v>3.124</v>
      </c>
      <c r="P4690" s="8" t="s">
        <v>667</v>
      </c>
    </row>
    <row r="4691" customFormat="false" ht="17.15" hidden="false" customHeight="false" outlineLevel="0" collapsed="false">
      <c r="A4691" s="0" t="s">
        <v>678</v>
      </c>
      <c r="B4691" s="0" t="s">
        <v>52</v>
      </c>
      <c r="E4691" s="13" t="n">
        <f aca="false">Sens!$E$4690/Sens!$N$4690-1</f>
        <v>0.235859124866596</v>
      </c>
      <c r="F4691" s="13" t="n">
        <f aca="false">Sens!$O$4690/(Q!$F$15+Q!$G$15)-1</f>
        <v>0.0761281433000345</v>
      </c>
      <c r="G4691" s="13" t="n">
        <f aca="false">Sens!$G$4690/Sens!$D$4690-1</f>
        <v>0.128300843948811</v>
      </c>
      <c r="H4691" s="13" t="n">
        <f aca="false">Sens!$F$4691+(g_ot-Sens!$F$4691)*1/4</f>
        <v>0.0695961074750259</v>
      </c>
      <c r="I4691" s="13" t="n">
        <f aca="false">Sens!$F$4691+(g_ot-Sens!$F$4691)*2/4</f>
        <v>0.0630640716500172</v>
      </c>
      <c r="J4691" s="13" t="n">
        <f aca="false">Sens!$F$4691+(g_ot-Sens!$F$4691)*3/4</f>
        <v>0.0565320358250086</v>
      </c>
      <c r="K4691" s="13" t="n">
        <f aca="false">Sens!$F$4691+(g_ot-Sens!$F$4691)*4/4</f>
        <v>0.05</v>
      </c>
      <c r="L4691" s="13" t="n">
        <f aca="false">g_ot</f>
        <v>0.05</v>
      </c>
      <c r="M4691" s="13" t="n">
        <f aca="false">g_ot</f>
        <v>0.05</v>
      </c>
      <c r="P4691" s="8" t="s">
        <v>679</v>
      </c>
    </row>
    <row r="4692" customFormat="false" ht="17.15" hidden="false" customHeight="false" outlineLevel="0" collapsed="false">
      <c r="A4692" s="0" t="s">
        <v>680</v>
      </c>
      <c r="B4692" s="0" t="s">
        <v>57</v>
      </c>
      <c r="F4692" s="40" t="n">
        <f aca="false">(g26q3_mid*Q!$O$8/Q!$J$8-Thesis!$F$86-Thesis!$F$90)/(Sens!$O$4680*(1+Sens!$F$4681)+Sens!$O$4682*(1+Sens!$F$4683)+Sens!$O$4684*(1+Sens!$F$4685)+Sens!$O$4686*(1+Sens!$F$4687)+Sens!$O$4688*(1+Sens!$F$4689)+Sens!$O$4690*(1+Sens!$F$4691))</f>
        <v>0.958546670622329</v>
      </c>
      <c r="P4692" s="8" t="s">
        <v>681</v>
      </c>
    </row>
    <row r="4693" customFormat="false" ht="17.15" hidden="false" customHeight="false" outlineLevel="0" collapsed="false">
      <c r="A4693" s="3" t="s">
        <v>682</v>
      </c>
      <c r="B4693" s="8" t="s">
        <v>86</v>
      </c>
      <c r="C4693" s="38" t="n">
        <f aca="false">Sens!$C$4680+Sens!$C$4682+Sens!$C$4684+Sens!$C$4686+Sens!$C$4688+Sens!$C$4690</f>
        <v>530.403</v>
      </c>
      <c r="D4693" s="38" t="n">
        <f aca="false">Sens!$D$4680+Sens!$D$4682+Sens!$D$4684+Sens!$D$4686+Sens!$D$4688+Sens!$D$4690</f>
        <v>588.199</v>
      </c>
      <c r="E4693" s="38" t="n">
        <f aca="false">Sens!$E$4680+Sens!$E$4682+Sens!$E$4684+Sens!$E$4686+Sens!$E$4688+Sens!$E$4690</f>
        <v>302.306</v>
      </c>
      <c r="F4693" s="38" t="n">
        <f aca="false">Sens!$F$4680+Sens!$F$4682+Sens!$F$4684+Sens!$F$4686+Sens!$F$4688+Sens!$F$4690</f>
        <v>349.048241645537</v>
      </c>
      <c r="G4693" s="38" t="n">
        <f aca="false">Sens!$G$4680+Sens!$G$4682+Sens!$G$4684+Sens!$G$4686+Sens!$G$4688+Sens!$G$4690</f>
        <v>651.354241645537</v>
      </c>
      <c r="H4693" s="38" t="n">
        <f aca="false">Sens!$H$4680+Sens!$H$4682+Sens!$H$4684+Sens!$H$4686+Sens!$H$4688+Sens!$H$4690</f>
        <v>721.096889521386</v>
      </c>
      <c r="I4693" s="38" t="n">
        <f aca="false">Sens!$I$4680+Sens!$I$4682+Sens!$I$4684+Sens!$I$4686+Sens!$I$4688+Sens!$I$4690</f>
        <v>788.529391152531</v>
      </c>
      <c r="J4693" s="38" t="n">
        <f aca="false">Sens!$J$4680+Sens!$J$4682+Sens!$J$4684+Sens!$J$4686+Sens!$J$4688+Sens!$J$4690</f>
        <v>851.108405741443</v>
      </c>
      <c r="K4693" s="38" t="n">
        <f aca="false">Sens!$K$4680+Sens!$K$4682+Sens!$K$4684+Sens!$K$4686+Sens!$K$4688+Sens!$K$4690</f>
        <v>906.176455431088</v>
      </c>
      <c r="L4693" s="38" t="n">
        <f aca="false">Sens!$L$4680+Sens!$L$4682+Sens!$L$4684+Sens!$L$4686+Sens!$L$4688+Sens!$L$4690</f>
        <v>965.093106475589</v>
      </c>
      <c r="M4693" s="38" t="n">
        <f aca="false">Sens!$M$4680+Sens!$M$4682+Sens!$M$4684+Sens!$M$4686+Sens!$M$4688+Sens!$M$4690</f>
        <v>1028.14790794689</v>
      </c>
      <c r="N4693" s="38" t="n">
        <f aca="false">Sens!$N$4680+Sens!$N$4682+Sens!$N$4684+Sens!$N$4686+Sens!$N$4688+Sens!$N$4690</f>
        <v>263.229</v>
      </c>
      <c r="O4693" s="38" t="n">
        <f aca="false">Sens!$O$4680+Sens!$O$4682+Sens!$O$4684+Sens!$O$4686+Sens!$O$4688+Sens!$O$4690</f>
        <v>324.97</v>
      </c>
    </row>
    <row r="4694" customFormat="false" ht="17.15" hidden="false" customHeight="false" outlineLevel="0" collapsed="false">
      <c r="A4694" s="5" t="s">
        <v>683</v>
      </c>
      <c r="B4694" s="0" t="s">
        <v>52</v>
      </c>
      <c r="C4694" s="13" t="n">
        <f aca="false">Q!$D$5/(Q!$D$5+Q!$D$6)</f>
        <v>0.730570905519011</v>
      </c>
      <c r="D4694" s="13" t="n">
        <f aca="false">Q!$E$5/(Q!$E$5+Q!$E$6)</f>
        <v>0.724763217890544</v>
      </c>
      <c r="E4694" s="13" t="n">
        <f aca="false">Q!$P$5/(Q!$P$5+Q!$P$6)</f>
        <v>0.728797972914861</v>
      </c>
      <c r="F4694" s="13" t="n">
        <f aca="false">Sens!$O$4694</f>
        <v>0.718066283041511</v>
      </c>
      <c r="G4694" s="13" t="n">
        <f aca="false">Sens!$G$4695/Sens!$G$4693</f>
        <v>0.723047066202847</v>
      </c>
      <c r="H4694" s="13" t="n">
        <f aca="false">Sens!$G$4694</f>
        <v>0.723047066202847</v>
      </c>
      <c r="I4694" s="13" t="n">
        <f aca="false">Sens!$G$4694</f>
        <v>0.723047066202847</v>
      </c>
      <c r="J4694" s="13" t="n">
        <f aca="false">Sens!$G$4694</f>
        <v>0.723047066202847</v>
      </c>
      <c r="K4694" s="13" t="n">
        <f aca="false">Sens!$G$4694</f>
        <v>0.723047066202847</v>
      </c>
      <c r="L4694" s="13" t="n">
        <f aca="false">Sens!$G$4694</f>
        <v>0.723047066202847</v>
      </c>
      <c r="M4694" s="13" t="n">
        <f aca="false">Sens!$G$4694</f>
        <v>0.723047066202847</v>
      </c>
      <c r="N4694" s="13" t="n">
        <f aca="false">Q!$N$5/(Q!$N$5+Q!$N$6)</f>
        <v>0.733030935041352</v>
      </c>
      <c r="O4694" s="13" t="n">
        <f aca="false">Q!$O$5/(Q!$O$5+Q!$O$6)</f>
        <v>0.718066283041511</v>
      </c>
      <c r="P4694" s="8" t="s">
        <v>684</v>
      </c>
    </row>
    <row r="4695" customFormat="false" ht="17.15" hidden="false" customHeight="false" outlineLevel="0" collapsed="false">
      <c r="A4695" s="1" t="s">
        <v>512</v>
      </c>
      <c r="B4695" s="8" t="s">
        <v>86</v>
      </c>
      <c r="C4695" s="38" t="n">
        <f aca="false">Q!$D$5</f>
        <v>387.497</v>
      </c>
      <c r="D4695" s="38" t="n">
        <f aca="false">Q!$E$5</f>
        <v>426.305</v>
      </c>
      <c r="E4695" s="38" t="n">
        <f aca="false">Q!$P$5</f>
        <v>220.32</v>
      </c>
      <c r="F4695" s="38" t="n">
        <f aca="false">Sens!$F$4693*Sens!$F$4694</f>
        <v>250.639773480586</v>
      </c>
      <c r="G4695" s="38" t="n">
        <f aca="false">Sens!$E$4695+Sens!$F$4695</f>
        <v>470.959773480586</v>
      </c>
      <c r="H4695" s="38" t="n">
        <f aca="false">Sens!$H$4693*Sens!$H$4694</f>
        <v>521.386990416437</v>
      </c>
      <c r="I4695" s="38" t="n">
        <f aca="false">Sens!$I$4693*Sens!$I$4694</f>
        <v>570.143862887555</v>
      </c>
      <c r="J4695" s="38" t="n">
        <f aca="false">Sens!$J$4693*Sens!$J$4694</f>
        <v>615.391435791933</v>
      </c>
      <c r="K4695" s="38" t="n">
        <f aca="false">Sens!$K$4693*Sens!$K$4694</f>
        <v>655.208227561543</v>
      </c>
      <c r="L4695" s="38" t="n">
        <f aca="false">Sens!$L$4693*Sens!$L$4694</f>
        <v>697.807739249767</v>
      </c>
      <c r="M4695" s="38" t="n">
        <f aca="false">Sens!$M$4693*Sens!$M$4694</f>
        <v>743.399328463592</v>
      </c>
      <c r="N4695" s="38" t="n">
        <f aca="false">Q!$N$5</f>
        <v>192.955</v>
      </c>
      <c r="O4695" s="38" t="n">
        <f aca="false">Q!$O$5</f>
        <v>233.35</v>
      </c>
      <c r="P4695" s="5" t="s">
        <v>685</v>
      </c>
    </row>
    <row r="4696" customFormat="false" ht="17.15" hidden="false" customHeight="false" outlineLevel="0" collapsed="false">
      <c r="A4696" s="1" t="s">
        <v>515</v>
      </c>
      <c r="B4696" s="8" t="s">
        <v>86</v>
      </c>
      <c r="C4696" s="38" t="n">
        <f aca="false">Q!$D$6</f>
        <v>142.906</v>
      </c>
      <c r="D4696" s="38" t="n">
        <f aca="false">Q!$E$6</f>
        <v>161.894</v>
      </c>
      <c r="E4696" s="38" t="n">
        <f aca="false">Q!$P$6</f>
        <v>81.986</v>
      </c>
      <c r="F4696" s="38" t="n">
        <f aca="false">Sens!$F$4693*(1-Sens!$F$4694)</f>
        <v>98.408468164951</v>
      </c>
      <c r="G4696" s="38" t="n">
        <f aca="false">Sens!$E$4696+Sens!$F$4696</f>
        <v>180.394468164951</v>
      </c>
      <c r="H4696" s="38" t="n">
        <f aca="false">Sens!$H$4693*(1-Sens!$H$4694)</f>
        <v>199.709899104949</v>
      </c>
      <c r="I4696" s="38" t="n">
        <f aca="false">Sens!$I$4693*(1-Sens!$I$4694)</f>
        <v>218.385528264976</v>
      </c>
      <c r="J4696" s="38" t="n">
        <f aca="false">Sens!$J$4693*(1-Sens!$J$4694)</f>
        <v>235.71696994951</v>
      </c>
      <c r="K4696" s="38" t="n">
        <f aca="false">Sens!$K$4693*(1-Sens!$K$4694)</f>
        <v>250.968227869545</v>
      </c>
      <c r="L4696" s="38" t="n">
        <f aca="false">Sens!$L$4693*(1-Sens!$L$4694)</f>
        <v>267.285367225822</v>
      </c>
      <c r="M4696" s="38" t="n">
        <f aca="false">Sens!$M$4693*(1-Sens!$M$4694)</f>
        <v>284.748579483295</v>
      </c>
      <c r="N4696" s="38" t="n">
        <f aca="false">Q!$N$6</f>
        <v>70.274</v>
      </c>
      <c r="O4696" s="38" t="n">
        <f aca="false">Q!$O$6</f>
        <v>91.62</v>
      </c>
      <c r="P4696" s="5" t="s">
        <v>686</v>
      </c>
    </row>
    <row r="4697" customFormat="false" ht="17.15" hidden="false" customHeight="false" outlineLevel="0" collapsed="false">
      <c r="A4697" s="5" t="s">
        <v>687</v>
      </c>
      <c r="B4697" s="0" t="s">
        <v>86</v>
      </c>
      <c r="C4697" s="38" t="n">
        <f aca="false">Sens!$C$4686*Sens!$C$4694</f>
        <v>41.0683128828457</v>
      </c>
      <c r="D4697" s="38" t="n">
        <f aca="false">Sens!$D$4686*Sens!$D$4694</f>
        <v>49.7441234599175</v>
      </c>
      <c r="E4697" s="38" t="n">
        <f aca="false">Sens!$E$4686*Sens!$E$4694</f>
        <v>27.0034224924414</v>
      </c>
      <c r="F4697" s="38" t="n">
        <f aca="false">Sens!$F$4686*Sens!$F$4694</f>
        <v>33.1439448330513</v>
      </c>
      <c r="G4697" s="38" t="n">
        <f aca="false">Sens!$G$4686*Sens!$G$4694</f>
        <v>60.164183844083</v>
      </c>
      <c r="H4697" s="38" t="n">
        <f aca="false">Sens!$H$4686*Sens!$H$4694</f>
        <v>72.2301766552629</v>
      </c>
      <c r="I4697" s="38" t="n">
        <f aca="false">Sens!$I$4686*Sens!$I$4694</f>
        <v>84.2950764463991</v>
      </c>
      <c r="J4697" s="38" t="n">
        <f aca="false">Sens!$J$4686*Sens!$J$4694</f>
        <v>95.5499047729386</v>
      </c>
      <c r="K4697" s="38" t="n">
        <f aca="false">Sens!$K$4686*Sens!$K$4694</f>
        <v>105.104895250232</v>
      </c>
      <c r="L4697" s="38" t="n">
        <f aca="false">Sens!$L$4686*Sens!$L$4694</f>
        <v>115.615384775256</v>
      </c>
      <c r="M4697" s="38" t="n">
        <f aca="false">Sens!$M$4686*Sens!$M$4694</f>
        <v>127.176923252781</v>
      </c>
      <c r="N4697" s="38" t="n">
        <f aca="false">Sens!$N$4686*Sens!$N$4694</f>
        <v>21.7087111412496</v>
      </c>
      <c r="O4697" s="38" t="n">
        <f aca="false">Sens!$O$4686*Sens!$O$4694</f>
        <v>28.0189463642798</v>
      </c>
      <c r="P4697" s="5" t="s">
        <v>688</v>
      </c>
    </row>
    <row r="4698" customFormat="false" ht="15" hidden="false" customHeight="false" outlineLevel="0" collapsed="false">
      <c r="A4698" s="5" t="s">
        <v>689</v>
      </c>
      <c r="B4698" s="0" t="s">
        <v>86</v>
      </c>
      <c r="C4698" s="38" t="n">
        <f aca="false">Sens!$C$4686-Sens!$C$4697</f>
        <v>15.1456871171543</v>
      </c>
      <c r="D4698" s="38" t="n">
        <f aca="false">Sens!$D$4686-Sens!$D$4697</f>
        <v>18.8908765400825</v>
      </c>
      <c r="E4698" s="38" t="n">
        <f aca="false">Sens!$E$4686-Sens!$E$4697</f>
        <v>10.0485775075586</v>
      </c>
      <c r="F4698" s="38" t="n">
        <f aca="false">Sens!$F$4686-Sens!$F$4697</f>
        <v>13.0132771613635</v>
      </c>
      <c r="G4698" s="38" t="n">
        <f aca="false">Sens!$G$4686-Sens!$G$4697</f>
        <v>23.0450381503318</v>
      </c>
      <c r="H4698" s="38" t="n">
        <f aca="false">Sens!$H$4686-Sens!$H$4697</f>
        <v>27.6667457326347</v>
      </c>
      <c r="I4698" s="38" t="n">
        <f aca="false">Sens!$I$4686-Sens!$I$4697</f>
        <v>32.2880346490971</v>
      </c>
      <c r="J4698" s="38" t="n">
        <f aca="false">Sens!$J$4686-Sens!$J$4697</f>
        <v>36.5990371690132</v>
      </c>
      <c r="K4698" s="38" t="n">
        <f aca="false">Sens!$K$4686-Sens!$K$4697</f>
        <v>40.2589408859145</v>
      </c>
      <c r="L4698" s="38" t="n">
        <f aca="false">Sens!$L$4686-Sens!$L$4697</f>
        <v>44.2848349745059</v>
      </c>
      <c r="M4698" s="38" t="n">
        <f aca="false">Sens!$M$4686-Sens!$M$4697</f>
        <v>48.7133184719565</v>
      </c>
      <c r="N4698" s="38" t="n">
        <f aca="false">Sens!$N$4686-Sens!$N$4697</f>
        <v>7.90628885875037</v>
      </c>
      <c r="O4698" s="38" t="n">
        <f aca="false">Sens!$O$4686-Sens!$O$4697</f>
        <v>11.0010536357202</v>
      </c>
    </row>
    <row r="4699" customFormat="false" ht="19.4" hidden="false" customHeight="false" outlineLevel="0" collapsed="false">
      <c r="A4699" s="31" t="s">
        <v>1231</v>
      </c>
    </row>
    <row r="4700" customFormat="false" ht="17.15" hidden="false" customHeight="false" outlineLevel="0" collapsed="false">
      <c r="A4700" s="6" t="s">
        <v>16</v>
      </c>
      <c r="B4700" s="6" t="s">
        <v>17</v>
      </c>
      <c r="C4700" s="20" t="s">
        <v>497</v>
      </c>
      <c r="D4700" s="20" t="s">
        <v>498</v>
      </c>
      <c r="E4700" s="20" t="s">
        <v>580</v>
      </c>
      <c r="F4700" s="20" t="s">
        <v>581</v>
      </c>
      <c r="G4700" s="20" t="s">
        <v>582</v>
      </c>
      <c r="H4700" s="20" t="s">
        <v>583</v>
      </c>
      <c r="I4700" s="20" t="s">
        <v>584</v>
      </c>
      <c r="J4700" s="20" t="s">
        <v>585</v>
      </c>
      <c r="K4700" s="20" t="s">
        <v>586</v>
      </c>
      <c r="L4700" s="20" t="s">
        <v>587</v>
      </c>
      <c r="M4700" s="20" t="s">
        <v>588</v>
      </c>
      <c r="N4700" s="20" t="s">
        <v>589</v>
      </c>
      <c r="O4700" s="20" t="s">
        <v>590</v>
      </c>
      <c r="P4700" s="6" t="s">
        <v>23</v>
      </c>
      <c r="R4700" s="20" t="n">
        <v>2023</v>
      </c>
      <c r="S4700" s="20" t="n">
        <v>2024</v>
      </c>
      <c r="T4700" s="20" t="n">
        <v>2025</v>
      </c>
      <c r="U4700" s="20" t="n">
        <v>2026</v>
      </c>
      <c r="V4700" s="20" t="n">
        <v>2027</v>
      </c>
      <c r="W4700" s="20" t="n">
        <v>2028</v>
      </c>
      <c r="X4700" s="20" t="n">
        <v>2029</v>
      </c>
      <c r="Y4700" s="20" t="n">
        <v>2030</v>
      </c>
      <c r="Z4700" s="20" t="n">
        <v>2031</v>
      </c>
      <c r="AA4700" s="20" t="n">
        <v>2032</v>
      </c>
    </row>
    <row r="4701" customFormat="false" ht="17.15" hidden="false" customHeight="false" outlineLevel="0" collapsed="false">
      <c r="A4701" s="1" t="s">
        <v>591</v>
      </c>
    </row>
    <row r="4702" customFormat="false" ht="17.15" hidden="false" customHeight="false" outlineLevel="0" collapsed="false">
      <c r="A4702" s="5" t="s">
        <v>592</v>
      </c>
      <c r="B4702" s="0" t="s">
        <v>144</v>
      </c>
      <c r="H4702" s="32" t="n">
        <f aca="false">pace_B</f>
        <v>3634.3</v>
      </c>
      <c r="I4702" s="32" t="n">
        <f aca="false">pace_B</f>
        <v>3634.3</v>
      </c>
      <c r="J4702" s="32" t="n">
        <f aca="false">pace_B</f>
        <v>3634.3</v>
      </c>
      <c r="K4702" s="32" t="n">
        <f aca="false">pace_B+(Sens!$J$4703*tg-pace_B)*1/3</f>
        <v>2570.86716666667</v>
      </c>
      <c r="L4702" s="32" t="n">
        <f aca="false">pace_B+(Sens!$J$4703*tg-pace_B)*2/3</f>
        <v>1507.43433333333</v>
      </c>
      <c r="M4702" s="32" t="n">
        <f aca="false">pace_B+(Sens!$J$4703*tg-pace_B)*3/3</f>
        <v>444.0015</v>
      </c>
      <c r="P4702" s="5" t="s">
        <v>593</v>
      </c>
    </row>
    <row r="4703" customFormat="false" ht="17.15" hidden="false" customHeight="false" outlineLevel="0" collapsed="false">
      <c r="A4703" s="15" t="s">
        <v>594</v>
      </c>
      <c r="B4703" s="14" t="s">
        <v>129</v>
      </c>
      <c r="C4703" s="33" t="n">
        <f aca="false">mw_ye24</f>
        <v>360</v>
      </c>
      <c r="D4703" s="33" t="n">
        <f aca="false">mw_ye25</f>
        <v>1440</v>
      </c>
      <c r="E4703" s="33" t="n">
        <f aca="false">mw_open</f>
        <v>2080</v>
      </c>
      <c r="F4703" s="33" t="n">
        <f aca="false">Sens!$E$4703+pace_B*0.5</f>
        <v>3897.15</v>
      </c>
      <c r="G4703" s="33" t="n">
        <f aca="false">Sens!$F$4703</f>
        <v>3897.15</v>
      </c>
      <c r="H4703" s="33" t="n">
        <f aca="false">Sens!$G$4703+Sens!$H$4702</f>
        <v>7531.45</v>
      </c>
      <c r="I4703" s="33" t="n">
        <f aca="false">Sens!$H$4703+Sens!$I$4702</f>
        <v>11165.75</v>
      </c>
      <c r="J4703" s="33" t="n">
        <f aca="false">Sens!$I$4703+Sens!$J$4702</f>
        <v>14800.05</v>
      </c>
      <c r="K4703" s="33" t="n">
        <f aca="false">Sens!$J$4703+Sens!$K$4702</f>
        <v>17370.9171666667</v>
      </c>
      <c r="L4703" s="33" t="n">
        <f aca="false">Sens!$K$4703+Sens!$L$4702</f>
        <v>18878.3515</v>
      </c>
      <c r="M4703" s="33" t="n">
        <f aca="false">Sens!$L$4703+Sens!$M$4702</f>
        <v>19322.353</v>
      </c>
      <c r="N4703" s="33" t="n">
        <f aca="false">(mw_ye24+mw_ye25)/2</f>
        <v>900</v>
      </c>
      <c r="O4703" s="33" t="n">
        <f aca="false">mw_ye25</f>
        <v>1440</v>
      </c>
      <c r="P4703" s="5" t="s">
        <v>595</v>
      </c>
    </row>
    <row r="4704" customFormat="false" ht="17.15" hidden="false" customHeight="false" outlineLevel="0" collapsed="false">
      <c r="A4704" s="5" t="s">
        <v>596</v>
      </c>
      <c r="B4704" s="0" t="s">
        <v>129</v>
      </c>
      <c r="C4704" s="32" t="n">
        <f aca="false">(mw_ye23+mw_ye24)/2</f>
        <v>240</v>
      </c>
      <c r="D4704" s="32" t="n">
        <f aca="false">(Sens!$C$4703+Sens!$D$4703)/2</f>
        <v>900</v>
      </c>
      <c r="E4704" s="32" t="n">
        <f aca="false">(Sens!$D$4703+Sens!$E$4703)/2</f>
        <v>1760</v>
      </c>
      <c r="F4704" s="32" t="n">
        <f aca="false">(Sens!$E$4703+Sens!$F$4703)/2</f>
        <v>2988.575</v>
      </c>
      <c r="G4704" s="32" t="n">
        <f aca="false">(Sens!$E$4704+Sens!$F$4704)/2</f>
        <v>2374.2875</v>
      </c>
      <c r="H4704" s="32" t="n">
        <f aca="false">(Sens!$G$4703+Sens!$H$4703)/2</f>
        <v>5714.3</v>
      </c>
      <c r="I4704" s="32" t="n">
        <f aca="false">(Sens!$H$4703+Sens!$I$4703)/2</f>
        <v>9348.6</v>
      </c>
      <c r="J4704" s="32" t="n">
        <f aca="false">(Sens!$I$4703+Sens!$J$4703)/2</f>
        <v>12982.9</v>
      </c>
      <c r="K4704" s="32" t="n">
        <f aca="false">(Sens!$J$4703+Sens!$K$4703)/2</f>
        <v>16085.4835833333</v>
      </c>
      <c r="L4704" s="32" t="n">
        <f aca="false">(Sens!$K$4703+Sens!$L$4703)/2</f>
        <v>18124.6343333333</v>
      </c>
      <c r="M4704" s="32" t="n">
        <f aca="false">(Sens!$L$4703+Sens!$M$4703)/2</f>
        <v>19100.35225</v>
      </c>
      <c r="N4704" s="32" t="n">
        <f aca="false">(Sens!$C$4703+Sens!$N$4703)/2</f>
        <v>630</v>
      </c>
      <c r="O4704" s="32" t="n">
        <f aca="false">(Sens!$N$4703+Sens!$O$4703)/2</f>
        <v>1170</v>
      </c>
    </row>
    <row r="4705" customFormat="false" ht="15" hidden="false" customHeight="false" outlineLevel="0" collapsed="false">
      <c r="A4705" s="5" t="s">
        <v>597</v>
      </c>
      <c r="B4705" s="5" t="s">
        <v>123</v>
      </c>
      <c r="C4705" s="34" t="n">
        <v>1</v>
      </c>
      <c r="D4705" s="34" t="n">
        <v>1</v>
      </c>
      <c r="E4705" s="34" t="n">
        <v>0.5</v>
      </c>
      <c r="F4705" s="34" t="n">
        <v>0.5</v>
      </c>
      <c r="G4705" s="34" t="n">
        <v>1</v>
      </c>
      <c r="H4705" s="34" t="n">
        <v>1</v>
      </c>
      <c r="I4705" s="34" t="n">
        <v>1</v>
      </c>
      <c r="J4705" s="34" t="n">
        <v>1</v>
      </c>
      <c r="K4705" s="34" t="n">
        <v>1</v>
      </c>
      <c r="L4705" s="34" t="n">
        <v>1</v>
      </c>
      <c r="M4705" s="34" t="n">
        <v>1</v>
      </c>
      <c r="N4705" s="34" t="n">
        <v>0.5</v>
      </c>
      <c r="O4705" s="34" t="n">
        <v>0.5</v>
      </c>
    </row>
    <row r="4706" customFormat="false" ht="17.15" hidden="false" customHeight="false" outlineLevel="0" collapsed="false">
      <c r="A4706" s="5" t="s">
        <v>598</v>
      </c>
      <c r="B4706" s="0" t="s">
        <v>129</v>
      </c>
      <c r="C4706" s="32" t="n">
        <f aca="false">Sens!$C$4703-mw_ye23</f>
        <v>240</v>
      </c>
      <c r="D4706" s="32" t="n">
        <f aca="false">Sens!$D$4703-Sens!$C$4703</f>
        <v>1080</v>
      </c>
      <c r="E4706" s="32" t="n">
        <f aca="false">Sens!$E$4703-Sens!$D$4703</f>
        <v>640</v>
      </c>
      <c r="F4706" s="32" t="n">
        <f aca="false">Sens!$F$4703-Sens!$E$4703</f>
        <v>1817.15</v>
      </c>
      <c r="G4706" s="32" t="n">
        <f aca="false">Sens!$E$4706+Sens!$F$4706</f>
        <v>2457.15</v>
      </c>
      <c r="H4706" s="32" t="n">
        <f aca="false">Sens!$H$4703-Sens!$G$4703</f>
        <v>3634.3</v>
      </c>
      <c r="I4706" s="32" t="n">
        <f aca="false">Sens!$I$4703-Sens!$H$4703</f>
        <v>3634.3</v>
      </c>
      <c r="J4706" s="32" t="n">
        <f aca="false">Sens!$J$4703-Sens!$I$4703</f>
        <v>3634.3</v>
      </c>
      <c r="K4706" s="32" t="n">
        <f aca="false">Sens!$K$4703-Sens!$J$4703</f>
        <v>2570.86716666667</v>
      </c>
      <c r="L4706" s="32" t="n">
        <f aca="false">Sens!$L$4703-Sens!$K$4703</f>
        <v>1507.43433333333</v>
      </c>
      <c r="M4706" s="32" t="n">
        <f aca="false">Sens!$M$4703-Sens!$L$4703</f>
        <v>444.001499999999</v>
      </c>
      <c r="N4706" s="32" t="n">
        <f aca="false">Sens!$N$4703-Sens!$C$4703</f>
        <v>540</v>
      </c>
      <c r="O4706" s="32" t="n">
        <f aca="false">Sens!$O$4703-Sens!$N$4703</f>
        <v>540</v>
      </c>
    </row>
    <row r="4707" customFormat="false" ht="17.15" hidden="false" customHeight="false" outlineLevel="0" collapsed="false">
      <c r="A4707" s="5" t="s">
        <v>599</v>
      </c>
      <c r="B4707" s="0" t="s">
        <v>129</v>
      </c>
      <c r="C4707" s="32" t="n">
        <f aca="false">Sens!$C$4706/ext_sh</f>
        <v>300</v>
      </c>
      <c r="D4707" s="32" t="n">
        <f aca="false">Sens!$D$4706/ext_sh</f>
        <v>1350</v>
      </c>
      <c r="E4707" s="32" t="n">
        <f aca="false">Sens!$E$4706/ext_sh</f>
        <v>800</v>
      </c>
      <c r="F4707" s="32" t="n">
        <f aca="false">Sens!$F$4706/ext_sh</f>
        <v>2271.4375</v>
      </c>
      <c r="G4707" s="32" t="n">
        <f aca="false">Sens!$G$4706/ext_sh</f>
        <v>3071.4375</v>
      </c>
      <c r="H4707" s="32" t="n">
        <f aca="false">Sens!$H$4706/ext_sh</f>
        <v>4542.875</v>
      </c>
      <c r="I4707" s="32" t="n">
        <f aca="false">Sens!$I$4706/ext_sh</f>
        <v>4542.875</v>
      </c>
      <c r="J4707" s="32" t="n">
        <f aca="false">Sens!$J$4706/ext_sh</f>
        <v>4542.875</v>
      </c>
      <c r="K4707" s="32" t="n">
        <f aca="false">Sens!$K$4706/ext_sh</f>
        <v>3213.58395833333</v>
      </c>
      <c r="L4707" s="32" t="n">
        <f aca="false">Sens!$L$4706/ext_sh</f>
        <v>1884.29291666667</v>
      </c>
      <c r="M4707" s="32" t="n">
        <f aca="false">Sens!$M$4706/ext_sh</f>
        <v>555.001874999998</v>
      </c>
      <c r="N4707" s="32" t="n">
        <f aca="false">Sens!$N$4706/ext_sh</f>
        <v>675</v>
      </c>
      <c r="O4707" s="32" t="n">
        <f aca="false">Sens!$O$4706/ext_sh</f>
        <v>675</v>
      </c>
      <c r="P4707" s="8" t="s">
        <v>600</v>
      </c>
      <c r="R4707" s="32" t="n">
        <f aca="false">mw_ye23/ext_sh</f>
        <v>150</v>
      </c>
      <c r="S4707" s="32" t="n">
        <f aca="false">Sens!$C$4707</f>
        <v>300</v>
      </c>
      <c r="T4707" s="32" t="n">
        <f aca="false">Sens!$D$4707</f>
        <v>1350</v>
      </c>
      <c r="U4707" s="32" t="n">
        <f aca="false">Sens!$G$4707</f>
        <v>3071.4375</v>
      </c>
      <c r="V4707" s="32" t="n">
        <f aca="false">Sens!$H$4707</f>
        <v>4542.875</v>
      </c>
      <c r="W4707" s="32" t="n">
        <f aca="false">Sens!$I$4707</f>
        <v>4542.875</v>
      </c>
      <c r="X4707" s="32" t="n">
        <f aca="false">Sens!$J$4707</f>
        <v>4542.875</v>
      </c>
      <c r="Y4707" s="32" t="n">
        <f aca="false">Sens!$K$4707</f>
        <v>3213.58395833333</v>
      </c>
      <c r="Z4707" s="32" t="n">
        <f aca="false">Sens!$L$4707</f>
        <v>1884.29291666667</v>
      </c>
      <c r="AA4707" s="32" t="n">
        <f aca="false">Sens!$M$4707</f>
        <v>555.001874999998</v>
      </c>
    </row>
    <row r="4708" customFormat="false" ht="17.15" hidden="false" customHeight="false" outlineLevel="0" collapsed="false">
      <c r="A4708" s="1" t="s">
        <v>601</v>
      </c>
    </row>
    <row r="4709" customFormat="false" ht="17.15" hidden="false" customHeight="false" outlineLevel="0" collapsed="false">
      <c r="A4709" s="0" t="s">
        <v>602</v>
      </c>
      <c r="B4709" s="0" t="s">
        <v>52</v>
      </c>
      <c r="F4709" s="35" t="n">
        <f aca="false">na_vr26</f>
        <v>0</v>
      </c>
      <c r="G4709" s="35" t="n">
        <f aca="false">na_vr26</f>
        <v>0</v>
      </c>
      <c r="H4709" s="35" t="n">
        <f aca="false">na_vr27</f>
        <v>0.5</v>
      </c>
      <c r="I4709" s="35" t="n">
        <f aca="false">na_vr28</f>
        <v>1</v>
      </c>
      <c r="J4709" s="35" t="n">
        <f aca="false">na_vr28</f>
        <v>1</v>
      </c>
      <c r="K4709" s="35" t="n">
        <f aca="false">na_vr28</f>
        <v>1</v>
      </c>
      <c r="L4709" s="35" t="n">
        <f aca="false">na_vr28</f>
        <v>1</v>
      </c>
      <c r="M4709" s="35" t="n">
        <f aca="false">na_vr28</f>
        <v>1</v>
      </c>
    </row>
    <row r="4710" customFormat="false" ht="17.15" hidden="false" customHeight="false" outlineLevel="0" collapsed="false">
      <c r="A4710" s="5" t="s">
        <v>603</v>
      </c>
      <c r="B4710" s="0" t="s">
        <v>173</v>
      </c>
      <c r="F4710" s="36" t="n">
        <f aca="false">cust_sh*tk_he_gb300*cf_chip+(1-cust_sh)*((1-Sens!$F$4709)*tk_he_gb300+Sens!$F$4709*tk_he_vr200)</f>
        <v>10.8864110021101</v>
      </c>
      <c r="G4710" s="36" t="n">
        <f aca="false">cust_sh*tk_he_gb300*cf_chip+(1-cust_sh)*((1-Sens!$G$4709)*tk_he_gb300+Sens!$G$4709*tk_he_vr200)</f>
        <v>10.8864110021101</v>
      </c>
      <c r="H4710" s="36" t="n">
        <f aca="false">cust_sh*tk_he_gb300*cf_chip+(1-cust_sh)*((1-Sens!$H$4709)*tk_he_gb300+Sens!$H$4709*tk_he_vr200)</f>
        <v>11.2211760027286</v>
      </c>
      <c r="I4710" s="36" t="n">
        <f aca="false">cust_sh*tk_he_gb300*cf_chip+(1-cust_sh)*((1-Sens!$I$4709)*tk_he_gb300+Sens!$I$4709*tk_he_vr200)</f>
        <v>11.5559410033471</v>
      </c>
      <c r="J4710" s="36" t="n">
        <f aca="false">cust_sh*tk_he_gb300*cf_chip+(1-cust_sh)*((1-Sens!$J$4709)*tk_he_gb300+Sens!$J$4709*tk_he_vr200)</f>
        <v>11.5559410033471</v>
      </c>
      <c r="K4710" s="36" t="n">
        <f aca="false">cust_sh*tk_he_gb300*cf_chip+(1-cust_sh)*((1-Sens!$K$4709)*tk_he_gb300+Sens!$K$4709*tk_he_vr200)</f>
        <v>11.5559410033471</v>
      </c>
      <c r="L4710" s="36" t="n">
        <f aca="false">cust_sh*tk_he_gb300*cf_chip+(1-cust_sh)*((1-Sens!$L$4709)*tk_he_gb300+Sens!$L$4709*tk_he_vr200)</f>
        <v>11.5559410033471</v>
      </c>
      <c r="M4710" s="36" t="n">
        <f aca="false">cust_sh*tk_he_gb300*cf_chip+(1-cust_sh)*((1-Sens!$M$4709)*tk_he_gb300+Sens!$M$4709*tk_he_vr200)</f>
        <v>11.5559410033471</v>
      </c>
    </row>
    <row r="4711" customFormat="false" ht="17.15" hidden="false" customHeight="false" outlineLevel="0" collapsed="false">
      <c r="A4711" s="5" t="s">
        <v>604</v>
      </c>
      <c r="B4711" s="0" t="s">
        <v>173</v>
      </c>
      <c r="F4711" s="36" t="n">
        <f aca="false">cust_sh*tk_ox_gb300+(1-cust_sh)*((1-Sens!$F$4709)*tk_ox_gb300+Sens!$F$4709*tk_ox_vr200)</f>
        <v>1.98263481314457</v>
      </c>
      <c r="G4711" s="36" t="n">
        <f aca="false">cust_sh*tk_ox_gb300+(1-cust_sh)*((1-Sens!$G$4709)*tk_ox_gb300+Sens!$G$4709*tk_ox_vr200)</f>
        <v>1.98263481314457</v>
      </c>
      <c r="H4711" s="36" t="n">
        <f aca="false">cust_sh*tk_ox_gb300+(1-cust_sh)*((1-Sens!$H$4709)*tk_ox_gb300+Sens!$H$4709*tk_ox_vr200)</f>
        <v>2.01034999693694</v>
      </c>
      <c r="I4711" s="36" t="n">
        <f aca="false">cust_sh*tk_ox_gb300+(1-cust_sh)*((1-Sens!$I$4709)*tk_ox_gb300+Sens!$I$4709*tk_ox_vr200)</f>
        <v>2.0380651807293</v>
      </c>
      <c r="J4711" s="36" t="n">
        <f aca="false">cust_sh*tk_ox_gb300+(1-cust_sh)*((1-Sens!$J$4709)*tk_ox_gb300+Sens!$J$4709*tk_ox_vr200)</f>
        <v>2.0380651807293</v>
      </c>
      <c r="K4711" s="36" t="n">
        <f aca="false">cust_sh*tk_ox_gb300+(1-cust_sh)*((1-Sens!$K$4709)*tk_ox_gb300+Sens!$K$4709*tk_ox_vr200)</f>
        <v>2.0380651807293</v>
      </c>
      <c r="L4711" s="36" t="n">
        <f aca="false">cust_sh*tk_ox_gb300+(1-cust_sh)*((1-Sens!$L$4709)*tk_ox_gb300+Sens!$L$4709*tk_ox_vr200)</f>
        <v>2.0380651807293</v>
      </c>
      <c r="M4711" s="36" t="n">
        <f aca="false">cust_sh*tk_ox_gb300+(1-cust_sh)*((1-Sens!$M$4709)*tk_ox_gb300+Sens!$M$4709*tk_ox_vr200)</f>
        <v>2.0380651807293</v>
      </c>
    </row>
    <row r="4712" customFormat="false" ht="17.15" hidden="false" customHeight="false" outlineLevel="0" collapsed="false">
      <c r="A4712" s="5" t="s">
        <v>605</v>
      </c>
      <c r="B4712" s="0" t="s">
        <v>192</v>
      </c>
      <c r="F4712" s="36" t="n">
        <f aca="false">cust_sh*tk_cx_gb300*cf_cx+(1-cust_sh)*((1-Sens!$F$4709)*tk_cx_gb300+Sens!$F$4709*tk_cx_vr200)</f>
        <v>32.237224</v>
      </c>
      <c r="G4712" s="36" t="n">
        <f aca="false">cust_sh*tk_cx_gb300*cf_cx+(1-cust_sh)*((1-Sens!$G$4709)*tk_cx_gb300+Sens!$G$4709*tk_cx_vr200)</f>
        <v>32.237224</v>
      </c>
      <c r="H4712" s="36" t="n">
        <f aca="false">cust_sh*tk_cx_gb300*cf_cx+(1-cust_sh)*((1-Sens!$H$4709)*tk_cx_gb300+Sens!$H$4709*tk_cx_vr200)</f>
        <v>33.574506</v>
      </c>
      <c r="I4712" s="36" t="n">
        <f aca="false">cust_sh*tk_cx_gb300*cf_cx+(1-cust_sh)*((1-Sens!$I$4709)*tk_cx_gb300+Sens!$I$4709*tk_cx_vr200)</f>
        <v>34.911788</v>
      </c>
      <c r="J4712" s="36" t="n">
        <f aca="false">cust_sh*tk_cx_gb300*cf_cx+(1-cust_sh)*((1-Sens!$J$4709)*tk_cx_gb300+Sens!$J$4709*tk_cx_vr200)</f>
        <v>34.911788</v>
      </c>
      <c r="K4712" s="36" t="n">
        <f aca="false">cust_sh*tk_cx_gb300*cf_cx+(1-cust_sh)*((1-Sens!$K$4709)*tk_cx_gb300+Sens!$K$4709*tk_cx_vr200)</f>
        <v>34.911788</v>
      </c>
      <c r="L4712" s="36" t="n">
        <f aca="false">cust_sh*tk_cx_gb300*cf_cx+(1-cust_sh)*((1-Sens!$L$4709)*tk_cx_gb300+Sens!$L$4709*tk_cx_vr200)</f>
        <v>34.911788</v>
      </c>
      <c r="M4712" s="36" t="n">
        <f aca="false">cust_sh*tk_cx_gb300*cf_cx+(1-cust_sh)*((1-Sens!$M$4709)*tk_cx_gb300+Sens!$M$4709*tk_cx_vr200)</f>
        <v>34.911788</v>
      </c>
    </row>
    <row r="4713" customFormat="false" ht="17.15" hidden="false" customHeight="false" outlineLevel="0" collapsed="false">
      <c r="A4713" s="5" t="s">
        <v>606</v>
      </c>
      <c r="B4713" s="0" t="s">
        <v>129</v>
      </c>
      <c r="F4713" s="32" t="n">
        <f aca="false">Sens!$F$4703-mw_open</f>
        <v>1817.15</v>
      </c>
      <c r="G4713" s="32" t="n">
        <f aca="false">Sens!$F$4713</f>
        <v>1817.15</v>
      </c>
      <c r="H4713" s="32" t="n">
        <f aca="false">Sens!$H$4703-mw_open</f>
        <v>5451.45</v>
      </c>
      <c r="I4713" s="32" t="n">
        <f aca="false">Sens!$I$4703-mw_open</f>
        <v>9085.75</v>
      </c>
      <c r="J4713" s="32" t="n">
        <f aca="false">Sens!$J$4703-mw_open</f>
        <v>12720.05</v>
      </c>
      <c r="K4713" s="32" t="n">
        <f aca="false">Sens!$K$4703-mw_open</f>
        <v>15290.9171666667</v>
      </c>
      <c r="L4713" s="32" t="n">
        <f aca="false">Sens!$L$4703-mw_open</f>
        <v>16798.3515</v>
      </c>
      <c r="M4713" s="32" t="n">
        <f aca="false">Sens!$M$4703-mw_open</f>
        <v>17242.353</v>
      </c>
    </row>
    <row r="4714" customFormat="false" ht="17.15" hidden="false" customHeight="false" outlineLevel="0" collapsed="false">
      <c r="A4714" s="0" t="s">
        <v>607</v>
      </c>
      <c r="B4714" s="0" t="s">
        <v>608</v>
      </c>
      <c r="F4714" s="32" t="n">
        <f aca="false">Sens!$F$4706*Sens!$F$4710</f>
        <v>19782.2417524844</v>
      </c>
      <c r="G4714" s="32" t="n">
        <f aca="false">Sens!$F$4714</f>
        <v>19782.2417524844</v>
      </c>
      <c r="H4714" s="32" t="n">
        <f aca="false">Sens!$G$4714+Sens!$H$4706*Sens!$H$4710</f>
        <v>60563.3616992009</v>
      </c>
      <c r="I4714" s="32" t="n">
        <f aca="false">Sens!$H$4714+Sens!$I$4706*Sens!$I$4710</f>
        <v>102561.118087665</v>
      </c>
      <c r="J4714" s="32" t="n">
        <f aca="false">Sens!$I$4714+Sens!$J$4706*Sens!$J$4710</f>
        <v>144558.87447613</v>
      </c>
      <c r="K4714" s="32" t="n">
        <f aca="false">Sens!$J$4714+Sens!$K$4706*Sens!$K$4710</f>
        <v>174267.663781572</v>
      </c>
      <c r="L4714" s="32" t="n">
        <f aca="false">Sens!$K$4714+Sens!$L$4706*Sens!$L$4710</f>
        <v>191687.486003992</v>
      </c>
      <c r="M4714" s="32" t="n">
        <f aca="false">Sens!$L$4714+Sens!$M$4706*Sens!$M$4710</f>
        <v>196818.341143389</v>
      </c>
    </row>
    <row r="4715" customFormat="false" ht="17.15" hidden="false" customHeight="false" outlineLevel="0" collapsed="false">
      <c r="A4715" s="0" t="s">
        <v>609</v>
      </c>
      <c r="B4715" s="0" t="s">
        <v>608</v>
      </c>
      <c r="F4715" s="32" t="n">
        <f aca="false">Sens!$F$4706*Sens!$F$4711</f>
        <v>3602.74485070566</v>
      </c>
      <c r="G4715" s="32" t="n">
        <f aca="false">Sens!$F$4715</f>
        <v>3602.74485070566</v>
      </c>
      <c r="H4715" s="32" t="n">
        <f aca="false">Sens!$G$4715+Sens!$H$4706*Sens!$H$4711</f>
        <v>10908.9598445736</v>
      </c>
      <c r="I4715" s="32" t="n">
        <f aca="false">Sens!$H$4715+Sens!$I$4706*Sens!$I$4711</f>
        <v>18315.9001308981</v>
      </c>
      <c r="J4715" s="32" t="n">
        <f aca="false">Sens!$I$4715+Sens!$J$4706*Sens!$J$4711</f>
        <v>25722.8404172225</v>
      </c>
      <c r="K4715" s="32" t="n">
        <f aca="false">Sens!$J$4715+Sens!$K$4706*Sens!$K$4711</f>
        <v>30962.4352738861</v>
      </c>
      <c r="L4715" s="32" t="n">
        <f aca="false">Sens!$K$4715+Sens!$L$4706*Sens!$L$4711</f>
        <v>34034.6847008886</v>
      </c>
      <c r="M4715" s="32" t="n">
        <f aca="false">Sens!$L$4715+Sens!$M$4706*Sens!$M$4711</f>
        <v>34939.5886982302</v>
      </c>
    </row>
    <row r="4716" customFormat="false" ht="17.15" hidden="false" customHeight="false" outlineLevel="0" collapsed="false">
      <c r="A4716" s="5" t="s">
        <v>610</v>
      </c>
      <c r="B4716" s="0" t="s">
        <v>173</v>
      </c>
      <c r="F4716" s="36" t="n">
        <f aca="false">IF(Sens!$F$4713&gt;0,Sens!$F$4714/Sens!$F$4713,Sens!$F$4710)</f>
        <v>10.8864110021101</v>
      </c>
      <c r="G4716" s="36" t="n">
        <f aca="false">IF(Sens!$G$4713&gt;0,Sens!$G$4714/Sens!$G$4713,Sens!$G$4710)</f>
        <v>10.8864110021101</v>
      </c>
      <c r="H4716" s="36" t="n">
        <f aca="false">IF(Sens!$H$4713&gt;0,Sens!$H$4714/Sens!$H$4713,Sens!$H$4710)</f>
        <v>11.1095876691891</v>
      </c>
      <c r="I4716" s="36" t="n">
        <f aca="false">IF(Sens!$I$4713&gt;0,Sens!$I$4714/Sens!$I$4713,Sens!$I$4710)</f>
        <v>11.2881290028523</v>
      </c>
      <c r="J4716" s="36" t="n">
        <f aca="false">IF(Sens!$J$4713&gt;0,Sens!$J$4714/Sens!$J$4713,Sens!$J$4710)</f>
        <v>11.3646467172794</v>
      </c>
      <c r="K4716" s="36" t="n">
        <f aca="false">IF(Sens!$K$4713&gt;0,Sens!$K$4714/Sens!$K$4713,Sens!$K$4710)</f>
        <v>11.3968090914432</v>
      </c>
      <c r="L4716" s="36" t="n">
        <f aca="false">IF(Sens!$L$4713&gt;0,Sens!$L$4714/Sens!$L$4713,Sens!$L$4710)</f>
        <v>11.4110891181192</v>
      </c>
      <c r="M4716" s="36" t="n">
        <f aca="false">IF(Sens!$M$4713&gt;0,Sens!$M$4714/Sens!$M$4713,Sens!$M$4710)</f>
        <v>11.4148191458201</v>
      </c>
    </row>
    <row r="4717" customFormat="false" ht="17.15" hidden="false" customHeight="false" outlineLevel="0" collapsed="false">
      <c r="A4717" s="5" t="s">
        <v>611</v>
      </c>
      <c r="B4717" s="0" t="s">
        <v>173</v>
      </c>
      <c r="F4717" s="36" t="n">
        <f aca="false">IF(Sens!$F$4713&gt;0,Sens!$F$4715/Sens!$F$4713,Sens!$F$4711)</f>
        <v>1.98263481314457</v>
      </c>
      <c r="G4717" s="36" t="n">
        <f aca="false">IF(Sens!$G$4713&gt;0,Sens!$G$4715/Sens!$G$4713,Sens!$G$4711)</f>
        <v>1.98263481314457</v>
      </c>
      <c r="H4717" s="36" t="n">
        <f aca="false">IF(Sens!$H$4713&gt;0,Sens!$H$4715/Sens!$H$4713,Sens!$H$4711)</f>
        <v>2.00111160233948</v>
      </c>
      <c r="I4717" s="36" t="n">
        <f aca="false">IF(Sens!$I$4713&gt;0,Sens!$I$4715/Sens!$I$4713,Sens!$I$4711)</f>
        <v>2.01589303369541</v>
      </c>
      <c r="J4717" s="36" t="n">
        <f aca="false">IF(Sens!$J$4713&gt;0,Sens!$J$4715/Sens!$J$4713,Sens!$J$4711)</f>
        <v>2.02222793284795</v>
      </c>
      <c r="K4717" s="36" t="n">
        <f aca="false">IF(Sens!$K$4713&gt;0,Sens!$K$4715/Sens!$K$4713,Sens!$K$4711)</f>
        <v>2.02489065478573</v>
      </c>
      <c r="L4717" s="36" t="n">
        <f aca="false">IF(Sens!$L$4713&gt;0,Sens!$L$4715/Sens!$L$4713,Sens!$L$4711)</f>
        <v>2.0260728977417</v>
      </c>
      <c r="M4717" s="36" t="n">
        <f aca="false">IF(Sens!$M$4713&gt;0,Sens!$M$4715/Sens!$M$4713,Sens!$M$4711)</f>
        <v>2.02638170661685</v>
      </c>
    </row>
    <row r="4718" customFormat="false" ht="17.15" hidden="false" customHeight="false" outlineLevel="0" collapsed="false">
      <c r="A4718" s="15" t="s">
        <v>612</v>
      </c>
      <c r="B4718" s="14" t="s">
        <v>173</v>
      </c>
      <c r="C4718" s="14"/>
      <c r="D4718" s="14"/>
      <c r="E4718" s="14"/>
      <c r="F4718" s="37" t="n">
        <f aca="false">Sens!$F$4716*k_B</f>
        <v>10.7987645808025</v>
      </c>
      <c r="G4718" s="37" t="n">
        <f aca="false">Sens!$G$4716*k_B</f>
        <v>10.7987645808025</v>
      </c>
      <c r="H4718" s="37" t="n">
        <f aca="false">Sens!$H$4716*k_B</f>
        <v>11.0201444540452</v>
      </c>
      <c r="I4718" s="37" t="n">
        <f aca="false">Sens!$I$4716*k_B</f>
        <v>11.1972483526393</v>
      </c>
      <c r="J4718" s="37" t="n">
        <f aca="false">Sens!$J$4716*k_B</f>
        <v>11.2731500234653</v>
      </c>
      <c r="K4718" s="37" t="n">
        <f aca="false">Sens!$K$4716*k_B</f>
        <v>11.3050534585724</v>
      </c>
      <c r="L4718" s="37" t="n">
        <f aca="false">Sens!$L$4716*k_B</f>
        <v>11.3192185168503</v>
      </c>
      <c r="M4718" s="37" t="n">
        <f aca="false">Sens!$M$4716*k_B</f>
        <v>11.3229185141234</v>
      </c>
      <c r="N4718" s="14"/>
      <c r="O4718" s="14"/>
      <c r="P4718" s="5" t="s">
        <v>613</v>
      </c>
    </row>
    <row r="4719" customFormat="false" ht="17.15" hidden="false" customHeight="false" outlineLevel="0" collapsed="false">
      <c r="A4719" s="5" t="s">
        <v>614</v>
      </c>
      <c r="B4719" s="0" t="s">
        <v>129</v>
      </c>
      <c r="F4719" s="32" t="n">
        <f aca="false">Sens!$F$4713/2</f>
        <v>908.575</v>
      </c>
      <c r="H4719" s="32" t="n">
        <f aca="false">(Sens!$G$4713+Sens!$H$4713)/2</f>
        <v>3634.3</v>
      </c>
      <c r="I4719" s="32" t="n">
        <f aca="false">(Sens!$H$4713+Sens!$I$4713)/2</f>
        <v>7268.6</v>
      </c>
      <c r="J4719" s="32" t="n">
        <f aca="false">(Sens!$I$4713+Sens!$J$4713)/2</f>
        <v>10902.9</v>
      </c>
      <c r="K4719" s="32" t="n">
        <f aca="false">(Sens!$J$4713+Sens!$K$4713)/2</f>
        <v>14005.4835833333</v>
      </c>
      <c r="L4719" s="32" t="n">
        <f aca="false">(Sens!$K$4713+Sens!$L$4713)/2</f>
        <v>16044.6343333333</v>
      </c>
      <c r="M4719" s="32" t="n">
        <f aca="false">(Sens!$L$4713+Sens!$M$4713)/2</f>
        <v>17020.35225</v>
      </c>
    </row>
    <row r="4720" customFormat="false" ht="17.15" hidden="false" customHeight="false" outlineLevel="0" collapsed="false">
      <c r="A4720" s="1" t="s">
        <v>615</v>
      </c>
    </row>
    <row r="4721" customFormat="false" ht="17.15" hidden="false" customHeight="false" outlineLevel="0" collapsed="false">
      <c r="A4721" s="1" t="s">
        <v>616</v>
      </c>
      <c r="B4721" s="8" t="s">
        <v>86</v>
      </c>
      <c r="C4721" s="38" t="n">
        <f aca="false">Sens!$C$4704*rpm_open*Sens!$C$4705/1000</f>
        <v>2.32100535697364</v>
      </c>
      <c r="D4721" s="38" t="n">
        <f aca="false">Sens!$D$4704*rpm_open*Sens!$D$4705/1000</f>
        <v>8.70377008865116</v>
      </c>
      <c r="E4721" s="38" t="n">
        <f aca="false">Sens!$E$4704*rpm_open*Sens!$E$4705/1000</f>
        <v>8.51035297557002</v>
      </c>
      <c r="F4721" s="38" t="n">
        <f aca="false">(mw_open*rpm_open+Sens!$F$4719*Sens!$F$4718)*Sens!$F$4705/1000</f>
        <v>14.9634336447205</v>
      </c>
      <c r="G4721" s="38" t="n">
        <f aca="false">Sens!$E$4721+Sens!$F$4721</f>
        <v>23.4737866202905</v>
      </c>
      <c r="H4721" s="38" t="n">
        <f aca="false">(mw_open*rpm_open+Sens!$H$4719*Sens!$H$4718)/1000</f>
        <v>60.1658907497746</v>
      </c>
      <c r="I4721" s="38" t="n">
        <f aca="false">(mw_open*rpm_open+Sens!$I$4719*Sens!$I$4718)/1000</f>
        <v>101.503699136432</v>
      </c>
      <c r="J4721" s="38" t="n">
        <f aca="false">(mw_open*rpm_open+Sens!$J$4719*Sens!$J$4718)/1000</f>
        <v>143.025407151278</v>
      </c>
      <c r="K4721" s="38" t="n">
        <f aca="false">(mw_open*rpm_open+Sens!$K$4719*Sens!$K$4718)/1000</f>
        <v>178.44812038318</v>
      </c>
      <c r="L4721" s="38" t="n">
        <f aca="false">(mw_open*rpm_open+Sens!$L$4719*Sens!$L$4718)/1000</f>
        <v>201.728101802396</v>
      </c>
      <c r="M4721" s="38" t="n">
        <f aca="false">(mw_open*rpm_open+Sens!$M$4719*Sens!$M$4718)/1000</f>
        <v>212.835441368865</v>
      </c>
      <c r="N4721" s="38" t="n">
        <f aca="false">Sens!$N$4704*rpm_open*Sens!$N$4705/1000</f>
        <v>3.04631953102791</v>
      </c>
      <c r="O4721" s="38" t="n">
        <f aca="false">Sens!$O$4704*rpm_open*Sens!$O$4705/1000</f>
        <v>5.65745055762326</v>
      </c>
      <c r="P4721" s="5" t="s">
        <v>617</v>
      </c>
    </row>
    <row r="4722" customFormat="false" ht="17.15" hidden="false" customHeight="false" outlineLevel="0" collapsed="false">
      <c r="A4722" s="5" t="s">
        <v>618</v>
      </c>
      <c r="B4722" s="0" t="s">
        <v>173</v>
      </c>
      <c r="C4722" s="36" t="n">
        <f aca="false">Sens!$C$4721*1000/(Sens!$C$4704*Sens!$C$4705)</f>
        <v>9.67085565405685</v>
      </c>
      <c r="D4722" s="36" t="n">
        <f aca="false">Sens!$D$4721*1000/(Sens!$D$4704*Sens!$D$4705)</f>
        <v>9.67085565405685</v>
      </c>
      <c r="E4722" s="36" t="n">
        <f aca="false">Sens!$E$4721*1000/(Sens!$E$4704*Sens!$E$4705)</f>
        <v>9.67085565405685</v>
      </c>
      <c r="F4722" s="36" t="n">
        <f aca="false">Sens!$F$4721*1000/(Sens!$F$4704*Sens!$F$4705)</f>
        <v>10.0137581588017</v>
      </c>
      <c r="G4722" s="36" t="n">
        <f aca="false">Sens!$G$4721*1000/(Sens!$G$4704*Sens!$G$4705)</f>
        <v>9.88666562928478</v>
      </c>
      <c r="H4722" s="36" t="n">
        <f aca="false">Sens!$H$4721*1000/(Sens!$H$4704*Sens!$H$4705)</f>
        <v>10.5290045586992</v>
      </c>
      <c r="I4722" s="36" t="n">
        <f aca="false">Sens!$I$4721*1000/(Sens!$I$4704*Sens!$I$4705)</f>
        <v>10.8576363451674</v>
      </c>
      <c r="J4722" s="36" t="n">
        <f aca="false">Sens!$J$4721*1000/(Sens!$J$4704*Sens!$J$4705)</f>
        <v>11.0164452588619</v>
      </c>
      <c r="K4722" s="36" t="n">
        <f aca="false">Sens!$K$4721*1000/(Sens!$K$4704*Sens!$K$4705)</f>
        <v>11.0937367508227</v>
      </c>
      <c r="L4722" s="36" t="n">
        <f aca="false">Sens!$L$4721*1000/(Sens!$L$4704*Sens!$L$4705)</f>
        <v>11.1300508519168</v>
      </c>
      <c r="M4722" s="36" t="n">
        <f aca="false">Sens!$M$4721*1000/(Sens!$M$4704*Sens!$M$4705)</f>
        <v>11.1430113216297</v>
      </c>
      <c r="N4722" s="36" t="n">
        <f aca="false">Sens!$N$4721*1000/(Sens!$N$4704*Sens!$N$4705)</f>
        <v>9.67085565405685</v>
      </c>
      <c r="O4722" s="36" t="n">
        <f aca="false">Sens!$O$4721*1000/(Sens!$O$4704*Sens!$O$4705)</f>
        <v>9.67085565405685</v>
      </c>
    </row>
    <row r="4723" customFormat="false" ht="17.15" hidden="false" customHeight="false" outlineLevel="0" collapsed="false">
      <c r="A4723" s="0" t="s">
        <v>619</v>
      </c>
      <c r="B4723" s="0" t="s">
        <v>86</v>
      </c>
      <c r="C4723" s="38" t="n">
        <f aca="false">Sens!$C$4704/ext_sh*(ox_open+rent_mw)*Sens!$C$4705/1000</f>
        <v>0.642569210675032</v>
      </c>
      <c r="D4723" s="38" t="n">
        <f aca="false">Sens!$D$4704/ext_sh*(ox_open+rent_mw)*Sens!$D$4705/1000</f>
        <v>2.40963454003137</v>
      </c>
      <c r="E4723" s="38" t="n">
        <f aca="false">Sens!$E$4704/ext_sh*(ox_open+rent_mw)*Sens!$E$4705/1000</f>
        <v>2.35608710580845</v>
      </c>
      <c r="F4723" s="38" t="n">
        <f aca="false">((mw_open*ox_open+Sens!$F$4719*Sens!$F$4717)/ext_sh+Sens!$F$4704/ext_sh*rent_mw)*Sens!$F$4705/1000</f>
        <v>4.05421991106232</v>
      </c>
      <c r="G4723" s="38" t="n">
        <f aca="false">Sens!$E$4723+Sens!$F$4723</f>
        <v>6.41030701687077</v>
      </c>
      <c r="H4723" s="38" t="n">
        <f aca="false">((mw_open*ox_open+Sens!$H$4719*Sens!$H$4717)/ext_sh+Sens!$H$4704/ext_sh*rent_mw)*Sens!$H$4705/1000</f>
        <v>15.8108975546616</v>
      </c>
      <c r="I4723" s="38" t="n">
        <f aca="false">((mw_open*ox_open+Sens!$I$4719*Sens!$I$4717)/ext_sh+Sens!$I$4704/ext_sh*rent_mw)*Sens!$I$4705/1000</f>
        <v>26.1871623400817</v>
      </c>
      <c r="J4723" s="38" t="n">
        <f aca="false">((mw_open*ox_open+Sens!$J$4719*Sens!$J$4717)/ext_sh+Sens!$J$4704/ext_sh*rent_mw)*Sens!$J$4705/1000</f>
        <v>36.5826128954935</v>
      </c>
      <c r="K4723" s="38" t="n">
        <f aca="false">((mw_open*ox_open+Sens!$K$4719*Sens!$K$4717)/ext_sh+Sens!$K$4704/ext_sh*rent_mw)*Sens!$K$4705/1000</f>
        <v>45.4546361137628</v>
      </c>
      <c r="L4723" s="38" t="n">
        <f aca="false">((mw_open*ox_open+Sens!$L$4719*Sens!$L$4717)/ext_sh+Sens!$L$4704/ext_sh*rent_mw)*Sens!$L$4705/1000</f>
        <v>51.2855695554452</v>
      </c>
      <c r="M4723" s="38" t="n">
        <f aca="false">((mw_open*ox_open+Sens!$M$4719*Sens!$M$4717)/ext_sh+Sens!$M$4704/ext_sh*rent_mw)*Sens!$M$4705/1000</f>
        <v>54.0722927838398</v>
      </c>
      <c r="N4723" s="38" t="n">
        <f aca="false">Sens!$N$4704/ext_sh*(ox_open+rent_mw)*Sens!$N$4705/1000</f>
        <v>0.84337208901098</v>
      </c>
      <c r="O4723" s="38" t="n">
        <f aca="false">Sens!$O$4704/ext_sh*(ox_open+rent_mw)*Sens!$O$4705/1000</f>
        <v>1.56626245102039</v>
      </c>
    </row>
    <row r="4724" customFormat="false" ht="17.15" hidden="false" customHeight="false" outlineLevel="0" collapsed="false">
      <c r="A4724" s="0" t="s">
        <v>620</v>
      </c>
      <c r="B4724" s="0" t="s">
        <v>86</v>
      </c>
      <c r="C4724" s="38" t="n">
        <f aca="false">Q!$D$7</f>
        <v>107.556</v>
      </c>
      <c r="D4724" s="38" t="n">
        <f aca="false">Q!$E$7</f>
        <v>128.725</v>
      </c>
      <c r="E4724" s="38" t="n">
        <f aca="false">Q!$P$7</f>
        <v>79.819</v>
      </c>
      <c r="N4724" s="38" t="n">
        <f aca="false">Q!$N$7</f>
        <v>60.14</v>
      </c>
      <c r="O4724" s="38" t="n">
        <f aca="false">Q!$O$7</f>
        <v>68.585</v>
      </c>
    </row>
    <row r="4725" customFormat="false" ht="17.15" hidden="false" customHeight="false" outlineLevel="0" collapsed="false">
      <c r="A4725" s="1" t="s">
        <v>621</v>
      </c>
      <c r="B4725" s="8" t="s">
        <v>86</v>
      </c>
      <c r="C4725" s="38" t="n">
        <f aca="false">Sens!$C$4724-Sens!$C$4721</f>
        <v>105.234994643026</v>
      </c>
      <c r="D4725" s="38" t="n">
        <f aca="false">Sens!$D$4724-Sens!$D$4721</f>
        <v>120.021229911349</v>
      </c>
      <c r="E4725" s="38" t="n">
        <f aca="false">Sens!$E$4724-Sens!$E$4721</f>
        <v>71.30864702443</v>
      </c>
      <c r="F4725" s="38" t="n">
        <f aca="false">Sens!$O$4725*(1+Sens!$F$4726)</f>
        <v>71.7692997942464</v>
      </c>
      <c r="G4725" s="38" t="n">
        <f aca="false">Sens!$E$4725+Sens!$F$4725</f>
        <v>143.077946818676</v>
      </c>
      <c r="H4725" s="38" t="n">
        <f aca="false">Sens!$G$4725*(1+Sens!$H$4726)</f>
        <v>161.017077079203</v>
      </c>
      <c r="I4725" s="38" t="n">
        <f aca="false">Sens!$H$4725*(1+Sens!$I$4726)</f>
        <v>178.769759521457</v>
      </c>
      <c r="J4725" s="38" t="n">
        <f aca="false">Sens!$I$4725*(1+Sens!$J$4726)</f>
        <v>195.775538045907</v>
      </c>
      <c r="K4725" s="38" t="n">
        <f aca="false">Sens!$J$4725*(1+Sens!$K$4726)</f>
        <v>211.43758108958</v>
      </c>
      <c r="L4725" s="38" t="n">
        <f aca="false">Sens!$K$4725*(1+Sens!$L$4726)</f>
        <v>228.352587576746</v>
      </c>
      <c r="M4725" s="38" t="n">
        <f aca="false">Sens!$L$4725*(1+Sens!$M$4726)</f>
        <v>246.620794582886</v>
      </c>
      <c r="N4725" s="38" t="n">
        <f aca="false">Sens!$N$4724-Sens!$N$4721</f>
        <v>57.0936804689721</v>
      </c>
      <c r="O4725" s="38" t="n">
        <f aca="false">Sens!$O$4724-Sens!$O$4721</f>
        <v>62.9275494423768</v>
      </c>
      <c r="P4725" s="5" t="s">
        <v>622</v>
      </c>
    </row>
    <row r="4726" customFormat="false" ht="17.15" hidden="false" customHeight="false" outlineLevel="0" collapsed="false">
      <c r="A4726" s="0" t="s">
        <v>623</v>
      </c>
      <c r="B4726" s="0" t="s">
        <v>52</v>
      </c>
      <c r="D4726" s="13" t="n">
        <f aca="false">Sens!$D$4725/Sens!$C$4725-1</f>
        <v>0.140506827776062</v>
      </c>
      <c r="E4726" s="13" t="n">
        <f aca="false">Sens!$E$4725/Sens!$N$4725-1</f>
        <v>0.248976181579029</v>
      </c>
      <c r="F4726" s="13" t="n">
        <f aca="false">Sens!$D$4726</f>
        <v>0.140506827776062</v>
      </c>
      <c r="G4726" s="13" t="n">
        <f aca="false">Sens!$G$4725/Sens!$D$4725-1</f>
        <v>0.19210532106993</v>
      </c>
      <c r="H4726" s="13" t="n">
        <f aca="false">Sens!$F$4726+(g_awso_lt-Sens!$F$4726)*1/4</f>
        <v>0.125380120832046</v>
      </c>
      <c r="I4726" s="13" t="n">
        <f aca="false">Sens!$F$4726+(g_awso_lt-Sens!$F$4726)*2/4</f>
        <v>0.110253413888031</v>
      </c>
      <c r="J4726" s="13" t="n">
        <f aca="false">Sens!$F$4726+(g_awso_lt-Sens!$F$4726)*3/4</f>
        <v>0.0951267069440154</v>
      </c>
      <c r="K4726" s="13" t="n">
        <f aca="false">Sens!$F$4726+(g_awso_lt-Sens!$F$4726)*4/4</f>
        <v>0.08</v>
      </c>
      <c r="L4726" s="13" t="n">
        <f aca="false">g_awso_lt</f>
        <v>0.08</v>
      </c>
      <c r="M4726" s="13" t="n">
        <f aca="false">g_awso_lt</f>
        <v>0.08</v>
      </c>
      <c r="P4726" s="5" t="s">
        <v>624</v>
      </c>
    </row>
    <row r="4727" customFormat="false" ht="17.15" hidden="false" customHeight="false" outlineLevel="0" collapsed="false">
      <c r="A4727" s="1" t="s">
        <v>625</v>
      </c>
    </row>
    <row r="4728" customFormat="false" ht="17.15" hidden="false" customHeight="false" outlineLevel="0" collapsed="false">
      <c r="A4728" s="0" t="s">
        <v>626</v>
      </c>
      <c r="B4728" s="0" t="s">
        <v>86</v>
      </c>
      <c r="F4728" s="38" t="n">
        <f aca="false">cx_rt*Sens!$F$4693+cx_awso*Sens!$F$4725</f>
        <v>34.9734495387866</v>
      </c>
    </row>
    <row r="4729" customFormat="false" ht="17.15" hidden="false" customHeight="false" outlineLevel="0" collapsed="false">
      <c r="A4729" s="0" t="s">
        <v>627</v>
      </c>
      <c r="B4729" s="0" t="s">
        <v>52</v>
      </c>
      <c r="C4729" s="13" t="n">
        <f aca="false">tk_cx_h100/(tk_cx_h100+tk_fac*(1-colo_sh))</f>
        <v>0.730756458006641</v>
      </c>
      <c r="D4729" s="13" t="n">
        <f aca="false">tk_cx_h100/(tk_cx_h100+tk_fac*(1-colo_sh))</f>
        <v>0.730756458006641</v>
      </c>
      <c r="E4729" s="13" t="n">
        <f aca="false">Sens!$F$4729</f>
        <v>0.760792334328868</v>
      </c>
      <c r="F4729" s="13" t="n">
        <f aca="false">Sens!$F$4712/(Sens!$F$4712+tk_fac*(1-colo_sh))</f>
        <v>0.760792334328868</v>
      </c>
      <c r="G4729" s="13" t="n">
        <f aca="false">Sens!$G$4712/(Sens!$G$4712+tk_fac*(1-colo_sh))</f>
        <v>0.760792334328868</v>
      </c>
      <c r="H4729" s="13" t="n">
        <f aca="false">Sens!$H$4712/(Sens!$H$4712+tk_fac*(1-colo_sh))</f>
        <v>0.768110668862996</v>
      </c>
      <c r="I4729" s="13" t="n">
        <f aca="false">Sens!$I$4712/(Sens!$I$4712+tk_fac*(1-colo_sh))</f>
        <v>0.77499450139483</v>
      </c>
      <c r="J4729" s="13" t="n">
        <f aca="false">Sens!$J$4712/(Sens!$J$4712+tk_fac*(1-colo_sh))</f>
        <v>0.77499450139483</v>
      </c>
      <c r="K4729" s="13" t="n">
        <f aca="false">Sens!$K$4712/(Sens!$K$4712+tk_fac*(1-colo_sh))</f>
        <v>0.77499450139483</v>
      </c>
      <c r="L4729" s="13" t="n">
        <f aca="false">Sens!$L$4712/(Sens!$L$4712+tk_fac*(1-colo_sh))</f>
        <v>0.77499450139483</v>
      </c>
      <c r="M4729" s="13" t="n">
        <f aca="false">Sens!$M$4712/(Sens!$M$4712+tk_fac*(1-colo_sh))</f>
        <v>0.77499450139483</v>
      </c>
    </row>
    <row r="4730" customFormat="false" ht="17.15" hidden="false" customHeight="false" outlineLevel="0" collapsed="false">
      <c r="A4730" s="1" t="s">
        <v>628</v>
      </c>
      <c r="B4730" s="8" t="s">
        <v>86</v>
      </c>
      <c r="C4730" s="38" t="n">
        <f aca="false">Q!$D$46-cx_rt*Q!$D$16-cx_awso*Sens!$C$4725</f>
        <v>25.2781053077374</v>
      </c>
      <c r="D4730" s="38" t="n">
        <f aca="false">Q!$E$46-cx_rt*Q!$E$16-cx_awso*Sens!$D$4725</f>
        <v>69.5686316310026</v>
      </c>
      <c r="E4730" s="38" t="n">
        <f aca="false">Q!$P$46-cx_rt*Q!$P$16-cx_awso*Sens!$E$4725</f>
        <v>64.1899206485108</v>
      </c>
      <c r="F4730" s="38" t="n">
        <f aca="false">MAX(Sens!$F$4707*(Sens!$F$4712+tk_fac*(1-colo_sh))/1000,capex_g26-Q!$P$46-Sens!$F$4728)</f>
        <v>96.2481299895</v>
      </c>
      <c r="G4730" s="38" t="n">
        <f aca="false">Sens!$E$4730+Sens!$F$4730</f>
        <v>160.438050638011</v>
      </c>
      <c r="H4730" s="38" t="n">
        <f aca="false">Sens!$H$4707*(Sens!$H$4712+tk_fac*(1-colo_sh))/1000+Sens!$H$4731</f>
        <v>198.57136494475</v>
      </c>
      <c r="I4730" s="38" t="n">
        <f aca="false">Sens!$I$4707*(Sens!$I$4712+tk_fac*(1-colo_sh))/1000+Sens!$I$4731</f>
        <v>204.6464699105</v>
      </c>
      <c r="J4730" s="38" t="n">
        <f aca="false">Sens!$J$4707*(Sens!$J$4712+tk_fac*(1-colo_sh))/1000+Sens!$J$4731</f>
        <v>209.8832381105</v>
      </c>
      <c r="K4730" s="38" t="n">
        <f aca="false">Sens!$K$4707*(Sens!$K$4712+tk_fac*(1-colo_sh))/1000+Sens!$K$4731</f>
        <v>155.238385275201</v>
      </c>
      <c r="L4730" s="38" t="n">
        <f aca="false">Sens!$L$4707*(Sens!$L$4712+tk_fac*(1-colo_sh))/1000+Sens!$L$4731</f>
        <v>132.014141639902</v>
      </c>
      <c r="M4730" s="38" t="n">
        <f aca="false">Sens!$M$4707*(Sens!$M$4712+tk_fac*(1-colo_sh))/1000+Sens!$M$4731</f>
        <v>132.230981659852</v>
      </c>
      <c r="P4730" s="5" t="s">
        <v>629</v>
      </c>
      <c r="R4730" s="38" t="n">
        <f aca="false">Q!$C$46-cx_rt*Q!$C$16-cx_awso*(Q!$C$7-mw_ye23/2*rpm_open/1000)</f>
        <v>1.50429979529945</v>
      </c>
      <c r="S4730" s="38" t="n">
        <f aca="false">Sens!$C$4730</f>
        <v>25.2781053077374</v>
      </c>
      <c r="T4730" s="38" t="n">
        <f aca="false">Sens!$D$4730</f>
        <v>69.5686316310026</v>
      </c>
      <c r="U4730" s="38" t="n">
        <f aca="false">Sens!$G$4730</f>
        <v>160.438050638011</v>
      </c>
      <c r="V4730" s="38" t="n">
        <f aca="false">Sens!$H$4730</f>
        <v>198.57136494475</v>
      </c>
      <c r="W4730" s="38" t="n">
        <f aca="false">Sens!$I$4730</f>
        <v>204.6464699105</v>
      </c>
      <c r="X4730" s="38" t="n">
        <f aca="false">Sens!$J$4730</f>
        <v>209.8832381105</v>
      </c>
      <c r="Y4730" s="38" t="n">
        <f aca="false">Sens!$K$4730</f>
        <v>155.238385275201</v>
      </c>
      <c r="Z4730" s="38" t="n">
        <f aca="false">Sens!$L$4730</f>
        <v>132.014141639902</v>
      </c>
      <c r="AA4730" s="38" t="n">
        <f aca="false">Sens!$M$4730</f>
        <v>132.230981659852</v>
      </c>
    </row>
    <row r="4731" customFormat="false" ht="17.15" hidden="false" customHeight="false" outlineLevel="0" collapsed="false">
      <c r="A4731" s="0" t="s">
        <v>630</v>
      </c>
      <c r="B4731" s="0" t="s">
        <v>86</v>
      </c>
      <c r="H4731" s="38" t="n">
        <f aca="false">SUMPRODUCT(--(Sens!$R$4700:$AA$4700=2027-tk_life),Sens!$R$4707:$AA$4707)*Sens!$H$4712/1000</f>
        <v>0</v>
      </c>
      <c r="I4731" s="38" t="n">
        <f aca="false">SUMPRODUCT(--(Sens!$R$4700:$AA$4700=2028-tk_life),Sens!$R$4707:$AA$4707)*Sens!$I$4712/1000</f>
        <v>0</v>
      </c>
      <c r="J4731" s="38" t="n">
        <f aca="false">SUMPRODUCT(--(Sens!$R$4700:$AA$4700=2029-tk_life),Sens!$R$4707:$AA$4707)*Sens!$J$4712/1000</f>
        <v>5.2367682</v>
      </c>
      <c r="K4731" s="38" t="n">
        <f aca="false">SUMPRODUCT(--(Sens!$R$4700:$AA$4700=2030-tk_life),Sens!$R$4707:$AA$4707)*Sens!$K$4712/1000</f>
        <v>10.4735364</v>
      </c>
      <c r="L4731" s="38" t="n">
        <f aca="false">SUMPRODUCT(--(Sens!$R$4700:$AA$4700=2031-tk_life),Sens!$R$4707:$AA$4707)*Sens!$L$4712/1000</f>
        <v>47.1309138</v>
      </c>
      <c r="M4731" s="38" t="n">
        <f aca="false">SUMPRODUCT(--(Sens!$R$4700:$AA$4700=2032-tk_life),Sens!$R$4707:$AA$4707)*Sens!$M$4712/1000</f>
        <v>107.22937485525</v>
      </c>
    </row>
    <row r="4732" customFormat="false" ht="17.15" hidden="false" customHeight="false" outlineLevel="0" collapsed="false">
      <c r="A4732" s="0" t="s">
        <v>631</v>
      </c>
      <c r="B4732" s="0" t="s">
        <v>86</v>
      </c>
      <c r="C4732" s="38" t="n">
        <f aca="false">MIN(Sens!$C$4730,Sens!$C$4707*(tk_cx_h100+tk_fac*(1-colo_sh))/1000)</f>
        <v>11.2938642</v>
      </c>
      <c r="D4732" s="38" t="n">
        <f aca="false">MIN(Sens!$D$4730,Sens!$D$4707*(tk_cx_h100+tk_fac*(1-colo_sh))/1000)</f>
        <v>50.8223889</v>
      </c>
      <c r="E4732" s="38" t="n">
        <f aca="false">MIN(Sens!$E$4730,Sens!$E$4707*(Sens!$F$4712+tk_fac*(1-colo_sh))/1000)</f>
        <v>33.8985792</v>
      </c>
      <c r="F4732" s="38" t="n">
        <f aca="false">Sens!$F$4730</f>
        <v>96.2481299895</v>
      </c>
      <c r="G4732" s="38" t="n">
        <f aca="false">Sens!$E$4732+Sens!$F$4732</f>
        <v>130.1467091895</v>
      </c>
      <c r="H4732" s="38" t="n">
        <f aca="false">Sens!$H$4730</f>
        <v>198.57136494475</v>
      </c>
      <c r="I4732" s="38" t="n">
        <f aca="false">Sens!$I$4730</f>
        <v>204.6464699105</v>
      </c>
      <c r="J4732" s="38" t="n">
        <f aca="false">Sens!$J$4730</f>
        <v>209.8832381105</v>
      </c>
      <c r="K4732" s="38" t="n">
        <f aca="false">Sens!$K$4730</f>
        <v>155.238385275201</v>
      </c>
      <c r="L4732" s="38" t="n">
        <f aca="false">Sens!$L$4730</f>
        <v>132.014141639902</v>
      </c>
      <c r="M4732" s="38" t="n">
        <f aca="false">Sens!$M$4730</f>
        <v>132.230981659852</v>
      </c>
      <c r="P4732" s="5" t="s">
        <v>632</v>
      </c>
      <c r="R4732" s="38" t="n">
        <f aca="false">MIN(Sens!$R$4730,Sens!$R$4707*(tk_cx_h100+tk_fac*(1-colo_sh))/1000)</f>
        <v>1.50429979529945</v>
      </c>
      <c r="S4732" s="38" t="n">
        <f aca="false">Sens!$C$4732</f>
        <v>11.2938642</v>
      </c>
      <c r="T4732" s="38" t="n">
        <f aca="false">Sens!$D$4732</f>
        <v>50.8223889</v>
      </c>
      <c r="U4732" s="38" t="n">
        <f aca="false">Sens!$G$4732</f>
        <v>130.1467091895</v>
      </c>
      <c r="V4732" s="38" t="n">
        <f aca="false">Sens!$H$4732</f>
        <v>198.57136494475</v>
      </c>
      <c r="W4732" s="38" t="n">
        <f aca="false">Sens!$I$4732</f>
        <v>204.6464699105</v>
      </c>
      <c r="X4732" s="38" t="n">
        <f aca="false">Sens!$J$4732</f>
        <v>209.8832381105</v>
      </c>
      <c r="Y4732" s="38" t="n">
        <f aca="false">Sens!$K$4732</f>
        <v>155.238385275201</v>
      </c>
      <c r="Z4732" s="38" t="n">
        <f aca="false">Sens!$L$4732</f>
        <v>132.014141639902</v>
      </c>
      <c r="AA4732" s="38" t="n">
        <f aca="false">Sens!$M$4732</f>
        <v>132.230981659852</v>
      </c>
    </row>
    <row r="4733" customFormat="false" ht="17.15" hidden="false" customHeight="false" outlineLevel="0" collapsed="false">
      <c r="A4733" s="5" t="s">
        <v>633</v>
      </c>
      <c r="B4733" s="0" t="s">
        <v>86</v>
      </c>
      <c r="C4733" s="38" t="n">
        <f aca="false">Sens!$C$4730-Sens!$C$4732</f>
        <v>13.9842411077374</v>
      </c>
      <c r="D4733" s="38" t="n">
        <f aca="false">Sens!$D$4730-Sens!$D$4732</f>
        <v>18.7462427310026</v>
      </c>
      <c r="E4733" s="38" t="n">
        <f aca="false">Sens!$E$4730-Sens!$E$4732</f>
        <v>30.2913414485108</v>
      </c>
      <c r="F4733" s="38" t="n">
        <f aca="false">Sens!$F$4730-Sens!$F$4732</f>
        <v>0</v>
      </c>
      <c r="G4733" s="38" t="n">
        <f aca="false">Sens!$G$4730-Sens!$G$4732</f>
        <v>30.2913414485108</v>
      </c>
      <c r="H4733" s="38" t="n">
        <f aca="false">Sens!$H$4730-Sens!$H$4732</f>
        <v>0</v>
      </c>
      <c r="I4733" s="38" t="n">
        <f aca="false">Sens!$I$4730-Sens!$I$4732</f>
        <v>0</v>
      </c>
      <c r="J4733" s="38" t="n">
        <f aca="false">Sens!$J$4730-Sens!$J$4732</f>
        <v>0</v>
      </c>
      <c r="K4733" s="38" t="n">
        <f aca="false">Sens!$K$4730-Sens!$K$4732</f>
        <v>0</v>
      </c>
      <c r="L4733" s="38" t="n">
        <f aca="false">Sens!$L$4730-Sens!$L$4732</f>
        <v>0</v>
      </c>
      <c r="M4733" s="38" t="n">
        <f aca="false">Sens!$M$4730-Sens!$M$4732</f>
        <v>0</v>
      </c>
    </row>
    <row r="4734" customFormat="false" ht="17.15" hidden="false" customHeight="false" outlineLevel="0" collapsed="false">
      <c r="A4734" s="5" t="s">
        <v>634</v>
      </c>
      <c r="B4734" s="0" t="s">
        <v>86</v>
      </c>
      <c r="C4734" s="38" t="n">
        <f aca="false">Sens!$C$4732*Sens!$C$4729</f>
        <v>8.2530642</v>
      </c>
      <c r="D4734" s="38" t="n">
        <f aca="false">Sens!$D$4732*Sens!$D$4729</f>
        <v>37.1387889</v>
      </c>
      <c r="E4734" s="38" t="n">
        <f aca="false">Sens!$E$4732*Sens!$E$4729</f>
        <v>25.7897792</v>
      </c>
      <c r="F4734" s="38" t="n">
        <f aca="false">Sens!$F$4732*Sens!$F$4729</f>
        <v>73.2248394895</v>
      </c>
      <c r="G4734" s="38" t="n">
        <f aca="false">Sens!$E$4734+Sens!$F$4734</f>
        <v>99.0146186895</v>
      </c>
      <c r="H4734" s="38" t="n">
        <f aca="false">(Sens!$H$4732-Sens!$H$4731)*Sens!$H$4729+Sens!$H$4731</f>
        <v>152.52478394475</v>
      </c>
      <c r="I4734" s="38" t="n">
        <f aca="false">(Sens!$I$4732-Sens!$I$4731)*Sens!$I$4729+Sens!$I$4731</f>
        <v>158.5998889105</v>
      </c>
      <c r="J4734" s="38" t="n">
        <f aca="false">(Sens!$J$4732-Sens!$J$4731)*Sens!$J$4729+Sens!$J$4731</f>
        <v>163.8366571105</v>
      </c>
      <c r="K4734" s="38" t="n">
        <f aca="false">(Sens!$K$4732-Sens!$K$4731)*Sens!$K$4729+Sens!$K$4731</f>
        <v>122.665498273534</v>
      </c>
      <c r="L4734" s="38" t="n">
        <f aca="false">(Sens!$L$4732-Sens!$L$4731)*Sens!$L$4729+Sens!$L$4731</f>
        <v>112.914948636568</v>
      </c>
      <c r="M4734" s="38" t="n">
        <f aca="false">(Sens!$M$4732-Sens!$M$4731)*Sens!$M$4729+Sens!$M$4731</f>
        <v>126.605482654852</v>
      </c>
      <c r="R4734" s="38" t="n">
        <f aca="false">Sens!$R$4732*Sens!$C$4729</f>
        <v>1.09927679019314</v>
      </c>
      <c r="S4734" s="38" t="n">
        <f aca="false">Sens!$C$4734</f>
        <v>8.2530642</v>
      </c>
      <c r="T4734" s="38" t="n">
        <f aca="false">Sens!$D$4734</f>
        <v>37.1387889</v>
      </c>
      <c r="U4734" s="38" t="n">
        <f aca="false">Sens!$G$4734</f>
        <v>99.0146186895</v>
      </c>
      <c r="V4734" s="38" t="n">
        <f aca="false">Sens!$H$4734</f>
        <v>152.52478394475</v>
      </c>
      <c r="W4734" s="38" t="n">
        <f aca="false">Sens!$I$4734</f>
        <v>158.5998889105</v>
      </c>
      <c r="X4734" s="38" t="n">
        <f aca="false">Sens!$J$4734</f>
        <v>163.8366571105</v>
      </c>
      <c r="Y4734" s="38" t="n">
        <f aca="false">Sens!$K$4734</f>
        <v>122.665498273534</v>
      </c>
      <c r="Z4734" s="38" t="n">
        <f aca="false">Sens!$L$4734</f>
        <v>112.914948636568</v>
      </c>
      <c r="AA4734" s="38" t="n">
        <f aca="false">Sens!$M$4734</f>
        <v>126.605482654852</v>
      </c>
    </row>
    <row r="4735" customFormat="false" ht="15" hidden="false" customHeight="false" outlineLevel="0" collapsed="false">
      <c r="A4735" s="5" t="s">
        <v>635</v>
      </c>
      <c r="B4735" s="0" t="s">
        <v>86</v>
      </c>
      <c r="C4735" s="38" t="n">
        <f aca="false">Sens!$C$4732-Sens!$C$4734</f>
        <v>3.0408</v>
      </c>
      <c r="D4735" s="38" t="n">
        <f aca="false">Sens!$D$4732-Sens!$D$4734</f>
        <v>13.6836</v>
      </c>
      <c r="E4735" s="38" t="n">
        <f aca="false">Sens!$E$4732-Sens!$E$4734</f>
        <v>8.1088</v>
      </c>
      <c r="F4735" s="38" t="n">
        <f aca="false">Sens!$F$4732-Sens!$F$4734</f>
        <v>23.0232905</v>
      </c>
      <c r="G4735" s="38" t="n">
        <f aca="false">Sens!$G$4732-Sens!$G$4734</f>
        <v>31.1320905</v>
      </c>
      <c r="H4735" s="38" t="n">
        <f aca="false">Sens!$H$4732-Sens!$H$4734</f>
        <v>46.046581</v>
      </c>
      <c r="I4735" s="38" t="n">
        <f aca="false">Sens!$I$4732-Sens!$I$4734</f>
        <v>46.046581</v>
      </c>
      <c r="J4735" s="38" t="n">
        <f aca="false">Sens!$J$4732-Sens!$J$4734</f>
        <v>46.046581</v>
      </c>
      <c r="K4735" s="38" t="n">
        <f aca="false">Sens!$K$4732-Sens!$K$4734</f>
        <v>32.5728870016667</v>
      </c>
      <c r="L4735" s="38" t="n">
        <f aca="false">Sens!$L$4732-Sens!$L$4734</f>
        <v>19.0991930033334</v>
      </c>
      <c r="M4735" s="38" t="n">
        <f aca="false">Sens!$M$4732-Sens!$M$4734</f>
        <v>5.62549900499998</v>
      </c>
      <c r="R4735" s="38" t="n">
        <f aca="false">Sens!$R$4732-Sens!$R$4734</f>
        <v>0.405023005106309</v>
      </c>
      <c r="S4735" s="38" t="n">
        <f aca="false">Sens!$S$4732-Sens!$S$4734</f>
        <v>3.0408</v>
      </c>
      <c r="T4735" s="38" t="n">
        <f aca="false">Sens!$T$4732-Sens!$T$4734</f>
        <v>13.6836</v>
      </c>
      <c r="U4735" s="38" t="n">
        <f aca="false">Sens!$U$4732-Sens!$U$4734</f>
        <v>31.1320905</v>
      </c>
      <c r="V4735" s="38" t="n">
        <f aca="false">Sens!$V$4732-Sens!$V$4734</f>
        <v>46.046581</v>
      </c>
      <c r="W4735" s="38" t="n">
        <f aca="false">Sens!$W$4732-Sens!$W$4734</f>
        <v>46.046581</v>
      </c>
      <c r="X4735" s="38" t="n">
        <f aca="false">Sens!$X$4732-Sens!$X$4734</f>
        <v>46.046581</v>
      </c>
      <c r="Y4735" s="38" t="n">
        <f aca="false">Sens!$Y$4732-Sens!$Y$4734</f>
        <v>32.5728870016667</v>
      </c>
      <c r="Z4735" s="38" t="n">
        <f aca="false">Sens!$Z$4732-Sens!$Z$4734</f>
        <v>19.0991930033334</v>
      </c>
      <c r="AA4735" s="38" t="n">
        <f aca="false">Sens!$AA$4732-Sens!$AA$4734</f>
        <v>5.62549900499998</v>
      </c>
    </row>
    <row r="4736" customFormat="false" ht="17.15" hidden="false" customHeight="false" outlineLevel="0" collapsed="false">
      <c r="A4736" s="0" t="s">
        <v>636</v>
      </c>
      <c r="B4736" s="0" t="s">
        <v>52</v>
      </c>
      <c r="C4736" s="13" t="n">
        <f aca="false">Sens!$C$4730/Sens!$C$4852</f>
        <v>0.325505489553393</v>
      </c>
      <c r="D4736" s="13" t="n">
        <f aca="false">Sens!$D$4730/Sens!$D$4852</f>
        <v>0.54214956071542</v>
      </c>
      <c r="E4736" s="13" t="n">
        <f aca="false">Sens!$E$4730/Sens!$E$4852</f>
        <v>0.666492790452817</v>
      </c>
      <c r="F4736" s="13" t="n">
        <f aca="false">Sens!$F$4730/Sens!$F$4852</f>
        <v>0.733477910687338</v>
      </c>
      <c r="G4736" s="13" t="n">
        <f aca="false">Sens!$G$4730/Sens!$G$4852</f>
        <v>0.705124321514523</v>
      </c>
      <c r="H4736" s="13" t="n">
        <f aca="false">Sens!$H$4730/Sens!$H$4852</f>
        <v>0.726376041178204</v>
      </c>
      <c r="I4736" s="13" t="n">
        <f aca="false">Sens!$I$4730/Sens!$I$4852</f>
        <v>0.713099092661699</v>
      </c>
      <c r="J4736" s="13" t="n">
        <f aca="false">Sens!$J$4730/Sens!$J$4852</f>
        <v>0.701208348786245</v>
      </c>
      <c r="K4736" s="13" t="n">
        <f aca="false">Sens!$K$4730/Sens!$K$4852</f>
        <v>0.618338844562383</v>
      </c>
      <c r="L4736" s="13" t="n">
        <f aca="false">Sens!$L$4730/Sens!$L$4852</f>
        <v>0.562489158462506</v>
      </c>
      <c r="M4736" s="13" t="n">
        <f aca="false">Sens!$M$4730/Sens!$M$4852</f>
        <v>0.545751190895923</v>
      </c>
    </row>
    <row r="4737" customFormat="false" ht="17.15" hidden="false" customHeight="false" outlineLevel="0" collapsed="false">
      <c r="A4737" s="0" t="s">
        <v>637</v>
      </c>
      <c r="B4737" s="0" t="s">
        <v>86</v>
      </c>
      <c r="C4737" s="38" t="n">
        <f aca="false">Sens!$S$4737</f>
        <v>0.183212798365523</v>
      </c>
      <c r="D4737" s="38" t="n">
        <f aca="false">Sens!$T$4737</f>
        <v>1.55872349836552</v>
      </c>
      <c r="E4737" s="38" t="n">
        <f aca="false">Sens!$G$4737/2</f>
        <v>3.87426082418276</v>
      </c>
      <c r="F4737" s="38" t="n">
        <f aca="false">Sens!$G$4737/2</f>
        <v>3.87426082418276</v>
      </c>
      <c r="G4737" s="38" t="n">
        <f aca="false">Sens!$U$4737</f>
        <v>7.74852164836552</v>
      </c>
      <c r="H4737" s="38" t="n">
        <f aca="false">Sens!$V$4737</f>
        <v>24.2509580966155</v>
      </c>
      <c r="I4737" s="38" t="n">
        <f aca="false">Sens!$W$4737</f>
        <v>49.6717554207405</v>
      </c>
      <c r="J4737" s="38" t="n">
        <f aca="false">Sens!$X$4737</f>
        <v>76.1050702391572</v>
      </c>
      <c r="K4737" s="38" t="n">
        <f aca="false">Sens!$Y$4737</f>
        <v>103.227966959208</v>
      </c>
      <c r="L4737" s="38" t="n">
        <f aca="false">Sens!$Z$4737</f>
        <v>122.296705971464</v>
      </c>
      <c r="M4737" s="38" t="n">
        <f aca="false">Sens!$AA$4737</f>
        <v>134.926065927559</v>
      </c>
      <c r="N4737" s="38" t="n">
        <f aca="false">Sens!$D$4737/2</f>
        <v>0.779361749182762</v>
      </c>
      <c r="O4737" s="38" t="n">
        <f aca="false">Sens!$D$4737/2</f>
        <v>0.779361749182762</v>
      </c>
      <c r="R4737" s="38" t="n">
        <f aca="false">SUMPRODUCT(--(Sens!$R$4700:$AA$4700&lt;Sens!R$4700),--(Sens!$R$4700:$AA$4700&gt;=Sens!R$4700-tk_life),Sens!$R$4734:$AA$4734)/tk_life</f>
        <v>0</v>
      </c>
      <c r="S4737" s="38" t="n">
        <f aca="false">SUMPRODUCT(--(Sens!$R$4700:$AA$4700&lt;Sens!S$4700),--(Sens!$R$4700:$AA$4700&gt;=Sens!S$4700-tk_life),Sens!$R$4734:$AA$4734)/tk_life</f>
        <v>0.183212798365523</v>
      </c>
      <c r="T4737" s="38" t="n">
        <f aca="false">SUMPRODUCT(--(Sens!$R$4700:$AA$4700&lt;Sens!T$4700),--(Sens!$R$4700:$AA$4700&gt;=Sens!T$4700-tk_life),Sens!$R$4734:$AA$4734)/tk_life</f>
        <v>1.55872349836552</v>
      </c>
      <c r="U4737" s="38" t="n">
        <f aca="false">SUMPRODUCT(--(Sens!$R$4700:$AA$4700&lt;Sens!U$4700),--(Sens!$R$4700:$AA$4700&gt;=Sens!U$4700-tk_life),Sens!$R$4734:$AA$4734)/tk_life</f>
        <v>7.74852164836552</v>
      </c>
      <c r="V4737" s="38" t="n">
        <f aca="false">SUMPRODUCT(--(Sens!$R$4700:$AA$4700&lt;Sens!V$4700),--(Sens!$R$4700:$AA$4700&gt;=Sens!V$4700-tk_life),Sens!$R$4734:$AA$4734)/tk_life</f>
        <v>24.2509580966155</v>
      </c>
      <c r="W4737" s="38" t="n">
        <f aca="false">SUMPRODUCT(--(Sens!$R$4700:$AA$4700&lt;Sens!W$4700),--(Sens!$R$4700:$AA$4700&gt;=Sens!W$4700-tk_life),Sens!$R$4734:$AA$4734)/tk_life</f>
        <v>49.6717554207405</v>
      </c>
      <c r="X4737" s="38" t="n">
        <f aca="false">SUMPRODUCT(--(Sens!$R$4700:$AA$4700&lt;Sens!X$4700),--(Sens!$R$4700:$AA$4700&gt;=Sens!X$4700-tk_life),Sens!$R$4734:$AA$4734)/tk_life</f>
        <v>76.1050702391572</v>
      </c>
      <c r="Y4737" s="38" t="n">
        <f aca="false">SUMPRODUCT(--(Sens!$R$4700:$AA$4700&lt;Sens!Y$4700),--(Sens!$R$4700:$AA$4700&gt;=Sens!Y$4700-tk_life),Sens!$R$4734:$AA$4734)/tk_life</f>
        <v>103.227966959208</v>
      </c>
      <c r="Z4737" s="38" t="n">
        <f aca="false">SUMPRODUCT(--(Sens!$R$4700:$AA$4700&lt;Sens!Z$4700),--(Sens!$R$4700:$AA$4700&gt;=Sens!Z$4700-tk_life),Sens!$R$4734:$AA$4734)/tk_life</f>
        <v>122.296705971464</v>
      </c>
      <c r="AA4737" s="38" t="n">
        <f aca="false">SUMPRODUCT(--(Sens!$R$4700:$AA$4700&lt;Sens!AA$4700),--(Sens!$R$4700:$AA$4700&gt;=Sens!AA$4700-tk_life),Sens!$R$4734:$AA$4734)/tk_life</f>
        <v>134.926065927559</v>
      </c>
    </row>
    <row r="4738" customFormat="false" ht="17.15" hidden="false" customHeight="false" outlineLevel="0" collapsed="false">
      <c r="A4738" s="0" t="s">
        <v>638</v>
      </c>
      <c r="B4738" s="0" t="s">
        <v>86</v>
      </c>
      <c r="C4738" s="38" t="n">
        <f aca="false">Sens!$S$4738</f>
        <v>0.0202511502553155</v>
      </c>
      <c r="D4738" s="38" t="n">
        <f aca="false">Sens!$T$4738</f>
        <v>0.172291150255315</v>
      </c>
      <c r="E4738" s="38" t="n">
        <f aca="false">Sens!$G$4738/2</f>
        <v>0.428235575127658</v>
      </c>
      <c r="F4738" s="38" t="n">
        <f aca="false">Sens!$G$4738/2</f>
        <v>0.428235575127658</v>
      </c>
      <c r="G4738" s="38" t="n">
        <f aca="false">Sens!$U$4738</f>
        <v>0.856471150255315</v>
      </c>
      <c r="H4738" s="38" t="n">
        <f aca="false">Sens!$V$4738</f>
        <v>2.41307567525532</v>
      </c>
      <c r="I4738" s="38" t="n">
        <f aca="false">Sens!$W$4738</f>
        <v>4.71540472525532</v>
      </c>
      <c r="J4738" s="38" t="n">
        <f aca="false">Sens!$X$4738</f>
        <v>7.01773377525532</v>
      </c>
      <c r="K4738" s="38" t="n">
        <f aca="false">Sens!$Y$4738</f>
        <v>9.32006282525532</v>
      </c>
      <c r="L4738" s="38" t="n">
        <f aca="false">Sens!$Z$4738</f>
        <v>10.9487071753387</v>
      </c>
      <c r="M4738" s="38" t="n">
        <f aca="false">Sens!$AA$4738</f>
        <v>11.9036668255053</v>
      </c>
      <c r="N4738" s="38" t="n">
        <f aca="false">Sens!$D$4738/2</f>
        <v>0.0861455751276577</v>
      </c>
      <c r="O4738" s="38" t="n">
        <f aca="false">Sens!$D$4738/2</f>
        <v>0.0861455751276577</v>
      </c>
      <c r="R4738" s="38" t="n">
        <f aca="false">SUMPRODUCT(--(Sens!$R$4700:$AA$4700&lt;Sens!R$4700),Sens!$R$4735:$AA$4735)/fac_life</f>
        <v>0</v>
      </c>
      <c r="S4738" s="38" t="n">
        <f aca="false">SUMPRODUCT(--(Sens!$R$4700:$AA$4700&lt;Sens!S$4700),Sens!$R$4735:$AA$4735)/fac_life</f>
        <v>0.0202511502553155</v>
      </c>
      <c r="T4738" s="38" t="n">
        <f aca="false">SUMPRODUCT(--(Sens!$R$4700:$AA$4700&lt;Sens!T$4700),Sens!$R$4735:$AA$4735)/fac_life</f>
        <v>0.172291150255315</v>
      </c>
      <c r="U4738" s="38" t="n">
        <f aca="false">SUMPRODUCT(--(Sens!$R$4700:$AA$4700&lt;Sens!U$4700),Sens!$R$4735:$AA$4735)/fac_life</f>
        <v>0.856471150255315</v>
      </c>
      <c r="V4738" s="38" t="n">
        <f aca="false">SUMPRODUCT(--(Sens!$R$4700:$AA$4700&lt;Sens!V$4700),Sens!$R$4735:$AA$4735)/fac_life</f>
        <v>2.41307567525532</v>
      </c>
      <c r="W4738" s="38" t="n">
        <f aca="false">SUMPRODUCT(--(Sens!$R$4700:$AA$4700&lt;Sens!W$4700),Sens!$R$4735:$AA$4735)/fac_life</f>
        <v>4.71540472525532</v>
      </c>
      <c r="X4738" s="38" t="n">
        <f aca="false">SUMPRODUCT(--(Sens!$R$4700:$AA$4700&lt;Sens!X$4700),Sens!$R$4735:$AA$4735)/fac_life</f>
        <v>7.01773377525532</v>
      </c>
      <c r="Y4738" s="38" t="n">
        <f aca="false">SUMPRODUCT(--(Sens!$R$4700:$AA$4700&lt;Sens!Y$4700),Sens!$R$4735:$AA$4735)/fac_life</f>
        <v>9.32006282525532</v>
      </c>
      <c r="Z4738" s="38" t="n">
        <f aca="false">SUMPRODUCT(--(Sens!$R$4700:$AA$4700&lt;Sens!Z$4700),Sens!$R$4735:$AA$4735)/fac_life</f>
        <v>10.9487071753387</v>
      </c>
      <c r="AA4738" s="38" t="n">
        <f aca="false">SUMPRODUCT(--(Sens!$R$4700:$AA$4700&lt;Sens!AA$4700),Sens!$R$4735:$AA$4735)/fac_life</f>
        <v>11.9036668255053</v>
      </c>
    </row>
    <row r="4739" customFormat="false" ht="17.15" hidden="false" customHeight="false" outlineLevel="0" collapsed="false">
      <c r="A4739" s="1" t="s">
        <v>639</v>
      </c>
      <c r="B4739" s="8" t="s">
        <v>86</v>
      </c>
      <c r="C4739" s="38" t="n">
        <f aca="false">Sens!$C$4737+Sens!$C$4738</f>
        <v>0.203463948620839</v>
      </c>
      <c r="D4739" s="38" t="n">
        <f aca="false">Sens!$D$4737+Sens!$D$4738</f>
        <v>1.73101464862084</v>
      </c>
      <c r="E4739" s="38" t="n">
        <f aca="false">Sens!$E$4737+Sens!$E$4738</f>
        <v>4.30249639931042</v>
      </c>
      <c r="F4739" s="38" t="n">
        <f aca="false">Sens!$F$4737+Sens!$F$4738</f>
        <v>4.30249639931042</v>
      </c>
      <c r="G4739" s="38" t="n">
        <f aca="false">Sens!$G$4737+Sens!$G$4738</f>
        <v>8.60499279862084</v>
      </c>
      <c r="H4739" s="38" t="n">
        <f aca="false">Sens!$H$4737+Sens!$H$4738</f>
        <v>26.6640337718708</v>
      </c>
      <c r="I4739" s="38" t="n">
        <f aca="false">Sens!$I$4737+Sens!$I$4738</f>
        <v>54.3871601459959</v>
      </c>
      <c r="J4739" s="38" t="n">
        <f aca="false">Sens!$J$4737+Sens!$J$4738</f>
        <v>83.1228040144125</v>
      </c>
      <c r="K4739" s="38" t="n">
        <f aca="false">Sens!$K$4737+Sens!$K$4738</f>
        <v>112.548029784464</v>
      </c>
      <c r="L4739" s="38" t="n">
        <f aca="false">Sens!$L$4737+Sens!$L$4738</f>
        <v>133.245413146803</v>
      </c>
      <c r="M4739" s="38" t="n">
        <f aca="false">Sens!$M$4737+Sens!$M$4738</f>
        <v>146.829732753064</v>
      </c>
      <c r="N4739" s="38" t="n">
        <f aca="false">Sens!$N$4737+Sens!$N$4738</f>
        <v>0.865507324310419</v>
      </c>
      <c r="O4739" s="38" t="n">
        <f aca="false">Sens!$O$4737+Sens!$O$4738</f>
        <v>0.865507324310419</v>
      </c>
      <c r="R4739" s="38" t="n">
        <f aca="false">Sens!$R$4737+Sens!$R$4738</f>
        <v>0</v>
      </c>
      <c r="S4739" s="38" t="n">
        <f aca="false">Sens!$S$4737+Sens!$S$4738</f>
        <v>0.203463948620839</v>
      </c>
      <c r="T4739" s="38" t="n">
        <f aca="false">Sens!$T$4737+Sens!$T$4738</f>
        <v>1.73101464862084</v>
      </c>
      <c r="U4739" s="38" t="n">
        <f aca="false">Sens!$U$4737+Sens!$U$4738</f>
        <v>8.60499279862084</v>
      </c>
      <c r="V4739" s="38" t="n">
        <f aca="false">Sens!$V$4737+Sens!$V$4738</f>
        <v>26.6640337718708</v>
      </c>
      <c r="W4739" s="38" t="n">
        <f aca="false">Sens!$W$4737+Sens!$W$4738</f>
        <v>54.3871601459959</v>
      </c>
      <c r="X4739" s="38" t="n">
        <f aca="false">Sens!$X$4737+Sens!$X$4738</f>
        <v>83.1228040144125</v>
      </c>
      <c r="Y4739" s="38" t="n">
        <f aca="false">Sens!$Y$4737+Sens!$Y$4738</f>
        <v>112.548029784464</v>
      </c>
      <c r="Z4739" s="38" t="n">
        <f aca="false">Sens!$Z$4737+Sens!$Z$4738</f>
        <v>133.245413146803</v>
      </c>
      <c r="AA4739" s="38" t="n">
        <f aca="false">Sens!$AA$4737+Sens!$AA$4738</f>
        <v>146.829732753064</v>
      </c>
    </row>
    <row r="4740" customFormat="false" ht="17.15" hidden="false" customHeight="false" outlineLevel="0" collapsed="false">
      <c r="A4740" s="0" t="s">
        <v>640</v>
      </c>
      <c r="B4740" s="0" t="s">
        <v>86</v>
      </c>
      <c r="C4740" s="38" t="n">
        <f aca="false">Sens!$S$4740</f>
        <v>12.5947000466786</v>
      </c>
      <c r="D4740" s="38" t="n">
        <f aca="false">Sens!$T$4740</f>
        <v>61.6860742980578</v>
      </c>
      <c r="G4740" s="38" t="n">
        <f aca="false">Sens!$U$4740</f>
        <v>183.227790688937</v>
      </c>
      <c r="H4740" s="38" t="n">
        <f aca="false">Sens!$V$4740</f>
        <v>355.135121861816</v>
      </c>
      <c r="I4740" s="38" t="n">
        <f aca="false">Sens!$W$4740</f>
        <v>505.39443162632</v>
      </c>
      <c r="J4740" s="38" t="n">
        <f aca="false">Sens!$X$4740</f>
        <v>632.154865722408</v>
      </c>
      <c r="K4740" s="38" t="n">
        <f aca="false">Sens!$Y$4740</f>
        <v>674.845221213145</v>
      </c>
      <c r="L4740" s="38" t="n">
        <f aca="false">Sens!$Z$4740</f>
        <v>673.613949706244</v>
      </c>
      <c r="M4740" s="38" t="n">
        <f aca="false">Sens!$AA$4740</f>
        <v>659.015198613032</v>
      </c>
      <c r="R4740" s="38" t="n">
        <f aca="false">SUM(Sens!$R$4732:$R$4732)-SUM(Sens!$R$4739:$R$4739)</f>
        <v>1.50429979529945</v>
      </c>
      <c r="S4740" s="38" t="n">
        <f aca="false">SUM(Sens!$R$4732:$S$4732)-SUM(Sens!$R$4739:$S$4739)</f>
        <v>12.5947000466786</v>
      </c>
      <c r="T4740" s="38" t="n">
        <f aca="false">SUM(Sens!$R$4732:$T$4732)-SUM(Sens!$R$4739:$T$4739)</f>
        <v>61.6860742980578</v>
      </c>
      <c r="U4740" s="38" t="n">
        <f aca="false">SUM(Sens!$R$4732:$U$4732)-SUM(Sens!$R$4739:$U$4739)</f>
        <v>183.227790688937</v>
      </c>
      <c r="V4740" s="38" t="n">
        <f aca="false">SUM(Sens!$R$4732:$V$4732)-SUM(Sens!$R$4739:$V$4739)</f>
        <v>355.135121861816</v>
      </c>
      <c r="W4740" s="38" t="n">
        <f aca="false">SUM(Sens!$R$4732:$W$4732)-SUM(Sens!$R$4739:$W$4739)</f>
        <v>505.39443162632</v>
      </c>
      <c r="X4740" s="38" t="n">
        <f aca="false">SUM(Sens!$R$4732:$X$4732)-SUM(Sens!$R$4739:$X$4739)</f>
        <v>632.154865722408</v>
      </c>
      <c r="Y4740" s="38" t="n">
        <f aca="false">SUM(Sens!$R$4732:$Y$4732)-SUM(Sens!$R$4739:$Y$4739)</f>
        <v>674.845221213145</v>
      </c>
      <c r="Z4740" s="38" t="n">
        <f aca="false">SUM(Sens!$R$4732:$Z$4732)-SUM(Sens!$R$4739:$Z$4739)</f>
        <v>673.613949706244</v>
      </c>
      <c r="AA4740" s="38" t="n">
        <f aca="false">SUM(Sens!$R$4732:$AA$4732)-SUM(Sens!$R$4739:$AA$4739)</f>
        <v>659.015198613032</v>
      </c>
    </row>
    <row r="4741" customFormat="false" ht="17.15" hidden="false" customHeight="false" outlineLevel="0" collapsed="false">
      <c r="A4741" s="1" t="s">
        <v>641</v>
      </c>
    </row>
    <row r="4742" customFormat="false" ht="17.15" hidden="false" customHeight="false" outlineLevel="0" collapsed="false">
      <c r="A4742" s="0" t="s">
        <v>642</v>
      </c>
      <c r="B4742" s="0" t="s">
        <v>86</v>
      </c>
      <c r="C4742" s="38" t="n">
        <f aca="false">Sens!$C$4721-ext_sh*Sens!$C$4723</f>
        <v>1.80694998843362</v>
      </c>
      <c r="D4742" s="38" t="n">
        <f aca="false">Sens!$D$4721-ext_sh*Sens!$D$4723</f>
        <v>6.77606245662607</v>
      </c>
      <c r="E4742" s="38" t="n">
        <f aca="false">Sens!$E$4721-ext_sh*Sens!$E$4723</f>
        <v>6.62548329092326</v>
      </c>
      <c r="F4742" s="38" t="n">
        <f aca="false">Sens!$F$4721-ext_sh*Sens!$F$4723</f>
        <v>11.7200577158706</v>
      </c>
      <c r="G4742" s="38" t="n">
        <f aca="false">Sens!$G$4721-ext_sh*Sens!$G$4723</f>
        <v>18.3455410067939</v>
      </c>
      <c r="H4742" s="38" t="n">
        <f aca="false">Sens!$H$4721-ext_sh*Sens!$H$4723</f>
        <v>47.5171727060453</v>
      </c>
      <c r="I4742" s="38" t="n">
        <f aca="false">Sens!$I$4721-ext_sh*Sens!$I$4723</f>
        <v>80.5539692643667</v>
      </c>
      <c r="J4742" s="38" t="n">
        <f aca="false">Sens!$J$4721-ext_sh*Sens!$J$4723</f>
        <v>113.759316834883</v>
      </c>
      <c r="K4742" s="38" t="n">
        <f aca="false">Sens!$K$4721-ext_sh*Sens!$K$4723</f>
        <v>142.084411492169</v>
      </c>
      <c r="L4742" s="38" t="n">
        <f aca="false">Sens!$L$4721-ext_sh*Sens!$L$4723</f>
        <v>160.69964615804</v>
      </c>
      <c r="M4742" s="38" t="n">
        <f aca="false">Sens!$M$4721-ext_sh*Sens!$M$4723</f>
        <v>169.577607141793</v>
      </c>
      <c r="N4742" s="38" t="n">
        <f aca="false">Sens!$N$4721-ext_sh*Sens!$N$4723</f>
        <v>2.37162185981912</v>
      </c>
      <c r="O4742" s="38" t="n">
        <f aca="false">Sens!$O$4721-ext_sh*Sens!$O$4723</f>
        <v>4.40444059680694</v>
      </c>
    </row>
    <row r="4743" customFormat="false" ht="17.15" hidden="false" customHeight="false" outlineLevel="0" collapsed="false">
      <c r="A4743" s="1" t="s">
        <v>643</v>
      </c>
      <c r="B4743" s="8" t="s">
        <v>86</v>
      </c>
      <c r="C4743" s="38" t="n">
        <f aca="false">Sens!$C$4742-ext_sh*Sens!$C$4739</f>
        <v>1.64417882953695</v>
      </c>
      <c r="D4743" s="38" t="n">
        <f aca="false">Sens!$D$4742-ext_sh*Sens!$D$4739</f>
        <v>5.39125073772939</v>
      </c>
      <c r="E4743" s="38" t="n">
        <f aca="false">Sens!$E$4742-ext_sh*Sens!$E$4739</f>
        <v>3.18348617147493</v>
      </c>
      <c r="F4743" s="38" t="n">
        <f aca="false">Sens!$F$4742-ext_sh*Sens!$F$4739</f>
        <v>8.27806059642226</v>
      </c>
      <c r="G4743" s="38" t="n">
        <f aca="false">Sens!$G$4742-ext_sh*Sens!$G$4739</f>
        <v>11.4615467678972</v>
      </c>
      <c r="H4743" s="38" t="n">
        <f aca="false">Sens!$H$4742-ext_sh*Sens!$H$4739</f>
        <v>26.1859456885487</v>
      </c>
      <c r="I4743" s="38" t="n">
        <f aca="false">Sens!$I$4742-ext_sh*Sens!$I$4739</f>
        <v>37.04424114757</v>
      </c>
      <c r="J4743" s="38" t="n">
        <f aca="false">Sens!$J$4742-ext_sh*Sens!$J$4739</f>
        <v>47.2610736233534</v>
      </c>
      <c r="K4743" s="38" t="n">
        <f aca="false">Sens!$K$4742-ext_sh*Sens!$K$4739</f>
        <v>52.0459876645985</v>
      </c>
      <c r="L4743" s="38" t="n">
        <f aca="false">Sens!$L$4742-ext_sh*Sens!$L$4739</f>
        <v>54.1033156405981</v>
      </c>
      <c r="M4743" s="38" t="n">
        <f aca="false">Sens!$M$4742-ext_sh*Sens!$M$4739</f>
        <v>52.1138209393421</v>
      </c>
      <c r="N4743" s="38" t="n">
        <f aca="false">Sens!$N$4742-ext_sh*Sens!$N$4739</f>
        <v>1.67921600037079</v>
      </c>
      <c r="O4743" s="38" t="n">
        <f aca="false">Sens!$O$4742-ext_sh*Sens!$O$4739</f>
        <v>3.71203473735861</v>
      </c>
    </row>
    <row r="4744" customFormat="false" ht="17.15" hidden="false" customHeight="false" outlineLevel="0" collapsed="false">
      <c r="A4744" s="0" t="s">
        <v>644</v>
      </c>
      <c r="B4744" s="0" t="s">
        <v>52</v>
      </c>
      <c r="C4744" s="13" t="n">
        <f aca="false">Sens!$C$4743/Sens!$C$4721</f>
        <v>0.708390794789371</v>
      </c>
      <c r="D4744" s="13" t="n">
        <f aca="false">Sens!$D$4743/Sens!$D$4721</f>
        <v>0.619415573115729</v>
      </c>
      <c r="E4744" s="13" t="n">
        <f aca="false">Sens!$E$4743/Sens!$E$4721</f>
        <v>0.374072166056273</v>
      </c>
      <c r="F4744" s="13" t="n">
        <f aca="false">Sens!$F$4743/Sens!$F$4721</f>
        <v>0.553219320710057</v>
      </c>
      <c r="G4744" s="13" t="n">
        <f aca="false">Sens!$G$4743/Sens!$G$4721</f>
        <v>0.488270041527512</v>
      </c>
      <c r="H4744" s="13" t="n">
        <f aca="false">Sens!$H$4743/Sens!$H$4721</f>
        <v>0.435229086816882</v>
      </c>
      <c r="I4744" s="13" t="n">
        <f aca="false">Sens!$I$4743/Sens!$I$4721</f>
        <v>0.364954592421095</v>
      </c>
      <c r="J4744" s="13" t="n">
        <f aca="false">Sens!$J$4743/Sens!$J$4721</f>
        <v>0.330438308582232</v>
      </c>
      <c r="K4744" s="13" t="n">
        <f aca="false">Sens!$K$4743/Sens!$K$4721</f>
        <v>0.2916589289528</v>
      </c>
      <c r="L4744" s="13" t="n">
        <f aca="false">Sens!$L$4743/Sens!$L$4721</f>
        <v>0.268199200593258</v>
      </c>
      <c r="M4744" s="13" t="n">
        <f aca="false">Sens!$M$4743/Sens!$M$4721</f>
        <v>0.244854995033574</v>
      </c>
      <c r="N4744" s="13" t="n">
        <f aca="false">Sens!$N$4743/Sens!$N$4721</f>
        <v>0.551227795793364</v>
      </c>
      <c r="O4744" s="13" t="n">
        <f aca="false">Sens!$O$4743/Sens!$O$4721</f>
        <v>0.656132068597002</v>
      </c>
    </row>
    <row r="4745" customFormat="false" ht="17.15" hidden="false" customHeight="false" outlineLevel="0" collapsed="false">
      <c r="A4745" s="5" t="s">
        <v>645</v>
      </c>
      <c r="B4745" s="0" t="s">
        <v>86</v>
      </c>
      <c r="C4745" s="39" t="n">
        <v>0</v>
      </c>
      <c r="D4745" s="39" t="n">
        <v>0</v>
      </c>
      <c r="E4745" s="39" t="n">
        <v>0</v>
      </c>
      <c r="F4745" s="38" t="n">
        <f aca="false">IF(internal_ai_reading=2,1,0)*(1-ext_sh)/ext_sh*(mw_open*he_open+Sens!$F$4719*Sens!$F$4716)*Sens!$F$4705/1000</f>
        <v>3.77122048175818</v>
      </c>
      <c r="G4745" s="38" t="n">
        <f aca="false">Sens!$E$4745+Sens!$F$4745</f>
        <v>3.77122048175818</v>
      </c>
      <c r="H4745" s="38" t="n">
        <f aca="false">IF(internal_ai_reading=2,1,0)*(1-ext_sh)/ext_sh*(mw_open*he_open+Sens!$H$4719*Sens!$H$4716)*Sens!$H$4705/1000</f>
        <v>15.1635543609893</v>
      </c>
      <c r="I4745" s="38" t="n">
        <f aca="false">IF(internal_ai_reading=2,1,0)*(1-ext_sh)/ext_sh*(mw_open*he_open+Sens!$I$4719*Sens!$I$4716)*Sens!$I$4705/1000</f>
        <v>25.5818843619889</v>
      </c>
      <c r="J4745" s="38" t="n">
        <f aca="false">IF(internal_ai_reading=2,1,0)*(1-ext_sh)/ext_sh*(mw_open*he_open+Sens!$J$4719*Sens!$J$4716)*Sens!$J$4705/1000</f>
        <v>36.0465624179122</v>
      </c>
      <c r="K4745" s="38" t="n">
        <f aca="false">IF(internal_ai_reading=2,1,0)*(1-ext_sh)/ext_sh*(mw_open*he_open+Sens!$K$4719*Sens!$K$4716)*Sens!$K$4705/1000</f>
        <v>44.9741164026038</v>
      </c>
      <c r="L4745" s="38" t="n">
        <f aca="false">IF(internal_ai_reading=2,1,0)*(1-ext_sh)/ext_sh*(mw_open*he_open+Sens!$L$4719*Sens!$L$4716)*Sens!$L$4705/1000</f>
        <v>50.8413488057813</v>
      </c>
      <c r="M4745" s="38" t="n">
        <f aca="false">IF(internal_ai_reading=2,1,0)*(1-ext_sh)/ext_sh*(mw_open*he_open+Sens!$M$4719*Sens!$M$4716)*Sens!$M$4705/1000</f>
        <v>53.6407214274315</v>
      </c>
      <c r="N4745" s="39" t="n">
        <v>0</v>
      </c>
      <c r="O4745" s="39" t="n">
        <v>0</v>
      </c>
      <c r="P4745" s="8" t="s">
        <v>646</v>
      </c>
    </row>
    <row r="4746" customFormat="false" ht="17.15" hidden="false" customHeight="false" outlineLevel="0" collapsed="false">
      <c r="A4746" s="5" t="s">
        <v>647</v>
      </c>
      <c r="B4746" s="0" t="s">
        <v>86</v>
      </c>
      <c r="C4746" s="38" t="n">
        <f aca="false">(1-ext_sh)*(Sens!$C$4723+Sens!$C$4739)</f>
        <v>0.169206631859174</v>
      </c>
      <c r="D4746" s="38" t="n">
        <f aca="false">(1-ext_sh)*(Sens!$D$4723+Sens!$D$4739)</f>
        <v>0.828129837730442</v>
      </c>
      <c r="E4746" s="38" t="n">
        <f aca="false">(1-ext_sh)*(Sens!$E$4723+Sens!$E$4739)</f>
        <v>1.33171670102377</v>
      </c>
      <c r="F4746" s="38" t="n">
        <f aca="false">(1-ext_sh)*(Sens!$F$4723+Sens!$F$4739)</f>
        <v>1.67134326207455</v>
      </c>
      <c r="G4746" s="38" t="n">
        <f aca="false">(1-ext_sh)*(Sens!$G$4723+Sens!$G$4739)</f>
        <v>3.00305996309832</v>
      </c>
      <c r="H4746" s="38" t="n">
        <f aca="false">(1-ext_sh)*(Sens!$H$4723+Sens!$H$4739)</f>
        <v>8.49498626530648</v>
      </c>
      <c r="I4746" s="38" t="n">
        <f aca="false">(1-ext_sh)*(Sens!$I$4723+Sens!$I$4739)</f>
        <v>16.1148644972155</v>
      </c>
      <c r="J4746" s="38" t="n">
        <f aca="false">(1-ext_sh)*(Sens!$J$4723+Sens!$J$4739)</f>
        <v>23.9410833819812</v>
      </c>
      <c r="K4746" s="38" t="n">
        <f aca="false">(1-ext_sh)*(Sens!$K$4723+Sens!$K$4739)</f>
        <v>31.6005331796453</v>
      </c>
      <c r="L4746" s="38" t="n">
        <f aca="false">(1-ext_sh)*(Sens!$L$4723+Sens!$L$4739)</f>
        <v>36.9061965404496</v>
      </c>
      <c r="M4746" s="38" t="n">
        <f aca="false">(1-ext_sh)*(Sens!$M$4723+Sens!$M$4739)</f>
        <v>40.1804051073808</v>
      </c>
      <c r="N4746" s="38" t="n">
        <f aca="false">(1-ext_sh)*(Sens!$N$4723+Sens!$N$4739)</f>
        <v>0.34177588266428</v>
      </c>
      <c r="O4746" s="38" t="n">
        <f aca="false">(1-ext_sh)*(Sens!$O$4723+Sens!$O$4739)</f>
        <v>0.486353955066162</v>
      </c>
    </row>
    <row r="4747" customFormat="false" ht="17.15" hidden="false" customHeight="false" outlineLevel="0" collapsed="false">
      <c r="A4747" s="0" t="s">
        <v>648</v>
      </c>
      <c r="B4747" s="0" t="s">
        <v>86</v>
      </c>
      <c r="C4747" s="38" t="n">
        <f aca="false">Q!$D$24</f>
        <v>39.834</v>
      </c>
      <c r="D4747" s="38" t="n">
        <f aca="false">Q!$E$24</f>
        <v>45.606</v>
      </c>
      <c r="E4747" s="38" t="n">
        <f aca="false">Q!$P$24</f>
        <v>30.782</v>
      </c>
      <c r="N4747" s="38" t="n">
        <f aca="false">Q!$N$24</f>
        <v>21.707</v>
      </c>
      <c r="O4747" s="38" t="n">
        <f aca="false">Q!$O$24</f>
        <v>23.899</v>
      </c>
    </row>
    <row r="4748" customFormat="false" ht="17.15" hidden="false" customHeight="false" outlineLevel="0" collapsed="false">
      <c r="A4748" s="0" t="s">
        <v>649</v>
      </c>
      <c r="B4748" s="0" t="s">
        <v>86</v>
      </c>
      <c r="C4748" s="38" t="n">
        <f aca="false">Sens!$C$4747-Sens!$C$4743</f>
        <v>38.1898211704631</v>
      </c>
      <c r="D4748" s="38" t="n">
        <f aca="false">Sens!$D$4747-Sens!$D$4743</f>
        <v>40.2147492622706</v>
      </c>
      <c r="E4748" s="38" t="n">
        <f aca="false">Sens!$E$4747-Sens!$E$4743</f>
        <v>27.5985138285251</v>
      </c>
      <c r="F4748" s="38" t="n">
        <f aca="false">Sens!$F$4725*Sens!$F$4749</f>
        <v>25.5484769754606</v>
      </c>
      <c r="G4748" s="38" t="n">
        <f aca="false">Sens!$E$4748+Sens!$F$4748</f>
        <v>53.1469908039857</v>
      </c>
      <c r="H4748" s="38" t="n">
        <f aca="false">Sens!$H$4725*Sens!$H$4749</f>
        <v>57.3189525076539</v>
      </c>
      <c r="I4748" s="38" t="n">
        <f aca="false">Sens!$I$4725*Sens!$I$4749</f>
        <v>63.6385627021087</v>
      </c>
      <c r="J4748" s="38" t="n">
        <f aca="false">Sens!$J$4725*Sens!$J$4749</f>
        <v>69.6922896066105</v>
      </c>
      <c r="K4748" s="38" t="n">
        <f aca="false">Sens!$K$4725*Sens!$K$4749</f>
        <v>75.2676727751394</v>
      </c>
      <c r="L4748" s="38" t="n">
        <f aca="false">Sens!$L$4725*Sens!$L$4749</f>
        <v>81.2890865971505</v>
      </c>
      <c r="M4748" s="38" t="n">
        <f aca="false">Sens!$M$4725*Sens!$M$4749</f>
        <v>87.7922135249226</v>
      </c>
      <c r="N4748" s="38" t="n">
        <f aca="false">Sens!$N$4747-Sens!$N$4743</f>
        <v>20.0277839996292</v>
      </c>
      <c r="O4748" s="38" t="n">
        <f aca="false">Sens!$O$4747-Sens!$O$4743</f>
        <v>20.1869652626414</v>
      </c>
      <c r="P4748" s="5" t="s">
        <v>650</v>
      </c>
    </row>
    <row r="4749" customFormat="false" ht="17.15" hidden="false" customHeight="false" outlineLevel="0" collapsed="false">
      <c r="A4749" s="0" t="s">
        <v>651</v>
      </c>
      <c r="B4749" s="0" t="s">
        <v>52</v>
      </c>
      <c r="C4749" s="13" t="n">
        <f aca="false">Sens!$C$4748/Sens!$C$4725</f>
        <v>0.362900395443635</v>
      </c>
      <c r="D4749" s="13" t="n">
        <f aca="false">Sens!$D$4748/Sens!$D$4725</f>
        <v>0.335063632425483</v>
      </c>
      <c r="E4749" s="13" t="n">
        <f aca="false">Sens!$E$4748/Sens!$E$4725</f>
        <v>0.387028992698038</v>
      </c>
      <c r="F4749" s="13" t="n">
        <f aca="false">(Sens!$O$4748+Sens!$E$4748)/(Sens!$O$4725+Sens!$E$4725)</f>
        <v>0.355980580118587</v>
      </c>
      <c r="G4749" s="13" t="n">
        <f aca="false">Sens!$G$4748/Sens!$G$4725</f>
        <v>0.371454804780916</v>
      </c>
      <c r="H4749" s="13" t="n">
        <f aca="false">Sens!$F$4749</f>
        <v>0.355980580118587</v>
      </c>
      <c r="I4749" s="13" t="n">
        <f aca="false">Sens!$F$4749</f>
        <v>0.355980580118587</v>
      </c>
      <c r="J4749" s="13" t="n">
        <f aca="false">Sens!$F$4749</f>
        <v>0.355980580118587</v>
      </c>
      <c r="K4749" s="13" t="n">
        <f aca="false">Sens!$F$4749</f>
        <v>0.355980580118587</v>
      </c>
      <c r="L4749" s="13" t="n">
        <f aca="false">Sens!$F$4749</f>
        <v>0.355980580118587</v>
      </c>
      <c r="M4749" s="13" t="n">
        <f aca="false">Sens!$F$4749</f>
        <v>0.355980580118587</v>
      </c>
      <c r="N4749" s="13" t="n">
        <f aca="false">Sens!$N$4748/Sens!$N$4725</f>
        <v>0.35078810535806</v>
      </c>
      <c r="O4749" s="13" t="n">
        <f aca="false">Sens!$O$4748/Sens!$O$4725</f>
        <v>0.320796939361619</v>
      </c>
      <c r="P4749" s="8" t="s">
        <v>652</v>
      </c>
    </row>
    <row r="4750" customFormat="false" ht="17.15" hidden="false" customHeight="false" outlineLevel="0" collapsed="false">
      <c r="A4750" s="0" t="s">
        <v>653</v>
      </c>
      <c r="B4750" s="0" t="s">
        <v>52</v>
      </c>
      <c r="D4750" s="13" t="n">
        <f aca="false">(Q!$E$31-ext_sh*Sens!$D$4739)/Sens!$D$4725</f>
        <v>0.167180325480118</v>
      </c>
    </row>
    <row r="4751" customFormat="false" ht="17.15" hidden="false" customHeight="false" outlineLevel="0" collapsed="false">
      <c r="A4751" s="0" t="s">
        <v>654</v>
      </c>
      <c r="B4751" s="0" t="s">
        <v>86</v>
      </c>
      <c r="C4751" s="38" t="n">
        <f aca="false">Q!$D$31</f>
        <v>13.32</v>
      </c>
      <c r="D4751" s="38" t="n">
        <f aca="false">Q!$E$31</f>
        <v>21.45</v>
      </c>
      <c r="E4751" s="38" t="n">
        <f aca="false">Q!$P$31</f>
        <v>15.353</v>
      </c>
      <c r="F4751" s="38" t="n">
        <f aca="false">ext_sh*Sens!$F$4739+Sens!$D$4750*Sens!$F$4725</f>
        <v>15.4404120185306</v>
      </c>
      <c r="G4751" s="38" t="n">
        <f aca="false">Sens!$E$4751+Sens!$F$4751</f>
        <v>30.7934120185306</v>
      </c>
      <c r="H4751" s="38" t="n">
        <f aca="false">ext_sh*Sens!$H$4739+Sens!$D$4750*Sens!$H$4725</f>
        <v>48.250114371455</v>
      </c>
      <c r="I4751" s="38" t="n">
        <f aca="false">ext_sh*Sens!$I$4739+Sens!$D$4750*Sens!$I$4725</f>
        <v>73.3965146995963</v>
      </c>
      <c r="J4751" s="38" t="n">
        <f aca="false">ext_sh*Sens!$J$4739+Sens!$D$4750*Sens!$J$4725</f>
        <v>99.22806138309</v>
      </c>
      <c r="K4751" s="38" t="n">
        <f aca="false">ext_sh*Sens!$K$4739+Sens!$D$4750*Sens!$K$4725</f>
        <v>125.386627452856</v>
      </c>
      <c r="L4751" s="38" t="n">
        <f aca="false">ext_sh*Sens!$L$4739+Sens!$D$4750*Sens!$L$4725</f>
        <v>144.77239043275</v>
      </c>
      <c r="M4751" s="38" t="n">
        <f aca="false">ext_sh*Sens!$M$4739+Sens!$D$4750*Sens!$M$4725</f>
        <v>158.693930910983</v>
      </c>
      <c r="N4751" s="38" t="n">
        <f aca="false">Q!$N$31</f>
        <v>9.234</v>
      </c>
      <c r="O4751" s="38" t="n">
        <f aca="false">Q!$O$31</f>
        <v>12.216</v>
      </c>
    </row>
    <row r="4752" customFormat="false" ht="17.15" hidden="false" customHeight="false" outlineLevel="0" collapsed="false">
      <c r="A4752" s="1" t="s">
        <v>655</v>
      </c>
    </row>
    <row r="4753" customFormat="false" ht="17.15" hidden="false" customHeight="false" outlineLevel="0" collapsed="false">
      <c r="A4753" s="15" t="s">
        <v>656</v>
      </c>
      <c r="B4753" s="14" t="s">
        <v>52</v>
      </c>
      <c r="C4753" s="14"/>
      <c r="D4753" s="14"/>
      <c r="E4753" s="14"/>
      <c r="F4753" s="14"/>
      <c r="G4753" s="17" t="n">
        <f aca="false">Sens!$G$4743*(1-tax)/(ext_sh*(Sens!$D$4740+Sens!$G$4740)/2)</f>
        <v>0.0966870495301478</v>
      </c>
      <c r="H4753" s="17" t="n">
        <f aca="false">Sens!$H$4743*(1-tax)/(ext_sh*(Sens!$G$4740+Sens!$H$4740)/2)</f>
        <v>0.100492020334136</v>
      </c>
      <c r="I4753" s="17" t="n">
        <f aca="false">Sens!$I$4743*(1-tax)/(ext_sh*(Sens!$H$4740+Sens!$I$4740)/2)</f>
        <v>0.0889392292218236</v>
      </c>
      <c r="J4753" s="17" t="n">
        <f aca="false">Sens!$J$4743*(1-tax)/(ext_sh*(Sens!$I$4740+Sens!$J$4740)/2)</f>
        <v>0.0858364613777012</v>
      </c>
      <c r="K4753" s="17" t="n">
        <f aca="false">Sens!$K$4743*(1-tax)/(ext_sh*(Sens!$J$4740+Sens!$K$4740)/2)</f>
        <v>0.08227162714687</v>
      </c>
      <c r="L4753" s="17" t="n">
        <f aca="false">Sens!$L$4743*(1-tax)/(ext_sh*(Sens!$K$4740+Sens!$L$4740)/2)</f>
        <v>0.0828942732763872</v>
      </c>
      <c r="M4753" s="17" t="n">
        <f aca="false">Sens!$M$4743*(1-tax)/(ext_sh*(Sens!$L$4740+Sens!$M$4740)/2)</f>
        <v>0.0807945482347635</v>
      </c>
      <c r="N4753" s="14"/>
      <c r="O4753" s="14"/>
      <c r="P4753" s="8" t="s">
        <v>657</v>
      </c>
    </row>
    <row r="4754" customFormat="false" ht="17.15" hidden="false" customHeight="false" outlineLevel="0" collapsed="false">
      <c r="A4754" s="5" t="s">
        <v>658</v>
      </c>
      <c r="B4754" s="0" t="s">
        <v>57</v>
      </c>
      <c r="H4754" s="36" t="n">
        <f aca="false">Sens!$H$4721*1000/(mw_open*he_open+Sens!$H$4719*Sens!$H$4716)</f>
        <v>0.991949006767191</v>
      </c>
      <c r="I4754" s="36" t="n">
        <f aca="false">Sens!$I$4721*1000/(mw_open*he_open+Sens!$I$4719*Sens!$I$4716)</f>
        <v>0.991949006767191</v>
      </c>
      <c r="J4754" s="36" t="n">
        <f aca="false">Sens!$J$4721*1000/(mw_open*he_open+Sens!$J$4719*Sens!$J$4716)</f>
        <v>0.991949006767191</v>
      </c>
      <c r="K4754" s="36" t="n">
        <f aca="false">Sens!$K$4721*1000/(mw_open*he_open+Sens!$K$4719*Sens!$K$4716)</f>
        <v>0.991949006767191</v>
      </c>
      <c r="L4754" s="36" t="n">
        <f aca="false">Sens!$L$4721*1000/(mw_open*he_open+Sens!$L$4719*Sens!$L$4716)</f>
        <v>0.991949006767191</v>
      </c>
      <c r="M4754" s="36" t="n">
        <f aca="false">Sens!$M$4721*1000/(mw_open*he_open+Sens!$M$4719*Sens!$M$4716)</f>
        <v>0.991949006767191</v>
      </c>
    </row>
    <row r="4755" customFormat="false" ht="17.15" hidden="false" customHeight="false" outlineLevel="0" collapsed="false">
      <c r="A4755" s="5" t="s">
        <v>659</v>
      </c>
      <c r="B4755" s="0" t="s">
        <v>57</v>
      </c>
      <c r="H4755" s="36" t="n">
        <f aca="false">Sens!$H$4754*(Sens!$H$4721+wacc*ext_sh*(Sens!$G$4740+Sens!$H$4740)/2/(1-tax)-Sens!$H$4743)/Sens!$H$4721</f>
        <v>1.04696246089529</v>
      </c>
      <c r="I4755" s="36" t="n">
        <f aca="false">Sens!$I$4754*(Sens!$I$4721+wacc*ext_sh*(Sens!$H$4740+Sens!$I$4740)/2/(1-tax)-Sens!$I$4743)/Sens!$I$4721</f>
        <v>1.09109607940198</v>
      </c>
      <c r="J4755" s="36" t="n">
        <f aca="false">Sens!$J$4754*(Sens!$J$4721+wacc*ext_sh*(Sens!$I$4740+Sens!$J$4740)/2/(1-tax)-Sens!$J$4743)/Sens!$J$4721</f>
        <v>1.09681234280071</v>
      </c>
      <c r="K4755" s="36" t="n">
        <f aca="false">Sens!$K$4754*(Sens!$K$4721+wacc*ext_sh*(Sens!$J$4740+Sens!$K$4740)/2/(1-tax)-Sens!$K$4743)/Sens!$K$4721</f>
        <v>1.10105220068984</v>
      </c>
      <c r="L4755" s="36" t="n">
        <f aca="false">Sens!$L$4754*(Sens!$L$4721+wacc*ext_sh*(Sens!$K$4740+Sens!$L$4740)/2/(1-tax)-Sens!$L$4743)/Sens!$L$4721</f>
        <v>1.08952452639895</v>
      </c>
      <c r="M4755" s="36" t="n">
        <f aca="false">Sens!$M$4754*(Sens!$M$4721+wacc*ext_sh*(Sens!$L$4740+Sens!$M$4740)/2/(1-tax)-Sens!$M$4743)/Sens!$M$4721</f>
        <v>1.08965878549519</v>
      </c>
    </row>
    <row r="4756" customFormat="false" ht="17.15" hidden="false" customHeight="false" outlineLevel="0" collapsed="false">
      <c r="A4756" s="5" t="s">
        <v>660</v>
      </c>
      <c r="B4756" s="0" t="s">
        <v>52</v>
      </c>
      <c r="C4756" s="13" t="n">
        <f aca="false">Sens!$C$4722/tk_pq</f>
        <v>0.195316432429398</v>
      </c>
      <c r="D4756" s="13" t="n">
        <f aca="false">Sens!$D$4722/tk_pq</f>
        <v>0.195316432429398</v>
      </c>
      <c r="E4756" s="13" t="n">
        <f aca="false">Sens!$E$4722/tk_pq</f>
        <v>0.195316432429398</v>
      </c>
      <c r="F4756" s="13" t="n">
        <f aca="false">Sens!$F$4722/tk_pq</f>
        <v>0.202241827274866</v>
      </c>
      <c r="G4756" s="13" t="n">
        <f aca="false">Sens!$G$4722/tk_pq</f>
        <v>0.199675016194063</v>
      </c>
      <c r="H4756" s="13" t="n">
        <f aca="false">Sens!$H$4722/tk_pq</f>
        <v>0.212647947710325</v>
      </c>
      <c r="I4756" s="13" t="n">
        <f aca="false">Sens!$I$4722/tk_pq</f>
        <v>0.219285125475351</v>
      </c>
      <c r="J4756" s="13" t="n">
        <f aca="false">Sens!$J$4722/tk_pq</f>
        <v>0.222492493217189</v>
      </c>
      <c r="K4756" s="13" t="n">
        <f aca="false">Sens!$K$4722/tk_pq</f>
        <v>0.224053502812094</v>
      </c>
      <c r="L4756" s="13" t="n">
        <f aca="false">Sens!$L$4722/tk_pq</f>
        <v>0.224786916785614</v>
      </c>
      <c r="M4756" s="13" t="n">
        <f aca="false">Sens!$M$4722/tk_pq</f>
        <v>0.225048671566937</v>
      </c>
      <c r="N4756" s="13" t="n">
        <f aca="false">Sens!$N$4722/tk_pq</f>
        <v>0.195316432429398</v>
      </c>
      <c r="O4756" s="13" t="n">
        <f aca="false">Sens!$O$4722/tk_pq</f>
        <v>0.195316432429398</v>
      </c>
      <c r="P4756" s="5" t="s">
        <v>661</v>
      </c>
    </row>
    <row r="4759" customFormat="false" ht="17.15" hidden="false" customHeight="false" outlineLevel="0" collapsed="false">
      <c r="A4759" s="1" t="s">
        <v>690</v>
      </c>
    </row>
    <row r="4760" customFormat="false" ht="17.15" hidden="false" customHeight="false" outlineLevel="0" collapsed="false">
      <c r="A4760" s="0" t="s">
        <v>691</v>
      </c>
      <c r="B4760" s="0" t="s">
        <v>86</v>
      </c>
      <c r="C4760" s="38" t="n">
        <f aca="false">Sens!$C$4721</f>
        <v>2.32100535697364</v>
      </c>
      <c r="D4760" s="38" t="n">
        <f aca="false">Sens!$D$4721</f>
        <v>8.70377008865116</v>
      </c>
      <c r="E4760" s="38" t="n">
        <f aca="false">Sens!$E$4721</f>
        <v>8.51035297557002</v>
      </c>
      <c r="F4760" s="38" t="n">
        <f aca="false">Sens!$F$4721</f>
        <v>14.9634336447205</v>
      </c>
      <c r="G4760" s="38" t="n">
        <f aca="false">Sens!$G$4721</f>
        <v>23.4737866202905</v>
      </c>
      <c r="H4760" s="38" t="n">
        <f aca="false">Sens!$H$4721</f>
        <v>60.1658907497746</v>
      </c>
      <c r="I4760" s="38" t="n">
        <f aca="false">Sens!$I$4721</f>
        <v>101.503699136432</v>
      </c>
      <c r="J4760" s="38" t="n">
        <f aca="false">Sens!$J$4721</f>
        <v>143.025407151278</v>
      </c>
      <c r="K4760" s="38" t="n">
        <f aca="false">Sens!$K$4721</f>
        <v>178.44812038318</v>
      </c>
      <c r="L4760" s="38" t="n">
        <f aca="false">Sens!$L$4721</f>
        <v>201.728101802396</v>
      </c>
      <c r="M4760" s="38" t="n">
        <f aca="false">Sens!$M$4721</f>
        <v>212.835441368865</v>
      </c>
      <c r="N4760" s="38" t="n">
        <f aca="false">Sens!$N$4721</f>
        <v>3.04631953102791</v>
      </c>
      <c r="O4760" s="38" t="n">
        <f aca="false">Sens!$O$4721</f>
        <v>5.65745055762326</v>
      </c>
      <c r="P4760" s="8" t="s">
        <v>692</v>
      </c>
    </row>
    <row r="4761" customFormat="false" ht="17.15" hidden="false" customHeight="false" outlineLevel="0" collapsed="false">
      <c r="A4761" s="0" t="s">
        <v>693</v>
      </c>
      <c r="B4761" s="0" t="s">
        <v>86</v>
      </c>
      <c r="C4761" s="38" t="n">
        <f aca="false">Sens!$C$4725</f>
        <v>105.234994643026</v>
      </c>
      <c r="D4761" s="38" t="n">
        <f aca="false">Sens!$D$4725</f>
        <v>120.021229911349</v>
      </c>
      <c r="E4761" s="38" t="n">
        <f aca="false">Sens!$E$4725</f>
        <v>71.30864702443</v>
      </c>
      <c r="F4761" s="38" t="n">
        <f aca="false">Sens!$F$4725</f>
        <v>71.7692997942464</v>
      </c>
      <c r="G4761" s="38" t="n">
        <f aca="false">Sens!$G$4725</f>
        <v>143.077946818676</v>
      </c>
      <c r="H4761" s="38" t="n">
        <f aca="false">Sens!$H$4725</f>
        <v>161.017077079203</v>
      </c>
      <c r="I4761" s="38" t="n">
        <f aca="false">Sens!$I$4725</f>
        <v>178.769759521457</v>
      </c>
      <c r="J4761" s="38" t="n">
        <f aca="false">Sens!$J$4725</f>
        <v>195.775538045907</v>
      </c>
      <c r="K4761" s="38" t="n">
        <f aca="false">Sens!$K$4725</f>
        <v>211.43758108958</v>
      </c>
      <c r="L4761" s="38" t="n">
        <f aca="false">Sens!$L$4725</f>
        <v>228.352587576746</v>
      </c>
      <c r="M4761" s="38" t="n">
        <f aca="false">Sens!$M$4725</f>
        <v>246.620794582886</v>
      </c>
      <c r="N4761" s="38" t="n">
        <f aca="false">Sens!$N$4725</f>
        <v>57.0936804689721</v>
      </c>
      <c r="O4761" s="38" t="n">
        <f aca="false">Sens!$O$4725</f>
        <v>62.9275494423768</v>
      </c>
      <c r="P4761" s="8" t="s">
        <v>692</v>
      </c>
    </row>
    <row r="4762" customFormat="false" ht="17.15" hidden="false" customHeight="false" outlineLevel="0" collapsed="false">
      <c r="A4762" s="1" t="s">
        <v>516</v>
      </c>
      <c r="B4762" s="8" t="s">
        <v>86</v>
      </c>
      <c r="C4762" s="38" t="n">
        <f aca="false">Q!$D$7</f>
        <v>107.556</v>
      </c>
      <c r="D4762" s="38" t="n">
        <f aca="false">Q!$E$7</f>
        <v>128.725</v>
      </c>
      <c r="E4762" s="38" t="n">
        <f aca="false">Q!$P$7</f>
        <v>79.819</v>
      </c>
      <c r="F4762" s="38" t="n">
        <f aca="false">Sens!$F$4760+Sens!$F$4761</f>
        <v>86.7327334389669</v>
      </c>
      <c r="G4762" s="38" t="n">
        <f aca="false">Sens!$G$4760+Sens!$G$4761</f>
        <v>166.551733438967</v>
      </c>
      <c r="H4762" s="38" t="n">
        <f aca="false">Sens!$H$4760+Sens!$H$4761</f>
        <v>221.182967828978</v>
      </c>
      <c r="I4762" s="38" t="n">
        <f aca="false">Sens!$I$4760+Sens!$I$4761</f>
        <v>280.27345865789</v>
      </c>
      <c r="J4762" s="38" t="n">
        <f aca="false">Sens!$J$4760+Sens!$J$4761</f>
        <v>338.800945197185</v>
      </c>
      <c r="K4762" s="38" t="n">
        <f aca="false">Sens!$K$4760+Sens!$K$4761</f>
        <v>389.88570147276</v>
      </c>
      <c r="L4762" s="38" t="n">
        <f aca="false">Sens!$L$4760+Sens!$L$4761</f>
        <v>430.080689379143</v>
      </c>
      <c r="M4762" s="38" t="n">
        <f aca="false">Sens!$M$4760+Sens!$M$4761</f>
        <v>459.456235951751</v>
      </c>
      <c r="N4762" s="38" t="n">
        <f aca="false">Q!$N$7</f>
        <v>60.14</v>
      </c>
      <c r="O4762" s="38" t="n">
        <f aca="false">Q!$O$7</f>
        <v>68.585</v>
      </c>
      <c r="P4762" s="5" t="s">
        <v>694</v>
      </c>
    </row>
    <row r="4763" customFormat="false" ht="15" hidden="false" customHeight="false" outlineLevel="0" collapsed="false">
      <c r="A4763" s="3" t="s">
        <v>695</v>
      </c>
      <c r="B4763" s="8" t="s">
        <v>86</v>
      </c>
      <c r="C4763" s="38" t="n">
        <f aca="false">Q!$D$8</f>
        <v>637.959</v>
      </c>
      <c r="D4763" s="38" t="n">
        <f aca="false">Q!$E$8</f>
        <v>716.924</v>
      </c>
      <c r="E4763" s="38" t="n">
        <f aca="false">Q!$P$8</f>
        <v>382.125</v>
      </c>
      <c r="F4763" s="38" t="n">
        <f aca="false">Sens!$F$4693+Sens!$F$4762</f>
        <v>435.780975084504</v>
      </c>
      <c r="G4763" s="38" t="n">
        <f aca="false">Sens!$G$4693+Sens!$G$4762</f>
        <v>817.905975084504</v>
      </c>
      <c r="H4763" s="38" t="n">
        <f aca="false">Sens!$H$4693+Sens!$H$4762</f>
        <v>942.279857350364</v>
      </c>
      <c r="I4763" s="38" t="n">
        <f aca="false">Sens!$I$4693+Sens!$I$4762</f>
        <v>1068.80284981042</v>
      </c>
      <c r="J4763" s="38" t="n">
        <f aca="false">Sens!$J$4693+Sens!$J$4762</f>
        <v>1189.90935093863</v>
      </c>
      <c r="K4763" s="38" t="n">
        <f aca="false">Sens!$K$4693+Sens!$K$4762</f>
        <v>1296.06215690385</v>
      </c>
      <c r="L4763" s="38" t="n">
        <f aca="false">Sens!$L$4693+Sens!$L$4762</f>
        <v>1395.17379585473</v>
      </c>
      <c r="M4763" s="38" t="n">
        <f aca="false">Sens!$M$4693+Sens!$M$4762</f>
        <v>1487.60414389864</v>
      </c>
      <c r="N4763" s="38" t="n">
        <f aca="false">Q!$N$8</f>
        <v>323.369</v>
      </c>
      <c r="O4763" s="38" t="n">
        <f aca="false">Q!$O$8</f>
        <v>393.555</v>
      </c>
    </row>
    <row r="4764" customFormat="false" ht="17.15" hidden="false" customHeight="false" outlineLevel="0" collapsed="false">
      <c r="A4764" s="24" t="s">
        <v>703</v>
      </c>
      <c r="B4764" s="25" t="s">
        <v>86</v>
      </c>
      <c r="C4764" s="41" t="n">
        <f aca="false">Sens!$C$4693-(Sens!$C$4695+Sens!$C$4696)</f>
        <v>0</v>
      </c>
      <c r="D4764" s="41" t="n">
        <f aca="false">Sens!$D$4693-(Sens!$D$4695+Sens!$D$4696)</f>
        <v>0</v>
      </c>
      <c r="E4764" s="41" t="n">
        <f aca="false">Sens!$E$4693-(Sens!$E$4695+Sens!$E$4696)</f>
        <v>0</v>
      </c>
      <c r="F4764" s="41" t="n">
        <f aca="false">Sens!$F$4693-(Sens!$F$4695+Sens!$F$4696)</f>
        <v>0</v>
      </c>
      <c r="G4764" s="41" t="n">
        <f aca="false">Sens!$G$4693-(Sens!$G$4695+Sens!$G$4696)</f>
        <v>0</v>
      </c>
      <c r="H4764" s="41" t="n">
        <f aca="false">Sens!$H$4693-(Sens!$H$4695+Sens!$H$4696)</f>
        <v>0</v>
      </c>
      <c r="I4764" s="41" t="n">
        <f aca="false">Sens!$I$4693-(Sens!$I$4695+Sens!$I$4696)</f>
        <v>0</v>
      </c>
      <c r="J4764" s="41" t="n">
        <f aca="false">Sens!$J$4693-(Sens!$J$4695+Sens!$J$4696)</f>
        <v>0</v>
      </c>
      <c r="K4764" s="41" t="n">
        <f aca="false">Sens!$K$4693-(Sens!$K$4695+Sens!$K$4696)</f>
        <v>0</v>
      </c>
      <c r="L4764" s="41" t="n">
        <f aca="false">Sens!$L$4693-(Sens!$L$4695+Sens!$L$4696)</f>
        <v>0</v>
      </c>
      <c r="M4764" s="41" t="n">
        <f aca="false">Sens!$M$4693-(Sens!$M$4695+Sens!$M$4696)</f>
        <v>0</v>
      </c>
      <c r="N4764" s="41" t="n">
        <f aca="false">Sens!$N$4693-(Sens!$N$4695+Sens!$N$4696)</f>
        <v>0</v>
      </c>
      <c r="O4764" s="41" t="n">
        <f aca="false">Sens!$O$4693-(Sens!$O$4695+Sens!$O$4696)</f>
        <v>0</v>
      </c>
    </row>
    <row r="4765" customFormat="false" ht="17.15" hidden="false" customHeight="false" outlineLevel="0" collapsed="false">
      <c r="A4765" s="24" t="s">
        <v>704</v>
      </c>
      <c r="B4765" s="25" t="s">
        <v>86</v>
      </c>
      <c r="C4765" s="41" t="n">
        <f aca="false">Sens!$C$4760+Sens!$C$4761-Sens!$C$4762</f>
        <v>0</v>
      </c>
      <c r="D4765" s="41" t="n">
        <f aca="false">Sens!$D$4760+Sens!$D$4761-Sens!$D$4762</f>
        <v>0</v>
      </c>
      <c r="E4765" s="41" t="n">
        <f aca="false">Sens!$E$4760+Sens!$E$4761-Sens!$E$4762</f>
        <v>0</v>
      </c>
      <c r="F4765" s="41" t="n">
        <f aca="false">Sens!$F$4760+Sens!$F$4761-Sens!$F$4762</f>
        <v>0</v>
      </c>
      <c r="G4765" s="41" t="n">
        <f aca="false">Sens!$G$4760+Sens!$G$4761-Sens!$G$4762</f>
        <v>0</v>
      </c>
      <c r="H4765" s="41" t="n">
        <f aca="false">Sens!$H$4760+Sens!$H$4761-Sens!$H$4762</f>
        <v>0</v>
      </c>
      <c r="I4765" s="41" t="n">
        <f aca="false">Sens!$I$4760+Sens!$I$4761-Sens!$I$4762</f>
        <v>0</v>
      </c>
      <c r="J4765" s="41" t="n">
        <f aca="false">Sens!$J$4760+Sens!$J$4761-Sens!$J$4762</f>
        <v>0</v>
      </c>
      <c r="K4765" s="41" t="n">
        <f aca="false">Sens!$K$4760+Sens!$K$4761-Sens!$K$4762</f>
        <v>0</v>
      </c>
      <c r="L4765" s="41" t="n">
        <f aca="false">Sens!$L$4760+Sens!$L$4761-Sens!$L$4762</f>
        <v>0</v>
      </c>
      <c r="M4765" s="41" t="n">
        <f aca="false">Sens!$M$4760+Sens!$M$4761-Sens!$M$4762</f>
        <v>0</v>
      </c>
      <c r="N4765" s="41" t="n">
        <f aca="false">Sens!$N$4760+Sens!$N$4761-Sens!$N$4762</f>
        <v>0</v>
      </c>
      <c r="O4765" s="41" t="n">
        <f aca="false">Sens!$O$4760+Sens!$O$4761-Sens!$O$4762</f>
        <v>0</v>
      </c>
    </row>
    <row r="4766" customFormat="false" ht="17.15" hidden="false" customHeight="false" outlineLevel="0" collapsed="false">
      <c r="A4766" s="24" t="s">
        <v>705</v>
      </c>
      <c r="B4766" s="25" t="s">
        <v>86</v>
      </c>
      <c r="C4766" s="41" t="n">
        <f aca="false">Sens!$C$4695+Sens!$C$4696+Sens!$C$4762-Sens!$C$4763</f>
        <v>0</v>
      </c>
      <c r="D4766" s="41" t="n">
        <f aca="false">Sens!$D$4695+Sens!$D$4696+Sens!$D$4762-Sens!$D$4763</f>
        <v>0</v>
      </c>
      <c r="E4766" s="41" t="n">
        <f aca="false">Sens!$E$4695+Sens!$E$4696+Sens!$E$4762-Sens!$E$4763</f>
        <v>0</v>
      </c>
      <c r="F4766" s="41" t="n">
        <f aca="false">Sens!$F$4695+Sens!$F$4696+Sens!$F$4762-Sens!$F$4763</f>
        <v>0</v>
      </c>
      <c r="G4766" s="41" t="n">
        <f aca="false">Sens!$G$4695+Sens!$G$4696+Sens!$G$4762-Sens!$G$4763</f>
        <v>0</v>
      </c>
      <c r="H4766" s="41" t="n">
        <f aca="false">Sens!$H$4695+Sens!$H$4696+Sens!$H$4762-Sens!$H$4763</f>
        <v>0</v>
      </c>
      <c r="I4766" s="41" t="n">
        <f aca="false">Sens!$I$4695+Sens!$I$4696+Sens!$I$4762-Sens!$I$4763</f>
        <v>0</v>
      </c>
      <c r="J4766" s="41" t="n">
        <f aca="false">Sens!$J$4695+Sens!$J$4696+Sens!$J$4762-Sens!$J$4763</f>
        <v>0</v>
      </c>
      <c r="K4766" s="41" t="n">
        <f aca="false">Sens!$K$4695+Sens!$K$4696+Sens!$K$4762-Sens!$K$4763</f>
        <v>0</v>
      </c>
      <c r="L4766" s="41" t="n">
        <f aca="false">Sens!$L$4695+Sens!$L$4696+Sens!$L$4762-Sens!$L$4763</f>
        <v>0</v>
      </c>
      <c r="M4766" s="41" t="n">
        <f aca="false">Sens!$M$4695+Sens!$M$4696+Sens!$M$4762-Sens!$M$4763</f>
        <v>0</v>
      </c>
      <c r="N4766" s="41" t="n">
        <f aca="false">Sens!$N$4695+Sens!$N$4696+Sens!$N$4762-Sens!$N$4763</f>
        <v>0</v>
      </c>
      <c r="O4766" s="41" t="n">
        <f aca="false">Sens!$O$4695+Sens!$O$4696+Sens!$O$4762-Sens!$O$4763</f>
        <v>0</v>
      </c>
    </row>
    <row r="4767" customFormat="false" ht="15" hidden="false" customHeight="false" outlineLevel="0" collapsed="false">
      <c r="A4767" s="5" t="s">
        <v>699</v>
      </c>
      <c r="B4767" s="0" t="s">
        <v>52</v>
      </c>
      <c r="G4767" s="13" t="n">
        <f aca="false">Sens!$G$4763/Sens!$D$4763-1</f>
        <v>0.140854504918937</v>
      </c>
      <c r="H4767" s="13" t="n">
        <f aca="false">Sens!$H$4763/Sens!$G$4763-1</f>
        <v>0.152063789793209</v>
      </c>
      <c r="I4767" s="13" t="n">
        <f aca="false">Sens!$I$4763/Sens!$H$4763-1</f>
        <v>0.134273264437417</v>
      </c>
      <c r="J4767" s="13" t="n">
        <f aca="false">Sens!$J$4763/Sens!$I$4763-1</f>
        <v>0.113310421234083</v>
      </c>
      <c r="K4767" s="13" t="n">
        <f aca="false">Sens!$K$4763/Sens!$J$4763-1</f>
        <v>0.0892108343223652</v>
      </c>
      <c r="L4767" s="13" t="n">
        <f aca="false">Sens!$L$4763/Sens!$K$4763-1</f>
        <v>0.076471362444261</v>
      </c>
      <c r="M4767" s="13" t="n">
        <f aca="false">Sens!$M$4763/Sens!$L$4763-1</f>
        <v>0.066250060256672</v>
      </c>
    </row>
    <row r="4768" customFormat="false" ht="17.15" hidden="false" customHeight="false" outlineLevel="0" collapsed="false">
      <c r="A4768" s="0" t="s">
        <v>700</v>
      </c>
      <c r="B4768" s="0" t="s">
        <v>52</v>
      </c>
      <c r="C4768" s="13" t="n">
        <f aca="false">Sens!$C$4762/Sens!$C$4763</f>
        <v>0.168593906504964</v>
      </c>
      <c r="D4768" s="13" t="n">
        <f aca="false">Sens!$D$4762/Sens!$D$4763</f>
        <v>0.179551807444025</v>
      </c>
      <c r="E4768" s="13" t="n">
        <f aca="false">Sens!$E$4762/Sens!$E$4763</f>
        <v>0.208881910369643</v>
      </c>
      <c r="F4768" s="13" t="n">
        <f aca="false">Sens!$F$4762/Sens!$F$4763</f>
        <v>0.199028269699356</v>
      </c>
      <c r="G4768" s="13" t="n">
        <f aca="false">Sens!$G$4762/Sens!$G$4763</f>
        <v>0.203631882529968</v>
      </c>
      <c r="H4768" s="13" t="n">
        <f aca="false">Sens!$H$4762/Sens!$H$4763</f>
        <v>0.234731715958496</v>
      </c>
      <c r="I4768" s="13" t="n">
        <f aca="false">Sens!$I$4762/Sens!$I$4763</f>
        <v>0.262231204480418</v>
      </c>
      <c r="J4768" s="13" t="n">
        <f aca="false">Sens!$J$4762/Sens!$J$4763</f>
        <v>0.284728366013706</v>
      </c>
      <c r="K4768" s="13" t="n">
        <f aca="false">Sens!$K$4762/Sens!$K$4763</f>
        <v>0.300823304959505</v>
      </c>
      <c r="L4768" s="13" t="n">
        <f aca="false">Sens!$L$4762/Sens!$L$4763</f>
        <v>0.308263164529735</v>
      </c>
      <c r="M4768" s="13" t="n">
        <f aca="false">Sens!$M$4762/Sens!$M$4763</f>
        <v>0.308856517936036</v>
      </c>
      <c r="N4768" s="13" t="n">
        <f aca="false">Sens!$N$4762/Sens!$N$4763</f>
        <v>0.185979484737251</v>
      </c>
      <c r="O4768" s="13" t="n">
        <f aca="false">Sens!$O$4762/Sens!$O$4763</f>
        <v>0.174270432341096</v>
      </c>
    </row>
    <row r="4769" customFormat="false" ht="17.15" hidden="false" customHeight="false" outlineLevel="0" collapsed="false">
      <c r="A4769" s="0" t="s">
        <v>701</v>
      </c>
      <c r="B4769" s="0" t="s">
        <v>52</v>
      </c>
      <c r="C4769" s="13" t="n">
        <f aca="false">Sens!$C$4760/Sens!$C$4762</f>
        <v>0.0215795060896058</v>
      </c>
      <c r="D4769" s="13" t="n">
        <f aca="false">Sens!$D$4760/Sens!$D$4762</f>
        <v>0.0676152269462122</v>
      </c>
      <c r="E4769" s="13" t="n">
        <f aca="false">Sens!$E$4760/Sens!$E$4762</f>
        <v>0.106620641395783</v>
      </c>
      <c r="F4769" s="13" t="n">
        <f aca="false">Sens!$F$4760/Sens!$F$4762</f>
        <v>0.172523487401099</v>
      </c>
      <c r="G4769" s="13" t="n">
        <f aca="false">Sens!$G$4760/Sens!$G$4762</f>
        <v>0.140939911795589</v>
      </c>
      <c r="H4769" s="13" t="n">
        <f aca="false">Sens!$H$4760/Sens!$H$4762</f>
        <v>0.272018642937714</v>
      </c>
      <c r="I4769" s="13" t="n">
        <f aca="false">Sens!$I$4760/Sens!$I$4762</f>
        <v>0.362159512436497</v>
      </c>
      <c r="J4769" s="13" t="n">
        <f aca="false">Sens!$J$4760/Sens!$J$4762</f>
        <v>0.422151735934609</v>
      </c>
      <c r="K4769" s="13" t="n">
        <f aca="false">Sens!$K$4760/Sens!$K$4762</f>
        <v>0.45769342068485</v>
      </c>
      <c r="L4769" s="13" t="n">
        <f aca="false">Sens!$L$4760/Sens!$L$4762</f>
        <v>0.469047103913472</v>
      </c>
      <c r="M4769" s="13" t="n">
        <f aca="false">Sens!$M$4760/Sens!$M$4762</f>
        <v>0.463233328258093</v>
      </c>
      <c r="N4769" s="13" t="n">
        <f aca="false">Sens!$N$4760/Sens!$N$4762</f>
        <v>0.0506537999838362</v>
      </c>
      <c r="O4769" s="13" t="n">
        <f aca="false">Sens!$O$4760/Sens!$O$4762</f>
        <v>0.0824881615167056</v>
      </c>
    </row>
    <row r="4772" customFormat="false" ht="19.4" hidden="false" customHeight="false" outlineLevel="0" collapsed="false">
      <c r="A4772" s="31" t="s">
        <v>1232</v>
      </c>
    </row>
    <row r="4773" customFormat="false" ht="17.15" hidden="false" customHeight="false" outlineLevel="0" collapsed="false">
      <c r="A4773" s="6" t="s">
        <v>16</v>
      </c>
      <c r="B4773" s="6" t="s">
        <v>17</v>
      </c>
      <c r="C4773" s="20" t="s">
        <v>497</v>
      </c>
      <c r="D4773" s="20" t="s">
        <v>498</v>
      </c>
      <c r="E4773" s="20" t="s">
        <v>580</v>
      </c>
      <c r="F4773" s="20" t="s">
        <v>581</v>
      </c>
      <c r="G4773" s="20" t="s">
        <v>582</v>
      </c>
      <c r="H4773" s="20" t="s">
        <v>583</v>
      </c>
      <c r="I4773" s="20" t="s">
        <v>584</v>
      </c>
      <c r="J4773" s="20" t="s">
        <v>585</v>
      </c>
      <c r="K4773" s="20" t="s">
        <v>586</v>
      </c>
      <c r="L4773" s="20" t="s">
        <v>587</v>
      </c>
      <c r="M4773" s="20" t="s">
        <v>588</v>
      </c>
      <c r="N4773" s="20" t="s">
        <v>589</v>
      </c>
      <c r="O4773" s="20" t="s">
        <v>590</v>
      </c>
      <c r="P4773" s="6" t="s">
        <v>23</v>
      </c>
      <c r="R4773" s="20" t="n">
        <v>2023</v>
      </c>
      <c r="S4773" s="20" t="n">
        <v>2024</v>
      </c>
      <c r="T4773" s="20" t="n">
        <v>2025</v>
      </c>
      <c r="U4773" s="20" t="n">
        <v>2026</v>
      </c>
      <c r="V4773" s="20" t="n">
        <v>2027</v>
      </c>
      <c r="W4773" s="20" t="n">
        <v>2028</v>
      </c>
      <c r="X4773" s="20" t="n">
        <v>2029</v>
      </c>
      <c r="Y4773" s="20" t="n">
        <v>2030</v>
      </c>
      <c r="Z4773" s="20" t="n">
        <v>2031</v>
      </c>
      <c r="AA4773" s="20" t="n">
        <v>2032</v>
      </c>
    </row>
    <row r="4774" customFormat="false" ht="17.15" hidden="false" customHeight="false" outlineLevel="0" collapsed="false">
      <c r="A4774" s="1" t="s">
        <v>716</v>
      </c>
    </row>
    <row r="4775" customFormat="false" ht="15" hidden="false" customHeight="false" outlineLevel="0" collapsed="false">
      <c r="A4775" s="0" t="s">
        <v>519</v>
      </c>
      <c r="B4775" s="0" t="s">
        <v>86</v>
      </c>
      <c r="C4775" s="38" t="n">
        <f aca="false">Sens!$C$4680</f>
        <v>247.029</v>
      </c>
      <c r="D4775" s="38" t="n">
        <f aca="false">Sens!$D$4680</f>
        <v>269.287</v>
      </c>
      <c r="E4775" s="38" t="n">
        <f aca="false">Sens!$E$4680</f>
        <v>134.686</v>
      </c>
      <c r="F4775" s="38" t="n">
        <f aca="false">Sens!$F$4680</f>
        <v>158.293876822267</v>
      </c>
      <c r="G4775" s="38" t="n">
        <f aca="false">Sens!$G$4680</f>
        <v>292.979876822267</v>
      </c>
      <c r="H4775" s="38" t="n">
        <f aca="false">Sens!$H$4680</f>
        <v>318.184543087396</v>
      </c>
      <c r="I4775" s="38" t="n">
        <f aca="false">Sens!$I$4680</f>
        <v>341.736278761793</v>
      </c>
      <c r="J4775" s="38" t="n">
        <f aca="false">Sens!$J$4680</f>
        <v>362.927192787048</v>
      </c>
      <c r="K4775" s="38" t="n">
        <f aca="false">Sens!$K$4680</f>
        <v>381.0735524264</v>
      </c>
      <c r="L4775" s="38" t="n">
        <f aca="false">Sens!$L$4680</f>
        <v>400.12723004772</v>
      </c>
      <c r="M4775" s="38" t="n">
        <f aca="false">Sens!$M$4680</f>
        <v>420.133591550106</v>
      </c>
      <c r="N4775" s="38" t="n">
        <f aca="false">Sens!$N$4680</f>
        <v>118.892</v>
      </c>
      <c r="O4775" s="38" t="n">
        <f aca="false">Sens!$O$4680</f>
        <v>150.395</v>
      </c>
    </row>
    <row r="4776" customFormat="false" ht="15" hidden="false" customHeight="false" outlineLevel="0" collapsed="false">
      <c r="A4776" s="0" t="s">
        <v>520</v>
      </c>
      <c r="B4776" s="0" t="s">
        <v>86</v>
      </c>
      <c r="C4776" s="38" t="n">
        <f aca="false">Sens!$C$4682</f>
        <v>21.215</v>
      </c>
      <c r="D4776" s="38" t="n">
        <f aca="false">Sens!$D$4682</f>
        <v>22.561</v>
      </c>
      <c r="E4776" s="38" t="n">
        <f aca="false">Sens!$E$4682</f>
        <v>11.579</v>
      </c>
      <c r="F4776" s="38" t="n">
        <f aca="false">Sens!$F$4682</f>
        <v>11.5938724610325</v>
      </c>
      <c r="G4776" s="38" t="n">
        <f aca="false">Sens!$G$4682</f>
        <v>23.1728724610325</v>
      </c>
      <c r="H4776" s="38" t="n">
        <f aca="false">Sens!$H$4682</f>
        <v>24.353392759506</v>
      </c>
      <c r="I4776" s="38" t="n">
        <f aca="false">Sens!$I$4682</f>
        <v>25.4240338872015</v>
      </c>
      <c r="J4776" s="38" t="n">
        <f aca="false">Sens!$J$4682</f>
        <v>26.3642491017174</v>
      </c>
      <c r="K4776" s="38" t="n">
        <f aca="false">Sens!$K$4682</f>
        <v>27.155176574769</v>
      </c>
      <c r="L4776" s="38" t="n">
        <f aca="false">Sens!$L$4682</f>
        <v>27.969831872012</v>
      </c>
      <c r="M4776" s="38" t="n">
        <f aca="false">Sens!$M$4682</f>
        <v>28.8089268281724</v>
      </c>
      <c r="N4776" s="38" t="n">
        <f aca="false">Sens!$N$4682</f>
        <v>11.128</v>
      </c>
      <c r="O4776" s="38" t="n">
        <f aca="false">Sens!$O$4682</f>
        <v>11.433</v>
      </c>
    </row>
    <row r="4777" customFormat="false" ht="15" hidden="false" customHeight="false" outlineLevel="0" collapsed="false">
      <c r="A4777" s="0" t="s">
        <v>521</v>
      </c>
      <c r="B4777" s="0" t="s">
        <v>86</v>
      </c>
      <c r="C4777" s="38" t="n">
        <f aca="false">Sens!$C$4684</f>
        <v>156.146</v>
      </c>
      <c r="D4777" s="38" t="n">
        <f aca="false">Sens!$D$4684</f>
        <v>172.162</v>
      </c>
      <c r="E4777" s="38" t="n">
        <f aca="false">Sens!$E$4684</f>
        <v>88.358</v>
      </c>
      <c r="F4777" s="38" t="n">
        <f aca="false">Sens!$F$4684</f>
        <v>102.004388260171</v>
      </c>
      <c r="G4777" s="38" t="n">
        <f aca="false">Sens!$G$4684</f>
        <v>190.362388260171</v>
      </c>
      <c r="H4777" s="38" t="n">
        <f aca="false">Sens!$H$4684</f>
        <v>210.343106588311</v>
      </c>
      <c r="I4777" s="38" t="n">
        <f aca="false">Sens!$I$4684</f>
        <v>229.969728494648</v>
      </c>
      <c r="J4777" s="38" t="n">
        <f aca="false">Sens!$J$4684</f>
        <v>248.747636972598</v>
      </c>
      <c r="K4777" s="38" t="n">
        <f aca="false">Sens!$K$4684</f>
        <v>266.15997156068</v>
      </c>
      <c r="L4777" s="38" t="n">
        <f aca="false">Sens!$L$4684</f>
        <v>284.791169569927</v>
      </c>
      <c r="M4777" s="38" t="n">
        <f aca="false">Sens!$M$4684</f>
        <v>304.726551439822</v>
      </c>
      <c r="N4777" s="38" t="n">
        <f aca="false">Sens!$N$4684</f>
        <v>76.86</v>
      </c>
      <c r="O4777" s="38" t="n">
        <f aca="false">Sens!$O$4684</f>
        <v>95.302</v>
      </c>
    </row>
    <row r="4778" customFormat="false" ht="15" hidden="false" customHeight="false" outlineLevel="0" collapsed="false">
      <c r="A4778" s="0" t="s">
        <v>522</v>
      </c>
      <c r="B4778" s="0" t="s">
        <v>86</v>
      </c>
      <c r="C4778" s="38" t="n">
        <f aca="false">Sens!$C$4686</f>
        <v>56.214</v>
      </c>
      <c r="D4778" s="38" t="n">
        <f aca="false">Sens!$D$4686</f>
        <v>68.635</v>
      </c>
      <c r="E4778" s="38" t="n">
        <f aca="false">Sens!$E$4686</f>
        <v>37.052</v>
      </c>
      <c r="F4778" s="38" t="n">
        <f aca="false">Sens!$F$4686</f>
        <v>46.1572219944148</v>
      </c>
      <c r="G4778" s="38" t="n">
        <f aca="false">Sens!$G$4686</f>
        <v>83.2092219944148</v>
      </c>
      <c r="H4778" s="38" t="n">
        <f aca="false">Sens!$H$4686</f>
        <v>99.8969223878976</v>
      </c>
      <c r="I4778" s="38" t="n">
        <f aca="false">Sens!$I$4686</f>
        <v>116.583111095496</v>
      </c>
      <c r="J4778" s="38" t="n">
        <f aca="false">Sens!$J$4686</f>
        <v>132.148941941952</v>
      </c>
      <c r="K4778" s="38" t="n">
        <f aca="false">Sens!$K$4686</f>
        <v>145.363836136147</v>
      </c>
      <c r="L4778" s="38" t="n">
        <f aca="false">Sens!$L$4686</f>
        <v>159.900219749762</v>
      </c>
      <c r="M4778" s="38" t="n">
        <f aca="false">Sens!$M$4686</f>
        <v>175.890241724738</v>
      </c>
      <c r="N4778" s="38" t="n">
        <f aca="false">Sens!$N$4686</f>
        <v>29.615</v>
      </c>
      <c r="O4778" s="38" t="n">
        <f aca="false">Sens!$O$4686</f>
        <v>39.02</v>
      </c>
    </row>
    <row r="4779" customFormat="false" ht="15" hidden="false" customHeight="false" outlineLevel="0" collapsed="false">
      <c r="A4779" s="0" t="s">
        <v>523</v>
      </c>
      <c r="B4779" s="0" t="s">
        <v>86</v>
      </c>
      <c r="C4779" s="38" t="n">
        <f aca="false">Sens!$C$4688</f>
        <v>44.374</v>
      </c>
      <c r="D4779" s="38" t="n">
        <f aca="false">Sens!$D$4688</f>
        <v>49.619</v>
      </c>
      <c r="E4779" s="38" t="n">
        <f aca="false">Sens!$E$4688</f>
        <v>27.157</v>
      </c>
      <c r="F4779" s="38" t="n">
        <f aca="false">Sens!$F$4688</f>
        <v>27.7764165988154</v>
      </c>
      <c r="G4779" s="38" t="n">
        <f aca="false">Sens!$G$4688</f>
        <v>54.9334165988154</v>
      </c>
      <c r="H4779" s="38" t="n">
        <f aca="false">Sens!$H$4688</f>
        <v>61.1564112561829</v>
      </c>
      <c r="I4779" s="38" t="n">
        <f aca="false">Sens!$I$4688</f>
        <v>67.2020282103945</v>
      </c>
      <c r="J4779" s="38" t="n">
        <f aca="false">Sens!$J$4688</f>
        <v>72.8757274028885</v>
      </c>
      <c r="K4779" s="38" t="n">
        <f aca="false">Sens!$K$4688</f>
        <v>77.9770283210907</v>
      </c>
      <c r="L4779" s="38" t="n">
        <f aca="false">Sens!$L$4688</f>
        <v>83.4354203035671</v>
      </c>
      <c r="M4779" s="38" t="n">
        <f aca="false">Sens!$M$4688</f>
        <v>89.2758997248168</v>
      </c>
      <c r="N4779" s="38" t="n">
        <f aca="false">Sens!$N$4688</f>
        <v>23.923</v>
      </c>
      <c r="O4779" s="38" t="n">
        <f aca="false">Sens!$O$4688</f>
        <v>25.696</v>
      </c>
    </row>
    <row r="4780" customFormat="false" ht="15" hidden="false" customHeight="false" outlineLevel="0" collapsed="false">
      <c r="A4780" s="0" t="s">
        <v>524</v>
      </c>
      <c r="B4780" s="0" t="s">
        <v>86</v>
      </c>
      <c r="C4780" s="38" t="n">
        <f aca="false">Sens!$C$4690</f>
        <v>5.425</v>
      </c>
      <c r="D4780" s="38" t="n">
        <f aca="false">Sens!$D$4690</f>
        <v>5.935</v>
      </c>
      <c r="E4780" s="38" t="n">
        <f aca="false">Sens!$E$4690</f>
        <v>3.474</v>
      </c>
      <c r="F4780" s="38" t="n">
        <f aca="false">Sens!$F$4690</f>
        <v>3.22246550883619</v>
      </c>
      <c r="G4780" s="38" t="n">
        <f aca="false">Sens!$G$4690</f>
        <v>6.69646550883619</v>
      </c>
      <c r="H4780" s="38" t="n">
        <f aca="false">Sens!$H$4690</f>
        <v>7.16251344209196</v>
      </c>
      <c r="I4780" s="38" t="n">
        <f aca="false">Sens!$I$4690</f>
        <v>7.61421070299826</v>
      </c>
      <c r="J4780" s="38" t="n">
        <f aca="false">Sens!$J$4690</f>
        <v>8.04465753523932</v>
      </c>
      <c r="K4780" s="38" t="n">
        <f aca="false">Sens!$K$4690</f>
        <v>8.44689041200128</v>
      </c>
      <c r="L4780" s="38" t="n">
        <f aca="false">Sens!$L$4690</f>
        <v>8.86923493260135</v>
      </c>
      <c r="M4780" s="38" t="n">
        <f aca="false">Sens!$M$4690</f>
        <v>9.31269667923142</v>
      </c>
      <c r="N4780" s="38" t="n">
        <f aca="false">Sens!$N$4690</f>
        <v>2.811</v>
      </c>
      <c r="O4780" s="38" t="n">
        <f aca="false">Sens!$O$4690</f>
        <v>3.124</v>
      </c>
    </row>
    <row r="4781" customFormat="false" ht="17.15" hidden="false" customHeight="false" outlineLevel="0" collapsed="false">
      <c r="A4781" s="0" t="s">
        <v>717</v>
      </c>
      <c r="B4781" s="0" t="s">
        <v>86</v>
      </c>
      <c r="C4781" s="38" t="n">
        <f aca="false">Sens!$C$4762</f>
        <v>107.556</v>
      </c>
      <c r="D4781" s="38" t="n">
        <f aca="false">Sens!$D$4762</f>
        <v>128.725</v>
      </c>
      <c r="E4781" s="38" t="n">
        <f aca="false">Sens!$E$4762</f>
        <v>79.819</v>
      </c>
      <c r="F4781" s="38" t="n">
        <f aca="false">Sens!$F$4762</f>
        <v>86.7327334389669</v>
      </c>
      <c r="G4781" s="38" t="n">
        <f aca="false">Sens!$G$4762</f>
        <v>166.551733438967</v>
      </c>
      <c r="H4781" s="38" t="n">
        <f aca="false">Sens!$H$4762</f>
        <v>221.182967828978</v>
      </c>
      <c r="I4781" s="38" t="n">
        <f aca="false">Sens!$I$4762</f>
        <v>280.27345865789</v>
      </c>
      <c r="J4781" s="38" t="n">
        <f aca="false">Sens!$J$4762</f>
        <v>338.800945197185</v>
      </c>
      <c r="K4781" s="38" t="n">
        <f aca="false">Sens!$K$4762</f>
        <v>389.88570147276</v>
      </c>
      <c r="L4781" s="38" t="n">
        <f aca="false">Sens!$L$4762</f>
        <v>430.080689379143</v>
      </c>
      <c r="M4781" s="38" t="n">
        <f aca="false">Sens!$M$4762</f>
        <v>459.456235951751</v>
      </c>
      <c r="N4781" s="38" t="n">
        <f aca="false">Sens!$N$4762</f>
        <v>60.14</v>
      </c>
      <c r="O4781" s="38" t="n">
        <f aca="false">Sens!$O$4762</f>
        <v>68.585</v>
      </c>
    </row>
    <row r="4782" customFormat="false" ht="15" hidden="false" customHeight="false" outlineLevel="0" collapsed="false">
      <c r="A4782" s="1" t="s">
        <v>512</v>
      </c>
      <c r="B4782" s="8" t="s">
        <v>86</v>
      </c>
      <c r="C4782" s="38" t="n">
        <f aca="false">Sens!$C$4695</f>
        <v>387.497</v>
      </c>
      <c r="D4782" s="38" t="n">
        <f aca="false">Sens!$D$4695</f>
        <v>426.305</v>
      </c>
      <c r="E4782" s="38" t="n">
        <f aca="false">Sens!$E$4695</f>
        <v>220.32</v>
      </c>
      <c r="F4782" s="38" t="n">
        <f aca="false">Sens!$F$4695</f>
        <v>250.639773480586</v>
      </c>
      <c r="G4782" s="38" t="n">
        <f aca="false">Sens!$G$4695</f>
        <v>470.959773480586</v>
      </c>
      <c r="H4782" s="38" t="n">
        <f aca="false">Sens!$H$4695</f>
        <v>521.386990416437</v>
      </c>
      <c r="I4782" s="38" t="n">
        <f aca="false">Sens!$I$4695</f>
        <v>570.143862887555</v>
      </c>
      <c r="J4782" s="38" t="n">
        <f aca="false">Sens!$J$4695</f>
        <v>615.391435791933</v>
      </c>
      <c r="K4782" s="38" t="n">
        <f aca="false">Sens!$K$4695</f>
        <v>655.208227561543</v>
      </c>
      <c r="L4782" s="38" t="n">
        <f aca="false">Sens!$L$4695</f>
        <v>697.807739249767</v>
      </c>
      <c r="M4782" s="38" t="n">
        <f aca="false">Sens!$M$4695</f>
        <v>743.399328463592</v>
      </c>
      <c r="N4782" s="38" t="n">
        <f aca="false">Sens!$N$4695</f>
        <v>192.955</v>
      </c>
      <c r="O4782" s="38" t="n">
        <f aca="false">Sens!$O$4695</f>
        <v>233.35</v>
      </c>
    </row>
    <row r="4783" customFormat="false" ht="15" hidden="false" customHeight="false" outlineLevel="0" collapsed="false">
      <c r="A4783" s="1" t="s">
        <v>515</v>
      </c>
      <c r="B4783" s="8" t="s">
        <v>86</v>
      </c>
      <c r="C4783" s="38" t="n">
        <f aca="false">Sens!$C$4696</f>
        <v>142.906</v>
      </c>
      <c r="D4783" s="38" t="n">
        <f aca="false">Sens!$D$4696</f>
        <v>161.894</v>
      </c>
      <c r="E4783" s="38" t="n">
        <f aca="false">Sens!$E$4696</f>
        <v>81.986</v>
      </c>
      <c r="F4783" s="38" t="n">
        <f aca="false">Sens!$F$4696</f>
        <v>98.408468164951</v>
      </c>
      <c r="G4783" s="38" t="n">
        <f aca="false">Sens!$G$4696</f>
        <v>180.394468164951</v>
      </c>
      <c r="H4783" s="38" t="n">
        <f aca="false">Sens!$H$4696</f>
        <v>199.709899104949</v>
      </c>
      <c r="I4783" s="38" t="n">
        <f aca="false">Sens!$I$4696</f>
        <v>218.385528264976</v>
      </c>
      <c r="J4783" s="38" t="n">
        <f aca="false">Sens!$J$4696</f>
        <v>235.71696994951</v>
      </c>
      <c r="K4783" s="38" t="n">
        <f aca="false">Sens!$K$4696</f>
        <v>250.968227869545</v>
      </c>
      <c r="L4783" s="38" t="n">
        <f aca="false">Sens!$L$4696</f>
        <v>267.285367225822</v>
      </c>
      <c r="M4783" s="38" t="n">
        <f aca="false">Sens!$M$4696</f>
        <v>284.748579483295</v>
      </c>
      <c r="N4783" s="38" t="n">
        <f aca="false">Sens!$N$4696</f>
        <v>70.274</v>
      </c>
      <c r="O4783" s="38" t="n">
        <f aca="false">Sens!$O$4696</f>
        <v>91.62</v>
      </c>
    </row>
    <row r="4784" customFormat="false" ht="15" hidden="false" customHeight="false" outlineLevel="0" collapsed="false">
      <c r="A4784" s="1" t="s">
        <v>516</v>
      </c>
      <c r="B4784" s="8" t="s">
        <v>86</v>
      </c>
      <c r="C4784" s="38" t="n">
        <f aca="false">Sens!$C$4762</f>
        <v>107.556</v>
      </c>
      <c r="D4784" s="38" t="n">
        <f aca="false">Sens!$D$4762</f>
        <v>128.725</v>
      </c>
      <c r="E4784" s="38" t="n">
        <f aca="false">Sens!$E$4762</f>
        <v>79.819</v>
      </c>
      <c r="F4784" s="38" t="n">
        <f aca="false">Sens!$F$4762</f>
        <v>86.7327334389669</v>
      </c>
      <c r="G4784" s="38" t="n">
        <f aca="false">Sens!$G$4762</f>
        <v>166.551733438967</v>
      </c>
      <c r="H4784" s="38" t="n">
        <f aca="false">Sens!$H$4762</f>
        <v>221.182967828978</v>
      </c>
      <c r="I4784" s="38" t="n">
        <f aca="false">Sens!$I$4762</f>
        <v>280.27345865789</v>
      </c>
      <c r="J4784" s="38" t="n">
        <f aca="false">Sens!$J$4762</f>
        <v>338.800945197185</v>
      </c>
      <c r="K4784" s="38" t="n">
        <f aca="false">Sens!$K$4762</f>
        <v>389.88570147276</v>
      </c>
      <c r="L4784" s="38" t="n">
        <f aca="false">Sens!$L$4762</f>
        <v>430.080689379143</v>
      </c>
      <c r="M4784" s="38" t="n">
        <f aca="false">Sens!$M$4762</f>
        <v>459.456235951751</v>
      </c>
      <c r="N4784" s="38" t="n">
        <f aca="false">Sens!$N$4762</f>
        <v>60.14</v>
      </c>
      <c r="O4784" s="38" t="n">
        <f aca="false">Sens!$O$4762</f>
        <v>68.585</v>
      </c>
    </row>
    <row r="4785" customFormat="false" ht="17.15" hidden="false" customHeight="false" outlineLevel="0" collapsed="false">
      <c r="A4785" s="0" t="s">
        <v>691</v>
      </c>
      <c r="B4785" s="0" t="s">
        <v>86</v>
      </c>
      <c r="C4785" s="38" t="n">
        <f aca="false">Sens!$C$4760</f>
        <v>2.32100535697364</v>
      </c>
      <c r="D4785" s="38" t="n">
        <f aca="false">Sens!$D$4760</f>
        <v>8.70377008865116</v>
      </c>
      <c r="E4785" s="38" t="n">
        <f aca="false">Sens!$E$4760</f>
        <v>8.51035297557002</v>
      </c>
      <c r="F4785" s="38" t="n">
        <f aca="false">Sens!$F$4760</f>
        <v>14.9634336447205</v>
      </c>
      <c r="G4785" s="38" t="n">
        <f aca="false">Sens!$G$4760</f>
        <v>23.4737866202905</v>
      </c>
      <c r="H4785" s="38" t="n">
        <f aca="false">Sens!$H$4760</f>
        <v>60.1658907497746</v>
      </c>
      <c r="I4785" s="38" t="n">
        <f aca="false">Sens!$I$4760</f>
        <v>101.503699136432</v>
      </c>
      <c r="J4785" s="38" t="n">
        <f aca="false">Sens!$J$4760</f>
        <v>143.025407151278</v>
      </c>
      <c r="K4785" s="38" t="n">
        <f aca="false">Sens!$K$4760</f>
        <v>178.44812038318</v>
      </c>
      <c r="L4785" s="38" t="n">
        <f aca="false">Sens!$L$4760</f>
        <v>201.728101802396</v>
      </c>
      <c r="M4785" s="38" t="n">
        <f aca="false">Sens!$M$4760</f>
        <v>212.835441368865</v>
      </c>
      <c r="N4785" s="38" t="n">
        <f aca="false">Sens!$N$4760</f>
        <v>3.04631953102791</v>
      </c>
      <c r="O4785" s="38" t="n">
        <f aca="false">Sens!$O$4760</f>
        <v>5.65745055762326</v>
      </c>
    </row>
    <row r="4786" customFormat="false" ht="17.15" hidden="false" customHeight="false" outlineLevel="0" collapsed="false">
      <c r="A4786" s="0" t="s">
        <v>693</v>
      </c>
      <c r="B4786" s="0" t="s">
        <v>86</v>
      </c>
      <c r="C4786" s="38" t="n">
        <f aca="false">Sens!$C$4761</f>
        <v>105.234994643026</v>
      </c>
      <c r="D4786" s="38" t="n">
        <f aca="false">Sens!$D$4761</f>
        <v>120.021229911349</v>
      </c>
      <c r="E4786" s="38" t="n">
        <f aca="false">Sens!$E$4761</f>
        <v>71.30864702443</v>
      </c>
      <c r="F4786" s="38" t="n">
        <f aca="false">Sens!$F$4761</f>
        <v>71.7692997942464</v>
      </c>
      <c r="G4786" s="38" t="n">
        <f aca="false">Sens!$G$4761</f>
        <v>143.077946818676</v>
      </c>
      <c r="H4786" s="38" t="n">
        <f aca="false">Sens!$H$4761</f>
        <v>161.017077079203</v>
      </c>
      <c r="I4786" s="38" t="n">
        <f aca="false">Sens!$I$4761</f>
        <v>178.769759521457</v>
      </c>
      <c r="J4786" s="38" t="n">
        <f aca="false">Sens!$J$4761</f>
        <v>195.775538045907</v>
      </c>
      <c r="K4786" s="38" t="n">
        <f aca="false">Sens!$K$4761</f>
        <v>211.43758108958</v>
      </c>
      <c r="L4786" s="38" t="n">
        <f aca="false">Sens!$L$4761</f>
        <v>228.352587576746</v>
      </c>
      <c r="M4786" s="38" t="n">
        <f aca="false">Sens!$M$4761</f>
        <v>246.620794582886</v>
      </c>
      <c r="N4786" s="38" t="n">
        <f aca="false">Sens!$N$4761</f>
        <v>57.0936804689721</v>
      </c>
      <c r="O4786" s="38" t="n">
        <f aca="false">Sens!$O$4761</f>
        <v>62.9275494423768</v>
      </c>
    </row>
    <row r="4787" customFormat="false" ht="15" hidden="false" customHeight="false" outlineLevel="0" collapsed="false">
      <c r="A4787" s="3" t="s">
        <v>517</v>
      </c>
      <c r="B4787" s="8" t="s">
        <v>86</v>
      </c>
      <c r="C4787" s="38" t="n">
        <f aca="false">Sens!$C$4763</f>
        <v>637.959</v>
      </c>
      <c r="D4787" s="38" t="n">
        <f aca="false">Sens!$D$4763</f>
        <v>716.924</v>
      </c>
      <c r="E4787" s="38" t="n">
        <f aca="false">Sens!$E$4763</f>
        <v>382.125</v>
      </c>
      <c r="F4787" s="38" t="n">
        <f aca="false">Sens!$F$4763</f>
        <v>435.780975084504</v>
      </c>
      <c r="G4787" s="38" t="n">
        <f aca="false">Sens!$G$4763</f>
        <v>817.905975084504</v>
      </c>
      <c r="H4787" s="38" t="n">
        <f aca="false">Sens!$H$4763</f>
        <v>942.279857350364</v>
      </c>
      <c r="I4787" s="38" t="n">
        <f aca="false">Sens!$I$4763</f>
        <v>1068.80284981042</v>
      </c>
      <c r="J4787" s="38" t="n">
        <f aca="false">Sens!$J$4763</f>
        <v>1189.90935093863</v>
      </c>
      <c r="K4787" s="38" t="n">
        <f aca="false">Sens!$K$4763</f>
        <v>1296.06215690385</v>
      </c>
      <c r="L4787" s="38" t="n">
        <f aca="false">Sens!$L$4763</f>
        <v>1395.17379585473</v>
      </c>
      <c r="M4787" s="38" t="n">
        <f aca="false">Sens!$M$4763</f>
        <v>1487.60414389864</v>
      </c>
      <c r="N4787" s="38" t="n">
        <f aca="false">Sens!$N$4763</f>
        <v>323.369</v>
      </c>
      <c r="O4787" s="38" t="n">
        <f aca="false">Sens!$O$4763</f>
        <v>393.555</v>
      </c>
    </row>
    <row r="4788" customFormat="false" ht="17.15" hidden="false" customHeight="false" outlineLevel="0" collapsed="false">
      <c r="A4788" s="24" t="s">
        <v>703</v>
      </c>
      <c r="B4788" s="25" t="s">
        <v>86</v>
      </c>
      <c r="C4788" s="41" t="n">
        <f aca="false">Sens!$C$4775+Sens!$C$4776+Sens!$C$4777+Sens!$C$4778+Sens!$C$4779+Sens!$C$4780-(Sens!$C$4782+Sens!$C$4783)</f>
        <v>0</v>
      </c>
      <c r="D4788" s="41" t="n">
        <f aca="false">Sens!$D$4775+Sens!$D$4776+Sens!$D$4777+Sens!$D$4778+Sens!$D$4779+Sens!$D$4780-(Sens!$D$4782+Sens!$D$4783)</f>
        <v>0</v>
      </c>
      <c r="E4788" s="41" t="n">
        <f aca="false">Sens!$E$4775+Sens!$E$4776+Sens!$E$4777+Sens!$E$4778+Sens!$E$4779+Sens!$E$4780-(Sens!$E$4782+Sens!$E$4783)</f>
        <v>0</v>
      </c>
      <c r="F4788" s="41" t="n">
        <f aca="false">Sens!$F$4775+Sens!$F$4776+Sens!$F$4777+Sens!$F$4778+Sens!$F$4779+Sens!$F$4780-(Sens!$F$4782+Sens!$F$4783)</f>
        <v>0</v>
      </c>
      <c r="G4788" s="41" t="n">
        <f aca="false">Sens!$G$4775+Sens!$G$4776+Sens!$G$4777+Sens!$G$4778+Sens!$G$4779+Sens!$G$4780-(Sens!$G$4782+Sens!$G$4783)</f>
        <v>0</v>
      </c>
      <c r="H4788" s="41" t="n">
        <f aca="false">Sens!$H$4775+Sens!$H$4776+Sens!$H$4777+Sens!$H$4778+Sens!$H$4779+Sens!$H$4780-(Sens!$H$4782+Sens!$H$4783)</f>
        <v>0</v>
      </c>
      <c r="I4788" s="41" t="n">
        <f aca="false">Sens!$I$4775+Sens!$I$4776+Sens!$I$4777+Sens!$I$4778+Sens!$I$4779+Sens!$I$4780-(Sens!$I$4782+Sens!$I$4783)</f>
        <v>0</v>
      </c>
      <c r="J4788" s="41" t="n">
        <f aca="false">Sens!$J$4775+Sens!$J$4776+Sens!$J$4777+Sens!$J$4778+Sens!$J$4779+Sens!$J$4780-(Sens!$J$4782+Sens!$J$4783)</f>
        <v>0</v>
      </c>
      <c r="K4788" s="41" t="n">
        <f aca="false">Sens!$K$4775+Sens!$K$4776+Sens!$K$4777+Sens!$K$4778+Sens!$K$4779+Sens!$K$4780-(Sens!$K$4782+Sens!$K$4783)</f>
        <v>0</v>
      </c>
      <c r="L4788" s="41" t="n">
        <f aca="false">Sens!$L$4775+Sens!$L$4776+Sens!$L$4777+Sens!$L$4778+Sens!$L$4779+Sens!$L$4780-(Sens!$L$4782+Sens!$L$4783)</f>
        <v>0</v>
      </c>
      <c r="M4788" s="41" t="n">
        <f aca="false">Sens!$M$4775+Sens!$M$4776+Sens!$M$4777+Sens!$M$4778+Sens!$M$4779+Sens!$M$4780-(Sens!$M$4782+Sens!$M$4783)</f>
        <v>0</v>
      </c>
      <c r="N4788" s="41" t="n">
        <f aca="false">Sens!$N$4775+Sens!$N$4776+Sens!$N$4777+Sens!$N$4778+Sens!$N$4779+Sens!$N$4780-(Sens!$N$4782+Sens!$N$4783)</f>
        <v>0</v>
      </c>
      <c r="O4788" s="41" t="n">
        <f aca="false">Sens!$O$4775+Sens!$O$4776+Sens!$O$4777+Sens!$O$4778+Sens!$O$4779+Sens!$O$4780-(Sens!$O$4782+Sens!$O$4783)</f>
        <v>0</v>
      </c>
    </row>
    <row r="4789" customFormat="false" ht="17.15" hidden="false" customHeight="false" outlineLevel="0" collapsed="false">
      <c r="A4789" s="24" t="s">
        <v>704</v>
      </c>
      <c r="B4789" s="25" t="s">
        <v>86</v>
      </c>
      <c r="C4789" s="41" t="n">
        <f aca="false">Sens!$C$4785+Sens!$C$4786-Sens!$C$4784</f>
        <v>0</v>
      </c>
      <c r="D4789" s="41" t="n">
        <f aca="false">Sens!$D$4785+Sens!$D$4786-Sens!$D$4784</f>
        <v>0</v>
      </c>
      <c r="E4789" s="41" t="n">
        <f aca="false">Sens!$E$4785+Sens!$E$4786-Sens!$E$4784</f>
        <v>0</v>
      </c>
      <c r="F4789" s="41" t="n">
        <f aca="false">Sens!$F$4785+Sens!$F$4786-Sens!$F$4784</f>
        <v>0</v>
      </c>
      <c r="G4789" s="41" t="n">
        <f aca="false">Sens!$G$4785+Sens!$G$4786-Sens!$G$4784</f>
        <v>0</v>
      </c>
      <c r="H4789" s="41" t="n">
        <f aca="false">Sens!$H$4785+Sens!$H$4786-Sens!$H$4784</f>
        <v>0</v>
      </c>
      <c r="I4789" s="41" t="n">
        <f aca="false">Sens!$I$4785+Sens!$I$4786-Sens!$I$4784</f>
        <v>0</v>
      </c>
      <c r="J4789" s="41" t="n">
        <f aca="false">Sens!$J$4785+Sens!$J$4786-Sens!$J$4784</f>
        <v>0</v>
      </c>
      <c r="K4789" s="41" t="n">
        <f aca="false">Sens!$K$4785+Sens!$K$4786-Sens!$K$4784</f>
        <v>0</v>
      </c>
      <c r="L4789" s="41" t="n">
        <f aca="false">Sens!$L$4785+Sens!$L$4786-Sens!$L$4784</f>
        <v>0</v>
      </c>
      <c r="M4789" s="41" t="n">
        <f aca="false">Sens!$M$4785+Sens!$M$4786-Sens!$M$4784</f>
        <v>0</v>
      </c>
      <c r="N4789" s="41" t="n">
        <f aca="false">Sens!$N$4785+Sens!$N$4786-Sens!$N$4784</f>
        <v>0</v>
      </c>
      <c r="O4789" s="41" t="n">
        <f aca="false">Sens!$O$4785+Sens!$O$4786-Sens!$O$4784</f>
        <v>0</v>
      </c>
    </row>
    <row r="4790" customFormat="false" ht="17.15" hidden="false" customHeight="false" outlineLevel="0" collapsed="false">
      <c r="A4790" s="24" t="s">
        <v>763</v>
      </c>
      <c r="B4790" s="25" t="s">
        <v>86</v>
      </c>
      <c r="C4790" s="41" t="n">
        <f aca="false">Sens!$C$4775+Sens!$C$4776+Sens!$C$4777+Sens!$C$4778+Sens!$C$4779+Sens!$C$4780+Sens!$C$4781-Sens!$C$4787</f>
        <v>0</v>
      </c>
      <c r="D4790" s="41" t="n">
        <f aca="false">Sens!$D$4775+Sens!$D$4776+Sens!$D$4777+Sens!$D$4778+Sens!$D$4779+Sens!$D$4780+Sens!$D$4781-Sens!$D$4787</f>
        <v>0</v>
      </c>
      <c r="E4790" s="41" t="n">
        <f aca="false">Sens!$E$4775+Sens!$E$4776+Sens!$E$4777+Sens!$E$4778+Sens!$E$4779+Sens!$E$4780+Sens!$E$4781-Sens!$E$4787</f>
        <v>0</v>
      </c>
      <c r="F4790" s="41" t="n">
        <f aca="false">Sens!$F$4775+Sens!$F$4776+Sens!$F$4777+Sens!$F$4778+Sens!$F$4779+Sens!$F$4780+Sens!$F$4781-Sens!$F$4787</f>
        <v>0</v>
      </c>
      <c r="G4790" s="41" t="n">
        <f aca="false">Sens!$G$4775+Sens!$G$4776+Sens!$G$4777+Sens!$G$4778+Sens!$G$4779+Sens!$G$4780+Sens!$G$4781-Sens!$G$4787</f>
        <v>0</v>
      </c>
      <c r="H4790" s="41" t="n">
        <f aca="false">Sens!$H$4775+Sens!$H$4776+Sens!$H$4777+Sens!$H$4778+Sens!$H$4779+Sens!$H$4780+Sens!$H$4781-Sens!$H$4787</f>
        <v>0</v>
      </c>
      <c r="I4790" s="41" t="n">
        <f aca="false">Sens!$I$4775+Sens!$I$4776+Sens!$I$4777+Sens!$I$4778+Sens!$I$4779+Sens!$I$4780+Sens!$I$4781-Sens!$I$4787</f>
        <v>0</v>
      </c>
      <c r="J4790" s="41" t="n">
        <f aca="false">Sens!$J$4775+Sens!$J$4776+Sens!$J$4777+Sens!$J$4778+Sens!$J$4779+Sens!$J$4780+Sens!$J$4781-Sens!$J$4787</f>
        <v>0</v>
      </c>
      <c r="K4790" s="41" t="n">
        <f aca="false">Sens!$K$4775+Sens!$K$4776+Sens!$K$4777+Sens!$K$4778+Sens!$K$4779+Sens!$K$4780+Sens!$K$4781-Sens!$K$4787</f>
        <v>0</v>
      </c>
      <c r="L4790" s="41" t="n">
        <f aca="false">Sens!$L$4775+Sens!$L$4776+Sens!$L$4777+Sens!$L$4778+Sens!$L$4779+Sens!$L$4780+Sens!$L$4781-Sens!$L$4787</f>
        <v>0</v>
      </c>
      <c r="M4790" s="41" t="n">
        <f aca="false">Sens!$M$4775+Sens!$M$4776+Sens!$M$4777+Sens!$M$4778+Sens!$M$4779+Sens!$M$4780+Sens!$M$4781-Sens!$M$4787</f>
        <v>0</v>
      </c>
      <c r="N4790" s="41" t="n">
        <f aca="false">Sens!$N$4775+Sens!$N$4776+Sens!$N$4777+Sens!$N$4778+Sens!$N$4779+Sens!$N$4780+Sens!$N$4781-Sens!$N$4787</f>
        <v>0</v>
      </c>
      <c r="O4790" s="41" t="n">
        <f aca="false">Sens!$O$4775+Sens!$O$4776+Sens!$O$4777+Sens!$O$4778+Sens!$O$4779+Sens!$O$4780+Sens!$O$4781-Sens!$O$4787</f>
        <v>0</v>
      </c>
    </row>
    <row r="4791" customFormat="false" ht="17.15" hidden="false" customHeight="false" outlineLevel="0" collapsed="false">
      <c r="A4791" s="24" t="s">
        <v>705</v>
      </c>
      <c r="B4791" s="25" t="s">
        <v>86</v>
      </c>
      <c r="C4791" s="41" t="n">
        <f aca="false">Sens!$C$4782+Sens!$C$4783+Sens!$C$4784-Sens!$C$4787</f>
        <v>0</v>
      </c>
      <c r="D4791" s="41" t="n">
        <f aca="false">Sens!$D$4782+Sens!$D$4783+Sens!$D$4784-Sens!$D$4787</f>
        <v>0</v>
      </c>
      <c r="E4791" s="41" t="n">
        <f aca="false">Sens!$E$4782+Sens!$E$4783+Sens!$E$4784-Sens!$E$4787</f>
        <v>0</v>
      </c>
      <c r="F4791" s="41" t="n">
        <f aca="false">Sens!$F$4782+Sens!$F$4783+Sens!$F$4784-Sens!$F$4787</f>
        <v>0</v>
      </c>
      <c r="G4791" s="41" t="n">
        <f aca="false">Sens!$G$4782+Sens!$G$4783+Sens!$G$4784-Sens!$G$4787</f>
        <v>0</v>
      </c>
      <c r="H4791" s="41" t="n">
        <f aca="false">Sens!$H$4782+Sens!$H$4783+Sens!$H$4784-Sens!$H$4787</f>
        <v>0</v>
      </c>
      <c r="I4791" s="41" t="n">
        <f aca="false">Sens!$I$4782+Sens!$I$4783+Sens!$I$4784-Sens!$I$4787</f>
        <v>0</v>
      </c>
      <c r="J4791" s="41" t="n">
        <f aca="false">Sens!$J$4782+Sens!$J$4783+Sens!$J$4784-Sens!$J$4787</f>
        <v>0</v>
      </c>
      <c r="K4791" s="41" t="n">
        <f aca="false">Sens!$K$4782+Sens!$K$4783+Sens!$K$4784-Sens!$K$4787</f>
        <v>0</v>
      </c>
      <c r="L4791" s="41" t="n">
        <f aca="false">Sens!$L$4782+Sens!$L$4783+Sens!$L$4784-Sens!$L$4787</f>
        <v>0</v>
      </c>
      <c r="M4791" s="41" t="n">
        <f aca="false">Sens!$M$4782+Sens!$M$4783+Sens!$M$4784-Sens!$M$4787</f>
        <v>0</v>
      </c>
      <c r="N4791" s="41" t="n">
        <f aca="false">Sens!$N$4782+Sens!$N$4783+Sens!$N$4784-Sens!$N$4787</f>
        <v>0</v>
      </c>
      <c r="O4791" s="41" t="n">
        <f aca="false">Sens!$O$4782+Sens!$O$4783+Sens!$O$4784-Sens!$O$4787</f>
        <v>0</v>
      </c>
    </row>
    <row r="4792" customFormat="false" ht="17.15" hidden="false" customHeight="false" outlineLevel="0" collapsed="false">
      <c r="A4792" s="1" t="s">
        <v>719</v>
      </c>
    </row>
    <row r="4793" customFormat="false" ht="17.15" hidden="false" customHeight="false" outlineLevel="0" collapsed="false">
      <c r="A4793" s="0" t="s">
        <v>720</v>
      </c>
      <c r="B4793" s="0" t="s">
        <v>86</v>
      </c>
      <c r="C4793" s="38" t="n">
        <f aca="false">Sens!$C$4697*m_ad</f>
        <v>20.5341564414228</v>
      </c>
      <c r="D4793" s="38" t="n">
        <f aca="false">Sens!$D$4697*m_ad</f>
        <v>24.8720617299587</v>
      </c>
      <c r="E4793" s="38" t="n">
        <f aca="false">Sens!$E$4697*m_ad</f>
        <v>13.5017112462207</v>
      </c>
      <c r="F4793" s="38" t="n">
        <f aca="false">Sens!$F$4697*m_ad</f>
        <v>16.5719724165257</v>
      </c>
      <c r="G4793" s="38" t="n">
        <f aca="false">Sens!$G$4697*m_ad</f>
        <v>30.0820919220415</v>
      </c>
      <c r="H4793" s="38" t="n">
        <f aca="false">Sens!$H$4697*m_ad</f>
        <v>36.1150883276314</v>
      </c>
      <c r="I4793" s="38" t="n">
        <f aca="false">Sens!$I$4697*m_ad</f>
        <v>42.1475382231996</v>
      </c>
      <c r="J4793" s="38" t="n">
        <f aca="false">Sens!$J$4697*m_ad</f>
        <v>47.7749523864693</v>
      </c>
      <c r="K4793" s="38" t="n">
        <f aca="false">Sens!$K$4697*m_ad</f>
        <v>52.5524476251162</v>
      </c>
      <c r="L4793" s="38" t="n">
        <f aca="false">Sens!$L$4697*m_ad</f>
        <v>57.8076923876279</v>
      </c>
      <c r="M4793" s="38" t="n">
        <f aca="false">Sens!$M$4697*m_ad</f>
        <v>63.5884616263907</v>
      </c>
      <c r="N4793" s="38" t="n">
        <f aca="false">Sens!$N$4697*m_ad</f>
        <v>10.8543555706248</v>
      </c>
      <c r="O4793" s="38" t="n">
        <f aca="false">Sens!$O$4697*m_ad</f>
        <v>14.0094731821399</v>
      </c>
    </row>
    <row r="4794" customFormat="false" ht="17.15" hidden="false" customHeight="false" outlineLevel="0" collapsed="false">
      <c r="A4794" s="0" t="s">
        <v>721</v>
      </c>
      <c r="B4794" s="0" t="s">
        <v>86</v>
      </c>
      <c r="C4794" s="38" t="n">
        <f aca="false">Sens!$C$4695-Sens!$C$4697</f>
        <v>346.428687117154</v>
      </c>
      <c r="D4794" s="38" t="n">
        <f aca="false">Sens!$D$4695-Sens!$D$4697</f>
        <v>376.560876540083</v>
      </c>
      <c r="E4794" s="38" t="n">
        <f aca="false">Sens!$E$4695-Sens!$E$4697</f>
        <v>193.316577507559</v>
      </c>
      <c r="F4794" s="38" t="n">
        <f aca="false">Sens!$F$4695-Sens!$F$4697</f>
        <v>217.495828647535</v>
      </c>
      <c r="G4794" s="38" t="n">
        <f aca="false">Sens!$G$4695-Sens!$G$4697</f>
        <v>410.795589636503</v>
      </c>
      <c r="H4794" s="38" t="n">
        <f aca="false">Sens!$H$4695-Sens!$H$4697</f>
        <v>449.156813761174</v>
      </c>
      <c r="I4794" s="38" t="n">
        <f aca="false">Sens!$I$4695-Sens!$I$4697</f>
        <v>485.848786441156</v>
      </c>
      <c r="J4794" s="38" t="n">
        <f aca="false">Sens!$J$4695-Sens!$J$4697</f>
        <v>519.841531018994</v>
      </c>
      <c r="K4794" s="38" t="n">
        <f aca="false">Sens!$K$4695-Sens!$K$4697</f>
        <v>550.103332311311</v>
      </c>
      <c r="L4794" s="38" t="n">
        <f aca="false">Sens!$L$4695-Sens!$L$4697</f>
        <v>582.192354474511</v>
      </c>
      <c r="M4794" s="38" t="n">
        <f aca="false">Sens!$M$4695-Sens!$M$4697</f>
        <v>616.22240521081</v>
      </c>
      <c r="N4794" s="38" t="n">
        <f aca="false">Sens!$N$4695-Sens!$N$4697</f>
        <v>171.24628885875</v>
      </c>
      <c r="O4794" s="38" t="n">
        <f aca="false">Sens!$O$4695-Sens!$O$4697</f>
        <v>205.33105363572</v>
      </c>
    </row>
    <row r="4795" customFormat="false" ht="17.15" hidden="false" customHeight="false" outlineLevel="0" collapsed="false">
      <c r="A4795" s="0" t="s">
        <v>722</v>
      </c>
      <c r="B4795" s="0" t="s">
        <v>86</v>
      </c>
      <c r="C4795" s="38" t="n">
        <f aca="false">Sens!$C$4746*Sens!$C$4694</f>
        <v>0.123617442257179</v>
      </c>
      <c r="D4795" s="38" t="n">
        <f aca="false">Sens!$D$4746*Sens!$D$4694</f>
        <v>0.600198046024689</v>
      </c>
      <c r="E4795" s="38" t="n">
        <f aca="false">Sens!$E$4746*Sens!$E$4694</f>
        <v>0.970552432202993</v>
      </c>
      <c r="F4795" s="38" t="n">
        <f aca="false">Sens!$F$4746*Sens!$F$4694</f>
        <v>1.20013524388435</v>
      </c>
      <c r="G4795" s="38" t="n">
        <f aca="false">Sens!$G$4746*Sens!$G$4694</f>
        <v>2.17135369594947</v>
      </c>
      <c r="H4795" s="38" t="n">
        <f aca="false">Sens!$H$4746*Sens!$H$4694</f>
        <v>6.14227489656333</v>
      </c>
      <c r="I4795" s="38" t="n">
        <f aca="false">Sens!$I$4746*Sens!$I$4694</f>
        <v>11.6518054969681</v>
      </c>
      <c r="J4795" s="38" t="n">
        <f aca="false">Sens!$J$4746*Sens!$J$4694</f>
        <v>17.3105301010592</v>
      </c>
      <c r="K4795" s="38" t="n">
        <f aca="false">Sens!$K$4746*Sens!$K$4694</f>
        <v>22.8486728059883</v>
      </c>
      <c r="L4795" s="38" t="n">
        <f aca="false">Sens!$L$4746*Sens!$L$4694</f>
        <v>26.6849171332777</v>
      </c>
      <c r="M4795" s="38" t="n">
        <f aca="false">Sens!$M$4746*Sens!$M$4694</f>
        <v>29.0523240317336</v>
      </c>
      <c r="N4795" s="38" t="n">
        <f aca="false">Sens!$N$4746*Sens!$N$4694</f>
        <v>0.25053229484398</v>
      </c>
      <c r="O4795" s="38" t="n">
        <f aca="false">Sens!$O$4746*Sens!$O$4694</f>
        <v>0.349234376756897</v>
      </c>
    </row>
    <row r="4796" customFormat="false" ht="17.15" hidden="false" customHeight="false" outlineLevel="0" collapsed="false">
      <c r="A4796" s="0" t="s">
        <v>723</v>
      </c>
      <c r="B4796" s="0" t="s">
        <v>52</v>
      </c>
      <c r="C4796" s="28" t="n">
        <f aca="false">(Sens!$C$4797-Sens!$C$4793+Sens!$C$4795)/Sens!$C$4794</f>
        <v>0.0131526665379575</v>
      </c>
      <c r="D4796" s="28" t="n">
        <f aca="false">(Sens!$D$4797-Sens!$D$4793+Sens!$D$4795)/Sens!$D$4794</f>
        <v>0.0141999252954702</v>
      </c>
      <c r="E4796" s="28" t="n">
        <f aca="false">(Sens!$E$4797-Sens!$E$4793+Sens!$E$4795)/Sens!$E$4794</f>
        <v>0.0251341154940129</v>
      </c>
      <c r="F4796" s="28" t="n">
        <f aca="false">Sens!$O$4796+(Sens!$E$4796-Sens!$N$4796)</f>
        <v>0.0217171685713677</v>
      </c>
      <c r="G4796" s="28" t="n">
        <f aca="false">(Sens!$G$4797-Sens!$G$4793+Sens!$G$4795)/Sens!$G$4794</f>
        <v>0.0233071940458981</v>
      </c>
      <c r="H4796" s="28" t="n">
        <f aca="false">Sens!$G$4796+step_na_hi</f>
        <v>0.0293071940458981</v>
      </c>
      <c r="I4796" s="28" t="n">
        <f aca="false">Sens!$H$4796+step_na_hi</f>
        <v>0.0353071940458981</v>
      </c>
      <c r="J4796" s="28" t="n">
        <f aca="false">Sens!$I$4796+step_na_hi</f>
        <v>0.0413071940458981</v>
      </c>
      <c r="K4796" s="28" t="n">
        <f aca="false">Sens!$J$4796+step_na_hi</f>
        <v>0.0473071940458981</v>
      </c>
      <c r="L4796" s="28" t="n">
        <f aca="false">Sens!$K$4796</f>
        <v>0.0473071940458981</v>
      </c>
      <c r="M4796" s="28" t="n">
        <f aca="false">Sens!$L$4796</f>
        <v>0.0473071940458981</v>
      </c>
      <c r="N4796" s="28" t="n">
        <f aca="false">(Sens!$N$4797-Sens!$N$4793+Sens!$N$4795)/Sens!$N$4794</f>
        <v>0.0160831323269779</v>
      </c>
      <c r="O4796" s="28" t="n">
        <f aca="false">(Sens!$O$4797-Sens!$O$4793+Sens!$O$4795)/Sens!$O$4794</f>
        <v>0.0126661854043327</v>
      </c>
      <c r="P4796" s="8" t="s">
        <v>724</v>
      </c>
    </row>
    <row r="4797" customFormat="false" ht="17.15" hidden="false" customHeight="false" outlineLevel="0" collapsed="false">
      <c r="A4797" s="1" t="s">
        <v>725</v>
      </c>
      <c r="B4797" s="8" t="s">
        <v>86</v>
      </c>
      <c r="C4797" s="38" t="n">
        <f aca="false">Q!$D$22</f>
        <v>24.967</v>
      </c>
      <c r="D4797" s="38" t="n">
        <f aca="false">Q!$E$22</f>
        <v>29.619</v>
      </c>
      <c r="E4797" s="38" t="n">
        <f aca="false">Q!$P$22</f>
        <v>17.39</v>
      </c>
      <c r="F4797" s="38" t="n">
        <f aca="false">Sens!$F$4793+Sens!$F$4794*Sens!$F$4796-Sens!$F$4795</f>
        <v>20.0952307469491</v>
      </c>
      <c r="G4797" s="38" t="n">
        <f aca="false">Sens!$E$4797+Sens!$F$4797</f>
        <v>37.4852307469491</v>
      </c>
      <c r="H4797" s="38" t="n">
        <f aca="false">Sens!$H$4793+Sens!$H$4794*Sens!$H$4796-Sens!$H$4795</f>
        <v>43.1363393290041</v>
      </c>
      <c r="I4797" s="38" t="n">
        <f aca="false">Sens!$I$4793+Sens!$I$4794*Sens!$I$4796-Sens!$I$4795</f>
        <v>47.6496901060735</v>
      </c>
      <c r="J4797" s="38" t="n">
        <f aca="false">Sens!$J$4793+Sens!$J$4794*Sens!$J$4796-Sens!$J$4795</f>
        <v>51.9376172803284</v>
      </c>
      <c r="K4797" s="38" t="n">
        <f aca="false">Sens!$K$4793+Sens!$K$4794*Sens!$K$4796-Sens!$K$4795</f>
        <v>55.7276199060743</v>
      </c>
      <c r="L4797" s="38" t="n">
        <f aca="false">Sens!$L$4793+Sens!$L$4794*Sens!$L$4796-Sens!$L$4795</f>
        <v>58.6646619395141</v>
      </c>
      <c r="M4797" s="38" t="n">
        <f aca="false">Sens!$M$4793+Sens!$M$4794*Sens!$M$4796-Sens!$M$4795</f>
        <v>63.6878904933949</v>
      </c>
      <c r="N4797" s="38" t="n">
        <f aca="false">Q!$N$22</f>
        <v>13.358</v>
      </c>
      <c r="O4797" s="38" t="n">
        <f aca="false">Q!$O$22</f>
        <v>16.261</v>
      </c>
    </row>
    <row r="4798" customFormat="false" ht="17.15" hidden="false" customHeight="false" outlineLevel="0" collapsed="false">
      <c r="A4798" s="0" t="s">
        <v>726</v>
      </c>
      <c r="B4798" s="0" t="s">
        <v>86</v>
      </c>
      <c r="C4798" s="38" t="n">
        <f aca="false">Sens!$C$4698*m_ad</f>
        <v>7.57284355857716</v>
      </c>
      <c r="D4798" s="38" t="n">
        <f aca="false">Sens!$D$4698*m_ad</f>
        <v>9.44543827004127</v>
      </c>
      <c r="E4798" s="38" t="n">
        <f aca="false">Sens!$E$4698*m_ad</f>
        <v>5.02428875377928</v>
      </c>
      <c r="F4798" s="38" t="n">
        <f aca="false">Sens!$F$4698*m_ad</f>
        <v>6.50663858068173</v>
      </c>
      <c r="G4798" s="38" t="n">
        <f aca="false">Sens!$G$4698*m_ad</f>
        <v>11.5225190751659</v>
      </c>
      <c r="H4798" s="38" t="n">
        <f aca="false">Sens!$H$4698*m_ad</f>
        <v>13.8333728663174</v>
      </c>
      <c r="I4798" s="38" t="n">
        <f aca="false">Sens!$I$4698*m_ad</f>
        <v>16.1440173245485</v>
      </c>
      <c r="J4798" s="38" t="n">
        <f aca="false">Sens!$J$4698*m_ad</f>
        <v>18.2995185845066</v>
      </c>
      <c r="K4798" s="38" t="n">
        <f aca="false">Sens!$K$4698*m_ad</f>
        <v>20.1294704429572</v>
      </c>
      <c r="L4798" s="38" t="n">
        <f aca="false">Sens!$L$4698*m_ad</f>
        <v>22.142417487253</v>
      </c>
      <c r="M4798" s="38" t="n">
        <f aca="false">Sens!$M$4698*m_ad</f>
        <v>24.3566592359783</v>
      </c>
      <c r="N4798" s="38" t="n">
        <f aca="false">Sens!$N$4698*m_ad</f>
        <v>3.95314442937518</v>
      </c>
      <c r="O4798" s="38" t="n">
        <f aca="false">Sens!$O$4698*m_ad</f>
        <v>5.50052681786011</v>
      </c>
    </row>
    <row r="4799" customFormat="false" ht="17.15" hidden="false" customHeight="false" outlineLevel="0" collapsed="false">
      <c r="A4799" s="0" t="s">
        <v>727</v>
      </c>
      <c r="B4799" s="0" t="s">
        <v>86</v>
      </c>
      <c r="C4799" s="38" t="n">
        <f aca="false">Sens!$C$4696-Sens!$C$4698</f>
        <v>127.760312882846</v>
      </c>
      <c r="D4799" s="38" t="n">
        <f aca="false">Sens!$D$4696-Sens!$D$4698</f>
        <v>143.003123459917</v>
      </c>
      <c r="E4799" s="38" t="n">
        <f aca="false">Sens!$E$4696-Sens!$E$4698</f>
        <v>71.9374224924414</v>
      </c>
      <c r="F4799" s="38" t="n">
        <f aca="false">Sens!$F$4696-Sens!$F$4698</f>
        <v>85.3951910035875</v>
      </c>
      <c r="G4799" s="38" t="n">
        <f aca="false">Sens!$G$4696-Sens!$G$4698</f>
        <v>157.349430014619</v>
      </c>
      <c r="H4799" s="38" t="n">
        <f aca="false">Sens!$H$4696-Sens!$H$4698</f>
        <v>172.043153372315</v>
      </c>
      <c r="I4799" s="38" t="n">
        <f aca="false">Sens!$I$4696-Sens!$I$4698</f>
        <v>186.097493615879</v>
      </c>
      <c r="J4799" s="38" t="n">
        <f aca="false">Sens!$J$4696-Sens!$J$4698</f>
        <v>199.117932780497</v>
      </c>
      <c r="K4799" s="38" t="n">
        <f aca="false">Sens!$K$4696-Sens!$K$4698</f>
        <v>210.70928698363</v>
      </c>
      <c r="L4799" s="38" t="n">
        <f aca="false">Sens!$L$4696-Sens!$L$4698</f>
        <v>223.000532251316</v>
      </c>
      <c r="M4799" s="38" t="n">
        <f aca="false">Sens!$M$4696-Sens!$M$4698</f>
        <v>236.035261011339</v>
      </c>
      <c r="N4799" s="38" t="n">
        <f aca="false">Sens!$N$4696-Sens!$N$4698</f>
        <v>62.3677111412496</v>
      </c>
      <c r="O4799" s="38" t="n">
        <f aca="false">Sens!$O$4696-Sens!$O$4698</f>
        <v>80.6189463642798</v>
      </c>
    </row>
    <row r="4800" customFormat="false" ht="17.15" hidden="false" customHeight="false" outlineLevel="0" collapsed="false">
      <c r="A4800" s="0" t="s">
        <v>728</v>
      </c>
      <c r="B4800" s="0" t="s">
        <v>86</v>
      </c>
      <c r="C4800" s="38" t="n">
        <f aca="false">Sens!$C$4746*(1-Sens!$C$4694)</f>
        <v>0.0455891896019953</v>
      </c>
      <c r="D4800" s="38" t="n">
        <f aca="false">Sens!$D$4746*(1-Sens!$D$4694)</f>
        <v>0.227931791705753</v>
      </c>
      <c r="E4800" s="38" t="n">
        <f aca="false">Sens!$E$4746*(1-Sens!$E$4694)</f>
        <v>0.361164268820781</v>
      </c>
      <c r="F4800" s="38" t="n">
        <f aca="false">Sens!$F$4746*(1-Sens!$F$4694)</f>
        <v>0.471208018190203</v>
      </c>
      <c r="G4800" s="38" t="n">
        <f aca="false">Sens!$G$4746*(1-Sens!$G$4694)</f>
        <v>0.83170626714885</v>
      </c>
      <c r="H4800" s="38" t="n">
        <f aca="false">Sens!$H$4746*(1-Sens!$H$4694)</f>
        <v>2.35271136874315</v>
      </c>
      <c r="I4800" s="38" t="n">
        <f aca="false">Sens!$I$4746*(1-Sens!$I$4694)</f>
        <v>4.46305900024741</v>
      </c>
      <c r="J4800" s="38" t="n">
        <f aca="false">Sens!$J$4746*(1-Sens!$J$4694)</f>
        <v>6.63055328092195</v>
      </c>
      <c r="K4800" s="38" t="n">
        <f aca="false">Sens!$K$4746*(1-Sens!$K$4694)</f>
        <v>8.75186037365703</v>
      </c>
      <c r="L4800" s="38" t="n">
        <f aca="false">Sens!$L$4746*(1-Sens!$L$4694)</f>
        <v>10.2212794071718</v>
      </c>
      <c r="M4800" s="38" t="n">
        <f aca="false">Sens!$M$4746*(1-Sens!$M$4694)</f>
        <v>11.1280810756472</v>
      </c>
      <c r="N4800" s="38" t="n">
        <f aca="false">Sens!$N$4746*(1-Sens!$N$4694)</f>
        <v>0.0912435878202994</v>
      </c>
      <c r="O4800" s="38" t="n">
        <f aca="false">Sens!$O$4746*(1-Sens!$O$4694)</f>
        <v>0.137119578309265</v>
      </c>
    </row>
    <row r="4801" customFormat="false" ht="17.15" hidden="false" customHeight="false" outlineLevel="0" collapsed="false">
      <c r="A4801" s="0" t="s">
        <v>729</v>
      </c>
      <c r="B4801" s="0" t="s">
        <v>52</v>
      </c>
      <c r="C4801" s="28" t="n">
        <f aca="false">(Sens!$C$4802-Sens!$C$4798+Sens!$C$4800)/Sens!$C$4799</f>
        <v>-0.0292364215826579</v>
      </c>
      <c r="D4801" s="28" t="n">
        <f aca="false">(Sens!$D$4802-Sens!$D$4798+Sens!$D$4800)/Sens!$D$4799</f>
        <v>-0.0312406216748665</v>
      </c>
      <c r="E4801" s="28" t="n">
        <f aca="false">(Sens!$E$4802-Sens!$E$4798+Sens!$E$4800)/Sens!$E$4799</f>
        <v>-0.0211590078184749</v>
      </c>
      <c r="F4801" s="28" t="n">
        <f aca="false">Sens!$O$4801+(Sens!$E$4801-Sens!$N$4801)</f>
        <v>-0.0382539955245511</v>
      </c>
      <c r="G4801" s="28" t="n">
        <f aca="false">(Sens!$G$4802-Sens!$G$4798+Sens!$G$4800)/Sens!$G$4799</f>
        <v>-0.030385172031133</v>
      </c>
      <c r="H4801" s="28" t="n">
        <f aca="false">Sens!$G$4801+step_in</f>
        <v>-0.030385172031133</v>
      </c>
      <c r="I4801" s="28" t="n">
        <f aca="false">Sens!$H$4801+step_in</f>
        <v>-0.030385172031133</v>
      </c>
      <c r="J4801" s="28" t="n">
        <f aca="false">Sens!$I$4801+step_in</f>
        <v>-0.030385172031133</v>
      </c>
      <c r="K4801" s="28" t="n">
        <f aca="false">Sens!$J$4801+step_in</f>
        <v>-0.030385172031133</v>
      </c>
      <c r="L4801" s="28" t="n">
        <f aca="false">Sens!$K$4801</f>
        <v>-0.030385172031133</v>
      </c>
      <c r="M4801" s="28" t="n">
        <f aca="false">Sens!$L$4801</f>
        <v>-0.030385172031133</v>
      </c>
      <c r="N4801" s="28" t="n">
        <f aca="false">(Sens!$N$4802-Sens!$N$4798+Sens!$N$4800)/Sens!$N$4799</f>
        <v>-0.0216602600421776</v>
      </c>
      <c r="O4801" s="28" t="n">
        <f aca="false">(Sens!$O$4802-Sens!$O$4798+Sens!$O$4800)/Sens!$O$4799</f>
        <v>-0.0387552477482538</v>
      </c>
      <c r="P4801" s="8" t="s">
        <v>724</v>
      </c>
    </row>
    <row r="4802" customFormat="false" ht="17.15" hidden="false" customHeight="false" outlineLevel="0" collapsed="false">
      <c r="A4802" s="1" t="s">
        <v>730</v>
      </c>
      <c r="B4802" s="8" t="s">
        <v>86</v>
      </c>
      <c r="C4802" s="38" t="n">
        <f aca="false">Q!$D$23</f>
        <v>3.792</v>
      </c>
      <c r="D4802" s="38" t="n">
        <f aca="false">Q!$E$23</f>
        <v>4.75</v>
      </c>
      <c r="E4802" s="38" t="n">
        <f aca="false">Q!$P$23</f>
        <v>3.141</v>
      </c>
      <c r="F4802" s="38" t="n">
        <f aca="false">Sens!$F$4798+Sens!$F$4799*Sens!$F$4801-Sens!$F$4800</f>
        <v>2.7687233080221</v>
      </c>
      <c r="G4802" s="38" t="n">
        <f aca="false">Sens!$E$4802+Sens!$F$4802</f>
        <v>5.9097233080221</v>
      </c>
      <c r="H4802" s="38" t="n">
        <f aca="false">Sens!$H$4798+Sens!$H$4799*Sens!$H$4801-Sens!$H$4800</f>
        <v>6.25310068557783</v>
      </c>
      <c r="I4802" s="38" t="n">
        <f aca="false">Sens!$I$4798+Sens!$I$4799*Sens!$I$4801-Sens!$I$4800</f>
        <v>6.02635396621997</v>
      </c>
      <c r="J4802" s="38" t="n">
        <f aca="false">Sens!$J$4798+Sens!$J$4799*Sens!$J$4801-Sens!$J$4800</f>
        <v>5.61873266156566</v>
      </c>
      <c r="K4802" s="38" t="n">
        <f aca="false">Sens!$K$4798+Sens!$K$4799*Sens!$K$4801-Sens!$K$4800</f>
        <v>4.97517213574524</v>
      </c>
      <c r="L4802" s="38" t="n">
        <f aca="false">Sens!$L$4798+Sens!$L$4799*Sens!$L$4801-Sens!$L$4800</f>
        <v>5.14522854459066</v>
      </c>
      <c r="M4802" s="38" t="n">
        <f aca="false">Sens!$M$4798+Sens!$M$4799*Sens!$M$4801-Sens!$M$4800</f>
        <v>6.05660614908815</v>
      </c>
      <c r="N4802" s="38" t="n">
        <f aca="false">Q!$N$23</f>
        <v>2.511</v>
      </c>
      <c r="O4802" s="38" t="n">
        <f aca="false">Q!$O$23</f>
        <v>2.239</v>
      </c>
    </row>
    <row r="4803" customFormat="false" ht="17.15" hidden="false" customHeight="false" outlineLevel="0" collapsed="false">
      <c r="A4803" s="0" t="s">
        <v>731</v>
      </c>
      <c r="B4803" s="0" t="s">
        <v>86</v>
      </c>
      <c r="C4803" s="38" t="n">
        <f aca="false">Sens!$C$4743</f>
        <v>1.64417882953695</v>
      </c>
      <c r="D4803" s="38" t="n">
        <f aca="false">Sens!$D$4743</f>
        <v>5.39125073772939</v>
      </c>
      <c r="E4803" s="38" t="n">
        <f aca="false">Sens!$E$4743</f>
        <v>3.18348617147493</v>
      </c>
      <c r="F4803" s="38" t="n">
        <f aca="false">Sens!$F$4743</f>
        <v>8.27806059642226</v>
      </c>
      <c r="G4803" s="38" t="n">
        <f aca="false">Sens!$G$4743</f>
        <v>11.4615467678972</v>
      </c>
      <c r="H4803" s="38" t="n">
        <f aca="false">Sens!$H$4743</f>
        <v>26.1859456885487</v>
      </c>
      <c r="I4803" s="38" t="n">
        <f aca="false">Sens!$I$4743</f>
        <v>37.04424114757</v>
      </c>
      <c r="J4803" s="38" t="n">
        <f aca="false">Sens!$J$4743</f>
        <v>47.2610736233534</v>
      </c>
      <c r="K4803" s="38" t="n">
        <f aca="false">Sens!$K$4743</f>
        <v>52.0459876645985</v>
      </c>
      <c r="L4803" s="38" t="n">
        <f aca="false">Sens!$L$4743</f>
        <v>54.1033156405981</v>
      </c>
      <c r="M4803" s="38" t="n">
        <f aca="false">Sens!$M$4743</f>
        <v>52.1138209393421</v>
      </c>
      <c r="N4803" s="38" t="n">
        <f aca="false">Sens!$N$4743</f>
        <v>1.67921600037079</v>
      </c>
      <c r="O4803" s="38" t="n">
        <f aca="false">Sens!$O$4743</f>
        <v>3.71203473735861</v>
      </c>
    </row>
    <row r="4804" customFormat="false" ht="17.15" hidden="false" customHeight="false" outlineLevel="0" collapsed="false">
      <c r="A4804" s="0" t="s">
        <v>649</v>
      </c>
      <c r="B4804" s="0" t="s">
        <v>86</v>
      </c>
      <c r="C4804" s="38" t="n">
        <f aca="false">Sens!$C$4748</f>
        <v>38.1898211704631</v>
      </c>
      <c r="D4804" s="38" t="n">
        <f aca="false">Sens!$D$4748</f>
        <v>40.2147492622706</v>
      </c>
      <c r="E4804" s="38" t="n">
        <f aca="false">Sens!$E$4748</f>
        <v>27.5985138285251</v>
      </c>
      <c r="F4804" s="38" t="n">
        <f aca="false">Sens!$F$4748</f>
        <v>25.5484769754606</v>
      </c>
      <c r="G4804" s="38" t="n">
        <f aca="false">Sens!$G$4748</f>
        <v>53.1469908039857</v>
      </c>
      <c r="H4804" s="38" t="n">
        <f aca="false">Sens!$H$4748</f>
        <v>57.3189525076539</v>
      </c>
      <c r="I4804" s="38" t="n">
        <f aca="false">Sens!$I$4748</f>
        <v>63.6385627021087</v>
      </c>
      <c r="J4804" s="38" t="n">
        <f aca="false">Sens!$J$4748</f>
        <v>69.6922896066105</v>
      </c>
      <c r="K4804" s="38" t="n">
        <f aca="false">Sens!$K$4748</f>
        <v>75.2676727751394</v>
      </c>
      <c r="L4804" s="38" t="n">
        <f aca="false">Sens!$L$4748</f>
        <v>81.2890865971505</v>
      </c>
      <c r="M4804" s="38" t="n">
        <f aca="false">Sens!$M$4748</f>
        <v>87.7922135249226</v>
      </c>
      <c r="N4804" s="38" t="n">
        <f aca="false">Sens!$N$4748</f>
        <v>20.0277839996292</v>
      </c>
      <c r="O4804" s="38" t="n">
        <f aca="false">Sens!$O$4748</f>
        <v>20.1869652626414</v>
      </c>
    </row>
    <row r="4805" customFormat="false" ht="17.15" hidden="false" customHeight="false" outlineLevel="0" collapsed="false">
      <c r="A4805" s="1" t="s">
        <v>732</v>
      </c>
      <c r="B4805" s="8" t="s">
        <v>86</v>
      </c>
      <c r="C4805" s="38" t="n">
        <f aca="false">Q!$D$24</f>
        <v>39.834</v>
      </c>
      <c r="D4805" s="38" t="n">
        <f aca="false">Q!$E$24</f>
        <v>45.606</v>
      </c>
      <c r="E4805" s="38" t="n">
        <f aca="false">Q!$P$24</f>
        <v>30.782</v>
      </c>
      <c r="F4805" s="38" t="n">
        <f aca="false">Sens!$F$4803+Sens!$F$4804</f>
        <v>33.8265375718829</v>
      </c>
      <c r="G4805" s="38" t="n">
        <f aca="false">Sens!$G$4803+Sens!$G$4804</f>
        <v>64.6085375718829</v>
      </c>
      <c r="H4805" s="38" t="n">
        <f aca="false">Sens!$H$4803+Sens!$H$4804</f>
        <v>83.5048981962026</v>
      </c>
      <c r="I4805" s="38" t="n">
        <f aca="false">Sens!$I$4803+Sens!$I$4804</f>
        <v>100.682803849679</v>
      </c>
      <c r="J4805" s="38" t="n">
        <f aca="false">Sens!$J$4803+Sens!$J$4804</f>
        <v>116.953363229964</v>
      </c>
      <c r="K4805" s="38" t="n">
        <f aca="false">Sens!$K$4803+Sens!$K$4804</f>
        <v>127.313660439738</v>
      </c>
      <c r="L4805" s="38" t="n">
        <f aca="false">Sens!$L$4803+Sens!$L$4804</f>
        <v>135.392402237749</v>
      </c>
      <c r="M4805" s="38" t="n">
        <f aca="false">Sens!$M$4803+Sens!$M$4804</f>
        <v>139.906034464265</v>
      </c>
      <c r="N4805" s="38" t="n">
        <f aca="false">Q!$N$24</f>
        <v>21.707</v>
      </c>
      <c r="O4805" s="38" t="n">
        <f aca="false">Q!$O$24</f>
        <v>23.899</v>
      </c>
    </row>
    <row r="4806" customFormat="false" ht="17.15" hidden="false" customHeight="false" outlineLevel="0" collapsed="false">
      <c r="A4806" s="5" t="s">
        <v>733</v>
      </c>
      <c r="B4806" s="0" t="s">
        <v>86</v>
      </c>
      <c r="C4806" s="38" t="n">
        <f aca="false">Q!$D$26</f>
        <v>0</v>
      </c>
      <c r="D4806" s="38" t="n">
        <f aca="false">Q!$E$26</f>
        <v>0</v>
      </c>
      <c r="E4806" s="38" t="n">
        <f aca="false">Q!$P$26</f>
        <v>0</v>
      </c>
      <c r="F4806" s="39" t="n">
        <v>0</v>
      </c>
      <c r="G4806" s="38" t="n">
        <f aca="false">Sens!$E$4806+Sens!$F$4806</f>
        <v>0</v>
      </c>
      <c r="H4806" s="39" t="n">
        <v>0</v>
      </c>
      <c r="I4806" s="39" t="n">
        <v>0</v>
      </c>
      <c r="J4806" s="39" t="n">
        <v>0</v>
      </c>
      <c r="K4806" s="39" t="n">
        <v>0</v>
      </c>
      <c r="L4806" s="39" t="n">
        <v>0</v>
      </c>
      <c r="M4806" s="39" t="n">
        <v>0</v>
      </c>
      <c r="N4806" s="38" t="n">
        <f aca="false">Q!$N$26</f>
        <v>0</v>
      </c>
      <c r="O4806" s="38" t="n">
        <f aca="false">Q!$O$26</f>
        <v>0</v>
      </c>
    </row>
    <row r="4807" customFormat="false" ht="15" hidden="false" customHeight="false" outlineLevel="0" collapsed="false">
      <c r="A4807" s="3" t="s">
        <v>534</v>
      </c>
      <c r="B4807" s="8" t="s">
        <v>86</v>
      </c>
      <c r="C4807" s="38" t="n">
        <f aca="false">Q!$D$25</f>
        <v>68.593</v>
      </c>
      <c r="D4807" s="38" t="n">
        <f aca="false">Q!$E$25</f>
        <v>79.975</v>
      </c>
      <c r="E4807" s="38" t="n">
        <f aca="false">Q!$P$25</f>
        <v>51.313</v>
      </c>
      <c r="F4807" s="38" t="n">
        <f aca="false">Sens!$F$4797+Sens!$F$4802+Sens!$F$4805+Sens!$F$4806</f>
        <v>56.6904916268541</v>
      </c>
      <c r="G4807" s="38" t="n">
        <f aca="false">Sens!$G$4797+Sens!$G$4802+Sens!$G$4805+Sens!$G$4806</f>
        <v>108.003491626854</v>
      </c>
      <c r="H4807" s="38" t="n">
        <f aca="false">Sens!$H$4797+Sens!$H$4802+Sens!$H$4805+Sens!$H$4806</f>
        <v>132.894338210785</v>
      </c>
      <c r="I4807" s="38" t="n">
        <f aca="false">Sens!$I$4797+Sens!$I$4802+Sens!$I$4805+Sens!$I$4806</f>
        <v>154.358847921972</v>
      </c>
      <c r="J4807" s="38" t="n">
        <f aca="false">Sens!$J$4797+Sens!$J$4802+Sens!$J$4805+Sens!$J$4806</f>
        <v>174.509713171858</v>
      </c>
      <c r="K4807" s="38" t="n">
        <f aca="false">Sens!$K$4797+Sens!$K$4802+Sens!$K$4805+Sens!$K$4806</f>
        <v>188.016452481557</v>
      </c>
      <c r="L4807" s="38" t="n">
        <f aca="false">Sens!$L$4797+Sens!$L$4802+Sens!$L$4805+Sens!$L$4806</f>
        <v>199.202292721853</v>
      </c>
      <c r="M4807" s="38" t="n">
        <f aca="false">Sens!$M$4797+Sens!$M$4802+Sens!$M$4805+Sens!$M$4806</f>
        <v>209.650531106748</v>
      </c>
      <c r="N4807" s="38" t="n">
        <f aca="false">Q!$N$25</f>
        <v>37.576</v>
      </c>
      <c r="O4807" s="38" t="n">
        <f aca="false">Q!$O$25</f>
        <v>42.399</v>
      </c>
    </row>
    <row r="4808" customFormat="false" ht="17.15" hidden="false" customHeight="false" outlineLevel="0" collapsed="false">
      <c r="A4808" s="24" t="s">
        <v>764</v>
      </c>
      <c r="B4808" s="25" t="s">
        <v>86</v>
      </c>
      <c r="C4808" s="41" t="n">
        <f aca="false">Sens!$C$4797+Sens!$C$4802+Sens!$C$4805+Sens!$C$4806-Sens!$C$4807</f>
        <v>0</v>
      </c>
      <c r="D4808" s="41" t="n">
        <f aca="false">Sens!$D$4797+Sens!$D$4802+Sens!$D$4805+Sens!$D$4806-Sens!$D$4807</f>
        <v>0</v>
      </c>
      <c r="E4808" s="41" t="n">
        <f aca="false">Sens!$E$4797+Sens!$E$4802+Sens!$E$4805+Sens!$E$4806-Sens!$E$4807</f>
        <v>0</v>
      </c>
      <c r="F4808" s="41" t="n">
        <f aca="false">Sens!$F$4797+Sens!$F$4802+Sens!$F$4805+Sens!$F$4806-Sens!$F$4807</f>
        <v>0</v>
      </c>
      <c r="G4808" s="41" t="n">
        <f aca="false">Sens!$G$4797+Sens!$G$4802+Sens!$G$4805+Sens!$G$4806-Sens!$G$4807</f>
        <v>0</v>
      </c>
      <c r="H4808" s="41" t="n">
        <f aca="false">Sens!$H$4797+Sens!$H$4802+Sens!$H$4805+Sens!$H$4806-Sens!$H$4807</f>
        <v>0</v>
      </c>
      <c r="I4808" s="41" t="n">
        <f aca="false">Sens!$I$4797+Sens!$I$4802+Sens!$I$4805+Sens!$I$4806-Sens!$I$4807</f>
        <v>0</v>
      </c>
      <c r="J4808" s="41" t="n">
        <f aca="false">Sens!$J$4797+Sens!$J$4802+Sens!$J$4805+Sens!$J$4806-Sens!$J$4807</f>
        <v>0</v>
      </c>
      <c r="K4808" s="41" t="n">
        <f aca="false">Sens!$K$4797+Sens!$K$4802+Sens!$K$4805+Sens!$K$4806-Sens!$K$4807</f>
        <v>0</v>
      </c>
      <c r="L4808" s="41" t="n">
        <f aca="false">Sens!$L$4797+Sens!$L$4802+Sens!$L$4805+Sens!$L$4806-Sens!$L$4807</f>
        <v>0</v>
      </c>
      <c r="M4808" s="41" t="n">
        <f aca="false">Sens!$M$4797+Sens!$M$4802+Sens!$M$4805+Sens!$M$4806-Sens!$M$4807</f>
        <v>0</v>
      </c>
      <c r="N4808" s="41" t="n">
        <f aca="false">Sens!$N$4797+Sens!$N$4802+Sens!$N$4805+Sens!$N$4806-Sens!$N$4807</f>
        <v>0</v>
      </c>
      <c r="O4808" s="41" t="n">
        <f aca="false">Sens!$O$4797+Sens!$O$4802+Sens!$O$4805+Sens!$O$4806-Sens!$O$4807</f>
        <v>0</v>
      </c>
    </row>
    <row r="4809" customFormat="false" ht="17.15" hidden="false" customHeight="false" outlineLevel="0" collapsed="false">
      <c r="A4809" s="5" t="s">
        <v>735</v>
      </c>
      <c r="B4809" s="0" t="s">
        <v>86</v>
      </c>
      <c r="C4809" s="38" t="n">
        <f aca="false">Sens!$C$4745</f>
        <v>0</v>
      </c>
      <c r="D4809" s="38" t="n">
        <f aca="false">Sens!$D$4745</f>
        <v>0</v>
      </c>
      <c r="E4809" s="38" t="n">
        <f aca="false">Sens!$E$4745</f>
        <v>0</v>
      </c>
      <c r="F4809" s="38" t="n">
        <f aca="false">Sens!$F$4745</f>
        <v>3.77122048175818</v>
      </c>
      <c r="G4809" s="38" t="n">
        <f aca="false">Sens!$G$4745</f>
        <v>3.77122048175818</v>
      </c>
      <c r="H4809" s="38" t="n">
        <f aca="false">Sens!$H$4745</f>
        <v>15.1635543609893</v>
      </c>
      <c r="I4809" s="38" t="n">
        <f aca="false">Sens!$I$4745</f>
        <v>25.5818843619889</v>
      </c>
      <c r="J4809" s="38" t="n">
        <f aca="false">Sens!$J$4745</f>
        <v>36.0465624179122</v>
      </c>
      <c r="K4809" s="38" t="n">
        <f aca="false">Sens!$K$4745</f>
        <v>44.9741164026038</v>
      </c>
      <c r="L4809" s="38" t="n">
        <f aca="false">Sens!$L$4745</f>
        <v>50.8413488057813</v>
      </c>
      <c r="M4809" s="38" t="n">
        <f aca="false">Sens!$M$4745</f>
        <v>53.6407214274315</v>
      </c>
      <c r="N4809" s="38" t="n">
        <f aca="false">Sens!$N$4745</f>
        <v>0</v>
      </c>
      <c r="O4809" s="38" t="n">
        <f aca="false">Sens!$O$4745</f>
        <v>0</v>
      </c>
      <c r="P4809" s="5" t="s">
        <v>736</v>
      </c>
    </row>
    <row r="4810" customFormat="false" ht="17.15" hidden="false" customHeight="false" outlineLevel="0" collapsed="false">
      <c r="A4810" s="5" t="s">
        <v>737</v>
      </c>
      <c r="B4810" s="0" t="s">
        <v>86</v>
      </c>
      <c r="C4810" s="38" t="n">
        <f aca="false">Sens!$C$4807+Sens!$C$4809</f>
        <v>68.593</v>
      </c>
      <c r="D4810" s="38" t="n">
        <f aca="false">Sens!$D$4807+Sens!$D$4809</f>
        <v>79.975</v>
      </c>
      <c r="E4810" s="38" t="n">
        <f aca="false">Sens!$E$4807+Sens!$E$4809</f>
        <v>51.313</v>
      </c>
      <c r="F4810" s="38" t="n">
        <f aca="false">Sens!$F$4807+Sens!$F$4809</f>
        <v>60.4617121086123</v>
      </c>
      <c r="G4810" s="38" t="n">
        <f aca="false">Sens!$G$4807+Sens!$G$4809</f>
        <v>111.774712108612</v>
      </c>
      <c r="H4810" s="38" t="n">
        <f aca="false">Sens!$H$4807+Sens!$H$4809</f>
        <v>148.057892571774</v>
      </c>
      <c r="I4810" s="38" t="n">
        <f aca="false">Sens!$I$4807+Sens!$I$4809</f>
        <v>179.940732283961</v>
      </c>
      <c r="J4810" s="38" t="n">
        <f aca="false">Sens!$J$4807+Sens!$J$4809</f>
        <v>210.55627558977</v>
      </c>
      <c r="K4810" s="38" t="n">
        <f aca="false">Sens!$K$4807+Sens!$K$4809</f>
        <v>232.990568884161</v>
      </c>
      <c r="L4810" s="38" t="n">
        <f aca="false">Sens!$L$4807+Sens!$L$4809</f>
        <v>250.043641527635</v>
      </c>
      <c r="M4810" s="38" t="n">
        <f aca="false">Sens!$M$4807+Sens!$M$4809</f>
        <v>263.291252534179</v>
      </c>
      <c r="N4810" s="38" t="n">
        <f aca="false">Sens!$N$4807+Sens!$N$4809</f>
        <v>37.576</v>
      </c>
      <c r="O4810" s="38" t="n">
        <f aca="false">Sens!$O$4807+Sens!$O$4809</f>
        <v>42.399</v>
      </c>
    </row>
    <row r="4811" customFormat="false" ht="17.15" hidden="false" customHeight="false" outlineLevel="0" collapsed="false">
      <c r="A4811" s="0" t="s">
        <v>738</v>
      </c>
      <c r="B4811" s="0" t="s">
        <v>52</v>
      </c>
      <c r="C4811" s="13" t="n">
        <f aca="false">Sens!$C$4797/Sens!$C$4782</f>
        <v>0.0644314665661928</v>
      </c>
      <c r="D4811" s="13" t="n">
        <f aca="false">Sens!$D$4797/Sens!$D$4782</f>
        <v>0.0694784250712518</v>
      </c>
      <c r="E4811" s="13" t="n">
        <f aca="false">Sens!$E$4797/Sens!$E$4782</f>
        <v>0.0789306463326071</v>
      </c>
      <c r="F4811" s="13" t="n">
        <f aca="false">Sens!$F$4797/Sens!$F$4782</f>
        <v>0.0801757457241943</v>
      </c>
      <c r="G4811" s="13" t="n">
        <f aca="false">Sens!$G$4797/Sens!$G$4782</f>
        <v>0.0795932749625682</v>
      </c>
      <c r="H4811" s="13" t="n">
        <f aca="false">Sens!$H$4797/Sens!$H$4782</f>
        <v>0.0827338236701125</v>
      </c>
      <c r="I4811" s="13" t="n">
        <f aca="false">Sens!$I$4797/Sens!$I$4782</f>
        <v>0.0835748540109622</v>
      </c>
      <c r="J4811" s="13" t="n">
        <f aca="false">Sens!$J$4797/Sens!$J$4782</f>
        <v>0.0843976926872424</v>
      </c>
      <c r="K4811" s="13" t="n">
        <f aca="false">Sens!$K$4797/Sens!$K$4782</f>
        <v>0.0850532968938334</v>
      </c>
      <c r="L4811" s="13" t="n">
        <f aca="false">Sens!$L$4797/Sens!$L$4782</f>
        <v>0.0840699502739625</v>
      </c>
      <c r="M4811" s="13" t="n">
        <f aca="false">Sens!$M$4797/Sens!$M$4782</f>
        <v>0.0856711703318603</v>
      </c>
      <c r="N4811" s="13" t="n">
        <f aca="false">Sens!$N$4797/Sens!$N$4782</f>
        <v>0.069228576611127</v>
      </c>
      <c r="O4811" s="13" t="n">
        <f aca="false">Sens!$O$4797/Sens!$O$4782</f>
        <v>0.069685022498393</v>
      </c>
    </row>
    <row r="4812" customFormat="false" ht="17.15" hidden="false" customHeight="false" outlineLevel="0" collapsed="false">
      <c r="A4812" s="0" t="s">
        <v>739</v>
      </c>
      <c r="B4812" s="0" t="s">
        <v>52</v>
      </c>
      <c r="C4812" s="13" t="n">
        <f aca="false">Sens!$C$4802/Sens!$C$4783</f>
        <v>0.026534925055631</v>
      </c>
      <c r="D4812" s="13" t="n">
        <f aca="false">Sens!$D$4802/Sens!$D$4783</f>
        <v>0.0293401855535103</v>
      </c>
      <c r="E4812" s="13" t="n">
        <f aca="false">Sens!$E$4802/Sens!$E$4783</f>
        <v>0.03831141902276</v>
      </c>
      <c r="F4812" s="13" t="n">
        <f aca="false">Sens!$F$4802/Sens!$F$4783</f>
        <v>0.0281350107328284</v>
      </c>
      <c r="G4812" s="13" t="n">
        <f aca="false">Sens!$G$4802/Sens!$G$4783</f>
        <v>0.0327600029432073</v>
      </c>
      <c r="H4812" s="13" t="n">
        <f aca="false">Sens!$H$4802/Sens!$H$4783</f>
        <v>0.031310920057557</v>
      </c>
      <c r="I4812" s="13" t="n">
        <f aca="false">Sens!$I$4802/Sens!$I$4783</f>
        <v>0.0275950243319601</v>
      </c>
      <c r="J4812" s="13" t="n">
        <f aca="false">Sens!$J$4802/Sens!$J$4783</f>
        <v>0.0238367762099147</v>
      </c>
      <c r="K4812" s="13" t="n">
        <f aca="false">Sens!$K$4802/Sens!$K$4783</f>
        <v>0.0198239122855479</v>
      </c>
      <c r="L4812" s="13" t="n">
        <f aca="false">Sens!$L$4802/Sens!$L$4783</f>
        <v>0.0192499447238486</v>
      </c>
      <c r="M4812" s="13" t="n">
        <f aca="false">Sens!$M$4802/Sens!$M$4783</f>
        <v>0.0212700135680342</v>
      </c>
      <c r="N4812" s="13" t="n">
        <f aca="false">Sens!$N$4802/Sens!$N$4783</f>
        <v>0.0357315650169337</v>
      </c>
      <c r="O4812" s="13" t="n">
        <f aca="false">Sens!$O$4802/Sens!$O$4783</f>
        <v>0.0244378956559703</v>
      </c>
    </row>
    <row r="4813" customFormat="false" ht="17.15" hidden="false" customHeight="false" outlineLevel="0" collapsed="false">
      <c r="A4813" s="14" t="s">
        <v>740</v>
      </c>
      <c r="B4813" s="14" t="s">
        <v>52</v>
      </c>
      <c r="C4813" s="17" t="n">
        <f aca="false">Sens!$C$4805/Sens!$C$4784</f>
        <v>0.370355907620217</v>
      </c>
      <c r="D4813" s="17" t="n">
        <f aca="false">Sens!$D$4805/Sens!$D$4784</f>
        <v>0.35429015342785</v>
      </c>
      <c r="E4813" s="17" t="n">
        <f aca="false">Sens!$E$4805/Sens!$E$4784</f>
        <v>0.385647527531039</v>
      </c>
      <c r="F4813" s="17" t="n">
        <f aca="false">Sens!$F$4805/Sens!$F$4784</f>
        <v>0.390008895496028</v>
      </c>
      <c r="G4813" s="17" t="n">
        <f aca="false">Sens!$G$4805/Sens!$G$4784</f>
        <v>0.387918733944362</v>
      </c>
      <c r="H4813" s="17" t="n">
        <f aca="false">Sens!$H$4805/Sens!$H$4784</f>
        <v>0.377537651365497</v>
      </c>
      <c r="I4813" s="17" t="n">
        <f aca="false">Sens!$I$4805/Sens!$I$4784</f>
        <v>0.359230604038662</v>
      </c>
      <c r="J4813" s="17" t="n">
        <f aca="false">Sens!$J$4805/Sens!$J$4784</f>
        <v>0.345197865849801</v>
      </c>
      <c r="K4813" s="17" t="n">
        <f aca="false">Sens!$K$4805/Sens!$K$4784</f>
        <v>0.32654098357242</v>
      </c>
      <c r="L4813" s="17" t="n">
        <f aca="false">Sens!$L$4805/Sens!$L$4784</f>
        <v>0.314806978274702</v>
      </c>
      <c r="M4813" s="17" t="n">
        <f aca="false">Sens!$M$4805/Sens!$M$4784</f>
        <v>0.304503505485029</v>
      </c>
      <c r="N4813" s="17" t="n">
        <f aca="false">Sens!$N$4805/Sens!$N$4784</f>
        <v>0.360941137346192</v>
      </c>
      <c r="O4813" s="17" t="n">
        <f aca="false">Sens!$O$4805/Sens!$O$4784</f>
        <v>0.348458117664212</v>
      </c>
    </row>
    <row r="4814" customFormat="false" ht="17.15" hidden="false" customHeight="false" outlineLevel="0" collapsed="false">
      <c r="A4814" s="0" t="s">
        <v>741</v>
      </c>
      <c r="B4814" s="0" t="s">
        <v>52</v>
      </c>
      <c r="C4814" s="13" t="n">
        <f aca="false">Sens!$C$4803/Sens!$C$4785</f>
        <v>0.708390794789371</v>
      </c>
      <c r="D4814" s="13" t="n">
        <f aca="false">Sens!$D$4803/Sens!$D$4785</f>
        <v>0.619415573115729</v>
      </c>
      <c r="E4814" s="13" t="n">
        <f aca="false">Sens!$E$4803/Sens!$E$4785</f>
        <v>0.374072166056273</v>
      </c>
      <c r="F4814" s="13" t="n">
        <f aca="false">Sens!$F$4803/Sens!$F$4785</f>
        <v>0.553219320710057</v>
      </c>
      <c r="G4814" s="13" t="n">
        <f aca="false">Sens!$G$4803/Sens!$G$4785</f>
        <v>0.488270041527512</v>
      </c>
      <c r="H4814" s="13" t="n">
        <f aca="false">Sens!$H$4803/Sens!$H$4785</f>
        <v>0.435229086816882</v>
      </c>
      <c r="I4814" s="13" t="n">
        <f aca="false">Sens!$I$4803/Sens!$I$4785</f>
        <v>0.364954592421095</v>
      </c>
      <c r="J4814" s="13" t="n">
        <f aca="false">Sens!$J$4803/Sens!$J$4785</f>
        <v>0.330438308582232</v>
      </c>
      <c r="K4814" s="13" t="n">
        <f aca="false">Sens!$K$4803/Sens!$K$4785</f>
        <v>0.2916589289528</v>
      </c>
      <c r="L4814" s="13" t="n">
        <f aca="false">Sens!$L$4803/Sens!$L$4785</f>
        <v>0.268199200593258</v>
      </c>
      <c r="M4814" s="13" t="n">
        <f aca="false">Sens!$M$4803/Sens!$M$4785</f>
        <v>0.244854995033574</v>
      </c>
      <c r="N4814" s="13" t="n">
        <f aca="false">Sens!$N$4803/Sens!$N$4785</f>
        <v>0.551227795793364</v>
      </c>
      <c r="O4814" s="13" t="n">
        <f aca="false">Sens!$O$4803/Sens!$O$4785</f>
        <v>0.656132068597002</v>
      </c>
    </row>
    <row r="4815" customFormat="false" ht="15" hidden="false" customHeight="false" outlineLevel="0" collapsed="false">
      <c r="A4815" s="5" t="s">
        <v>742</v>
      </c>
      <c r="B4815" s="0" t="s">
        <v>52</v>
      </c>
      <c r="C4815" s="13" t="n">
        <f aca="false">Sens!$C$4807/Sens!$C$4787</f>
        <v>0.107519448742004</v>
      </c>
      <c r="D4815" s="13" t="n">
        <f aca="false">Sens!$D$4807/Sens!$D$4787</f>
        <v>0.111552967957552</v>
      </c>
      <c r="E4815" s="13" t="n">
        <f aca="false">Sens!$E$4807/Sens!$E$4787</f>
        <v>0.13428328426562</v>
      </c>
      <c r="F4815" s="13" t="n">
        <f aca="false">Sens!$F$4807/Sens!$F$4787</f>
        <v>0.130089413875539</v>
      </c>
      <c r="G4815" s="13" t="n">
        <f aca="false">Sens!$G$4807/Sens!$G$4787</f>
        <v>0.132048786678316</v>
      </c>
      <c r="H4815" s="13" t="n">
        <f aca="false">Sens!$H$4807/Sens!$H$4787</f>
        <v>0.141034892313708</v>
      </c>
      <c r="I4815" s="13" t="n">
        <f aca="false">Sens!$I$4807/Sens!$I$4787</f>
        <v>0.144422189695089</v>
      </c>
      <c r="J4815" s="13" t="n">
        <f aca="false">Sens!$J$4807/Sens!$J$4787</f>
        <v>0.146657989563827</v>
      </c>
      <c r="K4815" s="13" t="n">
        <f aca="false">Sens!$K$4807/Sens!$K$4787</f>
        <v>0.145067465692161</v>
      </c>
      <c r="L4815" s="13" t="n">
        <f aca="false">Sens!$L$4807/Sens!$L$4787</f>
        <v>0.142779554284716</v>
      </c>
      <c r="M4815" s="13" t="n">
        <f aca="false">Sens!$M$4807/Sens!$M$4787</f>
        <v>0.140931666509953</v>
      </c>
      <c r="N4815" s="13" t="n">
        <f aca="false">Sens!$N$4807/Sens!$N$4787</f>
        <v>0.116201614873411</v>
      </c>
      <c r="O4815" s="13" t="n">
        <f aca="false">Sens!$O$4807/Sens!$O$4787</f>
        <v>0.107733353660861</v>
      </c>
    </row>
    <row r="4816" customFormat="false" ht="17.15" hidden="false" customHeight="false" outlineLevel="0" collapsed="false">
      <c r="A4816" s="1" t="s">
        <v>743</v>
      </c>
    </row>
    <row r="4817" customFormat="false" ht="17.15" hidden="false" customHeight="false" outlineLevel="0" collapsed="false">
      <c r="A4817" s="5" t="s">
        <v>744</v>
      </c>
      <c r="B4817" s="0" t="s">
        <v>52</v>
      </c>
      <c r="D4817" s="28" t="n">
        <f aca="false">(Q!$E$29+Q!$E$30-(1-ext_sh)*Sens!$D$4739)/Sens!$D$4693</f>
        <v>0.0341105596409988</v>
      </c>
    </row>
    <row r="4818" customFormat="false" ht="17.15" hidden="false" customHeight="false" outlineLevel="0" collapsed="false">
      <c r="A4818" s="0" t="s">
        <v>538</v>
      </c>
      <c r="B4818" s="0" t="s">
        <v>86</v>
      </c>
      <c r="C4818" s="38" t="n">
        <f aca="false">Q!$D$29</f>
        <v>14.285</v>
      </c>
      <c r="D4818" s="38" t="n">
        <f aca="false">Q!$E$29</f>
        <v>15.503</v>
      </c>
      <c r="E4818" s="38" t="n">
        <f aca="false">Q!$P$29</f>
        <v>8.78</v>
      </c>
      <c r="F4818" s="38" t="n">
        <f aca="false">(Sens!$D$4817*Sens!$F$4693+(1-ext_sh)*Sens!$F$4739)*Sens!$F$4694</f>
        <v>9.16735846116642</v>
      </c>
      <c r="G4818" s="38" t="n">
        <f aca="false">Sens!$E$4818+Sens!$F$4818</f>
        <v>17.9473584611664</v>
      </c>
      <c r="H4818" s="38" t="n">
        <f aca="false">(Sens!$D$4817*Sens!$H$4693+(1-ext_sh)*Sens!$H$4739)*Sens!$H$4694</f>
        <v>21.6406723110177</v>
      </c>
      <c r="I4818" s="38" t="n">
        <f aca="false">(Sens!$D$4817*Sens!$I$4693+(1-ext_sh)*Sens!$I$4739)*Sens!$I$4694</f>
        <v>27.3128215555087</v>
      </c>
      <c r="J4818" s="38" t="n">
        <f aca="false">(Sens!$D$4817*Sens!$J$4693+(1-ext_sh)*Sens!$J$4739)*Sens!$J$4694</f>
        <v>33.0116861885756</v>
      </c>
      <c r="K4818" s="38" t="n">
        <f aca="false">(Sens!$D$4817*Sens!$K$4693+(1-ext_sh)*Sens!$K$4739)*Sens!$K$4694</f>
        <v>38.6250238720245</v>
      </c>
      <c r="L4818" s="38" t="n">
        <f aca="false">(Sens!$D$4817*Sens!$L$4693+(1-ext_sh)*Sens!$L$4739)*Sens!$L$4694</f>
        <v>43.0711535197861</v>
      </c>
      <c r="M4818" s="38" t="n">
        <f aca="false">(Sens!$D$4817*Sens!$M$4693+(1-ext_sh)*Sens!$M$4739)*Sens!$M$4694</f>
        <v>46.590728630326</v>
      </c>
      <c r="N4818" s="38" t="n">
        <f aca="false">Q!$N$29</f>
        <v>7.272</v>
      </c>
      <c r="O4818" s="38" t="n">
        <f aca="false">Q!$O$29</f>
        <v>8.231</v>
      </c>
    </row>
    <row r="4819" customFormat="false" ht="17.15" hidden="false" customHeight="false" outlineLevel="0" collapsed="false">
      <c r="A4819" s="0" t="s">
        <v>540</v>
      </c>
      <c r="B4819" s="0" t="s">
        <v>86</v>
      </c>
      <c r="C4819" s="38" t="n">
        <f aca="false">Q!$D$30</f>
        <v>4.462</v>
      </c>
      <c r="D4819" s="38" t="n">
        <f aca="false">Q!$E$30</f>
        <v>4.907</v>
      </c>
      <c r="E4819" s="38" t="n">
        <f aca="false">Q!$P$30</f>
        <v>2.57</v>
      </c>
      <c r="F4819" s="38" t="n">
        <f aca="false">(Sens!$D$4817*Sens!$F$4693+(1-ext_sh)*Sens!$F$4739)*(1-Sens!$F$4694)</f>
        <v>3.59937168293151</v>
      </c>
      <c r="G4819" s="38" t="n">
        <f aca="false">Sens!$E$4819+Sens!$F$4819</f>
        <v>6.16937168293151</v>
      </c>
      <c r="H4819" s="38" t="n">
        <f aca="false">(Sens!$D$4817*Sens!$H$4693+(1-ext_sh)*Sens!$H$4739)*(1-Sens!$H$4694)</f>
        <v>8.28915290031442</v>
      </c>
      <c r="I4819" s="38" t="n">
        <f aca="false">(Sens!$D$4817*Sens!$I$4693+(1-ext_sh)*Sens!$I$4739)*(1-Sens!$I$4694)</f>
        <v>10.4617892992793</v>
      </c>
      <c r="J4819" s="38" t="n">
        <f aca="false">(Sens!$D$4817*Sens!$J$4693+(1-ext_sh)*Sens!$J$4739)*(1-Sens!$J$4694)</f>
        <v>12.6446586493057</v>
      </c>
      <c r="K4819" s="38" t="n">
        <f aca="false">(Sens!$D$4817*Sens!$K$4693+(1-ext_sh)*Sens!$K$4739)*(1-Sens!$K$4694)</f>
        <v>14.7947681131192</v>
      </c>
      <c r="L4819" s="38" t="n">
        <f aca="false">(Sens!$D$4817*Sens!$L$4693+(1-ext_sh)*Sens!$L$4739)*(1-Sens!$L$4694)</f>
        <v>16.4977950771268</v>
      </c>
      <c r="M4819" s="38" t="n">
        <f aca="false">(Sens!$D$4817*Sens!$M$4693+(1-ext_sh)*Sens!$M$4739)*(1-Sens!$M$4694)</f>
        <v>17.8459184540772</v>
      </c>
      <c r="N4819" s="38" t="n">
        <f aca="false">Q!$N$30</f>
        <v>2.316</v>
      </c>
      <c r="O4819" s="38" t="n">
        <f aca="false">Q!$O$30</f>
        <v>2.591</v>
      </c>
    </row>
    <row r="4820" customFormat="false" ht="17.15" hidden="false" customHeight="false" outlineLevel="0" collapsed="false">
      <c r="A4820" s="0" t="s">
        <v>541</v>
      </c>
      <c r="B4820" s="0" t="s">
        <v>86</v>
      </c>
      <c r="C4820" s="38" t="n">
        <f aca="false">Sens!$C$4751</f>
        <v>13.32</v>
      </c>
      <c r="D4820" s="38" t="n">
        <f aca="false">Sens!$D$4751</f>
        <v>21.45</v>
      </c>
      <c r="E4820" s="38" t="n">
        <f aca="false">Sens!$E$4751</f>
        <v>15.353</v>
      </c>
      <c r="F4820" s="38" t="n">
        <f aca="false">Sens!$F$4751</f>
        <v>15.4404120185306</v>
      </c>
      <c r="G4820" s="38" t="n">
        <f aca="false">Sens!$G$4751</f>
        <v>30.7934120185306</v>
      </c>
      <c r="H4820" s="38" t="n">
        <f aca="false">Sens!$H$4751</f>
        <v>48.250114371455</v>
      </c>
      <c r="I4820" s="38" t="n">
        <f aca="false">Sens!$I$4751</f>
        <v>73.3965146995963</v>
      </c>
      <c r="J4820" s="38" t="n">
        <f aca="false">Sens!$J$4751</f>
        <v>99.22806138309</v>
      </c>
      <c r="K4820" s="38" t="n">
        <f aca="false">Sens!$K$4751</f>
        <v>125.386627452856</v>
      </c>
      <c r="L4820" s="38" t="n">
        <f aca="false">Sens!$L$4751</f>
        <v>144.77239043275</v>
      </c>
      <c r="M4820" s="38" t="n">
        <f aca="false">Sens!$M$4751</f>
        <v>158.693930910983</v>
      </c>
      <c r="N4820" s="38" t="n">
        <f aca="false">Sens!$N$4751</f>
        <v>9.234</v>
      </c>
      <c r="O4820" s="38" t="n">
        <f aca="false">Sens!$O$4751</f>
        <v>12.216</v>
      </c>
    </row>
    <row r="4821" customFormat="false" ht="17.15" hidden="false" customHeight="false" outlineLevel="0" collapsed="false">
      <c r="A4821" s="5" t="s">
        <v>745</v>
      </c>
      <c r="B4821" s="0" t="s">
        <v>86</v>
      </c>
      <c r="C4821" s="38" t="n">
        <f aca="false">Sens!$C$4818+Sens!$C$4819+Sens!$C$4820</f>
        <v>32.067</v>
      </c>
      <c r="D4821" s="38" t="n">
        <f aca="false">Sens!$D$4818+Sens!$D$4819+Sens!$D$4820</f>
        <v>41.86</v>
      </c>
      <c r="E4821" s="38" t="n">
        <f aca="false">Sens!$E$4818+Sens!$E$4819+Sens!$E$4820</f>
        <v>26.703</v>
      </c>
      <c r="F4821" s="38" t="n">
        <f aca="false">Sens!$F$4818+Sens!$F$4819+Sens!$F$4820</f>
        <v>28.2071421626285</v>
      </c>
      <c r="G4821" s="38" t="n">
        <f aca="false">Sens!$G$4818+Sens!$G$4819+Sens!$G$4820</f>
        <v>54.9101421626285</v>
      </c>
      <c r="H4821" s="38" t="n">
        <f aca="false">Sens!$H$4818+Sens!$H$4819+Sens!$H$4820</f>
        <v>78.1799395827871</v>
      </c>
      <c r="I4821" s="38" t="n">
        <f aca="false">Sens!$I$4818+Sens!$I$4819+Sens!$I$4820</f>
        <v>111.171125554384</v>
      </c>
      <c r="J4821" s="38" t="n">
        <f aca="false">Sens!$J$4818+Sens!$J$4819+Sens!$J$4820</f>
        <v>144.884406220971</v>
      </c>
      <c r="K4821" s="38" t="n">
        <f aca="false">Sens!$K$4818+Sens!$K$4819+Sens!$K$4820</f>
        <v>178.806419437999</v>
      </c>
      <c r="L4821" s="38" t="n">
        <f aca="false">Sens!$L$4818+Sens!$L$4819+Sens!$L$4820</f>
        <v>204.341339029663</v>
      </c>
      <c r="M4821" s="38" t="n">
        <f aca="false">Sens!$M$4818+Sens!$M$4819+Sens!$M$4820</f>
        <v>223.130577995387</v>
      </c>
      <c r="N4821" s="38" t="n">
        <f aca="false">Sens!$N$4818+Sens!$N$4819+Sens!$N$4820</f>
        <v>18.822</v>
      </c>
      <c r="O4821" s="38" t="n">
        <f aca="false">Sens!$O$4818+Sens!$O$4819+Sens!$O$4820</f>
        <v>23.038</v>
      </c>
    </row>
    <row r="4822" customFormat="false" ht="17.15" hidden="false" customHeight="false" outlineLevel="0" collapsed="false">
      <c r="A4822" s="0" t="s">
        <v>746</v>
      </c>
      <c r="B4822" s="0" t="s">
        <v>86</v>
      </c>
      <c r="C4822" s="38" t="n">
        <f aca="false">Sens!$C$4793+Sens!$C$4798</f>
        <v>28.107</v>
      </c>
      <c r="D4822" s="38" t="n">
        <f aca="false">Sens!$D$4793+Sens!$D$4798</f>
        <v>34.3175</v>
      </c>
      <c r="E4822" s="38" t="n">
        <f aca="false">Sens!$E$4793+Sens!$E$4798</f>
        <v>18.526</v>
      </c>
      <c r="F4822" s="38" t="n">
        <f aca="false">Sens!$F$4793+Sens!$F$4798</f>
        <v>23.0786109972074</v>
      </c>
      <c r="G4822" s="38" t="n">
        <f aca="false">Sens!$G$4793+Sens!$G$4798</f>
        <v>41.6046109972074</v>
      </c>
      <c r="H4822" s="38" t="n">
        <f aca="false">Sens!$H$4793+Sens!$H$4798</f>
        <v>49.9484611939488</v>
      </c>
      <c r="I4822" s="38" t="n">
        <f aca="false">Sens!$I$4793+Sens!$I$4798</f>
        <v>58.2915555477481</v>
      </c>
      <c r="J4822" s="38" t="n">
        <f aca="false">Sens!$J$4793+Sens!$J$4798</f>
        <v>66.0744709709759</v>
      </c>
      <c r="K4822" s="38" t="n">
        <f aca="false">Sens!$K$4793+Sens!$K$4798</f>
        <v>72.6819180680735</v>
      </c>
      <c r="L4822" s="38" t="n">
        <f aca="false">Sens!$L$4793+Sens!$L$4798</f>
        <v>79.9501098748808</v>
      </c>
      <c r="M4822" s="38" t="n">
        <f aca="false">Sens!$M$4793+Sens!$M$4798</f>
        <v>87.9451208623689</v>
      </c>
      <c r="N4822" s="38" t="n">
        <f aca="false">Sens!$N$4793+Sens!$N$4798</f>
        <v>14.8075</v>
      </c>
      <c r="O4822" s="38" t="n">
        <f aca="false">Sens!$O$4793+Sens!$O$4798</f>
        <v>19.51</v>
      </c>
    </row>
    <row r="4823" customFormat="false" ht="17.15" hidden="false" customHeight="false" outlineLevel="0" collapsed="false">
      <c r="A4823" s="0" t="s">
        <v>747</v>
      </c>
      <c r="B4823" s="0" t="s">
        <v>86</v>
      </c>
      <c r="C4823" s="38" t="n">
        <f aca="false">Sens!$C$4797+Sens!$C$4802+Sens!$C$4818+Sens!$C$4819-Sens!$C$4822</f>
        <v>19.399</v>
      </c>
      <c r="D4823" s="38" t="n">
        <f aca="false">Sens!$D$4797+Sens!$D$4802+Sens!$D$4818+Sens!$D$4819-Sens!$D$4822</f>
        <v>20.4615</v>
      </c>
      <c r="E4823" s="38" t="n">
        <f aca="false">Sens!$E$4797+Sens!$E$4802+Sens!$E$4818+Sens!$E$4819-Sens!$E$4822</f>
        <v>13.355</v>
      </c>
      <c r="F4823" s="38" t="n">
        <f aca="false">Sens!$F$4797+Sens!$F$4802+Sens!$F$4818+Sens!$F$4819-Sens!$F$4822</f>
        <v>12.5520732018618</v>
      </c>
      <c r="G4823" s="38" t="n">
        <f aca="false">Sens!$G$4797+Sens!$G$4802+Sens!$G$4818+Sens!$G$4819-Sens!$G$4822</f>
        <v>25.9070732018618</v>
      </c>
      <c r="H4823" s="38" t="n">
        <f aca="false">Sens!$H$4797+Sens!$H$4802+Sens!$H$4818+Sens!$H$4819-Sens!$H$4822</f>
        <v>29.3708040319653</v>
      </c>
      <c r="I4823" s="38" t="n">
        <f aca="false">Sens!$I$4797+Sens!$I$4802+Sens!$I$4818+Sens!$I$4819-Sens!$I$4822</f>
        <v>33.1590993793334</v>
      </c>
      <c r="J4823" s="38" t="n">
        <f aca="false">Sens!$J$4797+Sens!$J$4802+Sens!$J$4818+Sens!$J$4819-Sens!$J$4822</f>
        <v>37.1382238087995</v>
      </c>
      <c r="K4823" s="38" t="n">
        <f aca="false">Sens!$K$4797+Sens!$K$4802+Sens!$K$4818+Sens!$K$4819-Sens!$K$4822</f>
        <v>41.4406659588898</v>
      </c>
      <c r="L4823" s="38" t="n">
        <f aca="false">Sens!$L$4797+Sens!$L$4802+Sens!$L$4818+Sens!$L$4819-Sens!$L$4822</f>
        <v>43.4287292061368</v>
      </c>
      <c r="M4823" s="38" t="n">
        <f aca="false">Sens!$M$4797+Sens!$M$4802+Sens!$M$4818+Sens!$M$4819-Sens!$M$4822</f>
        <v>46.2360228645173</v>
      </c>
      <c r="N4823" s="38" t="n">
        <f aca="false">Sens!$N$4797+Sens!$N$4802+Sens!$N$4818+Sens!$N$4819-Sens!$N$4822</f>
        <v>10.6495</v>
      </c>
      <c r="O4823" s="38" t="n">
        <f aca="false">Sens!$O$4797+Sens!$O$4802+Sens!$O$4818+Sens!$O$4819-Sens!$O$4822</f>
        <v>9.81200000000001</v>
      </c>
    </row>
    <row r="4824" customFormat="false" ht="17.15" hidden="false" customHeight="false" outlineLevel="0" collapsed="false">
      <c r="A4824" s="0" t="s">
        <v>748</v>
      </c>
      <c r="B4824" s="0" t="s">
        <v>86</v>
      </c>
      <c r="C4824" s="38" t="n">
        <f aca="false">Sens!$C$4804+Sens!$C$4820-ext_sh*Sens!$C$4739</f>
        <v>51.3470500115664</v>
      </c>
      <c r="D4824" s="38" t="n">
        <f aca="false">Sens!$D$4804+Sens!$D$4820-ext_sh*Sens!$D$4739</f>
        <v>60.2799375433739</v>
      </c>
      <c r="E4824" s="38" t="n">
        <f aca="false">Sens!$E$4804+Sens!$E$4820-ext_sh*Sens!$E$4739</f>
        <v>39.5095167090767</v>
      </c>
      <c r="F4824" s="38" t="n">
        <f aca="false">Sens!$F$4804+Sens!$F$4820-ext_sh*Sens!$F$4739</f>
        <v>37.5468918745429</v>
      </c>
      <c r="G4824" s="38" t="n">
        <f aca="false">Sens!$G$4804+Sens!$G$4820-ext_sh*Sens!$G$4739</f>
        <v>77.0564085836196</v>
      </c>
      <c r="H4824" s="38" t="n">
        <f aca="false">Sens!$H$4804+Sens!$H$4820-ext_sh*Sens!$H$4739</f>
        <v>84.2378398616123</v>
      </c>
      <c r="I4824" s="38" t="n">
        <f aca="false">Sens!$I$4804+Sens!$I$4820-ext_sh*Sens!$I$4739</f>
        <v>93.5253492849083</v>
      </c>
      <c r="J4824" s="38" t="n">
        <f aca="false">Sens!$J$4804+Sens!$J$4820-ext_sh*Sens!$J$4739</f>
        <v>102.42210777817</v>
      </c>
      <c r="K4824" s="38" t="n">
        <f aca="false">Sens!$K$4804+Sens!$K$4820-ext_sh*Sens!$K$4739</f>
        <v>110.615876400424</v>
      </c>
      <c r="L4824" s="38" t="n">
        <f aca="false">Sens!$L$4804+Sens!$L$4820-ext_sh*Sens!$L$4739</f>
        <v>119.465146512458</v>
      </c>
      <c r="M4824" s="38" t="n">
        <f aca="false">Sens!$M$4804+Sens!$M$4820-ext_sh*Sens!$M$4739</f>
        <v>129.022358233455</v>
      </c>
      <c r="N4824" s="38" t="n">
        <f aca="false">Sens!$N$4804+Sens!$N$4820-ext_sh*Sens!$N$4739</f>
        <v>28.5693781401809</v>
      </c>
      <c r="O4824" s="38" t="n">
        <f aca="false">Sens!$O$4804+Sens!$O$4820-ext_sh*Sens!$O$4739</f>
        <v>31.7105594031931</v>
      </c>
    </row>
    <row r="4825" customFormat="false" ht="17.15" hidden="false" customHeight="false" outlineLevel="0" collapsed="false">
      <c r="A4825" s="0" t="s">
        <v>749</v>
      </c>
      <c r="B4825" s="0" t="s">
        <v>86</v>
      </c>
      <c r="C4825" s="38" t="n">
        <f aca="false">Sens!$C$4742</f>
        <v>1.80694998843362</v>
      </c>
      <c r="D4825" s="38" t="n">
        <f aca="false">Sens!$D$4742</f>
        <v>6.77606245662607</v>
      </c>
      <c r="E4825" s="38" t="n">
        <f aca="false">Sens!$E$4742</f>
        <v>6.62548329092326</v>
      </c>
      <c r="F4825" s="38" t="n">
        <f aca="false">Sens!$F$4742</f>
        <v>11.7200577158706</v>
      </c>
      <c r="G4825" s="38" t="n">
        <f aca="false">Sens!$G$4742</f>
        <v>18.3455410067939</v>
      </c>
      <c r="H4825" s="38" t="n">
        <f aca="false">Sens!$H$4742</f>
        <v>47.5171727060453</v>
      </c>
      <c r="I4825" s="38" t="n">
        <f aca="false">Sens!$I$4742</f>
        <v>80.5539692643667</v>
      </c>
      <c r="J4825" s="38" t="n">
        <f aca="false">Sens!$J$4742</f>
        <v>113.759316834883</v>
      </c>
      <c r="K4825" s="38" t="n">
        <f aca="false">Sens!$K$4742</f>
        <v>142.084411492169</v>
      </c>
      <c r="L4825" s="38" t="n">
        <f aca="false">Sens!$L$4742</f>
        <v>160.69964615804</v>
      </c>
      <c r="M4825" s="38" t="n">
        <f aca="false">Sens!$M$4742</f>
        <v>169.577607141793</v>
      </c>
      <c r="N4825" s="38" t="n">
        <f aca="false">Sens!$N$4742</f>
        <v>2.37162185981912</v>
      </c>
      <c r="O4825" s="38" t="n">
        <f aca="false">Sens!$O$4742</f>
        <v>4.40444059680694</v>
      </c>
    </row>
    <row r="4826" customFormat="false" ht="17.15" hidden="false" customHeight="false" outlineLevel="0" collapsed="false">
      <c r="A4826" s="0" t="s">
        <v>750</v>
      </c>
      <c r="B4826" s="0" t="s">
        <v>86</v>
      </c>
      <c r="C4826" s="38" t="n">
        <f aca="false">Sens!$C$4807+Sens!$C$4821</f>
        <v>100.66</v>
      </c>
      <c r="D4826" s="38" t="n">
        <f aca="false">Sens!$D$4807+Sens!$D$4821</f>
        <v>121.835</v>
      </c>
      <c r="E4826" s="38" t="n">
        <f aca="false">Sens!$E$4807+Sens!$E$4821</f>
        <v>78.016</v>
      </c>
      <c r="F4826" s="38" t="n">
        <f aca="false">Sens!$F$4807+Sens!$F$4821</f>
        <v>84.8976337894826</v>
      </c>
      <c r="G4826" s="38" t="n">
        <f aca="false">Sens!$G$4807+Sens!$G$4821</f>
        <v>162.913633789483</v>
      </c>
      <c r="H4826" s="38" t="n">
        <f aca="false">Sens!$H$4807+Sens!$H$4821</f>
        <v>211.074277793572</v>
      </c>
      <c r="I4826" s="38" t="n">
        <f aca="false">Sens!$I$4807+Sens!$I$4821</f>
        <v>265.529973476357</v>
      </c>
      <c r="J4826" s="38" t="n">
        <f aca="false">Sens!$J$4807+Sens!$J$4821</f>
        <v>319.394119392829</v>
      </c>
      <c r="K4826" s="38" t="n">
        <f aca="false">Sens!$K$4807+Sens!$K$4821</f>
        <v>366.822871919557</v>
      </c>
      <c r="L4826" s="38" t="n">
        <f aca="false">Sens!$L$4807+Sens!$L$4821</f>
        <v>403.543631751516</v>
      </c>
      <c r="M4826" s="38" t="n">
        <f aca="false">Sens!$M$4807+Sens!$M$4821</f>
        <v>432.781109102134</v>
      </c>
      <c r="N4826" s="38" t="n">
        <f aca="false">Sens!$N$4807+Sens!$N$4821</f>
        <v>56.398</v>
      </c>
      <c r="O4826" s="38" t="n">
        <f aca="false">Sens!$O$4807+Sens!$O$4821</f>
        <v>65.437</v>
      </c>
    </row>
    <row r="4827" customFormat="false" ht="17.15" hidden="false" customHeight="false" outlineLevel="0" collapsed="false">
      <c r="A4827" s="1" t="s">
        <v>751</v>
      </c>
    </row>
    <row r="4828" customFormat="false" ht="15" hidden="false" customHeight="false" outlineLevel="0" collapsed="false">
      <c r="A4828" s="5" t="s">
        <v>544</v>
      </c>
      <c r="B4828" s="0" t="s">
        <v>86</v>
      </c>
      <c r="C4828" s="38" t="n">
        <f aca="false">Q!$D$34</f>
        <v>2.406</v>
      </c>
      <c r="D4828" s="38" t="n">
        <f aca="false">Q!$E$34</f>
        <v>2.274</v>
      </c>
      <c r="E4828" s="38" t="n">
        <f aca="false">Q!$P$34</f>
        <v>2.114</v>
      </c>
      <c r="F4828" s="38" t="n">
        <f aca="false">Sens!$F$4866</f>
        <v>3.24888962733561</v>
      </c>
      <c r="G4828" s="38" t="n">
        <f aca="false">Sens!$E$4828+Sens!$F$4828</f>
        <v>5.36288962733561</v>
      </c>
      <c r="H4828" s="38" t="n">
        <f aca="false">Sens!$H$4866</f>
        <v>7.42354172302123</v>
      </c>
      <c r="I4828" s="38" t="n">
        <f aca="false">Sens!$I$4866</f>
        <v>8.41919124123577</v>
      </c>
      <c r="J4828" s="38" t="n">
        <f aca="false">Sens!$J$4866</f>
        <v>9.40931720841255</v>
      </c>
      <c r="K4828" s="38" t="n">
        <f aca="false">Sens!$K$4866</f>
        <v>9.40931720841255</v>
      </c>
      <c r="L4828" s="38" t="n">
        <f aca="false">Sens!$L$4866</f>
        <v>9.40931720841255</v>
      </c>
      <c r="M4828" s="38" t="n">
        <f aca="false">Sens!$M$4866</f>
        <v>9.40931720841255</v>
      </c>
      <c r="N4828" s="38" t="n">
        <f aca="false">Q!$N$34</f>
        <v>1.057</v>
      </c>
      <c r="O4828" s="38" t="n">
        <f aca="false">Q!$O$34</f>
        <v>1.217</v>
      </c>
    </row>
    <row r="4829" customFormat="false" ht="15" hidden="false" customHeight="false" outlineLevel="0" collapsed="false">
      <c r="A4829" s="5" t="s">
        <v>752</v>
      </c>
      <c r="B4829" s="0" t="s">
        <v>86</v>
      </c>
      <c r="F4829" s="38" t="n">
        <f aca="false">Sens!$F$4867</f>
        <v>2.59</v>
      </c>
      <c r="H4829" s="38" t="n">
        <f aca="false">Sens!$H$4867</f>
        <v>3.76965165045626</v>
      </c>
      <c r="I4829" s="38" t="n">
        <f aca="false">Sens!$I$4867</f>
        <v>2.10589651022864</v>
      </c>
      <c r="J4829" s="38" t="n">
        <f aca="false">Sens!$J$4867</f>
        <v>2.10589651022864</v>
      </c>
      <c r="K4829" s="38" t="n">
        <f aca="false">Sens!$K$4867</f>
        <v>3.20258026189804</v>
      </c>
      <c r="L4829" s="38" t="n">
        <f aca="false">Sens!$L$4867</f>
        <v>8.43377983671466</v>
      </c>
      <c r="M4829" s="38" t="n">
        <f aca="false">Sens!$M$4867</f>
        <v>16.1549352631451</v>
      </c>
    </row>
    <row r="4830" customFormat="false" ht="17.15" hidden="false" customHeight="false" outlineLevel="0" collapsed="false">
      <c r="A4830" s="5" t="s">
        <v>753</v>
      </c>
      <c r="B4830" s="0" t="s">
        <v>86</v>
      </c>
      <c r="C4830" s="38" t="n">
        <f aca="false">Q!$D$39</f>
        <v>2.427</v>
      </c>
      <c r="D4830" s="38" t="n">
        <f aca="false">Q!$E$39</f>
        <v>19.61</v>
      </c>
      <c r="E4830" s="38" t="n">
        <f aca="false">Q!$P$39</f>
        <v>71.492</v>
      </c>
      <c r="F4830" s="39" t="n">
        <v>0</v>
      </c>
      <c r="G4830" s="38" t="n">
        <f aca="false">Sens!$E$4830+Sens!$F$4830</f>
        <v>71.492</v>
      </c>
      <c r="H4830" s="39" t="n">
        <v>0</v>
      </c>
      <c r="I4830" s="39" t="n">
        <v>0</v>
      </c>
      <c r="J4830" s="39" t="n">
        <v>0</v>
      </c>
      <c r="K4830" s="39" t="n">
        <v>0</v>
      </c>
      <c r="L4830" s="39" t="n">
        <v>0</v>
      </c>
      <c r="M4830" s="39" t="n">
        <v>0</v>
      </c>
      <c r="N4830" s="38" t="n">
        <f aca="false">Q!$N$39</f>
        <v>6.017</v>
      </c>
      <c r="O4830" s="38" t="n">
        <f aca="false">Q!$O$39</f>
        <v>13.593</v>
      </c>
      <c r="P4830" s="5" t="s">
        <v>754</v>
      </c>
    </row>
    <row r="4831" customFormat="false" ht="15" hidden="false" customHeight="false" outlineLevel="0" collapsed="false">
      <c r="A4831" s="5" t="s">
        <v>547</v>
      </c>
      <c r="B4831" s="0" t="s">
        <v>86</v>
      </c>
      <c r="C4831" s="38" t="n">
        <f aca="false">Q!$D$36</f>
        <v>68.614</v>
      </c>
      <c r="D4831" s="38" t="n">
        <f aca="false">Q!$E$36</f>
        <v>97.311</v>
      </c>
      <c r="E4831" s="38" t="n">
        <f aca="false">Q!$P$36</f>
        <v>120.691</v>
      </c>
      <c r="F4831" s="38" t="n">
        <f aca="false">Sens!$F$4807-Sens!$F$4828+Sens!$F$4829+Sens!$F$4830</f>
        <v>56.0316019995185</v>
      </c>
      <c r="G4831" s="38" t="n">
        <f aca="false">Sens!$E$4831+Sens!$F$4831</f>
        <v>176.722601999518</v>
      </c>
      <c r="H4831" s="38" t="n">
        <f aca="false">Sens!$H$4807-Sens!$H$4828+Sens!$H$4829+Sens!$H$4830</f>
        <v>129.24044813822</v>
      </c>
      <c r="I4831" s="38" t="n">
        <f aca="false">Sens!$I$4807-Sens!$I$4828+Sens!$I$4829+Sens!$I$4830</f>
        <v>148.045553190965</v>
      </c>
      <c r="J4831" s="38" t="n">
        <f aca="false">Sens!$J$4807-Sens!$J$4828+Sens!$J$4829+Sens!$J$4830</f>
        <v>167.206292473674</v>
      </c>
      <c r="K4831" s="38" t="n">
        <f aca="false">Sens!$K$4807-Sens!$K$4828+Sens!$K$4829+Sens!$K$4830</f>
        <v>181.809715535043</v>
      </c>
      <c r="L4831" s="38" t="n">
        <f aca="false">Sens!$L$4807-Sens!$L$4828+Sens!$L$4829+Sens!$L$4830</f>
        <v>198.226755350155</v>
      </c>
      <c r="M4831" s="38" t="n">
        <f aca="false">Sens!$M$4807-Sens!$M$4828+Sens!$M$4829+Sens!$M$4830</f>
        <v>216.39614916148</v>
      </c>
      <c r="N4831" s="38" t="n">
        <f aca="false">Q!$N$36</f>
        <v>42.536</v>
      </c>
      <c r="O4831" s="38" t="n">
        <f aca="false">Q!$O$36</f>
        <v>54.775</v>
      </c>
    </row>
    <row r="4832" customFormat="false" ht="15" hidden="false" customHeight="false" outlineLevel="0" collapsed="false">
      <c r="A4832" s="5" t="s">
        <v>548</v>
      </c>
      <c r="B4832" s="0" t="s">
        <v>86</v>
      </c>
      <c r="C4832" s="38" t="n">
        <f aca="false">Q!$D$37</f>
        <v>9.265</v>
      </c>
      <c r="D4832" s="38" t="n">
        <f aca="false">Q!$E$37</f>
        <v>19.087</v>
      </c>
      <c r="E4832" s="38" t="n">
        <f aca="false">Q!$P$37</f>
        <v>27.759</v>
      </c>
      <c r="F4832" s="38" t="n">
        <f aca="false">Sens!$F$4831*tax</f>
        <v>9.72621910890414</v>
      </c>
      <c r="G4832" s="38" t="n">
        <f aca="false">Sens!$E$4832+Sens!$F$4832</f>
        <v>37.4852191089041</v>
      </c>
      <c r="H4832" s="38" t="n">
        <f aca="false">Sens!$H$4831*tax</f>
        <v>22.4341420103621</v>
      </c>
      <c r="I4832" s="38" t="n">
        <f aca="false">Sens!$I$4831*tax</f>
        <v>25.6984172690016</v>
      </c>
      <c r="J4832" s="38" t="n">
        <f aca="false">Sens!$J$4831*tax</f>
        <v>29.0244251270995</v>
      </c>
      <c r="K4832" s="38" t="n">
        <f aca="false">Sens!$K$4831*tax</f>
        <v>31.5593534062538</v>
      </c>
      <c r="L4832" s="38" t="n">
        <f aca="false">Sens!$L$4831*tax</f>
        <v>34.4090974910786</v>
      </c>
      <c r="M4832" s="38" t="n">
        <f aca="false">Sens!$M$4831*tax</f>
        <v>37.5630231148084</v>
      </c>
      <c r="N4832" s="38" t="n">
        <f aca="false">Q!$N$37</f>
        <v>7.231</v>
      </c>
      <c r="O4832" s="38" t="n">
        <f aca="false">Q!$O$37</f>
        <v>11.856</v>
      </c>
    </row>
    <row r="4833" customFormat="false" ht="15" hidden="false" customHeight="false" outlineLevel="0" collapsed="false">
      <c r="A4833" s="3" t="s">
        <v>549</v>
      </c>
      <c r="B4833" s="8" t="s">
        <v>86</v>
      </c>
      <c r="C4833" s="38" t="n">
        <f aca="false">Q!$D$38</f>
        <v>59.248</v>
      </c>
      <c r="D4833" s="38" t="n">
        <f aca="false">Q!$E$38</f>
        <v>77.67</v>
      </c>
      <c r="E4833" s="38" t="n">
        <f aca="false">Q!$P$38</f>
        <v>92.902</v>
      </c>
      <c r="F4833" s="38" t="n">
        <f aca="false">Sens!$F$4831-Sens!$F$4832</f>
        <v>46.3053828906144</v>
      </c>
      <c r="G4833" s="38" t="n">
        <f aca="false">Sens!$E$4833+Sens!$F$4833</f>
        <v>139.207382890614</v>
      </c>
      <c r="H4833" s="38" t="n">
        <f aca="false">Sens!$H$4831-Sens!$H$4832</f>
        <v>106.806306127858</v>
      </c>
      <c r="I4833" s="38" t="n">
        <f aca="false">Sens!$I$4831-Sens!$I$4832</f>
        <v>122.347135921963</v>
      </c>
      <c r="J4833" s="38" t="n">
        <f aca="false">Sens!$J$4831-Sens!$J$4832</f>
        <v>138.181867346575</v>
      </c>
      <c r="K4833" s="38" t="n">
        <f aca="false">Sens!$K$4831-Sens!$K$4832</f>
        <v>150.250362128789</v>
      </c>
      <c r="L4833" s="38" t="n">
        <f aca="false">Sens!$L$4831-Sens!$L$4832</f>
        <v>163.817657859077</v>
      </c>
      <c r="M4833" s="38" t="n">
        <f aca="false">Sens!$M$4831-Sens!$M$4832</f>
        <v>178.833126046672</v>
      </c>
      <c r="N4833" s="38" t="n">
        <f aca="false">Q!$N$38</f>
        <v>35.291</v>
      </c>
      <c r="O4833" s="38" t="n">
        <f aca="false">Q!$O$38</f>
        <v>42.379</v>
      </c>
    </row>
    <row r="4834" customFormat="false" ht="17.15" hidden="false" customHeight="false" outlineLevel="0" collapsed="false">
      <c r="A4834" s="5" t="s">
        <v>552</v>
      </c>
      <c r="B4834" s="5" t="s">
        <v>33</v>
      </c>
      <c r="C4834" s="22" t="n">
        <f aca="false">Q!$D$41</f>
        <v>10.721</v>
      </c>
      <c r="D4834" s="22" t="n">
        <f aca="false">Q!$E$41</f>
        <v>10.827</v>
      </c>
      <c r="E4834" s="22" t="n">
        <f aca="false">(Q!$L$41+Q!$M$41)/2</f>
        <v>10.8885</v>
      </c>
      <c r="F4834" s="22" t="n">
        <f aca="false">Sens!$G$4834</f>
        <v>10.924806</v>
      </c>
      <c r="G4834" s="22" t="n">
        <f aca="false">Q!$M$41*(1+sh_g*0.25)</f>
        <v>10.924806</v>
      </c>
      <c r="H4834" s="22" t="n">
        <f aca="false">Sens!$G$4834*(1+sh_g)</f>
        <v>11.012204448</v>
      </c>
      <c r="I4834" s="22" t="n">
        <f aca="false">Sens!$H$4834*(1+sh_g)</f>
        <v>11.100302083584</v>
      </c>
      <c r="J4834" s="22" t="n">
        <f aca="false">Sens!$I$4834*(1+sh_g)</f>
        <v>11.1891045002527</v>
      </c>
      <c r="K4834" s="22" t="n">
        <f aca="false">Sens!$J$4834*(1+sh_g)</f>
        <v>11.2786173362547</v>
      </c>
      <c r="L4834" s="22" t="n">
        <f aca="false">Sens!$K$4834*(1+sh_g)</f>
        <v>11.3688462749447</v>
      </c>
      <c r="M4834" s="22" t="n">
        <f aca="false">Sens!$L$4834*(1+sh_g)</f>
        <v>11.4597970451443</v>
      </c>
      <c r="P4834" s="5" t="s">
        <v>755</v>
      </c>
    </row>
    <row r="4835" customFormat="false" ht="17.15" hidden="false" customHeight="false" outlineLevel="0" collapsed="false">
      <c r="A4835" s="5" t="s">
        <v>756</v>
      </c>
      <c r="B4835" s="0" t="s">
        <v>86</v>
      </c>
      <c r="C4835" s="38" t="n">
        <f aca="false">Sens!$C$4833+Sens!$C$4809*(1-tax)</f>
        <v>59.248</v>
      </c>
      <c r="D4835" s="38" t="n">
        <f aca="false">Sens!$D$4833+Sens!$D$4809*(1-tax)</f>
        <v>77.67</v>
      </c>
      <c r="E4835" s="38" t="n">
        <f aca="false">Sens!$E$4833+Sens!$E$4809*(1-tax)</f>
        <v>92.902</v>
      </c>
      <c r="F4835" s="38" t="n">
        <f aca="false">Sens!$F$4833+Sens!$F$4809*(1-tax)</f>
        <v>49.421977850263</v>
      </c>
      <c r="G4835" s="38" t="n">
        <f aca="false">Sens!$G$4833+Sens!$G$4809*(1-tax)</f>
        <v>142.323977850263</v>
      </c>
      <c r="H4835" s="38" t="n">
        <f aca="false">Sens!$H$4833+Sens!$H$4809*(1-tax)</f>
        <v>119.337702083202</v>
      </c>
      <c r="I4835" s="38" t="n">
        <f aca="false">Sens!$I$4833+Sens!$I$4809*(1-tax)</f>
        <v>143.488400996903</v>
      </c>
      <c r="J4835" s="38" t="n">
        <f aca="false">Sens!$J$4833+Sens!$J$4809*(1-tax)</f>
        <v>167.971304290858</v>
      </c>
      <c r="K4835" s="38" t="n">
        <f aca="false">Sens!$K$4833+Sens!$K$4809*(1-tax)</f>
        <v>187.417667825448</v>
      </c>
      <c r="L4835" s="38" t="n">
        <f aca="false">Sens!$L$4833+Sens!$L$4809*(1-tax)</f>
        <v>205.833735199632</v>
      </c>
      <c r="M4835" s="38" t="n">
        <f aca="false">Sens!$M$4833+Sens!$M$4809*(1-tax)</f>
        <v>223.162648237512</v>
      </c>
      <c r="N4835" s="38" t="n">
        <f aca="false">Sens!$N$4833+Sens!$N$4809*(1-tax)</f>
        <v>35.291</v>
      </c>
      <c r="O4835" s="38" t="n">
        <f aca="false">Sens!$O$4833+Sens!$O$4809*(1-tax)</f>
        <v>42.379</v>
      </c>
    </row>
    <row r="4836" customFormat="false" ht="17.15" hidden="false" customHeight="false" outlineLevel="0" collapsed="false">
      <c r="A4836" s="43" t="s">
        <v>757</v>
      </c>
      <c r="B4836" s="14" t="s">
        <v>27</v>
      </c>
      <c r="C4836" s="44" t="n">
        <f aca="false">Sens!$C$4835/Sens!$C$4834</f>
        <v>5.52635015390355</v>
      </c>
      <c r="D4836" s="44" t="n">
        <f aca="false">Sens!$D$4835/Sens!$D$4834</f>
        <v>7.1737323358271</v>
      </c>
      <c r="E4836" s="44" t="n">
        <f aca="false">Sens!$E$4835/Sens!$E$4834</f>
        <v>8.53212104513937</v>
      </c>
      <c r="F4836" s="14"/>
      <c r="G4836" s="44" t="n">
        <f aca="false">Sens!$G$4835/Sens!$G$4834</f>
        <v>13.0275977303636</v>
      </c>
      <c r="H4836" s="44" t="n">
        <f aca="false">Sens!$H$4835/Sens!$H$4834</f>
        <v>10.8368585642156</v>
      </c>
      <c r="I4836" s="44" t="n">
        <f aca="false">Sens!$I$4835/Sens!$I$4834</f>
        <v>12.9265311805437</v>
      </c>
      <c r="J4836" s="44" t="n">
        <f aca="false">Sens!$J$4835/Sens!$J$4834</f>
        <v>15.0120417846723</v>
      </c>
      <c r="K4836" s="44" t="n">
        <f aca="false">Sens!$K$4835/Sens!$K$4834</f>
        <v>16.617078338406</v>
      </c>
      <c r="L4836" s="44" t="n">
        <f aca="false">Sens!$L$4835/Sens!$L$4834</f>
        <v>18.1050680272861</v>
      </c>
      <c r="M4836" s="44" t="n">
        <f aca="false">Sens!$M$4835/Sens!$M$4834</f>
        <v>19.4735253476474</v>
      </c>
      <c r="N4836" s="14"/>
      <c r="O4836" s="14"/>
    </row>
    <row r="4837" customFormat="false" ht="17.15" hidden="false" customHeight="false" outlineLevel="0" collapsed="false">
      <c r="A4837" s="0" t="s">
        <v>758</v>
      </c>
      <c r="B4837" s="0" t="s">
        <v>27</v>
      </c>
      <c r="C4837" s="30" t="n">
        <f aca="false">Sens!$C$4833/Sens!$C$4834</f>
        <v>5.52635015390355</v>
      </c>
      <c r="D4837" s="30" t="n">
        <f aca="false">Sens!$D$4833/Sens!$D$4834</f>
        <v>7.1737323358271</v>
      </c>
      <c r="E4837" s="30" t="n">
        <f aca="false">Sens!$E$4833/Sens!$E$4834</f>
        <v>8.53212104513937</v>
      </c>
      <c r="G4837" s="30" t="n">
        <f aca="false">Sens!$G$4833/Sens!$G$4834</f>
        <v>12.7423208147233</v>
      </c>
      <c r="H4837" s="30" t="n">
        <f aca="false">Sens!$H$4833/Sens!$H$4834</f>
        <v>9.69890330607286</v>
      </c>
      <c r="I4837" s="30" t="n">
        <f aca="false">Sens!$I$4833/Sens!$I$4834</f>
        <v>11.0219645376048</v>
      </c>
      <c r="J4837" s="30" t="n">
        <f aca="false">Sens!$J$4833/Sens!$J$4834</f>
        <v>12.3496806508022</v>
      </c>
      <c r="K4837" s="30" t="n">
        <f aca="false">Sens!$K$4833/Sens!$K$4834</f>
        <v>13.3217004930041</v>
      </c>
      <c r="L4837" s="30" t="n">
        <f aca="false">Sens!$L$4833/Sens!$L$4834</f>
        <v>14.4093476063712</v>
      </c>
      <c r="M4837" s="30" t="n">
        <f aca="false">Sens!$M$4833/Sens!$M$4834</f>
        <v>15.6052611876269</v>
      </c>
    </row>
    <row r="4838" customFormat="false" ht="17.15" hidden="false" customHeight="false" outlineLevel="0" collapsed="false">
      <c r="A4838" s="0" t="s">
        <v>759</v>
      </c>
      <c r="B4838" s="0" t="s">
        <v>27</v>
      </c>
      <c r="C4838" s="30" t="n">
        <f aca="false">(Sens!$C$4833-Sens!$C$4830*(1-tax))/Sens!$C$4834</f>
        <v>5.33926775917445</v>
      </c>
      <c r="D4838" s="30" t="n">
        <f aca="false">(Sens!$D$4833-Sens!$D$4830*(1-tax))/Sens!$D$4834</f>
        <v>5.67691812755503</v>
      </c>
      <c r="E4838" s="30" t="n">
        <f aca="false">(Sens!$E$4833-Sens!$E$4830*(1-tax))/Sens!$E$4834</f>
        <v>3.10602057006846</v>
      </c>
      <c r="G4838" s="30" t="n">
        <f aca="false">(Sens!$G$4833-Sens!$G$4830*(1-tax))/Sens!$G$4834</f>
        <v>7.33425269682635</v>
      </c>
      <c r="H4838" s="30" t="n">
        <f aca="false">(Sens!$H$4833-Sens!$H$4830*(1-tax))/Sens!$H$4834</f>
        <v>9.69890330607286</v>
      </c>
      <c r="I4838" s="30" t="n">
        <f aca="false">(Sens!$I$4833-Sens!$I$4830*(1-tax))/Sens!$I$4834</f>
        <v>11.0219645376048</v>
      </c>
      <c r="J4838" s="30" t="n">
        <f aca="false">(Sens!$J$4833-Sens!$J$4830*(1-tax))/Sens!$J$4834</f>
        <v>12.3496806508022</v>
      </c>
      <c r="K4838" s="30" t="n">
        <f aca="false">(Sens!$K$4833-Sens!$K$4830*(1-tax))/Sens!$K$4834</f>
        <v>13.3217004930041</v>
      </c>
      <c r="L4838" s="30" t="n">
        <f aca="false">(Sens!$L$4833-Sens!$L$4830*(1-tax))/Sens!$L$4834</f>
        <v>14.4093476063712</v>
      </c>
      <c r="M4838" s="30" t="n">
        <f aca="false">(Sens!$M$4833-Sens!$M$4830*(1-tax))/Sens!$M$4834</f>
        <v>15.6052611876269</v>
      </c>
      <c r="P4838" s="5" t="s">
        <v>760</v>
      </c>
    </row>
    <row r="4839" customFormat="false" ht="17.15" hidden="false" customHeight="false" outlineLevel="0" collapsed="false">
      <c r="A4839" s="0" t="s">
        <v>761</v>
      </c>
      <c r="B4839" s="0" t="s">
        <v>52</v>
      </c>
      <c r="H4839" s="13" t="n">
        <f aca="false">Sens!$H$4836/Sens!$G$4836-1</f>
        <v>-0.168161407151989</v>
      </c>
      <c r="I4839" s="13" t="n">
        <f aca="false">Sens!$I$4836/Sens!$H$4836-1</f>
        <v>0.192830108831388</v>
      </c>
      <c r="J4839" s="13" t="n">
        <f aca="false">Sens!$J$4836/Sens!$I$4836-1</f>
        <v>0.161335672733891</v>
      </c>
      <c r="K4839" s="13" t="n">
        <f aca="false">Sens!$K$4836/Sens!$J$4836-1</f>
        <v>0.106916605799249</v>
      </c>
      <c r="L4839" s="13" t="n">
        <f aca="false">Sens!$L$4836/Sens!$K$4836-1</f>
        <v>0.0895458069449546</v>
      </c>
      <c r="M4839" s="13" t="n">
        <f aca="false">Sens!$M$4836/Sens!$L$4836-1</f>
        <v>0.0755842131219255</v>
      </c>
    </row>
    <row r="4842" customFormat="false" ht="19.4" hidden="false" customHeight="false" outlineLevel="0" collapsed="false">
      <c r="A4842" s="31" t="s">
        <v>1233</v>
      </c>
    </row>
    <row r="4843" customFormat="false" ht="17.15" hidden="false" customHeight="false" outlineLevel="0" collapsed="false">
      <c r="A4843" s="6" t="s">
        <v>16</v>
      </c>
      <c r="B4843" s="6" t="s">
        <v>17</v>
      </c>
      <c r="C4843" s="20" t="s">
        <v>497</v>
      </c>
      <c r="D4843" s="20" t="s">
        <v>498</v>
      </c>
      <c r="E4843" s="20" t="s">
        <v>580</v>
      </c>
      <c r="F4843" s="20" t="s">
        <v>581</v>
      </c>
      <c r="G4843" s="20" t="s">
        <v>582</v>
      </c>
      <c r="H4843" s="20" t="s">
        <v>583</v>
      </c>
      <c r="I4843" s="20" t="s">
        <v>584</v>
      </c>
      <c r="J4843" s="20" t="s">
        <v>585</v>
      </c>
      <c r="K4843" s="20" t="s">
        <v>586</v>
      </c>
      <c r="L4843" s="20" t="s">
        <v>587</v>
      </c>
      <c r="M4843" s="20" t="s">
        <v>588</v>
      </c>
      <c r="N4843" s="20" t="s">
        <v>589</v>
      </c>
      <c r="O4843" s="20" t="s">
        <v>590</v>
      </c>
      <c r="P4843" s="6" t="s">
        <v>23</v>
      </c>
      <c r="R4843" s="20" t="n">
        <v>2023</v>
      </c>
      <c r="S4843" s="20" t="n">
        <v>2024</v>
      </c>
      <c r="T4843" s="20" t="n">
        <v>2025</v>
      </c>
      <c r="U4843" s="20" t="n">
        <v>2026</v>
      </c>
      <c r="V4843" s="20" t="n">
        <v>2027</v>
      </c>
      <c r="W4843" s="20" t="n">
        <v>2028</v>
      </c>
      <c r="X4843" s="20" t="n">
        <v>2029</v>
      </c>
      <c r="Y4843" s="20" t="n">
        <v>2030</v>
      </c>
      <c r="Z4843" s="20" t="n">
        <v>2031</v>
      </c>
      <c r="AA4843" s="20" t="n">
        <v>2032</v>
      </c>
    </row>
    <row r="4844" customFormat="false" ht="15" hidden="false" customHeight="false" outlineLevel="0" collapsed="false">
      <c r="A4844" s="5" t="s">
        <v>549</v>
      </c>
      <c r="B4844" s="0" t="s">
        <v>86</v>
      </c>
      <c r="C4844" s="38" t="n">
        <f aca="false">Sens!$C$4833</f>
        <v>59.248</v>
      </c>
      <c r="D4844" s="38" t="n">
        <f aca="false">Sens!$D$4833</f>
        <v>77.67</v>
      </c>
      <c r="E4844" s="38" t="n">
        <f aca="false">Sens!$E$4833</f>
        <v>92.902</v>
      </c>
      <c r="F4844" s="38" t="n">
        <f aca="false">Sens!$F$4833</f>
        <v>46.3053828906144</v>
      </c>
      <c r="G4844" s="38" t="n">
        <f aca="false">Sens!$G$4833</f>
        <v>139.207382890614</v>
      </c>
      <c r="H4844" s="38" t="n">
        <f aca="false">Sens!$H$4833</f>
        <v>106.806306127858</v>
      </c>
      <c r="I4844" s="38" t="n">
        <f aca="false">Sens!$I$4833</f>
        <v>122.347135921963</v>
      </c>
      <c r="J4844" s="38" t="n">
        <f aca="false">Sens!$J$4833</f>
        <v>138.181867346575</v>
      </c>
      <c r="K4844" s="38" t="n">
        <f aca="false">Sens!$K$4833</f>
        <v>150.250362128789</v>
      </c>
      <c r="L4844" s="38" t="n">
        <f aca="false">Sens!$L$4833</f>
        <v>163.817657859077</v>
      </c>
      <c r="M4844" s="38" t="n">
        <f aca="false">Sens!$M$4833</f>
        <v>178.833126046672</v>
      </c>
    </row>
    <row r="4845" customFormat="false" ht="17.15" hidden="false" customHeight="false" outlineLevel="0" collapsed="false">
      <c r="A4845" s="5" t="s">
        <v>784</v>
      </c>
      <c r="B4845" s="0" t="s">
        <v>86</v>
      </c>
      <c r="C4845" s="38" t="n">
        <f aca="false">Sens!$C$4821</f>
        <v>32.067</v>
      </c>
      <c r="D4845" s="38" t="n">
        <f aca="false">Sens!$D$4821</f>
        <v>41.86</v>
      </c>
      <c r="E4845" s="38" t="n">
        <f aca="false">Sens!$E$4821</f>
        <v>26.703</v>
      </c>
      <c r="F4845" s="38" t="n">
        <f aca="false">Sens!$F$4821</f>
        <v>28.2071421626285</v>
      </c>
      <c r="G4845" s="38" t="n">
        <f aca="false">Sens!$G$4821</f>
        <v>54.9101421626285</v>
      </c>
      <c r="H4845" s="38" t="n">
        <f aca="false">Sens!$H$4821</f>
        <v>78.1799395827871</v>
      </c>
      <c r="I4845" s="38" t="n">
        <f aca="false">Sens!$I$4821</f>
        <v>111.171125554384</v>
      </c>
      <c r="J4845" s="38" t="n">
        <f aca="false">Sens!$J$4821</f>
        <v>144.884406220971</v>
      </c>
      <c r="K4845" s="38" t="n">
        <f aca="false">Sens!$K$4821</f>
        <v>178.806419437999</v>
      </c>
      <c r="L4845" s="38" t="n">
        <f aca="false">Sens!$L$4821</f>
        <v>204.341339029663</v>
      </c>
      <c r="M4845" s="38" t="n">
        <f aca="false">Sens!$M$4821</f>
        <v>223.130577995387</v>
      </c>
    </row>
    <row r="4846" customFormat="false" ht="15" hidden="false" customHeight="false" outlineLevel="0" collapsed="false">
      <c r="A4846" s="5" t="s">
        <v>785</v>
      </c>
      <c r="B4846" s="0" t="s">
        <v>86</v>
      </c>
      <c r="C4846" s="38" t="n">
        <f aca="false">Q!$D$48</f>
        <v>22.011</v>
      </c>
      <c r="D4846" s="38" t="n">
        <f aca="false">Q!$E$48</f>
        <v>19.467</v>
      </c>
      <c r="E4846" s="38" t="n">
        <f aca="false">Q!$P$48</f>
        <v>10.07</v>
      </c>
      <c r="F4846" s="38" t="n">
        <f aca="false">sbc_r*Sens!$F$4763</f>
        <v>10.8507035798037</v>
      </c>
      <c r="G4846" s="38" t="n">
        <f aca="false">Sens!$E$4846+Sens!$F$4846</f>
        <v>20.9207035798037</v>
      </c>
      <c r="H4846" s="38" t="n">
        <f aca="false">sbc_r*Sens!$H$4763</f>
        <v>23.46224366345</v>
      </c>
      <c r="I4846" s="38" t="n">
        <f aca="false">sbc_r*Sens!$I$4763</f>
        <v>26.6125957111676</v>
      </c>
      <c r="J4846" s="38" t="n">
        <f aca="false">sbc_r*Sens!$J$4763</f>
        <v>29.6280801413323</v>
      </c>
      <c r="K4846" s="38" t="n">
        <f aca="false">sbc_r*Sens!$K$4763</f>
        <v>32.2712258901105</v>
      </c>
      <c r="L4846" s="38" t="n">
        <f aca="false">sbc_r*Sens!$L$4763</f>
        <v>34.7390505016737</v>
      </c>
      <c r="M4846" s="38" t="n">
        <f aca="false">sbc_r*Sens!$M$4763</f>
        <v>37.0405146906692</v>
      </c>
    </row>
    <row r="4847" customFormat="false" ht="17.15" hidden="false" customHeight="false" outlineLevel="0" collapsed="false">
      <c r="A4847" s="5" t="s">
        <v>786</v>
      </c>
      <c r="B4847" s="0" t="s">
        <v>86</v>
      </c>
      <c r="C4847" s="38" t="n">
        <f aca="false">Q!$D$44-Sens!$C$4844-Sens!$C$4845-Sens!$C$4846</f>
        <v>2.551</v>
      </c>
      <c r="D4847" s="38" t="n">
        <f aca="false">Q!$E$44-Sens!$D$4844-Sens!$D$4845-Sens!$D$4846</f>
        <v>0.51700000000001</v>
      </c>
      <c r="E4847" s="38" t="n">
        <f aca="false">Q!$P$44-Sens!$E$4844-Sens!$E$4845-Sens!$E$4846</f>
        <v>-58.256</v>
      </c>
      <c r="F4847" s="38" t="n">
        <f aca="false">oth_r*Sens!$F$4763</f>
        <v>5.22265251035878</v>
      </c>
      <c r="G4847" s="38" t="n">
        <f aca="false">Sens!$E$4847+Sens!$F$4847</f>
        <v>-53.0333474896412</v>
      </c>
      <c r="H4847" s="38" t="n">
        <f aca="false">oth_r*Sens!$H$4763</f>
        <v>11.2928295263397</v>
      </c>
      <c r="I4847" s="38" t="n">
        <f aca="false">oth_r*Sens!$I$4763</f>
        <v>12.8091546115766</v>
      </c>
      <c r="J4847" s="38" t="n">
        <f aca="false">oth_r*Sens!$J$4763</f>
        <v>14.2605653162668</v>
      </c>
      <c r="K4847" s="38" t="n">
        <f aca="false">oth_r*Sens!$K$4763</f>
        <v>15.5327622460396</v>
      </c>
      <c r="L4847" s="38" t="n">
        <f aca="false">oth_r*Sens!$L$4763</f>
        <v>16.720573737517</v>
      </c>
      <c r="M4847" s="38" t="n">
        <f aca="false">oth_r*Sens!$M$4763</f>
        <v>17.8283127551536</v>
      </c>
      <c r="P4847" s="8" t="s">
        <v>787</v>
      </c>
    </row>
    <row r="4848" customFormat="false" ht="15" hidden="false" customHeight="false" outlineLevel="0" collapsed="false">
      <c r="A4848" s="3" t="s">
        <v>555</v>
      </c>
      <c r="B4848" s="8" t="s">
        <v>86</v>
      </c>
      <c r="C4848" s="38" t="n">
        <f aca="false">Q!$D$44</f>
        <v>115.877</v>
      </c>
      <c r="D4848" s="38" t="n">
        <f aca="false">Q!$E$44</f>
        <v>139.514</v>
      </c>
      <c r="E4848" s="38" t="n">
        <f aca="false">Q!$P$44</f>
        <v>71.419</v>
      </c>
      <c r="F4848" s="38" t="n">
        <f aca="false">Sens!$F$4844+Sens!$F$4845+Sens!$F$4846+Sens!$F$4847</f>
        <v>90.5858811434053</v>
      </c>
      <c r="G4848" s="38" t="n">
        <f aca="false">Sens!$E$4848+Sens!$F$4848</f>
        <v>162.004881143405</v>
      </c>
      <c r="H4848" s="38" t="n">
        <f aca="false">Sens!$H$4844+Sens!$H$4845+Sens!$H$4846+Sens!$H$4847</f>
        <v>219.741318900434</v>
      </c>
      <c r="I4848" s="38" t="n">
        <f aca="false">Sens!$I$4844+Sens!$I$4845+Sens!$I$4846+Sens!$I$4847</f>
        <v>272.940011799092</v>
      </c>
      <c r="J4848" s="38" t="n">
        <f aca="false">Sens!$J$4844+Sens!$J$4845+Sens!$J$4846+Sens!$J$4847</f>
        <v>326.954919025145</v>
      </c>
      <c r="K4848" s="38" t="n">
        <f aca="false">Sens!$K$4844+Sens!$K$4845+Sens!$K$4846+Sens!$K$4847</f>
        <v>376.860769702939</v>
      </c>
      <c r="L4848" s="38" t="n">
        <f aca="false">Sens!$L$4844+Sens!$L$4845+Sens!$L$4846+Sens!$L$4847</f>
        <v>419.61862112793</v>
      </c>
      <c r="M4848" s="38" t="n">
        <f aca="false">Sens!$M$4844+Sens!$M$4845+Sens!$M$4846+Sens!$M$4847</f>
        <v>456.832531487881</v>
      </c>
    </row>
    <row r="4849" customFormat="false" ht="17.15" hidden="false" customHeight="false" outlineLevel="0" collapsed="false">
      <c r="A4849" s="5" t="s">
        <v>788</v>
      </c>
      <c r="B4849" s="0" t="s">
        <v>86</v>
      </c>
      <c r="C4849" s="38" t="n">
        <f aca="false">Sens!$C$4730</f>
        <v>25.2781053077374</v>
      </c>
      <c r="D4849" s="38" t="n">
        <f aca="false">Sens!$D$4730</f>
        <v>69.5686316310026</v>
      </c>
      <c r="E4849" s="38" t="n">
        <f aca="false">Sens!$E$4730</f>
        <v>64.1899206485108</v>
      </c>
      <c r="F4849" s="38" t="n">
        <f aca="false">Sens!$F$4730</f>
        <v>96.2481299895</v>
      </c>
      <c r="G4849" s="38" t="n">
        <f aca="false">Sens!$G$4730</f>
        <v>160.438050638011</v>
      </c>
      <c r="H4849" s="38" t="n">
        <f aca="false">Sens!$H$4730</f>
        <v>198.57136494475</v>
      </c>
      <c r="I4849" s="38" t="n">
        <f aca="false">Sens!$I$4730</f>
        <v>204.6464699105</v>
      </c>
      <c r="J4849" s="38" t="n">
        <f aca="false">Sens!$J$4730</f>
        <v>209.8832381105</v>
      </c>
      <c r="K4849" s="38" t="n">
        <f aca="false">Sens!$K$4730</f>
        <v>155.238385275201</v>
      </c>
      <c r="L4849" s="38" t="n">
        <f aca="false">Sens!$L$4730</f>
        <v>132.014141639902</v>
      </c>
      <c r="M4849" s="38" t="n">
        <f aca="false">Sens!$M$4730</f>
        <v>132.230981659852</v>
      </c>
    </row>
    <row r="4850" customFormat="false" ht="17.15" hidden="false" customHeight="false" outlineLevel="0" collapsed="false">
      <c r="A4850" s="5" t="s">
        <v>789</v>
      </c>
      <c r="B4850" s="0" t="s">
        <v>86</v>
      </c>
      <c r="C4850" s="38" t="n">
        <f aca="false">cx_awso*Sens!$C$4761</f>
        <v>21.0469989286053</v>
      </c>
      <c r="D4850" s="38" t="n">
        <f aca="false">cx_awso*Sens!$D$4761</f>
        <v>24.0042459822698</v>
      </c>
      <c r="E4850" s="38" t="n">
        <f aca="false">cx_awso*Sens!$E$4761</f>
        <v>14.261729404886</v>
      </c>
      <c r="F4850" s="38" t="n">
        <f aca="false">cx_awso*Sens!$F$4761</f>
        <v>14.3538599588493</v>
      </c>
      <c r="G4850" s="38" t="n">
        <f aca="false">Sens!$E$4850+Sens!$F$4850</f>
        <v>28.6155893637353</v>
      </c>
      <c r="H4850" s="38" t="n">
        <f aca="false">cx_awso*Sens!$H$4761</f>
        <v>32.2034154158406</v>
      </c>
      <c r="I4850" s="38" t="n">
        <f aca="false">cx_awso*Sens!$I$4761</f>
        <v>35.7539519042915</v>
      </c>
      <c r="J4850" s="38" t="n">
        <f aca="false">cx_awso*Sens!$J$4761</f>
        <v>39.1551076091815</v>
      </c>
      <c r="K4850" s="38" t="n">
        <f aca="false">cx_awso*Sens!$K$4761</f>
        <v>42.287516217916</v>
      </c>
      <c r="L4850" s="38" t="n">
        <f aca="false">cx_awso*Sens!$L$4761</f>
        <v>45.6705175153492</v>
      </c>
      <c r="M4850" s="38" t="n">
        <f aca="false">cx_awso*Sens!$M$4761</f>
        <v>49.3241589165772</v>
      </c>
    </row>
    <row r="4851" customFormat="false" ht="17.15" hidden="false" customHeight="false" outlineLevel="0" collapsed="false">
      <c r="A4851" s="5" t="s">
        <v>790</v>
      </c>
      <c r="B4851" s="0" t="s">
        <v>86</v>
      </c>
      <c r="C4851" s="38" t="n">
        <f aca="false">Q!$D$46-Sens!$C$4849-Sens!$C$4850</f>
        <v>31.3328957636573</v>
      </c>
      <c r="D4851" s="38" t="n">
        <f aca="false">Q!$E$46-Sens!$D$4849-Sens!$D$4850</f>
        <v>34.7471223867276</v>
      </c>
      <c r="E4851" s="38" t="n">
        <f aca="false">Q!$P$46-Sens!$E$4849-Sens!$E$4850</f>
        <v>17.8583499466032</v>
      </c>
      <c r="F4851" s="38" t="n">
        <f aca="false">cx_rt*Sens!$F$4693</f>
        <v>20.6195895799373</v>
      </c>
      <c r="G4851" s="38" t="n">
        <f aca="false">Sens!$E$4851+Sens!$F$4851</f>
        <v>38.4779395265405</v>
      </c>
      <c r="H4851" s="38" t="n">
        <f aca="false">cx_rt*Sens!$H$4693</f>
        <v>42.5978994743075</v>
      </c>
      <c r="I4851" s="38" t="n">
        <f aca="false">cx_rt*Sens!$I$4693</f>
        <v>46.5813904136335</v>
      </c>
      <c r="J4851" s="38" t="n">
        <f aca="false">cx_rt*Sens!$J$4693</f>
        <v>50.2781676586844</v>
      </c>
      <c r="K4851" s="38" t="n">
        <f aca="false">cx_rt*Sens!$K$4693</f>
        <v>53.5312440191755</v>
      </c>
      <c r="L4851" s="38" t="n">
        <f aca="false">cx_rt*Sens!$L$4693</f>
        <v>57.0116717051447</v>
      </c>
      <c r="M4851" s="38" t="n">
        <f aca="false">cx_rt*Sens!$M$4693</f>
        <v>60.7365554669226</v>
      </c>
    </row>
    <row r="4852" customFormat="false" ht="15" hidden="false" customHeight="false" outlineLevel="0" collapsed="false">
      <c r="A4852" s="3" t="s">
        <v>791</v>
      </c>
      <c r="B4852" s="8" t="s">
        <v>86</v>
      </c>
      <c r="C4852" s="38" t="n">
        <f aca="false">Q!$D$46</f>
        <v>77.658</v>
      </c>
      <c r="D4852" s="38" t="n">
        <f aca="false">Q!$E$46</f>
        <v>128.32</v>
      </c>
      <c r="E4852" s="38" t="n">
        <f aca="false">Q!$P$46</f>
        <v>96.31</v>
      </c>
      <c r="F4852" s="38" t="n">
        <f aca="false">Sens!$F$4849+Sens!$F$4850+Sens!$F$4851</f>
        <v>131.221579528287</v>
      </c>
      <c r="G4852" s="38" t="n">
        <f aca="false">Sens!$E$4852+Sens!$F$4852</f>
        <v>227.531579528287</v>
      </c>
      <c r="H4852" s="38" t="n">
        <f aca="false">Sens!$H$4849+Sens!$H$4850+Sens!$H$4851</f>
        <v>273.372679834898</v>
      </c>
      <c r="I4852" s="38" t="n">
        <f aca="false">Sens!$I$4849+Sens!$I$4850+Sens!$I$4851</f>
        <v>286.981812228425</v>
      </c>
      <c r="J4852" s="38" t="n">
        <f aca="false">Sens!$J$4849+Sens!$J$4850+Sens!$J$4851</f>
        <v>299.316513378366</v>
      </c>
      <c r="K4852" s="38" t="n">
        <f aca="false">Sens!$K$4849+Sens!$K$4850+Sens!$K$4851</f>
        <v>251.057145512292</v>
      </c>
      <c r="L4852" s="38" t="n">
        <f aca="false">Sens!$L$4849+Sens!$L$4850+Sens!$L$4851</f>
        <v>234.696330860396</v>
      </c>
      <c r="M4852" s="38" t="n">
        <f aca="false">Sens!$M$4849+Sens!$M$4850+Sens!$M$4851</f>
        <v>242.291696043352</v>
      </c>
    </row>
    <row r="4853" customFormat="false" ht="17.15" hidden="false" customHeight="false" outlineLevel="0" collapsed="false">
      <c r="A4853" s="5" t="s">
        <v>563</v>
      </c>
      <c r="B4853" s="0" t="s">
        <v>86</v>
      </c>
      <c r="C4853" s="38" t="n">
        <f aca="false">Q!$D$50</f>
        <v>2.043</v>
      </c>
      <c r="D4853" s="38" t="n">
        <f aca="false">Q!$E$50</f>
        <v>1.557</v>
      </c>
      <c r="E4853" s="38" t="n">
        <f aca="false">lease_pr/2</f>
        <v>0.8</v>
      </c>
      <c r="F4853" s="38" t="n">
        <f aca="false">lease_pr/2</f>
        <v>0.8</v>
      </c>
      <c r="G4853" s="38" t="n">
        <f aca="false">Sens!$E$4853+Sens!$F$4853</f>
        <v>1.6</v>
      </c>
      <c r="H4853" s="38" t="n">
        <f aca="false">lease_pr</f>
        <v>1.6</v>
      </c>
      <c r="I4853" s="38" t="n">
        <f aca="false">lease_pr</f>
        <v>1.6</v>
      </c>
      <c r="J4853" s="38" t="n">
        <f aca="false">lease_pr</f>
        <v>1.6</v>
      </c>
      <c r="K4853" s="38" t="n">
        <f aca="false">lease_pr</f>
        <v>1.6</v>
      </c>
      <c r="L4853" s="38" t="n">
        <f aca="false">lease_pr</f>
        <v>1.6</v>
      </c>
      <c r="M4853" s="38" t="n">
        <f aca="false">lease_pr</f>
        <v>1.6</v>
      </c>
      <c r="P4853" s="8" t="s">
        <v>792</v>
      </c>
    </row>
    <row r="4854" customFormat="false" ht="15" hidden="false" customHeight="false" outlineLevel="0" collapsed="false">
      <c r="A4854" s="47" t="s">
        <v>793</v>
      </c>
      <c r="B4854" s="14" t="s">
        <v>86</v>
      </c>
      <c r="C4854" s="48" t="n">
        <f aca="false">Sens!$C$4848-Sens!$C$4852-Sens!$C$4853</f>
        <v>36.176</v>
      </c>
      <c r="D4854" s="48" t="n">
        <f aca="false">Sens!$D$4848-Sens!$D$4852-Sens!$D$4853</f>
        <v>9.63700000000002</v>
      </c>
      <c r="E4854" s="48" t="n">
        <f aca="false">Sens!$E$4848-Sens!$E$4852-Sens!$E$4853</f>
        <v>-25.691</v>
      </c>
      <c r="F4854" s="48" t="n">
        <f aca="false">Sens!$F$4848-Sens!$F$4852-Sens!$F$4853</f>
        <v>-41.4356983848813</v>
      </c>
      <c r="G4854" s="48" t="n">
        <f aca="false">Sens!$G$4848-Sens!$G$4852-Sens!$G$4853</f>
        <v>-67.1266983848813</v>
      </c>
      <c r="H4854" s="48" t="n">
        <f aca="false">Sens!$H$4848-Sens!$H$4852-Sens!$H$4853</f>
        <v>-55.2313609344638</v>
      </c>
      <c r="I4854" s="48" t="n">
        <f aca="false">Sens!$I$4848-Sens!$I$4852-Sens!$I$4853</f>
        <v>-15.6418004293331</v>
      </c>
      <c r="J4854" s="48" t="n">
        <f aca="false">Sens!$J$4848-Sens!$J$4852-Sens!$J$4853</f>
        <v>26.0384056467791</v>
      </c>
      <c r="K4854" s="48" t="n">
        <f aca="false">Sens!$K$4848-Sens!$K$4852-Sens!$K$4853</f>
        <v>124.203624190646</v>
      </c>
      <c r="L4854" s="48" t="n">
        <f aca="false">Sens!$L$4848-Sens!$L$4852-Sens!$L$4853</f>
        <v>183.322290267534</v>
      </c>
      <c r="M4854" s="48" t="n">
        <f aca="false">Sens!$M$4848-Sens!$M$4852-Sens!$M$4853</f>
        <v>212.940835444529</v>
      </c>
      <c r="N4854" s="14"/>
      <c r="O4854" s="14"/>
    </row>
    <row r="4855" customFormat="false" ht="17.15" hidden="false" customHeight="false" outlineLevel="0" collapsed="false">
      <c r="A4855" s="5" t="s">
        <v>794</v>
      </c>
      <c r="B4855" s="0" t="s">
        <v>86</v>
      </c>
      <c r="C4855" s="38" t="n">
        <f aca="false">dps*Sens!$C$4834</f>
        <v>0</v>
      </c>
      <c r="D4855" s="38" t="n">
        <f aca="false">dps*Sens!$D$4834</f>
        <v>0</v>
      </c>
      <c r="E4855" s="38" t="n">
        <f aca="false">dps*Sens!$E$4834</f>
        <v>0</v>
      </c>
      <c r="F4855" s="38" t="n">
        <f aca="false">0</f>
        <v>0</v>
      </c>
      <c r="G4855" s="38" t="n">
        <f aca="false">dps*Sens!$G$4834</f>
        <v>0</v>
      </c>
      <c r="H4855" s="38" t="n">
        <f aca="false">dps*Sens!$H$4834</f>
        <v>0</v>
      </c>
      <c r="I4855" s="38" t="n">
        <f aca="false">dps*Sens!$I$4834</f>
        <v>0</v>
      </c>
      <c r="J4855" s="38" t="n">
        <f aca="false">dps*Sens!$J$4834</f>
        <v>0</v>
      </c>
      <c r="K4855" s="38" t="n">
        <f aca="false">dps*Sens!$K$4834</f>
        <v>0</v>
      </c>
      <c r="L4855" s="38" t="n">
        <f aca="false">dps*Sens!$L$4834</f>
        <v>0</v>
      </c>
      <c r="M4855" s="38" t="n">
        <f aca="false">dps*Sens!$M$4834</f>
        <v>0</v>
      </c>
      <c r="P4855" s="8" t="s">
        <v>795</v>
      </c>
    </row>
    <row r="4856" customFormat="false" ht="17.15" hidden="false" customHeight="false" outlineLevel="0" collapsed="false">
      <c r="A4856" s="5" t="s">
        <v>796</v>
      </c>
      <c r="B4856" s="0" t="s">
        <v>86</v>
      </c>
      <c r="C4856" s="38" t="n">
        <f aca="false">0</f>
        <v>0</v>
      </c>
      <c r="D4856" s="38" t="n">
        <f aca="false">0</f>
        <v>0</v>
      </c>
      <c r="E4856" s="38" t="n">
        <f aca="false">0</f>
        <v>0</v>
      </c>
      <c r="F4856" s="38" t="n">
        <f aca="false">0</f>
        <v>0</v>
      </c>
      <c r="G4856" s="38" t="n">
        <f aca="false">0</f>
        <v>0</v>
      </c>
      <c r="H4856" s="38" t="n">
        <f aca="false">0</f>
        <v>0</v>
      </c>
      <c r="I4856" s="38" t="n">
        <f aca="false">0</f>
        <v>0</v>
      </c>
      <c r="J4856" s="38" t="n">
        <f aca="false">0</f>
        <v>0</v>
      </c>
      <c r="K4856" s="38" t="n">
        <f aca="false">0</f>
        <v>0</v>
      </c>
      <c r="L4856" s="38" t="n">
        <f aca="false">0</f>
        <v>0</v>
      </c>
      <c r="M4856" s="38" t="n">
        <f aca="false">0</f>
        <v>0</v>
      </c>
      <c r="P4856" s="8" t="s">
        <v>797</v>
      </c>
    </row>
    <row r="4857" customFormat="false" ht="15" hidden="false" customHeight="false" outlineLevel="0" collapsed="false">
      <c r="A4857" s="3" t="s">
        <v>798</v>
      </c>
      <c r="B4857" s="8" t="s">
        <v>86</v>
      </c>
      <c r="C4857" s="38" t="n">
        <f aca="false">Sens!$C$4854-Sens!$C$4855</f>
        <v>36.176</v>
      </c>
      <c r="D4857" s="38" t="n">
        <f aca="false">Sens!$D$4854-Sens!$D$4855</f>
        <v>9.63700000000002</v>
      </c>
      <c r="E4857" s="38" t="n">
        <f aca="false">Sens!$E$4854-Sens!$E$4855</f>
        <v>-25.691</v>
      </c>
      <c r="F4857" s="38" t="n">
        <f aca="false">Sens!$F$4854-Sens!$F$4855</f>
        <v>-41.4356983848813</v>
      </c>
      <c r="G4857" s="38" t="n">
        <f aca="false">Sens!$G$4854-Sens!$G$4855</f>
        <v>-67.1266983848813</v>
      </c>
      <c r="H4857" s="38" t="n">
        <f aca="false">Sens!$H$4854-Sens!$H$4855</f>
        <v>-55.2313609344638</v>
      </c>
      <c r="I4857" s="38" t="n">
        <f aca="false">Sens!$I$4854-Sens!$I$4855</f>
        <v>-15.6418004293331</v>
      </c>
      <c r="J4857" s="38" t="n">
        <f aca="false">Sens!$J$4854-Sens!$J$4855</f>
        <v>26.0384056467791</v>
      </c>
      <c r="K4857" s="38" t="n">
        <f aca="false">Sens!$K$4854-Sens!$K$4855</f>
        <v>124.203624190646</v>
      </c>
      <c r="L4857" s="38" t="n">
        <f aca="false">Sens!$L$4854-Sens!$L$4855</f>
        <v>183.322290267534</v>
      </c>
      <c r="M4857" s="38" t="n">
        <f aca="false">Sens!$M$4854-Sens!$M$4855</f>
        <v>212.940835444529</v>
      </c>
    </row>
    <row r="4858" customFormat="false" ht="17.15" hidden="false" customHeight="false" outlineLevel="0" collapsed="false">
      <c r="A4858" s="5" t="s">
        <v>799</v>
      </c>
      <c r="B4858" s="0" t="s">
        <v>86</v>
      </c>
      <c r="E4858" s="38" t="n">
        <f aca="false">Q!$P$53</f>
        <v>39.767</v>
      </c>
      <c r="F4858" s="38" t="n">
        <f aca="false">inv_2h26</f>
        <v>21.3</v>
      </c>
      <c r="G4858" s="38" t="n">
        <f aca="false">Sens!$E$4858+Sens!$F$4858</f>
        <v>61.067</v>
      </c>
      <c r="H4858" s="39" t="n">
        <v>0</v>
      </c>
      <c r="I4858" s="39" t="n">
        <v>0</v>
      </c>
      <c r="J4858" s="39" t="n">
        <v>0</v>
      </c>
      <c r="K4858" s="39" t="n">
        <v>0</v>
      </c>
      <c r="L4858" s="39" t="n">
        <v>0</v>
      </c>
      <c r="M4858" s="39" t="n">
        <v>0</v>
      </c>
    </row>
    <row r="4859" customFormat="false" ht="17.15" hidden="false" customHeight="false" outlineLevel="0" collapsed="false">
      <c r="A4859" s="5" t="s">
        <v>800</v>
      </c>
      <c r="B4859" s="0" t="s">
        <v>86</v>
      </c>
      <c r="F4859" s="38" t="n">
        <f aca="false">iss_2h26</f>
        <v>29.249999</v>
      </c>
      <c r="G4859" s="38" t="n">
        <f aca="false">Sens!$F$4859</f>
        <v>29.249999</v>
      </c>
      <c r="H4859" s="39" t="n">
        <v>0</v>
      </c>
      <c r="I4859" s="39" t="n">
        <v>0</v>
      </c>
      <c r="J4859" s="39" t="n">
        <v>0</v>
      </c>
      <c r="K4859" s="39" t="n">
        <v>0</v>
      </c>
      <c r="L4859" s="39" t="n">
        <v>0</v>
      </c>
      <c r="M4859" s="39" t="n">
        <v>0</v>
      </c>
    </row>
    <row r="4860" customFormat="false" ht="17.15" hidden="false" customHeight="false" outlineLevel="0" collapsed="false">
      <c r="A4860" s="5" t="s">
        <v>801</v>
      </c>
      <c r="B4860" s="0" t="s">
        <v>86</v>
      </c>
      <c r="F4860" s="38" t="n">
        <f aca="false">cash_q2</f>
        <v>122.988</v>
      </c>
      <c r="G4860" s="38" t="n">
        <f aca="false">cash_q2</f>
        <v>122.988</v>
      </c>
      <c r="H4860" s="38" t="n">
        <f aca="false">Sens!$G$4863</f>
        <v>89.5023006151187</v>
      </c>
      <c r="I4860" s="38" t="n">
        <f aca="false">Sens!$H$4863</f>
        <v>50</v>
      </c>
      <c r="J4860" s="38" t="n">
        <f aca="false">Sens!$I$4863</f>
        <v>50</v>
      </c>
      <c r="K4860" s="38" t="n">
        <f aca="false">Sens!$J$4863</f>
        <v>76.0384056467791</v>
      </c>
      <c r="L4860" s="38" t="n">
        <f aca="false">Sens!$K$4863</f>
        <v>200.242029837425</v>
      </c>
      <c r="M4860" s="38" t="n">
        <f aca="false">Sens!$L$4863</f>
        <v>383.56432010496</v>
      </c>
    </row>
    <row r="4861" customFormat="false" ht="15" hidden="false" customHeight="false" outlineLevel="0" collapsed="false">
      <c r="A4861" s="5" t="s">
        <v>802</v>
      </c>
      <c r="B4861" s="0" t="s">
        <v>86</v>
      </c>
      <c r="F4861" s="38" t="n">
        <f aca="false">Sens!$F$4860+Sens!$F$4857-Sens!$F$4856-Sens!$F$4858+Sens!$F$4859</f>
        <v>89.5023006151187</v>
      </c>
      <c r="H4861" s="38" t="n">
        <f aca="false">Sens!$H$4860+Sens!$H$4857-Sens!$H$4856-Sens!$H$4858+Sens!$H$4859</f>
        <v>34.2709396806549</v>
      </c>
      <c r="I4861" s="38" t="n">
        <f aca="false">Sens!$I$4860+Sens!$I$4857-Sens!$I$4856-Sens!$I$4858+Sens!$I$4859</f>
        <v>34.3581995706669</v>
      </c>
      <c r="J4861" s="38" t="n">
        <f aca="false">Sens!$J$4860+Sens!$J$4857-Sens!$J$4856-Sens!$J$4858+Sens!$J$4859</f>
        <v>76.0384056467791</v>
      </c>
      <c r="K4861" s="38" t="n">
        <f aca="false">Sens!$K$4860+Sens!$K$4857-Sens!$K$4856-Sens!$K$4858+Sens!$K$4859</f>
        <v>200.242029837425</v>
      </c>
      <c r="L4861" s="38" t="n">
        <f aca="false">Sens!$L$4860+Sens!$L$4857-Sens!$L$4856-Sens!$L$4858+Sens!$L$4859</f>
        <v>383.56432010496</v>
      </c>
      <c r="M4861" s="38" t="n">
        <f aca="false">Sens!$M$4860+Sens!$M$4857-Sens!$M$4856-Sens!$M$4858+Sens!$M$4859</f>
        <v>596.505155549489</v>
      </c>
    </row>
    <row r="4862" customFormat="false" ht="17.15" hidden="false" customHeight="false" outlineLevel="0" collapsed="false">
      <c r="A4862" s="5" t="s">
        <v>803</v>
      </c>
      <c r="B4862" s="0" t="s">
        <v>86</v>
      </c>
      <c r="F4862" s="38" t="n">
        <f aca="false">MAX(0,min_cash-Sens!$F$4861)</f>
        <v>0</v>
      </c>
      <c r="G4862" s="38" t="n">
        <f aca="false">Sens!$F$4862</f>
        <v>0</v>
      </c>
      <c r="H4862" s="38" t="n">
        <f aca="false">MAX(0,min_cash-Sens!$H$4861)</f>
        <v>15.7290603193451</v>
      </c>
      <c r="I4862" s="38" t="n">
        <f aca="false">MAX(0,min_cash-Sens!$I$4861)</f>
        <v>15.6418004293331</v>
      </c>
      <c r="J4862" s="38" t="n">
        <f aca="false">MAX(0,min_cash-Sens!$J$4861)</f>
        <v>0</v>
      </c>
      <c r="K4862" s="38" t="n">
        <f aca="false">MAX(0,min_cash-Sens!$K$4861)</f>
        <v>0</v>
      </c>
      <c r="L4862" s="38" t="n">
        <f aca="false">MAX(0,min_cash-Sens!$L$4861)</f>
        <v>0</v>
      </c>
      <c r="M4862" s="38" t="n">
        <f aca="false">MAX(0,min_cash-Sens!$M$4861)</f>
        <v>0</v>
      </c>
      <c r="P4862" s="5" t="s">
        <v>804</v>
      </c>
    </row>
    <row r="4863" customFormat="false" ht="15" hidden="false" customHeight="false" outlineLevel="0" collapsed="false">
      <c r="A4863" s="5" t="s">
        <v>805</v>
      </c>
      <c r="B4863" s="0" t="s">
        <v>86</v>
      </c>
      <c r="D4863" s="38" t="n">
        <f aca="false">Q!$E$61</f>
        <v>123.029</v>
      </c>
      <c r="E4863" s="38" t="n">
        <f aca="false">Q!$M$61</f>
        <v>122.988</v>
      </c>
      <c r="F4863" s="38" t="n">
        <f aca="false">Sens!$F$4861+Sens!$F$4862</f>
        <v>89.5023006151187</v>
      </c>
      <c r="G4863" s="38" t="n">
        <f aca="false">Sens!$F$4863</f>
        <v>89.5023006151187</v>
      </c>
      <c r="H4863" s="38" t="n">
        <f aca="false">Sens!$H$4861+Sens!$H$4862</f>
        <v>50</v>
      </c>
      <c r="I4863" s="38" t="n">
        <f aca="false">Sens!$I$4861+Sens!$I$4862</f>
        <v>50</v>
      </c>
      <c r="J4863" s="38" t="n">
        <f aca="false">Sens!$J$4861+Sens!$J$4862</f>
        <v>76.0384056467791</v>
      </c>
      <c r="K4863" s="38" t="n">
        <f aca="false">Sens!$K$4861+Sens!$K$4862</f>
        <v>200.242029837425</v>
      </c>
      <c r="L4863" s="38" t="n">
        <f aca="false">Sens!$L$4861+Sens!$L$4862</f>
        <v>383.56432010496</v>
      </c>
      <c r="M4863" s="38" t="n">
        <f aca="false">Sens!$M$4861+Sens!$M$4862</f>
        <v>596.505155549489</v>
      </c>
    </row>
    <row r="4864" customFormat="false" ht="15" hidden="false" customHeight="false" outlineLevel="0" collapsed="false">
      <c r="A4864" s="5" t="s">
        <v>806</v>
      </c>
      <c r="B4864" s="0" t="s">
        <v>86</v>
      </c>
      <c r="D4864" s="38" t="n">
        <f aca="false">Q!$E$62</f>
        <v>68.836</v>
      </c>
      <c r="E4864" s="38" t="n">
        <f aca="false">Q!$M$62</f>
        <v>132.995</v>
      </c>
      <c r="F4864" s="38" t="n">
        <f aca="false">debt_q2+Sens!$F$4859+Sens!$F$4862</f>
        <v>162.244999</v>
      </c>
      <c r="G4864" s="38" t="n">
        <f aca="false">Sens!$F$4864</f>
        <v>162.244999</v>
      </c>
      <c r="H4864" s="38" t="n">
        <f aca="false">Sens!$G$4864+Sens!$H$4862</f>
        <v>177.974059319345</v>
      </c>
      <c r="I4864" s="38" t="n">
        <f aca="false">Sens!$H$4864+Sens!$I$4862</f>
        <v>193.615859748678</v>
      </c>
      <c r="J4864" s="38" t="n">
        <f aca="false">Sens!$I$4864+Sens!$J$4862</f>
        <v>193.615859748678</v>
      </c>
      <c r="K4864" s="38" t="n">
        <f aca="false">Sens!$J$4864+Sens!$K$4862</f>
        <v>193.615859748678</v>
      </c>
      <c r="L4864" s="38" t="n">
        <f aca="false">Sens!$K$4864+Sens!$L$4862</f>
        <v>193.615859748678</v>
      </c>
      <c r="M4864" s="38" t="n">
        <f aca="false">Sens!$L$4864+Sens!$M$4862</f>
        <v>193.615859748678</v>
      </c>
    </row>
    <row r="4865" customFormat="false" ht="15" hidden="false" customHeight="false" outlineLevel="0" collapsed="false">
      <c r="A4865" s="5" t="s">
        <v>807</v>
      </c>
      <c r="B4865" s="0" t="s">
        <v>86</v>
      </c>
      <c r="D4865" s="38" t="n">
        <f aca="false">Sens!$D$4864-Sens!$D$4863</f>
        <v>-54.193</v>
      </c>
      <c r="E4865" s="38" t="n">
        <f aca="false">Sens!$E$4864-Sens!$E$4863</f>
        <v>10.007</v>
      </c>
      <c r="F4865" s="38" t="n">
        <f aca="false">Sens!$F$4864-Sens!$F$4863</f>
        <v>72.7426983848813</v>
      </c>
      <c r="G4865" s="38" t="n">
        <f aca="false">Sens!$G$4864-Sens!$G$4863</f>
        <v>72.7426983848813</v>
      </c>
      <c r="H4865" s="38" t="n">
        <f aca="false">Sens!$H$4864-Sens!$H$4863</f>
        <v>127.974059319345</v>
      </c>
      <c r="I4865" s="38" t="n">
        <f aca="false">Sens!$I$4864-Sens!$I$4863</f>
        <v>143.615859748678</v>
      </c>
      <c r="J4865" s="38" t="n">
        <f aca="false">Sens!$J$4864-Sens!$J$4863</f>
        <v>117.577454101899</v>
      </c>
      <c r="K4865" s="38" t="n">
        <f aca="false">Sens!$K$4864-Sens!$K$4863</f>
        <v>-6.62617008874719</v>
      </c>
      <c r="L4865" s="38" t="n">
        <f aca="false">Sens!$L$4864-Sens!$L$4863</f>
        <v>-189.948460356282</v>
      </c>
      <c r="M4865" s="38" t="n">
        <f aca="false">Sens!$M$4864-Sens!$M$4863</f>
        <v>-402.889295800811</v>
      </c>
    </row>
    <row r="4866" customFormat="false" ht="17.15" hidden="false" customHeight="false" outlineLevel="0" collapsed="false">
      <c r="A4866" s="5" t="s">
        <v>808</v>
      </c>
      <c r="B4866" s="0" t="s">
        <v>86</v>
      </c>
      <c r="F4866" s="38" t="n">
        <f aca="false">debt_q2*kd_book*0.5+iss_2h26*kd_new*iss_t</f>
        <v>3.24888962733561</v>
      </c>
      <c r="H4866" s="38" t="n">
        <f aca="false">debt_q2*kd_book+(Sens!$G$4864-debt_q2)*kd_new</f>
        <v>7.42354172302123</v>
      </c>
      <c r="I4866" s="38" t="n">
        <f aca="false">debt_q2*kd_book+(Sens!$H$4864-debt_q2)*kd_new</f>
        <v>8.41919124123577</v>
      </c>
      <c r="J4866" s="38" t="n">
        <f aca="false">debt_q2*kd_book+(Sens!$I$4864-debt_q2)*kd_new</f>
        <v>9.40931720841255</v>
      </c>
      <c r="K4866" s="38" t="n">
        <f aca="false">debt_q2*kd_book+(Sens!$J$4864-debt_q2)*kd_new</f>
        <v>9.40931720841255</v>
      </c>
      <c r="L4866" s="38" t="n">
        <f aca="false">debt_q2*kd_book+(Sens!$K$4864-debt_q2)*kd_new</f>
        <v>9.40931720841255</v>
      </c>
      <c r="M4866" s="38" t="n">
        <f aca="false">debt_q2*kd_book+(Sens!$L$4864-debt_q2)*kd_new</f>
        <v>9.40931720841255</v>
      </c>
    </row>
    <row r="4867" customFormat="false" ht="17.15" hidden="false" customHeight="false" outlineLevel="0" collapsed="false">
      <c r="A4867" s="5" t="s">
        <v>809</v>
      </c>
      <c r="B4867" s="0" t="s">
        <v>86</v>
      </c>
      <c r="F4867" s="38" t="n">
        <f aca="false">cash_q2*y_cash*0.5</f>
        <v>2.59</v>
      </c>
      <c r="H4867" s="38" t="n">
        <f aca="false">Sens!$G$4863*y_cash</f>
        <v>3.76965165045626</v>
      </c>
      <c r="I4867" s="38" t="n">
        <f aca="false">Sens!$H$4863*y_cash</f>
        <v>2.10589651022864</v>
      </c>
      <c r="J4867" s="38" t="n">
        <f aca="false">Sens!$I$4863*y_cash</f>
        <v>2.10589651022864</v>
      </c>
      <c r="K4867" s="38" t="n">
        <f aca="false">Sens!$J$4863*y_cash</f>
        <v>3.20258026189804</v>
      </c>
      <c r="L4867" s="38" t="n">
        <f aca="false">Sens!$K$4863*y_cash</f>
        <v>8.43377983671466</v>
      </c>
      <c r="M4867" s="38" t="n">
        <f aca="false">Sens!$L$4863*y_cash</f>
        <v>16.1549352631451</v>
      </c>
    </row>
    <row r="4868" customFormat="false" ht="17.15" hidden="false" customHeight="false" outlineLevel="0" collapsed="false">
      <c r="A4868" s="47" t="s">
        <v>810</v>
      </c>
      <c r="B4868" s="14" t="s">
        <v>86</v>
      </c>
      <c r="C4868" s="14"/>
      <c r="D4868" s="14"/>
      <c r="E4868" s="14"/>
      <c r="F4868" s="14"/>
      <c r="G4868" s="48" t="n">
        <f aca="false">SUM(Sens!$G$4857:$K$4857)</f>
        <v>12.2421700887472</v>
      </c>
      <c r="H4868" s="14"/>
      <c r="I4868" s="14"/>
      <c r="J4868" s="14"/>
      <c r="K4868" s="14"/>
      <c r="L4868" s="14"/>
      <c r="M4868" s="14"/>
      <c r="N4868" s="14"/>
      <c r="O4868" s="14"/>
    </row>
    <row r="4869" customFormat="false" ht="17.15" hidden="false" customHeight="false" outlineLevel="0" collapsed="false">
      <c r="A4869" s="0" t="s">
        <v>776</v>
      </c>
      <c r="B4869" s="0" t="s">
        <v>86</v>
      </c>
      <c r="G4869" s="38" t="n">
        <f aca="false">SUM(Sens!$G$4862:$K$4862)</f>
        <v>31.3708607486781</v>
      </c>
    </row>
    <row r="4870" customFormat="false" ht="17.15" hidden="false" customHeight="false" outlineLevel="0" collapsed="false">
      <c r="A4870" s="24" t="s">
        <v>813</v>
      </c>
      <c r="B4870" s="25" t="s">
        <v>86</v>
      </c>
      <c r="C4870" s="25"/>
      <c r="D4870" s="25"/>
      <c r="E4870" s="25"/>
      <c r="F4870" s="25"/>
      <c r="G4870" s="41" t="n">
        <f aca="false">Sens!$G$4868-(Sens!$G$4857+Sens!$H$4857+Sens!$I$4857+Sens!$J$4857+Sens!$K$4857)</f>
        <v>0</v>
      </c>
      <c r="H4870" s="25"/>
      <c r="I4870" s="25"/>
      <c r="J4870" s="25"/>
      <c r="K4870" s="25"/>
      <c r="L4870" s="25"/>
      <c r="M4870" s="25"/>
      <c r="N4870" s="25"/>
      <c r="O4870" s="25"/>
    </row>
    <row r="4873" customFormat="false" ht="19.4" hidden="false" customHeight="false" outlineLevel="0" collapsed="false">
      <c r="A4873" s="31" t="s">
        <v>1234</v>
      </c>
    </row>
    <row r="4874" customFormat="false" ht="17.15" hidden="false" customHeight="false" outlineLevel="0" collapsed="false">
      <c r="A4874" s="6" t="s">
        <v>16</v>
      </c>
      <c r="B4874" s="6" t="s">
        <v>17</v>
      </c>
      <c r="C4874" s="20" t="s">
        <v>497</v>
      </c>
      <c r="D4874" s="20" t="s">
        <v>498</v>
      </c>
      <c r="E4874" s="20" t="s">
        <v>580</v>
      </c>
      <c r="F4874" s="20" t="s">
        <v>581</v>
      </c>
      <c r="G4874" s="20" t="s">
        <v>582</v>
      </c>
      <c r="H4874" s="20" t="s">
        <v>583</v>
      </c>
      <c r="I4874" s="20" t="s">
        <v>584</v>
      </c>
      <c r="J4874" s="20" t="s">
        <v>585</v>
      </c>
      <c r="K4874" s="20" t="s">
        <v>586</v>
      </c>
      <c r="L4874" s="20" t="s">
        <v>587</v>
      </c>
      <c r="M4874" s="20" t="s">
        <v>588</v>
      </c>
      <c r="N4874" s="20" t="s">
        <v>589</v>
      </c>
      <c r="O4874" s="20" t="s">
        <v>590</v>
      </c>
      <c r="P4874" s="6" t="s">
        <v>23</v>
      </c>
      <c r="R4874" s="20" t="n">
        <v>2023</v>
      </c>
      <c r="S4874" s="20" t="n">
        <v>2024</v>
      </c>
      <c r="T4874" s="20" t="n">
        <v>2025</v>
      </c>
      <c r="U4874" s="20" t="n">
        <v>2026</v>
      </c>
      <c r="V4874" s="20" t="n">
        <v>2027</v>
      </c>
      <c r="W4874" s="20" t="n">
        <v>2028</v>
      </c>
      <c r="X4874" s="20" t="n">
        <v>2029</v>
      </c>
      <c r="Y4874" s="20" t="n">
        <v>2030</v>
      </c>
      <c r="Z4874" s="20" t="n">
        <v>2031</v>
      </c>
      <c r="AA4874" s="20" t="n">
        <v>2032</v>
      </c>
    </row>
    <row r="4875" customFormat="false" ht="17.15" hidden="false" customHeight="false" outlineLevel="0" collapsed="false">
      <c r="A4875" s="1" t="s">
        <v>915</v>
      </c>
    </row>
    <row r="4876" customFormat="false" ht="17.15" hidden="false" customHeight="false" outlineLevel="0" collapsed="false">
      <c r="A4876" s="0" t="s">
        <v>916</v>
      </c>
      <c r="B4876" s="0" t="s">
        <v>86</v>
      </c>
      <c r="H4876" s="38" t="n">
        <f aca="false">Sens!$H$4810*(1-tax)</f>
        <v>122.357333377196</v>
      </c>
      <c r="I4876" s="38" t="n">
        <f aca="false">Sens!$I$4810*(1-tax)</f>
        <v>148.705805450609</v>
      </c>
      <c r="J4876" s="38" t="n">
        <f aca="false">Sens!$J$4810*(1-tax)</f>
        <v>174.006964164434</v>
      </c>
      <c r="K4876" s="38" t="n">
        <f aca="false">Sens!$K$4810*(1-tax)</f>
        <v>192.547011277241</v>
      </c>
      <c r="L4876" s="38" t="n">
        <f aca="false">Sens!$L$4810*(1-tax)</f>
        <v>206.639934378463</v>
      </c>
      <c r="M4876" s="38" t="n">
        <f aca="false">Sens!$M$4810*(1-tax)</f>
        <v>217.587965099577</v>
      </c>
    </row>
    <row r="4877" customFormat="false" ht="15" hidden="false" customHeight="false" outlineLevel="0" collapsed="false">
      <c r="A4877" s="5" t="s">
        <v>917</v>
      </c>
      <c r="B4877" s="0" t="s">
        <v>86</v>
      </c>
      <c r="H4877" s="38" t="n">
        <f aca="false">Sens!$H$4821</f>
        <v>78.1799395827871</v>
      </c>
      <c r="I4877" s="38" t="n">
        <f aca="false">Sens!$I$4821</f>
        <v>111.171125554384</v>
      </c>
      <c r="J4877" s="38" t="n">
        <f aca="false">Sens!$J$4821</f>
        <v>144.884406220971</v>
      </c>
      <c r="K4877" s="38" t="n">
        <f aca="false">Sens!$K$4821</f>
        <v>178.806419437999</v>
      </c>
      <c r="L4877" s="38" t="n">
        <f aca="false">Sens!$L$4821</f>
        <v>204.341339029663</v>
      </c>
      <c r="M4877" s="38" t="n">
        <f aca="false">Sens!$M$4821</f>
        <v>223.130577995387</v>
      </c>
    </row>
    <row r="4878" customFormat="false" ht="15" hidden="false" customHeight="false" outlineLevel="0" collapsed="false">
      <c r="A4878" s="5" t="s">
        <v>918</v>
      </c>
      <c r="B4878" s="0" t="s">
        <v>86</v>
      </c>
      <c r="H4878" s="38" t="n">
        <f aca="false">Sens!$H$4852</f>
        <v>273.372679834898</v>
      </c>
      <c r="I4878" s="38" t="n">
        <f aca="false">Sens!$I$4852</f>
        <v>286.981812228425</v>
      </c>
      <c r="J4878" s="38" t="n">
        <f aca="false">Sens!$J$4852</f>
        <v>299.316513378366</v>
      </c>
      <c r="K4878" s="38" t="n">
        <f aca="false">Sens!$K$4852</f>
        <v>251.057145512292</v>
      </c>
      <c r="L4878" s="38" t="n">
        <f aca="false">Sens!$L$4852</f>
        <v>234.696330860396</v>
      </c>
      <c r="M4878" s="38" t="n">
        <f aca="false">Sens!$M$4852</f>
        <v>242.291696043352</v>
      </c>
    </row>
    <row r="4879" customFormat="false" ht="15" hidden="false" customHeight="false" outlineLevel="0" collapsed="false">
      <c r="A4879" s="5" t="s">
        <v>919</v>
      </c>
      <c r="B4879" s="0" t="s">
        <v>86</v>
      </c>
      <c r="H4879" s="38" t="n">
        <f aca="false">Sens!$H$4853</f>
        <v>1.6</v>
      </c>
      <c r="I4879" s="38" t="n">
        <f aca="false">Sens!$I$4853</f>
        <v>1.6</v>
      </c>
      <c r="J4879" s="38" t="n">
        <f aca="false">Sens!$J$4853</f>
        <v>1.6</v>
      </c>
      <c r="K4879" s="38" t="n">
        <f aca="false">Sens!$K$4853</f>
        <v>1.6</v>
      </c>
      <c r="L4879" s="38" t="n">
        <f aca="false">Sens!$L$4853</f>
        <v>1.6</v>
      </c>
      <c r="M4879" s="38" t="n">
        <f aca="false">Sens!$M$4853</f>
        <v>1.6</v>
      </c>
    </row>
    <row r="4880" customFormat="false" ht="15" hidden="false" customHeight="false" outlineLevel="0" collapsed="false">
      <c r="A4880" s="5" t="s">
        <v>920</v>
      </c>
      <c r="B4880" s="0" t="s">
        <v>86</v>
      </c>
      <c r="H4880" s="38" t="n">
        <f aca="false">Sens!$H$4847</f>
        <v>11.2928295263397</v>
      </c>
      <c r="I4880" s="38" t="n">
        <f aca="false">Sens!$I$4847</f>
        <v>12.8091546115766</v>
      </c>
      <c r="J4880" s="38" t="n">
        <f aca="false">Sens!$J$4847</f>
        <v>14.2605653162668</v>
      </c>
      <c r="K4880" s="38" t="n">
        <f aca="false">Sens!$K$4847</f>
        <v>15.5327622460396</v>
      </c>
      <c r="L4880" s="38" t="n">
        <f aca="false">Sens!$L$4847</f>
        <v>16.720573737517</v>
      </c>
      <c r="M4880" s="38" t="n">
        <f aca="false">Sens!$M$4847</f>
        <v>17.8283127551536</v>
      </c>
    </row>
    <row r="4881" customFormat="false" ht="17.15" hidden="false" customHeight="false" outlineLevel="0" collapsed="false">
      <c r="A4881" s="1" t="s">
        <v>921</v>
      </c>
      <c r="B4881" s="8" t="s">
        <v>86</v>
      </c>
      <c r="H4881" s="38" t="n">
        <f aca="false">Sens!$H$4876+Sens!$H$4877-Sens!$H$4878+Sens!$H$4880</f>
        <v>-61.5425773485756</v>
      </c>
      <c r="I4881" s="38" t="n">
        <f aca="false">Sens!$I$4876+Sens!$I$4877-Sens!$I$4878+Sens!$I$4880</f>
        <v>-14.2957266118551</v>
      </c>
      <c r="J4881" s="38" t="n">
        <f aca="false">Sens!$J$4876+Sens!$J$4877-Sens!$J$4878+Sens!$J$4880</f>
        <v>33.8354223233059</v>
      </c>
      <c r="K4881" s="38" t="n">
        <f aca="false">Sens!$K$4876+Sens!$K$4877-Sens!$K$4878+Sens!$K$4880</f>
        <v>135.829047448987</v>
      </c>
      <c r="L4881" s="38" t="n">
        <f aca="false">Sens!$L$4876+Sens!$L$4877-Sens!$L$4878+Sens!$L$4880</f>
        <v>193.005516285247</v>
      </c>
      <c r="M4881" s="38" t="n">
        <f aca="false">Sens!$M$4876+Sens!$M$4877-Sens!$M$4878+Sens!$M$4880</f>
        <v>216.255159806765</v>
      </c>
    </row>
    <row r="4882" customFormat="false" ht="15" hidden="false" customHeight="false" outlineLevel="0" collapsed="false">
      <c r="A4882" s="5" t="s">
        <v>922</v>
      </c>
      <c r="B4882" s="0" t="s">
        <v>57</v>
      </c>
      <c r="H4882" s="40" t="n">
        <f aca="false">1/(1+wacc)^(2027-2026-0.5)</f>
        <v>0.947751320380232</v>
      </c>
      <c r="I4882" s="40" t="n">
        <f aca="false">1/(1+wacc)^(2028-2026-0.5)</f>
        <v>0.851301099754987</v>
      </c>
      <c r="J4882" s="40" t="n">
        <f aca="false">1/(1+wacc)^(2029-2026-0.5)</f>
        <v>0.764666370660713</v>
      </c>
      <c r="K4882" s="40" t="n">
        <f aca="false">1/(1+wacc)^(2030-2026-0.5)</f>
        <v>0.686848235703811</v>
      </c>
      <c r="L4882" s="40" t="n">
        <f aca="false">1/(1+wacc)^(2031-2026-0.5)</f>
        <v>0.616949452715975</v>
      </c>
      <c r="M4882" s="40" t="n">
        <f aca="false">1/(1+wacc)^(2032-2026-0.5)</f>
        <v>0.554164089562688</v>
      </c>
    </row>
    <row r="4883" customFormat="false" ht="15" hidden="false" customHeight="false" outlineLevel="0" collapsed="false">
      <c r="A4883" s="5" t="s">
        <v>923</v>
      </c>
      <c r="B4883" s="0" t="s">
        <v>86</v>
      </c>
      <c r="H4883" s="38" t="n">
        <f aca="false">Sens!$H$4881*Sens!$H$4882</f>
        <v>-58.3270589417151</v>
      </c>
      <c r="I4883" s="38" t="n">
        <f aca="false">Sens!$I$4881*Sens!$I$4882</f>
        <v>-12.1699677864689</v>
      </c>
      <c r="J4883" s="38" t="n">
        <f aca="false">Sens!$J$4881*Sens!$J$4882</f>
        <v>25.8728095877348</v>
      </c>
      <c r="K4883" s="38" t="n">
        <f aca="false">Sens!$K$4881*Sens!$K$4882</f>
        <v>93.2939415976661</v>
      </c>
      <c r="L4883" s="38" t="n">
        <f aca="false">Sens!$L$4881*Sens!$L$4882</f>
        <v>119.074647643347</v>
      </c>
      <c r="M4883" s="38" t="n">
        <f aca="false">Sens!$M$4881*Sens!$M$4882</f>
        <v>119.840843747549</v>
      </c>
    </row>
    <row r="4884" customFormat="false" ht="15" hidden="false" customHeight="false" outlineLevel="0" collapsed="false">
      <c r="A4884" s="5" t="s">
        <v>924</v>
      </c>
      <c r="B4884" s="0" t="s">
        <v>86</v>
      </c>
      <c r="C4884" s="38" t="n">
        <f aca="false">SUM(Sens!$H$4883:$M$4883)</f>
        <v>287.585215848113</v>
      </c>
    </row>
    <row r="4885" customFormat="false" ht="17.15" hidden="false" customHeight="false" outlineLevel="0" collapsed="false">
      <c r="A4885" s="5" t="s">
        <v>925</v>
      </c>
      <c r="B4885" s="0" t="s">
        <v>86</v>
      </c>
      <c r="C4885" s="38" t="n">
        <f aca="false">Sens!$M$4876*(1+tg)*(1-tg/ronic)/(wacc-tg)</f>
        <v>1978.11740569791</v>
      </c>
    </row>
    <row r="4886" customFormat="false" ht="15" hidden="false" customHeight="false" outlineLevel="0" collapsed="false">
      <c r="A4886" s="5" t="s">
        <v>926</v>
      </c>
      <c r="B4886" s="0" t="s">
        <v>86</v>
      </c>
      <c r="C4886" s="38" t="n">
        <f aca="false">Sens!$C$4885/(1+wacc)^6</f>
        <v>1038.92654335067</v>
      </c>
    </row>
    <row r="4887" customFormat="false" ht="17.15" hidden="false" customHeight="false" outlineLevel="0" collapsed="false">
      <c r="A4887" s="5" t="s">
        <v>927</v>
      </c>
      <c r="B4887" s="0" t="s">
        <v>86</v>
      </c>
      <c r="C4887" s="38" t="n">
        <f aca="false">Sens!$C$4884+Sens!$C$4886</f>
        <v>1326.51175919879</v>
      </c>
    </row>
    <row r="4888" customFormat="false" ht="17.15" hidden="false" customHeight="false" outlineLevel="0" collapsed="false">
      <c r="A4888" s="5" t="s">
        <v>928</v>
      </c>
      <c r="B4888" s="0" t="s">
        <v>52</v>
      </c>
      <c r="C4888" s="13" t="n">
        <f aca="false">Sens!$C$4886/Sens!$C$4887</f>
        <v>0.783201909931191</v>
      </c>
    </row>
    <row r="4889" customFormat="false" ht="17.15" hidden="false" customHeight="false" outlineLevel="0" collapsed="false">
      <c r="A4889" s="5" t="s">
        <v>929</v>
      </c>
      <c r="B4889" s="0" t="s">
        <v>86</v>
      </c>
      <c r="C4889" s="38" t="n">
        <f aca="false">Sens!$G$4865+fin_debt</f>
        <v>97.2636983848813</v>
      </c>
    </row>
    <row r="4890" customFormat="false" ht="17.15" hidden="false" customHeight="false" outlineLevel="0" collapsed="false">
      <c r="A4890" s="5" t="s">
        <v>930</v>
      </c>
      <c r="B4890" s="0" t="s">
        <v>86</v>
      </c>
      <c r="C4890" s="38" t="n">
        <f aca="false">(ant_val*ant_sh+oai_val*oai_sh)*(1-liq_disc)</f>
        <v>178.944</v>
      </c>
    </row>
    <row r="4891" customFormat="false" ht="15" hidden="false" customHeight="false" outlineLevel="0" collapsed="false">
      <c r="A4891" s="5" t="s">
        <v>931</v>
      </c>
      <c r="B4891" s="0" t="s">
        <v>86</v>
      </c>
      <c r="C4891" s="38" t="n">
        <f aca="false">Sens!$C$4887-Sens!$C$4889+Sens!$C$4890</f>
        <v>1408.19206081391</v>
      </c>
    </row>
    <row r="4892" customFormat="false" ht="17.15" hidden="false" customHeight="false" outlineLevel="0" collapsed="false">
      <c r="A4892" s="5" t="s">
        <v>932</v>
      </c>
      <c r="B4892" s="0" t="s">
        <v>27</v>
      </c>
      <c r="C4892" s="30" t="n">
        <f aca="false">Sens!$C$4891/sh_out</f>
        <v>130.55359419482</v>
      </c>
    </row>
    <row r="4893" customFormat="false" ht="17.15" hidden="false" customHeight="false" outlineLevel="0" collapsed="false">
      <c r="A4893" s="1" t="s">
        <v>933</v>
      </c>
      <c r="B4893" s="8" t="s">
        <v>27</v>
      </c>
      <c r="C4893" s="30" t="n">
        <f aca="false">Sens!$C$4892*(1+ke)^tp_yf-dps*tp_yf</f>
        <v>143.004339876298</v>
      </c>
    </row>
    <row r="4894" customFormat="false" ht="17.15" hidden="false" customHeight="false" outlineLevel="0" collapsed="false">
      <c r="A4894" s="3" t="s">
        <v>934</v>
      </c>
    </row>
    <row r="4895" customFormat="false" ht="17.15" hidden="false" customHeight="false" outlineLevel="0" collapsed="false">
      <c r="A4895" s="5" t="s">
        <v>935</v>
      </c>
      <c r="B4895" s="0" t="s">
        <v>86</v>
      </c>
      <c r="C4895" s="38" t="n">
        <f aca="false">(1-tp_yf)*(Sens!$H$4822+sbc_ab*Sens!$H$4846*Sens!$H$4686/Sens!$H$4763)+tp_yf*(Sens!$I$4822+sbc_ab*Sens!$I$4846*Sens!$I$4686/Sens!$I$4763)</f>
        <v>59.634664536349</v>
      </c>
    </row>
    <row r="4896" customFormat="false" ht="15" hidden="false" customHeight="false" outlineLevel="0" collapsed="false">
      <c r="A4896" s="5" t="s">
        <v>936</v>
      </c>
      <c r="B4896" s="0" t="s">
        <v>57</v>
      </c>
      <c r="C4896" s="30" t="n">
        <f aca="false">m_ads*m_x</f>
        <v>9.11</v>
      </c>
    </row>
    <row r="4897" customFormat="false" ht="17.15" hidden="false" customHeight="false" outlineLevel="0" collapsed="false">
      <c r="A4897" s="5" t="s">
        <v>937</v>
      </c>
      <c r="B4897" s="0" t="s">
        <v>86</v>
      </c>
      <c r="C4897" s="38" t="n">
        <f aca="false">Sens!$C$4895*Sens!$C$4896</f>
        <v>543.271793926139</v>
      </c>
    </row>
    <row r="4898" customFormat="false" ht="17.15" hidden="false" customHeight="false" outlineLevel="0" collapsed="false">
      <c r="A4898" s="5" t="s">
        <v>938</v>
      </c>
      <c r="B4898" s="0" t="s">
        <v>86</v>
      </c>
      <c r="C4898" s="38" t="n">
        <f aca="false">(1-tp_yf)*(Sens!$H$4823+sbc_ab*Sens!$H$4846*(Sens!$H$4693-Sens!$H$4686)/Sens!$H$4763+IF(internal_ai_reading=2,1,0)*(1-ext_sh)*Sens!$H$4723)+tp_yf*(Sens!$I$4823+sbc_ab*Sens!$I$4846*(Sens!$I$4693-Sens!$I$4686)/Sens!$I$4763+IF(internal_ai_reading=2,1,0)*(1-ext_sh)*Sens!$I$4723)</f>
        <v>53.8584098282912</v>
      </c>
    </row>
    <row r="4899" customFormat="false" ht="17.15" hidden="false" customHeight="false" outlineLevel="0" collapsed="false">
      <c r="A4899" s="5" t="s">
        <v>939</v>
      </c>
      <c r="B4899" s="0" t="s">
        <v>57</v>
      </c>
      <c r="C4899" s="30" t="n">
        <f aca="false">m_retail*m_x</f>
        <v>17.72</v>
      </c>
    </row>
    <row r="4900" customFormat="false" ht="17.15" hidden="false" customHeight="false" outlineLevel="0" collapsed="false">
      <c r="A4900" s="5" t="s">
        <v>940</v>
      </c>
      <c r="B4900" s="0" t="s">
        <v>86</v>
      </c>
      <c r="C4900" s="38" t="n">
        <f aca="false">Sens!$C$4898*Sens!$C$4899</f>
        <v>954.37102215732</v>
      </c>
    </row>
    <row r="4901" customFormat="false" ht="17.15" hidden="false" customHeight="false" outlineLevel="0" collapsed="false">
      <c r="A4901" s="0" t="s">
        <v>941</v>
      </c>
      <c r="B4901" s="0" t="s">
        <v>86</v>
      </c>
      <c r="C4901" s="38" t="n">
        <f aca="false">(1-tp_yf)*(Sens!$H$4824+sbc_ab*Sens!$H$4846*Sens!$H$4761/Sens!$H$4763)+tp_yf*(Sens!$I$4824+sbc_ab*Sens!$I$4846*Sens!$I$4761/Sens!$I$4763)</f>
        <v>96.2439586897193</v>
      </c>
    </row>
    <row r="4902" customFormat="false" ht="17.15" hidden="false" customHeight="false" outlineLevel="0" collapsed="false">
      <c r="A4902" s="0" t="s">
        <v>942</v>
      </c>
      <c r="B4902" s="0" t="s">
        <v>57</v>
      </c>
      <c r="C4902" s="30" t="n">
        <f aca="false">m_cloud*m_x</f>
        <v>13.82</v>
      </c>
    </row>
    <row r="4903" customFormat="false" ht="17.15" hidden="false" customHeight="false" outlineLevel="0" collapsed="false">
      <c r="A4903" s="0" t="s">
        <v>943</v>
      </c>
      <c r="B4903" s="0" t="s">
        <v>86</v>
      </c>
      <c r="C4903" s="38" t="n">
        <f aca="false">Sens!$C$4901*Sens!$C$4902</f>
        <v>1330.09150909192</v>
      </c>
    </row>
    <row r="4904" customFormat="false" ht="17.15" hidden="false" customHeight="false" outlineLevel="0" collapsed="false">
      <c r="A4904" s="0" t="s">
        <v>944</v>
      </c>
      <c r="B4904" s="0" t="s">
        <v>86</v>
      </c>
      <c r="H4904" s="38" t="n">
        <f aca="false">Sens!$H$4742-tax*Sens!$H$4743-ext_sh*Sens!$H$4730</f>
        <v>-115.885394236225</v>
      </c>
      <c r="I4904" s="38" t="n">
        <f aca="false">Sens!$I$4742-tax*Sens!$I$4743-ext_sh*Sens!$I$4730</f>
        <v>-89.5935137276694</v>
      </c>
      <c r="J4904" s="38" t="n">
        <f aca="false">Sens!$J$4742-tax*Sens!$J$4743-ext_sh*Sens!$J$4730</f>
        <v>-62.3510647460279</v>
      </c>
      <c r="K4904" s="38" t="n">
        <f aca="false">Sens!$K$4742-tax*Sens!$K$4743-ext_sh*Sens!$K$4730</f>
        <v>8.85932514072565</v>
      </c>
      <c r="L4904" s="38" t="n">
        <f aca="false">Sens!$L$4742-tax*Sens!$L$4743-ext_sh*Sens!$L$4730</f>
        <v>45.6968344120177</v>
      </c>
      <c r="M4904" s="38" t="n">
        <f aca="false">Sens!$M$4742-tax*Sens!$M$4743-ext_sh*Sens!$M$4730</f>
        <v>54.7466688757428</v>
      </c>
    </row>
    <row r="4905" customFormat="false" ht="17.15" hidden="false" customHeight="false" outlineLevel="0" collapsed="false">
      <c r="A4905" s="5" t="s">
        <v>945</v>
      </c>
      <c r="B4905" s="0" t="s">
        <v>86</v>
      </c>
      <c r="H4905" s="38" t="n">
        <f aca="false">Sens!$H$4904*Sens!$H$4882</f>
        <v>-109.830535400166</v>
      </c>
      <c r="I4905" s="38" t="n">
        <f aca="false">Sens!$I$4904*Sens!$I$4882</f>
        <v>-76.2710567672785</v>
      </c>
      <c r="J4905" s="38" t="n">
        <f aca="false">Sens!$J$4904*Sens!$J$4882</f>
        <v>-47.6777623861763</v>
      </c>
      <c r="K4905" s="38" t="n">
        <f aca="false">Sens!$K$4904*Sens!$K$4882</f>
        <v>6.08501184243383</v>
      </c>
      <c r="L4905" s="38" t="n">
        <f aca="false">Sens!$L$4904*Sens!$L$4882</f>
        <v>28.1926369813469</v>
      </c>
      <c r="M4905" s="38" t="n">
        <f aca="false">Sens!$M$4904*Sens!$M$4882</f>
        <v>30.338637914116</v>
      </c>
    </row>
    <row r="4906" customFormat="false" ht="17.15" hidden="false" customHeight="false" outlineLevel="0" collapsed="false">
      <c r="A4906" s="5" t="s">
        <v>946</v>
      </c>
      <c r="B4906" s="0" t="s">
        <v>86</v>
      </c>
      <c r="C4906" s="38" t="n">
        <f aca="false">Sens!$M$4743*(1-tax)*(1+tg)*(1-tg/ronic)/(wacc-tg)</f>
        <v>391.533160655061</v>
      </c>
    </row>
    <row r="4907" customFormat="false" ht="17.15" hidden="false" customHeight="false" outlineLevel="0" collapsed="false">
      <c r="A4907" s="0" t="s">
        <v>947</v>
      </c>
      <c r="B4907" s="0" t="s">
        <v>86</v>
      </c>
      <c r="C4907" s="38" t="n">
        <f aca="false">(SUM(Sens!$I$4905:$M$4905)+Sens!$C$4906/(1+wacc)^6)*(1+wacc)^tp_yf</f>
        <v>159.796867964901</v>
      </c>
    </row>
    <row r="4908" customFormat="false" ht="17.15" hidden="false" customHeight="false" outlineLevel="0" collapsed="false">
      <c r="A4908" s="5" t="s">
        <v>948</v>
      </c>
      <c r="B4908" s="0" t="s">
        <v>86</v>
      </c>
      <c r="C4908" s="38" t="n">
        <f aca="false">(1-tp_yf)*(Sens!$H$4825)+tp_yf*(Sens!$I$4825)</f>
        <v>74.6707041238437</v>
      </c>
    </row>
    <row r="4909" customFormat="false" ht="17.15" hidden="false" customHeight="false" outlineLevel="0" collapsed="false">
      <c r="A4909" s="5" t="s">
        <v>949</v>
      </c>
      <c r="B4909" s="0" t="s">
        <v>86</v>
      </c>
      <c r="C4909" s="38" t="n">
        <f aca="false">Sens!$C$4908*m_ai</f>
        <v>448.024224743062</v>
      </c>
    </row>
    <row r="4910" customFormat="false" ht="17.15" hidden="false" customHeight="false" outlineLevel="0" collapsed="false">
      <c r="A4910" s="0" t="s">
        <v>950</v>
      </c>
      <c r="B4910" s="0" t="s">
        <v>86</v>
      </c>
      <c r="C4910" s="38" t="n">
        <f aca="false">IF(ai_leg=1,Sens!$C$4907,Sens!$C$4909)</f>
        <v>159.796867964901</v>
      </c>
    </row>
    <row r="4911" customFormat="false" ht="17.15" hidden="false" customHeight="false" outlineLevel="0" collapsed="false">
      <c r="A4911" s="5" t="s">
        <v>951</v>
      </c>
      <c r="B4911" s="0" t="s">
        <v>86</v>
      </c>
      <c r="C4911" s="38" t="n">
        <f aca="false">Sens!$C$4897+Sens!$C$4900+Sens!$C$4903+Sens!$C$4910</f>
        <v>2987.53119314028</v>
      </c>
    </row>
    <row r="4912" customFormat="false" ht="17.15" hidden="false" customHeight="false" outlineLevel="0" collapsed="false">
      <c r="A4912" s="5" t="s">
        <v>952</v>
      </c>
      <c r="B4912" s="0" t="s">
        <v>86</v>
      </c>
      <c r="C4912" s="38" t="n">
        <f aca="false">Sens!$H$4865+fin_debt</f>
        <v>152.495059319345</v>
      </c>
    </row>
    <row r="4913" customFormat="false" ht="15" hidden="false" customHeight="false" outlineLevel="0" collapsed="false">
      <c r="A4913" s="5" t="s">
        <v>953</v>
      </c>
      <c r="B4913" s="0" t="s">
        <v>86</v>
      </c>
      <c r="C4913" s="38" t="n">
        <f aca="false">Sens!$C$4911-Sens!$C$4912+Sens!$C$4890</f>
        <v>3013.98013382094</v>
      </c>
    </row>
    <row r="4914" customFormat="false" ht="15" hidden="false" customHeight="false" outlineLevel="0" collapsed="false">
      <c r="A4914" s="3" t="s">
        <v>954</v>
      </c>
      <c r="B4914" s="8" t="s">
        <v>27</v>
      </c>
      <c r="C4914" s="30" t="n">
        <f aca="false">Sens!$C$4913/sh_val</f>
        <v>273.245179948724</v>
      </c>
    </row>
    <row r="4915" customFormat="false" ht="17.15" hidden="false" customHeight="false" outlineLevel="0" collapsed="false">
      <c r="A4915" s="47" t="s">
        <v>955</v>
      </c>
      <c r="B4915" s="14" t="s">
        <v>27</v>
      </c>
      <c r="C4915" s="44" t="n">
        <f aca="false">w_dcf*Sens!$C$4893+(1-w_dcf)*Sens!$C$4914</f>
        <v>208.124759912511</v>
      </c>
      <c r="D4915" s="14"/>
      <c r="E4915" s="14"/>
      <c r="F4915" s="14"/>
      <c r="G4915" s="14"/>
      <c r="H4915" s="14"/>
      <c r="I4915" s="14"/>
      <c r="J4915" s="14"/>
      <c r="K4915" s="14"/>
      <c r="L4915" s="14"/>
      <c r="M4915" s="14"/>
      <c r="N4915" s="14"/>
      <c r="O4915" s="14"/>
    </row>
    <row r="4916" customFormat="false" ht="17.15" hidden="false" customHeight="false" outlineLevel="0" collapsed="false">
      <c r="A4916" s="5" t="s">
        <v>956</v>
      </c>
      <c r="B4916" s="0" t="s">
        <v>27</v>
      </c>
      <c r="C4916" s="30" t="n">
        <f aca="false">v022_wdcf*Sens!$C$4893+(1-v022_wdcf)*Sens!$C$4914</f>
        <v>214.636801916132</v>
      </c>
    </row>
    <row r="4917" customFormat="false" ht="17.15" hidden="false" customHeight="false" outlineLevel="0" collapsed="false">
      <c r="A4917" s="5" t="s">
        <v>957</v>
      </c>
      <c r="B4917" s="0" t="s">
        <v>27</v>
      </c>
      <c r="C4917" s="30" t="n">
        <f aca="false">(Sens!$C$4913-Sens!$C$4910+Sens!$C$4909)/sh_val</f>
        <v>299.375656087315</v>
      </c>
    </row>
    <row r="4920" customFormat="false" ht="19.4" hidden="false" customHeight="false" outlineLevel="0" collapsed="false">
      <c r="A4920" s="31" t="s">
        <v>1235</v>
      </c>
    </row>
    <row r="4921" customFormat="false" ht="17.15" hidden="false" customHeight="false" outlineLevel="0" collapsed="false">
      <c r="A4921" s="6" t="s">
        <v>16</v>
      </c>
      <c r="B4921" s="6" t="s">
        <v>17</v>
      </c>
      <c r="C4921" s="20" t="s">
        <v>497</v>
      </c>
      <c r="D4921" s="20" t="s">
        <v>498</v>
      </c>
      <c r="E4921" s="20" t="s">
        <v>580</v>
      </c>
      <c r="F4921" s="20" t="s">
        <v>581</v>
      </c>
      <c r="G4921" s="20" t="s">
        <v>582</v>
      </c>
      <c r="H4921" s="20" t="s">
        <v>583</v>
      </c>
      <c r="I4921" s="20" t="s">
        <v>584</v>
      </c>
      <c r="J4921" s="20" t="s">
        <v>585</v>
      </c>
      <c r="K4921" s="20" t="s">
        <v>586</v>
      </c>
      <c r="L4921" s="20" t="s">
        <v>587</v>
      </c>
      <c r="M4921" s="20" t="s">
        <v>588</v>
      </c>
      <c r="N4921" s="20" t="s">
        <v>589</v>
      </c>
      <c r="O4921" s="20" t="s">
        <v>590</v>
      </c>
      <c r="P4921" s="6" t="s">
        <v>23</v>
      </c>
      <c r="R4921" s="20" t="n">
        <v>2023</v>
      </c>
      <c r="S4921" s="20" t="n">
        <v>2024</v>
      </c>
      <c r="T4921" s="20" t="n">
        <v>2025</v>
      </c>
      <c r="U4921" s="20" t="n">
        <v>2026</v>
      </c>
      <c r="V4921" s="20" t="n">
        <v>2027</v>
      </c>
      <c r="W4921" s="20" t="n">
        <v>2028</v>
      </c>
      <c r="X4921" s="20" t="n">
        <v>2029</v>
      </c>
      <c r="Y4921" s="20" t="n">
        <v>2030</v>
      </c>
      <c r="Z4921" s="20" t="n">
        <v>2031</v>
      </c>
      <c r="AA4921" s="20" t="n">
        <v>2032</v>
      </c>
    </row>
    <row r="4922" customFormat="false" ht="17.15" hidden="false" customHeight="false" outlineLevel="0" collapsed="false">
      <c r="A4922" s="1" t="s">
        <v>666</v>
      </c>
    </row>
    <row r="4923" customFormat="false" ht="17.15" hidden="false" customHeight="false" outlineLevel="0" collapsed="false">
      <c r="A4923" s="0" t="s">
        <v>519</v>
      </c>
      <c r="B4923" s="0" t="s">
        <v>86</v>
      </c>
      <c r="C4923" s="38" t="n">
        <f aca="false">Q!$D$10</f>
        <v>247.029</v>
      </c>
      <c r="D4923" s="38" t="n">
        <f aca="false">Q!$E$10</f>
        <v>269.287</v>
      </c>
      <c r="E4923" s="38" t="n">
        <f aca="false">Q!$P$10</f>
        <v>134.686</v>
      </c>
      <c r="F4923" s="38" t="n">
        <f aca="false">Sens!$O$4923*(1+Sens!$F$4924)*Sens!$F$4935</f>
        <v>158.293876822267</v>
      </c>
      <c r="G4923" s="38" t="n">
        <f aca="false">Sens!$E$4923+Sens!$F$4923</f>
        <v>292.979876822267</v>
      </c>
      <c r="H4923" s="38" t="n">
        <f aca="false">Sens!$G$4923*(1+Sens!$H$4924)</f>
        <v>318.184543087396</v>
      </c>
      <c r="I4923" s="38" t="n">
        <f aca="false">Sens!$H$4923*(1+Sens!$I$4924)</f>
        <v>341.736278761793</v>
      </c>
      <c r="J4923" s="38" t="n">
        <f aca="false">Sens!$I$4923*(1+Sens!$J$4924)</f>
        <v>362.927192787048</v>
      </c>
      <c r="K4923" s="38" t="n">
        <f aca="false">Sens!$J$4923*(1+Sens!$K$4924)</f>
        <v>381.0735524264</v>
      </c>
      <c r="L4923" s="38" t="n">
        <f aca="false">Sens!$K$4923*(1+Sens!$L$4924)</f>
        <v>400.12723004772</v>
      </c>
      <c r="M4923" s="38" t="n">
        <f aca="false">Sens!$L$4923*(1+Sens!$M$4924)</f>
        <v>420.133591550106</v>
      </c>
      <c r="N4923" s="38" t="n">
        <f aca="false">Q!$N$10</f>
        <v>118.892</v>
      </c>
      <c r="O4923" s="38" t="n">
        <f aca="false">Q!$O$10</f>
        <v>150.395</v>
      </c>
      <c r="P4923" s="8" t="s">
        <v>667</v>
      </c>
    </row>
    <row r="4924" customFormat="false" ht="17.15" hidden="false" customHeight="false" outlineLevel="0" collapsed="false">
      <c r="A4924" s="0" t="s">
        <v>668</v>
      </c>
      <c r="B4924" s="0" t="s">
        <v>52</v>
      </c>
      <c r="E4924" s="13" t="n">
        <f aca="false">Sens!$E$4923/Sens!$N$4923-1</f>
        <v>0.132843252699929</v>
      </c>
      <c r="F4924" s="13" t="n">
        <f aca="false">Sens!$O$4923/(Q!$F$10+Q!$G$10)-1</f>
        <v>0.0980382135842941</v>
      </c>
      <c r="G4924" s="13" t="n">
        <f aca="false">Sens!$G$4923/Sens!$D$4923-1</f>
        <v>0.0879837378791657</v>
      </c>
      <c r="H4924" s="13" t="n">
        <f aca="false">Sens!$F$4924+(g_os-Sens!$F$4924)*1/4</f>
        <v>0.0860286601882206</v>
      </c>
      <c r="I4924" s="13" t="n">
        <f aca="false">Sens!$F$4924+(g_os-Sens!$F$4924)*2/4</f>
        <v>0.074019106792147</v>
      </c>
      <c r="J4924" s="13" t="n">
        <f aca="false">Sens!$F$4924+(g_os-Sens!$F$4924)*3/4</f>
        <v>0.0620095533960735</v>
      </c>
      <c r="K4924" s="13" t="n">
        <f aca="false">Sens!$F$4924+(g_os-Sens!$F$4924)*4/4</f>
        <v>0.05</v>
      </c>
      <c r="L4924" s="13" t="n">
        <f aca="false">g_os</f>
        <v>0.05</v>
      </c>
      <c r="M4924" s="13" t="n">
        <f aca="false">g_os</f>
        <v>0.05</v>
      </c>
      <c r="P4924" s="8" t="s">
        <v>669</v>
      </c>
    </row>
    <row r="4925" customFormat="false" ht="17.15" hidden="false" customHeight="false" outlineLevel="0" collapsed="false">
      <c r="A4925" s="0" t="s">
        <v>520</v>
      </c>
      <c r="B4925" s="0" t="s">
        <v>86</v>
      </c>
      <c r="C4925" s="38" t="n">
        <f aca="false">Q!$D$11</f>
        <v>21.215</v>
      </c>
      <c r="D4925" s="38" t="n">
        <f aca="false">Q!$E$11</f>
        <v>22.561</v>
      </c>
      <c r="E4925" s="38" t="n">
        <f aca="false">Q!$P$11</f>
        <v>11.579</v>
      </c>
      <c r="F4925" s="38" t="n">
        <f aca="false">Sens!$O$4925*(1+Sens!$F$4926)*Sens!$F$4935</f>
        <v>11.5938724610325</v>
      </c>
      <c r="G4925" s="38" t="n">
        <f aca="false">Sens!$E$4925+Sens!$F$4925</f>
        <v>23.1728724610325</v>
      </c>
      <c r="H4925" s="38" t="n">
        <f aca="false">Sens!$G$4925*(1+Sens!$H$4926)</f>
        <v>24.353392759506</v>
      </c>
      <c r="I4925" s="38" t="n">
        <f aca="false">Sens!$H$4925*(1+Sens!$I$4926)</f>
        <v>25.4240338872015</v>
      </c>
      <c r="J4925" s="38" t="n">
        <f aca="false">Sens!$I$4925*(1+Sens!$J$4926)</f>
        <v>26.3642491017174</v>
      </c>
      <c r="K4925" s="38" t="n">
        <f aca="false">Sens!$J$4925*(1+Sens!$K$4926)</f>
        <v>27.155176574769</v>
      </c>
      <c r="L4925" s="38" t="n">
        <f aca="false">Sens!$K$4925*(1+Sens!$L$4926)</f>
        <v>27.969831872012</v>
      </c>
      <c r="M4925" s="38" t="n">
        <f aca="false">Sens!$L$4925*(1+Sens!$M$4926)</f>
        <v>28.8089268281724</v>
      </c>
      <c r="N4925" s="38" t="n">
        <f aca="false">Q!$N$11</f>
        <v>11.128</v>
      </c>
      <c r="O4925" s="38" t="n">
        <f aca="false">Q!$O$11</f>
        <v>11.433</v>
      </c>
      <c r="P4925" s="8" t="s">
        <v>667</v>
      </c>
    </row>
    <row r="4926" customFormat="false" ht="17.15" hidden="false" customHeight="false" outlineLevel="0" collapsed="false">
      <c r="A4926" s="0" t="s">
        <v>670</v>
      </c>
      <c r="B4926" s="0" t="s">
        <v>52</v>
      </c>
      <c r="E4926" s="13" t="n">
        <f aca="false">Sens!$E$4925/Sens!$N$4925-1</f>
        <v>0.0405283968368082</v>
      </c>
      <c r="F4926" s="13" t="n">
        <f aca="false">Sens!$O$4925/(Q!$F$11+Q!$G$11)-1</f>
        <v>0.0579254187100955</v>
      </c>
      <c r="G4926" s="13" t="n">
        <f aca="false">Sens!$G$4925/Sens!$D$4925-1</f>
        <v>0.0271208040881397</v>
      </c>
      <c r="H4926" s="13" t="n">
        <f aca="false">Sens!$F$4926+(g_ps-Sens!$F$4926)*1/4</f>
        <v>0.0509440640325716</v>
      </c>
      <c r="I4926" s="13" t="n">
        <f aca="false">Sens!$F$4926+(g_ps-Sens!$F$4926)*2/4</f>
        <v>0.0439627093550477</v>
      </c>
      <c r="J4926" s="13" t="n">
        <f aca="false">Sens!$F$4926+(g_ps-Sens!$F$4926)*3/4</f>
        <v>0.0369813546775239</v>
      </c>
      <c r="K4926" s="13" t="n">
        <f aca="false">Sens!$F$4926+(g_ps-Sens!$F$4926)*4/4</f>
        <v>0.03</v>
      </c>
      <c r="L4926" s="13" t="n">
        <f aca="false">g_ps</f>
        <v>0.03</v>
      </c>
      <c r="M4926" s="13" t="n">
        <f aca="false">g_ps</f>
        <v>0.03</v>
      </c>
      <c r="P4926" s="8" t="s">
        <v>671</v>
      </c>
    </row>
    <row r="4927" customFormat="false" ht="17.15" hidden="false" customHeight="false" outlineLevel="0" collapsed="false">
      <c r="A4927" s="0" t="s">
        <v>521</v>
      </c>
      <c r="B4927" s="0" t="s">
        <v>86</v>
      </c>
      <c r="C4927" s="38" t="n">
        <f aca="false">Q!$D$12</f>
        <v>156.146</v>
      </c>
      <c r="D4927" s="38" t="n">
        <f aca="false">Q!$E$12</f>
        <v>172.162</v>
      </c>
      <c r="E4927" s="38" t="n">
        <f aca="false">Q!$P$12</f>
        <v>88.358</v>
      </c>
      <c r="F4927" s="38" t="n">
        <f aca="false">Sens!$O$4927*(1+Sens!$F$4928)*Sens!$F$4935</f>
        <v>102.004388260171</v>
      </c>
      <c r="G4927" s="38" t="n">
        <f aca="false">Sens!$E$4927+Sens!$F$4927</f>
        <v>190.362388260171</v>
      </c>
      <c r="H4927" s="38" t="n">
        <f aca="false">Sens!$G$4927*(1+Sens!$H$4928)</f>
        <v>210.343106588311</v>
      </c>
      <c r="I4927" s="38" t="n">
        <f aca="false">Sens!$H$4927*(1+Sens!$I$4928)</f>
        <v>229.969728494648</v>
      </c>
      <c r="J4927" s="38" t="n">
        <f aca="false">Sens!$I$4927*(1+Sens!$J$4928)</f>
        <v>248.747636972598</v>
      </c>
      <c r="K4927" s="38" t="n">
        <f aca="false">Sens!$J$4927*(1+Sens!$K$4928)</f>
        <v>266.15997156068</v>
      </c>
      <c r="L4927" s="38" t="n">
        <f aca="false">Sens!$K$4927*(1+Sens!$L$4928)</f>
        <v>284.791169569927</v>
      </c>
      <c r="M4927" s="38" t="n">
        <f aca="false">Sens!$L$4927*(1+Sens!$M$4928)</f>
        <v>304.726551439822</v>
      </c>
      <c r="N4927" s="38" t="n">
        <f aca="false">Q!$N$12</f>
        <v>76.86</v>
      </c>
      <c r="O4927" s="38" t="n">
        <f aca="false">Q!$O$12</f>
        <v>95.302</v>
      </c>
      <c r="P4927" s="8" t="s">
        <v>667</v>
      </c>
    </row>
    <row r="4928" customFormat="false" ht="17.15" hidden="false" customHeight="false" outlineLevel="0" collapsed="false">
      <c r="A4928" s="0" t="s">
        <v>672</v>
      </c>
      <c r="B4928" s="0" t="s">
        <v>52</v>
      </c>
      <c r="E4928" s="13" t="n">
        <f aca="false">Sens!$E$4927/Sens!$N$4927-1</f>
        <v>0.1495966692688</v>
      </c>
      <c r="F4928" s="13" t="n">
        <f aca="false">Sens!$O$4927/(Q!$F$12+Q!$G$12)-1</f>
        <v>0.11661530890813</v>
      </c>
      <c r="G4928" s="13" t="n">
        <f aca="false">Sens!$G$4927/Sens!$D$4927-1</f>
        <v>0.105716640490767</v>
      </c>
      <c r="H4928" s="13" t="n">
        <f aca="false">Sens!$F$4928+(g_sp-Sens!$F$4928)*1/4</f>
        <v>0.104961481681098</v>
      </c>
      <c r="I4928" s="13" t="n">
        <f aca="false">Sens!$F$4928+(g_sp-Sens!$F$4928)*2/4</f>
        <v>0.0933076544540651</v>
      </c>
      <c r="J4928" s="13" t="n">
        <f aca="false">Sens!$F$4928+(g_sp-Sens!$F$4928)*3/4</f>
        <v>0.0816538272270325</v>
      </c>
      <c r="K4928" s="13" t="n">
        <f aca="false">Sens!$F$4928+(g_sp-Sens!$F$4928)*4/4</f>
        <v>0.07</v>
      </c>
      <c r="L4928" s="13" t="n">
        <f aca="false">g_sp</f>
        <v>0.07</v>
      </c>
      <c r="M4928" s="13" t="n">
        <f aca="false">g_sp</f>
        <v>0.07</v>
      </c>
      <c r="P4928" s="8" t="s">
        <v>673</v>
      </c>
    </row>
    <row r="4929" customFormat="false" ht="17.15" hidden="false" customHeight="false" outlineLevel="0" collapsed="false">
      <c r="A4929" s="0" t="s">
        <v>522</v>
      </c>
      <c r="B4929" s="0" t="s">
        <v>86</v>
      </c>
      <c r="C4929" s="38" t="n">
        <f aca="false">Q!$D$13</f>
        <v>56.214</v>
      </c>
      <c r="D4929" s="38" t="n">
        <f aca="false">Q!$E$13</f>
        <v>68.635</v>
      </c>
      <c r="E4929" s="38" t="n">
        <f aca="false">Q!$P$13</f>
        <v>37.052</v>
      </c>
      <c r="F4929" s="38" t="n">
        <f aca="false">Sens!$O$4929*(1+Sens!$F$4930)*Sens!$F$4935</f>
        <v>46.1572219944148</v>
      </c>
      <c r="G4929" s="38" t="n">
        <f aca="false">Sens!$E$4929+Sens!$F$4929</f>
        <v>83.2092219944148</v>
      </c>
      <c r="H4929" s="38" t="n">
        <f aca="false">Sens!$G$4929*(1+Sens!$H$4930)</f>
        <v>99.8969223878976</v>
      </c>
      <c r="I4929" s="38" t="n">
        <f aca="false">Sens!$H$4929*(1+Sens!$I$4930)</f>
        <v>116.583111095496</v>
      </c>
      <c r="J4929" s="38" t="n">
        <f aca="false">Sens!$I$4929*(1+Sens!$J$4930)</f>
        <v>132.148941941952</v>
      </c>
      <c r="K4929" s="38" t="n">
        <f aca="false">Sens!$J$4929*(1+Sens!$K$4930)</f>
        <v>145.363836136147</v>
      </c>
      <c r="L4929" s="38" t="n">
        <f aca="false">Sens!$K$4929*(1+Sens!$L$4930)</f>
        <v>159.900219749762</v>
      </c>
      <c r="M4929" s="38" t="n">
        <f aca="false">Sens!$L$4929*(1+Sens!$M$4930)</f>
        <v>175.890241724738</v>
      </c>
      <c r="N4929" s="38" t="n">
        <f aca="false">Q!$N$13</f>
        <v>29.615</v>
      </c>
      <c r="O4929" s="38" t="n">
        <f aca="false">Q!$O$13</f>
        <v>39.02</v>
      </c>
      <c r="P4929" s="8" t="s">
        <v>667</v>
      </c>
    </row>
    <row r="4930" customFormat="false" ht="17.15" hidden="false" customHeight="false" outlineLevel="0" collapsed="false">
      <c r="A4930" s="0" t="s">
        <v>674</v>
      </c>
      <c r="B4930" s="0" t="s">
        <v>52</v>
      </c>
      <c r="E4930" s="13" t="n">
        <f aca="false">Sens!$E$4929/Sens!$N$4929-1</f>
        <v>0.25112274185379</v>
      </c>
      <c r="F4930" s="13" t="n">
        <f aca="false">Sens!$O$4929/(Q!$F$13+Q!$G$13)-1</f>
        <v>0.234068123596572</v>
      </c>
      <c r="G4930" s="13" t="n">
        <f aca="false">Sens!$G$4929/Sens!$D$4929-1</f>
        <v>0.212343876949294</v>
      </c>
      <c r="H4930" s="13" t="n">
        <f aca="false">Sens!$F$4930+(g_ad-Sens!$F$4930)*1/4</f>
        <v>0.200551092697429</v>
      </c>
      <c r="I4930" s="13" t="n">
        <f aca="false">Sens!$F$4930+(g_ad-Sens!$F$4930)*2/4</f>
        <v>0.167034061798286</v>
      </c>
      <c r="J4930" s="13" t="n">
        <f aca="false">Sens!$F$4930+(g_ad-Sens!$F$4930)*3/4</f>
        <v>0.133517030899143</v>
      </c>
      <c r="K4930" s="13" t="n">
        <f aca="false">Sens!$F$4930+(g_ad-Sens!$F$4930)*4/4</f>
        <v>0.1</v>
      </c>
      <c r="L4930" s="13" t="n">
        <f aca="false">g_ad</f>
        <v>0.1</v>
      </c>
      <c r="M4930" s="13" t="n">
        <f aca="false">g_ad</f>
        <v>0.1</v>
      </c>
      <c r="P4930" s="8" t="s">
        <v>675</v>
      </c>
    </row>
    <row r="4931" customFormat="false" ht="17.15" hidden="false" customHeight="false" outlineLevel="0" collapsed="false">
      <c r="A4931" s="0" t="s">
        <v>523</v>
      </c>
      <c r="B4931" s="0" t="s">
        <v>86</v>
      </c>
      <c r="C4931" s="38" t="n">
        <f aca="false">Q!$D$14</f>
        <v>44.374</v>
      </c>
      <c r="D4931" s="38" t="n">
        <f aca="false">Q!$E$14</f>
        <v>49.619</v>
      </c>
      <c r="E4931" s="38" t="n">
        <f aca="false">Q!$P$14</f>
        <v>27.157</v>
      </c>
      <c r="F4931" s="38" t="n">
        <f aca="false">Sens!$O$4931*(1+Sens!$F$4932)*Sens!$F$4935</f>
        <v>27.7764165988154</v>
      </c>
      <c r="G4931" s="38" t="n">
        <f aca="false">Sens!$E$4931+Sens!$F$4931</f>
        <v>54.9334165988154</v>
      </c>
      <c r="H4931" s="38" t="n">
        <f aca="false">Sens!$G$4931*(1+Sens!$H$4932)</f>
        <v>61.1564112561829</v>
      </c>
      <c r="I4931" s="38" t="n">
        <f aca="false">Sens!$H$4931*(1+Sens!$I$4932)</f>
        <v>67.2020282103945</v>
      </c>
      <c r="J4931" s="38" t="n">
        <f aca="false">Sens!$I$4931*(1+Sens!$J$4932)</f>
        <v>72.8757274028885</v>
      </c>
      <c r="K4931" s="38" t="n">
        <f aca="false">Sens!$J$4931*(1+Sens!$K$4932)</f>
        <v>77.9770283210907</v>
      </c>
      <c r="L4931" s="38" t="n">
        <f aca="false">Sens!$K$4931*(1+Sens!$L$4932)</f>
        <v>83.4354203035671</v>
      </c>
      <c r="M4931" s="38" t="n">
        <f aca="false">Sens!$L$4931*(1+Sens!$M$4932)</f>
        <v>89.2758997248168</v>
      </c>
      <c r="N4931" s="38" t="n">
        <f aca="false">Q!$N$14</f>
        <v>23.923</v>
      </c>
      <c r="O4931" s="38" t="n">
        <f aca="false">Q!$O$14</f>
        <v>25.696</v>
      </c>
      <c r="P4931" s="8" t="s">
        <v>667</v>
      </c>
    </row>
    <row r="4932" customFormat="false" ht="17.15" hidden="false" customHeight="false" outlineLevel="0" collapsed="false">
      <c r="A4932" s="0" t="s">
        <v>676</v>
      </c>
      <c r="B4932" s="0" t="s">
        <v>52</v>
      </c>
      <c r="E4932" s="13" t="n">
        <f aca="false">Sens!$E$4931/Sens!$N$4931-1</f>
        <v>0.135183714417088</v>
      </c>
      <c r="F4932" s="13" t="n">
        <f aca="false">Sens!$O$4931/(Q!$F$14+Q!$G$14)-1</f>
        <v>0.127709997366804</v>
      </c>
      <c r="G4932" s="13" t="n">
        <f aca="false">Sens!$G$4931/Sens!$D$4931-1</f>
        <v>0.107104468022641</v>
      </c>
      <c r="H4932" s="13" t="n">
        <f aca="false">Sens!$F$4932+(g_sub-Sens!$F$4932)*1/4</f>
        <v>0.113282498025103</v>
      </c>
      <c r="I4932" s="13" t="n">
        <f aca="false">Sens!$F$4932+(g_sub-Sens!$F$4932)*2/4</f>
        <v>0.0988549986834021</v>
      </c>
      <c r="J4932" s="13" t="n">
        <f aca="false">Sens!$F$4932+(g_sub-Sens!$F$4932)*3/4</f>
        <v>0.084427499341701</v>
      </c>
      <c r="K4932" s="13" t="n">
        <f aca="false">Sens!$F$4932+(g_sub-Sens!$F$4932)*4/4</f>
        <v>0.07</v>
      </c>
      <c r="L4932" s="13" t="n">
        <f aca="false">g_sub</f>
        <v>0.07</v>
      </c>
      <c r="M4932" s="13" t="n">
        <f aca="false">g_sub</f>
        <v>0.07</v>
      </c>
      <c r="P4932" s="8" t="s">
        <v>677</v>
      </c>
    </row>
    <row r="4933" customFormat="false" ht="17.15" hidden="false" customHeight="false" outlineLevel="0" collapsed="false">
      <c r="A4933" s="0" t="s">
        <v>524</v>
      </c>
      <c r="B4933" s="0" t="s">
        <v>86</v>
      </c>
      <c r="C4933" s="38" t="n">
        <f aca="false">Q!$D$15</f>
        <v>5.425</v>
      </c>
      <c r="D4933" s="38" t="n">
        <f aca="false">Q!$E$15</f>
        <v>5.935</v>
      </c>
      <c r="E4933" s="38" t="n">
        <f aca="false">Q!$P$15</f>
        <v>3.474</v>
      </c>
      <c r="F4933" s="38" t="n">
        <f aca="false">Sens!$O$4933*(1+Sens!$F$4934)*Sens!$F$4935</f>
        <v>3.22246550883619</v>
      </c>
      <c r="G4933" s="38" t="n">
        <f aca="false">Sens!$E$4933+Sens!$F$4933</f>
        <v>6.69646550883619</v>
      </c>
      <c r="H4933" s="38" t="n">
        <f aca="false">Sens!$G$4933*(1+Sens!$H$4934)</f>
        <v>7.16251344209196</v>
      </c>
      <c r="I4933" s="38" t="n">
        <f aca="false">Sens!$H$4933*(1+Sens!$I$4934)</f>
        <v>7.61421070299826</v>
      </c>
      <c r="J4933" s="38" t="n">
        <f aca="false">Sens!$I$4933*(1+Sens!$J$4934)</f>
        <v>8.04465753523932</v>
      </c>
      <c r="K4933" s="38" t="n">
        <f aca="false">Sens!$J$4933*(1+Sens!$K$4934)</f>
        <v>8.44689041200128</v>
      </c>
      <c r="L4933" s="38" t="n">
        <f aca="false">Sens!$K$4933*(1+Sens!$L$4934)</f>
        <v>8.86923493260135</v>
      </c>
      <c r="M4933" s="38" t="n">
        <f aca="false">Sens!$L$4933*(1+Sens!$M$4934)</f>
        <v>9.31269667923142</v>
      </c>
      <c r="N4933" s="38" t="n">
        <f aca="false">Q!$N$15</f>
        <v>2.811</v>
      </c>
      <c r="O4933" s="38" t="n">
        <f aca="false">Q!$O$15</f>
        <v>3.124</v>
      </c>
      <c r="P4933" s="8" t="s">
        <v>667</v>
      </c>
    </row>
    <row r="4934" customFormat="false" ht="17.15" hidden="false" customHeight="false" outlineLevel="0" collapsed="false">
      <c r="A4934" s="0" t="s">
        <v>678</v>
      </c>
      <c r="B4934" s="0" t="s">
        <v>52</v>
      </c>
      <c r="E4934" s="13" t="n">
        <f aca="false">Sens!$E$4933/Sens!$N$4933-1</f>
        <v>0.235859124866596</v>
      </c>
      <c r="F4934" s="13" t="n">
        <f aca="false">Sens!$O$4933/(Q!$F$15+Q!$G$15)-1</f>
        <v>0.0761281433000345</v>
      </c>
      <c r="G4934" s="13" t="n">
        <f aca="false">Sens!$G$4933/Sens!$D$4933-1</f>
        <v>0.128300843948811</v>
      </c>
      <c r="H4934" s="13" t="n">
        <f aca="false">Sens!$F$4934+(g_ot-Sens!$F$4934)*1/4</f>
        <v>0.0695961074750259</v>
      </c>
      <c r="I4934" s="13" t="n">
        <f aca="false">Sens!$F$4934+(g_ot-Sens!$F$4934)*2/4</f>
        <v>0.0630640716500172</v>
      </c>
      <c r="J4934" s="13" t="n">
        <f aca="false">Sens!$F$4934+(g_ot-Sens!$F$4934)*3/4</f>
        <v>0.0565320358250086</v>
      </c>
      <c r="K4934" s="13" t="n">
        <f aca="false">Sens!$F$4934+(g_ot-Sens!$F$4934)*4/4</f>
        <v>0.05</v>
      </c>
      <c r="L4934" s="13" t="n">
        <f aca="false">g_ot</f>
        <v>0.05</v>
      </c>
      <c r="M4934" s="13" t="n">
        <f aca="false">g_ot</f>
        <v>0.05</v>
      </c>
      <c r="P4934" s="8" t="s">
        <v>679</v>
      </c>
    </row>
    <row r="4935" customFormat="false" ht="17.15" hidden="false" customHeight="false" outlineLevel="0" collapsed="false">
      <c r="A4935" s="0" t="s">
        <v>680</v>
      </c>
      <c r="B4935" s="0" t="s">
        <v>57</v>
      </c>
      <c r="F4935" s="40" t="n">
        <f aca="false">(g26q3_mid*Q!$O$8/Q!$J$8-Thesis!$F$86-Thesis!$F$90)/(Sens!$O$4923*(1+Sens!$F$4924)+Sens!$O$4925*(1+Sens!$F$4926)+Sens!$O$4927*(1+Sens!$F$4928)+Sens!$O$4929*(1+Sens!$F$4930)+Sens!$O$4931*(1+Sens!$F$4932)+Sens!$O$4933*(1+Sens!$F$4934))</f>
        <v>0.958546670622329</v>
      </c>
      <c r="P4935" s="8" t="s">
        <v>681</v>
      </c>
    </row>
    <row r="4936" customFormat="false" ht="17.15" hidden="false" customHeight="false" outlineLevel="0" collapsed="false">
      <c r="A4936" s="3" t="s">
        <v>682</v>
      </c>
      <c r="B4936" s="8" t="s">
        <v>86</v>
      </c>
      <c r="C4936" s="38" t="n">
        <f aca="false">Sens!$C$4923+Sens!$C$4925+Sens!$C$4927+Sens!$C$4929+Sens!$C$4931+Sens!$C$4933</f>
        <v>530.403</v>
      </c>
      <c r="D4936" s="38" t="n">
        <f aca="false">Sens!$D$4923+Sens!$D$4925+Sens!$D$4927+Sens!$D$4929+Sens!$D$4931+Sens!$D$4933</f>
        <v>588.199</v>
      </c>
      <c r="E4936" s="38" t="n">
        <f aca="false">Sens!$E$4923+Sens!$E$4925+Sens!$E$4927+Sens!$E$4929+Sens!$E$4931+Sens!$E$4933</f>
        <v>302.306</v>
      </c>
      <c r="F4936" s="38" t="n">
        <f aca="false">Sens!$F$4923+Sens!$F$4925+Sens!$F$4927+Sens!$F$4929+Sens!$F$4931+Sens!$F$4933</f>
        <v>349.048241645537</v>
      </c>
      <c r="G4936" s="38" t="n">
        <f aca="false">Sens!$G$4923+Sens!$G$4925+Sens!$G$4927+Sens!$G$4929+Sens!$G$4931+Sens!$G$4933</f>
        <v>651.354241645537</v>
      </c>
      <c r="H4936" s="38" t="n">
        <f aca="false">Sens!$H$4923+Sens!$H$4925+Sens!$H$4927+Sens!$H$4929+Sens!$H$4931+Sens!$H$4933</f>
        <v>721.096889521386</v>
      </c>
      <c r="I4936" s="38" t="n">
        <f aca="false">Sens!$I$4923+Sens!$I$4925+Sens!$I$4927+Sens!$I$4929+Sens!$I$4931+Sens!$I$4933</f>
        <v>788.529391152531</v>
      </c>
      <c r="J4936" s="38" t="n">
        <f aca="false">Sens!$J$4923+Sens!$J$4925+Sens!$J$4927+Sens!$J$4929+Sens!$J$4931+Sens!$J$4933</f>
        <v>851.108405741443</v>
      </c>
      <c r="K4936" s="38" t="n">
        <f aca="false">Sens!$K$4923+Sens!$K$4925+Sens!$K$4927+Sens!$K$4929+Sens!$K$4931+Sens!$K$4933</f>
        <v>906.176455431088</v>
      </c>
      <c r="L4936" s="38" t="n">
        <f aca="false">Sens!$L$4923+Sens!$L$4925+Sens!$L$4927+Sens!$L$4929+Sens!$L$4931+Sens!$L$4933</f>
        <v>965.093106475589</v>
      </c>
      <c r="M4936" s="38" t="n">
        <f aca="false">Sens!$M$4923+Sens!$M$4925+Sens!$M$4927+Sens!$M$4929+Sens!$M$4931+Sens!$M$4933</f>
        <v>1028.14790794689</v>
      </c>
      <c r="N4936" s="38" t="n">
        <f aca="false">Sens!$N$4923+Sens!$N$4925+Sens!$N$4927+Sens!$N$4929+Sens!$N$4931+Sens!$N$4933</f>
        <v>263.229</v>
      </c>
      <c r="O4936" s="38" t="n">
        <f aca="false">Sens!$O$4923+Sens!$O$4925+Sens!$O$4927+Sens!$O$4929+Sens!$O$4931+Sens!$O$4933</f>
        <v>324.97</v>
      </c>
    </row>
    <row r="4937" customFormat="false" ht="17.15" hidden="false" customHeight="false" outlineLevel="0" collapsed="false">
      <c r="A4937" s="5" t="s">
        <v>683</v>
      </c>
      <c r="B4937" s="0" t="s">
        <v>52</v>
      </c>
      <c r="C4937" s="13" t="n">
        <f aca="false">Q!$D$5/(Q!$D$5+Q!$D$6)</f>
        <v>0.730570905519011</v>
      </c>
      <c r="D4937" s="13" t="n">
        <f aca="false">Q!$E$5/(Q!$E$5+Q!$E$6)</f>
        <v>0.724763217890544</v>
      </c>
      <c r="E4937" s="13" t="n">
        <f aca="false">Q!$P$5/(Q!$P$5+Q!$P$6)</f>
        <v>0.728797972914861</v>
      </c>
      <c r="F4937" s="13" t="n">
        <f aca="false">Sens!$O$4937</f>
        <v>0.718066283041511</v>
      </c>
      <c r="G4937" s="13" t="n">
        <f aca="false">Sens!$G$4938/Sens!$G$4936</f>
        <v>0.723047066202847</v>
      </c>
      <c r="H4937" s="13" t="n">
        <f aca="false">Sens!$G$4937</f>
        <v>0.723047066202847</v>
      </c>
      <c r="I4937" s="13" t="n">
        <f aca="false">Sens!$G$4937</f>
        <v>0.723047066202847</v>
      </c>
      <c r="J4937" s="13" t="n">
        <f aca="false">Sens!$G$4937</f>
        <v>0.723047066202847</v>
      </c>
      <c r="K4937" s="13" t="n">
        <f aca="false">Sens!$G$4937</f>
        <v>0.723047066202847</v>
      </c>
      <c r="L4937" s="13" t="n">
        <f aca="false">Sens!$G$4937</f>
        <v>0.723047066202847</v>
      </c>
      <c r="M4937" s="13" t="n">
        <f aca="false">Sens!$G$4937</f>
        <v>0.723047066202847</v>
      </c>
      <c r="N4937" s="13" t="n">
        <f aca="false">Q!$N$5/(Q!$N$5+Q!$N$6)</f>
        <v>0.733030935041352</v>
      </c>
      <c r="O4937" s="13" t="n">
        <f aca="false">Q!$O$5/(Q!$O$5+Q!$O$6)</f>
        <v>0.718066283041511</v>
      </c>
      <c r="P4937" s="8" t="s">
        <v>684</v>
      </c>
    </row>
    <row r="4938" customFormat="false" ht="17.15" hidden="false" customHeight="false" outlineLevel="0" collapsed="false">
      <c r="A4938" s="1" t="s">
        <v>512</v>
      </c>
      <c r="B4938" s="8" t="s">
        <v>86</v>
      </c>
      <c r="C4938" s="38" t="n">
        <f aca="false">Q!$D$5</f>
        <v>387.497</v>
      </c>
      <c r="D4938" s="38" t="n">
        <f aca="false">Q!$E$5</f>
        <v>426.305</v>
      </c>
      <c r="E4938" s="38" t="n">
        <f aca="false">Q!$P$5</f>
        <v>220.32</v>
      </c>
      <c r="F4938" s="38" t="n">
        <f aca="false">Sens!$F$4936*Sens!$F$4937</f>
        <v>250.639773480586</v>
      </c>
      <c r="G4938" s="38" t="n">
        <f aca="false">Sens!$E$4938+Sens!$F$4938</f>
        <v>470.959773480586</v>
      </c>
      <c r="H4938" s="38" t="n">
        <f aca="false">Sens!$H$4936*Sens!$H$4937</f>
        <v>521.386990416437</v>
      </c>
      <c r="I4938" s="38" t="n">
        <f aca="false">Sens!$I$4936*Sens!$I$4937</f>
        <v>570.143862887555</v>
      </c>
      <c r="J4938" s="38" t="n">
        <f aca="false">Sens!$J$4936*Sens!$J$4937</f>
        <v>615.391435791933</v>
      </c>
      <c r="K4938" s="38" t="n">
        <f aca="false">Sens!$K$4936*Sens!$K$4937</f>
        <v>655.208227561543</v>
      </c>
      <c r="L4938" s="38" t="n">
        <f aca="false">Sens!$L$4936*Sens!$L$4937</f>
        <v>697.807739249767</v>
      </c>
      <c r="M4938" s="38" t="n">
        <f aca="false">Sens!$M$4936*Sens!$M$4937</f>
        <v>743.399328463592</v>
      </c>
      <c r="N4938" s="38" t="n">
        <f aca="false">Q!$N$5</f>
        <v>192.955</v>
      </c>
      <c r="O4938" s="38" t="n">
        <f aca="false">Q!$O$5</f>
        <v>233.35</v>
      </c>
      <c r="P4938" s="5" t="s">
        <v>685</v>
      </c>
    </row>
    <row r="4939" customFormat="false" ht="17.15" hidden="false" customHeight="false" outlineLevel="0" collapsed="false">
      <c r="A4939" s="1" t="s">
        <v>515</v>
      </c>
      <c r="B4939" s="8" t="s">
        <v>86</v>
      </c>
      <c r="C4939" s="38" t="n">
        <f aca="false">Q!$D$6</f>
        <v>142.906</v>
      </c>
      <c r="D4939" s="38" t="n">
        <f aca="false">Q!$E$6</f>
        <v>161.894</v>
      </c>
      <c r="E4939" s="38" t="n">
        <f aca="false">Q!$P$6</f>
        <v>81.986</v>
      </c>
      <c r="F4939" s="38" t="n">
        <f aca="false">Sens!$F$4936*(1-Sens!$F$4937)</f>
        <v>98.408468164951</v>
      </c>
      <c r="G4939" s="38" t="n">
        <f aca="false">Sens!$E$4939+Sens!$F$4939</f>
        <v>180.394468164951</v>
      </c>
      <c r="H4939" s="38" t="n">
        <f aca="false">Sens!$H$4936*(1-Sens!$H$4937)</f>
        <v>199.709899104949</v>
      </c>
      <c r="I4939" s="38" t="n">
        <f aca="false">Sens!$I$4936*(1-Sens!$I$4937)</f>
        <v>218.385528264976</v>
      </c>
      <c r="J4939" s="38" t="n">
        <f aca="false">Sens!$J$4936*(1-Sens!$J$4937)</f>
        <v>235.71696994951</v>
      </c>
      <c r="K4939" s="38" t="n">
        <f aca="false">Sens!$K$4936*(1-Sens!$K$4937)</f>
        <v>250.968227869545</v>
      </c>
      <c r="L4939" s="38" t="n">
        <f aca="false">Sens!$L$4936*(1-Sens!$L$4937)</f>
        <v>267.285367225822</v>
      </c>
      <c r="M4939" s="38" t="n">
        <f aca="false">Sens!$M$4936*(1-Sens!$M$4937)</f>
        <v>284.748579483295</v>
      </c>
      <c r="N4939" s="38" t="n">
        <f aca="false">Q!$N$6</f>
        <v>70.274</v>
      </c>
      <c r="O4939" s="38" t="n">
        <f aca="false">Q!$O$6</f>
        <v>91.62</v>
      </c>
      <c r="P4939" s="5" t="s">
        <v>686</v>
      </c>
    </row>
    <row r="4940" customFormat="false" ht="17.15" hidden="false" customHeight="false" outlineLevel="0" collapsed="false">
      <c r="A4940" s="5" t="s">
        <v>687</v>
      </c>
      <c r="B4940" s="0" t="s">
        <v>86</v>
      </c>
      <c r="C4940" s="38" t="n">
        <f aca="false">Sens!$C$4929*Sens!$C$4937</f>
        <v>41.0683128828457</v>
      </c>
      <c r="D4940" s="38" t="n">
        <f aca="false">Sens!$D$4929*Sens!$D$4937</f>
        <v>49.7441234599175</v>
      </c>
      <c r="E4940" s="38" t="n">
        <f aca="false">Sens!$E$4929*Sens!$E$4937</f>
        <v>27.0034224924414</v>
      </c>
      <c r="F4940" s="38" t="n">
        <f aca="false">Sens!$F$4929*Sens!$F$4937</f>
        <v>33.1439448330513</v>
      </c>
      <c r="G4940" s="38" t="n">
        <f aca="false">Sens!$G$4929*Sens!$G$4937</f>
        <v>60.164183844083</v>
      </c>
      <c r="H4940" s="38" t="n">
        <f aca="false">Sens!$H$4929*Sens!$H$4937</f>
        <v>72.2301766552629</v>
      </c>
      <c r="I4940" s="38" t="n">
        <f aca="false">Sens!$I$4929*Sens!$I$4937</f>
        <v>84.2950764463991</v>
      </c>
      <c r="J4940" s="38" t="n">
        <f aca="false">Sens!$J$4929*Sens!$J$4937</f>
        <v>95.5499047729386</v>
      </c>
      <c r="K4940" s="38" t="n">
        <f aca="false">Sens!$K$4929*Sens!$K$4937</f>
        <v>105.104895250232</v>
      </c>
      <c r="L4940" s="38" t="n">
        <f aca="false">Sens!$L$4929*Sens!$L$4937</f>
        <v>115.615384775256</v>
      </c>
      <c r="M4940" s="38" t="n">
        <f aca="false">Sens!$M$4929*Sens!$M$4937</f>
        <v>127.176923252781</v>
      </c>
      <c r="N4940" s="38" t="n">
        <f aca="false">Sens!$N$4929*Sens!$N$4937</f>
        <v>21.7087111412496</v>
      </c>
      <c r="O4940" s="38" t="n">
        <f aca="false">Sens!$O$4929*Sens!$O$4937</f>
        <v>28.0189463642798</v>
      </c>
      <c r="P4940" s="5" t="s">
        <v>688</v>
      </c>
    </row>
    <row r="4941" customFormat="false" ht="15" hidden="false" customHeight="false" outlineLevel="0" collapsed="false">
      <c r="A4941" s="5" t="s">
        <v>689</v>
      </c>
      <c r="B4941" s="0" t="s">
        <v>86</v>
      </c>
      <c r="C4941" s="38" t="n">
        <f aca="false">Sens!$C$4929-Sens!$C$4940</f>
        <v>15.1456871171543</v>
      </c>
      <c r="D4941" s="38" t="n">
        <f aca="false">Sens!$D$4929-Sens!$D$4940</f>
        <v>18.8908765400825</v>
      </c>
      <c r="E4941" s="38" t="n">
        <f aca="false">Sens!$E$4929-Sens!$E$4940</f>
        <v>10.0485775075586</v>
      </c>
      <c r="F4941" s="38" t="n">
        <f aca="false">Sens!$F$4929-Sens!$F$4940</f>
        <v>13.0132771613635</v>
      </c>
      <c r="G4941" s="38" t="n">
        <f aca="false">Sens!$G$4929-Sens!$G$4940</f>
        <v>23.0450381503318</v>
      </c>
      <c r="H4941" s="38" t="n">
        <f aca="false">Sens!$H$4929-Sens!$H$4940</f>
        <v>27.6667457326347</v>
      </c>
      <c r="I4941" s="38" t="n">
        <f aca="false">Sens!$I$4929-Sens!$I$4940</f>
        <v>32.2880346490971</v>
      </c>
      <c r="J4941" s="38" t="n">
        <f aca="false">Sens!$J$4929-Sens!$J$4940</f>
        <v>36.5990371690132</v>
      </c>
      <c r="K4941" s="38" t="n">
        <f aca="false">Sens!$K$4929-Sens!$K$4940</f>
        <v>40.2589408859145</v>
      </c>
      <c r="L4941" s="38" t="n">
        <f aca="false">Sens!$L$4929-Sens!$L$4940</f>
        <v>44.2848349745059</v>
      </c>
      <c r="M4941" s="38" t="n">
        <f aca="false">Sens!$M$4929-Sens!$M$4940</f>
        <v>48.7133184719565</v>
      </c>
      <c r="N4941" s="38" t="n">
        <f aca="false">Sens!$N$4929-Sens!$N$4940</f>
        <v>7.90628885875037</v>
      </c>
      <c r="O4941" s="38" t="n">
        <f aca="false">Sens!$O$4929-Sens!$O$4940</f>
        <v>11.0010536357202</v>
      </c>
    </row>
    <row r="4942" customFormat="false" ht="19.4" hidden="false" customHeight="false" outlineLevel="0" collapsed="false">
      <c r="A4942" s="31" t="s">
        <v>1236</v>
      </c>
    </row>
    <row r="4943" customFormat="false" ht="17.15" hidden="false" customHeight="false" outlineLevel="0" collapsed="false">
      <c r="A4943" s="6" t="s">
        <v>16</v>
      </c>
      <c r="B4943" s="6" t="s">
        <v>17</v>
      </c>
      <c r="C4943" s="20" t="s">
        <v>497</v>
      </c>
      <c r="D4943" s="20" t="s">
        <v>498</v>
      </c>
      <c r="E4943" s="20" t="s">
        <v>580</v>
      </c>
      <c r="F4943" s="20" t="s">
        <v>581</v>
      </c>
      <c r="G4943" s="20" t="s">
        <v>582</v>
      </c>
      <c r="H4943" s="20" t="s">
        <v>583</v>
      </c>
      <c r="I4943" s="20" t="s">
        <v>584</v>
      </c>
      <c r="J4943" s="20" t="s">
        <v>585</v>
      </c>
      <c r="K4943" s="20" t="s">
        <v>586</v>
      </c>
      <c r="L4943" s="20" t="s">
        <v>587</v>
      </c>
      <c r="M4943" s="20" t="s">
        <v>588</v>
      </c>
      <c r="N4943" s="20" t="s">
        <v>589</v>
      </c>
      <c r="O4943" s="20" t="s">
        <v>590</v>
      </c>
      <c r="P4943" s="6" t="s">
        <v>23</v>
      </c>
      <c r="R4943" s="20" t="n">
        <v>2023</v>
      </c>
      <c r="S4943" s="20" t="n">
        <v>2024</v>
      </c>
      <c r="T4943" s="20" t="n">
        <v>2025</v>
      </c>
      <c r="U4943" s="20" t="n">
        <v>2026</v>
      </c>
      <c r="V4943" s="20" t="n">
        <v>2027</v>
      </c>
      <c r="W4943" s="20" t="n">
        <v>2028</v>
      </c>
      <c r="X4943" s="20" t="n">
        <v>2029</v>
      </c>
      <c r="Y4943" s="20" t="n">
        <v>2030</v>
      </c>
      <c r="Z4943" s="20" t="n">
        <v>2031</v>
      </c>
      <c r="AA4943" s="20" t="n">
        <v>2032</v>
      </c>
    </row>
    <row r="4944" customFormat="false" ht="17.15" hidden="false" customHeight="false" outlineLevel="0" collapsed="false">
      <c r="A4944" s="1" t="s">
        <v>591</v>
      </c>
    </row>
    <row r="4945" customFormat="false" ht="17.15" hidden="false" customHeight="false" outlineLevel="0" collapsed="false">
      <c r="A4945" s="5" t="s">
        <v>592</v>
      </c>
      <c r="B4945" s="0" t="s">
        <v>144</v>
      </c>
      <c r="H4945" s="32" t="n">
        <f aca="false">pace_B</f>
        <v>3634.3</v>
      </c>
      <c r="I4945" s="32" t="n">
        <f aca="false">pace_B</f>
        <v>3634.3</v>
      </c>
      <c r="J4945" s="32" t="n">
        <f aca="false">pace_B</f>
        <v>3634.3</v>
      </c>
      <c r="K4945" s="32" t="n">
        <f aca="false">pace_B+(Sens!$J$4946*tg-pace_B)*1/3</f>
        <v>2570.86716666667</v>
      </c>
      <c r="L4945" s="32" t="n">
        <f aca="false">pace_B+(Sens!$J$4946*tg-pace_B)*2/3</f>
        <v>1507.43433333333</v>
      </c>
      <c r="M4945" s="32" t="n">
        <f aca="false">pace_B+(Sens!$J$4946*tg-pace_B)*3/3</f>
        <v>444.0015</v>
      </c>
      <c r="P4945" s="5" t="s">
        <v>593</v>
      </c>
    </row>
    <row r="4946" customFormat="false" ht="17.15" hidden="false" customHeight="false" outlineLevel="0" collapsed="false">
      <c r="A4946" s="15" t="s">
        <v>594</v>
      </c>
      <c r="B4946" s="14" t="s">
        <v>129</v>
      </c>
      <c r="C4946" s="33" t="n">
        <f aca="false">mw_ye24</f>
        <v>360</v>
      </c>
      <c r="D4946" s="33" t="n">
        <f aca="false">mw_ye25</f>
        <v>1440</v>
      </c>
      <c r="E4946" s="33" t="n">
        <f aca="false">mw_open</f>
        <v>2080</v>
      </c>
      <c r="F4946" s="33" t="n">
        <f aca="false">Sens!$E$4946+pace_B*0.5</f>
        <v>3897.15</v>
      </c>
      <c r="G4946" s="33" t="n">
        <f aca="false">Sens!$F$4946</f>
        <v>3897.15</v>
      </c>
      <c r="H4946" s="33" t="n">
        <f aca="false">Sens!$G$4946+Sens!$H$4945</f>
        <v>7531.45</v>
      </c>
      <c r="I4946" s="33" t="n">
        <f aca="false">Sens!$H$4946+Sens!$I$4945</f>
        <v>11165.75</v>
      </c>
      <c r="J4946" s="33" t="n">
        <f aca="false">Sens!$I$4946+Sens!$J$4945</f>
        <v>14800.05</v>
      </c>
      <c r="K4946" s="33" t="n">
        <f aca="false">Sens!$J$4946+Sens!$K$4945</f>
        <v>17370.9171666667</v>
      </c>
      <c r="L4946" s="33" t="n">
        <f aca="false">Sens!$K$4946+Sens!$L$4945</f>
        <v>18878.3515</v>
      </c>
      <c r="M4946" s="33" t="n">
        <f aca="false">Sens!$L$4946+Sens!$M$4945</f>
        <v>19322.353</v>
      </c>
      <c r="N4946" s="33" t="n">
        <f aca="false">(mw_ye24+mw_ye25)/2</f>
        <v>900</v>
      </c>
      <c r="O4946" s="33" t="n">
        <f aca="false">mw_ye25</f>
        <v>1440</v>
      </c>
      <c r="P4946" s="5" t="s">
        <v>595</v>
      </c>
    </row>
    <row r="4947" customFormat="false" ht="17.15" hidden="false" customHeight="false" outlineLevel="0" collapsed="false">
      <c r="A4947" s="5" t="s">
        <v>596</v>
      </c>
      <c r="B4947" s="0" t="s">
        <v>129</v>
      </c>
      <c r="C4947" s="32" t="n">
        <f aca="false">(mw_ye23+mw_ye24)/2</f>
        <v>240</v>
      </c>
      <c r="D4947" s="32" t="n">
        <f aca="false">(Sens!$C$4946+Sens!$D$4946)/2</f>
        <v>900</v>
      </c>
      <c r="E4947" s="32" t="n">
        <f aca="false">(Sens!$D$4946+Sens!$E$4946)/2</f>
        <v>1760</v>
      </c>
      <c r="F4947" s="32" t="n">
        <f aca="false">(Sens!$E$4946+Sens!$F$4946)/2</f>
        <v>2988.575</v>
      </c>
      <c r="G4947" s="32" t="n">
        <f aca="false">(Sens!$E$4947+Sens!$F$4947)/2</f>
        <v>2374.2875</v>
      </c>
      <c r="H4947" s="32" t="n">
        <f aca="false">(Sens!$G$4946+Sens!$H$4946)/2</f>
        <v>5714.3</v>
      </c>
      <c r="I4947" s="32" t="n">
        <f aca="false">(Sens!$H$4946+Sens!$I$4946)/2</f>
        <v>9348.6</v>
      </c>
      <c r="J4947" s="32" t="n">
        <f aca="false">(Sens!$I$4946+Sens!$J$4946)/2</f>
        <v>12982.9</v>
      </c>
      <c r="K4947" s="32" t="n">
        <f aca="false">(Sens!$J$4946+Sens!$K$4946)/2</f>
        <v>16085.4835833333</v>
      </c>
      <c r="L4947" s="32" t="n">
        <f aca="false">(Sens!$K$4946+Sens!$L$4946)/2</f>
        <v>18124.6343333333</v>
      </c>
      <c r="M4947" s="32" t="n">
        <f aca="false">(Sens!$L$4946+Sens!$M$4946)/2</f>
        <v>19100.35225</v>
      </c>
      <c r="N4947" s="32" t="n">
        <f aca="false">(Sens!$C$4946+Sens!$N$4946)/2</f>
        <v>630</v>
      </c>
      <c r="O4947" s="32" t="n">
        <f aca="false">(Sens!$N$4946+Sens!$O$4946)/2</f>
        <v>1170</v>
      </c>
    </row>
    <row r="4948" customFormat="false" ht="15" hidden="false" customHeight="false" outlineLevel="0" collapsed="false">
      <c r="A4948" s="5" t="s">
        <v>597</v>
      </c>
      <c r="B4948" s="5" t="s">
        <v>123</v>
      </c>
      <c r="C4948" s="34" t="n">
        <v>1</v>
      </c>
      <c r="D4948" s="34" t="n">
        <v>1</v>
      </c>
      <c r="E4948" s="34" t="n">
        <v>0.5</v>
      </c>
      <c r="F4948" s="34" t="n">
        <v>0.5</v>
      </c>
      <c r="G4948" s="34" t="n">
        <v>1</v>
      </c>
      <c r="H4948" s="34" t="n">
        <v>1</v>
      </c>
      <c r="I4948" s="34" t="n">
        <v>1</v>
      </c>
      <c r="J4948" s="34" t="n">
        <v>1</v>
      </c>
      <c r="K4948" s="34" t="n">
        <v>1</v>
      </c>
      <c r="L4948" s="34" t="n">
        <v>1</v>
      </c>
      <c r="M4948" s="34" t="n">
        <v>1</v>
      </c>
      <c r="N4948" s="34" t="n">
        <v>0.5</v>
      </c>
      <c r="O4948" s="34" t="n">
        <v>0.5</v>
      </c>
    </row>
    <row r="4949" customFormat="false" ht="17.15" hidden="false" customHeight="false" outlineLevel="0" collapsed="false">
      <c r="A4949" s="5" t="s">
        <v>598</v>
      </c>
      <c r="B4949" s="0" t="s">
        <v>129</v>
      </c>
      <c r="C4949" s="32" t="n">
        <f aca="false">Sens!$C$4946-mw_ye23</f>
        <v>240</v>
      </c>
      <c r="D4949" s="32" t="n">
        <f aca="false">Sens!$D$4946-Sens!$C$4946</f>
        <v>1080</v>
      </c>
      <c r="E4949" s="32" t="n">
        <f aca="false">Sens!$E$4946-Sens!$D$4946</f>
        <v>640</v>
      </c>
      <c r="F4949" s="32" t="n">
        <f aca="false">Sens!$F$4946-Sens!$E$4946</f>
        <v>1817.15</v>
      </c>
      <c r="G4949" s="32" t="n">
        <f aca="false">Sens!$E$4949+Sens!$F$4949</f>
        <v>2457.15</v>
      </c>
      <c r="H4949" s="32" t="n">
        <f aca="false">Sens!$H$4946-Sens!$G$4946</f>
        <v>3634.3</v>
      </c>
      <c r="I4949" s="32" t="n">
        <f aca="false">Sens!$I$4946-Sens!$H$4946</f>
        <v>3634.3</v>
      </c>
      <c r="J4949" s="32" t="n">
        <f aca="false">Sens!$J$4946-Sens!$I$4946</f>
        <v>3634.3</v>
      </c>
      <c r="K4949" s="32" t="n">
        <f aca="false">Sens!$K$4946-Sens!$J$4946</f>
        <v>2570.86716666667</v>
      </c>
      <c r="L4949" s="32" t="n">
        <f aca="false">Sens!$L$4946-Sens!$K$4946</f>
        <v>1507.43433333333</v>
      </c>
      <c r="M4949" s="32" t="n">
        <f aca="false">Sens!$M$4946-Sens!$L$4946</f>
        <v>444.001499999999</v>
      </c>
      <c r="N4949" s="32" t="n">
        <f aca="false">Sens!$N$4946-Sens!$C$4946</f>
        <v>540</v>
      </c>
      <c r="O4949" s="32" t="n">
        <f aca="false">Sens!$O$4946-Sens!$N$4946</f>
        <v>540</v>
      </c>
    </row>
    <row r="4950" customFormat="false" ht="17.15" hidden="false" customHeight="false" outlineLevel="0" collapsed="false">
      <c r="A4950" s="5" t="s">
        <v>599</v>
      </c>
      <c r="B4950" s="0" t="s">
        <v>129</v>
      </c>
      <c r="C4950" s="32" t="n">
        <f aca="false">Sens!$C$4949/ext_sh</f>
        <v>300</v>
      </c>
      <c r="D4950" s="32" t="n">
        <f aca="false">Sens!$D$4949/ext_sh</f>
        <v>1350</v>
      </c>
      <c r="E4950" s="32" t="n">
        <f aca="false">Sens!$E$4949/ext_sh</f>
        <v>800</v>
      </c>
      <c r="F4950" s="32" t="n">
        <f aca="false">Sens!$F$4949/ext_sh</f>
        <v>2271.4375</v>
      </c>
      <c r="G4950" s="32" t="n">
        <f aca="false">Sens!$G$4949/ext_sh</f>
        <v>3071.4375</v>
      </c>
      <c r="H4950" s="32" t="n">
        <f aca="false">Sens!$H$4949/ext_sh</f>
        <v>4542.875</v>
      </c>
      <c r="I4950" s="32" t="n">
        <f aca="false">Sens!$I$4949/ext_sh</f>
        <v>4542.875</v>
      </c>
      <c r="J4950" s="32" t="n">
        <f aca="false">Sens!$J$4949/ext_sh</f>
        <v>4542.875</v>
      </c>
      <c r="K4950" s="32" t="n">
        <f aca="false">Sens!$K$4949/ext_sh</f>
        <v>3213.58395833333</v>
      </c>
      <c r="L4950" s="32" t="n">
        <f aca="false">Sens!$L$4949/ext_sh</f>
        <v>1884.29291666667</v>
      </c>
      <c r="M4950" s="32" t="n">
        <f aca="false">Sens!$M$4949/ext_sh</f>
        <v>555.001874999998</v>
      </c>
      <c r="N4950" s="32" t="n">
        <f aca="false">Sens!$N$4949/ext_sh</f>
        <v>675</v>
      </c>
      <c r="O4950" s="32" t="n">
        <f aca="false">Sens!$O$4949/ext_sh</f>
        <v>675</v>
      </c>
      <c r="P4950" s="8" t="s">
        <v>600</v>
      </c>
      <c r="R4950" s="32" t="n">
        <f aca="false">mw_ye23/ext_sh</f>
        <v>150</v>
      </c>
      <c r="S4950" s="32" t="n">
        <f aca="false">Sens!$C$4950</f>
        <v>300</v>
      </c>
      <c r="T4950" s="32" t="n">
        <f aca="false">Sens!$D$4950</f>
        <v>1350</v>
      </c>
      <c r="U4950" s="32" t="n">
        <f aca="false">Sens!$G$4950</f>
        <v>3071.4375</v>
      </c>
      <c r="V4950" s="32" t="n">
        <f aca="false">Sens!$H$4950</f>
        <v>4542.875</v>
      </c>
      <c r="W4950" s="32" t="n">
        <f aca="false">Sens!$I$4950</f>
        <v>4542.875</v>
      </c>
      <c r="X4950" s="32" t="n">
        <f aca="false">Sens!$J$4950</f>
        <v>4542.875</v>
      </c>
      <c r="Y4950" s="32" t="n">
        <f aca="false">Sens!$K$4950</f>
        <v>3213.58395833333</v>
      </c>
      <c r="Z4950" s="32" t="n">
        <f aca="false">Sens!$L$4950</f>
        <v>1884.29291666667</v>
      </c>
      <c r="AA4950" s="32" t="n">
        <f aca="false">Sens!$M$4950</f>
        <v>555.001874999998</v>
      </c>
    </row>
    <row r="4951" customFormat="false" ht="17.15" hidden="false" customHeight="false" outlineLevel="0" collapsed="false">
      <c r="A4951" s="1" t="s">
        <v>601</v>
      </c>
    </row>
    <row r="4952" customFormat="false" ht="17.15" hidden="false" customHeight="false" outlineLevel="0" collapsed="false">
      <c r="A4952" s="0" t="s">
        <v>602</v>
      </c>
      <c r="B4952" s="0" t="s">
        <v>52</v>
      </c>
      <c r="F4952" s="35" t="n">
        <f aca="false">na_vr26</f>
        <v>0</v>
      </c>
      <c r="G4952" s="35" t="n">
        <f aca="false">na_vr26</f>
        <v>0</v>
      </c>
      <c r="H4952" s="35" t="n">
        <f aca="false">na_vr27</f>
        <v>0.5</v>
      </c>
      <c r="I4952" s="35" t="n">
        <f aca="false">na_vr28</f>
        <v>1</v>
      </c>
      <c r="J4952" s="35" t="n">
        <f aca="false">na_vr28</f>
        <v>1</v>
      </c>
      <c r="K4952" s="35" t="n">
        <f aca="false">na_vr28</f>
        <v>1</v>
      </c>
      <c r="L4952" s="35" t="n">
        <f aca="false">na_vr28</f>
        <v>1</v>
      </c>
      <c r="M4952" s="35" t="n">
        <f aca="false">na_vr28</f>
        <v>1</v>
      </c>
    </row>
    <row r="4953" customFormat="false" ht="17.15" hidden="false" customHeight="false" outlineLevel="0" collapsed="false">
      <c r="A4953" s="5" t="s">
        <v>603</v>
      </c>
      <c r="B4953" s="0" t="s">
        <v>173</v>
      </c>
      <c r="F4953" s="36" t="n">
        <f aca="false">cust_sh*tk_he_gb300*cf_chip+(1-cust_sh)*((1-Sens!$F$4952)*tk_he_gb300+Sens!$F$4952*tk_he_vr200)</f>
        <v>10.8864110021101</v>
      </c>
      <c r="G4953" s="36" t="n">
        <f aca="false">cust_sh*tk_he_gb300*cf_chip+(1-cust_sh)*((1-Sens!$G$4952)*tk_he_gb300+Sens!$G$4952*tk_he_vr200)</f>
        <v>10.8864110021101</v>
      </c>
      <c r="H4953" s="36" t="n">
        <f aca="false">cust_sh*tk_he_gb300*cf_chip+(1-cust_sh)*((1-Sens!$H$4952)*tk_he_gb300+Sens!$H$4952*tk_he_vr200)</f>
        <v>11.2211760027286</v>
      </c>
      <c r="I4953" s="36" t="n">
        <f aca="false">cust_sh*tk_he_gb300*cf_chip+(1-cust_sh)*((1-Sens!$I$4952)*tk_he_gb300+Sens!$I$4952*tk_he_vr200)</f>
        <v>11.5559410033471</v>
      </c>
      <c r="J4953" s="36" t="n">
        <f aca="false">cust_sh*tk_he_gb300*cf_chip+(1-cust_sh)*((1-Sens!$J$4952)*tk_he_gb300+Sens!$J$4952*tk_he_vr200)</f>
        <v>11.5559410033471</v>
      </c>
      <c r="K4953" s="36" t="n">
        <f aca="false">cust_sh*tk_he_gb300*cf_chip+(1-cust_sh)*((1-Sens!$K$4952)*tk_he_gb300+Sens!$K$4952*tk_he_vr200)</f>
        <v>11.5559410033471</v>
      </c>
      <c r="L4953" s="36" t="n">
        <f aca="false">cust_sh*tk_he_gb300*cf_chip+(1-cust_sh)*((1-Sens!$L$4952)*tk_he_gb300+Sens!$L$4952*tk_he_vr200)</f>
        <v>11.5559410033471</v>
      </c>
      <c r="M4953" s="36" t="n">
        <f aca="false">cust_sh*tk_he_gb300*cf_chip+(1-cust_sh)*((1-Sens!$M$4952)*tk_he_gb300+Sens!$M$4952*tk_he_vr200)</f>
        <v>11.5559410033471</v>
      </c>
    </row>
    <row r="4954" customFormat="false" ht="17.15" hidden="false" customHeight="false" outlineLevel="0" collapsed="false">
      <c r="A4954" s="5" t="s">
        <v>604</v>
      </c>
      <c r="B4954" s="0" t="s">
        <v>173</v>
      </c>
      <c r="F4954" s="36" t="n">
        <f aca="false">cust_sh*tk_ox_gb300+(1-cust_sh)*((1-Sens!$F$4952)*tk_ox_gb300+Sens!$F$4952*tk_ox_vr200)</f>
        <v>1.98263481314457</v>
      </c>
      <c r="G4954" s="36" t="n">
        <f aca="false">cust_sh*tk_ox_gb300+(1-cust_sh)*((1-Sens!$G$4952)*tk_ox_gb300+Sens!$G$4952*tk_ox_vr200)</f>
        <v>1.98263481314457</v>
      </c>
      <c r="H4954" s="36" t="n">
        <f aca="false">cust_sh*tk_ox_gb300+(1-cust_sh)*((1-Sens!$H$4952)*tk_ox_gb300+Sens!$H$4952*tk_ox_vr200)</f>
        <v>2.01034999693694</v>
      </c>
      <c r="I4954" s="36" t="n">
        <f aca="false">cust_sh*tk_ox_gb300+(1-cust_sh)*((1-Sens!$I$4952)*tk_ox_gb300+Sens!$I$4952*tk_ox_vr200)</f>
        <v>2.0380651807293</v>
      </c>
      <c r="J4954" s="36" t="n">
        <f aca="false">cust_sh*tk_ox_gb300+(1-cust_sh)*((1-Sens!$J$4952)*tk_ox_gb300+Sens!$J$4952*tk_ox_vr200)</f>
        <v>2.0380651807293</v>
      </c>
      <c r="K4954" s="36" t="n">
        <f aca="false">cust_sh*tk_ox_gb300+(1-cust_sh)*((1-Sens!$K$4952)*tk_ox_gb300+Sens!$K$4952*tk_ox_vr200)</f>
        <v>2.0380651807293</v>
      </c>
      <c r="L4954" s="36" t="n">
        <f aca="false">cust_sh*tk_ox_gb300+(1-cust_sh)*((1-Sens!$L$4952)*tk_ox_gb300+Sens!$L$4952*tk_ox_vr200)</f>
        <v>2.0380651807293</v>
      </c>
      <c r="M4954" s="36" t="n">
        <f aca="false">cust_sh*tk_ox_gb300+(1-cust_sh)*((1-Sens!$M$4952)*tk_ox_gb300+Sens!$M$4952*tk_ox_vr200)</f>
        <v>2.0380651807293</v>
      </c>
    </row>
    <row r="4955" customFormat="false" ht="17.15" hidden="false" customHeight="false" outlineLevel="0" collapsed="false">
      <c r="A4955" s="5" t="s">
        <v>605</v>
      </c>
      <c r="B4955" s="0" t="s">
        <v>192</v>
      </c>
      <c r="F4955" s="36" t="n">
        <f aca="false">cust_sh*tk_cx_gb300*cf_cx+(1-cust_sh)*((1-Sens!$F$4952)*tk_cx_gb300+Sens!$F$4952*tk_cx_vr200)</f>
        <v>32.237224</v>
      </c>
      <c r="G4955" s="36" t="n">
        <f aca="false">cust_sh*tk_cx_gb300*cf_cx+(1-cust_sh)*((1-Sens!$G$4952)*tk_cx_gb300+Sens!$G$4952*tk_cx_vr200)</f>
        <v>32.237224</v>
      </c>
      <c r="H4955" s="36" t="n">
        <f aca="false">cust_sh*tk_cx_gb300*cf_cx+(1-cust_sh)*((1-Sens!$H$4952)*tk_cx_gb300+Sens!$H$4952*tk_cx_vr200)</f>
        <v>33.574506</v>
      </c>
      <c r="I4955" s="36" t="n">
        <f aca="false">cust_sh*tk_cx_gb300*cf_cx+(1-cust_sh)*((1-Sens!$I$4952)*tk_cx_gb300+Sens!$I$4952*tk_cx_vr200)</f>
        <v>34.911788</v>
      </c>
      <c r="J4955" s="36" t="n">
        <f aca="false">cust_sh*tk_cx_gb300*cf_cx+(1-cust_sh)*((1-Sens!$J$4952)*tk_cx_gb300+Sens!$J$4952*tk_cx_vr200)</f>
        <v>34.911788</v>
      </c>
      <c r="K4955" s="36" t="n">
        <f aca="false">cust_sh*tk_cx_gb300*cf_cx+(1-cust_sh)*((1-Sens!$K$4952)*tk_cx_gb300+Sens!$K$4952*tk_cx_vr200)</f>
        <v>34.911788</v>
      </c>
      <c r="L4955" s="36" t="n">
        <f aca="false">cust_sh*tk_cx_gb300*cf_cx+(1-cust_sh)*((1-Sens!$L$4952)*tk_cx_gb300+Sens!$L$4952*tk_cx_vr200)</f>
        <v>34.911788</v>
      </c>
      <c r="M4955" s="36" t="n">
        <f aca="false">cust_sh*tk_cx_gb300*cf_cx+(1-cust_sh)*((1-Sens!$M$4952)*tk_cx_gb300+Sens!$M$4952*tk_cx_vr200)</f>
        <v>34.911788</v>
      </c>
    </row>
    <row r="4956" customFormat="false" ht="17.15" hidden="false" customHeight="false" outlineLevel="0" collapsed="false">
      <c r="A4956" s="5" t="s">
        <v>606</v>
      </c>
      <c r="B4956" s="0" t="s">
        <v>129</v>
      </c>
      <c r="F4956" s="32" t="n">
        <f aca="false">Sens!$F$4946-mw_open</f>
        <v>1817.15</v>
      </c>
      <c r="G4956" s="32" t="n">
        <f aca="false">Sens!$F$4956</f>
        <v>1817.15</v>
      </c>
      <c r="H4956" s="32" t="n">
        <f aca="false">Sens!$H$4946-mw_open</f>
        <v>5451.45</v>
      </c>
      <c r="I4956" s="32" t="n">
        <f aca="false">Sens!$I$4946-mw_open</f>
        <v>9085.75</v>
      </c>
      <c r="J4956" s="32" t="n">
        <f aca="false">Sens!$J$4946-mw_open</f>
        <v>12720.05</v>
      </c>
      <c r="K4956" s="32" t="n">
        <f aca="false">Sens!$K$4946-mw_open</f>
        <v>15290.9171666667</v>
      </c>
      <c r="L4956" s="32" t="n">
        <f aca="false">Sens!$L$4946-mw_open</f>
        <v>16798.3515</v>
      </c>
      <c r="M4956" s="32" t="n">
        <f aca="false">Sens!$M$4946-mw_open</f>
        <v>17242.353</v>
      </c>
    </row>
    <row r="4957" customFormat="false" ht="17.15" hidden="false" customHeight="false" outlineLevel="0" collapsed="false">
      <c r="A4957" s="0" t="s">
        <v>607</v>
      </c>
      <c r="B4957" s="0" t="s">
        <v>608</v>
      </c>
      <c r="F4957" s="32" t="n">
        <f aca="false">Sens!$F$4949*Sens!$F$4953</f>
        <v>19782.2417524844</v>
      </c>
      <c r="G4957" s="32" t="n">
        <f aca="false">Sens!$F$4957</f>
        <v>19782.2417524844</v>
      </c>
      <c r="H4957" s="32" t="n">
        <f aca="false">Sens!$G$4957+Sens!$H$4949*Sens!$H$4953</f>
        <v>60563.3616992009</v>
      </c>
      <c r="I4957" s="32" t="n">
        <f aca="false">Sens!$H$4957+Sens!$I$4949*Sens!$I$4953</f>
        <v>102561.118087665</v>
      </c>
      <c r="J4957" s="32" t="n">
        <f aca="false">Sens!$I$4957+Sens!$J$4949*Sens!$J$4953</f>
        <v>144558.87447613</v>
      </c>
      <c r="K4957" s="32" t="n">
        <f aca="false">Sens!$J$4957+Sens!$K$4949*Sens!$K$4953</f>
        <v>174267.663781572</v>
      </c>
      <c r="L4957" s="32" t="n">
        <f aca="false">Sens!$K$4957+Sens!$L$4949*Sens!$L$4953</f>
        <v>191687.486003992</v>
      </c>
      <c r="M4957" s="32" t="n">
        <f aca="false">Sens!$L$4957+Sens!$M$4949*Sens!$M$4953</f>
        <v>196818.341143389</v>
      </c>
    </row>
    <row r="4958" customFormat="false" ht="17.15" hidden="false" customHeight="false" outlineLevel="0" collapsed="false">
      <c r="A4958" s="0" t="s">
        <v>609</v>
      </c>
      <c r="B4958" s="0" t="s">
        <v>608</v>
      </c>
      <c r="F4958" s="32" t="n">
        <f aca="false">Sens!$F$4949*Sens!$F$4954</f>
        <v>3602.74485070566</v>
      </c>
      <c r="G4958" s="32" t="n">
        <f aca="false">Sens!$F$4958</f>
        <v>3602.74485070566</v>
      </c>
      <c r="H4958" s="32" t="n">
        <f aca="false">Sens!$G$4958+Sens!$H$4949*Sens!$H$4954</f>
        <v>10908.9598445736</v>
      </c>
      <c r="I4958" s="32" t="n">
        <f aca="false">Sens!$H$4958+Sens!$I$4949*Sens!$I$4954</f>
        <v>18315.9001308981</v>
      </c>
      <c r="J4958" s="32" t="n">
        <f aca="false">Sens!$I$4958+Sens!$J$4949*Sens!$J$4954</f>
        <v>25722.8404172225</v>
      </c>
      <c r="K4958" s="32" t="n">
        <f aca="false">Sens!$J$4958+Sens!$K$4949*Sens!$K$4954</f>
        <v>30962.4352738861</v>
      </c>
      <c r="L4958" s="32" t="n">
        <f aca="false">Sens!$K$4958+Sens!$L$4949*Sens!$L$4954</f>
        <v>34034.6847008886</v>
      </c>
      <c r="M4958" s="32" t="n">
        <f aca="false">Sens!$L$4958+Sens!$M$4949*Sens!$M$4954</f>
        <v>34939.5886982302</v>
      </c>
    </row>
    <row r="4959" customFormat="false" ht="17.15" hidden="false" customHeight="false" outlineLevel="0" collapsed="false">
      <c r="A4959" s="5" t="s">
        <v>610</v>
      </c>
      <c r="B4959" s="0" t="s">
        <v>173</v>
      </c>
      <c r="F4959" s="36" t="n">
        <f aca="false">IF(Sens!$F$4956&gt;0,Sens!$F$4957/Sens!$F$4956,Sens!$F$4953)</f>
        <v>10.8864110021101</v>
      </c>
      <c r="G4959" s="36" t="n">
        <f aca="false">IF(Sens!$G$4956&gt;0,Sens!$G$4957/Sens!$G$4956,Sens!$G$4953)</f>
        <v>10.8864110021101</v>
      </c>
      <c r="H4959" s="36" t="n">
        <f aca="false">IF(Sens!$H$4956&gt;0,Sens!$H$4957/Sens!$H$4956,Sens!$H$4953)</f>
        <v>11.1095876691891</v>
      </c>
      <c r="I4959" s="36" t="n">
        <f aca="false">IF(Sens!$I$4956&gt;0,Sens!$I$4957/Sens!$I$4956,Sens!$I$4953)</f>
        <v>11.2881290028523</v>
      </c>
      <c r="J4959" s="36" t="n">
        <f aca="false">IF(Sens!$J$4956&gt;0,Sens!$J$4957/Sens!$J$4956,Sens!$J$4953)</f>
        <v>11.3646467172794</v>
      </c>
      <c r="K4959" s="36" t="n">
        <f aca="false">IF(Sens!$K$4956&gt;0,Sens!$K$4957/Sens!$K$4956,Sens!$K$4953)</f>
        <v>11.3968090914432</v>
      </c>
      <c r="L4959" s="36" t="n">
        <f aca="false">IF(Sens!$L$4956&gt;0,Sens!$L$4957/Sens!$L$4956,Sens!$L$4953)</f>
        <v>11.4110891181192</v>
      </c>
      <c r="M4959" s="36" t="n">
        <f aca="false">IF(Sens!$M$4956&gt;0,Sens!$M$4957/Sens!$M$4956,Sens!$M$4953)</f>
        <v>11.4148191458201</v>
      </c>
    </row>
    <row r="4960" customFormat="false" ht="17.15" hidden="false" customHeight="false" outlineLevel="0" collapsed="false">
      <c r="A4960" s="5" t="s">
        <v>611</v>
      </c>
      <c r="B4960" s="0" t="s">
        <v>173</v>
      </c>
      <c r="F4960" s="36" t="n">
        <f aca="false">IF(Sens!$F$4956&gt;0,Sens!$F$4958/Sens!$F$4956,Sens!$F$4954)</f>
        <v>1.98263481314457</v>
      </c>
      <c r="G4960" s="36" t="n">
        <f aca="false">IF(Sens!$G$4956&gt;0,Sens!$G$4958/Sens!$G$4956,Sens!$G$4954)</f>
        <v>1.98263481314457</v>
      </c>
      <c r="H4960" s="36" t="n">
        <f aca="false">IF(Sens!$H$4956&gt;0,Sens!$H$4958/Sens!$H$4956,Sens!$H$4954)</f>
        <v>2.00111160233948</v>
      </c>
      <c r="I4960" s="36" t="n">
        <f aca="false">IF(Sens!$I$4956&gt;0,Sens!$I$4958/Sens!$I$4956,Sens!$I$4954)</f>
        <v>2.01589303369541</v>
      </c>
      <c r="J4960" s="36" t="n">
        <f aca="false">IF(Sens!$J$4956&gt;0,Sens!$J$4958/Sens!$J$4956,Sens!$J$4954)</f>
        <v>2.02222793284795</v>
      </c>
      <c r="K4960" s="36" t="n">
        <f aca="false">IF(Sens!$K$4956&gt;0,Sens!$K$4958/Sens!$K$4956,Sens!$K$4954)</f>
        <v>2.02489065478573</v>
      </c>
      <c r="L4960" s="36" t="n">
        <f aca="false">IF(Sens!$L$4956&gt;0,Sens!$L$4958/Sens!$L$4956,Sens!$L$4954)</f>
        <v>2.0260728977417</v>
      </c>
      <c r="M4960" s="36" t="n">
        <f aca="false">IF(Sens!$M$4956&gt;0,Sens!$M$4958/Sens!$M$4956,Sens!$M$4954)</f>
        <v>2.02638170661685</v>
      </c>
    </row>
    <row r="4961" customFormat="false" ht="17.15" hidden="false" customHeight="false" outlineLevel="0" collapsed="false">
      <c r="A4961" s="15" t="s">
        <v>612</v>
      </c>
      <c r="B4961" s="14" t="s">
        <v>173</v>
      </c>
      <c r="C4961" s="14"/>
      <c r="D4961" s="14"/>
      <c r="E4961" s="14"/>
      <c r="F4961" s="37" t="n">
        <f aca="false">Sens!$F$4959*k_B</f>
        <v>10.7987645808025</v>
      </c>
      <c r="G4961" s="37" t="n">
        <f aca="false">Sens!$G$4959*k_B</f>
        <v>10.7987645808025</v>
      </c>
      <c r="H4961" s="37" t="n">
        <f aca="false">Sens!$H$4959*k_B</f>
        <v>11.0201444540452</v>
      </c>
      <c r="I4961" s="37" t="n">
        <f aca="false">Sens!$I$4959*k_B</f>
        <v>11.1972483526393</v>
      </c>
      <c r="J4961" s="37" t="n">
        <f aca="false">Sens!$J$4959*k_B</f>
        <v>11.2731500234653</v>
      </c>
      <c r="K4961" s="37" t="n">
        <f aca="false">Sens!$K$4959*k_B</f>
        <v>11.3050534585724</v>
      </c>
      <c r="L4961" s="37" t="n">
        <f aca="false">Sens!$L$4959*k_B</f>
        <v>11.3192185168503</v>
      </c>
      <c r="M4961" s="37" t="n">
        <f aca="false">Sens!$M$4959*k_B</f>
        <v>11.3229185141234</v>
      </c>
      <c r="N4961" s="14"/>
      <c r="O4961" s="14"/>
      <c r="P4961" s="5" t="s">
        <v>613</v>
      </c>
    </row>
    <row r="4962" customFormat="false" ht="17.15" hidden="false" customHeight="false" outlineLevel="0" collapsed="false">
      <c r="A4962" s="5" t="s">
        <v>614</v>
      </c>
      <c r="B4962" s="0" t="s">
        <v>129</v>
      </c>
      <c r="F4962" s="32" t="n">
        <f aca="false">Sens!$F$4956/2</f>
        <v>908.575</v>
      </c>
      <c r="H4962" s="32" t="n">
        <f aca="false">(Sens!$G$4956+Sens!$H$4956)/2</f>
        <v>3634.3</v>
      </c>
      <c r="I4962" s="32" t="n">
        <f aca="false">(Sens!$H$4956+Sens!$I$4956)/2</f>
        <v>7268.6</v>
      </c>
      <c r="J4962" s="32" t="n">
        <f aca="false">(Sens!$I$4956+Sens!$J$4956)/2</f>
        <v>10902.9</v>
      </c>
      <c r="K4962" s="32" t="n">
        <f aca="false">(Sens!$J$4956+Sens!$K$4956)/2</f>
        <v>14005.4835833333</v>
      </c>
      <c r="L4962" s="32" t="n">
        <f aca="false">(Sens!$K$4956+Sens!$L$4956)/2</f>
        <v>16044.6343333333</v>
      </c>
      <c r="M4962" s="32" t="n">
        <f aca="false">(Sens!$L$4956+Sens!$M$4956)/2</f>
        <v>17020.35225</v>
      </c>
    </row>
    <row r="4963" customFormat="false" ht="17.15" hidden="false" customHeight="false" outlineLevel="0" collapsed="false">
      <c r="A4963" s="1" t="s">
        <v>615</v>
      </c>
    </row>
    <row r="4964" customFormat="false" ht="17.15" hidden="false" customHeight="false" outlineLevel="0" collapsed="false">
      <c r="A4964" s="1" t="s">
        <v>616</v>
      </c>
      <c r="B4964" s="8" t="s">
        <v>86</v>
      </c>
      <c r="C4964" s="38" t="n">
        <f aca="false">Sens!$C$4947*rpm_open*Sens!$C$4948/1000</f>
        <v>2.32100535697364</v>
      </c>
      <c r="D4964" s="38" t="n">
        <f aca="false">Sens!$D$4947*rpm_open*Sens!$D$4948/1000</f>
        <v>8.70377008865116</v>
      </c>
      <c r="E4964" s="38" t="n">
        <f aca="false">Sens!$E$4947*rpm_open*Sens!$E$4948/1000</f>
        <v>8.51035297557002</v>
      </c>
      <c r="F4964" s="38" t="n">
        <f aca="false">(mw_open*rpm_open+Sens!$F$4962*Sens!$F$4961)*Sens!$F$4948/1000</f>
        <v>14.9634336447205</v>
      </c>
      <c r="G4964" s="38" t="n">
        <f aca="false">Sens!$E$4964+Sens!$F$4964</f>
        <v>23.4737866202905</v>
      </c>
      <c r="H4964" s="38" t="n">
        <f aca="false">(mw_open*rpm_open+Sens!$H$4962*Sens!$H$4961)/1000</f>
        <v>60.1658907497746</v>
      </c>
      <c r="I4964" s="38" t="n">
        <f aca="false">(mw_open*rpm_open+Sens!$I$4962*Sens!$I$4961)/1000</f>
        <v>101.503699136432</v>
      </c>
      <c r="J4964" s="38" t="n">
        <f aca="false">(mw_open*rpm_open+Sens!$J$4962*Sens!$J$4961)/1000</f>
        <v>143.025407151278</v>
      </c>
      <c r="K4964" s="38" t="n">
        <f aca="false">(mw_open*rpm_open+Sens!$K$4962*Sens!$K$4961)/1000</f>
        <v>178.44812038318</v>
      </c>
      <c r="L4964" s="38" t="n">
        <f aca="false">(mw_open*rpm_open+Sens!$L$4962*Sens!$L$4961)/1000</f>
        <v>201.728101802396</v>
      </c>
      <c r="M4964" s="38" t="n">
        <f aca="false">(mw_open*rpm_open+Sens!$M$4962*Sens!$M$4961)/1000</f>
        <v>212.835441368865</v>
      </c>
      <c r="N4964" s="38" t="n">
        <f aca="false">Sens!$N$4947*rpm_open*Sens!$N$4948/1000</f>
        <v>3.04631953102791</v>
      </c>
      <c r="O4964" s="38" t="n">
        <f aca="false">Sens!$O$4947*rpm_open*Sens!$O$4948/1000</f>
        <v>5.65745055762326</v>
      </c>
      <c r="P4964" s="5" t="s">
        <v>617</v>
      </c>
    </row>
    <row r="4965" customFormat="false" ht="17.15" hidden="false" customHeight="false" outlineLevel="0" collapsed="false">
      <c r="A4965" s="5" t="s">
        <v>618</v>
      </c>
      <c r="B4965" s="0" t="s">
        <v>173</v>
      </c>
      <c r="C4965" s="36" t="n">
        <f aca="false">Sens!$C$4964*1000/(Sens!$C$4947*Sens!$C$4948)</f>
        <v>9.67085565405685</v>
      </c>
      <c r="D4965" s="36" t="n">
        <f aca="false">Sens!$D$4964*1000/(Sens!$D$4947*Sens!$D$4948)</f>
        <v>9.67085565405685</v>
      </c>
      <c r="E4965" s="36" t="n">
        <f aca="false">Sens!$E$4964*1000/(Sens!$E$4947*Sens!$E$4948)</f>
        <v>9.67085565405685</v>
      </c>
      <c r="F4965" s="36" t="n">
        <f aca="false">Sens!$F$4964*1000/(Sens!$F$4947*Sens!$F$4948)</f>
        <v>10.0137581588017</v>
      </c>
      <c r="G4965" s="36" t="n">
        <f aca="false">Sens!$G$4964*1000/(Sens!$G$4947*Sens!$G$4948)</f>
        <v>9.88666562928478</v>
      </c>
      <c r="H4965" s="36" t="n">
        <f aca="false">Sens!$H$4964*1000/(Sens!$H$4947*Sens!$H$4948)</f>
        <v>10.5290045586992</v>
      </c>
      <c r="I4965" s="36" t="n">
        <f aca="false">Sens!$I$4964*1000/(Sens!$I$4947*Sens!$I$4948)</f>
        <v>10.8576363451674</v>
      </c>
      <c r="J4965" s="36" t="n">
        <f aca="false">Sens!$J$4964*1000/(Sens!$J$4947*Sens!$J$4948)</f>
        <v>11.0164452588619</v>
      </c>
      <c r="K4965" s="36" t="n">
        <f aca="false">Sens!$K$4964*1000/(Sens!$K$4947*Sens!$K$4948)</f>
        <v>11.0937367508227</v>
      </c>
      <c r="L4965" s="36" t="n">
        <f aca="false">Sens!$L$4964*1000/(Sens!$L$4947*Sens!$L$4948)</f>
        <v>11.1300508519168</v>
      </c>
      <c r="M4965" s="36" t="n">
        <f aca="false">Sens!$M$4964*1000/(Sens!$M$4947*Sens!$M$4948)</f>
        <v>11.1430113216297</v>
      </c>
      <c r="N4965" s="36" t="n">
        <f aca="false">Sens!$N$4964*1000/(Sens!$N$4947*Sens!$N$4948)</f>
        <v>9.67085565405685</v>
      </c>
      <c r="O4965" s="36" t="n">
        <f aca="false">Sens!$O$4964*1000/(Sens!$O$4947*Sens!$O$4948)</f>
        <v>9.67085565405685</v>
      </c>
    </row>
    <row r="4966" customFormat="false" ht="17.15" hidden="false" customHeight="false" outlineLevel="0" collapsed="false">
      <c r="A4966" s="0" t="s">
        <v>619</v>
      </c>
      <c r="B4966" s="0" t="s">
        <v>86</v>
      </c>
      <c r="C4966" s="38" t="n">
        <f aca="false">Sens!$C$4947/ext_sh*(ox_open+rent_mw)*Sens!$C$4948/1000</f>
        <v>0.642569210675032</v>
      </c>
      <c r="D4966" s="38" t="n">
        <f aca="false">Sens!$D$4947/ext_sh*(ox_open+rent_mw)*Sens!$D$4948/1000</f>
        <v>2.40963454003137</v>
      </c>
      <c r="E4966" s="38" t="n">
        <f aca="false">Sens!$E$4947/ext_sh*(ox_open+rent_mw)*Sens!$E$4948/1000</f>
        <v>2.35608710580845</v>
      </c>
      <c r="F4966" s="38" t="n">
        <f aca="false">((mw_open*ox_open+Sens!$F$4962*Sens!$F$4960)/ext_sh+Sens!$F$4947/ext_sh*rent_mw)*Sens!$F$4948/1000</f>
        <v>4.05421991106232</v>
      </c>
      <c r="G4966" s="38" t="n">
        <f aca="false">Sens!$E$4966+Sens!$F$4966</f>
        <v>6.41030701687077</v>
      </c>
      <c r="H4966" s="38" t="n">
        <f aca="false">((mw_open*ox_open+Sens!$H$4962*Sens!$H$4960)/ext_sh+Sens!$H$4947/ext_sh*rent_mw)*Sens!$H$4948/1000</f>
        <v>15.8108975546616</v>
      </c>
      <c r="I4966" s="38" t="n">
        <f aca="false">((mw_open*ox_open+Sens!$I$4962*Sens!$I$4960)/ext_sh+Sens!$I$4947/ext_sh*rent_mw)*Sens!$I$4948/1000</f>
        <v>26.1871623400817</v>
      </c>
      <c r="J4966" s="38" t="n">
        <f aca="false">((mw_open*ox_open+Sens!$J$4962*Sens!$J$4960)/ext_sh+Sens!$J$4947/ext_sh*rent_mw)*Sens!$J$4948/1000</f>
        <v>36.5826128954935</v>
      </c>
      <c r="K4966" s="38" t="n">
        <f aca="false">((mw_open*ox_open+Sens!$K$4962*Sens!$K$4960)/ext_sh+Sens!$K$4947/ext_sh*rent_mw)*Sens!$K$4948/1000</f>
        <v>45.4546361137628</v>
      </c>
      <c r="L4966" s="38" t="n">
        <f aca="false">((mw_open*ox_open+Sens!$L$4962*Sens!$L$4960)/ext_sh+Sens!$L$4947/ext_sh*rent_mw)*Sens!$L$4948/1000</f>
        <v>51.2855695554452</v>
      </c>
      <c r="M4966" s="38" t="n">
        <f aca="false">((mw_open*ox_open+Sens!$M$4962*Sens!$M$4960)/ext_sh+Sens!$M$4947/ext_sh*rent_mw)*Sens!$M$4948/1000</f>
        <v>54.0722927838398</v>
      </c>
      <c r="N4966" s="38" t="n">
        <f aca="false">Sens!$N$4947/ext_sh*(ox_open+rent_mw)*Sens!$N$4948/1000</f>
        <v>0.84337208901098</v>
      </c>
      <c r="O4966" s="38" t="n">
        <f aca="false">Sens!$O$4947/ext_sh*(ox_open+rent_mw)*Sens!$O$4948/1000</f>
        <v>1.56626245102039</v>
      </c>
    </row>
    <row r="4967" customFormat="false" ht="17.15" hidden="false" customHeight="false" outlineLevel="0" collapsed="false">
      <c r="A4967" s="0" t="s">
        <v>620</v>
      </c>
      <c r="B4967" s="0" t="s">
        <v>86</v>
      </c>
      <c r="C4967" s="38" t="n">
        <f aca="false">Q!$D$7</f>
        <v>107.556</v>
      </c>
      <c r="D4967" s="38" t="n">
        <f aca="false">Q!$E$7</f>
        <v>128.725</v>
      </c>
      <c r="E4967" s="38" t="n">
        <f aca="false">Q!$P$7</f>
        <v>79.819</v>
      </c>
      <c r="N4967" s="38" t="n">
        <f aca="false">Q!$N$7</f>
        <v>60.14</v>
      </c>
      <c r="O4967" s="38" t="n">
        <f aca="false">Q!$O$7</f>
        <v>68.585</v>
      </c>
    </row>
    <row r="4968" customFormat="false" ht="17.15" hidden="false" customHeight="false" outlineLevel="0" collapsed="false">
      <c r="A4968" s="1" t="s">
        <v>621</v>
      </c>
      <c r="B4968" s="8" t="s">
        <v>86</v>
      </c>
      <c r="C4968" s="38" t="n">
        <f aca="false">Sens!$C$4967-Sens!$C$4964</f>
        <v>105.234994643026</v>
      </c>
      <c r="D4968" s="38" t="n">
        <f aca="false">Sens!$D$4967-Sens!$D$4964</f>
        <v>120.021229911349</v>
      </c>
      <c r="E4968" s="38" t="n">
        <f aca="false">Sens!$E$4967-Sens!$E$4964</f>
        <v>71.30864702443</v>
      </c>
      <c r="F4968" s="38" t="n">
        <f aca="false">Sens!$O$4968*(1+Sens!$F$4969)</f>
        <v>71.7692997942464</v>
      </c>
      <c r="G4968" s="38" t="n">
        <f aca="false">Sens!$E$4968+Sens!$F$4968</f>
        <v>143.077946818676</v>
      </c>
      <c r="H4968" s="38" t="n">
        <f aca="false">Sens!$G$4968*(1+Sens!$H$4969)</f>
        <v>161.017077079203</v>
      </c>
      <c r="I4968" s="38" t="n">
        <f aca="false">Sens!$H$4968*(1+Sens!$I$4969)</f>
        <v>178.769759521457</v>
      </c>
      <c r="J4968" s="38" t="n">
        <f aca="false">Sens!$I$4968*(1+Sens!$J$4969)</f>
        <v>195.775538045907</v>
      </c>
      <c r="K4968" s="38" t="n">
        <f aca="false">Sens!$J$4968*(1+Sens!$K$4969)</f>
        <v>211.43758108958</v>
      </c>
      <c r="L4968" s="38" t="n">
        <f aca="false">Sens!$K$4968*(1+Sens!$L$4969)</f>
        <v>228.352587576746</v>
      </c>
      <c r="M4968" s="38" t="n">
        <f aca="false">Sens!$L$4968*(1+Sens!$M$4969)</f>
        <v>246.620794582886</v>
      </c>
      <c r="N4968" s="38" t="n">
        <f aca="false">Sens!$N$4967-Sens!$N$4964</f>
        <v>57.0936804689721</v>
      </c>
      <c r="O4968" s="38" t="n">
        <f aca="false">Sens!$O$4967-Sens!$O$4964</f>
        <v>62.9275494423768</v>
      </c>
      <c r="P4968" s="5" t="s">
        <v>622</v>
      </c>
    </row>
    <row r="4969" customFormat="false" ht="17.15" hidden="false" customHeight="false" outlineLevel="0" collapsed="false">
      <c r="A4969" s="0" t="s">
        <v>623</v>
      </c>
      <c r="B4969" s="0" t="s">
        <v>52</v>
      </c>
      <c r="D4969" s="13" t="n">
        <f aca="false">Sens!$D$4968/Sens!$C$4968-1</f>
        <v>0.140506827776062</v>
      </c>
      <c r="E4969" s="13" t="n">
        <f aca="false">Sens!$E$4968/Sens!$N$4968-1</f>
        <v>0.248976181579029</v>
      </c>
      <c r="F4969" s="13" t="n">
        <f aca="false">Sens!$D$4969</f>
        <v>0.140506827776062</v>
      </c>
      <c r="G4969" s="13" t="n">
        <f aca="false">Sens!$G$4968/Sens!$D$4968-1</f>
        <v>0.19210532106993</v>
      </c>
      <c r="H4969" s="13" t="n">
        <f aca="false">Sens!$F$4969+(g_awso_lt-Sens!$F$4969)*1/4</f>
        <v>0.125380120832046</v>
      </c>
      <c r="I4969" s="13" t="n">
        <f aca="false">Sens!$F$4969+(g_awso_lt-Sens!$F$4969)*2/4</f>
        <v>0.110253413888031</v>
      </c>
      <c r="J4969" s="13" t="n">
        <f aca="false">Sens!$F$4969+(g_awso_lt-Sens!$F$4969)*3/4</f>
        <v>0.0951267069440154</v>
      </c>
      <c r="K4969" s="13" t="n">
        <f aca="false">Sens!$F$4969+(g_awso_lt-Sens!$F$4969)*4/4</f>
        <v>0.08</v>
      </c>
      <c r="L4969" s="13" t="n">
        <f aca="false">g_awso_lt</f>
        <v>0.08</v>
      </c>
      <c r="M4969" s="13" t="n">
        <f aca="false">g_awso_lt</f>
        <v>0.08</v>
      </c>
      <c r="P4969" s="5" t="s">
        <v>624</v>
      </c>
    </row>
    <row r="4970" customFormat="false" ht="17.15" hidden="false" customHeight="false" outlineLevel="0" collapsed="false">
      <c r="A4970" s="1" t="s">
        <v>625</v>
      </c>
    </row>
    <row r="4971" customFormat="false" ht="17.15" hidden="false" customHeight="false" outlineLevel="0" collapsed="false">
      <c r="A4971" s="0" t="s">
        <v>626</v>
      </c>
      <c r="B4971" s="0" t="s">
        <v>86</v>
      </c>
      <c r="F4971" s="38" t="n">
        <f aca="false">cx_rt*Sens!$F$4936+cx_awso*Sens!$F$4968</f>
        <v>34.9734495387866</v>
      </c>
    </row>
    <row r="4972" customFormat="false" ht="17.15" hidden="false" customHeight="false" outlineLevel="0" collapsed="false">
      <c r="A4972" s="0" t="s">
        <v>627</v>
      </c>
      <c r="B4972" s="0" t="s">
        <v>52</v>
      </c>
      <c r="C4972" s="13" t="n">
        <f aca="false">tk_cx_h100/(tk_cx_h100+tk_fac*(1-colo_sh))</f>
        <v>0.730756458006641</v>
      </c>
      <c r="D4972" s="13" t="n">
        <f aca="false">tk_cx_h100/(tk_cx_h100+tk_fac*(1-colo_sh))</f>
        <v>0.730756458006641</v>
      </c>
      <c r="E4972" s="13" t="n">
        <f aca="false">Sens!$F$4972</f>
        <v>0.760792334328868</v>
      </c>
      <c r="F4972" s="13" t="n">
        <f aca="false">Sens!$F$4955/(Sens!$F$4955+tk_fac*(1-colo_sh))</f>
        <v>0.760792334328868</v>
      </c>
      <c r="G4972" s="13" t="n">
        <f aca="false">Sens!$G$4955/(Sens!$G$4955+tk_fac*(1-colo_sh))</f>
        <v>0.760792334328868</v>
      </c>
      <c r="H4972" s="13" t="n">
        <f aca="false">Sens!$H$4955/(Sens!$H$4955+tk_fac*(1-colo_sh))</f>
        <v>0.768110668862996</v>
      </c>
      <c r="I4972" s="13" t="n">
        <f aca="false">Sens!$I$4955/(Sens!$I$4955+tk_fac*(1-colo_sh))</f>
        <v>0.77499450139483</v>
      </c>
      <c r="J4972" s="13" t="n">
        <f aca="false">Sens!$J$4955/(Sens!$J$4955+tk_fac*(1-colo_sh))</f>
        <v>0.77499450139483</v>
      </c>
      <c r="K4972" s="13" t="n">
        <f aca="false">Sens!$K$4955/(Sens!$K$4955+tk_fac*(1-colo_sh))</f>
        <v>0.77499450139483</v>
      </c>
      <c r="L4972" s="13" t="n">
        <f aca="false">Sens!$L$4955/(Sens!$L$4955+tk_fac*(1-colo_sh))</f>
        <v>0.77499450139483</v>
      </c>
      <c r="M4972" s="13" t="n">
        <f aca="false">Sens!$M$4955/(Sens!$M$4955+tk_fac*(1-colo_sh))</f>
        <v>0.77499450139483</v>
      </c>
    </row>
    <row r="4973" customFormat="false" ht="17.15" hidden="false" customHeight="false" outlineLevel="0" collapsed="false">
      <c r="A4973" s="1" t="s">
        <v>628</v>
      </c>
      <c r="B4973" s="8" t="s">
        <v>86</v>
      </c>
      <c r="C4973" s="38" t="n">
        <f aca="false">Q!$D$46-cx_rt*Q!$D$16-cx_awso*Sens!$C$4968</f>
        <v>25.2781053077374</v>
      </c>
      <c r="D4973" s="38" t="n">
        <f aca="false">Q!$E$46-cx_rt*Q!$E$16-cx_awso*Sens!$D$4968</f>
        <v>69.5686316310026</v>
      </c>
      <c r="E4973" s="38" t="n">
        <f aca="false">Q!$P$46-cx_rt*Q!$P$16-cx_awso*Sens!$E$4968</f>
        <v>64.1899206485108</v>
      </c>
      <c r="F4973" s="38" t="n">
        <f aca="false">MAX(Sens!$F$4950*(Sens!$F$4955+tk_fac*(1-colo_sh))/1000,capex_g26-Q!$P$46-Sens!$F$4971)</f>
        <v>96.2481299895</v>
      </c>
      <c r="G4973" s="38" t="n">
        <f aca="false">Sens!$E$4973+Sens!$F$4973</f>
        <v>160.438050638011</v>
      </c>
      <c r="H4973" s="38" t="n">
        <f aca="false">Sens!$H$4950*(Sens!$H$4955+tk_fac*(1-colo_sh))/1000+Sens!$H$4974</f>
        <v>198.57136494475</v>
      </c>
      <c r="I4973" s="38" t="n">
        <f aca="false">Sens!$I$4950*(Sens!$I$4955+tk_fac*(1-colo_sh))/1000+Sens!$I$4974</f>
        <v>204.6464699105</v>
      </c>
      <c r="J4973" s="38" t="n">
        <f aca="false">Sens!$J$4950*(Sens!$J$4955+tk_fac*(1-colo_sh))/1000+Sens!$J$4974</f>
        <v>209.8832381105</v>
      </c>
      <c r="K4973" s="38" t="n">
        <f aca="false">Sens!$K$4950*(Sens!$K$4955+tk_fac*(1-colo_sh))/1000+Sens!$K$4974</f>
        <v>155.238385275201</v>
      </c>
      <c r="L4973" s="38" t="n">
        <f aca="false">Sens!$L$4950*(Sens!$L$4955+tk_fac*(1-colo_sh))/1000+Sens!$L$4974</f>
        <v>132.014141639902</v>
      </c>
      <c r="M4973" s="38" t="n">
        <f aca="false">Sens!$M$4950*(Sens!$M$4955+tk_fac*(1-colo_sh))/1000+Sens!$M$4974</f>
        <v>132.230981659852</v>
      </c>
      <c r="P4973" s="5" t="s">
        <v>629</v>
      </c>
      <c r="R4973" s="38" t="n">
        <f aca="false">Q!$C$46-cx_rt*Q!$C$16-cx_awso*(Q!$C$7-mw_ye23/2*rpm_open/1000)</f>
        <v>1.50429979529945</v>
      </c>
      <c r="S4973" s="38" t="n">
        <f aca="false">Sens!$C$4973</f>
        <v>25.2781053077374</v>
      </c>
      <c r="T4973" s="38" t="n">
        <f aca="false">Sens!$D$4973</f>
        <v>69.5686316310026</v>
      </c>
      <c r="U4973" s="38" t="n">
        <f aca="false">Sens!$G$4973</f>
        <v>160.438050638011</v>
      </c>
      <c r="V4973" s="38" t="n">
        <f aca="false">Sens!$H$4973</f>
        <v>198.57136494475</v>
      </c>
      <c r="W4973" s="38" t="n">
        <f aca="false">Sens!$I$4973</f>
        <v>204.6464699105</v>
      </c>
      <c r="X4973" s="38" t="n">
        <f aca="false">Sens!$J$4973</f>
        <v>209.8832381105</v>
      </c>
      <c r="Y4973" s="38" t="n">
        <f aca="false">Sens!$K$4973</f>
        <v>155.238385275201</v>
      </c>
      <c r="Z4973" s="38" t="n">
        <f aca="false">Sens!$L$4973</f>
        <v>132.014141639902</v>
      </c>
      <c r="AA4973" s="38" t="n">
        <f aca="false">Sens!$M$4973</f>
        <v>132.230981659852</v>
      </c>
    </row>
    <row r="4974" customFormat="false" ht="17.15" hidden="false" customHeight="false" outlineLevel="0" collapsed="false">
      <c r="A4974" s="0" t="s">
        <v>630</v>
      </c>
      <c r="B4974" s="0" t="s">
        <v>86</v>
      </c>
      <c r="H4974" s="38" t="n">
        <f aca="false">SUMPRODUCT(--(Sens!$R$4943:$AA$4943=2027-tk_life),Sens!$R$4950:$AA$4950)*Sens!$H$4955/1000</f>
        <v>0</v>
      </c>
      <c r="I4974" s="38" t="n">
        <f aca="false">SUMPRODUCT(--(Sens!$R$4943:$AA$4943=2028-tk_life),Sens!$R$4950:$AA$4950)*Sens!$I$4955/1000</f>
        <v>0</v>
      </c>
      <c r="J4974" s="38" t="n">
        <f aca="false">SUMPRODUCT(--(Sens!$R$4943:$AA$4943=2029-tk_life),Sens!$R$4950:$AA$4950)*Sens!$J$4955/1000</f>
        <v>5.2367682</v>
      </c>
      <c r="K4974" s="38" t="n">
        <f aca="false">SUMPRODUCT(--(Sens!$R$4943:$AA$4943=2030-tk_life),Sens!$R$4950:$AA$4950)*Sens!$K$4955/1000</f>
        <v>10.4735364</v>
      </c>
      <c r="L4974" s="38" t="n">
        <f aca="false">SUMPRODUCT(--(Sens!$R$4943:$AA$4943=2031-tk_life),Sens!$R$4950:$AA$4950)*Sens!$L$4955/1000</f>
        <v>47.1309138</v>
      </c>
      <c r="M4974" s="38" t="n">
        <f aca="false">SUMPRODUCT(--(Sens!$R$4943:$AA$4943=2032-tk_life),Sens!$R$4950:$AA$4950)*Sens!$M$4955/1000</f>
        <v>107.22937485525</v>
      </c>
    </row>
    <row r="4975" customFormat="false" ht="17.15" hidden="false" customHeight="false" outlineLevel="0" collapsed="false">
      <c r="A4975" s="0" t="s">
        <v>631</v>
      </c>
      <c r="B4975" s="0" t="s">
        <v>86</v>
      </c>
      <c r="C4975" s="38" t="n">
        <f aca="false">MIN(Sens!$C$4973,Sens!$C$4950*(tk_cx_h100+tk_fac*(1-colo_sh))/1000)</f>
        <v>11.2938642</v>
      </c>
      <c r="D4975" s="38" t="n">
        <f aca="false">MIN(Sens!$D$4973,Sens!$D$4950*(tk_cx_h100+tk_fac*(1-colo_sh))/1000)</f>
        <v>50.8223889</v>
      </c>
      <c r="E4975" s="38" t="n">
        <f aca="false">MIN(Sens!$E$4973,Sens!$E$4950*(Sens!$F$4955+tk_fac*(1-colo_sh))/1000)</f>
        <v>33.8985792</v>
      </c>
      <c r="F4975" s="38" t="n">
        <f aca="false">Sens!$F$4973</f>
        <v>96.2481299895</v>
      </c>
      <c r="G4975" s="38" t="n">
        <f aca="false">Sens!$E$4975+Sens!$F$4975</f>
        <v>130.1467091895</v>
      </c>
      <c r="H4975" s="38" t="n">
        <f aca="false">Sens!$H$4973</f>
        <v>198.57136494475</v>
      </c>
      <c r="I4975" s="38" t="n">
        <f aca="false">Sens!$I$4973</f>
        <v>204.6464699105</v>
      </c>
      <c r="J4975" s="38" t="n">
        <f aca="false">Sens!$J$4973</f>
        <v>209.8832381105</v>
      </c>
      <c r="K4975" s="38" t="n">
        <f aca="false">Sens!$K$4973</f>
        <v>155.238385275201</v>
      </c>
      <c r="L4975" s="38" t="n">
        <f aca="false">Sens!$L$4973</f>
        <v>132.014141639902</v>
      </c>
      <c r="M4975" s="38" t="n">
        <f aca="false">Sens!$M$4973</f>
        <v>132.230981659852</v>
      </c>
      <c r="P4975" s="5" t="s">
        <v>632</v>
      </c>
      <c r="R4975" s="38" t="n">
        <f aca="false">MIN(Sens!$R$4973,Sens!$R$4950*(tk_cx_h100+tk_fac*(1-colo_sh))/1000)</f>
        <v>1.50429979529945</v>
      </c>
      <c r="S4975" s="38" t="n">
        <f aca="false">Sens!$C$4975</f>
        <v>11.2938642</v>
      </c>
      <c r="T4975" s="38" t="n">
        <f aca="false">Sens!$D$4975</f>
        <v>50.8223889</v>
      </c>
      <c r="U4975" s="38" t="n">
        <f aca="false">Sens!$G$4975</f>
        <v>130.1467091895</v>
      </c>
      <c r="V4975" s="38" t="n">
        <f aca="false">Sens!$H$4975</f>
        <v>198.57136494475</v>
      </c>
      <c r="W4975" s="38" t="n">
        <f aca="false">Sens!$I$4975</f>
        <v>204.6464699105</v>
      </c>
      <c r="X4975" s="38" t="n">
        <f aca="false">Sens!$J$4975</f>
        <v>209.8832381105</v>
      </c>
      <c r="Y4975" s="38" t="n">
        <f aca="false">Sens!$K$4975</f>
        <v>155.238385275201</v>
      </c>
      <c r="Z4975" s="38" t="n">
        <f aca="false">Sens!$L$4975</f>
        <v>132.014141639902</v>
      </c>
      <c r="AA4975" s="38" t="n">
        <f aca="false">Sens!$M$4975</f>
        <v>132.230981659852</v>
      </c>
    </row>
    <row r="4976" customFormat="false" ht="17.15" hidden="false" customHeight="false" outlineLevel="0" collapsed="false">
      <c r="A4976" s="5" t="s">
        <v>633</v>
      </c>
      <c r="B4976" s="0" t="s">
        <v>86</v>
      </c>
      <c r="C4976" s="38" t="n">
        <f aca="false">Sens!$C$4973-Sens!$C$4975</f>
        <v>13.9842411077374</v>
      </c>
      <c r="D4976" s="38" t="n">
        <f aca="false">Sens!$D$4973-Sens!$D$4975</f>
        <v>18.7462427310026</v>
      </c>
      <c r="E4976" s="38" t="n">
        <f aca="false">Sens!$E$4973-Sens!$E$4975</f>
        <v>30.2913414485108</v>
      </c>
      <c r="F4976" s="38" t="n">
        <f aca="false">Sens!$F$4973-Sens!$F$4975</f>
        <v>0</v>
      </c>
      <c r="G4976" s="38" t="n">
        <f aca="false">Sens!$G$4973-Sens!$G$4975</f>
        <v>30.2913414485108</v>
      </c>
      <c r="H4976" s="38" t="n">
        <f aca="false">Sens!$H$4973-Sens!$H$4975</f>
        <v>0</v>
      </c>
      <c r="I4976" s="38" t="n">
        <f aca="false">Sens!$I$4973-Sens!$I$4975</f>
        <v>0</v>
      </c>
      <c r="J4976" s="38" t="n">
        <f aca="false">Sens!$J$4973-Sens!$J$4975</f>
        <v>0</v>
      </c>
      <c r="K4976" s="38" t="n">
        <f aca="false">Sens!$K$4973-Sens!$K$4975</f>
        <v>0</v>
      </c>
      <c r="L4976" s="38" t="n">
        <f aca="false">Sens!$L$4973-Sens!$L$4975</f>
        <v>0</v>
      </c>
      <c r="M4976" s="38" t="n">
        <f aca="false">Sens!$M$4973-Sens!$M$4975</f>
        <v>0</v>
      </c>
    </row>
    <row r="4977" customFormat="false" ht="17.15" hidden="false" customHeight="false" outlineLevel="0" collapsed="false">
      <c r="A4977" s="5" t="s">
        <v>634</v>
      </c>
      <c r="B4977" s="0" t="s">
        <v>86</v>
      </c>
      <c r="C4977" s="38" t="n">
        <f aca="false">Sens!$C$4975*Sens!$C$4972</f>
        <v>8.2530642</v>
      </c>
      <c r="D4977" s="38" t="n">
        <f aca="false">Sens!$D$4975*Sens!$D$4972</f>
        <v>37.1387889</v>
      </c>
      <c r="E4977" s="38" t="n">
        <f aca="false">Sens!$E$4975*Sens!$E$4972</f>
        <v>25.7897792</v>
      </c>
      <c r="F4977" s="38" t="n">
        <f aca="false">Sens!$F$4975*Sens!$F$4972</f>
        <v>73.2248394895</v>
      </c>
      <c r="G4977" s="38" t="n">
        <f aca="false">Sens!$E$4977+Sens!$F$4977</f>
        <v>99.0146186895</v>
      </c>
      <c r="H4977" s="38" t="n">
        <f aca="false">(Sens!$H$4975-Sens!$H$4974)*Sens!$H$4972+Sens!$H$4974</f>
        <v>152.52478394475</v>
      </c>
      <c r="I4977" s="38" t="n">
        <f aca="false">(Sens!$I$4975-Sens!$I$4974)*Sens!$I$4972+Sens!$I$4974</f>
        <v>158.5998889105</v>
      </c>
      <c r="J4977" s="38" t="n">
        <f aca="false">(Sens!$J$4975-Sens!$J$4974)*Sens!$J$4972+Sens!$J$4974</f>
        <v>163.8366571105</v>
      </c>
      <c r="K4977" s="38" t="n">
        <f aca="false">(Sens!$K$4975-Sens!$K$4974)*Sens!$K$4972+Sens!$K$4974</f>
        <v>122.665498273534</v>
      </c>
      <c r="L4977" s="38" t="n">
        <f aca="false">(Sens!$L$4975-Sens!$L$4974)*Sens!$L$4972+Sens!$L$4974</f>
        <v>112.914948636568</v>
      </c>
      <c r="M4977" s="38" t="n">
        <f aca="false">(Sens!$M$4975-Sens!$M$4974)*Sens!$M$4972+Sens!$M$4974</f>
        <v>126.605482654852</v>
      </c>
      <c r="R4977" s="38" t="n">
        <f aca="false">Sens!$R$4975*Sens!$C$4972</f>
        <v>1.09927679019314</v>
      </c>
      <c r="S4977" s="38" t="n">
        <f aca="false">Sens!$C$4977</f>
        <v>8.2530642</v>
      </c>
      <c r="T4977" s="38" t="n">
        <f aca="false">Sens!$D$4977</f>
        <v>37.1387889</v>
      </c>
      <c r="U4977" s="38" t="n">
        <f aca="false">Sens!$G$4977</f>
        <v>99.0146186895</v>
      </c>
      <c r="V4977" s="38" t="n">
        <f aca="false">Sens!$H$4977</f>
        <v>152.52478394475</v>
      </c>
      <c r="W4977" s="38" t="n">
        <f aca="false">Sens!$I$4977</f>
        <v>158.5998889105</v>
      </c>
      <c r="X4977" s="38" t="n">
        <f aca="false">Sens!$J$4977</f>
        <v>163.8366571105</v>
      </c>
      <c r="Y4977" s="38" t="n">
        <f aca="false">Sens!$K$4977</f>
        <v>122.665498273534</v>
      </c>
      <c r="Z4977" s="38" t="n">
        <f aca="false">Sens!$L$4977</f>
        <v>112.914948636568</v>
      </c>
      <c r="AA4977" s="38" t="n">
        <f aca="false">Sens!$M$4977</f>
        <v>126.605482654852</v>
      </c>
    </row>
    <row r="4978" customFormat="false" ht="15" hidden="false" customHeight="false" outlineLevel="0" collapsed="false">
      <c r="A4978" s="5" t="s">
        <v>635</v>
      </c>
      <c r="B4978" s="0" t="s">
        <v>86</v>
      </c>
      <c r="C4978" s="38" t="n">
        <f aca="false">Sens!$C$4975-Sens!$C$4977</f>
        <v>3.0408</v>
      </c>
      <c r="D4978" s="38" t="n">
        <f aca="false">Sens!$D$4975-Sens!$D$4977</f>
        <v>13.6836</v>
      </c>
      <c r="E4978" s="38" t="n">
        <f aca="false">Sens!$E$4975-Sens!$E$4977</f>
        <v>8.1088</v>
      </c>
      <c r="F4978" s="38" t="n">
        <f aca="false">Sens!$F$4975-Sens!$F$4977</f>
        <v>23.0232905</v>
      </c>
      <c r="G4978" s="38" t="n">
        <f aca="false">Sens!$G$4975-Sens!$G$4977</f>
        <v>31.1320905</v>
      </c>
      <c r="H4978" s="38" t="n">
        <f aca="false">Sens!$H$4975-Sens!$H$4977</f>
        <v>46.046581</v>
      </c>
      <c r="I4978" s="38" t="n">
        <f aca="false">Sens!$I$4975-Sens!$I$4977</f>
        <v>46.046581</v>
      </c>
      <c r="J4978" s="38" t="n">
        <f aca="false">Sens!$J$4975-Sens!$J$4977</f>
        <v>46.046581</v>
      </c>
      <c r="K4978" s="38" t="n">
        <f aca="false">Sens!$K$4975-Sens!$K$4977</f>
        <v>32.5728870016667</v>
      </c>
      <c r="L4978" s="38" t="n">
        <f aca="false">Sens!$L$4975-Sens!$L$4977</f>
        <v>19.0991930033334</v>
      </c>
      <c r="M4978" s="38" t="n">
        <f aca="false">Sens!$M$4975-Sens!$M$4977</f>
        <v>5.62549900499998</v>
      </c>
      <c r="R4978" s="38" t="n">
        <f aca="false">Sens!$R$4975-Sens!$R$4977</f>
        <v>0.405023005106309</v>
      </c>
      <c r="S4978" s="38" t="n">
        <f aca="false">Sens!$S$4975-Sens!$S$4977</f>
        <v>3.0408</v>
      </c>
      <c r="T4978" s="38" t="n">
        <f aca="false">Sens!$T$4975-Sens!$T$4977</f>
        <v>13.6836</v>
      </c>
      <c r="U4978" s="38" t="n">
        <f aca="false">Sens!$U$4975-Sens!$U$4977</f>
        <v>31.1320905</v>
      </c>
      <c r="V4978" s="38" t="n">
        <f aca="false">Sens!$V$4975-Sens!$V$4977</f>
        <v>46.046581</v>
      </c>
      <c r="W4978" s="38" t="n">
        <f aca="false">Sens!$W$4975-Sens!$W$4977</f>
        <v>46.046581</v>
      </c>
      <c r="X4978" s="38" t="n">
        <f aca="false">Sens!$X$4975-Sens!$X$4977</f>
        <v>46.046581</v>
      </c>
      <c r="Y4978" s="38" t="n">
        <f aca="false">Sens!$Y$4975-Sens!$Y$4977</f>
        <v>32.5728870016667</v>
      </c>
      <c r="Z4978" s="38" t="n">
        <f aca="false">Sens!$Z$4975-Sens!$Z$4977</f>
        <v>19.0991930033334</v>
      </c>
      <c r="AA4978" s="38" t="n">
        <f aca="false">Sens!$AA$4975-Sens!$AA$4977</f>
        <v>5.62549900499998</v>
      </c>
    </row>
    <row r="4979" customFormat="false" ht="17.15" hidden="false" customHeight="false" outlineLevel="0" collapsed="false">
      <c r="A4979" s="0" t="s">
        <v>636</v>
      </c>
      <c r="B4979" s="0" t="s">
        <v>52</v>
      </c>
      <c r="C4979" s="13" t="n">
        <f aca="false">Sens!$C$4973/Sens!$C$5095</f>
        <v>0.325505489553393</v>
      </c>
      <c r="D4979" s="13" t="n">
        <f aca="false">Sens!$D$4973/Sens!$D$5095</f>
        <v>0.54214956071542</v>
      </c>
      <c r="E4979" s="13" t="n">
        <f aca="false">Sens!$E$4973/Sens!$E$5095</f>
        <v>0.666492790452817</v>
      </c>
      <c r="F4979" s="13" t="n">
        <f aca="false">Sens!$F$4973/Sens!$F$5095</f>
        <v>0.733477910687338</v>
      </c>
      <c r="G4979" s="13" t="n">
        <f aca="false">Sens!$G$4973/Sens!$G$5095</f>
        <v>0.705124321514523</v>
      </c>
      <c r="H4979" s="13" t="n">
        <f aca="false">Sens!$H$4973/Sens!$H$5095</f>
        <v>0.726376041178204</v>
      </c>
      <c r="I4979" s="13" t="n">
        <f aca="false">Sens!$I$4973/Sens!$I$5095</f>
        <v>0.713099092661699</v>
      </c>
      <c r="J4979" s="13" t="n">
        <f aca="false">Sens!$J$4973/Sens!$J$5095</f>
        <v>0.701208348786245</v>
      </c>
      <c r="K4979" s="13" t="n">
        <f aca="false">Sens!$K$4973/Sens!$K$5095</f>
        <v>0.618338844562383</v>
      </c>
      <c r="L4979" s="13" t="n">
        <f aca="false">Sens!$L$4973/Sens!$L$5095</f>
        <v>0.562489158462506</v>
      </c>
      <c r="M4979" s="13" t="n">
        <f aca="false">Sens!$M$4973/Sens!$M$5095</f>
        <v>0.545751190895923</v>
      </c>
    </row>
    <row r="4980" customFormat="false" ht="17.15" hidden="false" customHeight="false" outlineLevel="0" collapsed="false">
      <c r="A4980" s="0" t="s">
        <v>637</v>
      </c>
      <c r="B4980" s="0" t="s">
        <v>86</v>
      </c>
      <c r="C4980" s="38" t="n">
        <f aca="false">Sens!$S$4980</f>
        <v>0.183212798365523</v>
      </c>
      <c r="D4980" s="38" t="n">
        <f aca="false">Sens!$T$4980</f>
        <v>1.55872349836552</v>
      </c>
      <c r="E4980" s="38" t="n">
        <f aca="false">Sens!$G$4980/2</f>
        <v>3.87426082418276</v>
      </c>
      <c r="F4980" s="38" t="n">
        <f aca="false">Sens!$G$4980/2</f>
        <v>3.87426082418276</v>
      </c>
      <c r="G4980" s="38" t="n">
        <f aca="false">Sens!$U$4980</f>
        <v>7.74852164836552</v>
      </c>
      <c r="H4980" s="38" t="n">
        <f aca="false">Sens!$V$4980</f>
        <v>24.2509580966155</v>
      </c>
      <c r="I4980" s="38" t="n">
        <f aca="false">Sens!$W$4980</f>
        <v>49.6717554207405</v>
      </c>
      <c r="J4980" s="38" t="n">
        <f aca="false">Sens!$X$4980</f>
        <v>76.1050702391572</v>
      </c>
      <c r="K4980" s="38" t="n">
        <f aca="false">Sens!$Y$4980</f>
        <v>103.227966959208</v>
      </c>
      <c r="L4980" s="38" t="n">
        <f aca="false">Sens!$Z$4980</f>
        <v>122.296705971464</v>
      </c>
      <c r="M4980" s="38" t="n">
        <f aca="false">Sens!$AA$4980</f>
        <v>134.926065927559</v>
      </c>
      <c r="N4980" s="38" t="n">
        <f aca="false">Sens!$D$4980/2</f>
        <v>0.779361749182762</v>
      </c>
      <c r="O4980" s="38" t="n">
        <f aca="false">Sens!$D$4980/2</f>
        <v>0.779361749182762</v>
      </c>
      <c r="R4980" s="38" t="n">
        <f aca="false">SUMPRODUCT(--(Sens!$R$4943:$AA$4943&lt;Sens!R$4943),--(Sens!$R$4943:$AA$4943&gt;=Sens!R$4943-tk_life),Sens!$R$4977:$AA$4977)/tk_life</f>
        <v>0</v>
      </c>
      <c r="S4980" s="38" t="n">
        <f aca="false">SUMPRODUCT(--(Sens!$R$4943:$AA$4943&lt;Sens!S$4943),--(Sens!$R$4943:$AA$4943&gt;=Sens!S$4943-tk_life),Sens!$R$4977:$AA$4977)/tk_life</f>
        <v>0.183212798365523</v>
      </c>
      <c r="T4980" s="38" t="n">
        <f aca="false">SUMPRODUCT(--(Sens!$R$4943:$AA$4943&lt;Sens!T$4943),--(Sens!$R$4943:$AA$4943&gt;=Sens!T$4943-tk_life),Sens!$R$4977:$AA$4977)/tk_life</f>
        <v>1.55872349836552</v>
      </c>
      <c r="U4980" s="38" t="n">
        <f aca="false">SUMPRODUCT(--(Sens!$R$4943:$AA$4943&lt;Sens!U$4943),--(Sens!$R$4943:$AA$4943&gt;=Sens!U$4943-tk_life),Sens!$R$4977:$AA$4977)/tk_life</f>
        <v>7.74852164836552</v>
      </c>
      <c r="V4980" s="38" t="n">
        <f aca="false">SUMPRODUCT(--(Sens!$R$4943:$AA$4943&lt;Sens!V$4943),--(Sens!$R$4943:$AA$4943&gt;=Sens!V$4943-tk_life),Sens!$R$4977:$AA$4977)/tk_life</f>
        <v>24.2509580966155</v>
      </c>
      <c r="W4980" s="38" t="n">
        <f aca="false">SUMPRODUCT(--(Sens!$R$4943:$AA$4943&lt;Sens!W$4943),--(Sens!$R$4943:$AA$4943&gt;=Sens!W$4943-tk_life),Sens!$R$4977:$AA$4977)/tk_life</f>
        <v>49.6717554207405</v>
      </c>
      <c r="X4980" s="38" t="n">
        <f aca="false">SUMPRODUCT(--(Sens!$R$4943:$AA$4943&lt;Sens!X$4943),--(Sens!$R$4943:$AA$4943&gt;=Sens!X$4943-tk_life),Sens!$R$4977:$AA$4977)/tk_life</f>
        <v>76.1050702391572</v>
      </c>
      <c r="Y4980" s="38" t="n">
        <f aca="false">SUMPRODUCT(--(Sens!$R$4943:$AA$4943&lt;Sens!Y$4943),--(Sens!$R$4943:$AA$4943&gt;=Sens!Y$4943-tk_life),Sens!$R$4977:$AA$4977)/tk_life</f>
        <v>103.227966959208</v>
      </c>
      <c r="Z4980" s="38" t="n">
        <f aca="false">SUMPRODUCT(--(Sens!$R$4943:$AA$4943&lt;Sens!Z$4943),--(Sens!$R$4943:$AA$4943&gt;=Sens!Z$4943-tk_life),Sens!$R$4977:$AA$4977)/tk_life</f>
        <v>122.296705971464</v>
      </c>
      <c r="AA4980" s="38" t="n">
        <f aca="false">SUMPRODUCT(--(Sens!$R$4943:$AA$4943&lt;Sens!AA$4943),--(Sens!$R$4943:$AA$4943&gt;=Sens!AA$4943-tk_life),Sens!$R$4977:$AA$4977)/tk_life</f>
        <v>134.926065927559</v>
      </c>
    </row>
    <row r="4981" customFormat="false" ht="17.15" hidden="false" customHeight="false" outlineLevel="0" collapsed="false">
      <c r="A4981" s="0" t="s">
        <v>638</v>
      </c>
      <c r="B4981" s="0" t="s">
        <v>86</v>
      </c>
      <c r="C4981" s="38" t="n">
        <f aca="false">Sens!$S$4981</f>
        <v>0.0202511502553155</v>
      </c>
      <c r="D4981" s="38" t="n">
        <f aca="false">Sens!$T$4981</f>
        <v>0.172291150255315</v>
      </c>
      <c r="E4981" s="38" t="n">
        <f aca="false">Sens!$G$4981/2</f>
        <v>0.428235575127658</v>
      </c>
      <c r="F4981" s="38" t="n">
        <f aca="false">Sens!$G$4981/2</f>
        <v>0.428235575127658</v>
      </c>
      <c r="G4981" s="38" t="n">
        <f aca="false">Sens!$U$4981</f>
        <v>0.856471150255315</v>
      </c>
      <c r="H4981" s="38" t="n">
        <f aca="false">Sens!$V$4981</f>
        <v>2.41307567525532</v>
      </c>
      <c r="I4981" s="38" t="n">
        <f aca="false">Sens!$W$4981</f>
        <v>4.71540472525532</v>
      </c>
      <c r="J4981" s="38" t="n">
        <f aca="false">Sens!$X$4981</f>
        <v>7.01773377525532</v>
      </c>
      <c r="K4981" s="38" t="n">
        <f aca="false">Sens!$Y$4981</f>
        <v>9.32006282525532</v>
      </c>
      <c r="L4981" s="38" t="n">
        <f aca="false">Sens!$Z$4981</f>
        <v>10.9487071753387</v>
      </c>
      <c r="M4981" s="38" t="n">
        <f aca="false">Sens!$AA$4981</f>
        <v>11.9036668255053</v>
      </c>
      <c r="N4981" s="38" t="n">
        <f aca="false">Sens!$D$4981/2</f>
        <v>0.0861455751276577</v>
      </c>
      <c r="O4981" s="38" t="n">
        <f aca="false">Sens!$D$4981/2</f>
        <v>0.0861455751276577</v>
      </c>
      <c r="R4981" s="38" t="n">
        <f aca="false">SUMPRODUCT(--(Sens!$R$4943:$AA$4943&lt;Sens!R$4943),Sens!$R$4978:$AA$4978)/fac_life</f>
        <v>0</v>
      </c>
      <c r="S4981" s="38" t="n">
        <f aca="false">SUMPRODUCT(--(Sens!$R$4943:$AA$4943&lt;Sens!S$4943),Sens!$R$4978:$AA$4978)/fac_life</f>
        <v>0.0202511502553155</v>
      </c>
      <c r="T4981" s="38" t="n">
        <f aca="false">SUMPRODUCT(--(Sens!$R$4943:$AA$4943&lt;Sens!T$4943),Sens!$R$4978:$AA$4978)/fac_life</f>
        <v>0.172291150255315</v>
      </c>
      <c r="U4981" s="38" t="n">
        <f aca="false">SUMPRODUCT(--(Sens!$R$4943:$AA$4943&lt;Sens!U$4943),Sens!$R$4978:$AA$4978)/fac_life</f>
        <v>0.856471150255315</v>
      </c>
      <c r="V4981" s="38" t="n">
        <f aca="false">SUMPRODUCT(--(Sens!$R$4943:$AA$4943&lt;Sens!V$4943),Sens!$R$4978:$AA$4978)/fac_life</f>
        <v>2.41307567525532</v>
      </c>
      <c r="W4981" s="38" t="n">
        <f aca="false">SUMPRODUCT(--(Sens!$R$4943:$AA$4943&lt;Sens!W$4943),Sens!$R$4978:$AA$4978)/fac_life</f>
        <v>4.71540472525532</v>
      </c>
      <c r="X4981" s="38" t="n">
        <f aca="false">SUMPRODUCT(--(Sens!$R$4943:$AA$4943&lt;Sens!X$4943),Sens!$R$4978:$AA$4978)/fac_life</f>
        <v>7.01773377525532</v>
      </c>
      <c r="Y4981" s="38" t="n">
        <f aca="false">SUMPRODUCT(--(Sens!$R$4943:$AA$4943&lt;Sens!Y$4943),Sens!$R$4978:$AA$4978)/fac_life</f>
        <v>9.32006282525532</v>
      </c>
      <c r="Z4981" s="38" t="n">
        <f aca="false">SUMPRODUCT(--(Sens!$R$4943:$AA$4943&lt;Sens!Z$4943),Sens!$R$4978:$AA$4978)/fac_life</f>
        <v>10.9487071753387</v>
      </c>
      <c r="AA4981" s="38" t="n">
        <f aca="false">SUMPRODUCT(--(Sens!$R$4943:$AA$4943&lt;Sens!AA$4943),Sens!$R$4978:$AA$4978)/fac_life</f>
        <v>11.9036668255053</v>
      </c>
    </row>
    <row r="4982" customFormat="false" ht="17.15" hidden="false" customHeight="false" outlineLevel="0" collapsed="false">
      <c r="A4982" s="1" t="s">
        <v>639</v>
      </c>
      <c r="B4982" s="8" t="s">
        <v>86</v>
      </c>
      <c r="C4982" s="38" t="n">
        <f aca="false">Sens!$C$4980+Sens!$C$4981</f>
        <v>0.203463948620839</v>
      </c>
      <c r="D4982" s="38" t="n">
        <f aca="false">Sens!$D$4980+Sens!$D$4981</f>
        <v>1.73101464862084</v>
      </c>
      <c r="E4982" s="38" t="n">
        <f aca="false">Sens!$E$4980+Sens!$E$4981</f>
        <v>4.30249639931042</v>
      </c>
      <c r="F4982" s="38" t="n">
        <f aca="false">Sens!$F$4980+Sens!$F$4981</f>
        <v>4.30249639931042</v>
      </c>
      <c r="G4982" s="38" t="n">
        <f aca="false">Sens!$G$4980+Sens!$G$4981</f>
        <v>8.60499279862084</v>
      </c>
      <c r="H4982" s="38" t="n">
        <f aca="false">Sens!$H$4980+Sens!$H$4981</f>
        <v>26.6640337718708</v>
      </c>
      <c r="I4982" s="38" t="n">
        <f aca="false">Sens!$I$4980+Sens!$I$4981</f>
        <v>54.3871601459959</v>
      </c>
      <c r="J4982" s="38" t="n">
        <f aca="false">Sens!$J$4980+Sens!$J$4981</f>
        <v>83.1228040144125</v>
      </c>
      <c r="K4982" s="38" t="n">
        <f aca="false">Sens!$K$4980+Sens!$K$4981</f>
        <v>112.548029784464</v>
      </c>
      <c r="L4982" s="38" t="n">
        <f aca="false">Sens!$L$4980+Sens!$L$4981</f>
        <v>133.245413146803</v>
      </c>
      <c r="M4982" s="38" t="n">
        <f aca="false">Sens!$M$4980+Sens!$M$4981</f>
        <v>146.829732753064</v>
      </c>
      <c r="N4982" s="38" t="n">
        <f aca="false">Sens!$N$4980+Sens!$N$4981</f>
        <v>0.865507324310419</v>
      </c>
      <c r="O4982" s="38" t="n">
        <f aca="false">Sens!$O$4980+Sens!$O$4981</f>
        <v>0.865507324310419</v>
      </c>
      <c r="R4982" s="38" t="n">
        <f aca="false">Sens!$R$4980+Sens!$R$4981</f>
        <v>0</v>
      </c>
      <c r="S4982" s="38" t="n">
        <f aca="false">Sens!$S$4980+Sens!$S$4981</f>
        <v>0.203463948620839</v>
      </c>
      <c r="T4982" s="38" t="n">
        <f aca="false">Sens!$T$4980+Sens!$T$4981</f>
        <v>1.73101464862084</v>
      </c>
      <c r="U4982" s="38" t="n">
        <f aca="false">Sens!$U$4980+Sens!$U$4981</f>
        <v>8.60499279862084</v>
      </c>
      <c r="V4982" s="38" t="n">
        <f aca="false">Sens!$V$4980+Sens!$V$4981</f>
        <v>26.6640337718708</v>
      </c>
      <c r="W4982" s="38" t="n">
        <f aca="false">Sens!$W$4980+Sens!$W$4981</f>
        <v>54.3871601459959</v>
      </c>
      <c r="X4982" s="38" t="n">
        <f aca="false">Sens!$X$4980+Sens!$X$4981</f>
        <v>83.1228040144125</v>
      </c>
      <c r="Y4982" s="38" t="n">
        <f aca="false">Sens!$Y$4980+Sens!$Y$4981</f>
        <v>112.548029784464</v>
      </c>
      <c r="Z4982" s="38" t="n">
        <f aca="false">Sens!$Z$4980+Sens!$Z$4981</f>
        <v>133.245413146803</v>
      </c>
      <c r="AA4982" s="38" t="n">
        <f aca="false">Sens!$AA$4980+Sens!$AA$4981</f>
        <v>146.829732753064</v>
      </c>
    </row>
    <row r="4983" customFormat="false" ht="17.15" hidden="false" customHeight="false" outlineLevel="0" collapsed="false">
      <c r="A4983" s="0" t="s">
        <v>640</v>
      </c>
      <c r="B4983" s="0" t="s">
        <v>86</v>
      </c>
      <c r="C4983" s="38" t="n">
        <f aca="false">Sens!$S$4983</f>
        <v>12.5947000466786</v>
      </c>
      <c r="D4983" s="38" t="n">
        <f aca="false">Sens!$T$4983</f>
        <v>61.6860742980578</v>
      </c>
      <c r="G4983" s="38" t="n">
        <f aca="false">Sens!$U$4983</f>
        <v>183.227790688937</v>
      </c>
      <c r="H4983" s="38" t="n">
        <f aca="false">Sens!$V$4983</f>
        <v>355.135121861816</v>
      </c>
      <c r="I4983" s="38" t="n">
        <f aca="false">Sens!$W$4983</f>
        <v>505.39443162632</v>
      </c>
      <c r="J4983" s="38" t="n">
        <f aca="false">Sens!$X$4983</f>
        <v>632.154865722408</v>
      </c>
      <c r="K4983" s="38" t="n">
        <f aca="false">Sens!$Y$4983</f>
        <v>674.845221213145</v>
      </c>
      <c r="L4983" s="38" t="n">
        <f aca="false">Sens!$Z$4983</f>
        <v>673.613949706244</v>
      </c>
      <c r="M4983" s="38" t="n">
        <f aca="false">Sens!$AA$4983</f>
        <v>659.015198613032</v>
      </c>
      <c r="R4983" s="38" t="n">
        <f aca="false">SUM(Sens!$R$4975:$R$4975)-SUM(Sens!$R$4982:$R$4982)</f>
        <v>1.50429979529945</v>
      </c>
      <c r="S4983" s="38" t="n">
        <f aca="false">SUM(Sens!$R$4975:$S$4975)-SUM(Sens!$R$4982:$S$4982)</f>
        <v>12.5947000466786</v>
      </c>
      <c r="T4983" s="38" t="n">
        <f aca="false">SUM(Sens!$R$4975:$T$4975)-SUM(Sens!$R$4982:$T$4982)</f>
        <v>61.6860742980578</v>
      </c>
      <c r="U4983" s="38" t="n">
        <f aca="false">SUM(Sens!$R$4975:$U$4975)-SUM(Sens!$R$4982:$U$4982)</f>
        <v>183.227790688937</v>
      </c>
      <c r="V4983" s="38" t="n">
        <f aca="false">SUM(Sens!$R$4975:$V$4975)-SUM(Sens!$R$4982:$V$4982)</f>
        <v>355.135121861816</v>
      </c>
      <c r="W4983" s="38" t="n">
        <f aca="false">SUM(Sens!$R$4975:$W$4975)-SUM(Sens!$R$4982:$W$4982)</f>
        <v>505.39443162632</v>
      </c>
      <c r="X4983" s="38" t="n">
        <f aca="false">SUM(Sens!$R$4975:$X$4975)-SUM(Sens!$R$4982:$X$4982)</f>
        <v>632.154865722408</v>
      </c>
      <c r="Y4983" s="38" t="n">
        <f aca="false">SUM(Sens!$R$4975:$Y$4975)-SUM(Sens!$R$4982:$Y$4982)</f>
        <v>674.845221213145</v>
      </c>
      <c r="Z4983" s="38" t="n">
        <f aca="false">SUM(Sens!$R$4975:$Z$4975)-SUM(Sens!$R$4982:$Z$4982)</f>
        <v>673.613949706244</v>
      </c>
      <c r="AA4983" s="38" t="n">
        <f aca="false">SUM(Sens!$R$4975:$AA$4975)-SUM(Sens!$R$4982:$AA$4982)</f>
        <v>659.015198613032</v>
      </c>
    </row>
    <row r="4984" customFormat="false" ht="17.15" hidden="false" customHeight="false" outlineLevel="0" collapsed="false">
      <c r="A4984" s="1" t="s">
        <v>641</v>
      </c>
    </row>
    <row r="4985" customFormat="false" ht="17.15" hidden="false" customHeight="false" outlineLevel="0" collapsed="false">
      <c r="A4985" s="0" t="s">
        <v>642</v>
      </c>
      <c r="B4985" s="0" t="s">
        <v>86</v>
      </c>
      <c r="C4985" s="38" t="n">
        <f aca="false">Sens!$C$4964-ext_sh*Sens!$C$4966</f>
        <v>1.80694998843362</v>
      </c>
      <c r="D4985" s="38" t="n">
        <f aca="false">Sens!$D$4964-ext_sh*Sens!$D$4966</f>
        <v>6.77606245662607</v>
      </c>
      <c r="E4985" s="38" t="n">
        <f aca="false">Sens!$E$4964-ext_sh*Sens!$E$4966</f>
        <v>6.62548329092326</v>
      </c>
      <c r="F4985" s="38" t="n">
        <f aca="false">Sens!$F$4964-ext_sh*Sens!$F$4966</f>
        <v>11.7200577158706</v>
      </c>
      <c r="G4985" s="38" t="n">
        <f aca="false">Sens!$G$4964-ext_sh*Sens!$G$4966</f>
        <v>18.3455410067939</v>
      </c>
      <c r="H4985" s="38" t="n">
        <f aca="false">Sens!$H$4964-ext_sh*Sens!$H$4966</f>
        <v>47.5171727060453</v>
      </c>
      <c r="I4985" s="38" t="n">
        <f aca="false">Sens!$I$4964-ext_sh*Sens!$I$4966</f>
        <v>80.5539692643667</v>
      </c>
      <c r="J4985" s="38" t="n">
        <f aca="false">Sens!$J$4964-ext_sh*Sens!$J$4966</f>
        <v>113.759316834883</v>
      </c>
      <c r="K4985" s="38" t="n">
        <f aca="false">Sens!$K$4964-ext_sh*Sens!$K$4966</f>
        <v>142.084411492169</v>
      </c>
      <c r="L4985" s="38" t="n">
        <f aca="false">Sens!$L$4964-ext_sh*Sens!$L$4966</f>
        <v>160.69964615804</v>
      </c>
      <c r="M4985" s="38" t="n">
        <f aca="false">Sens!$M$4964-ext_sh*Sens!$M$4966</f>
        <v>169.577607141793</v>
      </c>
      <c r="N4985" s="38" t="n">
        <f aca="false">Sens!$N$4964-ext_sh*Sens!$N$4966</f>
        <v>2.37162185981912</v>
      </c>
      <c r="O4985" s="38" t="n">
        <f aca="false">Sens!$O$4964-ext_sh*Sens!$O$4966</f>
        <v>4.40444059680694</v>
      </c>
    </row>
    <row r="4986" customFormat="false" ht="17.15" hidden="false" customHeight="false" outlineLevel="0" collapsed="false">
      <c r="A4986" s="1" t="s">
        <v>643</v>
      </c>
      <c r="B4986" s="8" t="s">
        <v>86</v>
      </c>
      <c r="C4986" s="38" t="n">
        <f aca="false">Sens!$C$4985-ext_sh*Sens!$C$4982</f>
        <v>1.64417882953695</v>
      </c>
      <c r="D4986" s="38" t="n">
        <f aca="false">Sens!$D$4985-ext_sh*Sens!$D$4982</f>
        <v>5.39125073772939</v>
      </c>
      <c r="E4986" s="38" t="n">
        <f aca="false">Sens!$E$4985-ext_sh*Sens!$E$4982</f>
        <v>3.18348617147493</v>
      </c>
      <c r="F4986" s="38" t="n">
        <f aca="false">Sens!$F$4985-ext_sh*Sens!$F$4982</f>
        <v>8.27806059642226</v>
      </c>
      <c r="G4986" s="38" t="n">
        <f aca="false">Sens!$G$4985-ext_sh*Sens!$G$4982</f>
        <v>11.4615467678972</v>
      </c>
      <c r="H4986" s="38" t="n">
        <f aca="false">Sens!$H$4985-ext_sh*Sens!$H$4982</f>
        <v>26.1859456885487</v>
      </c>
      <c r="I4986" s="38" t="n">
        <f aca="false">Sens!$I$4985-ext_sh*Sens!$I$4982</f>
        <v>37.04424114757</v>
      </c>
      <c r="J4986" s="38" t="n">
        <f aca="false">Sens!$J$4985-ext_sh*Sens!$J$4982</f>
        <v>47.2610736233534</v>
      </c>
      <c r="K4986" s="38" t="n">
        <f aca="false">Sens!$K$4985-ext_sh*Sens!$K$4982</f>
        <v>52.0459876645985</v>
      </c>
      <c r="L4986" s="38" t="n">
        <f aca="false">Sens!$L$4985-ext_sh*Sens!$L$4982</f>
        <v>54.1033156405981</v>
      </c>
      <c r="M4986" s="38" t="n">
        <f aca="false">Sens!$M$4985-ext_sh*Sens!$M$4982</f>
        <v>52.1138209393421</v>
      </c>
      <c r="N4986" s="38" t="n">
        <f aca="false">Sens!$N$4985-ext_sh*Sens!$N$4982</f>
        <v>1.67921600037079</v>
      </c>
      <c r="O4986" s="38" t="n">
        <f aca="false">Sens!$O$4985-ext_sh*Sens!$O$4982</f>
        <v>3.71203473735861</v>
      </c>
    </row>
    <row r="4987" customFormat="false" ht="17.15" hidden="false" customHeight="false" outlineLevel="0" collapsed="false">
      <c r="A4987" s="0" t="s">
        <v>644</v>
      </c>
      <c r="B4987" s="0" t="s">
        <v>52</v>
      </c>
      <c r="C4987" s="13" t="n">
        <f aca="false">Sens!$C$4986/Sens!$C$4964</f>
        <v>0.708390794789371</v>
      </c>
      <c r="D4987" s="13" t="n">
        <f aca="false">Sens!$D$4986/Sens!$D$4964</f>
        <v>0.619415573115729</v>
      </c>
      <c r="E4987" s="13" t="n">
        <f aca="false">Sens!$E$4986/Sens!$E$4964</f>
        <v>0.374072166056273</v>
      </c>
      <c r="F4987" s="13" t="n">
        <f aca="false">Sens!$F$4986/Sens!$F$4964</f>
        <v>0.553219320710057</v>
      </c>
      <c r="G4987" s="13" t="n">
        <f aca="false">Sens!$G$4986/Sens!$G$4964</f>
        <v>0.488270041527512</v>
      </c>
      <c r="H4987" s="13" t="n">
        <f aca="false">Sens!$H$4986/Sens!$H$4964</f>
        <v>0.435229086816882</v>
      </c>
      <c r="I4987" s="13" t="n">
        <f aca="false">Sens!$I$4986/Sens!$I$4964</f>
        <v>0.364954592421095</v>
      </c>
      <c r="J4987" s="13" t="n">
        <f aca="false">Sens!$J$4986/Sens!$J$4964</f>
        <v>0.330438308582232</v>
      </c>
      <c r="K4987" s="13" t="n">
        <f aca="false">Sens!$K$4986/Sens!$K$4964</f>
        <v>0.2916589289528</v>
      </c>
      <c r="L4987" s="13" t="n">
        <f aca="false">Sens!$L$4986/Sens!$L$4964</f>
        <v>0.268199200593258</v>
      </c>
      <c r="M4987" s="13" t="n">
        <f aca="false">Sens!$M$4986/Sens!$M$4964</f>
        <v>0.244854995033574</v>
      </c>
      <c r="N4987" s="13" t="n">
        <f aca="false">Sens!$N$4986/Sens!$N$4964</f>
        <v>0.551227795793364</v>
      </c>
      <c r="O4987" s="13" t="n">
        <f aca="false">Sens!$O$4986/Sens!$O$4964</f>
        <v>0.656132068597002</v>
      </c>
    </row>
    <row r="4988" customFormat="false" ht="17.15" hidden="false" customHeight="false" outlineLevel="0" collapsed="false">
      <c r="A4988" s="5" t="s">
        <v>645</v>
      </c>
      <c r="B4988" s="0" t="s">
        <v>86</v>
      </c>
      <c r="C4988" s="39" t="n">
        <v>0</v>
      </c>
      <c r="D4988" s="39" t="n">
        <v>0</v>
      </c>
      <c r="E4988" s="39" t="n">
        <v>0</v>
      </c>
      <c r="F4988" s="38" t="n">
        <f aca="false">IF(internal_ai_reading=2,1,0)*(1-ext_sh)/ext_sh*(mw_open*he_open+Sens!$F$4962*Sens!$F$4959)*Sens!$F$4948/1000</f>
        <v>3.77122048175818</v>
      </c>
      <c r="G4988" s="38" t="n">
        <f aca="false">Sens!$E$4988+Sens!$F$4988</f>
        <v>3.77122048175818</v>
      </c>
      <c r="H4988" s="38" t="n">
        <f aca="false">IF(internal_ai_reading=2,1,0)*(1-ext_sh)/ext_sh*(mw_open*he_open+Sens!$H$4962*Sens!$H$4959)*Sens!$H$4948/1000</f>
        <v>15.1635543609893</v>
      </c>
      <c r="I4988" s="38" t="n">
        <f aca="false">IF(internal_ai_reading=2,1,0)*(1-ext_sh)/ext_sh*(mw_open*he_open+Sens!$I$4962*Sens!$I$4959)*Sens!$I$4948/1000</f>
        <v>25.5818843619889</v>
      </c>
      <c r="J4988" s="38" t="n">
        <f aca="false">IF(internal_ai_reading=2,1,0)*(1-ext_sh)/ext_sh*(mw_open*he_open+Sens!$J$4962*Sens!$J$4959)*Sens!$J$4948/1000</f>
        <v>36.0465624179122</v>
      </c>
      <c r="K4988" s="38" t="n">
        <f aca="false">IF(internal_ai_reading=2,1,0)*(1-ext_sh)/ext_sh*(mw_open*he_open+Sens!$K$4962*Sens!$K$4959)*Sens!$K$4948/1000</f>
        <v>44.9741164026038</v>
      </c>
      <c r="L4988" s="38" t="n">
        <f aca="false">IF(internal_ai_reading=2,1,0)*(1-ext_sh)/ext_sh*(mw_open*he_open+Sens!$L$4962*Sens!$L$4959)*Sens!$L$4948/1000</f>
        <v>50.8413488057813</v>
      </c>
      <c r="M4988" s="38" t="n">
        <f aca="false">IF(internal_ai_reading=2,1,0)*(1-ext_sh)/ext_sh*(mw_open*he_open+Sens!$M$4962*Sens!$M$4959)*Sens!$M$4948/1000</f>
        <v>53.6407214274315</v>
      </c>
      <c r="N4988" s="39" t="n">
        <v>0</v>
      </c>
      <c r="O4988" s="39" t="n">
        <v>0</v>
      </c>
      <c r="P4988" s="8" t="s">
        <v>646</v>
      </c>
    </row>
    <row r="4989" customFormat="false" ht="17.15" hidden="false" customHeight="false" outlineLevel="0" collapsed="false">
      <c r="A4989" s="5" t="s">
        <v>647</v>
      </c>
      <c r="B4989" s="0" t="s">
        <v>86</v>
      </c>
      <c r="C4989" s="38" t="n">
        <f aca="false">(1-ext_sh)*(Sens!$C$4966+Sens!$C$4982)</f>
        <v>0.169206631859174</v>
      </c>
      <c r="D4989" s="38" t="n">
        <f aca="false">(1-ext_sh)*(Sens!$D$4966+Sens!$D$4982)</f>
        <v>0.828129837730442</v>
      </c>
      <c r="E4989" s="38" t="n">
        <f aca="false">(1-ext_sh)*(Sens!$E$4966+Sens!$E$4982)</f>
        <v>1.33171670102377</v>
      </c>
      <c r="F4989" s="38" t="n">
        <f aca="false">(1-ext_sh)*(Sens!$F$4966+Sens!$F$4982)</f>
        <v>1.67134326207455</v>
      </c>
      <c r="G4989" s="38" t="n">
        <f aca="false">(1-ext_sh)*(Sens!$G$4966+Sens!$G$4982)</f>
        <v>3.00305996309832</v>
      </c>
      <c r="H4989" s="38" t="n">
        <f aca="false">(1-ext_sh)*(Sens!$H$4966+Sens!$H$4982)</f>
        <v>8.49498626530648</v>
      </c>
      <c r="I4989" s="38" t="n">
        <f aca="false">(1-ext_sh)*(Sens!$I$4966+Sens!$I$4982)</f>
        <v>16.1148644972155</v>
      </c>
      <c r="J4989" s="38" t="n">
        <f aca="false">(1-ext_sh)*(Sens!$J$4966+Sens!$J$4982)</f>
        <v>23.9410833819812</v>
      </c>
      <c r="K4989" s="38" t="n">
        <f aca="false">(1-ext_sh)*(Sens!$K$4966+Sens!$K$4982)</f>
        <v>31.6005331796453</v>
      </c>
      <c r="L4989" s="38" t="n">
        <f aca="false">(1-ext_sh)*(Sens!$L$4966+Sens!$L$4982)</f>
        <v>36.9061965404496</v>
      </c>
      <c r="M4989" s="38" t="n">
        <f aca="false">(1-ext_sh)*(Sens!$M$4966+Sens!$M$4982)</f>
        <v>40.1804051073808</v>
      </c>
      <c r="N4989" s="38" t="n">
        <f aca="false">(1-ext_sh)*(Sens!$N$4966+Sens!$N$4982)</f>
        <v>0.34177588266428</v>
      </c>
      <c r="O4989" s="38" t="n">
        <f aca="false">(1-ext_sh)*(Sens!$O$4966+Sens!$O$4982)</f>
        <v>0.486353955066162</v>
      </c>
    </row>
    <row r="4990" customFormat="false" ht="17.15" hidden="false" customHeight="false" outlineLevel="0" collapsed="false">
      <c r="A4990" s="0" t="s">
        <v>648</v>
      </c>
      <c r="B4990" s="0" t="s">
        <v>86</v>
      </c>
      <c r="C4990" s="38" t="n">
        <f aca="false">Q!$D$24</f>
        <v>39.834</v>
      </c>
      <c r="D4990" s="38" t="n">
        <f aca="false">Q!$E$24</f>
        <v>45.606</v>
      </c>
      <c r="E4990" s="38" t="n">
        <f aca="false">Q!$P$24</f>
        <v>30.782</v>
      </c>
      <c r="N4990" s="38" t="n">
        <f aca="false">Q!$N$24</f>
        <v>21.707</v>
      </c>
      <c r="O4990" s="38" t="n">
        <f aca="false">Q!$O$24</f>
        <v>23.899</v>
      </c>
    </row>
    <row r="4991" customFormat="false" ht="17.15" hidden="false" customHeight="false" outlineLevel="0" collapsed="false">
      <c r="A4991" s="0" t="s">
        <v>649</v>
      </c>
      <c r="B4991" s="0" t="s">
        <v>86</v>
      </c>
      <c r="C4991" s="38" t="n">
        <f aca="false">Sens!$C$4990-Sens!$C$4986</f>
        <v>38.1898211704631</v>
      </c>
      <c r="D4991" s="38" t="n">
        <f aca="false">Sens!$D$4990-Sens!$D$4986</f>
        <v>40.2147492622706</v>
      </c>
      <c r="E4991" s="38" t="n">
        <f aca="false">Sens!$E$4990-Sens!$E$4986</f>
        <v>27.5985138285251</v>
      </c>
      <c r="F4991" s="38" t="n">
        <f aca="false">Sens!$F$4968*Sens!$F$4992</f>
        <v>25.5484769754606</v>
      </c>
      <c r="G4991" s="38" t="n">
        <f aca="false">Sens!$E$4991+Sens!$F$4991</f>
        <v>53.1469908039857</v>
      </c>
      <c r="H4991" s="38" t="n">
        <f aca="false">Sens!$H$4968*Sens!$H$4992</f>
        <v>57.3189525076539</v>
      </c>
      <c r="I4991" s="38" t="n">
        <f aca="false">Sens!$I$4968*Sens!$I$4992</f>
        <v>63.6385627021087</v>
      </c>
      <c r="J4991" s="38" t="n">
        <f aca="false">Sens!$J$4968*Sens!$J$4992</f>
        <v>69.6922896066105</v>
      </c>
      <c r="K4991" s="38" t="n">
        <f aca="false">Sens!$K$4968*Sens!$K$4992</f>
        <v>75.2676727751394</v>
      </c>
      <c r="L4991" s="38" t="n">
        <f aca="false">Sens!$L$4968*Sens!$L$4992</f>
        <v>81.2890865971505</v>
      </c>
      <c r="M4991" s="38" t="n">
        <f aca="false">Sens!$M$4968*Sens!$M$4992</f>
        <v>87.7922135249226</v>
      </c>
      <c r="N4991" s="38" t="n">
        <f aca="false">Sens!$N$4990-Sens!$N$4986</f>
        <v>20.0277839996292</v>
      </c>
      <c r="O4991" s="38" t="n">
        <f aca="false">Sens!$O$4990-Sens!$O$4986</f>
        <v>20.1869652626414</v>
      </c>
      <c r="P4991" s="5" t="s">
        <v>650</v>
      </c>
    </row>
    <row r="4992" customFormat="false" ht="17.15" hidden="false" customHeight="false" outlineLevel="0" collapsed="false">
      <c r="A4992" s="0" t="s">
        <v>651</v>
      </c>
      <c r="B4992" s="0" t="s">
        <v>52</v>
      </c>
      <c r="C4992" s="13" t="n">
        <f aca="false">Sens!$C$4991/Sens!$C$4968</f>
        <v>0.362900395443635</v>
      </c>
      <c r="D4992" s="13" t="n">
        <f aca="false">Sens!$D$4991/Sens!$D$4968</f>
        <v>0.335063632425483</v>
      </c>
      <c r="E4992" s="13" t="n">
        <f aca="false">Sens!$E$4991/Sens!$E$4968</f>
        <v>0.387028992698038</v>
      </c>
      <c r="F4992" s="13" t="n">
        <f aca="false">(Sens!$O$4991+Sens!$E$4991)/(Sens!$O$4968+Sens!$E$4968)</f>
        <v>0.355980580118587</v>
      </c>
      <c r="G4992" s="13" t="n">
        <f aca="false">Sens!$G$4991/Sens!$G$4968</f>
        <v>0.371454804780916</v>
      </c>
      <c r="H4992" s="13" t="n">
        <f aca="false">Sens!$F$4992</f>
        <v>0.355980580118587</v>
      </c>
      <c r="I4992" s="13" t="n">
        <f aca="false">Sens!$F$4992</f>
        <v>0.355980580118587</v>
      </c>
      <c r="J4992" s="13" t="n">
        <f aca="false">Sens!$F$4992</f>
        <v>0.355980580118587</v>
      </c>
      <c r="K4992" s="13" t="n">
        <f aca="false">Sens!$F$4992</f>
        <v>0.355980580118587</v>
      </c>
      <c r="L4992" s="13" t="n">
        <f aca="false">Sens!$F$4992</f>
        <v>0.355980580118587</v>
      </c>
      <c r="M4992" s="13" t="n">
        <f aca="false">Sens!$F$4992</f>
        <v>0.355980580118587</v>
      </c>
      <c r="N4992" s="13" t="n">
        <f aca="false">Sens!$N$4991/Sens!$N$4968</f>
        <v>0.35078810535806</v>
      </c>
      <c r="O4992" s="13" t="n">
        <f aca="false">Sens!$O$4991/Sens!$O$4968</f>
        <v>0.320796939361619</v>
      </c>
      <c r="P4992" s="8" t="s">
        <v>652</v>
      </c>
    </row>
    <row r="4993" customFormat="false" ht="17.15" hidden="false" customHeight="false" outlineLevel="0" collapsed="false">
      <c r="A4993" s="0" t="s">
        <v>653</v>
      </c>
      <c r="B4993" s="0" t="s">
        <v>52</v>
      </c>
      <c r="D4993" s="13" t="n">
        <f aca="false">(Q!$E$31-ext_sh*Sens!$D$4982)/Sens!$D$4968</f>
        <v>0.167180325480118</v>
      </c>
    </row>
    <row r="4994" customFormat="false" ht="17.15" hidden="false" customHeight="false" outlineLevel="0" collapsed="false">
      <c r="A4994" s="0" t="s">
        <v>654</v>
      </c>
      <c r="B4994" s="0" t="s">
        <v>86</v>
      </c>
      <c r="C4994" s="38" t="n">
        <f aca="false">Q!$D$31</f>
        <v>13.32</v>
      </c>
      <c r="D4994" s="38" t="n">
        <f aca="false">Q!$E$31</f>
        <v>21.45</v>
      </c>
      <c r="E4994" s="38" t="n">
        <f aca="false">Q!$P$31</f>
        <v>15.353</v>
      </c>
      <c r="F4994" s="38" t="n">
        <f aca="false">ext_sh*Sens!$F$4982+Sens!$D$4993*Sens!$F$4968</f>
        <v>15.4404120185306</v>
      </c>
      <c r="G4994" s="38" t="n">
        <f aca="false">Sens!$E$4994+Sens!$F$4994</f>
        <v>30.7934120185306</v>
      </c>
      <c r="H4994" s="38" t="n">
        <f aca="false">ext_sh*Sens!$H$4982+Sens!$D$4993*Sens!$H$4968</f>
        <v>48.250114371455</v>
      </c>
      <c r="I4994" s="38" t="n">
        <f aca="false">ext_sh*Sens!$I$4982+Sens!$D$4993*Sens!$I$4968</f>
        <v>73.3965146995963</v>
      </c>
      <c r="J4994" s="38" t="n">
        <f aca="false">ext_sh*Sens!$J$4982+Sens!$D$4993*Sens!$J$4968</f>
        <v>99.22806138309</v>
      </c>
      <c r="K4994" s="38" t="n">
        <f aca="false">ext_sh*Sens!$K$4982+Sens!$D$4993*Sens!$K$4968</f>
        <v>125.386627452856</v>
      </c>
      <c r="L4994" s="38" t="n">
        <f aca="false">ext_sh*Sens!$L$4982+Sens!$D$4993*Sens!$L$4968</f>
        <v>144.77239043275</v>
      </c>
      <c r="M4994" s="38" t="n">
        <f aca="false">ext_sh*Sens!$M$4982+Sens!$D$4993*Sens!$M$4968</f>
        <v>158.693930910983</v>
      </c>
      <c r="N4994" s="38" t="n">
        <f aca="false">Q!$N$31</f>
        <v>9.234</v>
      </c>
      <c r="O4994" s="38" t="n">
        <f aca="false">Q!$O$31</f>
        <v>12.216</v>
      </c>
    </row>
    <row r="4995" customFormat="false" ht="17.15" hidden="false" customHeight="false" outlineLevel="0" collapsed="false">
      <c r="A4995" s="1" t="s">
        <v>655</v>
      </c>
    </row>
    <row r="4996" customFormat="false" ht="17.15" hidden="false" customHeight="false" outlineLevel="0" collapsed="false">
      <c r="A4996" s="15" t="s">
        <v>656</v>
      </c>
      <c r="B4996" s="14" t="s">
        <v>52</v>
      </c>
      <c r="C4996" s="14"/>
      <c r="D4996" s="14"/>
      <c r="E4996" s="14"/>
      <c r="F4996" s="14"/>
      <c r="G4996" s="17" t="n">
        <f aca="false">Sens!$G$4986*(1-tax)/(ext_sh*(Sens!$D$4983+Sens!$G$4983)/2)</f>
        <v>0.0966870495301478</v>
      </c>
      <c r="H4996" s="17" t="n">
        <f aca="false">Sens!$H$4986*(1-tax)/(ext_sh*(Sens!$G$4983+Sens!$H$4983)/2)</f>
        <v>0.100492020334136</v>
      </c>
      <c r="I4996" s="17" t="n">
        <f aca="false">Sens!$I$4986*(1-tax)/(ext_sh*(Sens!$H$4983+Sens!$I$4983)/2)</f>
        <v>0.0889392292218236</v>
      </c>
      <c r="J4996" s="17" t="n">
        <f aca="false">Sens!$J$4986*(1-tax)/(ext_sh*(Sens!$I$4983+Sens!$J$4983)/2)</f>
        <v>0.0858364613777012</v>
      </c>
      <c r="K4996" s="17" t="n">
        <f aca="false">Sens!$K$4986*(1-tax)/(ext_sh*(Sens!$J$4983+Sens!$K$4983)/2)</f>
        <v>0.08227162714687</v>
      </c>
      <c r="L4996" s="17" t="n">
        <f aca="false">Sens!$L$4986*(1-tax)/(ext_sh*(Sens!$K$4983+Sens!$L$4983)/2)</f>
        <v>0.0828942732763872</v>
      </c>
      <c r="M4996" s="17" t="n">
        <f aca="false">Sens!$M$4986*(1-tax)/(ext_sh*(Sens!$L$4983+Sens!$M$4983)/2)</f>
        <v>0.0807945482347635</v>
      </c>
      <c r="N4996" s="14"/>
      <c r="O4996" s="14"/>
      <c r="P4996" s="8" t="s">
        <v>657</v>
      </c>
    </row>
    <row r="4997" customFormat="false" ht="17.15" hidden="false" customHeight="false" outlineLevel="0" collapsed="false">
      <c r="A4997" s="5" t="s">
        <v>658</v>
      </c>
      <c r="B4997" s="0" t="s">
        <v>57</v>
      </c>
      <c r="H4997" s="36" t="n">
        <f aca="false">Sens!$H$4964*1000/(mw_open*he_open+Sens!$H$4962*Sens!$H$4959)</f>
        <v>0.991949006767191</v>
      </c>
      <c r="I4997" s="36" t="n">
        <f aca="false">Sens!$I$4964*1000/(mw_open*he_open+Sens!$I$4962*Sens!$I$4959)</f>
        <v>0.991949006767191</v>
      </c>
      <c r="J4997" s="36" t="n">
        <f aca="false">Sens!$J$4964*1000/(mw_open*he_open+Sens!$J$4962*Sens!$J$4959)</f>
        <v>0.991949006767191</v>
      </c>
      <c r="K4997" s="36" t="n">
        <f aca="false">Sens!$K$4964*1000/(mw_open*he_open+Sens!$K$4962*Sens!$K$4959)</f>
        <v>0.991949006767191</v>
      </c>
      <c r="L4997" s="36" t="n">
        <f aca="false">Sens!$L$4964*1000/(mw_open*he_open+Sens!$L$4962*Sens!$L$4959)</f>
        <v>0.991949006767191</v>
      </c>
      <c r="M4997" s="36" t="n">
        <f aca="false">Sens!$M$4964*1000/(mw_open*he_open+Sens!$M$4962*Sens!$M$4959)</f>
        <v>0.991949006767191</v>
      </c>
    </row>
    <row r="4998" customFormat="false" ht="17.15" hidden="false" customHeight="false" outlineLevel="0" collapsed="false">
      <c r="A4998" s="5" t="s">
        <v>659</v>
      </c>
      <c r="B4998" s="0" t="s">
        <v>57</v>
      </c>
      <c r="H4998" s="36" t="n">
        <f aca="false">Sens!$H$4997*(Sens!$H$4964+(wacc-0.01)*ext_sh*(Sens!$G$4983+Sens!$H$4983)/2/(1-tax)-Sens!$H$4986)/Sens!$H$4964</f>
        <v>1.00400133234511</v>
      </c>
      <c r="I4998" s="36" t="n">
        <f aca="false">Sens!$I$4997*(Sens!$I$4964+(wacc-0.01)*ext_sh*(Sens!$H$4983+Sens!$I$4983)/2/(1-tax)-Sens!$I$4986)/Sens!$I$4964</f>
        <v>1.05039229226163</v>
      </c>
      <c r="J4998" s="36" t="n">
        <f aca="false">Sens!$J$4997*(Sens!$J$4964+(wacc-0.01)*ext_sh*(Sens!$I$4983+Sens!$J$4983)/2/(1-tax)-Sens!$J$4986)/Sens!$J$4964</f>
        <v>1.05862601187152</v>
      </c>
      <c r="K4998" s="36" t="n">
        <f aca="false">Sens!$K$4997*(Sens!$K$4964+(wacc-0.01)*ext_sh*(Sens!$J$4983+Sens!$K$4983)/2/(1-tax)-Sens!$K$4986)/Sens!$K$4964</f>
        <v>1.06588688368778</v>
      </c>
      <c r="L4998" s="36" t="n">
        <f aca="false">Sens!$L$4997*(Sens!$L$4964+(wacc-0.01)*ext_sh*(Sens!$K$4983+Sens!$L$4983)/2/(1-tax)-Sens!$L$4986)/Sens!$L$4964</f>
        <v>1.05743064100385</v>
      </c>
      <c r="M4998" s="36" t="n">
        <f aca="false">Sens!$M$4997*(Sens!$M$4964+(wacc-0.01)*ext_sh*(Sens!$L$4983+Sens!$M$4983)/2/(1-tax)-Sens!$M$4986)/Sens!$M$4964</f>
        <v>1.05959689710889</v>
      </c>
    </row>
    <row r="4999" customFormat="false" ht="17.15" hidden="false" customHeight="false" outlineLevel="0" collapsed="false">
      <c r="A4999" s="5" t="s">
        <v>660</v>
      </c>
      <c r="B4999" s="0" t="s">
        <v>52</v>
      </c>
      <c r="C4999" s="13" t="n">
        <f aca="false">Sens!$C$4965/tk_pq</f>
        <v>0.195316432429398</v>
      </c>
      <c r="D4999" s="13" t="n">
        <f aca="false">Sens!$D$4965/tk_pq</f>
        <v>0.195316432429398</v>
      </c>
      <c r="E4999" s="13" t="n">
        <f aca="false">Sens!$E$4965/tk_pq</f>
        <v>0.195316432429398</v>
      </c>
      <c r="F4999" s="13" t="n">
        <f aca="false">Sens!$F$4965/tk_pq</f>
        <v>0.202241827274866</v>
      </c>
      <c r="G4999" s="13" t="n">
        <f aca="false">Sens!$G$4965/tk_pq</f>
        <v>0.199675016194063</v>
      </c>
      <c r="H4999" s="13" t="n">
        <f aca="false">Sens!$H$4965/tk_pq</f>
        <v>0.212647947710325</v>
      </c>
      <c r="I4999" s="13" t="n">
        <f aca="false">Sens!$I$4965/tk_pq</f>
        <v>0.219285125475351</v>
      </c>
      <c r="J4999" s="13" t="n">
        <f aca="false">Sens!$J$4965/tk_pq</f>
        <v>0.222492493217189</v>
      </c>
      <c r="K4999" s="13" t="n">
        <f aca="false">Sens!$K$4965/tk_pq</f>
        <v>0.224053502812094</v>
      </c>
      <c r="L4999" s="13" t="n">
        <f aca="false">Sens!$L$4965/tk_pq</f>
        <v>0.224786916785614</v>
      </c>
      <c r="M4999" s="13" t="n">
        <f aca="false">Sens!$M$4965/tk_pq</f>
        <v>0.225048671566937</v>
      </c>
      <c r="N4999" s="13" t="n">
        <f aca="false">Sens!$N$4965/tk_pq</f>
        <v>0.195316432429398</v>
      </c>
      <c r="O4999" s="13" t="n">
        <f aca="false">Sens!$O$4965/tk_pq</f>
        <v>0.195316432429398</v>
      </c>
      <c r="P4999" s="5" t="s">
        <v>661</v>
      </c>
    </row>
    <row r="5002" customFormat="false" ht="17.15" hidden="false" customHeight="false" outlineLevel="0" collapsed="false">
      <c r="A5002" s="1" t="s">
        <v>690</v>
      </c>
    </row>
    <row r="5003" customFormat="false" ht="17.15" hidden="false" customHeight="false" outlineLevel="0" collapsed="false">
      <c r="A5003" s="0" t="s">
        <v>691</v>
      </c>
      <c r="B5003" s="0" t="s">
        <v>86</v>
      </c>
      <c r="C5003" s="38" t="n">
        <f aca="false">Sens!$C$4964</f>
        <v>2.32100535697364</v>
      </c>
      <c r="D5003" s="38" t="n">
        <f aca="false">Sens!$D$4964</f>
        <v>8.70377008865116</v>
      </c>
      <c r="E5003" s="38" t="n">
        <f aca="false">Sens!$E$4964</f>
        <v>8.51035297557002</v>
      </c>
      <c r="F5003" s="38" t="n">
        <f aca="false">Sens!$F$4964</f>
        <v>14.9634336447205</v>
      </c>
      <c r="G5003" s="38" t="n">
        <f aca="false">Sens!$G$4964</f>
        <v>23.4737866202905</v>
      </c>
      <c r="H5003" s="38" t="n">
        <f aca="false">Sens!$H$4964</f>
        <v>60.1658907497746</v>
      </c>
      <c r="I5003" s="38" t="n">
        <f aca="false">Sens!$I$4964</f>
        <v>101.503699136432</v>
      </c>
      <c r="J5003" s="38" t="n">
        <f aca="false">Sens!$J$4964</f>
        <v>143.025407151278</v>
      </c>
      <c r="K5003" s="38" t="n">
        <f aca="false">Sens!$K$4964</f>
        <v>178.44812038318</v>
      </c>
      <c r="L5003" s="38" t="n">
        <f aca="false">Sens!$L$4964</f>
        <v>201.728101802396</v>
      </c>
      <c r="M5003" s="38" t="n">
        <f aca="false">Sens!$M$4964</f>
        <v>212.835441368865</v>
      </c>
      <c r="N5003" s="38" t="n">
        <f aca="false">Sens!$N$4964</f>
        <v>3.04631953102791</v>
      </c>
      <c r="O5003" s="38" t="n">
        <f aca="false">Sens!$O$4964</f>
        <v>5.65745055762326</v>
      </c>
      <c r="P5003" s="8" t="s">
        <v>692</v>
      </c>
    </row>
    <row r="5004" customFormat="false" ht="17.15" hidden="false" customHeight="false" outlineLevel="0" collapsed="false">
      <c r="A5004" s="0" t="s">
        <v>693</v>
      </c>
      <c r="B5004" s="0" t="s">
        <v>86</v>
      </c>
      <c r="C5004" s="38" t="n">
        <f aca="false">Sens!$C$4968</f>
        <v>105.234994643026</v>
      </c>
      <c r="D5004" s="38" t="n">
        <f aca="false">Sens!$D$4968</f>
        <v>120.021229911349</v>
      </c>
      <c r="E5004" s="38" t="n">
        <f aca="false">Sens!$E$4968</f>
        <v>71.30864702443</v>
      </c>
      <c r="F5004" s="38" t="n">
        <f aca="false">Sens!$F$4968</f>
        <v>71.7692997942464</v>
      </c>
      <c r="G5004" s="38" t="n">
        <f aca="false">Sens!$G$4968</f>
        <v>143.077946818676</v>
      </c>
      <c r="H5004" s="38" t="n">
        <f aca="false">Sens!$H$4968</f>
        <v>161.017077079203</v>
      </c>
      <c r="I5004" s="38" t="n">
        <f aca="false">Sens!$I$4968</f>
        <v>178.769759521457</v>
      </c>
      <c r="J5004" s="38" t="n">
        <f aca="false">Sens!$J$4968</f>
        <v>195.775538045907</v>
      </c>
      <c r="K5004" s="38" t="n">
        <f aca="false">Sens!$K$4968</f>
        <v>211.43758108958</v>
      </c>
      <c r="L5004" s="38" t="n">
        <f aca="false">Sens!$L$4968</f>
        <v>228.352587576746</v>
      </c>
      <c r="M5004" s="38" t="n">
        <f aca="false">Sens!$M$4968</f>
        <v>246.620794582886</v>
      </c>
      <c r="N5004" s="38" t="n">
        <f aca="false">Sens!$N$4968</f>
        <v>57.0936804689721</v>
      </c>
      <c r="O5004" s="38" t="n">
        <f aca="false">Sens!$O$4968</f>
        <v>62.9275494423768</v>
      </c>
      <c r="P5004" s="8" t="s">
        <v>692</v>
      </c>
    </row>
    <row r="5005" customFormat="false" ht="17.15" hidden="false" customHeight="false" outlineLevel="0" collapsed="false">
      <c r="A5005" s="1" t="s">
        <v>516</v>
      </c>
      <c r="B5005" s="8" t="s">
        <v>86</v>
      </c>
      <c r="C5005" s="38" t="n">
        <f aca="false">Q!$D$7</f>
        <v>107.556</v>
      </c>
      <c r="D5005" s="38" t="n">
        <f aca="false">Q!$E$7</f>
        <v>128.725</v>
      </c>
      <c r="E5005" s="38" t="n">
        <f aca="false">Q!$P$7</f>
        <v>79.819</v>
      </c>
      <c r="F5005" s="38" t="n">
        <f aca="false">Sens!$F$5003+Sens!$F$5004</f>
        <v>86.7327334389669</v>
      </c>
      <c r="G5005" s="38" t="n">
        <f aca="false">Sens!$G$5003+Sens!$G$5004</f>
        <v>166.551733438967</v>
      </c>
      <c r="H5005" s="38" t="n">
        <f aca="false">Sens!$H$5003+Sens!$H$5004</f>
        <v>221.182967828978</v>
      </c>
      <c r="I5005" s="38" t="n">
        <f aca="false">Sens!$I$5003+Sens!$I$5004</f>
        <v>280.27345865789</v>
      </c>
      <c r="J5005" s="38" t="n">
        <f aca="false">Sens!$J$5003+Sens!$J$5004</f>
        <v>338.800945197185</v>
      </c>
      <c r="K5005" s="38" t="n">
        <f aca="false">Sens!$K$5003+Sens!$K$5004</f>
        <v>389.88570147276</v>
      </c>
      <c r="L5005" s="38" t="n">
        <f aca="false">Sens!$L$5003+Sens!$L$5004</f>
        <v>430.080689379143</v>
      </c>
      <c r="M5005" s="38" t="n">
        <f aca="false">Sens!$M$5003+Sens!$M$5004</f>
        <v>459.456235951751</v>
      </c>
      <c r="N5005" s="38" t="n">
        <f aca="false">Q!$N$7</f>
        <v>60.14</v>
      </c>
      <c r="O5005" s="38" t="n">
        <f aca="false">Q!$O$7</f>
        <v>68.585</v>
      </c>
      <c r="P5005" s="5" t="s">
        <v>694</v>
      </c>
    </row>
    <row r="5006" customFormat="false" ht="15" hidden="false" customHeight="false" outlineLevel="0" collapsed="false">
      <c r="A5006" s="3" t="s">
        <v>695</v>
      </c>
      <c r="B5006" s="8" t="s">
        <v>86</v>
      </c>
      <c r="C5006" s="38" t="n">
        <f aca="false">Q!$D$8</f>
        <v>637.959</v>
      </c>
      <c r="D5006" s="38" t="n">
        <f aca="false">Q!$E$8</f>
        <v>716.924</v>
      </c>
      <c r="E5006" s="38" t="n">
        <f aca="false">Q!$P$8</f>
        <v>382.125</v>
      </c>
      <c r="F5006" s="38" t="n">
        <f aca="false">Sens!$F$4936+Sens!$F$5005</f>
        <v>435.780975084504</v>
      </c>
      <c r="G5006" s="38" t="n">
        <f aca="false">Sens!$G$4936+Sens!$G$5005</f>
        <v>817.905975084504</v>
      </c>
      <c r="H5006" s="38" t="n">
        <f aca="false">Sens!$H$4936+Sens!$H$5005</f>
        <v>942.279857350364</v>
      </c>
      <c r="I5006" s="38" t="n">
        <f aca="false">Sens!$I$4936+Sens!$I$5005</f>
        <v>1068.80284981042</v>
      </c>
      <c r="J5006" s="38" t="n">
        <f aca="false">Sens!$J$4936+Sens!$J$5005</f>
        <v>1189.90935093863</v>
      </c>
      <c r="K5006" s="38" t="n">
        <f aca="false">Sens!$K$4936+Sens!$K$5005</f>
        <v>1296.06215690385</v>
      </c>
      <c r="L5006" s="38" t="n">
        <f aca="false">Sens!$L$4936+Sens!$L$5005</f>
        <v>1395.17379585473</v>
      </c>
      <c r="M5006" s="38" t="n">
        <f aca="false">Sens!$M$4936+Sens!$M$5005</f>
        <v>1487.60414389864</v>
      </c>
      <c r="N5006" s="38" t="n">
        <f aca="false">Q!$N$8</f>
        <v>323.369</v>
      </c>
      <c r="O5006" s="38" t="n">
        <f aca="false">Q!$O$8</f>
        <v>393.555</v>
      </c>
    </row>
    <row r="5007" customFormat="false" ht="17.15" hidden="false" customHeight="false" outlineLevel="0" collapsed="false">
      <c r="A5007" s="24" t="s">
        <v>703</v>
      </c>
      <c r="B5007" s="25" t="s">
        <v>86</v>
      </c>
      <c r="C5007" s="41" t="n">
        <f aca="false">Sens!$C$4936-(Sens!$C$4938+Sens!$C$4939)</f>
        <v>0</v>
      </c>
      <c r="D5007" s="41" t="n">
        <f aca="false">Sens!$D$4936-(Sens!$D$4938+Sens!$D$4939)</f>
        <v>0</v>
      </c>
      <c r="E5007" s="41" t="n">
        <f aca="false">Sens!$E$4936-(Sens!$E$4938+Sens!$E$4939)</f>
        <v>0</v>
      </c>
      <c r="F5007" s="41" t="n">
        <f aca="false">Sens!$F$4936-(Sens!$F$4938+Sens!$F$4939)</f>
        <v>0</v>
      </c>
      <c r="G5007" s="41" t="n">
        <f aca="false">Sens!$G$4936-(Sens!$G$4938+Sens!$G$4939)</f>
        <v>0</v>
      </c>
      <c r="H5007" s="41" t="n">
        <f aca="false">Sens!$H$4936-(Sens!$H$4938+Sens!$H$4939)</f>
        <v>0</v>
      </c>
      <c r="I5007" s="41" t="n">
        <f aca="false">Sens!$I$4936-(Sens!$I$4938+Sens!$I$4939)</f>
        <v>0</v>
      </c>
      <c r="J5007" s="41" t="n">
        <f aca="false">Sens!$J$4936-(Sens!$J$4938+Sens!$J$4939)</f>
        <v>0</v>
      </c>
      <c r="K5007" s="41" t="n">
        <f aca="false">Sens!$K$4936-(Sens!$K$4938+Sens!$K$4939)</f>
        <v>0</v>
      </c>
      <c r="L5007" s="41" t="n">
        <f aca="false">Sens!$L$4936-(Sens!$L$4938+Sens!$L$4939)</f>
        <v>0</v>
      </c>
      <c r="M5007" s="41" t="n">
        <f aca="false">Sens!$M$4936-(Sens!$M$4938+Sens!$M$4939)</f>
        <v>0</v>
      </c>
      <c r="N5007" s="41" t="n">
        <f aca="false">Sens!$N$4936-(Sens!$N$4938+Sens!$N$4939)</f>
        <v>0</v>
      </c>
      <c r="O5007" s="41" t="n">
        <f aca="false">Sens!$O$4936-(Sens!$O$4938+Sens!$O$4939)</f>
        <v>0</v>
      </c>
    </row>
    <row r="5008" customFormat="false" ht="17.15" hidden="false" customHeight="false" outlineLevel="0" collapsed="false">
      <c r="A5008" s="24" t="s">
        <v>704</v>
      </c>
      <c r="B5008" s="25" t="s">
        <v>86</v>
      </c>
      <c r="C5008" s="41" t="n">
        <f aca="false">Sens!$C$5003+Sens!$C$5004-Sens!$C$5005</f>
        <v>0</v>
      </c>
      <c r="D5008" s="41" t="n">
        <f aca="false">Sens!$D$5003+Sens!$D$5004-Sens!$D$5005</f>
        <v>0</v>
      </c>
      <c r="E5008" s="41" t="n">
        <f aca="false">Sens!$E$5003+Sens!$E$5004-Sens!$E$5005</f>
        <v>0</v>
      </c>
      <c r="F5008" s="41" t="n">
        <f aca="false">Sens!$F$5003+Sens!$F$5004-Sens!$F$5005</f>
        <v>0</v>
      </c>
      <c r="G5008" s="41" t="n">
        <f aca="false">Sens!$G$5003+Sens!$G$5004-Sens!$G$5005</f>
        <v>0</v>
      </c>
      <c r="H5008" s="41" t="n">
        <f aca="false">Sens!$H$5003+Sens!$H$5004-Sens!$H$5005</f>
        <v>0</v>
      </c>
      <c r="I5008" s="41" t="n">
        <f aca="false">Sens!$I$5003+Sens!$I$5004-Sens!$I$5005</f>
        <v>0</v>
      </c>
      <c r="J5008" s="41" t="n">
        <f aca="false">Sens!$J$5003+Sens!$J$5004-Sens!$J$5005</f>
        <v>0</v>
      </c>
      <c r="K5008" s="41" t="n">
        <f aca="false">Sens!$K$5003+Sens!$K$5004-Sens!$K$5005</f>
        <v>0</v>
      </c>
      <c r="L5008" s="41" t="n">
        <f aca="false">Sens!$L$5003+Sens!$L$5004-Sens!$L$5005</f>
        <v>0</v>
      </c>
      <c r="M5008" s="41" t="n">
        <f aca="false">Sens!$M$5003+Sens!$M$5004-Sens!$M$5005</f>
        <v>0</v>
      </c>
      <c r="N5008" s="41" t="n">
        <f aca="false">Sens!$N$5003+Sens!$N$5004-Sens!$N$5005</f>
        <v>0</v>
      </c>
      <c r="O5008" s="41" t="n">
        <f aca="false">Sens!$O$5003+Sens!$O$5004-Sens!$O$5005</f>
        <v>0</v>
      </c>
    </row>
    <row r="5009" customFormat="false" ht="17.15" hidden="false" customHeight="false" outlineLevel="0" collapsed="false">
      <c r="A5009" s="24" t="s">
        <v>705</v>
      </c>
      <c r="B5009" s="25" t="s">
        <v>86</v>
      </c>
      <c r="C5009" s="41" t="n">
        <f aca="false">Sens!$C$4938+Sens!$C$4939+Sens!$C$5005-Sens!$C$5006</f>
        <v>0</v>
      </c>
      <c r="D5009" s="41" t="n">
        <f aca="false">Sens!$D$4938+Sens!$D$4939+Sens!$D$5005-Sens!$D$5006</f>
        <v>0</v>
      </c>
      <c r="E5009" s="41" t="n">
        <f aca="false">Sens!$E$4938+Sens!$E$4939+Sens!$E$5005-Sens!$E$5006</f>
        <v>0</v>
      </c>
      <c r="F5009" s="41" t="n">
        <f aca="false">Sens!$F$4938+Sens!$F$4939+Sens!$F$5005-Sens!$F$5006</f>
        <v>0</v>
      </c>
      <c r="G5009" s="41" t="n">
        <f aca="false">Sens!$G$4938+Sens!$G$4939+Sens!$G$5005-Sens!$G$5006</f>
        <v>0</v>
      </c>
      <c r="H5009" s="41" t="n">
        <f aca="false">Sens!$H$4938+Sens!$H$4939+Sens!$H$5005-Sens!$H$5006</f>
        <v>0</v>
      </c>
      <c r="I5009" s="41" t="n">
        <f aca="false">Sens!$I$4938+Sens!$I$4939+Sens!$I$5005-Sens!$I$5006</f>
        <v>0</v>
      </c>
      <c r="J5009" s="41" t="n">
        <f aca="false">Sens!$J$4938+Sens!$J$4939+Sens!$J$5005-Sens!$J$5006</f>
        <v>0</v>
      </c>
      <c r="K5009" s="41" t="n">
        <f aca="false">Sens!$K$4938+Sens!$K$4939+Sens!$K$5005-Sens!$K$5006</f>
        <v>0</v>
      </c>
      <c r="L5009" s="41" t="n">
        <f aca="false">Sens!$L$4938+Sens!$L$4939+Sens!$L$5005-Sens!$L$5006</f>
        <v>0</v>
      </c>
      <c r="M5009" s="41" t="n">
        <f aca="false">Sens!$M$4938+Sens!$M$4939+Sens!$M$5005-Sens!$M$5006</f>
        <v>0</v>
      </c>
      <c r="N5009" s="41" t="n">
        <f aca="false">Sens!$N$4938+Sens!$N$4939+Sens!$N$5005-Sens!$N$5006</f>
        <v>0</v>
      </c>
      <c r="O5009" s="41" t="n">
        <f aca="false">Sens!$O$4938+Sens!$O$4939+Sens!$O$5005-Sens!$O$5006</f>
        <v>0</v>
      </c>
    </row>
    <row r="5010" customFormat="false" ht="15" hidden="false" customHeight="false" outlineLevel="0" collapsed="false">
      <c r="A5010" s="5" t="s">
        <v>699</v>
      </c>
      <c r="B5010" s="0" t="s">
        <v>52</v>
      </c>
      <c r="G5010" s="13" t="n">
        <f aca="false">Sens!$G$5006/Sens!$D$5006-1</f>
        <v>0.140854504918937</v>
      </c>
      <c r="H5010" s="13" t="n">
        <f aca="false">Sens!$H$5006/Sens!$G$5006-1</f>
        <v>0.152063789793209</v>
      </c>
      <c r="I5010" s="13" t="n">
        <f aca="false">Sens!$I$5006/Sens!$H$5006-1</f>
        <v>0.134273264437417</v>
      </c>
      <c r="J5010" s="13" t="n">
        <f aca="false">Sens!$J$5006/Sens!$I$5006-1</f>
        <v>0.113310421234083</v>
      </c>
      <c r="K5010" s="13" t="n">
        <f aca="false">Sens!$K$5006/Sens!$J$5006-1</f>
        <v>0.0892108343223652</v>
      </c>
      <c r="L5010" s="13" t="n">
        <f aca="false">Sens!$L$5006/Sens!$K$5006-1</f>
        <v>0.076471362444261</v>
      </c>
      <c r="M5010" s="13" t="n">
        <f aca="false">Sens!$M$5006/Sens!$L$5006-1</f>
        <v>0.066250060256672</v>
      </c>
    </row>
    <row r="5011" customFormat="false" ht="17.15" hidden="false" customHeight="false" outlineLevel="0" collapsed="false">
      <c r="A5011" s="0" t="s">
        <v>700</v>
      </c>
      <c r="B5011" s="0" t="s">
        <v>52</v>
      </c>
      <c r="C5011" s="13" t="n">
        <f aca="false">Sens!$C$5005/Sens!$C$5006</f>
        <v>0.168593906504964</v>
      </c>
      <c r="D5011" s="13" t="n">
        <f aca="false">Sens!$D$5005/Sens!$D$5006</f>
        <v>0.179551807444025</v>
      </c>
      <c r="E5011" s="13" t="n">
        <f aca="false">Sens!$E$5005/Sens!$E$5006</f>
        <v>0.208881910369643</v>
      </c>
      <c r="F5011" s="13" t="n">
        <f aca="false">Sens!$F$5005/Sens!$F$5006</f>
        <v>0.199028269699356</v>
      </c>
      <c r="G5011" s="13" t="n">
        <f aca="false">Sens!$G$5005/Sens!$G$5006</f>
        <v>0.203631882529968</v>
      </c>
      <c r="H5011" s="13" t="n">
        <f aca="false">Sens!$H$5005/Sens!$H$5006</f>
        <v>0.234731715958496</v>
      </c>
      <c r="I5011" s="13" t="n">
        <f aca="false">Sens!$I$5005/Sens!$I$5006</f>
        <v>0.262231204480418</v>
      </c>
      <c r="J5011" s="13" t="n">
        <f aca="false">Sens!$J$5005/Sens!$J$5006</f>
        <v>0.284728366013706</v>
      </c>
      <c r="K5011" s="13" t="n">
        <f aca="false">Sens!$K$5005/Sens!$K$5006</f>
        <v>0.300823304959505</v>
      </c>
      <c r="L5011" s="13" t="n">
        <f aca="false">Sens!$L$5005/Sens!$L$5006</f>
        <v>0.308263164529735</v>
      </c>
      <c r="M5011" s="13" t="n">
        <f aca="false">Sens!$M$5005/Sens!$M$5006</f>
        <v>0.308856517936036</v>
      </c>
      <c r="N5011" s="13" t="n">
        <f aca="false">Sens!$N$5005/Sens!$N$5006</f>
        <v>0.185979484737251</v>
      </c>
      <c r="O5011" s="13" t="n">
        <f aca="false">Sens!$O$5005/Sens!$O$5006</f>
        <v>0.174270432341096</v>
      </c>
    </row>
    <row r="5012" customFormat="false" ht="17.15" hidden="false" customHeight="false" outlineLevel="0" collapsed="false">
      <c r="A5012" s="0" t="s">
        <v>701</v>
      </c>
      <c r="B5012" s="0" t="s">
        <v>52</v>
      </c>
      <c r="C5012" s="13" t="n">
        <f aca="false">Sens!$C$5003/Sens!$C$5005</f>
        <v>0.0215795060896058</v>
      </c>
      <c r="D5012" s="13" t="n">
        <f aca="false">Sens!$D$5003/Sens!$D$5005</f>
        <v>0.0676152269462122</v>
      </c>
      <c r="E5012" s="13" t="n">
        <f aca="false">Sens!$E$5003/Sens!$E$5005</f>
        <v>0.106620641395783</v>
      </c>
      <c r="F5012" s="13" t="n">
        <f aca="false">Sens!$F$5003/Sens!$F$5005</f>
        <v>0.172523487401099</v>
      </c>
      <c r="G5012" s="13" t="n">
        <f aca="false">Sens!$G$5003/Sens!$G$5005</f>
        <v>0.140939911795589</v>
      </c>
      <c r="H5012" s="13" t="n">
        <f aca="false">Sens!$H$5003/Sens!$H$5005</f>
        <v>0.272018642937714</v>
      </c>
      <c r="I5012" s="13" t="n">
        <f aca="false">Sens!$I$5003/Sens!$I$5005</f>
        <v>0.362159512436497</v>
      </c>
      <c r="J5012" s="13" t="n">
        <f aca="false">Sens!$J$5003/Sens!$J$5005</f>
        <v>0.422151735934609</v>
      </c>
      <c r="K5012" s="13" t="n">
        <f aca="false">Sens!$K$5003/Sens!$K$5005</f>
        <v>0.45769342068485</v>
      </c>
      <c r="L5012" s="13" t="n">
        <f aca="false">Sens!$L$5003/Sens!$L$5005</f>
        <v>0.469047103913472</v>
      </c>
      <c r="M5012" s="13" t="n">
        <f aca="false">Sens!$M$5003/Sens!$M$5005</f>
        <v>0.463233328258093</v>
      </c>
      <c r="N5012" s="13" t="n">
        <f aca="false">Sens!$N$5003/Sens!$N$5005</f>
        <v>0.0506537999838362</v>
      </c>
      <c r="O5012" s="13" t="n">
        <f aca="false">Sens!$O$5003/Sens!$O$5005</f>
        <v>0.0824881615167056</v>
      </c>
    </row>
    <row r="5015" customFormat="false" ht="19.4" hidden="false" customHeight="false" outlineLevel="0" collapsed="false">
      <c r="A5015" s="31" t="s">
        <v>1237</v>
      </c>
    </row>
    <row r="5016" customFormat="false" ht="17.15" hidden="false" customHeight="false" outlineLevel="0" collapsed="false">
      <c r="A5016" s="6" t="s">
        <v>16</v>
      </c>
      <c r="B5016" s="6" t="s">
        <v>17</v>
      </c>
      <c r="C5016" s="20" t="s">
        <v>497</v>
      </c>
      <c r="D5016" s="20" t="s">
        <v>498</v>
      </c>
      <c r="E5016" s="20" t="s">
        <v>580</v>
      </c>
      <c r="F5016" s="20" t="s">
        <v>581</v>
      </c>
      <c r="G5016" s="20" t="s">
        <v>582</v>
      </c>
      <c r="H5016" s="20" t="s">
        <v>583</v>
      </c>
      <c r="I5016" s="20" t="s">
        <v>584</v>
      </c>
      <c r="J5016" s="20" t="s">
        <v>585</v>
      </c>
      <c r="K5016" s="20" t="s">
        <v>586</v>
      </c>
      <c r="L5016" s="20" t="s">
        <v>587</v>
      </c>
      <c r="M5016" s="20" t="s">
        <v>588</v>
      </c>
      <c r="N5016" s="20" t="s">
        <v>589</v>
      </c>
      <c r="O5016" s="20" t="s">
        <v>590</v>
      </c>
      <c r="P5016" s="6" t="s">
        <v>23</v>
      </c>
      <c r="R5016" s="20" t="n">
        <v>2023</v>
      </c>
      <c r="S5016" s="20" t="n">
        <v>2024</v>
      </c>
      <c r="T5016" s="20" t="n">
        <v>2025</v>
      </c>
      <c r="U5016" s="20" t="n">
        <v>2026</v>
      </c>
      <c r="V5016" s="20" t="n">
        <v>2027</v>
      </c>
      <c r="W5016" s="20" t="n">
        <v>2028</v>
      </c>
      <c r="X5016" s="20" t="n">
        <v>2029</v>
      </c>
      <c r="Y5016" s="20" t="n">
        <v>2030</v>
      </c>
      <c r="Z5016" s="20" t="n">
        <v>2031</v>
      </c>
      <c r="AA5016" s="20" t="n">
        <v>2032</v>
      </c>
    </row>
    <row r="5017" customFormat="false" ht="17.15" hidden="false" customHeight="false" outlineLevel="0" collapsed="false">
      <c r="A5017" s="1" t="s">
        <v>716</v>
      </c>
    </row>
    <row r="5018" customFormat="false" ht="15" hidden="false" customHeight="false" outlineLevel="0" collapsed="false">
      <c r="A5018" s="0" t="s">
        <v>519</v>
      </c>
      <c r="B5018" s="0" t="s">
        <v>86</v>
      </c>
      <c r="C5018" s="38" t="n">
        <f aca="false">Sens!$C$4923</f>
        <v>247.029</v>
      </c>
      <c r="D5018" s="38" t="n">
        <f aca="false">Sens!$D$4923</f>
        <v>269.287</v>
      </c>
      <c r="E5018" s="38" t="n">
        <f aca="false">Sens!$E$4923</f>
        <v>134.686</v>
      </c>
      <c r="F5018" s="38" t="n">
        <f aca="false">Sens!$F$4923</f>
        <v>158.293876822267</v>
      </c>
      <c r="G5018" s="38" t="n">
        <f aca="false">Sens!$G$4923</f>
        <v>292.979876822267</v>
      </c>
      <c r="H5018" s="38" t="n">
        <f aca="false">Sens!$H$4923</f>
        <v>318.184543087396</v>
      </c>
      <c r="I5018" s="38" t="n">
        <f aca="false">Sens!$I$4923</f>
        <v>341.736278761793</v>
      </c>
      <c r="J5018" s="38" t="n">
        <f aca="false">Sens!$J$4923</f>
        <v>362.927192787048</v>
      </c>
      <c r="K5018" s="38" t="n">
        <f aca="false">Sens!$K$4923</f>
        <v>381.0735524264</v>
      </c>
      <c r="L5018" s="38" t="n">
        <f aca="false">Sens!$L$4923</f>
        <v>400.12723004772</v>
      </c>
      <c r="M5018" s="38" t="n">
        <f aca="false">Sens!$M$4923</f>
        <v>420.133591550106</v>
      </c>
      <c r="N5018" s="38" t="n">
        <f aca="false">Sens!$N$4923</f>
        <v>118.892</v>
      </c>
      <c r="O5018" s="38" t="n">
        <f aca="false">Sens!$O$4923</f>
        <v>150.395</v>
      </c>
    </row>
    <row r="5019" customFormat="false" ht="15" hidden="false" customHeight="false" outlineLevel="0" collapsed="false">
      <c r="A5019" s="0" t="s">
        <v>520</v>
      </c>
      <c r="B5019" s="0" t="s">
        <v>86</v>
      </c>
      <c r="C5019" s="38" t="n">
        <f aca="false">Sens!$C$4925</f>
        <v>21.215</v>
      </c>
      <c r="D5019" s="38" t="n">
        <f aca="false">Sens!$D$4925</f>
        <v>22.561</v>
      </c>
      <c r="E5019" s="38" t="n">
        <f aca="false">Sens!$E$4925</f>
        <v>11.579</v>
      </c>
      <c r="F5019" s="38" t="n">
        <f aca="false">Sens!$F$4925</f>
        <v>11.5938724610325</v>
      </c>
      <c r="G5019" s="38" t="n">
        <f aca="false">Sens!$G$4925</f>
        <v>23.1728724610325</v>
      </c>
      <c r="H5019" s="38" t="n">
        <f aca="false">Sens!$H$4925</f>
        <v>24.353392759506</v>
      </c>
      <c r="I5019" s="38" t="n">
        <f aca="false">Sens!$I$4925</f>
        <v>25.4240338872015</v>
      </c>
      <c r="J5019" s="38" t="n">
        <f aca="false">Sens!$J$4925</f>
        <v>26.3642491017174</v>
      </c>
      <c r="K5019" s="38" t="n">
        <f aca="false">Sens!$K$4925</f>
        <v>27.155176574769</v>
      </c>
      <c r="L5019" s="38" t="n">
        <f aca="false">Sens!$L$4925</f>
        <v>27.969831872012</v>
      </c>
      <c r="M5019" s="38" t="n">
        <f aca="false">Sens!$M$4925</f>
        <v>28.8089268281724</v>
      </c>
      <c r="N5019" s="38" t="n">
        <f aca="false">Sens!$N$4925</f>
        <v>11.128</v>
      </c>
      <c r="O5019" s="38" t="n">
        <f aca="false">Sens!$O$4925</f>
        <v>11.433</v>
      </c>
    </row>
    <row r="5020" customFormat="false" ht="15" hidden="false" customHeight="false" outlineLevel="0" collapsed="false">
      <c r="A5020" s="0" t="s">
        <v>521</v>
      </c>
      <c r="B5020" s="0" t="s">
        <v>86</v>
      </c>
      <c r="C5020" s="38" t="n">
        <f aca="false">Sens!$C$4927</f>
        <v>156.146</v>
      </c>
      <c r="D5020" s="38" t="n">
        <f aca="false">Sens!$D$4927</f>
        <v>172.162</v>
      </c>
      <c r="E5020" s="38" t="n">
        <f aca="false">Sens!$E$4927</f>
        <v>88.358</v>
      </c>
      <c r="F5020" s="38" t="n">
        <f aca="false">Sens!$F$4927</f>
        <v>102.004388260171</v>
      </c>
      <c r="G5020" s="38" t="n">
        <f aca="false">Sens!$G$4927</f>
        <v>190.362388260171</v>
      </c>
      <c r="H5020" s="38" t="n">
        <f aca="false">Sens!$H$4927</f>
        <v>210.343106588311</v>
      </c>
      <c r="I5020" s="38" t="n">
        <f aca="false">Sens!$I$4927</f>
        <v>229.969728494648</v>
      </c>
      <c r="J5020" s="38" t="n">
        <f aca="false">Sens!$J$4927</f>
        <v>248.747636972598</v>
      </c>
      <c r="K5020" s="38" t="n">
        <f aca="false">Sens!$K$4927</f>
        <v>266.15997156068</v>
      </c>
      <c r="L5020" s="38" t="n">
        <f aca="false">Sens!$L$4927</f>
        <v>284.791169569927</v>
      </c>
      <c r="M5020" s="38" t="n">
        <f aca="false">Sens!$M$4927</f>
        <v>304.726551439822</v>
      </c>
      <c r="N5020" s="38" t="n">
        <f aca="false">Sens!$N$4927</f>
        <v>76.86</v>
      </c>
      <c r="O5020" s="38" t="n">
        <f aca="false">Sens!$O$4927</f>
        <v>95.302</v>
      </c>
    </row>
    <row r="5021" customFormat="false" ht="15" hidden="false" customHeight="false" outlineLevel="0" collapsed="false">
      <c r="A5021" s="0" t="s">
        <v>522</v>
      </c>
      <c r="B5021" s="0" t="s">
        <v>86</v>
      </c>
      <c r="C5021" s="38" t="n">
        <f aca="false">Sens!$C$4929</f>
        <v>56.214</v>
      </c>
      <c r="D5021" s="38" t="n">
        <f aca="false">Sens!$D$4929</f>
        <v>68.635</v>
      </c>
      <c r="E5021" s="38" t="n">
        <f aca="false">Sens!$E$4929</f>
        <v>37.052</v>
      </c>
      <c r="F5021" s="38" t="n">
        <f aca="false">Sens!$F$4929</f>
        <v>46.1572219944148</v>
      </c>
      <c r="G5021" s="38" t="n">
        <f aca="false">Sens!$G$4929</f>
        <v>83.2092219944148</v>
      </c>
      <c r="H5021" s="38" t="n">
        <f aca="false">Sens!$H$4929</f>
        <v>99.8969223878976</v>
      </c>
      <c r="I5021" s="38" t="n">
        <f aca="false">Sens!$I$4929</f>
        <v>116.583111095496</v>
      </c>
      <c r="J5021" s="38" t="n">
        <f aca="false">Sens!$J$4929</f>
        <v>132.148941941952</v>
      </c>
      <c r="K5021" s="38" t="n">
        <f aca="false">Sens!$K$4929</f>
        <v>145.363836136147</v>
      </c>
      <c r="L5021" s="38" t="n">
        <f aca="false">Sens!$L$4929</f>
        <v>159.900219749762</v>
      </c>
      <c r="M5021" s="38" t="n">
        <f aca="false">Sens!$M$4929</f>
        <v>175.890241724738</v>
      </c>
      <c r="N5021" s="38" t="n">
        <f aca="false">Sens!$N$4929</f>
        <v>29.615</v>
      </c>
      <c r="O5021" s="38" t="n">
        <f aca="false">Sens!$O$4929</f>
        <v>39.02</v>
      </c>
    </row>
    <row r="5022" customFormat="false" ht="15" hidden="false" customHeight="false" outlineLevel="0" collapsed="false">
      <c r="A5022" s="0" t="s">
        <v>523</v>
      </c>
      <c r="B5022" s="0" t="s">
        <v>86</v>
      </c>
      <c r="C5022" s="38" t="n">
        <f aca="false">Sens!$C$4931</f>
        <v>44.374</v>
      </c>
      <c r="D5022" s="38" t="n">
        <f aca="false">Sens!$D$4931</f>
        <v>49.619</v>
      </c>
      <c r="E5022" s="38" t="n">
        <f aca="false">Sens!$E$4931</f>
        <v>27.157</v>
      </c>
      <c r="F5022" s="38" t="n">
        <f aca="false">Sens!$F$4931</f>
        <v>27.7764165988154</v>
      </c>
      <c r="G5022" s="38" t="n">
        <f aca="false">Sens!$G$4931</f>
        <v>54.9334165988154</v>
      </c>
      <c r="H5022" s="38" t="n">
        <f aca="false">Sens!$H$4931</f>
        <v>61.1564112561829</v>
      </c>
      <c r="I5022" s="38" t="n">
        <f aca="false">Sens!$I$4931</f>
        <v>67.2020282103945</v>
      </c>
      <c r="J5022" s="38" t="n">
        <f aca="false">Sens!$J$4931</f>
        <v>72.8757274028885</v>
      </c>
      <c r="K5022" s="38" t="n">
        <f aca="false">Sens!$K$4931</f>
        <v>77.9770283210907</v>
      </c>
      <c r="L5022" s="38" t="n">
        <f aca="false">Sens!$L$4931</f>
        <v>83.4354203035671</v>
      </c>
      <c r="M5022" s="38" t="n">
        <f aca="false">Sens!$M$4931</f>
        <v>89.2758997248168</v>
      </c>
      <c r="N5022" s="38" t="n">
        <f aca="false">Sens!$N$4931</f>
        <v>23.923</v>
      </c>
      <c r="O5022" s="38" t="n">
        <f aca="false">Sens!$O$4931</f>
        <v>25.696</v>
      </c>
    </row>
    <row r="5023" customFormat="false" ht="15" hidden="false" customHeight="false" outlineLevel="0" collapsed="false">
      <c r="A5023" s="0" t="s">
        <v>524</v>
      </c>
      <c r="B5023" s="0" t="s">
        <v>86</v>
      </c>
      <c r="C5023" s="38" t="n">
        <f aca="false">Sens!$C$4933</f>
        <v>5.425</v>
      </c>
      <c r="D5023" s="38" t="n">
        <f aca="false">Sens!$D$4933</f>
        <v>5.935</v>
      </c>
      <c r="E5023" s="38" t="n">
        <f aca="false">Sens!$E$4933</f>
        <v>3.474</v>
      </c>
      <c r="F5023" s="38" t="n">
        <f aca="false">Sens!$F$4933</f>
        <v>3.22246550883619</v>
      </c>
      <c r="G5023" s="38" t="n">
        <f aca="false">Sens!$G$4933</f>
        <v>6.69646550883619</v>
      </c>
      <c r="H5023" s="38" t="n">
        <f aca="false">Sens!$H$4933</f>
        <v>7.16251344209196</v>
      </c>
      <c r="I5023" s="38" t="n">
        <f aca="false">Sens!$I$4933</f>
        <v>7.61421070299826</v>
      </c>
      <c r="J5023" s="38" t="n">
        <f aca="false">Sens!$J$4933</f>
        <v>8.04465753523932</v>
      </c>
      <c r="K5023" s="38" t="n">
        <f aca="false">Sens!$K$4933</f>
        <v>8.44689041200128</v>
      </c>
      <c r="L5023" s="38" t="n">
        <f aca="false">Sens!$L$4933</f>
        <v>8.86923493260135</v>
      </c>
      <c r="M5023" s="38" t="n">
        <f aca="false">Sens!$M$4933</f>
        <v>9.31269667923142</v>
      </c>
      <c r="N5023" s="38" t="n">
        <f aca="false">Sens!$N$4933</f>
        <v>2.811</v>
      </c>
      <c r="O5023" s="38" t="n">
        <f aca="false">Sens!$O$4933</f>
        <v>3.124</v>
      </c>
    </row>
    <row r="5024" customFormat="false" ht="17.15" hidden="false" customHeight="false" outlineLevel="0" collapsed="false">
      <c r="A5024" s="0" t="s">
        <v>717</v>
      </c>
      <c r="B5024" s="0" t="s">
        <v>86</v>
      </c>
      <c r="C5024" s="38" t="n">
        <f aca="false">Sens!$C$5005</f>
        <v>107.556</v>
      </c>
      <c r="D5024" s="38" t="n">
        <f aca="false">Sens!$D$5005</f>
        <v>128.725</v>
      </c>
      <c r="E5024" s="38" t="n">
        <f aca="false">Sens!$E$5005</f>
        <v>79.819</v>
      </c>
      <c r="F5024" s="38" t="n">
        <f aca="false">Sens!$F$5005</f>
        <v>86.7327334389669</v>
      </c>
      <c r="G5024" s="38" t="n">
        <f aca="false">Sens!$G$5005</f>
        <v>166.551733438967</v>
      </c>
      <c r="H5024" s="38" t="n">
        <f aca="false">Sens!$H$5005</f>
        <v>221.182967828978</v>
      </c>
      <c r="I5024" s="38" t="n">
        <f aca="false">Sens!$I$5005</f>
        <v>280.27345865789</v>
      </c>
      <c r="J5024" s="38" t="n">
        <f aca="false">Sens!$J$5005</f>
        <v>338.800945197185</v>
      </c>
      <c r="K5024" s="38" t="n">
        <f aca="false">Sens!$K$5005</f>
        <v>389.88570147276</v>
      </c>
      <c r="L5024" s="38" t="n">
        <f aca="false">Sens!$L$5005</f>
        <v>430.080689379143</v>
      </c>
      <c r="M5024" s="38" t="n">
        <f aca="false">Sens!$M$5005</f>
        <v>459.456235951751</v>
      </c>
      <c r="N5024" s="38" t="n">
        <f aca="false">Sens!$N$5005</f>
        <v>60.14</v>
      </c>
      <c r="O5024" s="38" t="n">
        <f aca="false">Sens!$O$5005</f>
        <v>68.585</v>
      </c>
    </row>
    <row r="5025" customFormat="false" ht="15" hidden="false" customHeight="false" outlineLevel="0" collapsed="false">
      <c r="A5025" s="1" t="s">
        <v>512</v>
      </c>
      <c r="B5025" s="8" t="s">
        <v>86</v>
      </c>
      <c r="C5025" s="38" t="n">
        <f aca="false">Sens!$C$4938</f>
        <v>387.497</v>
      </c>
      <c r="D5025" s="38" t="n">
        <f aca="false">Sens!$D$4938</f>
        <v>426.305</v>
      </c>
      <c r="E5025" s="38" t="n">
        <f aca="false">Sens!$E$4938</f>
        <v>220.32</v>
      </c>
      <c r="F5025" s="38" t="n">
        <f aca="false">Sens!$F$4938</f>
        <v>250.639773480586</v>
      </c>
      <c r="G5025" s="38" t="n">
        <f aca="false">Sens!$G$4938</f>
        <v>470.959773480586</v>
      </c>
      <c r="H5025" s="38" t="n">
        <f aca="false">Sens!$H$4938</f>
        <v>521.386990416437</v>
      </c>
      <c r="I5025" s="38" t="n">
        <f aca="false">Sens!$I$4938</f>
        <v>570.143862887555</v>
      </c>
      <c r="J5025" s="38" t="n">
        <f aca="false">Sens!$J$4938</f>
        <v>615.391435791933</v>
      </c>
      <c r="K5025" s="38" t="n">
        <f aca="false">Sens!$K$4938</f>
        <v>655.208227561543</v>
      </c>
      <c r="L5025" s="38" t="n">
        <f aca="false">Sens!$L$4938</f>
        <v>697.807739249767</v>
      </c>
      <c r="M5025" s="38" t="n">
        <f aca="false">Sens!$M$4938</f>
        <v>743.399328463592</v>
      </c>
      <c r="N5025" s="38" t="n">
        <f aca="false">Sens!$N$4938</f>
        <v>192.955</v>
      </c>
      <c r="O5025" s="38" t="n">
        <f aca="false">Sens!$O$4938</f>
        <v>233.35</v>
      </c>
    </row>
    <row r="5026" customFormat="false" ht="15" hidden="false" customHeight="false" outlineLevel="0" collapsed="false">
      <c r="A5026" s="1" t="s">
        <v>515</v>
      </c>
      <c r="B5026" s="8" t="s">
        <v>86</v>
      </c>
      <c r="C5026" s="38" t="n">
        <f aca="false">Sens!$C$4939</f>
        <v>142.906</v>
      </c>
      <c r="D5026" s="38" t="n">
        <f aca="false">Sens!$D$4939</f>
        <v>161.894</v>
      </c>
      <c r="E5026" s="38" t="n">
        <f aca="false">Sens!$E$4939</f>
        <v>81.986</v>
      </c>
      <c r="F5026" s="38" t="n">
        <f aca="false">Sens!$F$4939</f>
        <v>98.408468164951</v>
      </c>
      <c r="G5026" s="38" t="n">
        <f aca="false">Sens!$G$4939</f>
        <v>180.394468164951</v>
      </c>
      <c r="H5026" s="38" t="n">
        <f aca="false">Sens!$H$4939</f>
        <v>199.709899104949</v>
      </c>
      <c r="I5026" s="38" t="n">
        <f aca="false">Sens!$I$4939</f>
        <v>218.385528264976</v>
      </c>
      <c r="J5026" s="38" t="n">
        <f aca="false">Sens!$J$4939</f>
        <v>235.71696994951</v>
      </c>
      <c r="K5026" s="38" t="n">
        <f aca="false">Sens!$K$4939</f>
        <v>250.968227869545</v>
      </c>
      <c r="L5026" s="38" t="n">
        <f aca="false">Sens!$L$4939</f>
        <v>267.285367225822</v>
      </c>
      <c r="M5026" s="38" t="n">
        <f aca="false">Sens!$M$4939</f>
        <v>284.748579483295</v>
      </c>
      <c r="N5026" s="38" t="n">
        <f aca="false">Sens!$N$4939</f>
        <v>70.274</v>
      </c>
      <c r="O5026" s="38" t="n">
        <f aca="false">Sens!$O$4939</f>
        <v>91.62</v>
      </c>
    </row>
    <row r="5027" customFormat="false" ht="15" hidden="false" customHeight="false" outlineLevel="0" collapsed="false">
      <c r="A5027" s="1" t="s">
        <v>516</v>
      </c>
      <c r="B5027" s="8" t="s">
        <v>86</v>
      </c>
      <c r="C5027" s="38" t="n">
        <f aca="false">Sens!$C$5005</f>
        <v>107.556</v>
      </c>
      <c r="D5027" s="38" t="n">
        <f aca="false">Sens!$D$5005</f>
        <v>128.725</v>
      </c>
      <c r="E5027" s="38" t="n">
        <f aca="false">Sens!$E$5005</f>
        <v>79.819</v>
      </c>
      <c r="F5027" s="38" t="n">
        <f aca="false">Sens!$F$5005</f>
        <v>86.7327334389669</v>
      </c>
      <c r="G5027" s="38" t="n">
        <f aca="false">Sens!$G$5005</f>
        <v>166.551733438967</v>
      </c>
      <c r="H5027" s="38" t="n">
        <f aca="false">Sens!$H$5005</f>
        <v>221.182967828978</v>
      </c>
      <c r="I5027" s="38" t="n">
        <f aca="false">Sens!$I$5005</f>
        <v>280.27345865789</v>
      </c>
      <c r="J5027" s="38" t="n">
        <f aca="false">Sens!$J$5005</f>
        <v>338.800945197185</v>
      </c>
      <c r="K5027" s="38" t="n">
        <f aca="false">Sens!$K$5005</f>
        <v>389.88570147276</v>
      </c>
      <c r="L5027" s="38" t="n">
        <f aca="false">Sens!$L$5005</f>
        <v>430.080689379143</v>
      </c>
      <c r="M5027" s="38" t="n">
        <f aca="false">Sens!$M$5005</f>
        <v>459.456235951751</v>
      </c>
      <c r="N5027" s="38" t="n">
        <f aca="false">Sens!$N$5005</f>
        <v>60.14</v>
      </c>
      <c r="O5027" s="38" t="n">
        <f aca="false">Sens!$O$5005</f>
        <v>68.585</v>
      </c>
    </row>
    <row r="5028" customFormat="false" ht="17.15" hidden="false" customHeight="false" outlineLevel="0" collapsed="false">
      <c r="A5028" s="0" t="s">
        <v>691</v>
      </c>
      <c r="B5028" s="0" t="s">
        <v>86</v>
      </c>
      <c r="C5028" s="38" t="n">
        <f aca="false">Sens!$C$5003</f>
        <v>2.32100535697364</v>
      </c>
      <c r="D5028" s="38" t="n">
        <f aca="false">Sens!$D$5003</f>
        <v>8.70377008865116</v>
      </c>
      <c r="E5028" s="38" t="n">
        <f aca="false">Sens!$E$5003</f>
        <v>8.51035297557002</v>
      </c>
      <c r="F5028" s="38" t="n">
        <f aca="false">Sens!$F$5003</f>
        <v>14.9634336447205</v>
      </c>
      <c r="G5028" s="38" t="n">
        <f aca="false">Sens!$G$5003</f>
        <v>23.4737866202905</v>
      </c>
      <c r="H5028" s="38" t="n">
        <f aca="false">Sens!$H$5003</f>
        <v>60.1658907497746</v>
      </c>
      <c r="I5028" s="38" t="n">
        <f aca="false">Sens!$I$5003</f>
        <v>101.503699136432</v>
      </c>
      <c r="J5028" s="38" t="n">
        <f aca="false">Sens!$J$5003</f>
        <v>143.025407151278</v>
      </c>
      <c r="K5028" s="38" t="n">
        <f aca="false">Sens!$K$5003</f>
        <v>178.44812038318</v>
      </c>
      <c r="L5028" s="38" t="n">
        <f aca="false">Sens!$L$5003</f>
        <v>201.728101802396</v>
      </c>
      <c r="M5028" s="38" t="n">
        <f aca="false">Sens!$M$5003</f>
        <v>212.835441368865</v>
      </c>
      <c r="N5028" s="38" t="n">
        <f aca="false">Sens!$N$5003</f>
        <v>3.04631953102791</v>
      </c>
      <c r="O5028" s="38" t="n">
        <f aca="false">Sens!$O$5003</f>
        <v>5.65745055762326</v>
      </c>
    </row>
    <row r="5029" customFormat="false" ht="17.15" hidden="false" customHeight="false" outlineLevel="0" collapsed="false">
      <c r="A5029" s="0" t="s">
        <v>693</v>
      </c>
      <c r="B5029" s="0" t="s">
        <v>86</v>
      </c>
      <c r="C5029" s="38" t="n">
        <f aca="false">Sens!$C$5004</f>
        <v>105.234994643026</v>
      </c>
      <c r="D5029" s="38" t="n">
        <f aca="false">Sens!$D$5004</f>
        <v>120.021229911349</v>
      </c>
      <c r="E5029" s="38" t="n">
        <f aca="false">Sens!$E$5004</f>
        <v>71.30864702443</v>
      </c>
      <c r="F5029" s="38" t="n">
        <f aca="false">Sens!$F$5004</f>
        <v>71.7692997942464</v>
      </c>
      <c r="G5029" s="38" t="n">
        <f aca="false">Sens!$G$5004</f>
        <v>143.077946818676</v>
      </c>
      <c r="H5029" s="38" t="n">
        <f aca="false">Sens!$H$5004</f>
        <v>161.017077079203</v>
      </c>
      <c r="I5029" s="38" t="n">
        <f aca="false">Sens!$I$5004</f>
        <v>178.769759521457</v>
      </c>
      <c r="J5029" s="38" t="n">
        <f aca="false">Sens!$J$5004</f>
        <v>195.775538045907</v>
      </c>
      <c r="K5029" s="38" t="n">
        <f aca="false">Sens!$K$5004</f>
        <v>211.43758108958</v>
      </c>
      <c r="L5029" s="38" t="n">
        <f aca="false">Sens!$L$5004</f>
        <v>228.352587576746</v>
      </c>
      <c r="M5029" s="38" t="n">
        <f aca="false">Sens!$M$5004</f>
        <v>246.620794582886</v>
      </c>
      <c r="N5029" s="38" t="n">
        <f aca="false">Sens!$N$5004</f>
        <v>57.0936804689721</v>
      </c>
      <c r="O5029" s="38" t="n">
        <f aca="false">Sens!$O$5004</f>
        <v>62.9275494423768</v>
      </c>
    </row>
    <row r="5030" customFormat="false" ht="15" hidden="false" customHeight="false" outlineLevel="0" collapsed="false">
      <c r="A5030" s="3" t="s">
        <v>517</v>
      </c>
      <c r="B5030" s="8" t="s">
        <v>86</v>
      </c>
      <c r="C5030" s="38" t="n">
        <f aca="false">Sens!$C$5006</f>
        <v>637.959</v>
      </c>
      <c r="D5030" s="38" t="n">
        <f aca="false">Sens!$D$5006</f>
        <v>716.924</v>
      </c>
      <c r="E5030" s="38" t="n">
        <f aca="false">Sens!$E$5006</f>
        <v>382.125</v>
      </c>
      <c r="F5030" s="38" t="n">
        <f aca="false">Sens!$F$5006</f>
        <v>435.780975084504</v>
      </c>
      <c r="G5030" s="38" t="n">
        <f aca="false">Sens!$G$5006</f>
        <v>817.905975084504</v>
      </c>
      <c r="H5030" s="38" t="n">
        <f aca="false">Sens!$H$5006</f>
        <v>942.279857350364</v>
      </c>
      <c r="I5030" s="38" t="n">
        <f aca="false">Sens!$I$5006</f>
        <v>1068.80284981042</v>
      </c>
      <c r="J5030" s="38" t="n">
        <f aca="false">Sens!$J$5006</f>
        <v>1189.90935093863</v>
      </c>
      <c r="K5030" s="38" t="n">
        <f aca="false">Sens!$K$5006</f>
        <v>1296.06215690385</v>
      </c>
      <c r="L5030" s="38" t="n">
        <f aca="false">Sens!$L$5006</f>
        <v>1395.17379585473</v>
      </c>
      <c r="M5030" s="38" t="n">
        <f aca="false">Sens!$M$5006</f>
        <v>1487.60414389864</v>
      </c>
      <c r="N5030" s="38" t="n">
        <f aca="false">Sens!$N$5006</f>
        <v>323.369</v>
      </c>
      <c r="O5030" s="38" t="n">
        <f aca="false">Sens!$O$5006</f>
        <v>393.555</v>
      </c>
    </row>
    <row r="5031" customFormat="false" ht="17.15" hidden="false" customHeight="false" outlineLevel="0" collapsed="false">
      <c r="A5031" s="24" t="s">
        <v>703</v>
      </c>
      <c r="B5031" s="25" t="s">
        <v>86</v>
      </c>
      <c r="C5031" s="41" t="n">
        <f aca="false">Sens!$C$5018+Sens!$C$5019+Sens!$C$5020+Sens!$C$5021+Sens!$C$5022+Sens!$C$5023-(Sens!$C$5025+Sens!$C$5026)</f>
        <v>0</v>
      </c>
      <c r="D5031" s="41" t="n">
        <f aca="false">Sens!$D$5018+Sens!$D$5019+Sens!$D$5020+Sens!$D$5021+Sens!$D$5022+Sens!$D$5023-(Sens!$D$5025+Sens!$D$5026)</f>
        <v>0</v>
      </c>
      <c r="E5031" s="41" t="n">
        <f aca="false">Sens!$E$5018+Sens!$E$5019+Sens!$E$5020+Sens!$E$5021+Sens!$E$5022+Sens!$E$5023-(Sens!$E$5025+Sens!$E$5026)</f>
        <v>0</v>
      </c>
      <c r="F5031" s="41" t="n">
        <f aca="false">Sens!$F$5018+Sens!$F$5019+Sens!$F$5020+Sens!$F$5021+Sens!$F$5022+Sens!$F$5023-(Sens!$F$5025+Sens!$F$5026)</f>
        <v>0</v>
      </c>
      <c r="G5031" s="41" t="n">
        <f aca="false">Sens!$G$5018+Sens!$G$5019+Sens!$G$5020+Sens!$G$5021+Sens!$G$5022+Sens!$G$5023-(Sens!$G$5025+Sens!$G$5026)</f>
        <v>0</v>
      </c>
      <c r="H5031" s="41" t="n">
        <f aca="false">Sens!$H$5018+Sens!$H$5019+Sens!$H$5020+Sens!$H$5021+Sens!$H$5022+Sens!$H$5023-(Sens!$H$5025+Sens!$H$5026)</f>
        <v>0</v>
      </c>
      <c r="I5031" s="41" t="n">
        <f aca="false">Sens!$I$5018+Sens!$I$5019+Sens!$I$5020+Sens!$I$5021+Sens!$I$5022+Sens!$I$5023-(Sens!$I$5025+Sens!$I$5026)</f>
        <v>0</v>
      </c>
      <c r="J5031" s="41" t="n">
        <f aca="false">Sens!$J$5018+Sens!$J$5019+Sens!$J$5020+Sens!$J$5021+Sens!$J$5022+Sens!$J$5023-(Sens!$J$5025+Sens!$J$5026)</f>
        <v>0</v>
      </c>
      <c r="K5031" s="41" t="n">
        <f aca="false">Sens!$K$5018+Sens!$K$5019+Sens!$K$5020+Sens!$K$5021+Sens!$K$5022+Sens!$K$5023-(Sens!$K$5025+Sens!$K$5026)</f>
        <v>0</v>
      </c>
      <c r="L5031" s="41" t="n">
        <f aca="false">Sens!$L$5018+Sens!$L$5019+Sens!$L$5020+Sens!$L$5021+Sens!$L$5022+Sens!$L$5023-(Sens!$L$5025+Sens!$L$5026)</f>
        <v>0</v>
      </c>
      <c r="M5031" s="41" t="n">
        <f aca="false">Sens!$M$5018+Sens!$M$5019+Sens!$M$5020+Sens!$M$5021+Sens!$M$5022+Sens!$M$5023-(Sens!$M$5025+Sens!$M$5026)</f>
        <v>0</v>
      </c>
      <c r="N5031" s="41" t="n">
        <f aca="false">Sens!$N$5018+Sens!$N$5019+Sens!$N$5020+Sens!$N$5021+Sens!$N$5022+Sens!$N$5023-(Sens!$N$5025+Sens!$N$5026)</f>
        <v>0</v>
      </c>
      <c r="O5031" s="41" t="n">
        <f aca="false">Sens!$O$5018+Sens!$O$5019+Sens!$O$5020+Sens!$O$5021+Sens!$O$5022+Sens!$O$5023-(Sens!$O$5025+Sens!$O$5026)</f>
        <v>0</v>
      </c>
    </row>
    <row r="5032" customFormat="false" ht="17.15" hidden="false" customHeight="false" outlineLevel="0" collapsed="false">
      <c r="A5032" s="24" t="s">
        <v>704</v>
      </c>
      <c r="B5032" s="25" t="s">
        <v>86</v>
      </c>
      <c r="C5032" s="41" t="n">
        <f aca="false">Sens!$C$5028+Sens!$C$5029-Sens!$C$5027</f>
        <v>0</v>
      </c>
      <c r="D5032" s="41" t="n">
        <f aca="false">Sens!$D$5028+Sens!$D$5029-Sens!$D$5027</f>
        <v>0</v>
      </c>
      <c r="E5032" s="41" t="n">
        <f aca="false">Sens!$E$5028+Sens!$E$5029-Sens!$E$5027</f>
        <v>0</v>
      </c>
      <c r="F5032" s="41" t="n">
        <f aca="false">Sens!$F$5028+Sens!$F$5029-Sens!$F$5027</f>
        <v>0</v>
      </c>
      <c r="G5032" s="41" t="n">
        <f aca="false">Sens!$G$5028+Sens!$G$5029-Sens!$G$5027</f>
        <v>0</v>
      </c>
      <c r="H5032" s="41" t="n">
        <f aca="false">Sens!$H$5028+Sens!$H$5029-Sens!$H$5027</f>
        <v>0</v>
      </c>
      <c r="I5032" s="41" t="n">
        <f aca="false">Sens!$I$5028+Sens!$I$5029-Sens!$I$5027</f>
        <v>0</v>
      </c>
      <c r="J5032" s="41" t="n">
        <f aca="false">Sens!$J$5028+Sens!$J$5029-Sens!$J$5027</f>
        <v>0</v>
      </c>
      <c r="K5032" s="41" t="n">
        <f aca="false">Sens!$K$5028+Sens!$K$5029-Sens!$K$5027</f>
        <v>0</v>
      </c>
      <c r="L5032" s="41" t="n">
        <f aca="false">Sens!$L$5028+Sens!$L$5029-Sens!$L$5027</f>
        <v>0</v>
      </c>
      <c r="M5032" s="41" t="n">
        <f aca="false">Sens!$M$5028+Sens!$M$5029-Sens!$M$5027</f>
        <v>0</v>
      </c>
      <c r="N5032" s="41" t="n">
        <f aca="false">Sens!$N$5028+Sens!$N$5029-Sens!$N$5027</f>
        <v>0</v>
      </c>
      <c r="O5032" s="41" t="n">
        <f aca="false">Sens!$O$5028+Sens!$O$5029-Sens!$O$5027</f>
        <v>0</v>
      </c>
    </row>
    <row r="5033" customFormat="false" ht="17.15" hidden="false" customHeight="false" outlineLevel="0" collapsed="false">
      <c r="A5033" s="24" t="s">
        <v>763</v>
      </c>
      <c r="B5033" s="25" t="s">
        <v>86</v>
      </c>
      <c r="C5033" s="41" t="n">
        <f aca="false">Sens!$C$5018+Sens!$C$5019+Sens!$C$5020+Sens!$C$5021+Sens!$C$5022+Sens!$C$5023+Sens!$C$5024-Sens!$C$5030</f>
        <v>0</v>
      </c>
      <c r="D5033" s="41" t="n">
        <f aca="false">Sens!$D$5018+Sens!$D$5019+Sens!$D$5020+Sens!$D$5021+Sens!$D$5022+Sens!$D$5023+Sens!$D$5024-Sens!$D$5030</f>
        <v>0</v>
      </c>
      <c r="E5033" s="41" t="n">
        <f aca="false">Sens!$E$5018+Sens!$E$5019+Sens!$E$5020+Sens!$E$5021+Sens!$E$5022+Sens!$E$5023+Sens!$E$5024-Sens!$E$5030</f>
        <v>0</v>
      </c>
      <c r="F5033" s="41" t="n">
        <f aca="false">Sens!$F$5018+Sens!$F$5019+Sens!$F$5020+Sens!$F$5021+Sens!$F$5022+Sens!$F$5023+Sens!$F$5024-Sens!$F$5030</f>
        <v>0</v>
      </c>
      <c r="G5033" s="41" t="n">
        <f aca="false">Sens!$G$5018+Sens!$G$5019+Sens!$G$5020+Sens!$G$5021+Sens!$G$5022+Sens!$G$5023+Sens!$G$5024-Sens!$G$5030</f>
        <v>0</v>
      </c>
      <c r="H5033" s="41" t="n">
        <f aca="false">Sens!$H$5018+Sens!$H$5019+Sens!$H$5020+Sens!$H$5021+Sens!$H$5022+Sens!$H$5023+Sens!$H$5024-Sens!$H$5030</f>
        <v>0</v>
      </c>
      <c r="I5033" s="41" t="n">
        <f aca="false">Sens!$I$5018+Sens!$I$5019+Sens!$I$5020+Sens!$I$5021+Sens!$I$5022+Sens!$I$5023+Sens!$I$5024-Sens!$I$5030</f>
        <v>0</v>
      </c>
      <c r="J5033" s="41" t="n">
        <f aca="false">Sens!$J$5018+Sens!$J$5019+Sens!$J$5020+Sens!$J$5021+Sens!$J$5022+Sens!$J$5023+Sens!$J$5024-Sens!$J$5030</f>
        <v>0</v>
      </c>
      <c r="K5033" s="41" t="n">
        <f aca="false">Sens!$K$5018+Sens!$K$5019+Sens!$K$5020+Sens!$K$5021+Sens!$K$5022+Sens!$K$5023+Sens!$K$5024-Sens!$K$5030</f>
        <v>0</v>
      </c>
      <c r="L5033" s="41" t="n">
        <f aca="false">Sens!$L$5018+Sens!$L$5019+Sens!$L$5020+Sens!$L$5021+Sens!$L$5022+Sens!$L$5023+Sens!$L$5024-Sens!$L$5030</f>
        <v>0</v>
      </c>
      <c r="M5033" s="41" t="n">
        <f aca="false">Sens!$M$5018+Sens!$M$5019+Sens!$M$5020+Sens!$M$5021+Sens!$M$5022+Sens!$M$5023+Sens!$M$5024-Sens!$M$5030</f>
        <v>0</v>
      </c>
      <c r="N5033" s="41" t="n">
        <f aca="false">Sens!$N$5018+Sens!$N$5019+Sens!$N$5020+Sens!$N$5021+Sens!$N$5022+Sens!$N$5023+Sens!$N$5024-Sens!$N$5030</f>
        <v>0</v>
      </c>
      <c r="O5033" s="41" t="n">
        <f aca="false">Sens!$O$5018+Sens!$O$5019+Sens!$O$5020+Sens!$O$5021+Sens!$O$5022+Sens!$O$5023+Sens!$O$5024-Sens!$O$5030</f>
        <v>0</v>
      </c>
    </row>
    <row r="5034" customFormat="false" ht="17.15" hidden="false" customHeight="false" outlineLevel="0" collapsed="false">
      <c r="A5034" s="24" t="s">
        <v>705</v>
      </c>
      <c r="B5034" s="25" t="s">
        <v>86</v>
      </c>
      <c r="C5034" s="41" t="n">
        <f aca="false">Sens!$C$5025+Sens!$C$5026+Sens!$C$5027-Sens!$C$5030</f>
        <v>0</v>
      </c>
      <c r="D5034" s="41" t="n">
        <f aca="false">Sens!$D$5025+Sens!$D$5026+Sens!$D$5027-Sens!$D$5030</f>
        <v>0</v>
      </c>
      <c r="E5034" s="41" t="n">
        <f aca="false">Sens!$E$5025+Sens!$E$5026+Sens!$E$5027-Sens!$E$5030</f>
        <v>0</v>
      </c>
      <c r="F5034" s="41" t="n">
        <f aca="false">Sens!$F$5025+Sens!$F$5026+Sens!$F$5027-Sens!$F$5030</f>
        <v>0</v>
      </c>
      <c r="G5034" s="41" t="n">
        <f aca="false">Sens!$G$5025+Sens!$G$5026+Sens!$G$5027-Sens!$G$5030</f>
        <v>0</v>
      </c>
      <c r="H5034" s="41" t="n">
        <f aca="false">Sens!$H$5025+Sens!$H$5026+Sens!$H$5027-Sens!$H$5030</f>
        <v>0</v>
      </c>
      <c r="I5034" s="41" t="n">
        <f aca="false">Sens!$I$5025+Sens!$I$5026+Sens!$I$5027-Sens!$I$5030</f>
        <v>0</v>
      </c>
      <c r="J5034" s="41" t="n">
        <f aca="false">Sens!$J$5025+Sens!$J$5026+Sens!$J$5027-Sens!$J$5030</f>
        <v>0</v>
      </c>
      <c r="K5034" s="41" t="n">
        <f aca="false">Sens!$K$5025+Sens!$K$5026+Sens!$K$5027-Sens!$K$5030</f>
        <v>0</v>
      </c>
      <c r="L5034" s="41" t="n">
        <f aca="false">Sens!$L$5025+Sens!$L$5026+Sens!$L$5027-Sens!$L$5030</f>
        <v>0</v>
      </c>
      <c r="M5034" s="41" t="n">
        <f aca="false">Sens!$M$5025+Sens!$M$5026+Sens!$M$5027-Sens!$M$5030</f>
        <v>0</v>
      </c>
      <c r="N5034" s="41" t="n">
        <f aca="false">Sens!$N$5025+Sens!$N$5026+Sens!$N$5027-Sens!$N$5030</f>
        <v>0</v>
      </c>
      <c r="O5034" s="41" t="n">
        <f aca="false">Sens!$O$5025+Sens!$O$5026+Sens!$O$5027-Sens!$O$5030</f>
        <v>0</v>
      </c>
    </row>
    <row r="5035" customFormat="false" ht="17.15" hidden="false" customHeight="false" outlineLevel="0" collapsed="false">
      <c r="A5035" s="1" t="s">
        <v>719</v>
      </c>
    </row>
    <row r="5036" customFormat="false" ht="17.15" hidden="false" customHeight="false" outlineLevel="0" collapsed="false">
      <c r="A5036" s="0" t="s">
        <v>720</v>
      </c>
      <c r="B5036" s="0" t="s">
        <v>86</v>
      </c>
      <c r="C5036" s="38" t="n">
        <f aca="false">Sens!$C$4940*m_ad</f>
        <v>20.5341564414228</v>
      </c>
      <c r="D5036" s="38" t="n">
        <f aca="false">Sens!$D$4940*m_ad</f>
        <v>24.8720617299587</v>
      </c>
      <c r="E5036" s="38" t="n">
        <f aca="false">Sens!$E$4940*m_ad</f>
        <v>13.5017112462207</v>
      </c>
      <c r="F5036" s="38" t="n">
        <f aca="false">Sens!$F$4940*m_ad</f>
        <v>16.5719724165257</v>
      </c>
      <c r="G5036" s="38" t="n">
        <f aca="false">Sens!$G$4940*m_ad</f>
        <v>30.0820919220415</v>
      </c>
      <c r="H5036" s="38" t="n">
        <f aca="false">Sens!$H$4940*m_ad</f>
        <v>36.1150883276314</v>
      </c>
      <c r="I5036" s="38" t="n">
        <f aca="false">Sens!$I$4940*m_ad</f>
        <v>42.1475382231996</v>
      </c>
      <c r="J5036" s="38" t="n">
        <f aca="false">Sens!$J$4940*m_ad</f>
        <v>47.7749523864693</v>
      </c>
      <c r="K5036" s="38" t="n">
        <f aca="false">Sens!$K$4940*m_ad</f>
        <v>52.5524476251162</v>
      </c>
      <c r="L5036" s="38" t="n">
        <f aca="false">Sens!$L$4940*m_ad</f>
        <v>57.8076923876279</v>
      </c>
      <c r="M5036" s="38" t="n">
        <f aca="false">Sens!$M$4940*m_ad</f>
        <v>63.5884616263907</v>
      </c>
      <c r="N5036" s="38" t="n">
        <f aca="false">Sens!$N$4940*m_ad</f>
        <v>10.8543555706248</v>
      </c>
      <c r="O5036" s="38" t="n">
        <f aca="false">Sens!$O$4940*m_ad</f>
        <v>14.0094731821399</v>
      </c>
    </row>
    <row r="5037" customFormat="false" ht="17.15" hidden="false" customHeight="false" outlineLevel="0" collapsed="false">
      <c r="A5037" s="0" t="s">
        <v>721</v>
      </c>
      <c r="B5037" s="0" t="s">
        <v>86</v>
      </c>
      <c r="C5037" s="38" t="n">
        <f aca="false">Sens!$C$4938-Sens!$C$4940</f>
        <v>346.428687117154</v>
      </c>
      <c r="D5037" s="38" t="n">
        <f aca="false">Sens!$D$4938-Sens!$D$4940</f>
        <v>376.560876540083</v>
      </c>
      <c r="E5037" s="38" t="n">
        <f aca="false">Sens!$E$4938-Sens!$E$4940</f>
        <v>193.316577507559</v>
      </c>
      <c r="F5037" s="38" t="n">
        <f aca="false">Sens!$F$4938-Sens!$F$4940</f>
        <v>217.495828647535</v>
      </c>
      <c r="G5037" s="38" t="n">
        <f aca="false">Sens!$G$4938-Sens!$G$4940</f>
        <v>410.795589636503</v>
      </c>
      <c r="H5037" s="38" t="n">
        <f aca="false">Sens!$H$4938-Sens!$H$4940</f>
        <v>449.156813761174</v>
      </c>
      <c r="I5037" s="38" t="n">
        <f aca="false">Sens!$I$4938-Sens!$I$4940</f>
        <v>485.848786441156</v>
      </c>
      <c r="J5037" s="38" t="n">
        <f aca="false">Sens!$J$4938-Sens!$J$4940</f>
        <v>519.841531018994</v>
      </c>
      <c r="K5037" s="38" t="n">
        <f aca="false">Sens!$K$4938-Sens!$K$4940</f>
        <v>550.103332311311</v>
      </c>
      <c r="L5037" s="38" t="n">
        <f aca="false">Sens!$L$4938-Sens!$L$4940</f>
        <v>582.192354474511</v>
      </c>
      <c r="M5037" s="38" t="n">
        <f aca="false">Sens!$M$4938-Sens!$M$4940</f>
        <v>616.22240521081</v>
      </c>
      <c r="N5037" s="38" t="n">
        <f aca="false">Sens!$N$4938-Sens!$N$4940</f>
        <v>171.24628885875</v>
      </c>
      <c r="O5037" s="38" t="n">
        <f aca="false">Sens!$O$4938-Sens!$O$4940</f>
        <v>205.33105363572</v>
      </c>
    </row>
    <row r="5038" customFormat="false" ht="17.15" hidden="false" customHeight="false" outlineLevel="0" collapsed="false">
      <c r="A5038" s="0" t="s">
        <v>722</v>
      </c>
      <c r="B5038" s="0" t="s">
        <v>86</v>
      </c>
      <c r="C5038" s="38" t="n">
        <f aca="false">Sens!$C$4989*Sens!$C$4937</f>
        <v>0.123617442257179</v>
      </c>
      <c r="D5038" s="38" t="n">
        <f aca="false">Sens!$D$4989*Sens!$D$4937</f>
        <v>0.600198046024689</v>
      </c>
      <c r="E5038" s="38" t="n">
        <f aca="false">Sens!$E$4989*Sens!$E$4937</f>
        <v>0.970552432202993</v>
      </c>
      <c r="F5038" s="38" t="n">
        <f aca="false">Sens!$F$4989*Sens!$F$4937</f>
        <v>1.20013524388435</v>
      </c>
      <c r="G5038" s="38" t="n">
        <f aca="false">Sens!$G$4989*Sens!$G$4937</f>
        <v>2.17135369594947</v>
      </c>
      <c r="H5038" s="38" t="n">
        <f aca="false">Sens!$H$4989*Sens!$H$4937</f>
        <v>6.14227489656333</v>
      </c>
      <c r="I5038" s="38" t="n">
        <f aca="false">Sens!$I$4989*Sens!$I$4937</f>
        <v>11.6518054969681</v>
      </c>
      <c r="J5038" s="38" t="n">
        <f aca="false">Sens!$J$4989*Sens!$J$4937</f>
        <v>17.3105301010592</v>
      </c>
      <c r="K5038" s="38" t="n">
        <f aca="false">Sens!$K$4989*Sens!$K$4937</f>
        <v>22.8486728059883</v>
      </c>
      <c r="L5038" s="38" t="n">
        <f aca="false">Sens!$L$4989*Sens!$L$4937</f>
        <v>26.6849171332777</v>
      </c>
      <c r="M5038" s="38" t="n">
        <f aca="false">Sens!$M$4989*Sens!$M$4937</f>
        <v>29.0523240317336</v>
      </c>
      <c r="N5038" s="38" t="n">
        <f aca="false">Sens!$N$4989*Sens!$N$4937</f>
        <v>0.25053229484398</v>
      </c>
      <c r="O5038" s="38" t="n">
        <f aca="false">Sens!$O$4989*Sens!$O$4937</f>
        <v>0.349234376756897</v>
      </c>
    </row>
    <row r="5039" customFormat="false" ht="17.15" hidden="false" customHeight="false" outlineLevel="0" collapsed="false">
      <c r="A5039" s="0" t="s">
        <v>723</v>
      </c>
      <c r="B5039" s="0" t="s">
        <v>52</v>
      </c>
      <c r="C5039" s="28" t="n">
        <f aca="false">(Sens!$C$5040-Sens!$C$5036+Sens!$C$5038)/Sens!$C$5037</f>
        <v>0.0131526665379575</v>
      </c>
      <c r="D5039" s="28" t="n">
        <f aca="false">(Sens!$D$5040-Sens!$D$5036+Sens!$D$5038)/Sens!$D$5037</f>
        <v>0.0141999252954702</v>
      </c>
      <c r="E5039" s="28" t="n">
        <f aca="false">(Sens!$E$5040-Sens!$E$5036+Sens!$E$5038)/Sens!$E$5037</f>
        <v>0.0251341154940129</v>
      </c>
      <c r="F5039" s="28" t="n">
        <f aca="false">Sens!$O$5039+(Sens!$E$5039-Sens!$N$5039)</f>
        <v>0.0217171685713677</v>
      </c>
      <c r="G5039" s="28" t="n">
        <f aca="false">(Sens!$G$5040-Sens!$G$5036+Sens!$G$5038)/Sens!$G$5037</f>
        <v>0.0233071940458981</v>
      </c>
      <c r="H5039" s="28" t="n">
        <f aca="false">Sens!$G$5039+step_na</f>
        <v>0.0263071940458981</v>
      </c>
      <c r="I5039" s="28" t="n">
        <f aca="false">Sens!$H$5039+step_na</f>
        <v>0.0293071940458981</v>
      </c>
      <c r="J5039" s="28" t="n">
        <f aca="false">Sens!$I$5039+step_na</f>
        <v>0.0323071940458981</v>
      </c>
      <c r="K5039" s="28" t="n">
        <f aca="false">Sens!$J$5039+step_na</f>
        <v>0.0353071940458981</v>
      </c>
      <c r="L5039" s="28" t="n">
        <f aca="false">Sens!$K$5039</f>
        <v>0.0353071940458981</v>
      </c>
      <c r="M5039" s="28" t="n">
        <f aca="false">Sens!$L$5039</f>
        <v>0.0353071940458981</v>
      </c>
      <c r="N5039" s="28" t="n">
        <f aca="false">(Sens!$N$5040-Sens!$N$5036+Sens!$N$5038)/Sens!$N$5037</f>
        <v>0.0160831323269779</v>
      </c>
      <c r="O5039" s="28" t="n">
        <f aca="false">(Sens!$O$5040-Sens!$O$5036+Sens!$O$5038)/Sens!$O$5037</f>
        <v>0.0126661854043327</v>
      </c>
      <c r="P5039" s="8" t="s">
        <v>724</v>
      </c>
    </row>
    <row r="5040" customFormat="false" ht="17.15" hidden="false" customHeight="false" outlineLevel="0" collapsed="false">
      <c r="A5040" s="1" t="s">
        <v>725</v>
      </c>
      <c r="B5040" s="8" t="s">
        <v>86</v>
      </c>
      <c r="C5040" s="38" t="n">
        <f aca="false">Q!$D$22</f>
        <v>24.967</v>
      </c>
      <c r="D5040" s="38" t="n">
        <f aca="false">Q!$E$22</f>
        <v>29.619</v>
      </c>
      <c r="E5040" s="38" t="n">
        <f aca="false">Q!$P$22</f>
        <v>17.39</v>
      </c>
      <c r="F5040" s="38" t="n">
        <f aca="false">Sens!$F$5036+Sens!$F$5037*Sens!$F$5039-Sens!$F$5038</f>
        <v>20.0952307469491</v>
      </c>
      <c r="G5040" s="38" t="n">
        <f aca="false">Sens!$E$5040+Sens!$F$5040</f>
        <v>37.4852307469491</v>
      </c>
      <c r="H5040" s="38" t="n">
        <f aca="false">Sens!$H$5036+Sens!$H$5037*Sens!$H$5039-Sens!$H$5038</f>
        <v>41.7888688877206</v>
      </c>
      <c r="I5040" s="38" t="n">
        <f aca="false">Sens!$I$5036+Sens!$I$5037*Sens!$I$5039-Sens!$I$5038</f>
        <v>44.7345973874265</v>
      </c>
      <c r="J5040" s="38" t="n">
        <f aca="false">Sens!$J$5036+Sens!$J$5037*Sens!$J$5039-Sens!$J$5038</f>
        <v>47.2590435011574</v>
      </c>
      <c r="K5040" s="38" t="n">
        <f aca="false">Sens!$K$5036+Sens!$K$5037*Sens!$K$5039-Sens!$K$5038</f>
        <v>49.1263799183386</v>
      </c>
      <c r="L5040" s="38" t="n">
        <f aca="false">Sens!$L$5036+Sens!$L$5037*Sens!$L$5039-Sens!$L$5038</f>
        <v>51.67835368582</v>
      </c>
      <c r="M5040" s="38" t="n">
        <f aca="false">Sens!$M$5036+Sens!$M$5037*Sens!$M$5039-Sens!$M$5038</f>
        <v>56.2932216308652</v>
      </c>
      <c r="N5040" s="38" t="n">
        <f aca="false">Q!$N$22</f>
        <v>13.358</v>
      </c>
      <c r="O5040" s="38" t="n">
        <f aca="false">Q!$O$22</f>
        <v>16.261</v>
      </c>
    </row>
    <row r="5041" customFormat="false" ht="17.15" hidden="false" customHeight="false" outlineLevel="0" collapsed="false">
      <c r="A5041" s="0" t="s">
        <v>726</v>
      </c>
      <c r="B5041" s="0" t="s">
        <v>86</v>
      </c>
      <c r="C5041" s="38" t="n">
        <f aca="false">Sens!$C$4941*m_ad</f>
        <v>7.57284355857716</v>
      </c>
      <c r="D5041" s="38" t="n">
        <f aca="false">Sens!$D$4941*m_ad</f>
        <v>9.44543827004127</v>
      </c>
      <c r="E5041" s="38" t="n">
        <f aca="false">Sens!$E$4941*m_ad</f>
        <v>5.02428875377928</v>
      </c>
      <c r="F5041" s="38" t="n">
        <f aca="false">Sens!$F$4941*m_ad</f>
        <v>6.50663858068173</v>
      </c>
      <c r="G5041" s="38" t="n">
        <f aca="false">Sens!$G$4941*m_ad</f>
        <v>11.5225190751659</v>
      </c>
      <c r="H5041" s="38" t="n">
        <f aca="false">Sens!$H$4941*m_ad</f>
        <v>13.8333728663174</v>
      </c>
      <c r="I5041" s="38" t="n">
        <f aca="false">Sens!$I$4941*m_ad</f>
        <v>16.1440173245485</v>
      </c>
      <c r="J5041" s="38" t="n">
        <f aca="false">Sens!$J$4941*m_ad</f>
        <v>18.2995185845066</v>
      </c>
      <c r="K5041" s="38" t="n">
        <f aca="false">Sens!$K$4941*m_ad</f>
        <v>20.1294704429572</v>
      </c>
      <c r="L5041" s="38" t="n">
        <f aca="false">Sens!$L$4941*m_ad</f>
        <v>22.142417487253</v>
      </c>
      <c r="M5041" s="38" t="n">
        <f aca="false">Sens!$M$4941*m_ad</f>
        <v>24.3566592359783</v>
      </c>
      <c r="N5041" s="38" t="n">
        <f aca="false">Sens!$N$4941*m_ad</f>
        <v>3.95314442937518</v>
      </c>
      <c r="O5041" s="38" t="n">
        <f aca="false">Sens!$O$4941*m_ad</f>
        <v>5.50052681786011</v>
      </c>
    </row>
    <row r="5042" customFormat="false" ht="17.15" hidden="false" customHeight="false" outlineLevel="0" collapsed="false">
      <c r="A5042" s="0" t="s">
        <v>727</v>
      </c>
      <c r="B5042" s="0" t="s">
        <v>86</v>
      </c>
      <c r="C5042" s="38" t="n">
        <f aca="false">Sens!$C$4939-Sens!$C$4941</f>
        <v>127.760312882846</v>
      </c>
      <c r="D5042" s="38" t="n">
        <f aca="false">Sens!$D$4939-Sens!$D$4941</f>
        <v>143.003123459917</v>
      </c>
      <c r="E5042" s="38" t="n">
        <f aca="false">Sens!$E$4939-Sens!$E$4941</f>
        <v>71.9374224924414</v>
      </c>
      <c r="F5042" s="38" t="n">
        <f aca="false">Sens!$F$4939-Sens!$F$4941</f>
        <v>85.3951910035875</v>
      </c>
      <c r="G5042" s="38" t="n">
        <f aca="false">Sens!$G$4939-Sens!$G$4941</f>
        <v>157.349430014619</v>
      </c>
      <c r="H5042" s="38" t="n">
        <f aca="false">Sens!$H$4939-Sens!$H$4941</f>
        <v>172.043153372315</v>
      </c>
      <c r="I5042" s="38" t="n">
        <f aca="false">Sens!$I$4939-Sens!$I$4941</f>
        <v>186.097493615879</v>
      </c>
      <c r="J5042" s="38" t="n">
        <f aca="false">Sens!$J$4939-Sens!$J$4941</f>
        <v>199.117932780497</v>
      </c>
      <c r="K5042" s="38" t="n">
        <f aca="false">Sens!$K$4939-Sens!$K$4941</f>
        <v>210.70928698363</v>
      </c>
      <c r="L5042" s="38" t="n">
        <f aca="false">Sens!$L$4939-Sens!$L$4941</f>
        <v>223.000532251316</v>
      </c>
      <c r="M5042" s="38" t="n">
        <f aca="false">Sens!$M$4939-Sens!$M$4941</f>
        <v>236.035261011339</v>
      </c>
      <c r="N5042" s="38" t="n">
        <f aca="false">Sens!$N$4939-Sens!$N$4941</f>
        <v>62.3677111412496</v>
      </c>
      <c r="O5042" s="38" t="n">
        <f aca="false">Sens!$O$4939-Sens!$O$4941</f>
        <v>80.6189463642798</v>
      </c>
    </row>
    <row r="5043" customFormat="false" ht="17.15" hidden="false" customHeight="false" outlineLevel="0" collapsed="false">
      <c r="A5043" s="0" t="s">
        <v>728</v>
      </c>
      <c r="B5043" s="0" t="s">
        <v>86</v>
      </c>
      <c r="C5043" s="38" t="n">
        <f aca="false">Sens!$C$4989*(1-Sens!$C$4937)</f>
        <v>0.0455891896019953</v>
      </c>
      <c r="D5043" s="38" t="n">
        <f aca="false">Sens!$D$4989*(1-Sens!$D$4937)</f>
        <v>0.227931791705753</v>
      </c>
      <c r="E5043" s="38" t="n">
        <f aca="false">Sens!$E$4989*(1-Sens!$E$4937)</f>
        <v>0.361164268820781</v>
      </c>
      <c r="F5043" s="38" t="n">
        <f aca="false">Sens!$F$4989*(1-Sens!$F$4937)</f>
        <v>0.471208018190203</v>
      </c>
      <c r="G5043" s="38" t="n">
        <f aca="false">Sens!$G$4989*(1-Sens!$G$4937)</f>
        <v>0.83170626714885</v>
      </c>
      <c r="H5043" s="38" t="n">
        <f aca="false">Sens!$H$4989*(1-Sens!$H$4937)</f>
        <v>2.35271136874315</v>
      </c>
      <c r="I5043" s="38" t="n">
        <f aca="false">Sens!$I$4989*(1-Sens!$I$4937)</f>
        <v>4.46305900024741</v>
      </c>
      <c r="J5043" s="38" t="n">
        <f aca="false">Sens!$J$4989*(1-Sens!$J$4937)</f>
        <v>6.63055328092195</v>
      </c>
      <c r="K5043" s="38" t="n">
        <f aca="false">Sens!$K$4989*(1-Sens!$K$4937)</f>
        <v>8.75186037365703</v>
      </c>
      <c r="L5043" s="38" t="n">
        <f aca="false">Sens!$L$4989*(1-Sens!$L$4937)</f>
        <v>10.2212794071718</v>
      </c>
      <c r="M5043" s="38" t="n">
        <f aca="false">Sens!$M$4989*(1-Sens!$M$4937)</f>
        <v>11.1280810756472</v>
      </c>
      <c r="N5043" s="38" t="n">
        <f aca="false">Sens!$N$4989*(1-Sens!$N$4937)</f>
        <v>0.0912435878202994</v>
      </c>
      <c r="O5043" s="38" t="n">
        <f aca="false">Sens!$O$4989*(1-Sens!$O$4937)</f>
        <v>0.137119578309265</v>
      </c>
    </row>
    <row r="5044" customFormat="false" ht="17.15" hidden="false" customHeight="false" outlineLevel="0" collapsed="false">
      <c r="A5044" s="0" t="s">
        <v>729</v>
      </c>
      <c r="B5044" s="0" t="s">
        <v>52</v>
      </c>
      <c r="C5044" s="28" t="n">
        <f aca="false">(Sens!$C$5045-Sens!$C$5041+Sens!$C$5043)/Sens!$C$5042</f>
        <v>-0.0292364215826579</v>
      </c>
      <c r="D5044" s="28" t="n">
        <f aca="false">(Sens!$D$5045-Sens!$D$5041+Sens!$D$5043)/Sens!$D$5042</f>
        <v>-0.0312406216748665</v>
      </c>
      <c r="E5044" s="28" t="n">
        <f aca="false">(Sens!$E$5045-Sens!$E$5041+Sens!$E$5043)/Sens!$E$5042</f>
        <v>-0.0211590078184749</v>
      </c>
      <c r="F5044" s="28" t="n">
        <f aca="false">Sens!$O$5044+(Sens!$E$5044-Sens!$N$5044)</f>
        <v>-0.0382539955245511</v>
      </c>
      <c r="G5044" s="28" t="n">
        <f aca="false">(Sens!$G$5045-Sens!$G$5041+Sens!$G$5043)/Sens!$G$5042</f>
        <v>-0.030385172031133</v>
      </c>
      <c r="H5044" s="28" t="n">
        <f aca="false">Sens!$G$5044+step_in</f>
        <v>-0.030385172031133</v>
      </c>
      <c r="I5044" s="28" t="n">
        <f aca="false">Sens!$H$5044+step_in</f>
        <v>-0.030385172031133</v>
      </c>
      <c r="J5044" s="28" t="n">
        <f aca="false">Sens!$I$5044+step_in</f>
        <v>-0.030385172031133</v>
      </c>
      <c r="K5044" s="28" t="n">
        <f aca="false">Sens!$J$5044+step_in</f>
        <v>-0.030385172031133</v>
      </c>
      <c r="L5044" s="28" t="n">
        <f aca="false">Sens!$K$5044</f>
        <v>-0.030385172031133</v>
      </c>
      <c r="M5044" s="28" t="n">
        <f aca="false">Sens!$L$5044</f>
        <v>-0.030385172031133</v>
      </c>
      <c r="N5044" s="28" t="n">
        <f aca="false">(Sens!$N$5045-Sens!$N$5041+Sens!$N$5043)/Sens!$N$5042</f>
        <v>-0.0216602600421776</v>
      </c>
      <c r="O5044" s="28" t="n">
        <f aca="false">(Sens!$O$5045-Sens!$O$5041+Sens!$O$5043)/Sens!$O$5042</f>
        <v>-0.0387552477482538</v>
      </c>
      <c r="P5044" s="8" t="s">
        <v>724</v>
      </c>
    </row>
    <row r="5045" customFormat="false" ht="17.15" hidden="false" customHeight="false" outlineLevel="0" collapsed="false">
      <c r="A5045" s="1" t="s">
        <v>730</v>
      </c>
      <c r="B5045" s="8" t="s">
        <v>86</v>
      </c>
      <c r="C5045" s="38" t="n">
        <f aca="false">Q!$D$23</f>
        <v>3.792</v>
      </c>
      <c r="D5045" s="38" t="n">
        <f aca="false">Q!$E$23</f>
        <v>4.75</v>
      </c>
      <c r="E5045" s="38" t="n">
        <f aca="false">Q!$P$23</f>
        <v>3.141</v>
      </c>
      <c r="F5045" s="38" t="n">
        <f aca="false">Sens!$F$5041+Sens!$F$5042*Sens!$F$5044-Sens!$F$5043</f>
        <v>2.7687233080221</v>
      </c>
      <c r="G5045" s="38" t="n">
        <f aca="false">Sens!$E$5045+Sens!$F$5045</f>
        <v>5.9097233080221</v>
      </c>
      <c r="H5045" s="38" t="n">
        <f aca="false">Sens!$H$5041+Sens!$H$5042*Sens!$H$5044-Sens!$H$5043</f>
        <v>6.25310068557783</v>
      </c>
      <c r="I5045" s="38" t="n">
        <f aca="false">Sens!$I$5041+Sens!$I$5042*Sens!$I$5044-Sens!$I$5043</f>
        <v>6.02635396621997</v>
      </c>
      <c r="J5045" s="38" t="n">
        <f aca="false">Sens!$J$5041+Sens!$J$5042*Sens!$J$5044-Sens!$J$5043</f>
        <v>5.61873266156566</v>
      </c>
      <c r="K5045" s="38" t="n">
        <f aca="false">Sens!$K$5041+Sens!$K$5042*Sens!$K$5044-Sens!$K$5043</f>
        <v>4.97517213574524</v>
      </c>
      <c r="L5045" s="38" t="n">
        <f aca="false">Sens!$L$5041+Sens!$L$5042*Sens!$L$5044-Sens!$L$5043</f>
        <v>5.14522854459066</v>
      </c>
      <c r="M5045" s="38" t="n">
        <f aca="false">Sens!$M$5041+Sens!$M$5042*Sens!$M$5044-Sens!$M$5043</f>
        <v>6.05660614908815</v>
      </c>
      <c r="N5045" s="38" t="n">
        <f aca="false">Q!$N$23</f>
        <v>2.511</v>
      </c>
      <c r="O5045" s="38" t="n">
        <f aca="false">Q!$O$23</f>
        <v>2.239</v>
      </c>
    </row>
    <row r="5046" customFormat="false" ht="17.15" hidden="false" customHeight="false" outlineLevel="0" collapsed="false">
      <c r="A5046" s="0" t="s">
        <v>731</v>
      </c>
      <c r="B5046" s="0" t="s">
        <v>86</v>
      </c>
      <c r="C5046" s="38" t="n">
        <f aca="false">Sens!$C$4986</f>
        <v>1.64417882953695</v>
      </c>
      <c r="D5046" s="38" t="n">
        <f aca="false">Sens!$D$4986</f>
        <v>5.39125073772939</v>
      </c>
      <c r="E5046" s="38" t="n">
        <f aca="false">Sens!$E$4986</f>
        <v>3.18348617147493</v>
      </c>
      <c r="F5046" s="38" t="n">
        <f aca="false">Sens!$F$4986</f>
        <v>8.27806059642226</v>
      </c>
      <c r="G5046" s="38" t="n">
        <f aca="false">Sens!$G$4986</f>
        <v>11.4615467678972</v>
      </c>
      <c r="H5046" s="38" t="n">
        <f aca="false">Sens!$H$4986</f>
        <v>26.1859456885487</v>
      </c>
      <c r="I5046" s="38" t="n">
        <f aca="false">Sens!$I$4986</f>
        <v>37.04424114757</v>
      </c>
      <c r="J5046" s="38" t="n">
        <f aca="false">Sens!$J$4986</f>
        <v>47.2610736233534</v>
      </c>
      <c r="K5046" s="38" t="n">
        <f aca="false">Sens!$K$4986</f>
        <v>52.0459876645985</v>
      </c>
      <c r="L5046" s="38" t="n">
        <f aca="false">Sens!$L$4986</f>
        <v>54.1033156405981</v>
      </c>
      <c r="M5046" s="38" t="n">
        <f aca="false">Sens!$M$4986</f>
        <v>52.1138209393421</v>
      </c>
      <c r="N5046" s="38" t="n">
        <f aca="false">Sens!$N$4986</f>
        <v>1.67921600037079</v>
      </c>
      <c r="O5046" s="38" t="n">
        <f aca="false">Sens!$O$4986</f>
        <v>3.71203473735861</v>
      </c>
    </row>
    <row r="5047" customFormat="false" ht="17.15" hidden="false" customHeight="false" outlineLevel="0" collapsed="false">
      <c r="A5047" s="0" t="s">
        <v>649</v>
      </c>
      <c r="B5047" s="0" t="s">
        <v>86</v>
      </c>
      <c r="C5047" s="38" t="n">
        <f aca="false">Sens!$C$4991</f>
        <v>38.1898211704631</v>
      </c>
      <c r="D5047" s="38" t="n">
        <f aca="false">Sens!$D$4991</f>
        <v>40.2147492622706</v>
      </c>
      <c r="E5047" s="38" t="n">
        <f aca="false">Sens!$E$4991</f>
        <v>27.5985138285251</v>
      </c>
      <c r="F5047" s="38" t="n">
        <f aca="false">Sens!$F$4991</f>
        <v>25.5484769754606</v>
      </c>
      <c r="G5047" s="38" t="n">
        <f aca="false">Sens!$G$4991</f>
        <v>53.1469908039857</v>
      </c>
      <c r="H5047" s="38" t="n">
        <f aca="false">Sens!$H$4991</f>
        <v>57.3189525076539</v>
      </c>
      <c r="I5047" s="38" t="n">
        <f aca="false">Sens!$I$4991</f>
        <v>63.6385627021087</v>
      </c>
      <c r="J5047" s="38" t="n">
        <f aca="false">Sens!$J$4991</f>
        <v>69.6922896066105</v>
      </c>
      <c r="K5047" s="38" t="n">
        <f aca="false">Sens!$K$4991</f>
        <v>75.2676727751394</v>
      </c>
      <c r="L5047" s="38" t="n">
        <f aca="false">Sens!$L$4991</f>
        <v>81.2890865971505</v>
      </c>
      <c r="M5047" s="38" t="n">
        <f aca="false">Sens!$M$4991</f>
        <v>87.7922135249226</v>
      </c>
      <c r="N5047" s="38" t="n">
        <f aca="false">Sens!$N$4991</f>
        <v>20.0277839996292</v>
      </c>
      <c r="O5047" s="38" t="n">
        <f aca="false">Sens!$O$4991</f>
        <v>20.1869652626414</v>
      </c>
    </row>
    <row r="5048" customFormat="false" ht="17.15" hidden="false" customHeight="false" outlineLevel="0" collapsed="false">
      <c r="A5048" s="1" t="s">
        <v>732</v>
      </c>
      <c r="B5048" s="8" t="s">
        <v>86</v>
      </c>
      <c r="C5048" s="38" t="n">
        <f aca="false">Q!$D$24</f>
        <v>39.834</v>
      </c>
      <c r="D5048" s="38" t="n">
        <f aca="false">Q!$E$24</f>
        <v>45.606</v>
      </c>
      <c r="E5048" s="38" t="n">
        <f aca="false">Q!$P$24</f>
        <v>30.782</v>
      </c>
      <c r="F5048" s="38" t="n">
        <f aca="false">Sens!$F$5046+Sens!$F$5047</f>
        <v>33.8265375718829</v>
      </c>
      <c r="G5048" s="38" t="n">
        <f aca="false">Sens!$G$5046+Sens!$G$5047</f>
        <v>64.6085375718829</v>
      </c>
      <c r="H5048" s="38" t="n">
        <f aca="false">Sens!$H$5046+Sens!$H$5047</f>
        <v>83.5048981962026</v>
      </c>
      <c r="I5048" s="38" t="n">
        <f aca="false">Sens!$I$5046+Sens!$I$5047</f>
        <v>100.682803849679</v>
      </c>
      <c r="J5048" s="38" t="n">
        <f aca="false">Sens!$J$5046+Sens!$J$5047</f>
        <v>116.953363229964</v>
      </c>
      <c r="K5048" s="38" t="n">
        <f aca="false">Sens!$K$5046+Sens!$K$5047</f>
        <v>127.313660439738</v>
      </c>
      <c r="L5048" s="38" t="n">
        <f aca="false">Sens!$L$5046+Sens!$L$5047</f>
        <v>135.392402237749</v>
      </c>
      <c r="M5048" s="38" t="n">
        <f aca="false">Sens!$M$5046+Sens!$M$5047</f>
        <v>139.906034464265</v>
      </c>
      <c r="N5048" s="38" t="n">
        <f aca="false">Q!$N$24</f>
        <v>21.707</v>
      </c>
      <c r="O5048" s="38" t="n">
        <f aca="false">Q!$O$24</f>
        <v>23.899</v>
      </c>
    </row>
    <row r="5049" customFormat="false" ht="17.15" hidden="false" customHeight="false" outlineLevel="0" collapsed="false">
      <c r="A5049" s="5" t="s">
        <v>733</v>
      </c>
      <c r="B5049" s="0" t="s">
        <v>86</v>
      </c>
      <c r="C5049" s="38" t="n">
        <f aca="false">Q!$D$26</f>
        <v>0</v>
      </c>
      <c r="D5049" s="38" t="n">
        <f aca="false">Q!$E$26</f>
        <v>0</v>
      </c>
      <c r="E5049" s="38" t="n">
        <f aca="false">Q!$P$26</f>
        <v>0</v>
      </c>
      <c r="F5049" s="39" t="n">
        <v>0</v>
      </c>
      <c r="G5049" s="38" t="n">
        <f aca="false">Sens!$E$5049+Sens!$F$5049</f>
        <v>0</v>
      </c>
      <c r="H5049" s="39" t="n">
        <v>0</v>
      </c>
      <c r="I5049" s="39" t="n">
        <v>0</v>
      </c>
      <c r="J5049" s="39" t="n">
        <v>0</v>
      </c>
      <c r="K5049" s="39" t="n">
        <v>0</v>
      </c>
      <c r="L5049" s="39" t="n">
        <v>0</v>
      </c>
      <c r="M5049" s="39" t="n">
        <v>0</v>
      </c>
      <c r="N5049" s="38" t="n">
        <f aca="false">Q!$N$26</f>
        <v>0</v>
      </c>
      <c r="O5049" s="38" t="n">
        <f aca="false">Q!$O$26</f>
        <v>0</v>
      </c>
    </row>
    <row r="5050" customFormat="false" ht="15" hidden="false" customHeight="false" outlineLevel="0" collapsed="false">
      <c r="A5050" s="3" t="s">
        <v>534</v>
      </c>
      <c r="B5050" s="8" t="s">
        <v>86</v>
      </c>
      <c r="C5050" s="38" t="n">
        <f aca="false">Q!$D$25</f>
        <v>68.593</v>
      </c>
      <c r="D5050" s="38" t="n">
        <f aca="false">Q!$E$25</f>
        <v>79.975</v>
      </c>
      <c r="E5050" s="38" t="n">
        <f aca="false">Q!$P$25</f>
        <v>51.313</v>
      </c>
      <c r="F5050" s="38" t="n">
        <f aca="false">Sens!$F$5040+Sens!$F$5045+Sens!$F$5048+Sens!$F$5049</f>
        <v>56.6904916268541</v>
      </c>
      <c r="G5050" s="38" t="n">
        <f aca="false">Sens!$G$5040+Sens!$G$5045+Sens!$G$5048+Sens!$G$5049</f>
        <v>108.003491626854</v>
      </c>
      <c r="H5050" s="38" t="n">
        <f aca="false">Sens!$H$5040+Sens!$H$5045+Sens!$H$5048+Sens!$H$5049</f>
        <v>131.546867769501</v>
      </c>
      <c r="I5050" s="38" t="n">
        <f aca="false">Sens!$I$5040+Sens!$I$5045+Sens!$I$5048+Sens!$I$5049</f>
        <v>151.443755203325</v>
      </c>
      <c r="J5050" s="38" t="n">
        <f aca="false">Sens!$J$5040+Sens!$J$5045+Sens!$J$5048+Sens!$J$5049</f>
        <v>169.831139392687</v>
      </c>
      <c r="K5050" s="38" t="n">
        <f aca="false">Sens!$K$5040+Sens!$K$5045+Sens!$K$5048+Sens!$K$5049</f>
        <v>181.415212493822</v>
      </c>
      <c r="L5050" s="38" t="n">
        <f aca="false">Sens!$L$5040+Sens!$L$5045+Sens!$L$5048+Sens!$L$5049</f>
        <v>192.215984468159</v>
      </c>
      <c r="M5050" s="38" t="n">
        <f aca="false">Sens!$M$5040+Sens!$M$5045+Sens!$M$5048+Sens!$M$5049</f>
        <v>202.255862244218</v>
      </c>
      <c r="N5050" s="38" t="n">
        <f aca="false">Q!$N$25</f>
        <v>37.576</v>
      </c>
      <c r="O5050" s="38" t="n">
        <f aca="false">Q!$O$25</f>
        <v>42.399</v>
      </c>
    </row>
    <row r="5051" customFormat="false" ht="17.15" hidden="false" customHeight="false" outlineLevel="0" collapsed="false">
      <c r="A5051" s="24" t="s">
        <v>764</v>
      </c>
      <c r="B5051" s="25" t="s">
        <v>86</v>
      </c>
      <c r="C5051" s="41" t="n">
        <f aca="false">Sens!$C$5040+Sens!$C$5045+Sens!$C$5048+Sens!$C$5049-Sens!$C$5050</f>
        <v>0</v>
      </c>
      <c r="D5051" s="41" t="n">
        <f aca="false">Sens!$D$5040+Sens!$D$5045+Sens!$D$5048+Sens!$D$5049-Sens!$D$5050</f>
        <v>0</v>
      </c>
      <c r="E5051" s="41" t="n">
        <f aca="false">Sens!$E$5040+Sens!$E$5045+Sens!$E$5048+Sens!$E$5049-Sens!$E$5050</f>
        <v>0</v>
      </c>
      <c r="F5051" s="41" t="n">
        <f aca="false">Sens!$F$5040+Sens!$F$5045+Sens!$F$5048+Sens!$F$5049-Sens!$F$5050</f>
        <v>0</v>
      </c>
      <c r="G5051" s="41" t="n">
        <f aca="false">Sens!$G$5040+Sens!$G$5045+Sens!$G$5048+Sens!$G$5049-Sens!$G$5050</f>
        <v>0</v>
      </c>
      <c r="H5051" s="41" t="n">
        <f aca="false">Sens!$H$5040+Sens!$H$5045+Sens!$H$5048+Sens!$H$5049-Sens!$H$5050</f>
        <v>0</v>
      </c>
      <c r="I5051" s="41" t="n">
        <f aca="false">Sens!$I$5040+Sens!$I$5045+Sens!$I$5048+Sens!$I$5049-Sens!$I$5050</f>
        <v>0</v>
      </c>
      <c r="J5051" s="41" t="n">
        <f aca="false">Sens!$J$5040+Sens!$J$5045+Sens!$J$5048+Sens!$J$5049-Sens!$J$5050</f>
        <v>0</v>
      </c>
      <c r="K5051" s="41" t="n">
        <f aca="false">Sens!$K$5040+Sens!$K$5045+Sens!$K$5048+Sens!$K$5049-Sens!$K$5050</f>
        <v>0</v>
      </c>
      <c r="L5051" s="41" t="n">
        <f aca="false">Sens!$L$5040+Sens!$L$5045+Sens!$L$5048+Sens!$L$5049-Sens!$L$5050</f>
        <v>0</v>
      </c>
      <c r="M5051" s="41" t="n">
        <f aca="false">Sens!$M$5040+Sens!$M$5045+Sens!$M$5048+Sens!$M$5049-Sens!$M$5050</f>
        <v>0</v>
      </c>
      <c r="N5051" s="41" t="n">
        <f aca="false">Sens!$N$5040+Sens!$N$5045+Sens!$N$5048+Sens!$N$5049-Sens!$N$5050</f>
        <v>0</v>
      </c>
      <c r="O5051" s="41" t="n">
        <f aca="false">Sens!$O$5040+Sens!$O$5045+Sens!$O$5048+Sens!$O$5049-Sens!$O$5050</f>
        <v>0</v>
      </c>
    </row>
    <row r="5052" customFormat="false" ht="17.15" hidden="false" customHeight="false" outlineLevel="0" collapsed="false">
      <c r="A5052" s="5" t="s">
        <v>735</v>
      </c>
      <c r="B5052" s="0" t="s">
        <v>86</v>
      </c>
      <c r="C5052" s="38" t="n">
        <f aca="false">Sens!$C$4988</f>
        <v>0</v>
      </c>
      <c r="D5052" s="38" t="n">
        <f aca="false">Sens!$D$4988</f>
        <v>0</v>
      </c>
      <c r="E5052" s="38" t="n">
        <f aca="false">Sens!$E$4988</f>
        <v>0</v>
      </c>
      <c r="F5052" s="38" t="n">
        <f aca="false">Sens!$F$4988</f>
        <v>3.77122048175818</v>
      </c>
      <c r="G5052" s="38" t="n">
        <f aca="false">Sens!$G$4988</f>
        <v>3.77122048175818</v>
      </c>
      <c r="H5052" s="38" t="n">
        <f aca="false">Sens!$H$4988</f>
        <v>15.1635543609893</v>
      </c>
      <c r="I5052" s="38" t="n">
        <f aca="false">Sens!$I$4988</f>
        <v>25.5818843619889</v>
      </c>
      <c r="J5052" s="38" t="n">
        <f aca="false">Sens!$J$4988</f>
        <v>36.0465624179122</v>
      </c>
      <c r="K5052" s="38" t="n">
        <f aca="false">Sens!$K$4988</f>
        <v>44.9741164026038</v>
      </c>
      <c r="L5052" s="38" t="n">
        <f aca="false">Sens!$L$4988</f>
        <v>50.8413488057813</v>
      </c>
      <c r="M5052" s="38" t="n">
        <f aca="false">Sens!$M$4988</f>
        <v>53.6407214274315</v>
      </c>
      <c r="N5052" s="38" t="n">
        <f aca="false">Sens!$N$4988</f>
        <v>0</v>
      </c>
      <c r="O5052" s="38" t="n">
        <f aca="false">Sens!$O$4988</f>
        <v>0</v>
      </c>
      <c r="P5052" s="5" t="s">
        <v>736</v>
      </c>
    </row>
    <row r="5053" customFormat="false" ht="17.15" hidden="false" customHeight="false" outlineLevel="0" collapsed="false">
      <c r="A5053" s="5" t="s">
        <v>737</v>
      </c>
      <c r="B5053" s="0" t="s">
        <v>86</v>
      </c>
      <c r="C5053" s="38" t="n">
        <f aca="false">Sens!$C$5050+Sens!$C$5052</f>
        <v>68.593</v>
      </c>
      <c r="D5053" s="38" t="n">
        <f aca="false">Sens!$D$5050+Sens!$D$5052</f>
        <v>79.975</v>
      </c>
      <c r="E5053" s="38" t="n">
        <f aca="false">Sens!$E$5050+Sens!$E$5052</f>
        <v>51.313</v>
      </c>
      <c r="F5053" s="38" t="n">
        <f aca="false">Sens!$F$5050+Sens!$F$5052</f>
        <v>60.4617121086123</v>
      </c>
      <c r="G5053" s="38" t="n">
        <f aca="false">Sens!$G$5050+Sens!$G$5052</f>
        <v>111.774712108612</v>
      </c>
      <c r="H5053" s="38" t="n">
        <f aca="false">Sens!$H$5050+Sens!$H$5052</f>
        <v>146.71042213049</v>
      </c>
      <c r="I5053" s="38" t="n">
        <f aca="false">Sens!$I$5050+Sens!$I$5052</f>
        <v>177.025639565314</v>
      </c>
      <c r="J5053" s="38" t="n">
        <f aca="false">Sens!$J$5050+Sens!$J$5052</f>
        <v>205.877701810599</v>
      </c>
      <c r="K5053" s="38" t="n">
        <f aca="false">Sens!$K$5050+Sens!$K$5052</f>
        <v>226.389328896426</v>
      </c>
      <c r="L5053" s="38" t="n">
        <f aca="false">Sens!$L$5050+Sens!$L$5052</f>
        <v>243.057333273941</v>
      </c>
      <c r="M5053" s="38" t="n">
        <f aca="false">Sens!$M$5050+Sens!$M$5052</f>
        <v>255.896583671649</v>
      </c>
      <c r="N5053" s="38" t="n">
        <f aca="false">Sens!$N$5050+Sens!$N$5052</f>
        <v>37.576</v>
      </c>
      <c r="O5053" s="38" t="n">
        <f aca="false">Sens!$O$5050+Sens!$O$5052</f>
        <v>42.399</v>
      </c>
    </row>
    <row r="5054" customFormat="false" ht="17.15" hidden="false" customHeight="false" outlineLevel="0" collapsed="false">
      <c r="A5054" s="0" t="s">
        <v>738</v>
      </c>
      <c r="B5054" s="0" t="s">
        <v>52</v>
      </c>
      <c r="C5054" s="13" t="n">
        <f aca="false">Sens!$C$5040/Sens!$C$5025</f>
        <v>0.0644314665661928</v>
      </c>
      <c r="D5054" s="13" t="n">
        <f aca="false">Sens!$D$5040/Sens!$D$5025</f>
        <v>0.0694784250712518</v>
      </c>
      <c r="E5054" s="13" t="n">
        <f aca="false">Sens!$E$5040/Sens!$E$5025</f>
        <v>0.0789306463326071</v>
      </c>
      <c r="F5054" s="13" t="n">
        <f aca="false">Sens!$F$5040/Sens!$F$5025</f>
        <v>0.0801757457241943</v>
      </c>
      <c r="G5054" s="13" t="n">
        <f aca="false">Sens!$G$5040/Sens!$G$5025</f>
        <v>0.0795932749625682</v>
      </c>
      <c r="H5054" s="13" t="n">
        <f aca="false">Sens!$H$5040/Sens!$H$5025</f>
        <v>0.0801494276915951</v>
      </c>
      <c r="I5054" s="13" t="n">
        <f aca="false">Sens!$I$5040/Sens!$I$5025</f>
        <v>0.0784619467108939</v>
      </c>
      <c r="J5054" s="13" t="n">
        <f aca="false">Sens!$J$5040/Sens!$J$5025</f>
        <v>0.0767950945569155</v>
      </c>
      <c r="K5054" s="13" t="n">
        <f aca="false">Sens!$K$5040/Sens!$K$5025</f>
        <v>0.0749782708028101</v>
      </c>
      <c r="L5054" s="13" t="n">
        <f aca="false">Sens!$L$5040/Sens!$L$5025</f>
        <v>0.0740581549602486</v>
      </c>
      <c r="M5054" s="13" t="n">
        <f aca="false">Sens!$M$5040/Sens!$M$5025</f>
        <v>0.075724068445432</v>
      </c>
      <c r="N5054" s="13" t="n">
        <f aca="false">Sens!$N$5040/Sens!$N$5025</f>
        <v>0.069228576611127</v>
      </c>
      <c r="O5054" s="13" t="n">
        <f aca="false">Sens!$O$5040/Sens!$O$5025</f>
        <v>0.069685022498393</v>
      </c>
    </row>
    <row r="5055" customFormat="false" ht="17.15" hidden="false" customHeight="false" outlineLevel="0" collapsed="false">
      <c r="A5055" s="0" t="s">
        <v>739</v>
      </c>
      <c r="B5055" s="0" t="s">
        <v>52</v>
      </c>
      <c r="C5055" s="13" t="n">
        <f aca="false">Sens!$C$5045/Sens!$C$5026</f>
        <v>0.026534925055631</v>
      </c>
      <c r="D5055" s="13" t="n">
        <f aca="false">Sens!$D$5045/Sens!$D$5026</f>
        <v>0.0293401855535103</v>
      </c>
      <c r="E5055" s="13" t="n">
        <f aca="false">Sens!$E$5045/Sens!$E$5026</f>
        <v>0.03831141902276</v>
      </c>
      <c r="F5055" s="13" t="n">
        <f aca="false">Sens!$F$5045/Sens!$F$5026</f>
        <v>0.0281350107328284</v>
      </c>
      <c r="G5055" s="13" t="n">
        <f aca="false">Sens!$G$5045/Sens!$G$5026</f>
        <v>0.0327600029432073</v>
      </c>
      <c r="H5055" s="13" t="n">
        <f aca="false">Sens!$H$5045/Sens!$H$5026</f>
        <v>0.031310920057557</v>
      </c>
      <c r="I5055" s="13" t="n">
        <f aca="false">Sens!$I$5045/Sens!$I$5026</f>
        <v>0.0275950243319601</v>
      </c>
      <c r="J5055" s="13" t="n">
        <f aca="false">Sens!$J$5045/Sens!$J$5026</f>
        <v>0.0238367762099147</v>
      </c>
      <c r="K5055" s="13" t="n">
        <f aca="false">Sens!$K$5045/Sens!$K$5026</f>
        <v>0.0198239122855479</v>
      </c>
      <c r="L5055" s="13" t="n">
        <f aca="false">Sens!$L$5045/Sens!$L$5026</f>
        <v>0.0192499447238486</v>
      </c>
      <c r="M5055" s="13" t="n">
        <f aca="false">Sens!$M$5045/Sens!$M$5026</f>
        <v>0.0212700135680342</v>
      </c>
      <c r="N5055" s="13" t="n">
        <f aca="false">Sens!$N$5045/Sens!$N$5026</f>
        <v>0.0357315650169337</v>
      </c>
      <c r="O5055" s="13" t="n">
        <f aca="false">Sens!$O$5045/Sens!$O$5026</f>
        <v>0.0244378956559703</v>
      </c>
    </row>
    <row r="5056" customFormat="false" ht="17.15" hidden="false" customHeight="false" outlineLevel="0" collapsed="false">
      <c r="A5056" s="14" t="s">
        <v>740</v>
      </c>
      <c r="B5056" s="14" t="s">
        <v>52</v>
      </c>
      <c r="C5056" s="17" t="n">
        <f aca="false">Sens!$C$5048/Sens!$C$5027</f>
        <v>0.370355907620217</v>
      </c>
      <c r="D5056" s="17" t="n">
        <f aca="false">Sens!$D$5048/Sens!$D$5027</f>
        <v>0.35429015342785</v>
      </c>
      <c r="E5056" s="17" t="n">
        <f aca="false">Sens!$E$5048/Sens!$E$5027</f>
        <v>0.385647527531039</v>
      </c>
      <c r="F5056" s="17" t="n">
        <f aca="false">Sens!$F$5048/Sens!$F$5027</f>
        <v>0.390008895496028</v>
      </c>
      <c r="G5056" s="17" t="n">
        <f aca="false">Sens!$G$5048/Sens!$G$5027</f>
        <v>0.387918733944362</v>
      </c>
      <c r="H5056" s="17" t="n">
        <f aca="false">Sens!$H$5048/Sens!$H$5027</f>
        <v>0.377537651365497</v>
      </c>
      <c r="I5056" s="17" t="n">
        <f aca="false">Sens!$I$5048/Sens!$I$5027</f>
        <v>0.359230604038662</v>
      </c>
      <c r="J5056" s="17" t="n">
        <f aca="false">Sens!$J$5048/Sens!$J$5027</f>
        <v>0.345197865849801</v>
      </c>
      <c r="K5056" s="17" t="n">
        <f aca="false">Sens!$K$5048/Sens!$K$5027</f>
        <v>0.32654098357242</v>
      </c>
      <c r="L5056" s="17" t="n">
        <f aca="false">Sens!$L$5048/Sens!$L$5027</f>
        <v>0.314806978274702</v>
      </c>
      <c r="M5056" s="17" t="n">
        <f aca="false">Sens!$M$5048/Sens!$M$5027</f>
        <v>0.304503505485029</v>
      </c>
      <c r="N5056" s="17" t="n">
        <f aca="false">Sens!$N$5048/Sens!$N$5027</f>
        <v>0.360941137346192</v>
      </c>
      <c r="O5056" s="17" t="n">
        <f aca="false">Sens!$O$5048/Sens!$O$5027</f>
        <v>0.348458117664212</v>
      </c>
    </row>
    <row r="5057" customFormat="false" ht="17.15" hidden="false" customHeight="false" outlineLevel="0" collapsed="false">
      <c r="A5057" s="0" t="s">
        <v>741</v>
      </c>
      <c r="B5057" s="0" t="s">
        <v>52</v>
      </c>
      <c r="C5057" s="13" t="n">
        <f aca="false">Sens!$C$5046/Sens!$C$5028</f>
        <v>0.708390794789371</v>
      </c>
      <c r="D5057" s="13" t="n">
        <f aca="false">Sens!$D$5046/Sens!$D$5028</f>
        <v>0.619415573115729</v>
      </c>
      <c r="E5057" s="13" t="n">
        <f aca="false">Sens!$E$5046/Sens!$E$5028</f>
        <v>0.374072166056273</v>
      </c>
      <c r="F5057" s="13" t="n">
        <f aca="false">Sens!$F$5046/Sens!$F$5028</f>
        <v>0.553219320710057</v>
      </c>
      <c r="G5057" s="13" t="n">
        <f aca="false">Sens!$G$5046/Sens!$G$5028</f>
        <v>0.488270041527512</v>
      </c>
      <c r="H5057" s="13" t="n">
        <f aca="false">Sens!$H$5046/Sens!$H$5028</f>
        <v>0.435229086816882</v>
      </c>
      <c r="I5057" s="13" t="n">
        <f aca="false">Sens!$I$5046/Sens!$I$5028</f>
        <v>0.364954592421095</v>
      </c>
      <c r="J5057" s="13" t="n">
        <f aca="false">Sens!$J$5046/Sens!$J$5028</f>
        <v>0.330438308582232</v>
      </c>
      <c r="K5057" s="13" t="n">
        <f aca="false">Sens!$K$5046/Sens!$K$5028</f>
        <v>0.2916589289528</v>
      </c>
      <c r="L5057" s="13" t="n">
        <f aca="false">Sens!$L$5046/Sens!$L$5028</f>
        <v>0.268199200593258</v>
      </c>
      <c r="M5057" s="13" t="n">
        <f aca="false">Sens!$M$5046/Sens!$M$5028</f>
        <v>0.244854995033574</v>
      </c>
      <c r="N5057" s="13" t="n">
        <f aca="false">Sens!$N$5046/Sens!$N$5028</f>
        <v>0.551227795793364</v>
      </c>
      <c r="O5057" s="13" t="n">
        <f aca="false">Sens!$O$5046/Sens!$O$5028</f>
        <v>0.656132068597002</v>
      </c>
    </row>
    <row r="5058" customFormat="false" ht="15" hidden="false" customHeight="false" outlineLevel="0" collapsed="false">
      <c r="A5058" s="5" t="s">
        <v>742</v>
      </c>
      <c r="B5058" s="0" t="s">
        <v>52</v>
      </c>
      <c r="C5058" s="13" t="n">
        <f aca="false">Sens!$C$5050/Sens!$C$5030</f>
        <v>0.107519448742004</v>
      </c>
      <c r="D5058" s="13" t="n">
        <f aca="false">Sens!$D$5050/Sens!$D$5030</f>
        <v>0.111552967957552</v>
      </c>
      <c r="E5058" s="13" t="n">
        <f aca="false">Sens!$E$5050/Sens!$E$5030</f>
        <v>0.13428328426562</v>
      </c>
      <c r="F5058" s="13" t="n">
        <f aca="false">Sens!$F$5050/Sens!$F$5030</f>
        <v>0.130089413875539</v>
      </c>
      <c r="G5058" s="13" t="n">
        <f aca="false">Sens!$G$5050/Sens!$G$5030</f>
        <v>0.132048786678316</v>
      </c>
      <c r="H5058" s="13" t="n">
        <f aca="false">Sens!$H$5050/Sens!$H$5030</f>
        <v>0.139604881440853</v>
      </c>
      <c r="I5058" s="13" t="n">
        <f aca="false">Sens!$I$5050/Sens!$I$5030</f>
        <v>0.141694752432769</v>
      </c>
      <c r="J5058" s="13" t="n">
        <f aca="false">Sens!$J$5050/Sens!$J$5030</f>
        <v>0.14272611544629</v>
      </c>
      <c r="K5058" s="13" t="n">
        <f aca="false">Sens!$K$5050/Sens!$K$5030</f>
        <v>0.139974160596744</v>
      </c>
      <c r="L5058" s="13" t="n">
        <f aca="false">Sens!$L$5050/Sens!$L$5030</f>
        <v>0.137772071866073</v>
      </c>
      <c r="M5058" s="13" t="n">
        <f aca="false">Sens!$M$5050/Sens!$M$5030</f>
        <v>0.13596080857516</v>
      </c>
      <c r="N5058" s="13" t="n">
        <f aca="false">Sens!$N$5050/Sens!$N$5030</f>
        <v>0.116201614873411</v>
      </c>
      <c r="O5058" s="13" t="n">
        <f aca="false">Sens!$O$5050/Sens!$O$5030</f>
        <v>0.107733353660861</v>
      </c>
    </row>
    <row r="5059" customFormat="false" ht="17.15" hidden="false" customHeight="false" outlineLevel="0" collapsed="false">
      <c r="A5059" s="1" t="s">
        <v>743</v>
      </c>
    </row>
    <row r="5060" customFormat="false" ht="17.15" hidden="false" customHeight="false" outlineLevel="0" collapsed="false">
      <c r="A5060" s="5" t="s">
        <v>744</v>
      </c>
      <c r="B5060" s="0" t="s">
        <v>52</v>
      </c>
      <c r="D5060" s="28" t="n">
        <f aca="false">(Q!$E$29+Q!$E$30-(1-ext_sh)*Sens!$D$4982)/Sens!$D$4936</f>
        <v>0.0341105596409988</v>
      </c>
    </row>
    <row r="5061" customFormat="false" ht="17.15" hidden="false" customHeight="false" outlineLevel="0" collapsed="false">
      <c r="A5061" s="0" t="s">
        <v>538</v>
      </c>
      <c r="B5061" s="0" t="s">
        <v>86</v>
      </c>
      <c r="C5061" s="38" t="n">
        <f aca="false">Q!$D$29</f>
        <v>14.285</v>
      </c>
      <c r="D5061" s="38" t="n">
        <f aca="false">Q!$E$29</f>
        <v>15.503</v>
      </c>
      <c r="E5061" s="38" t="n">
        <f aca="false">Q!$P$29</f>
        <v>8.78</v>
      </c>
      <c r="F5061" s="38" t="n">
        <f aca="false">(Sens!$D$5060*Sens!$F$4936+(1-ext_sh)*Sens!$F$4982)*Sens!$F$4937</f>
        <v>9.16735846116642</v>
      </c>
      <c r="G5061" s="38" t="n">
        <f aca="false">Sens!$E$5061+Sens!$F$5061</f>
        <v>17.9473584611664</v>
      </c>
      <c r="H5061" s="38" t="n">
        <f aca="false">(Sens!$D$5060*Sens!$H$4936+(1-ext_sh)*Sens!$H$4982)*Sens!$H$4937</f>
        <v>21.6406723110177</v>
      </c>
      <c r="I5061" s="38" t="n">
        <f aca="false">(Sens!$D$5060*Sens!$I$4936+(1-ext_sh)*Sens!$I$4982)*Sens!$I$4937</f>
        <v>27.3128215555087</v>
      </c>
      <c r="J5061" s="38" t="n">
        <f aca="false">(Sens!$D$5060*Sens!$J$4936+(1-ext_sh)*Sens!$J$4982)*Sens!$J$4937</f>
        <v>33.0116861885756</v>
      </c>
      <c r="K5061" s="38" t="n">
        <f aca="false">(Sens!$D$5060*Sens!$K$4936+(1-ext_sh)*Sens!$K$4982)*Sens!$K$4937</f>
        <v>38.6250238720245</v>
      </c>
      <c r="L5061" s="38" t="n">
        <f aca="false">(Sens!$D$5060*Sens!$L$4936+(1-ext_sh)*Sens!$L$4982)*Sens!$L$4937</f>
        <v>43.0711535197861</v>
      </c>
      <c r="M5061" s="38" t="n">
        <f aca="false">(Sens!$D$5060*Sens!$M$4936+(1-ext_sh)*Sens!$M$4982)*Sens!$M$4937</f>
        <v>46.590728630326</v>
      </c>
      <c r="N5061" s="38" t="n">
        <f aca="false">Q!$N$29</f>
        <v>7.272</v>
      </c>
      <c r="O5061" s="38" t="n">
        <f aca="false">Q!$O$29</f>
        <v>8.231</v>
      </c>
    </row>
    <row r="5062" customFormat="false" ht="17.15" hidden="false" customHeight="false" outlineLevel="0" collapsed="false">
      <c r="A5062" s="0" t="s">
        <v>540</v>
      </c>
      <c r="B5062" s="0" t="s">
        <v>86</v>
      </c>
      <c r="C5062" s="38" t="n">
        <f aca="false">Q!$D$30</f>
        <v>4.462</v>
      </c>
      <c r="D5062" s="38" t="n">
        <f aca="false">Q!$E$30</f>
        <v>4.907</v>
      </c>
      <c r="E5062" s="38" t="n">
        <f aca="false">Q!$P$30</f>
        <v>2.57</v>
      </c>
      <c r="F5062" s="38" t="n">
        <f aca="false">(Sens!$D$5060*Sens!$F$4936+(1-ext_sh)*Sens!$F$4982)*(1-Sens!$F$4937)</f>
        <v>3.59937168293151</v>
      </c>
      <c r="G5062" s="38" t="n">
        <f aca="false">Sens!$E$5062+Sens!$F$5062</f>
        <v>6.16937168293151</v>
      </c>
      <c r="H5062" s="38" t="n">
        <f aca="false">(Sens!$D$5060*Sens!$H$4936+(1-ext_sh)*Sens!$H$4982)*(1-Sens!$H$4937)</f>
        <v>8.28915290031442</v>
      </c>
      <c r="I5062" s="38" t="n">
        <f aca="false">(Sens!$D$5060*Sens!$I$4936+(1-ext_sh)*Sens!$I$4982)*(1-Sens!$I$4937)</f>
        <v>10.4617892992793</v>
      </c>
      <c r="J5062" s="38" t="n">
        <f aca="false">(Sens!$D$5060*Sens!$J$4936+(1-ext_sh)*Sens!$J$4982)*(1-Sens!$J$4937)</f>
        <v>12.6446586493057</v>
      </c>
      <c r="K5062" s="38" t="n">
        <f aca="false">(Sens!$D$5060*Sens!$K$4936+(1-ext_sh)*Sens!$K$4982)*(1-Sens!$K$4937)</f>
        <v>14.7947681131192</v>
      </c>
      <c r="L5062" s="38" t="n">
        <f aca="false">(Sens!$D$5060*Sens!$L$4936+(1-ext_sh)*Sens!$L$4982)*(1-Sens!$L$4937)</f>
        <v>16.4977950771268</v>
      </c>
      <c r="M5062" s="38" t="n">
        <f aca="false">(Sens!$D$5060*Sens!$M$4936+(1-ext_sh)*Sens!$M$4982)*(1-Sens!$M$4937)</f>
        <v>17.8459184540772</v>
      </c>
      <c r="N5062" s="38" t="n">
        <f aca="false">Q!$N$30</f>
        <v>2.316</v>
      </c>
      <c r="O5062" s="38" t="n">
        <f aca="false">Q!$O$30</f>
        <v>2.591</v>
      </c>
    </row>
    <row r="5063" customFormat="false" ht="17.15" hidden="false" customHeight="false" outlineLevel="0" collapsed="false">
      <c r="A5063" s="0" t="s">
        <v>541</v>
      </c>
      <c r="B5063" s="0" t="s">
        <v>86</v>
      </c>
      <c r="C5063" s="38" t="n">
        <f aca="false">Sens!$C$4994</f>
        <v>13.32</v>
      </c>
      <c r="D5063" s="38" t="n">
        <f aca="false">Sens!$D$4994</f>
        <v>21.45</v>
      </c>
      <c r="E5063" s="38" t="n">
        <f aca="false">Sens!$E$4994</f>
        <v>15.353</v>
      </c>
      <c r="F5063" s="38" t="n">
        <f aca="false">Sens!$F$4994</f>
        <v>15.4404120185306</v>
      </c>
      <c r="G5063" s="38" t="n">
        <f aca="false">Sens!$G$4994</f>
        <v>30.7934120185306</v>
      </c>
      <c r="H5063" s="38" t="n">
        <f aca="false">Sens!$H$4994</f>
        <v>48.250114371455</v>
      </c>
      <c r="I5063" s="38" t="n">
        <f aca="false">Sens!$I$4994</f>
        <v>73.3965146995963</v>
      </c>
      <c r="J5063" s="38" t="n">
        <f aca="false">Sens!$J$4994</f>
        <v>99.22806138309</v>
      </c>
      <c r="K5063" s="38" t="n">
        <f aca="false">Sens!$K$4994</f>
        <v>125.386627452856</v>
      </c>
      <c r="L5063" s="38" t="n">
        <f aca="false">Sens!$L$4994</f>
        <v>144.77239043275</v>
      </c>
      <c r="M5063" s="38" t="n">
        <f aca="false">Sens!$M$4994</f>
        <v>158.693930910983</v>
      </c>
      <c r="N5063" s="38" t="n">
        <f aca="false">Sens!$N$4994</f>
        <v>9.234</v>
      </c>
      <c r="O5063" s="38" t="n">
        <f aca="false">Sens!$O$4994</f>
        <v>12.216</v>
      </c>
    </row>
    <row r="5064" customFormat="false" ht="17.15" hidden="false" customHeight="false" outlineLevel="0" collapsed="false">
      <c r="A5064" s="5" t="s">
        <v>745</v>
      </c>
      <c r="B5064" s="0" t="s">
        <v>86</v>
      </c>
      <c r="C5064" s="38" t="n">
        <f aca="false">Sens!$C$5061+Sens!$C$5062+Sens!$C$5063</f>
        <v>32.067</v>
      </c>
      <c r="D5064" s="38" t="n">
        <f aca="false">Sens!$D$5061+Sens!$D$5062+Sens!$D$5063</f>
        <v>41.86</v>
      </c>
      <c r="E5064" s="38" t="n">
        <f aca="false">Sens!$E$5061+Sens!$E$5062+Sens!$E$5063</f>
        <v>26.703</v>
      </c>
      <c r="F5064" s="38" t="n">
        <f aca="false">Sens!$F$5061+Sens!$F$5062+Sens!$F$5063</f>
        <v>28.2071421626285</v>
      </c>
      <c r="G5064" s="38" t="n">
        <f aca="false">Sens!$G$5061+Sens!$G$5062+Sens!$G$5063</f>
        <v>54.9101421626285</v>
      </c>
      <c r="H5064" s="38" t="n">
        <f aca="false">Sens!$H$5061+Sens!$H$5062+Sens!$H$5063</f>
        <v>78.1799395827871</v>
      </c>
      <c r="I5064" s="38" t="n">
        <f aca="false">Sens!$I$5061+Sens!$I$5062+Sens!$I$5063</f>
        <v>111.171125554384</v>
      </c>
      <c r="J5064" s="38" t="n">
        <f aca="false">Sens!$J$5061+Sens!$J$5062+Sens!$J$5063</f>
        <v>144.884406220971</v>
      </c>
      <c r="K5064" s="38" t="n">
        <f aca="false">Sens!$K$5061+Sens!$K$5062+Sens!$K$5063</f>
        <v>178.806419437999</v>
      </c>
      <c r="L5064" s="38" t="n">
        <f aca="false">Sens!$L$5061+Sens!$L$5062+Sens!$L$5063</f>
        <v>204.341339029663</v>
      </c>
      <c r="M5064" s="38" t="n">
        <f aca="false">Sens!$M$5061+Sens!$M$5062+Sens!$M$5063</f>
        <v>223.130577995387</v>
      </c>
      <c r="N5064" s="38" t="n">
        <f aca="false">Sens!$N$5061+Sens!$N$5062+Sens!$N$5063</f>
        <v>18.822</v>
      </c>
      <c r="O5064" s="38" t="n">
        <f aca="false">Sens!$O$5061+Sens!$O$5062+Sens!$O$5063</f>
        <v>23.038</v>
      </c>
    </row>
    <row r="5065" customFormat="false" ht="17.15" hidden="false" customHeight="false" outlineLevel="0" collapsed="false">
      <c r="A5065" s="0" t="s">
        <v>746</v>
      </c>
      <c r="B5065" s="0" t="s">
        <v>86</v>
      </c>
      <c r="C5065" s="38" t="n">
        <f aca="false">Sens!$C$5036+Sens!$C$5041</f>
        <v>28.107</v>
      </c>
      <c r="D5065" s="38" t="n">
        <f aca="false">Sens!$D$5036+Sens!$D$5041</f>
        <v>34.3175</v>
      </c>
      <c r="E5065" s="38" t="n">
        <f aca="false">Sens!$E$5036+Sens!$E$5041</f>
        <v>18.526</v>
      </c>
      <c r="F5065" s="38" t="n">
        <f aca="false">Sens!$F$5036+Sens!$F$5041</f>
        <v>23.0786109972074</v>
      </c>
      <c r="G5065" s="38" t="n">
        <f aca="false">Sens!$G$5036+Sens!$G$5041</f>
        <v>41.6046109972074</v>
      </c>
      <c r="H5065" s="38" t="n">
        <f aca="false">Sens!$H$5036+Sens!$H$5041</f>
        <v>49.9484611939488</v>
      </c>
      <c r="I5065" s="38" t="n">
        <f aca="false">Sens!$I$5036+Sens!$I$5041</f>
        <v>58.2915555477481</v>
      </c>
      <c r="J5065" s="38" t="n">
        <f aca="false">Sens!$J$5036+Sens!$J$5041</f>
        <v>66.0744709709759</v>
      </c>
      <c r="K5065" s="38" t="n">
        <f aca="false">Sens!$K$5036+Sens!$K$5041</f>
        <v>72.6819180680735</v>
      </c>
      <c r="L5065" s="38" t="n">
        <f aca="false">Sens!$L$5036+Sens!$L$5041</f>
        <v>79.9501098748808</v>
      </c>
      <c r="M5065" s="38" t="n">
        <f aca="false">Sens!$M$5036+Sens!$M$5041</f>
        <v>87.9451208623689</v>
      </c>
      <c r="N5065" s="38" t="n">
        <f aca="false">Sens!$N$5036+Sens!$N$5041</f>
        <v>14.8075</v>
      </c>
      <c r="O5065" s="38" t="n">
        <f aca="false">Sens!$O$5036+Sens!$O$5041</f>
        <v>19.51</v>
      </c>
    </row>
    <row r="5066" customFormat="false" ht="17.15" hidden="false" customHeight="false" outlineLevel="0" collapsed="false">
      <c r="A5066" s="0" t="s">
        <v>747</v>
      </c>
      <c r="B5066" s="0" t="s">
        <v>86</v>
      </c>
      <c r="C5066" s="38" t="n">
        <f aca="false">Sens!$C$5040+Sens!$C$5045+Sens!$C$5061+Sens!$C$5062-Sens!$C$5065</f>
        <v>19.399</v>
      </c>
      <c r="D5066" s="38" t="n">
        <f aca="false">Sens!$D$5040+Sens!$D$5045+Sens!$D$5061+Sens!$D$5062-Sens!$D$5065</f>
        <v>20.4615</v>
      </c>
      <c r="E5066" s="38" t="n">
        <f aca="false">Sens!$E$5040+Sens!$E$5045+Sens!$E$5061+Sens!$E$5062-Sens!$E$5065</f>
        <v>13.355</v>
      </c>
      <c r="F5066" s="38" t="n">
        <f aca="false">Sens!$F$5040+Sens!$F$5045+Sens!$F$5061+Sens!$F$5062-Sens!$F$5065</f>
        <v>12.5520732018618</v>
      </c>
      <c r="G5066" s="38" t="n">
        <f aca="false">Sens!$G$5040+Sens!$G$5045+Sens!$G$5061+Sens!$G$5062-Sens!$G$5065</f>
        <v>25.9070732018618</v>
      </c>
      <c r="H5066" s="38" t="n">
        <f aca="false">Sens!$H$5040+Sens!$H$5045+Sens!$H$5061+Sens!$H$5062-Sens!$H$5065</f>
        <v>28.0233335906818</v>
      </c>
      <c r="I5066" s="38" t="n">
        <f aca="false">Sens!$I$5040+Sens!$I$5045+Sens!$I$5061+Sens!$I$5062-Sens!$I$5065</f>
        <v>30.2440066606864</v>
      </c>
      <c r="J5066" s="38" t="n">
        <f aca="false">Sens!$J$5040+Sens!$J$5045+Sens!$J$5061+Sens!$J$5062-Sens!$J$5065</f>
        <v>32.4596500296286</v>
      </c>
      <c r="K5066" s="38" t="n">
        <f aca="false">Sens!$K$5040+Sens!$K$5045+Sens!$K$5061+Sens!$K$5062-Sens!$K$5065</f>
        <v>34.839425971154</v>
      </c>
      <c r="L5066" s="38" t="n">
        <f aca="false">Sens!$L$5040+Sens!$L$5045+Sens!$L$5061+Sens!$L$5062-Sens!$L$5065</f>
        <v>36.4424209524427</v>
      </c>
      <c r="M5066" s="38" t="n">
        <f aca="false">Sens!$M$5040+Sens!$M$5045+Sens!$M$5061+Sens!$M$5062-Sens!$M$5065</f>
        <v>38.8413540019876</v>
      </c>
      <c r="N5066" s="38" t="n">
        <f aca="false">Sens!$N$5040+Sens!$N$5045+Sens!$N$5061+Sens!$N$5062-Sens!$N$5065</f>
        <v>10.6495</v>
      </c>
      <c r="O5066" s="38" t="n">
        <f aca="false">Sens!$O$5040+Sens!$O$5045+Sens!$O$5061+Sens!$O$5062-Sens!$O$5065</f>
        <v>9.81200000000001</v>
      </c>
    </row>
    <row r="5067" customFormat="false" ht="17.15" hidden="false" customHeight="false" outlineLevel="0" collapsed="false">
      <c r="A5067" s="0" t="s">
        <v>748</v>
      </c>
      <c r="B5067" s="0" t="s">
        <v>86</v>
      </c>
      <c r="C5067" s="38" t="n">
        <f aca="false">Sens!$C$5047+Sens!$C$5063-ext_sh*Sens!$C$4982</f>
        <v>51.3470500115664</v>
      </c>
      <c r="D5067" s="38" t="n">
        <f aca="false">Sens!$D$5047+Sens!$D$5063-ext_sh*Sens!$D$4982</f>
        <v>60.2799375433739</v>
      </c>
      <c r="E5067" s="38" t="n">
        <f aca="false">Sens!$E$5047+Sens!$E$5063-ext_sh*Sens!$E$4982</f>
        <v>39.5095167090767</v>
      </c>
      <c r="F5067" s="38" t="n">
        <f aca="false">Sens!$F$5047+Sens!$F$5063-ext_sh*Sens!$F$4982</f>
        <v>37.5468918745429</v>
      </c>
      <c r="G5067" s="38" t="n">
        <f aca="false">Sens!$G$5047+Sens!$G$5063-ext_sh*Sens!$G$4982</f>
        <v>77.0564085836196</v>
      </c>
      <c r="H5067" s="38" t="n">
        <f aca="false">Sens!$H$5047+Sens!$H$5063-ext_sh*Sens!$H$4982</f>
        <v>84.2378398616123</v>
      </c>
      <c r="I5067" s="38" t="n">
        <f aca="false">Sens!$I$5047+Sens!$I$5063-ext_sh*Sens!$I$4982</f>
        <v>93.5253492849083</v>
      </c>
      <c r="J5067" s="38" t="n">
        <f aca="false">Sens!$J$5047+Sens!$J$5063-ext_sh*Sens!$J$4982</f>
        <v>102.42210777817</v>
      </c>
      <c r="K5067" s="38" t="n">
        <f aca="false">Sens!$K$5047+Sens!$K$5063-ext_sh*Sens!$K$4982</f>
        <v>110.615876400424</v>
      </c>
      <c r="L5067" s="38" t="n">
        <f aca="false">Sens!$L$5047+Sens!$L$5063-ext_sh*Sens!$L$4982</f>
        <v>119.465146512458</v>
      </c>
      <c r="M5067" s="38" t="n">
        <f aca="false">Sens!$M$5047+Sens!$M$5063-ext_sh*Sens!$M$4982</f>
        <v>129.022358233455</v>
      </c>
      <c r="N5067" s="38" t="n">
        <f aca="false">Sens!$N$5047+Sens!$N$5063-ext_sh*Sens!$N$4982</f>
        <v>28.5693781401809</v>
      </c>
      <c r="O5067" s="38" t="n">
        <f aca="false">Sens!$O$5047+Sens!$O$5063-ext_sh*Sens!$O$4982</f>
        <v>31.7105594031931</v>
      </c>
    </row>
    <row r="5068" customFormat="false" ht="17.15" hidden="false" customHeight="false" outlineLevel="0" collapsed="false">
      <c r="A5068" s="0" t="s">
        <v>749</v>
      </c>
      <c r="B5068" s="0" t="s">
        <v>86</v>
      </c>
      <c r="C5068" s="38" t="n">
        <f aca="false">Sens!$C$4985</f>
        <v>1.80694998843362</v>
      </c>
      <c r="D5068" s="38" t="n">
        <f aca="false">Sens!$D$4985</f>
        <v>6.77606245662607</v>
      </c>
      <c r="E5068" s="38" t="n">
        <f aca="false">Sens!$E$4985</f>
        <v>6.62548329092326</v>
      </c>
      <c r="F5068" s="38" t="n">
        <f aca="false">Sens!$F$4985</f>
        <v>11.7200577158706</v>
      </c>
      <c r="G5068" s="38" t="n">
        <f aca="false">Sens!$G$4985</f>
        <v>18.3455410067939</v>
      </c>
      <c r="H5068" s="38" t="n">
        <f aca="false">Sens!$H$4985</f>
        <v>47.5171727060453</v>
      </c>
      <c r="I5068" s="38" t="n">
        <f aca="false">Sens!$I$4985</f>
        <v>80.5539692643667</v>
      </c>
      <c r="J5068" s="38" t="n">
        <f aca="false">Sens!$J$4985</f>
        <v>113.759316834883</v>
      </c>
      <c r="K5068" s="38" t="n">
        <f aca="false">Sens!$K$4985</f>
        <v>142.084411492169</v>
      </c>
      <c r="L5068" s="38" t="n">
        <f aca="false">Sens!$L$4985</f>
        <v>160.69964615804</v>
      </c>
      <c r="M5068" s="38" t="n">
        <f aca="false">Sens!$M$4985</f>
        <v>169.577607141793</v>
      </c>
      <c r="N5068" s="38" t="n">
        <f aca="false">Sens!$N$4985</f>
        <v>2.37162185981912</v>
      </c>
      <c r="O5068" s="38" t="n">
        <f aca="false">Sens!$O$4985</f>
        <v>4.40444059680694</v>
      </c>
    </row>
    <row r="5069" customFormat="false" ht="17.15" hidden="false" customHeight="false" outlineLevel="0" collapsed="false">
      <c r="A5069" s="0" t="s">
        <v>750</v>
      </c>
      <c r="B5069" s="0" t="s">
        <v>86</v>
      </c>
      <c r="C5069" s="38" t="n">
        <f aca="false">Sens!$C$5050+Sens!$C$5064</f>
        <v>100.66</v>
      </c>
      <c r="D5069" s="38" t="n">
        <f aca="false">Sens!$D$5050+Sens!$D$5064</f>
        <v>121.835</v>
      </c>
      <c r="E5069" s="38" t="n">
        <f aca="false">Sens!$E$5050+Sens!$E$5064</f>
        <v>78.016</v>
      </c>
      <c r="F5069" s="38" t="n">
        <f aca="false">Sens!$F$5050+Sens!$F$5064</f>
        <v>84.8976337894826</v>
      </c>
      <c r="G5069" s="38" t="n">
        <f aca="false">Sens!$G$5050+Sens!$G$5064</f>
        <v>162.913633789483</v>
      </c>
      <c r="H5069" s="38" t="n">
        <f aca="false">Sens!$H$5050+Sens!$H$5064</f>
        <v>209.726807352288</v>
      </c>
      <c r="I5069" s="38" t="n">
        <f aca="false">Sens!$I$5050+Sens!$I$5064</f>
        <v>262.61488075771</v>
      </c>
      <c r="J5069" s="38" t="n">
        <f aca="false">Sens!$J$5050+Sens!$J$5064</f>
        <v>314.715545613658</v>
      </c>
      <c r="K5069" s="38" t="n">
        <f aca="false">Sens!$K$5050+Sens!$K$5064</f>
        <v>360.221631931821</v>
      </c>
      <c r="L5069" s="38" t="n">
        <f aca="false">Sens!$L$5050+Sens!$L$5064</f>
        <v>396.557323497822</v>
      </c>
      <c r="M5069" s="38" t="n">
        <f aca="false">Sens!$M$5050+Sens!$M$5064</f>
        <v>425.386440239605</v>
      </c>
      <c r="N5069" s="38" t="n">
        <f aca="false">Sens!$N$5050+Sens!$N$5064</f>
        <v>56.398</v>
      </c>
      <c r="O5069" s="38" t="n">
        <f aca="false">Sens!$O$5050+Sens!$O$5064</f>
        <v>65.437</v>
      </c>
    </row>
    <row r="5070" customFormat="false" ht="17.15" hidden="false" customHeight="false" outlineLevel="0" collapsed="false">
      <c r="A5070" s="1" t="s">
        <v>751</v>
      </c>
    </row>
    <row r="5071" customFormat="false" ht="15" hidden="false" customHeight="false" outlineLevel="0" collapsed="false">
      <c r="A5071" s="5" t="s">
        <v>544</v>
      </c>
      <c r="B5071" s="0" t="s">
        <v>86</v>
      </c>
      <c r="C5071" s="38" t="n">
        <f aca="false">Q!$D$34</f>
        <v>2.406</v>
      </c>
      <c r="D5071" s="38" t="n">
        <f aca="false">Q!$E$34</f>
        <v>2.274</v>
      </c>
      <c r="E5071" s="38" t="n">
        <f aca="false">Q!$P$34</f>
        <v>2.114</v>
      </c>
      <c r="F5071" s="38" t="n">
        <f aca="false">Sens!$F$5109</f>
        <v>3.24888962733561</v>
      </c>
      <c r="G5071" s="38" t="n">
        <f aca="false">Sens!$E$5071+Sens!$F$5071</f>
        <v>5.36288962733561</v>
      </c>
      <c r="H5071" s="38" t="n">
        <f aca="false">Sens!$H$5109</f>
        <v>7.42354172302123</v>
      </c>
      <c r="I5071" s="38" t="n">
        <f aca="false">Sens!$I$5109</f>
        <v>8.48968024898619</v>
      </c>
      <c r="J5071" s="38" t="n">
        <f aca="false">Sens!$J$5109</f>
        <v>9.63598826439483</v>
      </c>
      <c r="K5071" s="38" t="n">
        <f aca="false">Sens!$K$5109</f>
        <v>9.63598826439483</v>
      </c>
      <c r="L5071" s="38" t="n">
        <f aca="false">Sens!$L$5109</f>
        <v>9.63598826439483</v>
      </c>
      <c r="M5071" s="38" t="n">
        <f aca="false">Sens!$M$5109</f>
        <v>9.63598826439483</v>
      </c>
      <c r="N5071" s="38" t="n">
        <f aca="false">Q!$N$34</f>
        <v>1.057</v>
      </c>
      <c r="O5071" s="38" t="n">
        <f aca="false">Q!$O$34</f>
        <v>1.217</v>
      </c>
    </row>
    <row r="5072" customFormat="false" ht="15" hidden="false" customHeight="false" outlineLevel="0" collapsed="false">
      <c r="A5072" s="5" t="s">
        <v>752</v>
      </c>
      <c r="B5072" s="0" t="s">
        <v>86</v>
      </c>
      <c r="F5072" s="38" t="n">
        <f aca="false">Sens!$F$5110</f>
        <v>2.59</v>
      </c>
      <c r="H5072" s="38" t="n">
        <f aca="false">Sens!$H$5110</f>
        <v>3.76965165045626</v>
      </c>
      <c r="I5072" s="38" t="n">
        <f aca="false">Sens!$I$5110</f>
        <v>2.10589651022864</v>
      </c>
      <c r="J5072" s="38" t="n">
        <f aca="false">Sens!$J$5110</f>
        <v>2.10589651022864</v>
      </c>
      <c r="K5072" s="38" t="n">
        <f aca="false">Sens!$K$5110</f>
        <v>3.03184385018094</v>
      </c>
      <c r="L5072" s="38" t="n">
        <f aca="false">Sens!$L$5110</f>
        <v>8.01944213829919</v>
      </c>
      <c r="M5072" s="38" t="n">
        <f aca="false">Sens!$M$5110</f>
        <v>15.4751142339777</v>
      </c>
    </row>
    <row r="5073" customFormat="false" ht="17.15" hidden="false" customHeight="false" outlineLevel="0" collapsed="false">
      <c r="A5073" s="5" t="s">
        <v>753</v>
      </c>
      <c r="B5073" s="0" t="s">
        <v>86</v>
      </c>
      <c r="C5073" s="38" t="n">
        <f aca="false">Q!$D$39</f>
        <v>2.427</v>
      </c>
      <c r="D5073" s="38" t="n">
        <f aca="false">Q!$E$39</f>
        <v>19.61</v>
      </c>
      <c r="E5073" s="38" t="n">
        <f aca="false">Q!$P$39</f>
        <v>71.492</v>
      </c>
      <c r="F5073" s="39" t="n">
        <v>0</v>
      </c>
      <c r="G5073" s="38" t="n">
        <f aca="false">Sens!$E$5073+Sens!$F$5073</f>
        <v>71.492</v>
      </c>
      <c r="H5073" s="39" t="n">
        <v>0</v>
      </c>
      <c r="I5073" s="39" t="n">
        <v>0</v>
      </c>
      <c r="J5073" s="39" t="n">
        <v>0</v>
      </c>
      <c r="K5073" s="39" t="n">
        <v>0</v>
      </c>
      <c r="L5073" s="39" t="n">
        <v>0</v>
      </c>
      <c r="M5073" s="39" t="n">
        <v>0</v>
      </c>
      <c r="N5073" s="38" t="n">
        <f aca="false">Q!$N$39</f>
        <v>6.017</v>
      </c>
      <c r="O5073" s="38" t="n">
        <f aca="false">Q!$O$39</f>
        <v>13.593</v>
      </c>
      <c r="P5073" s="5" t="s">
        <v>754</v>
      </c>
    </row>
    <row r="5074" customFormat="false" ht="15" hidden="false" customHeight="false" outlineLevel="0" collapsed="false">
      <c r="A5074" s="5" t="s">
        <v>547</v>
      </c>
      <c r="B5074" s="0" t="s">
        <v>86</v>
      </c>
      <c r="C5074" s="38" t="n">
        <f aca="false">Q!$D$36</f>
        <v>68.614</v>
      </c>
      <c r="D5074" s="38" t="n">
        <f aca="false">Q!$E$36</f>
        <v>97.311</v>
      </c>
      <c r="E5074" s="38" t="n">
        <f aca="false">Q!$P$36</f>
        <v>120.691</v>
      </c>
      <c r="F5074" s="38" t="n">
        <f aca="false">Sens!$F$5050-Sens!$F$5071+Sens!$F$5072+Sens!$F$5073</f>
        <v>56.0316019995185</v>
      </c>
      <c r="G5074" s="38" t="n">
        <f aca="false">Sens!$E$5074+Sens!$F$5074</f>
        <v>176.722601999518</v>
      </c>
      <c r="H5074" s="38" t="n">
        <f aca="false">Sens!$H$5050-Sens!$H$5071+Sens!$H$5072+Sens!$H$5073</f>
        <v>127.892977696936</v>
      </c>
      <c r="I5074" s="38" t="n">
        <f aca="false">Sens!$I$5050-Sens!$I$5071+Sens!$I$5072+Sens!$I$5073</f>
        <v>145.059971464568</v>
      </c>
      <c r="J5074" s="38" t="n">
        <f aca="false">Sens!$J$5050-Sens!$J$5071+Sens!$J$5072+Sens!$J$5073</f>
        <v>162.301047638521</v>
      </c>
      <c r="K5074" s="38" t="n">
        <f aca="false">Sens!$K$5050-Sens!$K$5071+Sens!$K$5072+Sens!$K$5073</f>
        <v>174.811068079608</v>
      </c>
      <c r="L5074" s="38" t="n">
        <f aca="false">Sens!$L$5050-Sens!$L$5071+Sens!$L$5072+Sens!$L$5073</f>
        <v>190.599438342064</v>
      </c>
      <c r="M5074" s="38" t="n">
        <f aca="false">Sens!$M$5050-Sens!$M$5071+Sens!$M$5072+Sens!$M$5073</f>
        <v>208.094988213801</v>
      </c>
      <c r="N5074" s="38" t="n">
        <f aca="false">Q!$N$36</f>
        <v>42.536</v>
      </c>
      <c r="O5074" s="38" t="n">
        <f aca="false">Q!$O$36</f>
        <v>54.775</v>
      </c>
    </row>
    <row r="5075" customFormat="false" ht="15" hidden="false" customHeight="false" outlineLevel="0" collapsed="false">
      <c r="A5075" s="5" t="s">
        <v>548</v>
      </c>
      <c r="B5075" s="0" t="s">
        <v>86</v>
      </c>
      <c r="C5075" s="38" t="n">
        <f aca="false">Q!$D$37</f>
        <v>9.265</v>
      </c>
      <c r="D5075" s="38" t="n">
        <f aca="false">Q!$E$37</f>
        <v>19.087</v>
      </c>
      <c r="E5075" s="38" t="n">
        <f aca="false">Q!$P$37</f>
        <v>27.759</v>
      </c>
      <c r="F5075" s="38" t="n">
        <f aca="false">Sens!$F$5074*tax</f>
        <v>9.72621910890414</v>
      </c>
      <c r="G5075" s="38" t="n">
        <f aca="false">Sens!$E$5075+Sens!$F$5075</f>
        <v>37.4852191089041</v>
      </c>
      <c r="H5075" s="38" t="n">
        <f aca="false">Sens!$H$5074*tax</f>
        <v>22.2002419916761</v>
      </c>
      <c r="I5075" s="38" t="n">
        <f aca="false">Sens!$I$5074*tax</f>
        <v>25.1801664783365</v>
      </c>
      <c r="J5075" s="38" t="n">
        <f aca="false">Sens!$J$5074*tax</f>
        <v>28.1729505244292</v>
      </c>
      <c r="K5075" s="38" t="n">
        <f aca="false">Sens!$K$5074*tax</f>
        <v>30.3444965007146</v>
      </c>
      <c r="L5075" s="38" t="n">
        <f aca="false">Sens!$L$5074*tax</f>
        <v>33.0851132788405</v>
      </c>
      <c r="M5075" s="38" t="n">
        <f aca="false">Sens!$M$5074*tax</f>
        <v>36.1220700213006</v>
      </c>
      <c r="N5075" s="38" t="n">
        <f aca="false">Q!$N$37</f>
        <v>7.231</v>
      </c>
      <c r="O5075" s="38" t="n">
        <f aca="false">Q!$O$37</f>
        <v>11.856</v>
      </c>
    </row>
    <row r="5076" customFormat="false" ht="15" hidden="false" customHeight="false" outlineLevel="0" collapsed="false">
      <c r="A5076" s="3" t="s">
        <v>549</v>
      </c>
      <c r="B5076" s="8" t="s">
        <v>86</v>
      </c>
      <c r="C5076" s="38" t="n">
        <f aca="false">Q!$D$38</f>
        <v>59.248</v>
      </c>
      <c r="D5076" s="38" t="n">
        <f aca="false">Q!$E$38</f>
        <v>77.67</v>
      </c>
      <c r="E5076" s="38" t="n">
        <f aca="false">Q!$P$38</f>
        <v>92.902</v>
      </c>
      <c r="F5076" s="38" t="n">
        <f aca="false">Sens!$F$5074-Sens!$F$5075</f>
        <v>46.3053828906144</v>
      </c>
      <c r="G5076" s="38" t="n">
        <f aca="false">Sens!$E$5076+Sens!$F$5076</f>
        <v>139.207382890614</v>
      </c>
      <c r="H5076" s="38" t="n">
        <f aca="false">Sens!$H$5074-Sens!$H$5075</f>
        <v>105.69273570526</v>
      </c>
      <c r="I5076" s="38" t="n">
        <f aca="false">Sens!$I$5074-Sens!$I$5075</f>
        <v>119.879804986231</v>
      </c>
      <c r="J5076" s="38" t="n">
        <f aca="false">Sens!$J$5074-Sens!$J$5075</f>
        <v>134.128097114092</v>
      </c>
      <c r="K5076" s="38" t="n">
        <f aca="false">Sens!$K$5074-Sens!$K$5075</f>
        <v>144.466571578893</v>
      </c>
      <c r="L5076" s="38" t="n">
        <f aca="false">Sens!$L$5074-Sens!$L$5075</f>
        <v>157.514325063223</v>
      </c>
      <c r="M5076" s="38" t="n">
        <f aca="false">Sens!$M$5074-Sens!$M$5075</f>
        <v>171.9729181925</v>
      </c>
      <c r="N5076" s="38" t="n">
        <f aca="false">Q!$N$38</f>
        <v>35.291</v>
      </c>
      <c r="O5076" s="38" t="n">
        <f aca="false">Q!$O$38</f>
        <v>42.379</v>
      </c>
    </row>
    <row r="5077" customFormat="false" ht="17.15" hidden="false" customHeight="false" outlineLevel="0" collapsed="false">
      <c r="A5077" s="5" t="s">
        <v>552</v>
      </c>
      <c r="B5077" s="5" t="s">
        <v>33</v>
      </c>
      <c r="C5077" s="22" t="n">
        <f aca="false">Q!$D$41</f>
        <v>10.721</v>
      </c>
      <c r="D5077" s="22" t="n">
        <f aca="false">Q!$E$41</f>
        <v>10.827</v>
      </c>
      <c r="E5077" s="22" t="n">
        <f aca="false">(Q!$L$41+Q!$M$41)/2</f>
        <v>10.8885</v>
      </c>
      <c r="F5077" s="22" t="n">
        <f aca="false">Sens!$G$5077</f>
        <v>10.924806</v>
      </c>
      <c r="G5077" s="22" t="n">
        <f aca="false">Q!$M$41*(1+sh_g*0.25)</f>
        <v>10.924806</v>
      </c>
      <c r="H5077" s="22" t="n">
        <f aca="false">Sens!$G$5077*(1+sh_g)</f>
        <v>11.012204448</v>
      </c>
      <c r="I5077" s="22" t="n">
        <f aca="false">Sens!$H$5077*(1+sh_g)</f>
        <v>11.100302083584</v>
      </c>
      <c r="J5077" s="22" t="n">
        <f aca="false">Sens!$I$5077*(1+sh_g)</f>
        <v>11.1891045002527</v>
      </c>
      <c r="K5077" s="22" t="n">
        <f aca="false">Sens!$J$5077*(1+sh_g)</f>
        <v>11.2786173362547</v>
      </c>
      <c r="L5077" s="22" t="n">
        <f aca="false">Sens!$K$5077*(1+sh_g)</f>
        <v>11.3688462749447</v>
      </c>
      <c r="M5077" s="22" t="n">
        <f aca="false">Sens!$L$5077*(1+sh_g)</f>
        <v>11.4597970451443</v>
      </c>
      <c r="P5077" s="5" t="s">
        <v>755</v>
      </c>
    </row>
    <row r="5078" customFormat="false" ht="17.15" hidden="false" customHeight="false" outlineLevel="0" collapsed="false">
      <c r="A5078" s="5" t="s">
        <v>756</v>
      </c>
      <c r="B5078" s="0" t="s">
        <v>86</v>
      </c>
      <c r="C5078" s="38" t="n">
        <f aca="false">Sens!$C$5076+Sens!$C$5052*(1-tax)</f>
        <v>59.248</v>
      </c>
      <c r="D5078" s="38" t="n">
        <f aca="false">Sens!$D$5076+Sens!$D$5052*(1-tax)</f>
        <v>77.67</v>
      </c>
      <c r="E5078" s="38" t="n">
        <f aca="false">Sens!$E$5076+Sens!$E$5052*(1-tax)</f>
        <v>92.902</v>
      </c>
      <c r="F5078" s="38" t="n">
        <f aca="false">Sens!$F$5076+Sens!$F$5052*(1-tax)</f>
        <v>49.421977850263</v>
      </c>
      <c r="G5078" s="38" t="n">
        <f aca="false">Sens!$G$5076+Sens!$G$5052*(1-tax)</f>
        <v>142.323977850263</v>
      </c>
      <c r="H5078" s="38" t="n">
        <f aca="false">Sens!$H$5076+Sens!$H$5052*(1-tax)</f>
        <v>118.224131660605</v>
      </c>
      <c r="I5078" s="38" t="n">
        <f aca="false">Sens!$I$5076+Sens!$I$5052*(1-tax)</f>
        <v>141.02107006117</v>
      </c>
      <c r="J5078" s="38" t="n">
        <f aca="false">Sens!$J$5076+Sens!$J$5052*(1-tax)</f>
        <v>163.917534058375</v>
      </c>
      <c r="K5078" s="38" t="n">
        <f aca="false">Sens!$K$5076+Sens!$K$5052*(1-tax)</f>
        <v>181.633877275552</v>
      </c>
      <c r="L5078" s="38" t="n">
        <f aca="false">Sens!$L$5076+Sens!$L$5052*(1-tax)</f>
        <v>199.530402403778</v>
      </c>
      <c r="M5078" s="38" t="n">
        <f aca="false">Sens!$M$5076+Sens!$M$5052*(1-tax)</f>
        <v>216.302440383341</v>
      </c>
      <c r="N5078" s="38" t="n">
        <f aca="false">Sens!$N$5076+Sens!$N$5052*(1-tax)</f>
        <v>35.291</v>
      </c>
      <c r="O5078" s="38" t="n">
        <f aca="false">Sens!$O$5076+Sens!$O$5052*(1-tax)</f>
        <v>42.379</v>
      </c>
    </row>
    <row r="5079" customFormat="false" ht="17.15" hidden="false" customHeight="false" outlineLevel="0" collapsed="false">
      <c r="A5079" s="43" t="s">
        <v>757</v>
      </c>
      <c r="B5079" s="14" t="s">
        <v>27</v>
      </c>
      <c r="C5079" s="44" t="n">
        <f aca="false">Sens!$C$5078/Sens!$C$5077</f>
        <v>5.52635015390355</v>
      </c>
      <c r="D5079" s="44" t="n">
        <f aca="false">Sens!$D$5078/Sens!$D$5077</f>
        <v>7.1737323358271</v>
      </c>
      <c r="E5079" s="44" t="n">
        <f aca="false">Sens!$E$5078/Sens!$E$5077</f>
        <v>8.53212104513937</v>
      </c>
      <c r="F5079" s="14"/>
      <c r="G5079" s="44" t="n">
        <f aca="false">Sens!$G$5078/Sens!$G$5077</f>
        <v>13.0275977303636</v>
      </c>
      <c r="H5079" s="44" t="n">
        <f aca="false">Sens!$H$5078/Sens!$H$5077</f>
        <v>10.7357370832392</v>
      </c>
      <c r="I5079" s="44" t="n">
        <f aca="false">Sens!$I$5078/Sens!$I$5077</f>
        <v>12.7042551634449</v>
      </c>
      <c r="J5079" s="44" t="n">
        <f aca="false">Sens!$J$5078/Sens!$J$5077</f>
        <v>14.6497455676344</v>
      </c>
      <c r="K5079" s="44" t="n">
        <f aca="false">Sens!$K$5078/Sens!$K$5077</f>
        <v>16.104268090708</v>
      </c>
      <c r="L5079" s="44" t="n">
        <f aca="false">Sens!$L$5078/Sens!$L$5077</f>
        <v>17.5506289361581</v>
      </c>
      <c r="M5079" s="44" t="n">
        <f aca="false">Sens!$M$5078/Sens!$M$5077</f>
        <v>18.8748927691518</v>
      </c>
      <c r="N5079" s="14"/>
      <c r="O5079" s="14"/>
    </row>
    <row r="5080" customFormat="false" ht="17.15" hidden="false" customHeight="false" outlineLevel="0" collapsed="false">
      <c r="A5080" s="0" t="s">
        <v>758</v>
      </c>
      <c r="B5080" s="0" t="s">
        <v>27</v>
      </c>
      <c r="C5080" s="30" t="n">
        <f aca="false">Sens!$C$5076/Sens!$C$5077</f>
        <v>5.52635015390355</v>
      </c>
      <c r="D5080" s="30" t="n">
        <f aca="false">Sens!$D$5076/Sens!$D$5077</f>
        <v>7.1737323358271</v>
      </c>
      <c r="E5080" s="30" t="n">
        <f aca="false">Sens!$E$5076/Sens!$E$5077</f>
        <v>8.53212104513937</v>
      </c>
      <c r="G5080" s="30" t="n">
        <f aca="false">Sens!$G$5076/Sens!$G$5077</f>
        <v>12.7423208147233</v>
      </c>
      <c r="H5080" s="30" t="n">
        <f aca="false">Sens!$H$5076/Sens!$H$5077</f>
        <v>9.59778182509639</v>
      </c>
      <c r="I5080" s="30" t="n">
        <f aca="false">Sens!$I$5076/Sens!$I$5077</f>
        <v>10.799688520506</v>
      </c>
      <c r="J5080" s="30" t="n">
        <f aca="false">Sens!$J$5076/Sens!$J$5077</f>
        <v>11.9873844337644</v>
      </c>
      <c r="K5080" s="30" t="n">
        <f aca="false">Sens!$K$5076/Sens!$K$5077</f>
        <v>12.8088902453061</v>
      </c>
      <c r="L5080" s="30" t="n">
        <f aca="false">Sens!$L$5076/Sens!$L$5077</f>
        <v>13.8549085152432</v>
      </c>
      <c r="M5080" s="30" t="n">
        <f aca="false">Sens!$M$5076/Sens!$M$5077</f>
        <v>15.0066286091313</v>
      </c>
    </row>
    <row r="5081" customFormat="false" ht="17.15" hidden="false" customHeight="false" outlineLevel="0" collapsed="false">
      <c r="A5081" s="0" t="s">
        <v>759</v>
      </c>
      <c r="B5081" s="0" t="s">
        <v>27</v>
      </c>
      <c r="C5081" s="30" t="n">
        <f aca="false">(Sens!$C$5076-Sens!$C$5073*(1-tax))/Sens!$C$5077</f>
        <v>5.33926775917445</v>
      </c>
      <c r="D5081" s="30" t="n">
        <f aca="false">(Sens!$D$5076-Sens!$D$5073*(1-tax))/Sens!$D$5077</f>
        <v>5.67691812755503</v>
      </c>
      <c r="E5081" s="30" t="n">
        <f aca="false">(Sens!$E$5076-Sens!$E$5073*(1-tax))/Sens!$E$5077</f>
        <v>3.10602057006846</v>
      </c>
      <c r="G5081" s="30" t="n">
        <f aca="false">(Sens!$G$5076-Sens!$G$5073*(1-tax))/Sens!$G$5077</f>
        <v>7.33425269682635</v>
      </c>
      <c r="H5081" s="30" t="n">
        <f aca="false">(Sens!$H$5076-Sens!$H$5073*(1-tax))/Sens!$H$5077</f>
        <v>9.59778182509639</v>
      </c>
      <c r="I5081" s="30" t="n">
        <f aca="false">(Sens!$I$5076-Sens!$I$5073*(1-tax))/Sens!$I$5077</f>
        <v>10.799688520506</v>
      </c>
      <c r="J5081" s="30" t="n">
        <f aca="false">(Sens!$J$5076-Sens!$J$5073*(1-tax))/Sens!$J$5077</f>
        <v>11.9873844337644</v>
      </c>
      <c r="K5081" s="30" t="n">
        <f aca="false">(Sens!$K$5076-Sens!$K$5073*(1-tax))/Sens!$K$5077</f>
        <v>12.8088902453061</v>
      </c>
      <c r="L5081" s="30" t="n">
        <f aca="false">(Sens!$L$5076-Sens!$L$5073*(1-tax))/Sens!$L$5077</f>
        <v>13.8549085152432</v>
      </c>
      <c r="M5081" s="30" t="n">
        <f aca="false">(Sens!$M$5076-Sens!$M$5073*(1-tax))/Sens!$M$5077</f>
        <v>15.0066286091313</v>
      </c>
      <c r="P5081" s="5" t="s">
        <v>760</v>
      </c>
    </row>
    <row r="5082" customFormat="false" ht="17.15" hidden="false" customHeight="false" outlineLevel="0" collapsed="false">
      <c r="A5082" s="0" t="s">
        <v>761</v>
      </c>
      <c r="B5082" s="0" t="s">
        <v>52</v>
      </c>
      <c r="H5082" s="13" t="n">
        <f aca="false">Sens!$H$5079/Sens!$G$5079-1</f>
        <v>-0.175923504437261</v>
      </c>
      <c r="I5082" s="13" t="n">
        <f aca="false">Sens!$I$5079/Sens!$H$5079-1</f>
        <v>0.183361241519136</v>
      </c>
      <c r="J5082" s="13" t="n">
        <f aca="false">Sens!$J$5079/Sens!$I$5079-1</f>
        <v>0.153136911936991</v>
      </c>
      <c r="K5082" s="13" t="n">
        <f aca="false">Sens!$K$5079/Sens!$J$5079-1</f>
        <v>0.0992865382103958</v>
      </c>
      <c r="L5082" s="13" t="n">
        <f aca="false">Sens!$L$5079/Sens!$K$5079-1</f>
        <v>0.0898122682324627</v>
      </c>
      <c r="M5082" s="13" t="n">
        <f aca="false">Sens!$M$5079/Sens!$L$5079-1</f>
        <v>0.0754539246320329</v>
      </c>
    </row>
    <row r="5085" customFormat="false" ht="19.4" hidden="false" customHeight="false" outlineLevel="0" collapsed="false">
      <c r="A5085" s="31" t="s">
        <v>1238</v>
      </c>
    </row>
    <row r="5086" customFormat="false" ht="17.15" hidden="false" customHeight="false" outlineLevel="0" collapsed="false">
      <c r="A5086" s="6" t="s">
        <v>16</v>
      </c>
      <c r="B5086" s="6" t="s">
        <v>17</v>
      </c>
      <c r="C5086" s="20" t="s">
        <v>497</v>
      </c>
      <c r="D5086" s="20" t="s">
        <v>498</v>
      </c>
      <c r="E5086" s="20" t="s">
        <v>580</v>
      </c>
      <c r="F5086" s="20" t="s">
        <v>581</v>
      </c>
      <c r="G5086" s="20" t="s">
        <v>582</v>
      </c>
      <c r="H5086" s="20" t="s">
        <v>583</v>
      </c>
      <c r="I5086" s="20" t="s">
        <v>584</v>
      </c>
      <c r="J5086" s="20" t="s">
        <v>585</v>
      </c>
      <c r="K5086" s="20" t="s">
        <v>586</v>
      </c>
      <c r="L5086" s="20" t="s">
        <v>587</v>
      </c>
      <c r="M5086" s="20" t="s">
        <v>588</v>
      </c>
      <c r="N5086" s="20" t="s">
        <v>589</v>
      </c>
      <c r="O5086" s="20" t="s">
        <v>590</v>
      </c>
      <c r="P5086" s="6" t="s">
        <v>23</v>
      </c>
      <c r="R5086" s="20" t="n">
        <v>2023</v>
      </c>
      <c r="S5086" s="20" t="n">
        <v>2024</v>
      </c>
      <c r="T5086" s="20" t="n">
        <v>2025</v>
      </c>
      <c r="U5086" s="20" t="n">
        <v>2026</v>
      </c>
      <c r="V5086" s="20" t="n">
        <v>2027</v>
      </c>
      <c r="W5086" s="20" t="n">
        <v>2028</v>
      </c>
      <c r="X5086" s="20" t="n">
        <v>2029</v>
      </c>
      <c r="Y5086" s="20" t="n">
        <v>2030</v>
      </c>
      <c r="Z5086" s="20" t="n">
        <v>2031</v>
      </c>
      <c r="AA5086" s="20" t="n">
        <v>2032</v>
      </c>
    </row>
    <row r="5087" customFormat="false" ht="15" hidden="false" customHeight="false" outlineLevel="0" collapsed="false">
      <c r="A5087" s="5" t="s">
        <v>549</v>
      </c>
      <c r="B5087" s="0" t="s">
        <v>86</v>
      </c>
      <c r="C5087" s="38" t="n">
        <f aca="false">Sens!$C$5076</f>
        <v>59.248</v>
      </c>
      <c r="D5087" s="38" t="n">
        <f aca="false">Sens!$D$5076</f>
        <v>77.67</v>
      </c>
      <c r="E5087" s="38" t="n">
        <f aca="false">Sens!$E$5076</f>
        <v>92.902</v>
      </c>
      <c r="F5087" s="38" t="n">
        <f aca="false">Sens!$F$5076</f>
        <v>46.3053828906144</v>
      </c>
      <c r="G5087" s="38" t="n">
        <f aca="false">Sens!$G$5076</f>
        <v>139.207382890614</v>
      </c>
      <c r="H5087" s="38" t="n">
        <f aca="false">Sens!$H$5076</f>
        <v>105.69273570526</v>
      </c>
      <c r="I5087" s="38" t="n">
        <f aca="false">Sens!$I$5076</f>
        <v>119.879804986231</v>
      </c>
      <c r="J5087" s="38" t="n">
        <f aca="false">Sens!$J$5076</f>
        <v>134.128097114092</v>
      </c>
      <c r="K5087" s="38" t="n">
        <f aca="false">Sens!$K$5076</f>
        <v>144.466571578893</v>
      </c>
      <c r="L5087" s="38" t="n">
        <f aca="false">Sens!$L$5076</f>
        <v>157.514325063223</v>
      </c>
      <c r="M5087" s="38" t="n">
        <f aca="false">Sens!$M$5076</f>
        <v>171.9729181925</v>
      </c>
    </row>
    <row r="5088" customFormat="false" ht="17.15" hidden="false" customHeight="false" outlineLevel="0" collapsed="false">
      <c r="A5088" s="5" t="s">
        <v>784</v>
      </c>
      <c r="B5088" s="0" t="s">
        <v>86</v>
      </c>
      <c r="C5088" s="38" t="n">
        <f aca="false">Sens!$C$5064</f>
        <v>32.067</v>
      </c>
      <c r="D5088" s="38" t="n">
        <f aca="false">Sens!$D$5064</f>
        <v>41.86</v>
      </c>
      <c r="E5088" s="38" t="n">
        <f aca="false">Sens!$E$5064</f>
        <v>26.703</v>
      </c>
      <c r="F5088" s="38" t="n">
        <f aca="false">Sens!$F$5064</f>
        <v>28.2071421626285</v>
      </c>
      <c r="G5088" s="38" t="n">
        <f aca="false">Sens!$G$5064</f>
        <v>54.9101421626285</v>
      </c>
      <c r="H5088" s="38" t="n">
        <f aca="false">Sens!$H$5064</f>
        <v>78.1799395827871</v>
      </c>
      <c r="I5088" s="38" t="n">
        <f aca="false">Sens!$I$5064</f>
        <v>111.171125554384</v>
      </c>
      <c r="J5088" s="38" t="n">
        <f aca="false">Sens!$J$5064</f>
        <v>144.884406220971</v>
      </c>
      <c r="K5088" s="38" t="n">
        <f aca="false">Sens!$K$5064</f>
        <v>178.806419437999</v>
      </c>
      <c r="L5088" s="38" t="n">
        <f aca="false">Sens!$L$5064</f>
        <v>204.341339029663</v>
      </c>
      <c r="M5088" s="38" t="n">
        <f aca="false">Sens!$M$5064</f>
        <v>223.130577995387</v>
      </c>
    </row>
    <row r="5089" customFormat="false" ht="15" hidden="false" customHeight="false" outlineLevel="0" collapsed="false">
      <c r="A5089" s="5" t="s">
        <v>785</v>
      </c>
      <c r="B5089" s="0" t="s">
        <v>86</v>
      </c>
      <c r="C5089" s="38" t="n">
        <f aca="false">Q!$D$48</f>
        <v>22.011</v>
      </c>
      <c r="D5089" s="38" t="n">
        <f aca="false">Q!$E$48</f>
        <v>19.467</v>
      </c>
      <c r="E5089" s="38" t="n">
        <f aca="false">Q!$P$48</f>
        <v>10.07</v>
      </c>
      <c r="F5089" s="38" t="n">
        <f aca="false">sbc_r*Sens!$F$5006</f>
        <v>10.8507035798037</v>
      </c>
      <c r="G5089" s="38" t="n">
        <f aca="false">Sens!$E$5089+Sens!$F$5089</f>
        <v>20.9207035798037</v>
      </c>
      <c r="H5089" s="38" t="n">
        <f aca="false">sbc_r*Sens!$H$5006</f>
        <v>23.46224366345</v>
      </c>
      <c r="I5089" s="38" t="n">
        <f aca="false">sbc_r*Sens!$I$5006</f>
        <v>26.6125957111676</v>
      </c>
      <c r="J5089" s="38" t="n">
        <f aca="false">sbc_r*Sens!$J$5006</f>
        <v>29.6280801413323</v>
      </c>
      <c r="K5089" s="38" t="n">
        <f aca="false">sbc_r*Sens!$K$5006</f>
        <v>32.2712258901105</v>
      </c>
      <c r="L5089" s="38" t="n">
        <f aca="false">sbc_r*Sens!$L$5006</f>
        <v>34.7390505016737</v>
      </c>
      <c r="M5089" s="38" t="n">
        <f aca="false">sbc_r*Sens!$M$5006</f>
        <v>37.0405146906692</v>
      </c>
    </row>
    <row r="5090" customFormat="false" ht="17.15" hidden="false" customHeight="false" outlineLevel="0" collapsed="false">
      <c r="A5090" s="5" t="s">
        <v>786</v>
      </c>
      <c r="B5090" s="0" t="s">
        <v>86</v>
      </c>
      <c r="C5090" s="38" t="n">
        <f aca="false">Q!$D$44-Sens!$C$5087-Sens!$C$5088-Sens!$C$5089</f>
        <v>2.551</v>
      </c>
      <c r="D5090" s="38" t="n">
        <f aca="false">Q!$E$44-Sens!$D$5087-Sens!$D$5088-Sens!$D$5089</f>
        <v>0.51700000000001</v>
      </c>
      <c r="E5090" s="38" t="n">
        <f aca="false">Q!$P$44-Sens!$E$5087-Sens!$E$5088-Sens!$E$5089</f>
        <v>-58.256</v>
      </c>
      <c r="F5090" s="38" t="n">
        <f aca="false">oth_r*Sens!$F$5006</f>
        <v>5.22265251035878</v>
      </c>
      <c r="G5090" s="38" t="n">
        <f aca="false">Sens!$E$5090+Sens!$F$5090</f>
        <v>-53.0333474896412</v>
      </c>
      <c r="H5090" s="38" t="n">
        <f aca="false">oth_r*Sens!$H$5006</f>
        <v>11.2928295263397</v>
      </c>
      <c r="I5090" s="38" t="n">
        <f aca="false">oth_r*Sens!$I$5006</f>
        <v>12.8091546115766</v>
      </c>
      <c r="J5090" s="38" t="n">
        <f aca="false">oth_r*Sens!$J$5006</f>
        <v>14.2605653162668</v>
      </c>
      <c r="K5090" s="38" t="n">
        <f aca="false">oth_r*Sens!$K$5006</f>
        <v>15.5327622460396</v>
      </c>
      <c r="L5090" s="38" t="n">
        <f aca="false">oth_r*Sens!$L$5006</f>
        <v>16.720573737517</v>
      </c>
      <c r="M5090" s="38" t="n">
        <f aca="false">oth_r*Sens!$M$5006</f>
        <v>17.8283127551536</v>
      </c>
      <c r="P5090" s="8" t="s">
        <v>787</v>
      </c>
    </row>
    <row r="5091" customFormat="false" ht="15" hidden="false" customHeight="false" outlineLevel="0" collapsed="false">
      <c r="A5091" s="3" t="s">
        <v>555</v>
      </c>
      <c r="B5091" s="8" t="s">
        <v>86</v>
      </c>
      <c r="C5091" s="38" t="n">
        <f aca="false">Q!$D$44</f>
        <v>115.877</v>
      </c>
      <c r="D5091" s="38" t="n">
        <f aca="false">Q!$E$44</f>
        <v>139.514</v>
      </c>
      <c r="E5091" s="38" t="n">
        <f aca="false">Q!$P$44</f>
        <v>71.419</v>
      </c>
      <c r="F5091" s="38" t="n">
        <f aca="false">Sens!$F$5087+Sens!$F$5088+Sens!$F$5089+Sens!$F$5090</f>
        <v>90.5858811434053</v>
      </c>
      <c r="G5091" s="38" t="n">
        <f aca="false">Sens!$E$5091+Sens!$F$5091</f>
        <v>162.004881143405</v>
      </c>
      <c r="H5091" s="38" t="n">
        <f aca="false">Sens!$H$5087+Sens!$H$5088+Sens!$H$5089+Sens!$H$5090</f>
        <v>218.627748477837</v>
      </c>
      <c r="I5091" s="38" t="n">
        <f aca="false">Sens!$I$5087+Sens!$I$5088+Sens!$I$5089+Sens!$I$5090</f>
        <v>270.47268086336</v>
      </c>
      <c r="J5091" s="38" t="n">
        <f aca="false">Sens!$J$5087+Sens!$J$5088+Sens!$J$5089+Sens!$J$5090</f>
        <v>322.901148792662</v>
      </c>
      <c r="K5091" s="38" t="n">
        <f aca="false">Sens!$K$5087+Sens!$K$5088+Sens!$K$5089+Sens!$K$5090</f>
        <v>371.076979153043</v>
      </c>
      <c r="L5091" s="38" t="n">
        <f aca="false">Sens!$L$5087+Sens!$L$5088+Sens!$L$5089+Sens!$L$5090</f>
        <v>413.315288332076</v>
      </c>
      <c r="M5091" s="38" t="n">
        <f aca="false">Sens!$M$5087+Sens!$M$5088+Sens!$M$5089+Sens!$M$5090</f>
        <v>449.97232363371</v>
      </c>
    </row>
    <row r="5092" customFormat="false" ht="17.15" hidden="false" customHeight="false" outlineLevel="0" collapsed="false">
      <c r="A5092" s="5" t="s">
        <v>788</v>
      </c>
      <c r="B5092" s="0" t="s">
        <v>86</v>
      </c>
      <c r="C5092" s="38" t="n">
        <f aca="false">Sens!$C$4973</f>
        <v>25.2781053077374</v>
      </c>
      <c r="D5092" s="38" t="n">
        <f aca="false">Sens!$D$4973</f>
        <v>69.5686316310026</v>
      </c>
      <c r="E5092" s="38" t="n">
        <f aca="false">Sens!$E$4973</f>
        <v>64.1899206485108</v>
      </c>
      <c r="F5092" s="38" t="n">
        <f aca="false">Sens!$F$4973</f>
        <v>96.2481299895</v>
      </c>
      <c r="G5092" s="38" t="n">
        <f aca="false">Sens!$G$4973</f>
        <v>160.438050638011</v>
      </c>
      <c r="H5092" s="38" t="n">
        <f aca="false">Sens!$H$4973</f>
        <v>198.57136494475</v>
      </c>
      <c r="I5092" s="38" t="n">
        <f aca="false">Sens!$I$4973</f>
        <v>204.6464699105</v>
      </c>
      <c r="J5092" s="38" t="n">
        <f aca="false">Sens!$J$4973</f>
        <v>209.8832381105</v>
      </c>
      <c r="K5092" s="38" t="n">
        <f aca="false">Sens!$K$4973</f>
        <v>155.238385275201</v>
      </c>
      <c r="L5092" s="38" t="n">
        <f aca="false">Sens!$L$4973</f>
        <v>132.014141639902</v>
      </c>
      <c r="M5092" s="38" t="n">
        <f aca="false">Sens!$M$4973</f>
        <v>132.230981659852</v>
      </c>
    </row>
    <row r="5093" customFormat="false" ht="17.15" hidden="false" customHeight="false" outlineLevel="0" collapsed="false">
      <c r="A5093" s="5" t="s">
        <v>789</v>
      </c>
      <c r="B5093" s="0" t="s">
        <v>86</v>
      </c>
      <c r="C5093" s="38" t="n">
        <f aca="false">cx_awso*Sens!$C$5004</f>
        <v>21.0469989286053</v>
      </c>
      <c r="D5093" s="38" t="n">
        <f aca="false">cx_awso*Sens!$D$5004</f>
        <v>24.0042459822698</v>
      </c>
      <c r="E5093" s="38" t="n">
        <f aca="false">cx_awso*Sens!$E$5004</f>
        <v>14.261729404886</v>
      </c>
      <c r="F5093" s="38" t="n">
        <f aca="false">cx_awso*Sens!$F$5004</f>
        <v>14.3538599588493</v>
      </c>
      <c r="G5093" s="38" t="n">
        <f aca="false">Sens!$E$5093+Sens!$F$5093</f>
        <v>28.6155893637353</v>
      </c>
      <c r="H5093" s="38" t="n">
        <f aca="false">cx_awso*Sens!$H$5004</f>
        <v>32.2034154158406</v>
      </c>
      <c r="I5093" s="38" t="n">
        <f aca="false">cx_awso*Sens!$I$5004</f>
        <v>35.7539519042915</v>
      </c>
      <c r="J5093" s="38" t="n">
        <f aca="false">cx_awso*Sens!$J$5004</f>
        <v>39.1551076091815</v>
      </c>
      <c r="K5093" s="38" t="n">
        <f aca="false">cx_awso*Sens!$K$5004</f>
        <v>42.287516217916</v>
      </c>
      <c r="L5093" s="38" t="n">
        <f aca="false">cx_awso*Sens!$L$5004</f>
        <v>45.6705175153492</v>
      </c>
      <c r="M5093" s="38" t="n">
        <f aca="false">cx_awso*Sens!$M$5004</f>
        <v>49.3241589165772</v>
      </c>
    </row>
    <row r="5094" customFormat="false" ht="17.15" hidden="false" customHeight="false" outlineLevel="0" collapsed="false">
      <c r="A5094" s="5" t="s">
        <v>790</v>
      </c>
      <c r="B5094" s="0" t="s">
        <v>86</v>
      </c>
      <c r="C5094" s="38" t="n">
        <f aca="false">Q!$D$46-Sens!$C$5092-Sens!$C$5093</f>
        <v>31.3328957636573</v>
      </c>
      <c r="D5094" s="38" t="n">
        <f aca="false">Q!$E$46-Sens!$D$5092-Sens!$D$5093</f>
        <v>34.7471223867276</v>
      </c>
      <c r="E5094" s="38" t="n">
        <f aca="false">Q!$P$46-Sens!$E$5092-Sens!$E$5093</f>
        <v>17.8583499466032</v>
      </c>
      <c r="F5094" s="38" t="n">
        <f aca="false">cx_rt*Sens!$F$4936</f>
        <v>20.6195895799373</v>
      </c>
      <c r="G5094" s="38" t="n">
        <f aca="false">Sens!$E$5094+Sens!$F$5094</f>
        <v>38.4779395265405</v>
      </c>
      <c r="H5094" s="38" t="n">
        <f aca="false">cx_rt*Sens!$H$4936</f>
        <v>42.5978994743075</v>
      </c>
      <c r="I5094" s="38" t="n">
        <f aca="false">cx_rt*Sens!$I$4936</f>
        <v>46.5813904136335</v>
      </c>
      <c r="J5094" s="38" t="n">
        <f aca="false">cx_rt*Sens!$J$4936</f>
        <v>50.2781676586844</v>
      </c>
      <c r="K5094" s="38" t="n">
        <f aca="false">cx_rt*Sens!$K$4936</f>
        <v>53.5312440191755</v>
      </c>
      <c r="L5094" s="38" t="n">
        <f aca="false">cx_rt*Sens!$L$4936</f>
        <v>57.0116717051447</v>
      </c>
      <c r="M5094" s="38" t="n">
        <f aca="false">cx_rt*Sens!$M$4936</f>
        <v>60.7365554669226</v>
      </c>
    </row>
    <row r="5095" customFormat="false" ht="15" hidden="false" customHeight="false" outlineLevel="0" collapsed="false">
      <c r="A5095" s="3" t="s">
        <v>791</v>
      </c>
      <c r="B5095" s="8" t="s">
        <v>86</v>
      </c>
      <c r="C5095" s="38" t="n">
        <f aca="false">Q!$D$46</f>
        <v>77.658</v>
      </c>
      <c r="D5095" s="38" t="n">
        <f aca="false">Q!$E$46</f>
        <v>128.32</v>
      </c>
      <c r="E5095" s="38" t="n">
        <f aca="false">Q!$P$46</f>
        <v>96.31</v>
      </c>
      <c r="F5095" s="38" t="n">
        <f aca="false">Sens!$F$5092+Sens!$F$5093+Sens!$F$5094</f>
        <v>131.221579528287</v>
      </c>
      <c r="G5095" s="38" t="n">
        <f aca="false">Sens!$E$5095+Sens!$F$5095</f>
        <v>227.531579528287</v>
      </c>
      <c r="H5095" s="38" t="n">
        <f aca="false">Sens!$H$5092+Sens!$H$5093+Sens!$H$5094</f>
        <v>273.372679834898</v>
      </c>
      <c r="I5095" s="38" t="n">
        <f aca="false">Sens!$I$5092+Sens!$I$5093+Sens!$I$5094</f>
        <v>286.981812228425</v>
      </c>
      <c r="J5095" s="38" t="n">
        <f aca="false">Sens!$J$5092+Sens!$J$5093+Sens!$J$5094</f>
        <v>299.316513378366</v>
      </c>
      <c r="K5095" s="38" t="n">
        <f aca="false">Sens!$K$5092+Sens!$K$5093+Sens!$K$5094</f>
        <v>251.057145512292</v>
      </c>
      <c r="L5095" s="38" t="n">
        <f aca="false">Sens!$L$5092+Sens!$L$5093+Sens!$L$5094</f>
        <v>234.696330860396</v>
      </c>
      <c r="M5095" s="38" t="n">
        <f aca="false">Sens!$M$5092+Sens!$M$5093+Sens!$M$5094</f>
        <v>242.291696043352</v>
      </c>
    </row>
    <row r="5096" customFormat="false" ht="17.15" hidden="false" customHeight="false" outlineLevel="0" collapsed="false">
      <c r="A5096" s="5" t="s">
        <v>563</v>
      </c>
      <c r="B5096" s="0" t="s">
        <v>86</v>
      </c>
      <c r="C5096" s="38" t="n">
        <f aca="false">Q!$D$50</f>
        <v>2.043</v>
      </c>
      <c r="D5096" s="38" t="n">
        <f aca="false">Q!$E$50</f>
        <v>1.557</v>
      </c>
      <c r="E5096" s="38" t="n">
        <f aca="false">lease_pr/2</f>
        <v>0.8</v>
      </c>
      <c r="F5096" s="38" t="n">
        <f aca="false">lease_pr/2</f>
        <v>0.8</v>
      </c>
      <c r="G5096" s="38" t="n">
        <f aca="false">Sens!$E$5096+Sens!$F$5096</f>
        <v>1.6</v>
      </c>
      <c r="H5096" s="38" t="n">
        <f aca="false">lease_pr</f>
        <v>1.6</v>
      </c>
      <c r="I5096" s="38" t="n">
        <f aca="false">lease_pr</f>
        <v>1.6</v>
      </c>
      <c r="J5096" s="38" t="n">
        <f aca="false">lease_pr</f>
        <v>1.6</v>
      </c>
      <c r="K5096" s="38" t="n">
        <f aca="false">lease_pr</f>
        <v>1.6</v>
      </c>
      <c r="L5096" s="38" t="n">
        <f aca="false">lease_pr</f>
        <v>1.6</v>
      </c>
      <c r="M5096" s="38" t="n">
        <f aca="false">lease_pr</f>
        <v>1.6</v>
      </c>
      <c r="P5096" s="8" t="s">
        <v>792</v>
      </c>
    </row>
    <row r="5097" customFormat="false" ht="15" hidden="false" customHeight="false" outlineLevel="0" collapsed="false">
      <c r="A5097" s="47" t="s">
        <v>793</v>
      </c>
      <c r="B5097" s="14" t="s">
        <v>86</v>
      </c>
      <c r="C5097" s="48" t="n">
        <f aca="false">Sens!$C$5091-Sens!$C$5095-Sens!$C$5096</f>
        <v>36.176</v>
      </c>
      <c r="D5097" s="48" t="n">
        <f aca="false">Sens!$D$5091-Sens!$D$5095-Sens!$D$5096</f>
        <v>9.63700000000002</v>
      </c>
      <c r="E5097" s="48" t="n">
        <f aca="false">Sens!$E$5091-Sens!$E$5095-Sens!$E$5096</f>
        <v>-25.691</v>
      </c>
      <c r="F5097" s="48" t="n">
        <f aca="false">Sens!$F$5091-Sens!$F$5095-Sens!$F$5096</f>
        <v>-41.4356983848813</v>
      </c>
      <c r="G5097" s="48" t="n">
        <f aca="false">Sens!$G$5091-Sens!$G$5095-Sens!$G$5096</f>
        <v>-67.1266983848813</v>
      </c>
      <c r="H5097" s="48" t="n">
        <f aca="false">Sens!$H$5091-Sens!$H$5095-Sens!$H$5096</f>
        <v>-56.3449313570613</v>
      </c>
      <c r="I5097" s="48" t="n">
        <f aca="false">Sens!$I$5091-Sens!$I$5095-Sens!$I$5096</f>
        <v>-18.1091313650653</v>
      </c>
      <c r="J5097" s="48" t="n">
        <f aca="false">Sens!$J$5091-Sens!$J$5095-Sens!$J$5096</f>
        <v>21.9846354142961</v>
      </c>
      <c r="K5097" s="48" t="n">
        <f aca="false">Sens!$K$5091-Sens!$K$5095-Sens!$K$5096</f>
        <v>118.41983364075</v>
      </c>
      <c r="L5097" s="48" t="n">
        <f aca="false">Sens!$L$5091-Sens!$L$5095-Sens!$L$5096</f>
        <v>177.018957471681</v>
      </c>
      <c r="M5097" s="48" t="n">
        <f aca="false">Sens!$M$5091-Sens!$M$5095-Sens!$M$5096</f>
        <v>206.080627590357</v>
      </c>
      <c r="N5097" s="14"/>
      <c r="O5097" s="14"/>
    </row>
    <row r="5098" customFormat="false" ht="17.15" hidden="false" customHeight="false" outlineLevel="0" collapsed="false">
      <c r="A5098" s="5" t="s">
        <v>794</v>
      </c>
      <c r="B5098" s="0" t="s">
        <v>86</v>
      </c>
      <c r="C5098" s="38" t="n">
        <f aca="false">dps*Sens!$C$5077</f>
        <v>0</v>
      </c>
      <c r="D5098" s="38" t="n">
        <f aca="false">dps*Sens!$D$5077</f>
        <v>0</v>
      </c>
      <c r="E5098" s="38" t="n">
        <f aca="false">dps*Sens!$E$5077</f>
        <v>0</v>
      </c>
      <c r="F5098" s="38" t="n">
        <f aca="false">0</f>
        <v>0</v>
      </c>
      <c r="G5098" s="38" t="n">
        <f aca="false">dps*Sens!$G$5077</f>
        <v>0</v>
      </c>
      <c r="H5098" s="38" t="n">
        <f aca="false">dps*Sens!$H$5077</f>
        <v>0</v>
      </c>
      <c r="I5098" s="38" t="n">
        <f aca="false">dps*Sens!$I$5077</f>
        <v>0</v>
      </c>
      <c r="J5098" s="38" t="n">
        <f aca="false">dps*Sens!$J$5077</f>
        <v>0</v>
      </c>
      <c r="K5098" s="38" t="n">
        <f aca="false">dps*Sens!$K$5077</f>
        <v>0</v>
      </c>
      <c r="L5098" s="38" t="n">
        <f aca="false">dps*Sens!$L$5077</f>
        <v>0</v>
      </c>
      <c r="M5098" s="38" t="n">
        <f aca="false">dps*Sens!$M$5077</f>
        <v>0</v>
      </c>
      <c r="P5098" s="8" t="s">
        <v>795</v>
      </c>
    </row>
    <row r="5099" customFormat="false" ht="17.15" hidden="false" customHeight="false" outlineLevel="0" collapsed="false">
      <c r="A5099" s="5" t="s">
        <v>796</v>
      </c>
      <c r="B5099" s="0" t="s">
        <v>86</v>
      </c>
      <c r="C5099" s="38" t="n">
        <f aca="false">0</f>
        <v>0</v>
      </c>
      <c r="D5099" s="38" t="n">
        <f aca="false">0</f>
        <v>0</v>
      </c>
      <c r="E5099" s="38" t="n">
        <f aca="false">0</f>
        <v>0</v>
      </c>
      <c r="F5099" s="38" t="n">
        <f aca="false">0</f>
        <v>0</v>
      </c>
      <c r="G5099" s="38" t="n">
        <f aca="false">0</f>
        <v>0</v>
      </c>
      <c r="H5099" s="38" t="n">
        <f aca="false">0</f>
        <v>0</v>
      </c>
      <c r="I5099" s="38" t="n">
        <f aca="false">0</f>
        <v>0</v>
      </c>
      <c r="J5099" s="38" t="n">
        <f aca="false">0</f>
        <v>0</v>
      </c>
      <c r="K5099" s="38" t="n">
        <f aca="false">0</f>
        <v>0</v>
      </c>
      <c r="L5099" s="38" t="n">
        <f aca="false">0</f>
        <v>0</v>
      </c>
      <c r="M5099" s="38" t="n">
        <f aca="false">0</f>
        <v>0</v>
      </c>
      <c r="P5099" s="8" t="s">
        <v>797</v>
      </c>
    </row>
    <row r="5100" customFormat="false" ht="15" hidden="false" customHeight="false" outlineLevel="0" collapsed="false">
      <c r="A5100" s="3" t="s">
        <v>798</v>
      </c>
      <c r="B5100" s="8" t="s">
        <v>86</v>
      </c>
      <c r="C5100" s="38" t="n">
        <f aca="false">Sens!$C$5097-Sens!$C$5098</f>
        <v>36.176</v>
      </c>
      <c r="D5100" s="38" t="n">
        <f aca="false">Sens!$D$5097-Sens!$D$5098</f>
        <v>9.63700000000002</v>
      </c>
      <c r="E5100" s="38" t="n">
        <f aca="false">Sens!$E$5097-Sens!$E$5098</f>
        <v>-25.691</v>
      </c>
      <c r="F5100" s="38" t="n">
        <f aca="false">Sens!$F$5097-Sens!$F$5098</f>
        <v>-41.4356983848813</v>
      </c>
      <c r="G5100" s="38" t="n">
        <f aca="false">Sens!$G$5097-Sens!$G$5098</f>
        <v>-67.1266983848813</v>
      </c>
      <c r="H5100" s="38" t="n">
        <f aca="false">Sens!$H$5097-Sens!$H$5098</f>
        <v>-56.3449313570613</v>
      </c>
      <c r="I5100" s="38" t="n">
        <f aca="false">Sens!$I$5097-Sens!$I$5098</f>
        <v>-18.1091313650653</v>
      </c>
      <c r="J5100" s="38" t="n">
        <f aca="false">Sens!$J$5097-Sens!$J$5098</f>
        <v>21.9846354142961</v>
      </c>
      <c r="K5100" s="38" t="n">
        <f aca="false">Sens!$K$5097-Sens!$K$5098</f>
        <v>118.41983364075</v>
      </c>
      <c r="L5100" s="38" t="n">
        <f aca="false">Sens!$L$5097-Sens!$L$5098</f>
        <v>177.018957471681</v>
      </c>
      <c r="M5100" s="38" t="n">
        <f aca="false">Sens!$M$5097-Sens!$M$5098</f>
        <v>206.080627590357</v>
      </c>
    </row>
    <row r="5101" customFormat="false" ht="17.15" hidden="false" customHeight="false" outlineLevel="0" collapsed="false">
      <c r="A5101" s="5" t="s">
        <v>799</v>
      </c>
      <c r="B5101" s="0" t="s">
        <v>86</v>
      </c>
      <c r="E5101" s="38" t="n">
        <f aca="false">Q!$P$53</f>
        <v>39.767</v>
      </c>
      <c r="F5101" s="38" t="n">
        <f aca="false">inv_2h26</f>
        <v>21.3</v>
      </c>
      <c r="G5101" s="38" t="n">
        <f aca="false">Sens!$E$5101+Sens!$F$5101</f>
        <v>61.067</v>
      </c>
      <c r="H5101" s="39" t="n">
        <v>0</v>
      </c>
      <c r="I5101" s="39" t="n">
        <v>0</v>
      </c>
      <c r="J5101" s="39" t="n">
        <v>0</v>
      </c>
      <c r="K5101" s="39" t="n">
        <v>0</v>
      </c>
      <c r="L5101" s="39" t="n">
        <v>0</v>
      </c>
      <c r="M5101" s="39" t="n">
        <v>0</v>
      </c>
    </row>
    <row r="5102" customFormat="false" ht="17.15" hidden="false" customHeight="false" outlineLevel="0" collapsed="false">
      <c r="A5102" s="5" t="s">
        <v>800</v>
      </c>
      <c r="B5102" s="0" t="s">
        <v>86</v>
      </c>
      <c r="F5102" s="38" t="n">
        <f aca="false">iss_2h26</f>
        <v>29.249999</v>
      </c>
      <c r="G5102" s="38" t="n">
        <f aca="false">Sens!$F$5102</f>
        <v>29.249999</v>
      </c>
      <c r="H5102" s="39" t="n">
        <v>0</v>
      </c>
      <c r="I5102" s="39" t="n">
        <v>0</v>
      </c>
      <c r="J5102" s="39" t="n">
        <v>0</v>
      </c>
      <c r="K5102" s="39" t="n">
        <v>0</v>
      </c>
      <c r="L5102" s="39" t="n">
        <v>0</v>
      </c>
      <c r="M5102" s="39" t="n">
        <v>0</v>
      </c>
    </row>
    <row r="5103" customFormat="false" ht="17.15" hidden="false" customHeight="false" outlineLevel="0" collapsed="false">
      <c r="A5103" s="5" t="s">
        <v>801</v>
      </c>
      <c r="B5103" s="0" t="s">
        <v>86</v>
      </c>
      <c r="F5103" s="38" t="n">
        <f aca="false">cash_q2</f>
        <v>122.988</v>
      </c>
      <c r="G5103" s="38" t="n">
        <f aca="false">cash_q2</f>
        <v>122.988</v>
      </c>
      <c r="H5103" s="38" t="n">
        <f aca="false">Sens!$G$5106</f>
        <v>89.5023006151187</v>
      </c>
      <c r="I5103" s="38" t="n">
        <f aca="false">Sens!$H$5106</f>
        <v>50</v>
      </c>
      <c r="J5103" s="38" t="n">
        <f aca="false">Sens!$I$5106</f>
        <v>50</v>
      </c>
      <c r="K5103" s="38" t="n">
        <f aca="false">Sens!$J$5106</f>
        <v>71.9846354142962</v>
      </c>
      <c r="L5103" s="38" t="n">
        <f aca="false">Sens!$K$5106</f>
        <v>190.404469055046</v>
      </c>
      <c r="M5103" s="38" t="n">
        <f aca="false">Sens!$L$5106</f>
        <v>367.423426526727</v>
      </c>
    </row>
    <row r="5104" customFormat="false" ht="15" hidden="false" customHeight="false" outlineLevel="0" collapsed="false">
      <c r="A5104" s="5" t="s">
        <v>802</v>
      </c>
      <c r="B5104" s="0" t="s">
        <v>86</v>
      </c>
      <c r="F5104" s="38" t="n">
        <f aca="false">Sens!$F$5103+Sens!$F$5100-Sens!$F$5099-Sens!$F$5101+Sens!$F$5102</f>
        <v>89.5023006151187</v>
      </c>
      <c r="H5104" s="38" t="n">
        <f aca="false">Sens!$H$5103+Sens!$H$5100-Sens!$H$5099-Sens!$H$5101+Sens!$H$5102</f>
        <v>33.1573692580575</v>
      </c>
      <c r="I5104" s="38" t="n">
        <f aca="false">Sens!$I$5103+Sens!$I$5100-Sens!$I$5099-Sens!$I$5101+Sens!$I$5102</f>
        <v>31.8908686349347</v>
      </c>
      <c r="J5104" s="38" t="n">
        <f aca="false">Sens!$J$5103+Sens!$J$5100-Sens!$J$5099-Sens!$J$5101+Sens!$J$5102</f>
        <v>71.9846354142962</v>
      </c>
      <c r="K5104" s="38" t="n">
        <f aca="false">Sens!$K$5103+Sens!$K$5100-Sens!$K$5099-Sens!$K$5101+Sens!$K$5102</f>
        <v>190.404469055046</v>
      </c>
      <c r="L5104" s="38" t="n">
        <f aca="false">Sens!$L$5103+Sens!$L$5100-Sens!$L$5099-Sens!$L$5101+Sens!$L$5102</f>
        <v>367.423426526727</v>
      </c>
      <c r="M5104" s="38" t="n">
        <f aca="false">Sens!$M$5103+Sens!$M$5100-Sens!$M$5099-Sens!$M$5101+Sens!$M$5102</f>
        <v>573.504054117085</v>
      </c>
    </row>
    <row r="5105" customFormat="false" ht="17.15" hidden="false" customHeight="false" outlineLevel="0" collapsed="false">
      <c r="A5105" s="5" t="s">
        <v>803</v>
      </c>
      <c r="B5105" s="0" t="s">
        <v>86</v>
      </c>
      <c r="F5105" s="38" t="n">
        <f aca="false">MAX(0,min_cash-Sens!$F$5104)</f>
        <v>0</v>
      </c>
      <c r="G5105" s="38" t="n">
        <f aca="false">Sens!$F$5105</f>
        <v>0</v>
      </c>
      <c r="H5105" s="38" t="n">
        <f aca="false">MAX(0,min_cash-Sens!$H$5104)</f>
        <v>16.8426307419426</v>
      </c>
      <c r="I5105" s="38" t="n">
        <f aca="false">MAX(0,min_cash-Sens!$I$5104)</f>
        <v>18.1091313650653</v>
      </c>
      <c r="J5105" s="38" t="n">
        <f aca="false">MAX(0,min_cash-Sens!$J$5104)</f>
        <v>0</v>
      </c>
      <c r="K5105" s="38" t="n">
        <f aca="false">MAX(0,min_cash-Sens!$K$5104)</f>
        <v>0</v>
      </c>
      <c r="L5105" s="38" t="n">
        <f aca="false">MAX(0,min_cash-Sens!$L$5104)</f>
        <v>0</v>
      </c>
      <c r="M5105" s="38" t="n">
        <f aca="false">MAX(0,min_cash-Sens!$M$5104)</f>
        <v>0</v>
      </c>
      <c r="P5105" s="5" t="s">
        <v>804</v>
      </c>
    </row>
    <row r="5106" customFormat="false" ht="15" hidden="false" customHeight="false" outlineLevel="0" collapsed="false">
      <c r="A5106" s="5" t="s">
        <v>805</v>
      </c>
      <c r="B5106" s="0" t="s">
        <v>86</v>
      </c>
      <c r="D5106" s="38" t="n">
        <f aca="false">Q!$E$61</f>
        <v>123.029</v>
      </c>
      <c r="E5106" s="38" t="n">
        <f aca="false">Q!$M$61</f>
        <v>122.988</v>
      </c>
      <c r="F5106" s="38" t="n">
        <f aca="false">Sens!$F$5104+Sens!$F$5105</f>
        <v>89.5023006151187</v>
      </c>
      <c r="G5106" s="38" t="n">
        <f aca="false">Sens!$F$5106</f>
        <v>89.5023006151187</v>
      </c>
      <c r="H5106" s="38" t="n">
        <f aca="false">Sens!$H$5104+Sens!$H$5105</f>
        <v>50</v>
      </c>
      <c r="I5106" s="38" t="n">
        <f aca="false">Sens!$I$5104+Sens!$I$5105</f>
        <v>50</v>
      </c>
      <c r="J5106" s="38" t="n">
        <f aca="false">Sens!$J$5104+Sens!$J$5105</f>
        <v>71.9846354142962</v>
      </c>
      <c r="K5106" s="38" t="n">
        <f aca="false">Sens!$K$5104+Sens!$K$5105</f>
        <v>190.404469055046</v>
      </c>
      <c r="L5106" s="38" t="n">
        <f aca="false">Sens!$L$5104+Sens!$L$5105</f>
        <v>367.423426526727</v>
      </c>
      <c r="M5106" s="38" t="n">
        <f aca="false">Sens!$M$5104+Sens!$M$5105</f>
        <v>573.504054117085</v>
      </c>
    </row>
    <row r="5107" customFormat="false" ht="15" hidden="false" customHeight="false" outlineLevel="0" collapsed="false">
      <c r="A5107" s="5" t="s">
        <v>806</v>
      </c>
      <c r="B5107" s="0" t="s">
        <v>86</v>
      </c>
      <c r="D5107" s="38" t="n">
        <f aca="false">Q!$E$62</f>
        <v>68.836</v>
      </c>
      <c r="E5107" s="38" t="n">
        <f aca="false">Q!$M$62</f>
        <v>132.995</v>
      </c>
      <c r="F5107" s="38" t="n">
        <f aca="false">debt_q2+Sens!$F$5102+Sens!$F$5105</f>
        <v>162.244999</v>
      </c>
      <c r="G5107" s="38" t="n">
        <f aca="false">Sens!$F$5107</f>
        <v>162.244999</v>
      </c>
      <c r="H5107" s="38" t="n">
        <f aca="false">Sens!$G$5107+Sens!$H$5105</f>
        <v>179.087629741943</v>
      </c>
      <c r="I5107" s="38" t="n">
        <f aca="false">Sens!$H$5107+Sens!$I$5105</f>
        <v>197.196761107008</v>
      </c>
      <c r="J5107" s="38" t="n">
        <f aca="false">Sens!$I$5107+Sens!$J$5105</f>
        <v>197.196761107008</v>
      </c>
      <c r="K5107" s="38" t="n">
        <f aca="false">Sens!$J$5107+Sens!$K$5105</f>
        <v>197.196761107008</v>
      </c>
      <c r="L5107" s="38" t="n">
        <f aca="false">Sens!$K$5107+Sens!$L$5105</f>
        <v>197.196761107008</v>
      </c>
      <c r="M5107" s="38" t="n">
        <f aca="false">Sens!$L$5107+Sens!$M$5105</f>
        <v>197.196761107008</v>
      </c>
    </row>
    <row r="5108" customFormat="false" ht="15" hidden="false" customHeight="false" outlineLevel="0" collapsed="false">
      <c r="A5108" s="5" t="s">
        <v>807</v>
      </c>
      <c r="B5108" s="0" t="s">
        <v>86</v>
      </c>
      <c r="D5108" s="38" t="n">
        <f aca="false">Sens!$D$5107-Sens!$D$5106</f>
        <v>-54.193</v>
      </c>
      <c r="E5108" s="38" t="n">
        <f aca="false">Sens!$E$5107-Sens!$E$5106</f>
        <v>10.007</v>
      </c>
      <c r="F5108" s="38" t="n">
        <f aca="false">Sens!$F$5107-Sens!$F$5106</f>
        <v>72.7426983848813</v>
      </c>
      <c r="G5108" s="38" t="n">
        <f aca="false">Sens!$G$5107-Sens!$G$5106</f>
        <v>72.7426983848813</v>
      </c>
      <c r="H5108" s="38" t="n">
        <f aca="false">Sens!$H$5107-Sens!$H$5106</f>
        <v>129.087629741943</v>
      </c>
      <c r="I5108" s="38" t="n">
        <f aca="false">Sens!$I$5107-Sens!$I$5106</f>
        <v>147.196761107008</v>
      </c>
      <c r="J5108" s="38" t="n">
        <f aca="false">Sens!$J$5107-Sens!$J$5106</f>
        <v>125.212125692712</v>
      </c>
      <c r="K5108" s="38" t="n">
        <f aca="false">Sens!$K$5107-Sens!$K$5106</f>
        <v>6.79229205196145</v>
      </c>
      <c r="L5108" s="38" t="n">
        <f aca="false">Sens!$L$5107-Sens!$L$5106</f>
        <v>-170.226665419719</v>
      </c>
      <c r="M5108" s="38" t="n">
        <f aca="false">Sens!$M$5107-Sens!$M$5106</f>
        <v>-376.307293010077</v>
      </c>
    </row>
    <row r="5109" customFormat="false" ht="17.15" hidden="false" customHeight="false" outlineLevel="0" collapsed="false">
      <c r="A5109" s="5" t="s">
        <v>808</v>
      </c>
      <c r="B5109" s="0" t="s">
        <v>86</v>
      </c>
      <c r="F5109" s="38" t="n">
        <f aca="false">debt_q2*kd_book*0.5+iss_2h26*kd_new*iss_t</f>
        <v>3.24888962733561</v>
      </c>
      <c r="H5109" s="38" t="n">
        <f aca="false">debt_q2*kd_book+(Sens!$G$5107-debt_q2)*kd_new</f>
        <v>7.42354172302123</v>
      </c>
      <c r="I5109" s="38" t="n">
        <f aca="false">debt_q2*kd_book+(Sens!$H$5107-debt_q2)*kd_new</f>
        <v>8.48968024898619</v>
      </c>
      <c r="J5109" s="38" t="n">
        <f aca="false">debt_q2*kd_book+(Sens!$I$5107-debt_q2)*kd_new</f>
        <v>9.63598826439483</v>
      </c>
      <c r="K5109" s="38" t="n">
        <f aca="false">debt_q2*kd_book+(Sens!$J$5107-debt_q2)*kd_new</f>
        <v>9.63598826439483</v>
      </c>
      <c r="L5109" s="38" t="n">
        <f aca="false">debt_q2*kd_book+(Sens!$K$5107-debt_q2)*kd_new</f>
        <v>9.63598826439483</v>
      </c>
      <c r="M5109" s="38" t="n">
        <f aca="false">debt_q2*kd_book+(Sens!$L$5107-debt_q2)*kd_new</f>
        <v>9.63598826439483</v>
      </c>
    </row>
    <row r="5110" customFormat="false" ht="17.15" hidden="false" customHeight="false" outlineLevel="0" collapsed="false">
      <c r="A5110" s="5" t="s">
        <v>809</v>
      </c>
      <c r="B5110" s="0" t="s">
        <v>86</v>
      </c>
      <c r="F5110" s="38" t="n">
        <f aca="false">cash_q2*y_cash*0.5</f>
        <v>2.59</v>
      </c>
      <c r="H5110" s="38" t="n">
        <f aca="false">Sens!$G$5106*y_cash</f>
        <v>3.76965165045626</v>
      </c>
      <c r="I5110" s="38" t="n">
        <f aca="false">Sens!$H$5106*y_cash</f>
        <v>2.10589651022864</v>
      </c>
      <c r="J5110" s="38" t="n">
        <f aca="false">Sens!$I$5106*y_cash</f>
        <v>2.10589651022864</v>
      </c>
      <c r="K5110" s="38" t="n">
        <f aca="false">Sens!$J$5106*y_cash</f>
        <v>3.03184385018094</v>
      </c>
      <c r="L5110" s="38" t="n">
        <f aca="false">Sens!$K$5106*y_cash</f>
        <v>8.01944213829919</v>
      </c>
      <c r="M5110" s="38" t="n">
        <f aca="false">Sens!$L$5106*y_cash</f>
        <v>15.4751142339777</v>
      </c>
    </row>
    <row r="5111" customFormat="false" ht="17.15" hidden="false" customHeight="false" outlineLevel="0" collapsed="false">
      <c r="A5111" s="47" t="s">
        <v>810</v>
      </c>
      <c r="B5111" s="14" t="s">
        <v>86</v>
      </c>
      <c r="C5111" s="14"/>
      <c r="D5111" s="14"/>
      <c r="E5111" s="14"/>
      <c r="F5111" s="14"/>
      <c r="G5111" s="48" t="n">
        <f aca="false">SUM(Sens!$G$5100:$K$5100)</f>
        <v>-1.17629205196147</v>
      </c>
      <c r="H5111" s="14"/>
      <c r="I5111" s="14"/>
      <c r="J5111" s="14"/>
      <c r="K5111" s="14"/>
      <c r="L5111" s="14"/>
      <c r="M5111" s="14"/>
      <c r="N5111" s="14"/>
      <c r="O5111" s="14"/>
    </row>
    <row r="5112" customFormat="false" ht="17.15" hidden="false" customHeight="false" outlineLevel="0" collapsed="false">
      <c r="A5112" s="0" t="s">
        <v>776</v>
      </c>
      <c r="B5112" s="0" t="s">
        <v>86</v>
      </c>
      <c r="G5112" s="38" t="n">
        <f aca="false">SUM(Sens!$G$5105:$K$5105)</f>
        <v>34.9517621070079</v>
      </c>
    </row>
    <row r="5113" customFormat="false" ht="17.15" hidden="false" customHeight="false" outlineLevel="0" collapsed="false">
      <c r="A5113" s="24" t="s">
        <v>813</v>
      </c>
      <c r="B5113" s="25" t="s">
        <v>86</v>
      </c>
      <c r="C5113" s="25"/>
      <c r="D5113" s="25"/>
      <c r="E5113" s="25"/>
      <c r="F5113" s="25"/>
      <c r="G5113" s="41" t="n">
        <f aca="false">Sens!$G$5111-(Sens!$G$5100+Sens!$H$5100+Sens!$I$5100+Sens!$J$5100+Sens!$K$5100)</f>
        <v>-2.8421709430404E-014</v>
      </c>
      <c r="H5113" s="25"/>
      <c r="I5113" s="25"/>
      <c r="J5113" s="25"/>
      <c r="K5113" s="25"/>
      <c r="L5113" s="25"/>
      <c r="M5113" s="25"/>
      <c r="N5113" s="25"/>
      <c r="O5113" s="25"/>
    </row>
    <row r="5116" customFormat="false" ht="19.4" hidden="false" customHeight="false" outlineLevel="0" collapsed="false">
      <c r="A5116" s="31" t="s">
        <v>1239</v>
      </c>
    </row>
    <row r="5117" customFormat="false" ht="17.15" hidden="false" customHeight="false" outlineLevel="0" collapsed="false">
      <c r="A5117" s="6" t="s">
        <v>16</v>
      </c>
      <c r="B5117" s="6" t="s">
        <v>17</v>
      </c>
      <c r="C5117" s="20" t="s">
        <v>497</v>
      </c>
      <c r="D5117" s="20" t="s">
        <v>498</v>
      </c>
      <c r="E5117" s="20" t="s">
        <v>580</v>
      </c>
      <c r="F5117" s="20" t="s">
        <v>581</v>
      </c>
      <c r="G5117" s="20" t="s">
        <v>582</v>
      </c>
      <c r="H5117" s="20" t="s">
        <v>583</v>
      </c>
      <c r="I5117" s="20" t="s">
        <v>584</v>
      </c>
      <c r="J5117" s="20" t="s">
        <v>585</v>
      </c>
      <c r="K5117" s="20" t="s">
        <v>586</v>
      </c>
      <c r="L5117" s="20" t="s">
        <v>587</v>
      </c>
      <c r="M5117" s="20" t="s">
        <v>588</v>
      </c>
      <c r="N5117" s="20" t="s">
        <v>589</v>
      </c>
      <c r="O5117" s="20" t="s">
        <v>590</v>
      </c>
      <c r="P5117" s="6" t="s">
        <v>23</v>
      </c>
      <c r="R5117" s="20" t="n">
        <v>2023</v>
      </c>
      <c r="S5117" s="20" t="n">
        <v>2024</v>
      </c>
      <c r="T5117" s="20" t="n">
        <v>2025</v>
      </c>
      <c r="U5117" s="20" t="n">
        <v>2026</v>
      </c>
      <c r="V5117" s="20" t="n">
        <v>2027</v>
      </c>
      <c r="W5117" s="20" t="n">
        <v>2028</v>
      </c>
      <c r="X5117" s="20" t="n">
        <v>2029</v>
      </c>
      <c r="Y5117" s="20" t="n">
        <v>2030</v>
      </c>
      <c r="Z5117" s="20" t="n">
        <v>2031</v>
      </c>
      <c r="AA5117" s="20" t="n">
        <v>2032</v>
      </c>
    </row>
    <row r="5118" customFormat="false" ht="17.15" hidden="false" customHeight="false" outlineLevel="0" collapsed="false">
      <c r="A5118" s="1" t="s">
        <v>915</v>
      </c>
    </row>
    <row r="5119" customFormat="false" ht="17.15" hidden="false" customHeight="false" outlineLevel="0" collapsed="false">
      <c r="A5119" s="0" t="s">
        <v>916</v>
      </c>
      <c r="B5119" s="0" t="s">
        <v>86</v>
      </c>
      <c r="H5119" s="38" t="n">
        <f aca="false">Sens!$H$5053*(1-tax)</f>
        <v>121.243762954598</v>
      </c>
      <c r="I5119" s="38" t="n">
        <f aca="false">Sens!$I$5053*(1-tax)</f>
        <v>146.296727721585</v>
      </c>
      <c r="J5119" s="38" t="n">
        <f aca="false">Sens!$J$5053*(1-tax)</f>
        <v>170.140518399982</v>
      </c>
      <c r="K5119" s="38" t="n">
        <f aca="false">Sens!$K$5053*(1-tax)</f>
        <v>187.091644407888</v>
      </c>
      <c r="L5119" s="38" t="n">
        <f aca="false">Sens!$L$5053*(1-tax)</f>
        <v>200.866341135815</v>
      </c>
      <c r="M5119" s="38" t="n">
        <f aca="false">Sens!$M$5053*(1-tax)</f>
        <v>211.476896331068</v>
      </c>
    </row>
    <row r="5120" customFormat="false" ht="15" hidden="false" customHeight="false" outlineLevel="0" collapsed="false">
      <c r="A5120" s="5" t="s">
        <v>917</v>
      </c>
      <c r="B5120" s="0" t="s">
        <v>86</v>
      </c>
      <c r="H5120" s="38" t="n">
        <f aca="false">Sens!$H$5064</f>
        <v>78.1799395827871</v>
      </c>
      <c r="I5120" s="38" t="n">
        <f aca="false">Sens!$I$5064</f>
        <v>111.171125554384</v>
      </c>
      <c r="J5120" s="38" t="n">
        <f aca="false">Sens!$J$5064</f>
        <v>144.884406220971</v>
      </c>
      <c r="K5120" s="38" t="n">
        <f aca="false">Sens!$K$5064</f>
        <v>178.806419437999</v>
      </c>
      <c r="L5120" s="38" t="n">
        <f aca="false">Sens!$L$5064</f>
        <v>204.341339029663</v>
      </c>
      <c r="M5120" s="38" t="n">
        <f aca="false">Sens!$M$5064</f>
        <v>223.130577995387</v>
      </c>
    </row>
    <row r="5121" customFormat="false" ht="15" hidden="false" customHeight="false" outlineLevel="0" collapsed="false">
      <c r="A5121" s="5" t="s">
        <v>918</v>
      </c>
      <c r="B5121" s="0" t="s">
        <v>86</v>
      </c>
      <c r="H5121" s="38" t="n">
        <f aca="false">Sens!$H$5095</f>
        <v>273.372679834898</v>
      </c>
      <c r="I5121" s="38" t="n">
        <f aca="false">Sens!$I$5095</f>
        <v>286.981812228425</v>
      </c>
      <c r="J5121" s="38" t="n">
        <f aca="false">Sens!$J$5095</f>
        <v>299.316513378366</v>
      </c>
      <c r="K5121" s="38" t="n">
        <f aca="false">Sens!$K$5095</f>
        <v>251.057145512292</v>
      </c>
      <c r="L5121" s="38" t="n">
        <f aca="false">Sens!$L$5095</f>
        <v>234.696330860396</v>
      </c>
      <c r="M5121" s="38" t="n">
        <f aca="false">Sens!$M$5095</f>
        <v>242.291696043352</v>
      </c>
    </row>
    <row r="5122" customFormat="false" ht="15" hidden="false" customHeight="false" outlineLevel="0" collapsed="false">
      <c r="A5122" s="5" t="s">
        <v>919</v>
      </c>
      <c r="B5122" s="0" t="s">
        <v>86</v>
      </c>
      <c r="H5122" s="38" t="n">
        <f aca="false">Sens!$H$5096</f>
        <v>1.6</v>
      </c>
      <c r="I5122" s="38" t="n">
        <f aca="false">Sens!$I$5096</f>
        <v>1.6</v>
      </c>
      <c r="J5122" s="38" t="n">
        <f aca="false">Sens!$J$5096</f>
        <v>1.6</v>
      </c>
      <c r="K5122" s="38" t="n">
        <f aca="false">Sens!$K$5096</f>
        <v>1.6</v>
      </c>
      <c r="L5122" s="38" t="n">
        <f aca="false">Sens!$L$5096</f>
        <v>1.6</v>
      </c>
      <c r="M5122" s="38" t="n">
        <f aca="false">Sens!$M$5096</f>
        <v>1.6</v>
      </c>
    </row>
    <row r="5123" customFormat="false" ht="15" hidden="false" customHeight="false" outlineLevel="0" collapsed="false">
      <c r="A5123" s="5" t="s">
        <v>920</v>
      </c>
      <c r="B5123" s="0" t="s">
        <v>86</v>
      </c>
      <c r="H5123" s="38" t="n">
        <f aca="false">Sens!$H$5090</f>
        <v>11.2928295263397</v>
      </c>
      <c r="I5123" s="38" t="n">
        <f aca="false">Sens!$I$5090</f>
        <v>12.8091546115766</v>
      </c>
      <c r="J5123" s="38" t="n">
        <f aca="false">Sens!$J$5090</f>
        <v>14.2605653162668</v>
      </c>
      <c r="K5123" s="38" t="n">
        <f aca="false">Sens!$K$5090</f>
        <v>15.5327622460396</v>
      </c>
      <c r="L5123" s="38" t="n">
        <f aca="false">Sens!$L$5090</f>
        <v>16.720573737517</v>
      </c>
      <c r="M5123" s="38" t="n">
        <f aca="false">Sens!$M$5090</f>
        <v>17.8283127551536</v>
      </c>
    </row>
    <row r="5124" customFormat="false" ht="17.15" hidden="false" customHeight="false" outlineLevel="0" collapsed="false">
      <c r="A5124" s="1" t="s">
        <v>921</v>
      </c>
      <c r="B5124" s="8" t="s">
        <v>86</v>
      </c>
      <c r="H5124" s="38" t="n">
        <f aca="false">Sens!$H$5119+Sens!$H$5120-Sens!$H$5121+Sens!$H$5123</f>
        <v>-62.6561477711731</v>
      </c>
      <c r="I5124" s="38" t="n">
        <f aca="false">Sens!$I$5119+Sens!$I$5120-Sens!$I$5121+Sens!$I$5123</f>
        <v>-16.7048043408794</v>
      </c>
      <c r="J5124" s="38" t="n">
        <f aca="false">Sens!$J$5119+Sens!$J$5120-Sens!$J$5121+Sens!$J$5123</f>
        <v>29.9689765588539</v>
      </c>
      <c r="K5124" s="38" t="n">
        <f aca="false">Sens!$K$5119+Sens!$K$5120-Sens!$K$5121+Sens!$K$5123</f>
        <v>130.373680579634</v>
      </c>
      <c r="L5124" s="38" t="n">
        <f aca="false">Sens!$L$5119+Sens!$L$5120-Sens!$L$5121+Sens!$L$5123</f>
        <v>187.231923042598</v>
      </c>
      <c r="M5124" s="38" t="n">
        <f aca="false">Sens!$M$5119+Sens!$M$5120-Sens!$M$5121+Sens!$M$5123</f>
        <v>210.144091038257</v>
      </c>
    </row>
    <row r="5125" customFormat="false" ht="15" hidden="false" customHeight="false" outlineLevel="0" collapsed="false">
      <c r="A5125" s="5" t="s">
        <v>922</v>
      </c>
      <c r="B5125" s="0" t="s">
        <v>57</v>
      </c>
      <c r="H5125" s="40" t="n">
        <f aca="false">1/(1+(wacc-0.01))^(2027-2026-0.5)</f>
        <v>0.952036717208703</v>
      </c>
      <c r="I5125" s="40" t="n">
        <f aca="false">1/(1+(wacc-0.01))^(2028-2026-0.5)</f>
        <v>0.862901242709724</v>
      </c>
      <c r="J5125" s="40" t="n">
        <f aca="false">1/(1+(wacc-0.01))^(2029-2026-0.5)</f>
        <v>0.782111174086951</v>
      </c>
      <c r="K5125" s="40" t="n">
        <f aca="false">1/(1+(wacc-0.01))^(2030-2026-0.5)</f>
        <v>0.708885163626357</v>
      </c>
      <c r="L5125" s="40" t="n">
        <f aca="false">1/(1+(wacc-0.01))^(2031-2026-0.5)</f>
        <v>0.642515018144594</v>
      </c>
      <c r="M5125" s="40" t="n">
        <f aca="false">1/(1+(wacc-0.01))^(2032-2026-0.5)</f>
        <v>0.582358849816389</v>
      </c>
    </row>
    <row r="5126" customFormat="false" ht="15" hidden="false" customHeight="false" outlineLevel="0" collapsed="false">
      <c r="A5126" s="5" t="s">
        <v>923</v>
      </c>
      <c r="B5126" s="0" t="s">
        <v>86</v>
      </c>
      <c r="H5126" s="38" t="n">
        <f aca="false">Sens!$H$5124*Sens!$H$5125</f>
        <v>-59.650953237011</v>
      </c>
      <c r="I5126" s="38" t="n">
        <f aca="false">Sens!$I$5124*Sens!$I$5125</f>
        <v>-14.4145964249676</v>
      </c>
      <c r="J5126" s="38" t="n">
        <f aca="false">Sens!$J$5124*Sens!$J$5125</f>
        <v>23.4390714426295</v>
      </c>
      <c r="K5126" s="38" t="n">
        <f aca="false">Sens!$K$5124*Sens!$K$5125</f>
        <v>92.4199678902645</v>
      </c>
      <c r="L5126" s="38" t="n">
        <f aca="false">Sens!$L$5124*Sens!$L$5125</f>
        <v>120.299322430962</v>
      </c>
      <c r="M5126" s="38" t="n">
        <f aca="false">Sens!$M$5124*Sens!$M$5125</f>
        <v>122.37927115275</v>
      </c>
    </row>
    <row r="5127" customFormat="false" ht="15" hidden="false" customHeight="false" outlineLevel="0" collapsed="false">
      <c r="A5127" s="5" t="s">
        <v>924</v>
      </c>
      <c r="B5127" s="0" t="s">
        <v>86</v>
      </c>
      <c r="C5127" s="38" t="n">
        <f aca="false">SUM(Sens!$H$5126:$M$5126)</f>
        <v>284.472083254628</v>
      </c>
    </row>
    <row r="5128" customFormat="false" ht="17.15" hidden="false" customHeight="false" outlineLevel="0" collapsed="false">
      <c r="A5128" s="5" t="s">
        <v>925</v>
      </c>
      <c r="B5128" s="0" t="s">
        <v>86</v>
      </c>
      <c r="C5128" s="38" t="n">
        <f aca="false">Sens!$M$5119*(1+tg)*(1-tg/ronic)/((wacc-0.01)-tg)</f>
        <v>2184.85681996336</v>
      </c>
    </row>
    <row r="5129" customFormat="false" ht="15" hidden="false" customHeight="false" outlineLevel="0" collapsed="false">
      <c r="A5129" s="5" t="s">
        <v>926</v>
      </c>
      <c r="B5129" s="0" t="s">
        <v>86</v>
      </c>
      <c r="C5129" s="38" t="n">
        <f aca="false">Sens!$C$5128/(1+(wacc-0.01))^6</f>
        <v>1211.34362876307</v>
      </c>
    </row>
    <row r="5130" customFormat="false" ht="17.15" hidden="false" customHeight="false" outlineLevel="0" collapsed="false">
      <c r="A5130" s="5" t="s">
        <v>927</v>
      </c>
      <c r="B5130" s="0" t="s">
        <v>86</v>
      </c>
      <c r="C5130" s="38" t="n">
        <f aca="false">Sens!$C$5127+Sens!$C$5129</f>
        <v>1495.8157120177</v>
      </c>
    </row>
    <row r="5131" customFormat="false" ht="17.15" hidden="false" customHeight="false" outlineLevel="0" collapsed="false">
      <c r="A5131" s="5" t="s">
        <v>928</v>
      </c>
      <c r="B5131" s="0" t="s">
        <v>52</v>
      </c>
      <c r="C5131" s="13" t="n">
        <f aca="false">Sens!$C$5129/Sens!$C$5130</f>
        <v>0.809821436578638</v>
      </c>
    </row>
    <row r="5132" customFormat="false" ht="17.15" hidden="false" customHeight="false" outlineLevel="0" collapsed="false">
      <c r="A5132" s="5" t="s">
        <v>929</v>
      </c>
      <c r="B5132" s="0" t="s">
        <v>86</v>
      </c>
      <c r="C5132" s="38" t="n">
        <f aca="false">Sens!$G$5108+fin_debt</f>
        <v>97.2636983848813</v>
      </c>
    </row>
    <row r="5133" customFormat="false" ht="17.15" hidden="false" customHeight="false" outlineLevel="0" collapsed="false">
      <c r="A5133" s="5" t="s">
        <v>930</v>
      </c>
      <c r="B5133" s="0" t="s">
        <v>86</v>
      </c>
      <c r="C5133" s="38" t="n">
        <f aca="false">(ant_val*ant_sh+oai_val*oai_sh)*(1-liq_disc)</f>
        <v>178.944</v>
      </c>
    </row>
    <row r="5134" customFormat="false" ht="15" hidden="false" customHeight="false" outlineLevel="0" collapsed="false">
      <c r="A5134" s="5" t="s">
        <v>931</v>
      </c>
      <c r="B5134" s="0" t="s">
        <v>86</v>
      </c>
      <c r="C5134" s="38" t="n">
        <f aca="false">Sens!$C$5130-Sens!$C$5132+Sens!$C$5133</f>
        <v>1577.49601363282</v>
      </c>
    </row>
    <row r="5135" customFormat="false" ht="17.15" hidden="false" customHeight="false" outlineLevel="0" collapsed="false">
      <c r="A5135" s="5" t="s">
        <v>932</v>
      </c>
      <c r="B5135" s="0" t="s">
        <v>27</v>
      </c>
      <c r="C5135" s="30" t="n">
        <f aca="false">Sens!$C$5134/sh_out</f>
        <v>146.249776673738</v>
      </c>
    </row>
    <row r="5136" customFormat="false" ht="17.15" hidden="false" customHeight="false" outlineLevel="0" collapsed="false">
      <c r="A5136" s="1" t="s">
        <v>933</v>
      </c>
      <c r="B5136" s="8" t="s">
        <v>27</v>
      </c>
      <c r="C5136" s="30" t="n">
        <f aca="false">Sens!$C$5135*(1+ke)^tp_yf-dps*tp_yf</f>
        <v>160.197449172286</v>
      </c>
    </row>
    <row r="5137" customFormat="false" ht="17.15" hidden="false" customHeight="false" outlineLevel="0" collapsed="false">
      <c r="A5137" s="3" t="s">
        <v>934</v>
      </c>
    </row>
    <row r="5138" customFormat="false" ht="17.15" hidden="false" customHeight="false" outlineLevel="0" collapsed="false">
      <c r="A5138" s="5" t="s">
        <v>935</v>
      </c>
      <c r="B5138" s="0" t="s">
        <v>86</v>
      </c>
      <c r="C5138" s="38" t="n">
        <f aca="false">(1-tp_yf)*(Sens!$H$5065+sbc_ab*Sens!$H$5089*Sens!$H$4929/Sens!$H$5006)+tp_yf*(Sens!$I$5065+sbc_ab*Sens!$I$5089*Sens!$I$4929/Sens!$I$5006)</f>
        <v>59.634664536349</v>
      </c>
    </row>
    <row r="5139" customFormat="false" ht="15" hidden="false" customHeight="false" outlineLevel="0" collapsed="false">
      <c r="A5139" s="5" t="s">
        <v>936</v>
      </c>
      <c r="B5139" s="0" t="s">
        <v>57</v>
      </c>
      <c r="C5139" s="30" t="n">
        <f aca="false">m_ads*m_x</f>
        <v>9.11</v>
      </c>
    </row>
    <row r="5140" customFormat="false" ht="17.15" hidden="false" customHeight="false" outlineLevel="0" collapsed="false">
      <c r="A5140" s="5" t="s">
        <v>937</v>
      </c>
      <c r="B5140" s="0" t="s">
        <v>86</v>
      </c>
      <c r="C5140" s="38" t="n">
        <f aca="false">Sens!$C$5138*Sens!$C$5139</f>
        <v>543.271793926139</v>
      </c>
    </row>
    <row r="5141" customFormat="false" ht="17.15" hidden="false" customHeight="false" outlineLevel="0" collapsed="false">
      <c r="A5141" s="5" t="s">
        <v>938</v>
      </c>
      <c r="B5141" s="0" t="s">
        <v>86</v>
      </c>
      <c r="C5141" s="38" t="n">
        <f aca="false">(1-tp_yf)*(Sens!$H$5066+sbc_ab*Sens!$H$5089*(Sens!$H$4936-Sens!$H$4929)/Sens!$H$5006+IF(internal_ai_reading=2,1,0)*(1-ext_sh)*Sens!$H$4966)+tp_yf*(Sens!$I$5066+sbc_ab*Sens!$I$5089*(Sens!$I$4936-Sens!$I$4929)/Sens!$I$5006+IF(internal_ai_reading=2,1,0)*(1-ext_sh)*Sens!$I$4966)</f>
        <v>51.2224827206816</v>
      </c>
    </row>
    <row r="5142" customFormat="false" ht="17.15" hidden="false" customHeight="false" outlineLevel="0" collapsed="false">
      <c r="A5142" s="5" t="s">
        <v>939</v>
      </c>
      <c r="B5142" s="0" t="s">
        <v>57</v>
      </c>
      <c r="C5142" s="30" t="n">
        <f aca="false">m_retail*m_x</f>
        <v>17.72</v>
      </c>
    </row>
    <row r="5143" customFormat="false" ht="17.15" hidden="false" customHeight="false" outlineLevel="0" collapsed="false">
      <c r="A5143" s="5" t="s">
        <v>940</v>
      </c>
      <c r="B5143" s="0" t="s">
        <v>86</v>
      </c>
      <c r="C5143" s="38" t="n">
        <f aca="false">Sens!$C$5141*Sens!$C$5142</f>
        <v>907.662393810478</v>
      </c>
    </row>
    <row r="5144" customFormat="false" ht="17.15" hidden="false" customHeight="false" outlineLevel="0" collapsed="false">
      <c r="A5144" s="0" t="s">
        <v>941</v>
      </c>
      <c r="B5144" s="0" t="s">
        <v>86</v>
      </c>
      <c r="C5144" s="38" t="n">
        <f aca="false">(1-tp_yf)*(Sens!$H$5067+sbc_ab*Sens!$H$5089*Sens!$H$5004/Sens!$H$5006)+tp_yf*(Sens!$I$5067+sbc_ab*Sens!$I$5089*Sens!$I$5004/Sens!$I$5006)</f>
        <v>96.2439586897193</v>
      </c>
    </row>
    <row r="5145" customFormat="false" ht="17.15" hidden="false" customHeight="false" outlineLevel="0" collapsed="false">
      <c r="A5145" s="0" t="s">
        <v>942</v>
      </c>
      <c r="B5145" s="0" t="s">
        <v>57</v>
      </c>
      <c r="C5145" s="30" t="n">
        <f aca="false">m_cloud*m_x</f>
        <v>13.82</v>
      </c>
    </row>
    <row r="5146" customFormat="false" ht="17.15" hidden="false" customHeight="false" outlineLevel="0" collapsed="false">
      <c r="A5146" s="0" t="s">
        <v>943</v>
      </c>
      <c r="B5146" s="0" t="s">
        <v>86</v>
      </c>
      <c r="C5146" s="38" t="n">
        <f aca="false">Sens!$C$5144*Sens!$C$5145</f>
        <v>1330.09150909192</v>
      </c>
    </row>
    <row r="5147" customFormat="false" ht="17.15" hidden="false" customHeight="false" outlineLevel="0" collapsed="false">
      <c r="A5147" s="0" t="s">
        <v>944</v>
      </c>
      <c r="B5147" s="0" t="s">
        <v>86</v>
      </c>
      <c r="H5147" s="38" t="n">
        <f aca="false">Sens!$H$4985-tax*Sens!$H$4986-ext_sh*Sens!$H$4973</f>
        <v>-115.885394236225</v>
      </c>
      <c r="I5147" s="38" t="n">
        <f aca="false">Sens!$I$4985-tax*Sens!$I$4986-ext_sh*Sens!$I$4973</f>
        <v>-89.5935137276694</v>
      </c>
      <c r="J5147" s="38" t="n">
        <f aca="false">Sens!$J$4985-tax*Sens!$J$4986-ext_sh*Sens!$J$4973</f>
        <v>-62.3510647460279</v>
      </c>
      <c r="K5147" s="38" t="n">
        <f aca="false">Sens!$K$4985-tax*Sens!$K$4986-ext_sh*Sens!$K$4973</f>
        <v>8.85932514072565</v>
      </c>
      <c r="L5147" s="38" t="n">
        <f aca="false">Sens!$L$4985-tax*Sens!$L$4986-ext_sh*Sens!$L$4973</f>
        <v>45.6968344120177</v>
      </c>
      <c r="M5147" s="38" t="n">
        <f aca="false">Sens!$M$4985-tax*Sens!$M$4986-ext_sh*Sens!$M$4973</f>
        <v>54.7466688757428</v>
      </c>
    </row>
    <row r="5148" customFormat="false" ht="17.15" hidden="false" customHeight="false" outlineLevel="0" collapsed="false">
      <c r="A5148" s="5" t="s">
        <v>945</v>
      </c>
      <c r="B5148" s="0" t="s">
        <v>86</v>
      </c>
      <c r="H5148" s="38" t="n">
        <f aca="false">Sens!$H$5147*Sens!$H$5125</f>
        <v>-110.327150301092</v>
      </c>
      <c r="I5148" s="38" t="n">
        <f aca="false">Sens!$I$5147*Sens!$I$5125</f>
        <v>-77.3103543343366</v>
      </c>
      <c r="J5148" s="38" t="n">
        <f aca="false">Sens!$J$5147*Sens!$J$5125</f>
        <v>-48.7654644540874</v>
      </c>
      <c r="K5148" s="38" t="n">
        <f aca="false">Sens!$K$5147*Sens!$K$5125</f>
        <v>6.2802441520024</v>
      </c>
      <c r="L5148" s="38" t="n">
        <f aca="false">Sens!$L$5147*Sens!$L$5125</f>
        <v>29.3609023913881</v>
      </c>
      <c r="M5148" s="38" t="n">
        <f aca="false">Sens!$M$5147*Sens!$M$5125</f>
        <v>31.8822071177563</v>
      </c>
    </row>
    <row r="5149" customFormat="false" ht="17.15" hidden="false" customHeight="false" outlineLevel="0" collapsed="false">
      <c r="A5149" s="5" t="s">
        <v>946</v>
      </c>
      <c r="B5149" s="0" t="s">
        <v>86</v>
      </c>
      <c r="C5149" s="38" t="n">
        <f aca="false">Sens!$M$4986*(1-tax)*(1+tg)*(1-tg/ronic)/((wacc-0.01)-tg)</f>
        <v>444.950203945553</v>
      </c>
    </row>
    <row r="5150" customFormat="false" ht="17.15" hidden="false" customHeight="false" outlineLevel="0" collapsed="false">
      <c r="A5150" s="0" t="s">
        <v>947</v>
      </c>
      <c r="B5150" s="0" t="s">
        <v>86</v>
      </c>
      <c r="C5150" s="38" t="n">
        <f aca="false">(SUM(Sens!$I$5148:$M$5148)+Sens!$C$5149/(1+(wacc-0.01))^6)*(1+(wacc-0.01))^tp_yf</f>
        <v>203.972126654663</v>
      </c>
    </row>
    <row r="5151" customFormat="false" ht="17.15" hidden="false" customHeight="false" outlineLevel="0" collapsed="false">
      <c r="A5151" s="5" t="s">
        <v>948</v>
      </c>
      <c r="B5151" s="0" t="s">
        <v>86</v>
      </c>
      <c r="C5151" s="38" t="n">
        <f aca="false">(1-tp_yf)*(Sens!$H$5068)+tp_yf*(Sens!$I$5068)</f>
        <v>74.6707041238437</v>
      </c>
    </row>
    <row r="5152" customFormat="false" ht="17.15" hidden="false" customHeight="false" outlineLevel="0" collapsed="false">
      <c r="A5152" s="5" t="s">
        <v>949</v>
      </c>
      <c r="B5152" s="0" t="s">
        <v>86</v>
      </c>
      <c r="C5152" s="38" t="n">
        <f aca="false">Sens!$C$5151*m_ai</f>
        <v>448.024224743062</v>
      </c>
    </row>
    <row r="5153" customFormat="false" ht="17.15" hidden="false" customHeight="false" outlineLevel="0" collapsed="false">
      <c r="A5153" s="0" t="s">
        <v>950</v>
      </c>
      <c r="B5153" s="0" t="s">
        <v>86</v>
      </c>
      <c r="C5153" s="38" t="n">
        <f aca="false">IF(ai_leg=1,Sens!$C$5150,Sens!$C$5152)</f>
        <v>203.972126654663</v>
      </c>
    </row>
    <row r="5154" customFormat="false" ht="17.15" hidden="false" customHeight="false" outlineLevel="0" collapsed="false">
      <c r="A5154" s="5" t="s">
        <v>951</v>
      </c>
      <c r="B5154" s="0" t="s">
        <v>86</v>
      </c>
      <c r="C5154" s="38" t="n">
        <f aca="false">Sens!$C$5140+Sens!$C$5143+Sens!$C$5146+Sens!$C$5153</f>
        <v>2984.9978234832</v>
      </c>
    </row>
    <row r="5155" customFormat="false" ht="17.15" hidden="false" customHeight="false" outlineLevel="0" collapsed="false">
      <c r="A5155" s="5" t="s">
        <v>952</v>
      </c>
      <c r="B5155" s="0" t="s">
        <v>86</v>
      </c>
      <c r="C5155" s="38" t="n">
        <f aca="false">Sens!$H$5108+fin_debt</f>
        <v>153.608629741943</v>
      </c>
    </row>
    <row r="5156" customFormat="false" ht="15" hidden="false" customHeight="false" outlineLevel="0" collapsed="false">
      <c r="A5156" s="5" t="s">
        <v>953</v>
      </c>
      <c r="B5156" s="0" t="s">
        <v>86</v>
      </c>
      <c r="C5156" s="38" t="n">
        <f aca="false">Sens!$C$5154-Sens!$C$5155+Sens!$C$5133</f>
        <v>3010.33319374126</v>
      </c>
    </row>
    <row r="5157" customFormat="false" ht="15" hidden="false" customHeight="false" outlineLevel="0" collapsed="false">
      <c r="A5157" s="3" t="s">
        <v>954</v>
      </c>
      <c r="B5157" s="8" t="s">
        <v>27</v>
      </c>
      <c r="C5157" s="30" t="n">
        <f aca="false">Sens!$C$5156/sh_val</f>
        <v>272.914551094489</v>
      </c>
    </row>
    <row r="5158" customFormat="false" ht="17.15" hidden="false" customHeight="false" outlineLevel="0" collapsed="false">
      <c r="A5158" s="47" t="s">
        <v>955</v>
      </c>
      <c r="B5158" s="14" t="s">
        <v>27</v>
      </c>
      <c r="C5158" s="44" t="n">
        <f aca="false">w_dcf*Sens!$C$5136+(1-w_dcf)*Sens!$C$5157</f>
        <v>216.556000133387</v>
      </c>
      <c r="D5158" s="14"/>
      <c r="E5158" s="14"/>
      <c r="F5158" s="14"/>
      <c r="G5158" s="14"/>
      <c r="H5158" s="14"/>
      <c r="I5158" s="14"/>
      <c r="J5158" s="14"/>
      <c r="K5158" s="14"/>
      <c r="L5158" s="14"/>
      <c r="M5158" s="14"/>
      <c r="N5158" s="14"/>
      <c r="O5158" s="14"/>
    </row>
    <row r="5159" customFormat="false" ht="17.15" hidden="false" customHeight="false" outlineLevel="0" collapsed="false">
      <c r="A5159" s="5" t="s">
        <v>956</v>
      </c>
      <c r="B5159" s="0" t="s">
        <v>27</v>
      </c>
      <c r="C5159" s="30" t="n">
        <f aca="false">v022_wdcf*Sens!$C$5136+(1-v022_wdcf)*Sens!$C$5157</f>
        <v>222.191855229498</v>
      </c>
    </row>
    <row r="5160" customFormat="false" ht="17.15" hidden="false" customHeight="false" outlineLevel="0" collapsed="false">
      <c r="A5160" s="5" t="s">
        <v>957</v>
      </c>
      <c r="B5160" s="0" t="s">
        <v>27</v>
      </c>
      <c r="C5160" s="30" t="n">
        <f aca="false">(Sens!$C$5156-Sens!$C$5153+Sens!$C$5152)/sh_val</f>
        <v>295.040131389701</v>
      </c>
    </row>
    <row r="5163" customFormat="false" ht="19.4" hidden="false" customHeight="false" outlineLevel="0" collapsed="false">
      <c r="A5163" s="31" t="s">
        <v>1240</v>
      </c>
    </row>
    <row r="5164" customFormat="false" ht="17.15" hidden="false" customHeight="false" outlineLevel="0" collapsed="false">
      <c r="A5164" s="6" t="s">
        <v>16</v>
      </c>
      <c r="B5164" s="6" t="s">
        <v>17</v>
      </c>
      <c r="C5164" s="20" t="s">
        <v>497</v>
      </c>
      <c r="D5164" s="20" t="s">
        <v>498</v>
      </c>
      <c r="E5164" s="20" t="s">
        <v>580</v>
      </c>
      <c r="F5164" s="20" t="s">
        <v>581</v>
      </c>
      <c r="G5164" s="20" t="s">
        <v>582</v>
      </c>
      <c r="H5164" s="20" t="s">
        <v>583</v>
      </c>
      <c r="I5164" s="20" t="s">
        <v>584</v>
      </c>
      <c r="J5164" s="20" t="s">
        <v>585</v>
      </c>
      <c r="K5164" s="20" t="s">
        <v>586</v>
      </c>
      <c r="L5164" s="20" t="s">
        <v>587</v>
      </c>
      <c r="M5164" s="20" t="s">
        <v>588</v>
      </c>
      <c r="N5164" s="20" t="s">
        <v>589</v>
      </c>
      <c r="O5164" s="20" t="s">
        <v>590</v>
      </c>
      <c r="P5164" s="6" t="s">
        <v>23</v>
      </c>
      <c r="R5164" s="20" t="n">
        <v>2023</v>
      </c>
      <c r="S5164" s="20" t="n">
        <v>2024</v>
      </c>
      <c r="T5164" s="20" t="n">
        <v>2025</v>
      </c>
      <c r="U5164" s="20" t="n">
        <v>2026</v>
      </c>
      <c r="V5164" s="20" t="n">
        <v>2027</v>
      </c>
      <c r="W5164" s="20" t="n">
        <v>2028</v>
      </c>
      <c r="X5164" s="20" t="n">
        <v>2029</v>
      </c>
      <c r="Y5164" s="20" t="n">
        <v>2030</v>
      </c>
      <c r="Z5164" s="20" t="n">
        <v>2031</v>
      </c>
      <c r="AA5164" s="20" t="n">
        <v>2032</v>
      </c>
    </row>
    <row r="5165" customFormat="false" ht="17.15" hidden="false" customHeight="false" outlineLevel="0" collapsed="false">
      <c r="A5165" s="1" t="s">
        <v>666</v>
      </c>
    </row>
    <row r="5166" customFormat="false" ht="17.15" hidden="false" customHeight="false" outlineLevel="0" collapsed="false">
      <c r="A5166" s="0" t="s">
        <v>519</v>
      </c>
      <c r="B5166" s="0" t="s">
        <v>86</v>
      </c>
      <c r="C5166" s="38" t="n">
        <f aca="false">Q!$D$10</f>
        <v>247.029</v>
      </c>
      <c r="D5166" s="38" t="n">
        <f aca="false">Q!$E$10</f>
        <v>269.287</v>
      </c>
      <c r="E5166" s="38" t="n">
        <f aca="false">Q!$P$10</f>
        <v>134.686</v>
      </c>
      <c r="F5166" s="38" t="n">
        <f aca="false">Sens!$O$5166*(1+Sens!$F$5167)*Sens!$F$5178</f>
        <v>158.293876822267</v>
      </c>
      <c r="G5166" s="38" t="n">
        <f aca="false">Sens!$E$5166+Sens!$F$5166</f>
        <v>292.979876822267</v>
      </c>
      <c r="H5166" s="38" t="n">
        <f aca="false">Sens!$G$5166*(1+Sens!$H$5167)</f>
        <v>318.184543087396</v>
      </c>
      <c r="I5166" s="38" t="n">
        <f aca="false">Sens!$H$5166*(1+Sens!$I$5167)</f>
        <v>341.736278761793</v>
      </c>
      <c r="J5166" s="38" t="n">
        <f aca="false">Sens!$I$5166*(1+Sens!$J$5167)</f>
        <v>362.927192787048</v>
      </c>
      <c r="K5166" s="38" t="n">
        <f aca="false">Sens!$J$5166*(1+Sens!$K$5167)</f>
        <v>381.0735524264</v>
      </c>
      <c r="L5166" s="38" t="n">
        <f aca="false">Sens!$K$5166*(1+Sens!$L$5167)</f>
        <v>400.12723004772</v>
      </c>
      <c r="M5166" s="38" t="n">
        <f aca="false">Sens!$L$5166*(1+Sens!$M$5167)</f>
        <v>420.133591550106</v>
      </c>
      <c r="N5166" s="38" t="n">
        <f aca="false">Q!$N$10</f>
        <v>118.892</v>
      </c>
      <c r="O5166" s="38" t="n">
        <f aca="false">Q!$O$10</f>
        <v>150.395</v>
      </c>
      <c r="P5166" s="8" t="s">
        <v>667</v>
      </c>
    </row>
    <row r="5167" customFormat="false" ht="17.15" hidden="false" customHeight="false" outlineLevel="0" collapsed="false">
      <c r="A5167" s="0" t="s">
        <v>668</v>
      </c>
      <c r="B5167" s="0" t="s">
        <v>52</v>
      </c>
      <c r="E5167" s="13" t="n">
        <f aca="false">Sens!$E$5166/Sens!$N$5166-1</f>
        <v>0.132843252699929</v>
      </c>
      <c r="F5167" s="13" t="n">
        <f aca="false">Sens!$O$5166/(Q!$F$10+Q!$G$10)-1</f>
        <v>0.0980382135842941</v>
      </c>
      <c r="G5167" s="13" t="n">
        <f aca="false">Sens!$G$5166/Sens!$D$5166-1</f>
        <v>0.0879837378791657</v>
      </c>
      <c r="H5167" s="13" t="n">
        <f aca="false">Sens!$F$5167+(g_os-Sens!$F$5167)*1/4</f>
        <v>0.0860286601882206</v>
      </c>
      <c r="I5167" s="13" t="n">
        <f aca="false">Sens!$F$5167+(g_os-Sens!$F$5167)*2/4</f>
        <v>0.074019106792147</v>
      </c>
      <c r="J5167" s="13" t="n">
        <f aca="false">Sens!$F$5167+(g_os-Sens!$F$5167)*3/4</f>
        <v>0.0620095533960735</v>
      </c>
      <c r="K5167" s="13" t="n">
        <f aca="false">Sens!$F$5167+(g_os-Sens!$F$5167)*4/4</f>
        <v>0.05</v>
      </c>
      <c r="L5167" s="13" t="n">
        <f aca="false">g_os</f>
        <v>0.05</v>
      </c>
      <c r="M5167" s="13" t="n">
        <f aca="false">g_os</f>
        <v>0.05</v>
      </c>
      <c r="P5167" s="8" t="s">
        <v>669</v>
      </c>
    </row>
    <row r="5168" customFormat="false" ht="17.15" hidden="false" customHeight="false" outlineLevel="0" collapsed="false">
      <c r="A5168" s="0" t="s">
        <v>520</v>
      </c>
      <c r="B5168" s="0" t="s">
        <v>86</v>
      </c>
      <c r="C5168" s="38" t="n">
        <f aca="false">Q!$D$11</f>
        <v>21.215</v>
      </c>
      <c r="D5168" s="38" t="n">
        <f aca="false">Q!$E$11</f>
        <v>22.561</v>
      </c>
      <c r="E5168" s="38" t="n">
        <f aca="false">Q!$P$11</f>
        <v>11.579</v>
      </c>
      <c r="F5168" s="38" t="n">
        <f aca="false">Sens!$O$5168*(1+Sens!$F$5169)*Sens!$F$5178</f>
        <v>11.5938724610325</v>
      </c>
      <c r="G5168" s="38" t="n">
        <f aca="false">Sens!$E$5168+Sens!$F$5168</f>
        <v>23.1728724610325</v>
      </c>
      <c r="H5168" s="38" t="n">
        <f aca="false">Sens!$G$5168*(1+Sens!$H$5169)</f>
        <v>24.353392759506</v>
      </c>
      <c r="I5168" s="38" t="n">
        <f aca="false">Sens!$H$5168*(1+Sens!$I$5169)</f>
        <v>25.4240338872015</v>
      </c>
      <c r="J5168" s="38" t="n">
        <f aca="false">Sens!$I$5168*(1+Sens!$J$5169)</f>
        <v>26.3642491017174</v>
      </c>
      <c r="K5168" s="38" t="n">
        <f aca="false">Sens!$J$5168*(1+Sens!$K$5169)</f>
        <v>27.155176574769</v>
      </c>
      <c r="L5168" s="38" t="n">
        <f aca="false">Sens!$K$5168*(1+Sens!$L$5169)</f>
        <v>27.969831872012</v>
      </c>
      <c r="M5168" s="38" t="n">
        <f aca="false">Sens!$L$5168*(1+Sens!$M$5169)</f>
        <v>28.8089268281724</v>
      </c>
      <c r="N5168" s="38" t="n">
        <f aca="false">Q!$N$11</f>
        <v>11.128</v>
      </c>
      <c r="O5168" s="38" t="n">
        <f aca="false">Q!$O$11</f>
        <v>11.433</v>
      </c>
      <c r="P5168" s="8" t="s">
        <v>667</v>
      </c>
    </row>
    <row r="5169" customFormat="false" ht="17.15" hidden="false" customHeight="false" outlineLevel="0" collapsed="false">
      <c r="A5169" s="0" t="s">
        <v>670</v>
      </c>
      <c r="B5169" s="0" t="s">
        <v>52</v>
      </c>
      <c r="E5169" s="13" t="n">
        <f aca="false">Sens!$E$5168/Sens!$N$5168-1</f>
        <v>0.0405283968368082</v>
      </c>
      <c r="F5169" s="13" t="n">
        <f aca="false">Sens!$O$5168/(Q!$F$11+Q!$G$11)-1</f>
        <v>0.0579254187100955</v>
      </c>
      <c r="G5169" s="13" t="n">
        <f aca="false">Sens!$G$5168/Sens!$D$5168-1</f>
        <v>0.0271208040881397</v>
      </c>
      <c r="H5169" s="13" t="n">
        <f aca="false">Sens!$F$5169+(g_ps-Sens!$F$5169)*1/4</f>
        <v>0.0509440640325716</v>
      </c>
      <c r="I5169" s="13" t="n">
        <f aca="false">Sens!$F$5169+(g_ps-Sens!$F$5169)*2/4</f>
        <v>0.0439627093550477</v>
      </c>
      <c r="J5169" s="13" t="n">
        <f aca="false">Sens!$F$5169+(g_ps-Sens!$F$5169)*3/4</f>
        <v>0.0369813546775239</v>
      </c>
      <c r="K5169" s="13" t="n">
        <f aca="false">Sens!$F$5169+(g_ps-Sens!$F$5169)*4/4</f>
        <v>0.03</v>
      </c>
      <c r="L5169" s="13" t="n">
        <f aca="false">g_ps</f>
        <v>0.03</v>
      </c>
      <c r="M5169" s="13" t="n">
        <f aca="false">g_ps</f>
        <v>0.03</v>
      </c>
      <c r="P5169" s="8" t="s">
        <v>671</v>
      </c>
    </row>
    <row r="5170" customFormat="false" ht="17.15" hidden="false" customHeight="false" outlineLevel="0" collapsed="false">
      <c r="A5170" s="0" t="s">
        <v>521</v>
      </c>
      <c r="B5170" s="0" t="s">
        <v>86</v>
      </c>
      <c r="C5170" s="38" t="n">
        <f aca="false">Q!$D$12</f>
        <v>156.146</v>
      </c>
      <c r="D5170" s="38" t="n">
        <f aca="false">Q!$E$12</f>
        <v>172.162</v>
      </c>
      <c r="E5170" s="38" t="n">
        <f aca="false">Q!$P$12</f>
        <v>88.358</v>
      </c>
      <c r="F5170" s="38" t="n">
        <f aca="false">Sens!$O$5170*(1+Sens!$F$5171)*Sens!$F$5178</f>
        <v>102.004388260171</v>
      </c>
      <c r="G5170" s="38" t="n">
        <f aca="false">Sens!$E$5170+Sens!$F$5170</f>
        <v>190.362388260171</v>
      </c>
      <c r="H5170" s="38" t="n">
        <f aca="false">Sens!$G$5170*(1+Sens!$H$5171)</f>
        <v>210.343106588311</v>
      </c>
      <c r="I5170" s="38" t="n">
        <f aca="false">Sens!$H$5170*(1+Sens!$I$5171)</f>
        <v>229.969728494648</v>
      </c>
      <c r="J5170" s="38" t="n">
        <f aca="false">Sens!$I$5170*(1+Sens!$J$5171)</f>
        <v>248.747636972598</v>
      </c>
      <c r="K5170" s="38" t="n">
        <f aca="false">Sens!$J$5170*(1+Sens!$K$5171)</f>
        <v>266.15997156068</v>
      </c>
      <c r="L5170" s="38" t="n">
        <f aca="false">Sens!$K$5170*(1+Sens!$L$5171)</f>
        <v>284.791169569927</v>
      </c>
      <c r="M5170" s="38" t="n">
        <f aca="false">Sens!$L$5170*(1+Sens!$M$5171)</f>
        <v>304.726551439822</v>
      </c>
      <c r="N5170" s="38" t="n">
        <f aca="false">Q!$N$12</f>
        <v>76.86</v>
      </c>
      <c r="O5170" s="38" t="n">
        <f aca="false">Q!$O$12</f>
        <v>95.302</v>
      </c>
      <c r="P5170" s="8" t="s">
        <v>667</v>
      </c>
    </row>
    <row r="5171" customFormat="false" ht="17.15" hidden="false" customHeight="false" outlineLevel="0" collapsed="false">
      <c r="A5171" s="0" t="s">
        <v>672</v>
      </c>
      <c r="B5171" s="0" t="s">
        <v>52</v>
      </c>
      <c r="E5171" s="13" t="n">
        <f aca="false">Sens!$E$5170/Sens!$N$5170-1</f>
        <v>0.1495966692688</v>
      </c>
      <c r="F5171" s="13" t="n">
        <f aca="false">Sens!$O$5170/(Q!$F$12+Q!$G$12)-1</f>
        <v>0.11661530890813</v>
      </c>
      <c r="G5171" s="13" t="n">
        <f aca="false">Sens!$G$5170/Sens!$D$5170-1</f>
        <v>0.105716640490767</v>
      </c>
      <c r="H5171" s="13" t="n">
        <f aca="false">Sens!$F$5171+(g_sp-Sens!$F$5171)*1/4</f>
        <v>0.104961481681098</v>
      </c>
      <c r="I5171" s="13" t="n">
        <f aca="false">Sens!$F$5171+(g_sp-Sens!$F$5171)*2/4</f>
        <v>0.0933076544540651</v>
      </c>
      <c r="J5171" s="13" t="n">
        <f aca="false">Sens!$F$5171+(g_sp-Sens!$F$5171)*3/4</f>
        <v>0.0816538272270325</v>
      </c>
      <c r="K5171" s="13" t="n">
        <f aca="false">Sens!$F$5171+(g_sp-Sens!$F$5171)*4/4</f>
        <v>0.07</v>
      </c>
      <c r="L5171" s="13" t="n">
        <f aca="false">g_sp</f>
        <v>0.07</v>
      </c>
      <c r="M5171" s="13" t="n">
        <f aca="false">g_sp</f>
        <v>0.07</v>
      </c>
      <c r="P5171" s="8" t="s">
        <v>673</v>
      </c>
    </row>
    <row r="5172" customFormat="false" ht="17.15" hidden="false" customHeight="false" outlineLevel="0" collapsed="false">
      <c r="A5172" s="0" t="s">
        <v>522</v>
      </c>
      <c r="B5172" s="0" t="s">
        <v>86</v>
      </c>
      <c r="C5172" s="38" t="n">
        <f aca="false">Q!$D$13</f>
        <v>56.214</v>
      </c>
      <c r="D5172" s="38" t="n">
        <f aca="false">Q!$E$13</f>
        <v>68.635</v>
      </c>
      <c r="E5172" s="38" t="n">
        <f aca="false">Q!$P$13</f>
        <v>37.052</v>
      </c>
      <c r="F5172" s="38" t="n">
        <f aca="false">Sens!$O$5172*(1+Sens!$F$5173)*Sens!$F$5178</f>
        <v>46.1572219944148</v>
      </c>
      <c r="G5172" s="38" t="n">
        <f aca="false">Sens!$E$5172+Sens!$F$5172</f>
        <v>83.2092219944148</v>
      </c>
      <c r="H5172" s="38" t="n">
        <f aca="false">Sens!$G$5172*(1+Sens!$H$5173)</f>
        <v>99.8969223878976</v>
      </c>
      <c r="I5172" s="38" t="n">
        <f aca="false">Sens!$H$5172*(1+Sens!$I$5173)</f>
        <v>116.583111095496</v>
      </c>
      <c r="J5172" s="38" t="n">
        <f aca="false">Sens!$I$5172*(1+Sens!$J$5173)</f>
        <v>132.148941941952</v>
      </c>
      <c r="K5172" s="38" t="n">
        <f aca="false">Sens!$J$5172*(1+Sens!$K$5173)</f>
        <v>145.363836136147</v>
      </c>
      <c r="L5172" s="38" t="n">
        <f aca="false">Sens!$K$5172*(1+Sens!$L$5173)</f>
        <v>159.900219749762</v>
      </c>
      <c r="M5172" s="38" t="n">
        <f aca="false">Sens!$L$5172*(1+Sens!$M$5173)</f>
        <v>175.890241724738</v>
      </c>
      <c r="N5172" s="38" t="n">
        <f aca="false">Q!$N$13</f>
        <v>29.615</v>
      </c>
      <c r="O5172" s="38" t="n">
        <f aca="false">Q!$O$13</f>
        <v>39.02</v>
      </c>
      <c r="P5172" s="8" t="s">
        <v>667</v>
      </c>
    </row>
    <row r="5173" customFormat="false" ht="17.15" hidden="false" customHeight="false" outlineLevel="0" collapsed="false">
      <c r="A5173" s="0" t="s">
        <v>674</v>
      </c>
      <c r="B5173" s="0" t="s">
        <v>52</v>
      </c>
      <c r="E5173" s="13" t="n">
        <f aca="false">Sens!$E$5172/Sens!$N$5172-1</f>
        <v>0.25112274185379</v>
      </c>
      <c r="F5173" s="13" t="n">
        <f aca="false">Sens!$O$5172/(Q!$F$13+Q!$G$13)-1</f>
        <v>0.234068123596572</v>
      </c>
      <c r="G5173" s="13" t="n">
        <f aca="false">Sens!$G$5172/Sens!$D$5172-1</f>
        <v>0.212343876949294</v>
      </c>
      <c r="H5173" s="13" t="n">
        <f aca="false">Sens!$F$5173+(g_ad-Sens!$F$5173)*1/4</f>
        <v>0.200551092697429</v>
      </c>
      <c r="I5173" s="13" t="n">
        <f aca="false">Sens!$F$5173+(g_ad-Sens!$F$5173)*2/4</f>
        <v>0.167034061798286</v>
      </c>
      <c r="J5173" s="13" t="n">
        <f aca="false">Sens!$F$5173+(g_ad-Sens!$F$5173)*3/4</f>
        <v>0.133517030899143</v>
      </c>
      <c r="K5173" s="13" t="n">
        <f aca="false">Sens!$F$5173+(g_ad-Sens!$F$5173)*4/4</f>
        <v>0.1</v>
      </c>
      <c r="L5173" s="13" t="n">
        <f aca="false">g_ad</f>
        <v>0.1</v>
      </c>
      <c r="M5173" s="13" t="n">
        <f aca="false">g_ad</f>
        <v>0.1</v>
      </c>
      <c r="P5173" s="8" t="s">
        <v>675</v>
      </c>
    </row>
    <row r="5174" customFormat="false" ht="17.15" hidden="false" customHeight="false" outlineLevel="0" collapsed="false">
      <c r="A5174" s="0" t="s">
        <v>523</v>
      </c>
      <c r="B5174" s="0" t="s">
        <v>86</v>
      </c>
      <c r="C5174" s="38" t="n">
        <f aca="false">Q!$D$14</f>
        <v>44.374</v>
      </c>
      <c r="D5174" s="38" t="n">
        <f aca="false">Q!$E$14</f>
        <v>49.619</v>
      </c>
      <c r="E5174" s="38" t="n">
        <f aca="false">Q!$P$14</f>
        <v>27.157</v>
      </c>
      <c r="F5174" s="38" t="n">
        <f aca="false">Sens!$O$5174*(1+Sens!$F$5175)*Sens!$F$5178</f>
        <v>27.7764165988154</v>
      </c>
      <c r="G5174" s="38" t="n">
        <f aca="false">Sens!$E$5174+Sens!$F$5174</f>
        <v>54.9334165988154</v>
      </c>
      <c r="H5174" s="38" t="n">
        <f aca="false">Sens!$G$5174*(1+Sens!$H$5175)</f>
        <v>61.1564112561829</v>
      </c>
      <c r="I5174" s="38" t="n">
        <f aca="false">Sens!$H$5174*(1+Sens!$I$5175)</f>
        <v>67.2020282103945</v>
      </c>
      <c r="J5174" s="38" t="n">
        <f aca="false">Sens!$I$5174*(1+Sens!$J$5175)</f>
        <v>72.8757274028885</v>
      </c>
      <c r="K5174" s="38" t="n">
        <f aca="false">Sens!$J$5174*(1+Sens!$K$5175)</f>
        <v>77.9770283210907</v>
      </c>
      <c r="L5174" s="38" t="n">
        <f aca="false">Sens!$K$5174*(1+Sens!$L$5175)</f>
        <v>83.4354203035671</v>
      </c>
      <c r="M5174" s="38" t="n">
        <f aca="false">Sens!$L$5174*(1+Sens!$M$5175)</f>
        <v>89.2758997248168</v>
      </c>
      <c r="N5174" s="38" t="n">
        <f aca="false">Q!$N$14</f>
        <v>23.923</v>
      </c>
      <c r="O5174" s="38" t="n">
        <f aca="false">Q!$O$14</f>
        <v>25.696</v>
      </c>
      <c r="P5174" s="8" t="s">
        <v>667</v>
      </c>
    </row>
    <row r="5175" customFormat="false" ht="17.15" hidden="false" customHeight="false" outlineLevel="0" collapsed="false">
      <c r="A5175" s="0" t="s">
        <v>676</v>
      </c>
      <c r="B5175" s="0" t="s">
        <v>52</v>
      </c>
      <c r="E5175" s="13" t="n">
        <f aca="false">Sens!$E$5174/Sens!$N$5174-1</f>
        <v>0.135183714417088</v>
      </c>
      <c r="F5175" s="13" t="n">
        <f aca="false">Sens!$O$5174/(Q!$F$14+Q!$G$14)-1</f>
        <v>0.127709997366804</v>
      </c>
      <c r="G5175" s="13" t="n">
        <f aca="false">Sens!$G$5174/Sens!$D$5174-1</f>
        <v>0.107104468022641</v>
      </c>
      <c r="H5175" s="13" t="n">
        <f aca="false">Sens!$F$5175+(g_sub-Sens!$F$5175)*1/4</f>
        <v>0.113282498025103</v>
      </c>
      <c r="I5175" s="13" t="n">
        <f aca="false">Sens!$F$5175+(g_sub-Sens!$F$5175)*2/4</f>
        <v>0.0988549986834021</v>
      </c>
      <c r="J5175" s="13" t="n">
        <f aca="false">Sens!$F$5175+(g_sub-Sens!$F$5175)*3/4</f>
        <v>0.084427499341701</v>
      </c>
      <c r="K5175" s="13" t="n">
        <f aca="false">Sens!$F$5175+(g_sub-Sens!$F$5175)*4/4</f>
        <v>0.07</v>
      </c>
      <c r="L5175" s="13" t="n">
        <f aca="false">g_sub</f>
        <v>0.07</v>
      </c>
      <c r="M5175" s="13" t="n">
        <f aca="false">g_sub</f>
        <v>0.07</v>
      </c>
      <c r="P5175" s="8" t="s">
        <v>677</v>
      </c>
    </row>
    <row r="5176" customFormat="false" ht="17.15" hidden="false" customHeight="false" outlineLevel="0" collapsed="false">
      <c r="A5176" s="0" t="s">
        <v>524</v>
      </c>
      <c r="B5176" s="0" t="s">
        <v>86</v>
      </c>
      <c r="C5176" s="38" t="n">
        <f aca="false">Q!$D$15</f>
        <v>5.425</v>
      </c>
      <c r="D5176" s="38" t="n">
        <f aca="false">Q!$E$15</f>
        <v>5.935</v>
      </c>
      <c r="E5176" s="38" t="n">
        <f aca="false">Q!$P$15</f>
        <v>3.474</v>
      </c>
      <c r="F5176" s="38" t="n">
        <f aca="false">Sens!$O$5176*(1+Sens!$F$5177)*Sens!$F$5178</f>
        <v>3.22246550883619</v>
      </c>
      <c r="G5176" s="38" t="n">
        <f aca="false">Sens!$E$5176+Sens!$F$5176</f>
        <v>6.69646550883619</v>
      </c>
      <c r="H5176" s="38" t="n">
        <f aca="false">Sens!$G$5176*(1+Sens!$H$5177)</f>
        <v>7.16251344209196</v>
      </c>
      <c r="I5176" s="38" t="n">
        <f aca="false">Sens!$H$5176*(1+Sens!$I$5177)</f>
        <v>7.61421070299826</v>
      </c>
      <c r="J5176" s="38" t="n">
        <f aca="false">Sens!$I$5176*(1+Sens!$J$5177)</f>
        <v>8.04465753523932</v>
      </c>
      <c r="K5176" s="38" t="n">
        <f aca="false">Sens!$J$5176*(1+Sens!$K$5177)</f>
        <v>8.44689041200128</v>
      </c>
      <c r="L5176" s="38" t="n">
        <f aca="false">Sens!$K$5176*(1+Sens!$L$5177)</f>
        <v>8.86923493260135</v>
      </c>
      <c r="M5176" s="38" t="n">
        <f aca="false">Sens!$L$5176*(1+Sens!$M$5177)</f>
        <v>9.31269667923142</v>
      </c>
      <c r="N5176" s="38" t="n">
        <f aca="false">Q!$N$15</f>
        <v>2.811</v>
      </c>
      <c r="O5176" s="38" t="n">
        <f aca="false">Q!$O$15</f>
        <v>3.124</v>
      </c>
      <c r="P5176" s="8" t="s">
        <v>667</v>
      </c>
    </row>
    <row r="5177" customFormat="false" ht="17.15" hidden="false" customHeight="false" outlineLevel="0" collapsed="false">
      <c r="A5177" s="0" t="s">
        <v>678</v>
      </c>
      <c r="B5177" s="0" t="s">
        <v>52</v>
      </c>
      <c r="E5177" s="13" t="n">
        <f aca="false">Sens!$E$5176/Sens!$N$5176-1</f>
        <v>0.235859124866596</v>
      </c>
      <c r="F5177" s="13" t="n">
        <f aca="false">Sens!$O$5176/(Q!$F$15+Q!$G$15)-1</f>
        <v>0.0761281433000345</v>
      </c>
      <c r="G5177" s="13" t="n">
        <f aca="false">Sens!$G$5176/Sens!$D$5176-1</f>
        <v>0.128300843948811</v>
      </c>
      <c r="H5177" s="13" t="n">
        <f aca="false">Sens!$F$5177+(g_ot-Sens!$F$5177)*1/4</f>
        <v>0.0695961074750259</v>
      </c>
      <c r="I5177" s="13" t="n">
        <f aca="false">Sens!$F$5177+(g_ot-Sens!$F$5177)*2/4</f>
        <v>0.0630640716500172</v>
      </c>
      <c r="J5177" s="13" t="n">
        <f aca="false">Sens!$F$5177+(g_ot-Sens!$F$5177)*3/4</f>
        <v>0.0565320358250086</v>
      </c>
      <c r="K5177" s="13" t="n">
        <f aca="false">Sens!$F$5177+(g_ot-Sens!$F$5177)*4/4</f>
        <v>0.05</v>
      </c>
      <c r="L5177" s="13" t="n">
        <f aca="false">g_ot</f>
        <v>0.05</v>
      </c>
      <c r="M5177" s="13" t="n">
        <f aca="false">g_ot</f>
        <v>0.05</v>
      </c>
      <c r="P5177" s="8" t="s">
        <v>679</v>
      </c>
    </row>
    <row r="5178" customFormat="false" ht="17.15" hidden="false" customHeight="false" outlineLevel="0" collapsed="false">
      <c r="A5178" s="0" t="s">
        <v>680</v>
      </c>
      <c r="B5178" s="0" t="s">
        <v>57</v>
      </c>
      <c r="F5178" s="40" t="n">
        <f aca="false">(g26q3_mid*Q!$O$8/Q!$J$8-Thesis!$F$86-Thesis!$F$90)/(Sens!$O$5166*(1+Sens!$F$5167)+Sens!$O$5168*(1+Sens!$F$5169)+Sens!$O$5170*(1+Sens!$F$5171)+Sens!$O$5172*(1+Sens!$F$5173)+Sens!$O$5174*(1+Sens!$F$5175)+Sens!$O$5176*(1+Sens!$F$5177))</f>
        <v>0.958546670622329</v>
      </c>
      <c r="P5178" s="8" t="s">
        <v>681</v>
      </c>
    </row>
    <row r="5179" customFormat="false" ht="17.15" hidden="false" customHeight="false" outlineLevel="0" collapsed="false">
      <c r="A5179" s="3" t="s">
        <v>682</v>
      </c>
      <c r="B5179" s="8" t="s">
        <v>86</v>
      </c>
      <c r="C5179" s="38" t="n">
        <f aca="false">Sens!$C$5166+Sens!$C$5168+Sens!$C$5170+Sens!$C$5172+Sens!$C$5174+Sens!$C$5176</f>
        <v>530.403</v>
      </c>
      <c r="D5179" s="38" t="n">
        <f aca="false">Sens!$D$5166+Sens!$D$5168+Sens!$D$5170+Sens!$D$5172+Sens!$D$5174+Sens!$D$5176</f>
        <v>588.199</v>
      </c>
      <c r="E5179" s="38" t="n">
        <f aca="false">Sens!$E$5166+Sens!$E$5168+Sens!$E$5170+Sens!$E$5172+Sens!$E$5174+Sens!$E$5176</f>
        <v>302.306</v>
      </c>
      <c r="F5179" s="38" t="n">
        <f aca="false">Sens!$F$5166+Sens!$F$5168+Sens!$F$5170+Sens!$F$5172+Sens!$F$5174+Sens!$F$5176</f>
        <v>349.048241645537</v>
      </c>
      <c r="G5179" s="38" t="n">
        <f aca="false">Sens!$G$5166+Sens!$G$5168+Sens!$G$5170+Sens!$G$5172+Sens!$G$5174+Sens!$G$5176</f>
        <v>651.354241645537</v>
      </c>
      <c r="H5179" s="38" t="n">
        <f aca="false">Sens!$H$5166+Sens!$H$5168+Sens!$H$5170+Sens!$H$5172+Sens!$H$5174+Sens!$H$5176</f>
        <v>721.096889521386</v>
      </c>
      <c r="I5179" s="38" t="n">
        <f aca="false">Sens!$I$5166+Sens!$I$5168+Sens!$I$5170+Sens!$I$5172+Sens!$I$5174+Sens!$I$5176</f>
        <v>788.529391152531</v>
      </c>
      <c r="J5179" s="38" t="n">
        <f aca="false">Sens!$J$5166+Sens!$J$5168+Sens!$J$5170+Sens!$J$5172+Sens!$J$5174+Sens!$J$5176</f>
        <v>851.108405741443</v>
      </c>
      <c r="K5179" s="38" t="n">
        <f aca="false">Sens!$K$5166+Sens!$K$5168+Sens!$K$5170+Sens!$K$5172+Sens!$K$5174+Sens!$K$5176</f>
        <v>906.176455431088</v>
      </c>
      <c r="L5179" s="38" t="n">
        <f aca="false">Sens!$L$5166+Sens!$L$5168+Sens!$L$5170+Sens!$L$5172+Sens!$L$5174+Sens!$L$5176</f>
        <v>965.093106475589</v>
      </c>
      <c r="M5179" s="38" t="n">
        <f aca="false">Sens!$M$5166+Sens!$M$5168+Sens!$M$5170+Sens!$M$5172+Sens!$M$5174+Sens!$M$5176</f>
        <v>1028.14790794689</v>
      </c>
      <c r="N5179" s="38" t="n">
        <f aca="false">Sens!$N$5166+Sens!$N$5168+Sens!$N$5170+Sens!$N$5172+Sens!$N$5174+Sens!$N$5176</f>
        <v>263.229</v>
      </c>
      <c r="O5179" s="38" t="n">
        <f aca="false">Sens!$O$5166+Sens!$O$5168+Sens!$O$5170+Sens!$O$5172+Sens!$O$5174+Sens!$O$5176</f>
        <v>324.97</v>
      </c>
    </row>
    <row r="5180" customFormat="false" ht="17.15" hidden="false" customHeight="false" outlineLevel="0" collapsed="false">
      <c r="A5180" s="5" t="s">
        <v>683</v>
      </c>
      <c r="B5180" s="0" t="s">
        <v>52</v>
      </c>
      <c r="C5180" s="13" t="n">
        <f aca="false">Q!$D$5/(Q!$D$5+Q!$D$6)</f>
        <v>0.730570905519011</v>
      </c>
      <c r="D5180" s="13" t="n">
        <f aca="false">Q!$E$5/(Q!$E$5+Q!$E$6)</f>
        <v>0.724763217890544</v>
      </c>
      <c r="E5180" s="13" t="n">
        <f aca="false">Q!$P$5/(Q!$P$5+Q!$P$6)</f>
        <v>0.728797972914861</v>
      </c>
      <c r="F5180" s="13" t="n">
        <f aca="false">Sens!$O$5180</f>
        <v>0.718066283041511</v>
      </c>
      <c r="G5180" s="13" t="n">
        <f aca="false">Sens!$G$5181/Sens!$G$5179</f>
        <v>0.723047066202847</v>
      </c>
      <c r="H5180" s="13" t="n">
        <f aca="false">Sens!$G$5180</f>
        <v>0.723047066202847</v>
      </c>
      <c r="I5180" s="13" t="n">
        <f aca="false">Sens!$G$5180</f>
        <v>0.723047066202847</v>
      </c>
      <c r="J5180" s="13" t="n">
        <f aca="false">Sens!$G$5180</f>
        <v>0.723047066202847</v>
      </c>
      <c r="K5180" s="13" t="n">
        <f aca="false">Sens!$G$5180</f>
        <v>0.723047066202847</v>
      </c>
      <c r="L5180" s="13" t="n">
        <f aca="false">Sens!$G$5180</f>
        <v>0.723047066202847</v>
      </c>
      <c r="M5180" s="13" t="n">
        <f aca="false">Sens!$G$5180</f>
        <v>0.723047066202847</v>
      </c>
      <c r="N5180" s="13" t="n">
        <f aca="false">Q!$N$5/(Q!$N$5+Q!$N$6)</f>
        <v>0.733030935041352</v>
      </c>
      <c r="O5180" s="13" t="n">
        <f aca="false">Q!$O$5/(Q!$O$5+Q!$O$6)</f>
        <v>0.718066283041511</v>
      </c>
      <c r="P5180" s="8" t="s">
        <v>684</v>
      </c>
    </row>
    <row r="5181" customFormat="false" ht="17.15" hidden="false" customHeight="false" outlineLevel="0" collapsed="false">
      <c r="A5181" s="1" t="s">
        <v>512</v>
      </c>
      <c r="B5181" s="8" t="s">
        <v>86</v>
      </c>
      <c r="C5181" s="38" t="n">
        <f aca="false">Q!$D$5</f>
        <v>387.497</v>
      </c>
      <c r="D5181" s="38" t="n">
        <f aca="false">Q!$E$5</f>
        <v>426.305</v>
      </c>
      <c r="E5181" s="38" t="n">
        <f aca="false">Q!$P$5</f>
        <v>220.32</v>
      </c>
      <c r="F5181" s="38" t="n">
        <f aca="false">Sens!$F$5179*Sens!$F$5180</f>
        <v>250.639773480586</v>
      </c>
      <c r="G5181" s="38" t="n">
        <f aca="false">Sens!$E$5181+Sens!$F$5181</f>
        <v>470.959773480586</v>
      </c>
      <c r="H5181" s="38" t="n">
        <f aca="false">Sens!$H$5179*Sens!$H$5180</f>
        <v>521.386990416437</v>
      </c>
      <c r="I5181" s="38" t="n">
        <f aca="false">Sens!$I$5179*Sens!$I$5180</f>
        <v>570.143862887555</v>
      </c>
      <c r="J5181" s="38" t="n">
        <f aca="false">Sens!$J$5179*Sens!$J$5180</f>
        <v>615.391435791933</v>
      </c>
      <c r="K5181" s="38" t="n">
        <f aca="false">Sens!$K$5179*Sens!$K$5180</f>
        <v>655.208227561543</v>
      </c>
      <c r="L5181" s="38" t="n">
        <f aca="false">Sens!$L$5179*Sens!$L$5180</f>
        <v>697.807739249767</v>
      </c>
      <c r="M5181" s="38" t="n">
        <f aca="false">Sens!$M$5179*Sens!$M$5180</f>
        <v>743.399328463592</v>
      </c>
      <c r="N5181" s="38" t="n">
        <f aca="false">Q!$N$5</f>
        <v>192.955</v>
      </c>
      <c r="O5181" s="38" t="n">
        <f aca="false">Q!$O$5</f>
        <v>233.35</v>
      </c>
      <c r="P5181" s="5" t="s">
        <v>685</v>
      </c>
    </row>
    <row r="5182" customFormat="false" ht="17.15" hidden="false" customHeight="false" outlineLevel="0" collapsed="false">
      <c r="A5182" s="1" t="s">
        <v>515</v>
      </c>
      <c r="B5182" s="8" t="s">
        <v>86</v>
      </c>
      <c r="C5182" s="38" t="n">
        <f aca="false">Q!$D$6</f>
        <v>142.906</v>
      </c>
      <c r="D5182" s="38" t="n">
        <f aca="false">Q!$E$6</f>
        <v>161.894</v>
      </c>
      <c r="E5182" s="38" t="n">
        <f aca="false">Q!$P$6</f>
        <v>81.986</v>
      </c>
      <c r="F5182" s="38" t="n">
        <f aca="false">Sens!$F$5179*(1-Sens!$F$5180)</f>
        <v>98.408468164951</v>
      </c>
      <c r="G5182" s="38" t="n">
        <f aca="false">Sens!$E$5182+Sens!$F$5182</f>
        <v>180.394468164951</v>
      </c>
      <c r="H5182" s="38" t="n">
        <f aca="false">Sens!$H$5179*(1-Sens!$H$5180)</f>
        <v>199.709899104949</v>
      </c>
      <c r="I5182" s="38" t="n">
        <f aca="false">Sens!$I$5179*(1-Sens!$I$5180)</f>
        <v>218.385528264976</v>
      </c>
      <c r="J5182" s="38" t="n">
        <f aca="false">Sens!$J$5179*(1-Sens!$J$5180)</f>
        <v>235.71696994951</v>
      </c>
      <c r="K5182" s="38" t="n">
        <f aca="false">Sens!$K$5179*(1-Sens!$K$5180)</f>
        <v>250.968227869545</v>
      </c>
      <c r="L5182" s="38" t="n">
        <f aca="false">Sens!$L$5179*(1-Sens!$L$5180)</f>
        <v>267.285367225822</v>
      </c>
      <c r="M5182" s="38" t="n">
        <f aca="false">Sens!$M$5179*(1-Sens!$M$5180)</f>
        <v>284.748579483295</v>
      </c>
      <c r="N5182" s="38" t="n">
        <f aca="false">Q!$N$6</f>
        <v>70.274</v>
      </c>
      <c r="O5182" s="38" t="n">
        <f aca="false">Q!$O$6</f>
        <v>91.62</v>
      </c>
      <c r="P5182" s="5" t="s">
        <v>686</v>
      </c>
    </row>
    <row r="5183" customFormat="false" ht="17.15" hidden="false" customHeight="false" outlineLevel="0" collapsed="false">
      <c r="A5183" s="5" t="s">
        <v>687</v>
      </c>
      <c r="B5183" s="0" t="s">
        <v>86</v>
      </c>
      <c r="C5183" s="38" t="n">
        <f aca="false">Sens!$C$5172*Sens!$C$5180</f>
        <v>41.0683128828457</v>
      </c>
      <c r="D5183" s="38" t="n">
        <f aca="false">Sens!$D$5172*Sens!$D$5180</f>
        <v>49.7441234599175</v>
      </c>
      <c r="E5183" s="38" t="n">
        <f aca="false">Sens!$E$5172*Sens!$E$5180</f>
        <v>27.0034224924414</v>
      </c>
      <c r="F5183" s="38" t="n">
        <f aca="false">Sens!$F$5172*Sens!$F$5180</f>
        <v>33.1439448330513</v>
      </c>
      <c r="G5183" s="38" t="n">
        <f aca="false">Sens!$G$5172*Sens!$G$5180</f>
        <v>60.164183844083</v>
      </c>
      <c r="H5183" s="38" t="n">
        <f aca="false">Sens!$H$5172*Sens!$H$5180</f>
        <v>72.2301766552629</v>
      </c>
      <c r="I5183" s="38" t="n">
        <f aca="false">Sens!$I$5172*Sens!$I$5180</f>
        <v>84.2950764463991</v>
      </c>
      <c r="J5183" s="38" t="n">
        <f aca="false">Sens!$J$5172*Sens!$J$5180</f>
        <v>95.5499047729386</v>
      </c>
      <c r="K5183" s="38" t="n">
        <f aca="false">Sens!$K$5172*Sens!$K$5180</f>
        <v>105.104895250232</v>
      </c>
      <c r="L5183" s="38" t="n">
        <f aca="false">Sens!$L$5172*Sens!$L$5180</f>
        <v>115.615384775256</v>
      </c>
      <c r="M5183" s="38" t="n">
        <f aca="false">Sens!$M$5172*Sens!$M$5180</f>
        <v>127.176923252781</v>
      </c>
      <c r="N5183" s="38" t="n">
        <f aca="false">Sens!$N$5172*Sens!$N$5180</f>
        <v>21.7087111412496</v>
      </c>
      <c r="O5183" s="38" t="n">
        <f aca="false">Sens!$O$5172*Sens!$O$5180</f>
        <v>28.0189463642798</v>
      </c>
      <c r="P5183" s="5" t="s">
        <v>688</v>
      </c>
    </row>
    <row r="5184" customFormat="false" ht="15" hidden="false" customHeight="false" outlineLevel="0" collapsed="false">
      <c r="A5184" s="5" t="s">
        <v>689</v>
      </c>
      <c r="B5184" s="0" t="s">
        <v>86</v>
      </c>
      <c r="C5184" s="38" t="n">
        <f aca="false">Sens!$C$5172-Sens!$C$5183</f>
        <v>15.1456871171543</v>
      </c>
      <c r="D5184" s="38" t="n">
        <f aca="false">Sens!$D$5172-Sens!$D$5183</f>
        <v>18.8908765400825</v>
      </c>
      <c r="E5184" s="38" t="n">
        <f aca="false">Sens!$E$5172-Sens!$E$5183</f>
        <v>10.0485775075586</v>
      </c>
      <c r="F5184" s="38" t="n">
        <f aca="false">Sens!$F$5172-Sens!$F$5183</f>
        <v>13.0132771613635</v>
      </c>
      <c r="G5184" s="38" t="n">
        <f aca="false">Sens!$G$5172-Sens!$G$5183</f>
        <v>23.0450381503318</v>
      </c>
      <c r="H5184" s="38" t="n">
        <f aca="false">Sens!$H$5172-Sens!$H$5183</f>
        <v>27.6667457326347</v>
      </c>
      <c r="I5184" s="38" t="n">
        <f aca="false">Sens!$I$5172-Sens!$I$5183</f>
        <v>32.2880346490971</v>
      </c>
      <c r="J5184" s="38" t="n">
        <f aca="false">Sens!$J$5172-Sens!$J$5183</f>
        <v>36.5990371690132</v>
      </c>
      <c r="K5184" s="38" t="n">
        <f aca="false">Sens!$K$5172-Sens!$K$5183</f>
        <v>40.2589408859145</v>
      </c>
      <c r="L5184" s="38" t="n">
        <f aca="false">Sens!$L$5172-Sens!$L$5183</f>
        <v>44.2848349745059</v>
      </c>
      <c r="M5184" s="38" t="n">
        <f aca="false">Sens!$M$5172-Sens!$M$5183</f>
        <v>48.7133184719565</v>
      </c>
      <c r="N5184" s="38" t="n">
        <f aca="false">Sens!$N$5172-Sens!$N$5183</f>
        <v>7.90628885875037</v>
      </c>
      <c r="O5184" s="38" t="n">
        <f aca="false">Sens!$O$5172-Sens!$O$5183</f>
        <v>11.0010536357202</v>
      </c>
    </row>
    <row r="5185" customFormat="false" ht="19.4" hidden="false" customHeight="false" outlineLevel="0" collapsed="false">
      <c r="A5185" s="31" t="s">
        <v>1241</v>
      </c>
    </row>
    <row r="5186" customFormat="false" ht="17.15" hidden="false" customHeight="false" outlineLevel="0" collapsed="false">
      <c r="A5186" s="6" t="s">
        <v>16</v>
      </c>
      <c r="B5186" s="6" t="s">
        <v>17</v>
      </c>
      <c r="C5186" s="20" t="s">
        <v>497</v>
      </c>
      <c r="D5186" s="20" t="s">
        <v>498</v>
      </c>
      <c r="E5186" s="20" t="s">
        <v>580</v>
      </c>
      <c r="F5186" s="20" t="s">
        <v>581</v>
      </c>
      <c r="G5186" s="20" t="s">
        <v>582</v>
      </c>
      <c r="H5186" s="20" t="s">
        <v>583</v>
      </c>
      <c r="I5186" s="20" t="s">
        <v>584</v>
      </c>
      <c r="J5186" s="20" t="s">
        <v>585</v>
      </c>
      <c r="K5186" s="20" t="s">
        <v>586</v>
      </c>
      <c r="L5186" s="20" t="s">
        <v>587</v>
      </c>
      <c r="M5186" s="20" t="s">
        <v>588</v>
      </c>
      <c r="N5186" s="20" t="s">
        <v>589</v>
      </c>
      <c r="O5186" s="20" t="s">
        <v>590</v>
      </c>
      <c r="P5186" s="6" t="s">
        <v>23</v>
      </c>
      <c r="R5186" s="20" t="n">
        <v>2023</v>
      </c>
      <c r="S5186" s="20" t="n">
        <v>2024</v>
      </c>
      <c r="T5186" s="20" t="n">
        <v>2025</v>
      </c>
      <c r="U5186" s="20" t="n">
        <v>2026</v>
      </c>
      <c r="V5186" s="20" t="n">
        <v>2027</v>
      </c>
      <c r="W5186" s="20" t="n">
        <v>2028</v>
      </c>
      <c r="X5186" s="20" t="n">
        <v>2029</v>
      </c>
      <c r="Y5186" s="20" t="n">
        <v>2030</v>
      </c>
      <c r="Z5186" s="20" t="n">
        <v>2031</v>
      </c>
      <c r="AA5186" s="20" t="n">
        <v>2032</v>
      </c>
    </row>
    <row r="5187" customFormat="false" ht="17.15" hidden="false" customHeight="false" outlineLevel="0" collapsed="false">
      <c r="A5187" s="1" t="s">
        <v>591</v>
      </c>
    </row>
    <row r="5188" customFormat="false" ht="17.15" hidden="false" customHeight="false" outlineLevel="0" collapsed="false">
      <c r="A5188" s="5" t="s">
        <v>592</v>
      </c>
      <c r="B5188" s="0" t="s">
        <v>144</v>
      </c>
      <c r="H5188" s="32" t="n">
        <f aca="false">pace_B</f>
        <v>3634.3</v>
      </c>
      <c r="I5188" s="32" t="n">
        <f aca="false">pace_B</f>
        <v>3634.3</v>
      </c>
      <c r="J5188" s="32" t="n">
        <f aca="false">pace_B</f>
        <v>3634.3</v>
      </c>
      <c r="K5188" s="32" t="n">
        <f aca="false">pace_B+(Sens!$J$5189*tg-pace_B)*1/3</f>
        <v>2570.86716666667</v>
      </c>
      <c r="L5188" s="32" t="n">
        <f aca="false">pace_B+(Sens!$J$5189*tg-pace_B)*2/3</f>
        <v>1507.43433333333</v>
      </c>
      <c r="M5188" s="32" t="n">
        <f aca="false">pace_B+(Sens!$J$5189*tg-pace_B)*3/3</f>
        <v>444.0015</v>
      </c>
      <c r="P5188" s="5" t="s">
        <v>593</v>
      </c>
    </row>
    <row r="5189" customFormat="false" ht="17.15" hidden="false" customHeight="false" outlineLevel="0" collapsed="false">
      <c r="A5189" s="15" t="s">
        <v>594</v>
      </c>
      <c r="B5189" s="14" t="s">
        <v>129</v>
      </c>
      <c r="C5189" s="33" t="n">
        <f aca="false">mw_ye24</f>
        <v>360</v>
      </c>
      <c r="D5189" s="33" t="n">
        <f aca="false">mw_ye25</f>
        <v>1440</v>
      </c>
      <c r="E5189" s="33" t="n">
        <f aca="false">mw_open</f>
        <v>2080</v>
      </c>
      <c r="F5189" s="33" t="n">
        <f aca="false">Sens!$E$5189+pace_B*0.5</f>
        <v>3897.15</v>
      </c>
      <c r="G5189" s="33" t="n">
        <f aca="false">Sens!$F$5189</f>
        <v>3897.15</v>
      </c>
      <c r="H5189" s="33" t="n">
        <f aca="false">Sens!$G$5189+Sens!$H$5188</f>
        <v>7531.45</v>
      </c>
      <c r="I5189" s="33" t="n">
        <f aca="false">Sens!$H$5189+Sens!$I$5188</f>
        <v>11165.75</v>
      </c>
      <c r="J5189" s="33" t="n">
        <f aca="false">Sens!$I$5189+Sens!$J$5188</f>
        <v>14800.05</v>
      </c>
      <c r="K5189" s="33" t="n">
        <f aca="false">Sens!$J$5189+Sens!$K$5188</f>
        <v>17370.9171666667</v>
      </c>
      <c r="L5189" s="33" t="n">
        <f aca="false">Sens!$K$5189+Sens!$L$5188</f>
        <v>18878.3515</v>
      </c>
      <c r="M5189" s="33" t="n">
        <f aca="false">Sens!$L$5189+Sens!$M$5188</f>
        <v>19322.353</v>
      </c>
      <c r="N5189" s="33" t="n">
        <f aca="false">(mw_ye24+mw_ye25)/2</f>
        <v>900</v>
      </c>
      <c r="O5189" s="33" t="n">
        <f aca="false">mw_ye25</f>
        <v>1440</v>
      </c>
      <c r="P5189" s="5" t="s">
        <v>595</v>
      </c>
    </row>
    <row r="5190" customFormat="false" ht="17.15" hidden="false" customHeight="false" outlineLevel="0" collapsed="false">
      <c r="A5190" s="5" t="s">
        <v>596</v>
      </c>
      <c r="B5190" s="0" t="s">
        <v>129</v>
      </c>
      <c r="C5190" s="32" t="n">
        <f aca="false">(mw_ye23+mw_ye24)/2</f>
        <v>240</v>
      </c>
      <c r="D5190" s="32" t="n">
        <f aca="false">(Sens!$C$5189+Sens!$D$5189)/2</f>
        <v>900</v>
      </c>
      <c r="E5190" s="32" t="n">
        <f aca="false">(Sens!$D$5189+Sens!$E$5189)/2</f>
        <v>1760</v>
      </c>
      <c r="F5190" s="32" t="n">
        <f aca="false">(Sens!$E$5189+Sens!$F$5189)/2</f>
        <v>2988.575</v>
      </c>
      <c r="G5190" s="32" t="n">
        <f aca="false">(Sens!$E$5190+Sens!$F$5190)/2</f>
        <v>2374.2875</v>
      </c>
      <c r="H5190" s="32" t="n">
        <f aca="false">(Sens!$G$5189+Sens!$H$5189)/2</f>
        <v>5714.3</v>
      </c>
      <c r="I5190" s="32" t="n">
        <f aca="false">(Sens!$H$5189+Sens!$I$5189)/2</f>
        <v>9348.6</v>
      </c>
      <c r="J5190" s="32" t="n">
        <f aca="false">(Sens!$I$5189+Sens!$J$5189)/2</f>
        <v>12982.9</v>
      </c>
      <c r="K5190" s="32" t="n">
        <f aca="false">(Sens!$J$5189+Sens!$K$5189)/2</f>
        <v>16085.4835833333</v>
      </c>
      <c r="L5190" s="32" t="n">
        <f aca="false">(Sens!$K$5189+Sens!$L$5189)/2</f>
        <v>18124.6343333333</v>
      </c>
      <c r="M5190" s="32" t="n">
        <f aca="false">(Sens!$L$5189+Sens!$M$5189)/2</f>
        <v>19100.35225</v>
      </c>
      <c r="N5190" s="32" t="n">
        <f aca="false">(Sens!$C$5189+Sens!$N$5189)/2</f>
        <v>630</v>
      </c>
      <c r="O5190" s="32" t="n">
        <f aca="false">(Sens!$N$5189+Sens!$O$5189)/2</f>
        <v>1170</v>
      </c>
    </row>
    <row r="5191" customFormat="false" ht="15" hidden="false" customHeight="false" outlineLevel="0" collapsed="false">
      <c r="A5191" s="5" t="s">
        <v>597</v>
      </c>
      <c r="B5191" s="5" t="s">
        <v>123</v>
      </c>
      <c r="C5191" s="34" t="n">
        <v>1</v>
      </c>
      <c r="D5191" s="34" t="n">
        <v>1</v>
      </c>
      <c r="E5191" s="34" t="n">
        <v>0.5</v>
      </c>
      <c r="F5191" s="34" t="n">
        <v>0.5</v>
      </c>
      <c r="G5191" s="34" t="n">
        <v>1</v>
      </c>
      <c r="H5191" s="34" t="n">
        <v>1</v>
      </c>
      <c r="I5191" s="34" t="n">
        <v>1</v>
      </c>
      <c r="J5191" s="34" t="n">
        <v>1</v>
      </c>
      <c r="K5191" s="34" t="n">
        <v>1</v>
      </c>
      <c r="L5191" s="34" t="n">
        <v>1</v>
      </c>
      <c r="M5191" s="34" t="n">
        <v>1</v>
      </c>
      <c r="N5191" s="34" t="n">
        <v>0.5</v>
      </c>
      <c r="O5191" s="34" t="n">
        <v>0.5</v>
      </c>
    </row>
    <row r="5192" customFormat="false" ht="17.15" hidden="false" customHeight="false" outlineLevel="0" collapsed="false">
      <c r="A5192" s="5" t="s">
        <v>598</v>
      </c>
      <c r="B5192" s="0" t="s">
        <v>129</v>
      </c>
      <c r="C5192" s="32" t="n">
        <f aca="false">Sens!$C$5189-mw_ye23</f>
        <v>240</v>
      </c>
      <c r="D5192" s="32" t="n">
        <f aca="false">Sens!$D$5189-Sens!$C$5189</f>
        <v>1080</v>
      </c>
      <c r="E5192" s="32" t="n">
        <f aca="false">Sens!$E$5189-Sens!$D$5189</f>
        <v>640</v>
      </c>
      <c r="F5192" s="32" t="n">
        <f aca="false">Sens!$F$5189-Sens!$E$5189</f>
        <v>1817.15</v>
      </c>
      <c r="G5192" s="32" t="n">
        <f aca="false">Sens!$E$5192+Sens!$F$5192</f>
        <v>2457.15</v>
      </c>
      <c r="H5192" s="32" t="n">
        <f aca="false">Sens!$H$5189-Sens!$G$5189</f>
        <v>3634.3</v>
      </c>
      <c r="I5192" s="32" t="n">
        <f aca="false">Sens!$I$5189-Sens!$H$5189</f>
        <v>3634.3</v>
      </c>
      <c r="J5192" s="32" t="n">
        <f aca="false">Sens!$J$5189-Sens!$I$5189</f>
        <v>3634.3</v>
      </c>
      <c r="K5192" s="32" t="n">
        <f aca="false">Sens!$K$5189-Sens!$J$5189</f>
        <v>2570.86716666667</v>
      </c>
      <c r="L5192" s="32" t="n">
        <f aca="false">Sens!$L$5189-Sens!$K$5189</f>
        <v>1507.43433333333</v>
      </c>
      <c r="M5192" s="32" t="n">
        <f aca="false">Sens!$M$5189-Sens!$L$5189</f>
        <v>444.001499999999</v>
      </c>
      <c r="N5192" s="32" t="n">
        <f aca="false">Sens!$N$5189-Sens!$C$5189</f>
        <v>540</v>
      </c>
      <c r="O5192" s="32" t="n">
        <f aca="false">Sens!$O$5189-Sens!$N$5189</f>
        <v>540</v>
      </c>
    </row>
    <row r="5193" customFormat="false" ht="17.15" hidden="false" customHeight="false" outlineLevel="0" collapsed="false">
      <c r="A5193" s="5" t="s">
        <v>599</v>
      </c>
      <c r="B5193" s="0" t="s">
        <v>129</v>
      </c>
      <c r="C5193" s="32" t="n">
        <f aca="false">Sens!$C$5192/ext_sh</f>
        <v>300</v>
      </c>
      <c r="D5193" s="32" t="n">
        <f aca="false">Sens!$D$5192/ext_sh</f>
        <v>1350</v>
      </c>
      <c r="E5193" s="32" t="n">
        <f aca="false">Sens!$E$5192/ext_sh</f>
        <v>800</v>
      </c>
      <c r="F5193" s="32" t="n">
        <f aca="false">Sens!$F$5192/ext_sh</f>
        <v>2271.4375</v>
      </c>
      <c r="G5193" s="32" t="n">
        <f aca="false">Sens!$G$5192/ext_sh</f>
        <v>3071.4375</v>
      </c>
      <c r="H5193" s="32" t="n">
        <f aca="false">Sens!$H$5192/ext_sh</f>
        <v>4542.875</v>
      </c>
      <c r="I5193" s="32" t="n">
        <f aca="false">Sens!$I$5192/ext_sh</f>
        <v>4542.875</v>
      </c>
      <c r="J5193" s="32" t="n">
        <f aca="false">Sens!$J$5192/ext_sh</f>
        <v>4542.875</v>
      </c>
      <c r="K5193" s="32" t="n">
        <f aca="false">Sens!$K$5192/ext_sh</f>
        <v>3213.58395833333</v>
      </c>
      <c r="L5193" s="32" t="n">
        <f aca="false">Sens!$L$5192/ext_sh</f>
        <v>1884.29291666667</v>
      </c>
      <c r="M5193" s="32" t="n">
        <f aca="false">Sens!$M$5192/ext_sh</f>
        <v>555.001874999998</v>
      </c>
      <c r="N5193" s="32" t="n">
        <f aca="false">Sens!$N$5192/ext_sh</f>
        <v>675</v>
      </c>
      <c r="O5193" s="32" t="n">
        <f aca="false">Sens!$O$5192/ext_sh</f>
        <v>675</v>
      </c>
      <c r="P5193" s="8" t="s">
        <v>600</v>
      </c>
      <c r="R5193" s="32" t="n">
        <f aca="false">mw_ye23/ext_sh</f>
        <v>150</v>
      </c>
      <c r="S5193" s="32" t="n">
        <f aca="false">Sens!$C$5193</f>
        <v>300</v>
      </c>
      <c r="T5193" s="32" t="n">
        <f aca="false">Sens!$D$5193</f>
        <v>1350</v>
      </c>
      <c r="U5193" s="32" t="n">
        <f aca="false">Sens!$G$5193</f>
        <v>3071.4375</v>
      </c>
      <c r="V5193" s="32" t="n">
        <f aca="false">Sens!$H$5193</f>
        <v>4542.875</v>
      </c>
      <c r="W5193" s="32" t="n">
        <f aca="false">Sens!$I$5193</f>
        <v>4542.875</v>
      </c>
      <c r="X5193" s="32" t="n">
        <f aca="false">Sens!$J$5193</f>
        <v>4542.875</v>
      </c>
      <c r="Y5193" s="32" t="n">
        <f aca="false">Sens!$K$5193</f>
        <v>3213.58395833333</v>
      </c>
      <c r="Z5193" s="32" t="n">
        <f aca="false">Sens!$L$5193</f>
        <v>1884.29291666667</v>
      </c>
      <c r="AA5193" s="32" t="n">
        <f aca="false">Sens!$M$5193</f>
        <v>555.001874999998</v>
      </c>
    </row>
    <row r="5194" customFormat="false" ht="17.15" hidden="false" customHeight="false" outlineLevel="0" collapsed="false">
      <c r="A5194" s="1" t="s">
        <v>601</v>
      </c>
    </row>
    <row r="5195" customFormat="false" ht="17.15" hidden="false" customHeight="false" outlineLevel="0" collapsed="false">
      <c r="A5195" s="0" t="s">
        <v>602</v>
      </c>
      <c r="B5195" s="0" t="s">
        <v>52</v>
      </c>
      <c r="F5195" s="35" t="n">
        <f aca="false">na_vr26</f>
        <v>0</v>
      </c>
      <c r="G5195" s="35" t="n">
        <f aca="false">na_vr26</f>
        <v>0</v>
      </c>
      <c r="H5195" s="35" t="n">
        <f aca="false">na_vr27</f>
        <v>0.5</v>
      </c>
      <c r="I5195" s="35" t="n">
        <f aca="false">na_vr28</f>
        <v>1</v>
      </c>
      <c r="J5195" s="35" t="n">
        <f aca="false">na_vr28</f>
        <v>1</v>
      </c>
      <c r="K5195" s="35" t="n">
        <f aca="false">na_vr28</f>
        <v>1</v>
      </c>
      <c r="L5195" s="35" t="n">
        <f aca="false">na_vr28</f>
        <v>1</v>
      </c>
      <c r="M5195" s="35" t="n">
        <f aca="false">na_vr28</f>
        <v>1</v>
      </c>
    </row>
    <row r="5196" customFormat="false" ht="17.15" hidden="false" customHeight="false" outlineLevel="0" collapsed="false">
      <c r="A5196" s="5" t="s">
        <v>603</v>
      </c>
      <c r="B5196" s="0" t="s">
        <v>173</v>
      </c>
      <c r="F5196" s="36" t="n">
        <f aca="false">cust_sh*tk_he_gb300*cf_chip+(1-cust_sh)*((1-Sens!$F$5195)*tk_he_gb300+Sens!$F$5195*tk_he_vr200)</f>
        <v>10.8864110021101</v>
      </c>
      <c r="G5196" s="36" t="n">
        <f aca="false">cust_sh*tk_he_gb300*cf_chip+(1-cust_sh)*((1-Sens!$G$5195)*tk_he_gb300+Sens!$G$5195*tk_he_vr200)</f>
        <v>10.8864110021101</v>
      </c>
      <c r="H5196" s="36" t="n">
        <f aca="false">cust_sh*tk_he_gb300*cf_chip+(1-cust_sh)*((1-Sens!$H$5195)*tk_he_gb300+Sens!$H$5195*tk_he_vr200)</f>
        <v>11.2211760027286</v>
      </c>
      <c r="I5196" s="36" t="n">
        <f aca="false">cust_sh*tk_he_gb300*cf_chip+(1-cust_sh)*((1-Sens!$I$5195)*tk_he_gb300+Sens!$I$5195*tk_he_vr200)</f>
        <v>11.5559410033471</v>
      </c>
      <c r="J5196" s="36" t="n">
        <f aca="false">cust_sh*tk_he_gb300*cf_chip+(1-cust_sh)*((1-Sens!$J$5195)*tk_he_gb300+Sens!$J$5195*tk_he_vr200)</f>
        <v>11.5559410033471</v>
      </c>
      <c r="K5196" s="36" t="n">
        <f aca="false">cust_sh*tk_he_gb300*cf_chip+(1-cust_sh)*((1-Sens!$K$5195)*tk_he_gb300+Sens!$K$5195*tk_he_vr200)</f>
        <v>11.5559410033471</v>
      </c>
      <c r="L5196" s="36" t="n">
        <f aca="false">cust_sh*tk_he_gb300*cf_chip+(1-cust_sh)*((1-Sens!$L$5195)*tk_he_gb300+Sens!$L$5195*tk_he_vr200)</f>
        <v>11.5559410033471</v>
      </c>
      <c r="M5196" s="36" t="n">
        <f aca="false">cust_sh*tk_he_gb300*cf_chip+(1-cust_sh)*((1-Sens!$M$5195)*tk_he_gb300+Sens!$M$5195*tk_he_vr200)</f>
        <v>11.5559410033471</v>
      </c>
    </row>
    <row r="5197" customFormat="false" ht="17.15" hidden="false" customHeight="false" outlineLevel="0" collapsed="false">
      <c r="A5197" s="5" t="s">
        <v>604</v>
      </c>
      <c r="B5197" s="0" t="s">
        <v>173</v>
      </c>
      <c r="F5197" s="36" t="n">
        <f aca="false">cust_sh*tk_ox_gb300+(1-cust_sh)*((1-Sens!$F$5195)*tk_ox_gb300+Sens!$F$5195*tk_ox_vr200)</f>
        <v>1.98263481314457</v>
      </c>
      <c r="G5197" s="36" t="n">
        <f aca="false">cust_sh*tk_ox_gb300+(1-cust_sh)*((1-Sens!$G$5195)*tk_ox_gb300+Sens!$G$5195*tk_ox_vr200)</f>
        <v>1.98263481314457</v>
      </c>
      <c r="H5197" s="36" t="n">
        <f aca="false">cust_sh*tk_ox_gb300+(1-cust_sh)*((1-Sens!$H$5195)*tk_ox_gb300+Sens!$H$5195*tk_ox_vr200)</f>
        <v>2.01034999693694</v>
      </c>
      <c r="I5197" s="36" t="n">
        <f aca="false">cust_sh*tk_ox_gb300+(1-cust_sh)*((1-Sens!$I$5195)*tk_ox_gb300+Sens!$I$5195*tk_ox_vr200)</f>
        <v>2.0380651807293</v>
      </c>
      <c r="J5197" s="36" t="n">
        <f aca="false">cust_sh*tk_ox_gb300+(1-cust_sh)*((1-Sens!$J$5195)*tk_ox_gb300+Sens!$J$5195*tk_ox_vr200)</f>
        <v>2.0380651807293</v>
      </c>
      <c r="K5197" s="36" t="n">
        <f aca="false">cust_sh*tk_ox_gb300+(1-cust_sh)*((1-Sens!$K$5195)*tk_ox_gb300+Sens!$K$5195*tk_ox_vr200)</f>
        <v>2.0380651807293</v>
      </c>
      <c r="L5197" s="36" t="n">
        <f aca="false">cust_sh*tk_ox_gb300+(1-cust_sh)*((1-Sens!$L$5195)*tk_ox_gb300+Sens!$L$5195*tk_ox_vr200)</f>
        <v>2.0380651807293</v>
      </c>
      <c r="M5197" s="36" t="n">
        <f aca="false">cust_sh*tk_ox_gb300+(1-cust_sh)*((1-Sens!$M$5195)*tk_ox_gb300+Sens!$M$5195*tk_ox_vr200)</f>
        <v>2.0380651807293</v>
      </c>
    </row>
    <row r="5198" customFormat="false" ht="17.15" hidden="false" customHeight="false" outlineLevel="0" collapsed="false">
      <c r="A5198" s="5" t="s">
        <v>605</v>
      </c>
      <c r="B5198" s="0" t="s">
        <v>192</v>
      </c>
      <c r="F5198" s="36" t="n">
        <f aca="false">cust_sh*tk_cx_gb300*cf_cx+(1-cust_sh)*((1-Sens!$F$5195)*tk_cx_gb300+Sens!$F$5195*tk_cx_vr200)</f>
        <v>32.237224</v>
      </c>
      <c r="G5198" s="36" t="n">
        <f aca="false">cust_sh*tk_cx_gb300*cf_cx+(1-cust_sh)*((1-Sens!$G$5195)*tk_cx_gb300+Sens!$G$5195*tk_cx_vr200)</f>
        <v>32.237224</v>
      </c>
      <c r="H5198" s="36" t="n">
        <f aca="false">cust_sh*tk_cx_gb300*cf_cx+(1-cust_sh)*((1-Sens!$H$5195)*tk_cx_gb300+Sens!$H$5195*tk_cx_vr200)</f>
        <v>33.574506</v>
      </c>
      <c r="I5198" s="36" t="n">
        <f aca="false">cust_sh*tk_cx_gb300*cf_cx+(1-cust_sh)*((1-Sens!$I$5195)*tk_cx_gb300+Sens!$I$5195*tk_cx_vr200)</f>
        <v>34.911788</v>
      </c>
      <c r="J5198" s="36" t="n">
        <f aca="false">cust_sh*tk_cx_gb300*cf_cx+(1-cust_sh)*((1-Sens!$J$5195)*tk_cx_gb300+Sens!$J$5195*tk_cx_vr200)</f>
        <v>34.911788</v>
      </c>
      <c r="K5198" s="36" t="n">
        <f aca="false">cust_sh*tk_cx_gb300*cf_cx+(1-cust_sh)*((1-Sens!$K$5195)*tk_cx_gb300+Sens!$K$5195*tk_cx_vr200)</f>
        <v>34.911788</v>
      </c>
      <c r="L5198" s="36" t="n">
        <f aca="false">cust_sh*tk_cx_gb300*cf_cx+(1-cust_sh)*((1-Sens!$L$5195)*tk_cx_gb300+Sens!$L$5195*tk_cx_vr200)</f>
        <v>34.911788</v>
      </c>
      <c r="M5198" s="36" t="n">
        <f aca="false">cust_sh*tk_cx_gb300*cf_cx+(1-cust_sh)*((1-Sens!$M$5195)*tk_cx_gb300+Sens!$M$5195*tk_cx_vr200)</f>
        <v>34.911788</v>
      </c>
    </row>
    <row r="5199" customFormat="false" ht="17.15" hidden="false" customHeight="false" outlineLevel="0" collapsed="false">
      <c r="A5199" s="5" t="s">
        <v>606</v>
      </c>
      <c r="B5199" s="0" t="s">
        <v>129</v>
      </c>
      <c r="F5199" s="32" t="n">
        <f aca="false">Sens!$F$5189-mw_open</f>
        <v>1817.15</v>
      </c>
      <c r="G5199" s="32" t="n">
        <f aca="false">Sens!$F$5199</f>
        <v>1817.15</v>
      </c>
      <c r="H5199" s="32" t="n">
        <f aca="false">Sens!$H$5189-mw_open</f>
        <v>5451.45</v>
      </c>
      <c r="I5199" s="32" t="n">
        <f aca="false">Sens!$I$5189-mw_open</f>
        <v>9085.75</v>
      </c>
      <c r="J5199" s="32" t="n">
        <f aca="false">Sens!$J$5189-mw_open</f>
        <v>12720.05</v>
      </c>
      <c r="K5199" s="32" t="n">
        <f aca="false">Sens!$K$5189-mw_open</f>
        <v>15290.9171666667</v>
      </c>
      <c r="L5199" s="32" t="n">
        <f aca="false">Sens!$L$5189-mw_open</f>
        <v>16798.3515</v>
      </c>
      <c r="M5199" s="32" t="n">
        <f aca="false">Sens!$M$5189-mw_open</f>
        <v>17242.353</v>
      </c>
    </row>
    <row r="5200" customFormat="false" ht="17.15" hidden="false" customHeight="false" outlineLevel="0" collapsed="false">
      <c r="A5200" s="0" t="s">
        <v>607</v>
      </c>
      <c r="B5200" s="0" t="s">
        <v>608</v>
      </c>
      <c r="F5200" s="32" t="n">
        <f aca="false">Sens!$F$5192*Sens!$F$5196</f>
        <v>19782.2417524844</v>
      </c>
      <c r="G5200" s="32" t="n">
        <f aca="false">Sens!$F$5200</f>
        <v>19782.2417524844</v>
      </c>
      <c r="H5200" s="32" t="n">
        <f aca="false">Sens!$G$5200+Sens!$H$5192*Sens!$H$5196</f>
        <v>60563.3616992009</v>
      </c>
      <c r="I5200" s="32" t="n">
        <f aca="false">Sens!$H$5200+Sens!$I$5192*Sens!$I$5196</f>
        <v>102561.118087665</v>
      </c>
      <c r="J5200" s="32" t="n">
        <f aca="false">Sens!$I$5200+Sens!$J$5192*Sens!$J$5196</f>
        <v>144558.87447613</v>
      </c>
      <c r="K5200" s="32" t="n">
        <f aca="false">Sens!$J$5200+Sens!$K$5192*Sens!$K$5196</f>
        <v>174267.663781572</v>
      </c>
      <c r="L5200" s="32" t="n">
        <f aca="false">Sens!$K$5200+Sens!$L$5192*Sens!$L$5196</f>
        <v>191687.486003992</v>
      </c>
      <c r="M5200" s="32" t="n">
        <f aca="false">Sens!$L$5200+Sens!$M$5192*Sens!$M$5196</f>
        <v>196818.341143389</v>
      </c>
    </row>
    <row r="5201" customFormat="false" ht="17.15" hidden="false" customHeight="false" outlineLevel="0" collapsed="false">
      <c r="A5201" s="0" t="s">
        <v>609</v>
      </c>
      <c r="B5201" s="0" t="s">
        <v>608</v>
      </c>
      <c r="F5201" s="32" t="n">
        <f aca="false">Sens!$F$5192*Sens!$F$5197</f>
        <v>3602.74485070566</v>
      </c>
      <c r="G5201" s="32" t="n">
        <f aca="false">Sens!$F$5201</f>
        <v>3602.74485070566</v>
      </c>
      <c r="H5201" s="32" t="n">
        <f aca="false">Sens!$G$5201+Sens!$H$5192*Sens!$H$5197</f>
        <v>10908.9598445736</v>
      </c>
      <c r="I5201" s="32" t="n">
        <f aca="false">Sens!$H$5201+Sens!$I$5192*Sens!$I$5197</f>
        <v>18315.9001308981</v>
      </c>
      <c r="J5201" s="32" t="n">
        <f aca="false">Sens!$I$5201+Sens!$J$5192*Sens!$J$5197</f>
        <v>25722.8404172225</v>
      </c>
      <c r="K5201" s="32" t="n">
        <f aca="false">Sens!$J$5201+Sens!$K$5192*Sens!$K$5197</f>
        <v>30962.4352738861</v>
      </c>
      <c r="L5201" s="32" t="n">
        <f aca="false">Sens!$K$5201+Sens!$L$5192*Sens!$L$5197</f>
        <v>34034.6847008886</v>
      </c>
      <c r="M5201" s="32" t="n">
        <f aca="false">Sens!$L$5201+Sens!$M$5192*Sens!$M$5197</f>
        <v>34939.5886982302</v>
      </c>
    </row>
    <row r="5202" customFormat="false" ht="17.15" hidden="false" customHeight="false" outlineLevel="0" collapsed="false">
      <c r="A5202" s="5" t="s">
        <v>610</v>
      </c>
      <c r="B5202" s="0" t="s">
        <v>173</v>
      </c>
      <c r="F5202" s="36" t="n">
        <f aca="false">IF(Sens!$F$5199&gt;0,Sens!$F$5200/Sens!$F$5199,Sens!$F$5196)</f>
        <v>10.8864110021101</v>
      </c>
      <c r="G5202" s="36" t="n">
        <f aca="false">IF(Sens!$G$5199&gt;0,Sens!$G$5200/Sens!$G$5199,Sens!$G$5196)</f>
        <v>10.8864110021101</v>
      </c>
      <c r="H5202" s="36" t="n">
        <f aca="false">IF(Sens!$H$5199&gt;0,Sens!$H$5200/Sens!$H$5199,Sens!$H$5196)</f>
        <v>11.1095876691891</v>
      </c>
      <c r="I5202" s="36" t="n">
        <f aca="false">IF(Sens!$I$5199&gt;0,Sens!$I$5200/Sens!$I$5199,Sens!$I$5196)</f>
        <v>11.2881290028523</v>
      </c>
      <c r="J5202" s="36" t="n">
        <f aca="false">IF(Sens!$J$5199&gt;0,Sens!$J$5200/Sens!$J$5199,Sens!$J$5196)</f>
        <v>11.3646467172794</v>
      </c>
      <c r="K5202" s="36" t="n">
        <f aca="false">IF(Sens!$K$5199&gt;0,Sens!$K$5200/Sens!$K$5199,Sens!$K$5196)</f>
        <v>11.3968090914432</v>
      </c>
      <c r="L5202" s="36" t="n">
        <f aca="false">IF(Sens!$L$5199&gt;0,Sens!$L$5200/Sens!$L$5199,Sens!$L$5196)</f>
        <v>11.4110891181192</v>
      </c>
      <c r="M5202" s="36" t="n">
        <f aca="false">IF(Sens!$M$5199&gt;0,Sens!$M$5200/Sens!$M$5199,Sens!$M$5196)</f>
        <v>11.4148191458201</v>
      </c>
    </row>
    <row r="5203" customFormat="false" ht="17.15" hidden="false" customHeight="false" outlineLevel="0" collapsed="false">
      <c r="A5203" s="5" t="s">
        <v>611</v>
      </c>
      <c r="B5203" s="0" t="s">
        <v>173</v>
      </c>
      <c r="F5203" s="36" t="n">
        <f aca="false">IF(Sens!$F$5199&gt;0,Sens!$F$5201/Sens!$F$5199,Sens!$F$5197)</f>
        <v>1.98263481314457</v>
      </c>
      <c r="G5203" s="36" t="n">
        <f aca="false">IF(Sens!$G$5199&gt;0,Sens!$G$5201/Sens!$G$5199,Sens!$G$5197)</f>
        <v>1.98263481314457</v>
      </c>
      <c r="H5203" s="36" t="n">
        <f aca="false">IF(Sens!$H$5199&gt;0,Sens!$H$5201/Sens!$H$5199,Sens!$H$5197)</f>
        <v>2.00111160233948</v>
      </c>
      <c r="I5203" s="36" t="n">
        <f aca="false">IF(Sens!$I$5199&gt;0,Sens!$I$5201/Sens!$I$5199,Sens!$I$5197)</f>
        <v>2.01589303369541</v>
      </c>
      <c r="J5203" s="36" t="n">
        <f aca="false">IF(Sens!$J$5199&gt;0,Sens!$J$5201/Sens!$J$5199,Sens!$J$5197)</f>
        <v>2.02222793284795</v>
      </c>
      <c r="K5203" s="36" t="n">
        <f aca="false">IF(Sens!$K$5199&gt;0,Sens!$K$5201/Sens!$K$5199,Sens!$K$5197)</f>
        <v>2.02489065478573</v>
      </c>
      <c r="L5203" s="36" t="n">
        <f aca="false">IF(Sens!$L$5199&gt;0,Sens!$L$5201/Sens!$L$5199,Sens!$L$5197)</f>
        <v>2.0260728977417</v>
      </c>
      <c r="M5203" s="36" t="n">
        <f aca="false">IF(Sens!$M$5199&gt;0,Sens!$M$5201/Sens!$M$5199,Sens!$M$5197)</f>
        <v>2.02638170661685</v>
      </c>
    </row>
    <row r="5204" customFormat="false" ht="17.15" hidden="false" customHeight="false" outlineLevel="0" collapsed="false">
      <c r="A5204" s="15" t="s">
        <v>612</v>
      </c>
      <c r="B5204" s="14" t="s">
        <v>173</v>
      </c>
      <c r="C5204" s="14"/>
      <c r="D5204" s="14"/>
      <c r="E5204" s="14"/>
      <c r="F5204" s="37" t="n">
        <f aca="false">Sens!$F$5202*k_B</f>
        <v>10.7987645808025</v>
      </c>
      <c r="G5204" s="37" t="n">
        <f aca="false">Sens!$G$5202*k_B</f>
        <v>10.7987645808025</v>
      </c>
      <c r="H5204" s="37" t="n">
        <f aca="false">Sens!$H$5202*k_B</f>
        <v>11.0201444540452</v>
      </c>
      <c r="I5204" s="37" t="n">
        <f aca="false">Sens!$I$5202*k_B</f>
        <v>11.1972483526393</v>
      </c>
      <c r="J5204" s="37" t="n">
        <f aca="false">Sens!$J$5202*k_B</f>
        <v>11.2731500234653</v>
      </c>
      <c r="K5204" s="37" t="n">
        <f aca="false">Sens!$K$5202*k_B</f>
        <v>11.3050534585724</v>
      </c>
      <c r="L5204" s="37" t="n">
        <f aca="false">Sens!$L$5202*k_B</f>
        <v>11.3192185168503</v>
      </c>
      <c r="M5204" s="37" t="n">
        <f aca="false">Sens!$M$5202*k_B</f>
        <v>11.3229185141234</v>
      </c>
      <c r="N5204" s="14"/>
      <c r="O5204" s="14"/>
      <c r="P5204" s="5" t="s">
        <v>613</v>
      </c>
    </row>
    <row r="5205" customFormat="false" ht="17.15" hidden="false" customHeight="false" outlineLevel="0" collapsed="false">
      <c r="A5205" s="5" t="s">
        <v>614</v>
      </c>
      <c r="B5205" s="0" t="s">
        <v>129</v>
      </c>
      <c r="F5205" s="32" t="n">
        <f aca="false">Sens!$F$5199/2</f>
        <v>908.575</v>
      </c>
      <c r="H5205" s="32" t="n">
        <f aca="false">(Sens!$G$5199+Sens!$H$5199)/2</f>
        <v>3634.3</v>
      </c>
      <c r="I5205" s="32" t="n">
        <f aca="false">(Sens!$H$5199+Sens!$I$5199)/2</f>
        <v>7268.6</v>
      </c>
      <c r="J5205" s="32" t="n">
        <f aca="false">(Sens!$I$5199+Sens!$J$5199)/2</f>
        <v>10902.9</v>
      </c>
      <c r="K5205" s="32" t="n">
        <f aca="false">(Sens!$J$5199+Sens!$K$5199)/2</f>
        <v>14005.4835833333</v>
      </c>
      <c r="L5205" s="32" t="n">
        <f aca="false">(Sens!$K$5199+Sens!$L$5199)/2</f>
        <v>16044.6343333333</v>
      </c>
      <c r="M5205" s="32" t="n">
        <f aca="false">(Sens!$L$5199+Sens!$M$5199)/2</f>
        <v>17020.35225</v>
      </c>
    </row>
    <row r="5206" customFormat="false" ht="17.15" hidden="false" customHeight="false" outlineLevel="0" collapsed="false">
      <c r="A5206" s="1" t="s">
        <v>615</v>
      </c>
    </row>
    <row r="5207" customFormat="false" ht="17.15" hidden="false" customHeight="false" outlineLevel="0" collapsed="false">
      <c r="A5207" s="1" t="s">
        <v>616</v>
      </c>
      <c r="B5207" s="8" t="s">
        <v>86</v>
      </c>
      <c r="C5207" s="38" t="n">
        <f aca="false">Sens!$C$5190*rpm_open*Sens!$C$5191/1000</f>
        <v>2.32100535697364</v>
      </c>
      <c r="D5207" s="38" t="n">
        <f aca="false">Sens!$D$5190*rpm_open*Sens!$D$5191/1000</f>
        <v>8.70377008865116</v>
      </c>
      <c r="E5207" s="38" t="n">
        <f aca="false">Sens!$E$5190*rpm_open*Sens!$E$5191/1000</f>
        <v>8.51035297557002</v>
      </c>
      <c r="F5207" s="38" t="n">
        <f aca="false">(mw_open*rpm_open+Sens!$F$5205*Sens!$F$5204)*Sens!$F$5191/1000</f>
        <v>14.9634336447205</v>
      </c>
      <c r="G5207" s="38" t="n">
        <f aca="false">Sens!$E$5207+Sens!$F$5207</f>
        <v>23.4737866202905</v>
      </c>
      <c r="H5207" s="38" t="n">
        <f aca="false">(mw_open*rpm_open+Sens!$H$5205*Sens!$H$5204)/1000</f>
        <v>60.1658907497746</v>
      </c>
      <c r="I5207" s="38" t="n">
        <f aca="false">(mw_open*rpm_open+Sens!$I$5205*Sens!$I$5204)/1000</f>
        <v>101.503699136432</v>
      </c>
      <c r="J5207" s="38" t="n">
        <f aca="false">(mw_open*rpm_open+Sens!$J$5205*Sens!$J$5204)/1000</f>
        <v>143.025407151278</v>
      </c>
      <c r="K5207" s="38" t="n">
        <f aca="false">(mw_open*rpm_open+Sens!$K$5205*Sens!$K$5204)/1000</f>
        <v>178.44812038318</v>
      </c>
      <c r="L5207" s="38" t="n">
        <f aca="false">(mw_open*rpm_open+Sens!$L$5205*Sens!$L$5204)/1000</f>
        <v>201.728101802396</v>
      </c>
      <c r="M5207" s="38" t="n">
        <f aca="false">(mw_open*rpm_open+Sens!$M$5205*Sens!$M$5204)/1000</f>
        <v>212.835441368865</v>
      </c>
      <c r="N5207" s="38" t="n">
        <f aca="false">Sens!$N$5190*rpm_open*Sens!$N$5191/1000</f>
        <v>3.04631953102791</v>
      </c>
      <c r="O5207" s="38" t="n">
        <f aca="false">Sens!$O$5190*rpm_open*Sens!$O$5191/1000</f>
        <v>5.65745055762326</v>
      </c>
      <c r="P5207" s="5" t="s">
        <v>617</v>
      </c>
    </row>
    <row r="5208" customFormat="false" ht="17.15" hidden="false" customHeight="false" outlineLevel="0" collapsed="false">
      <c r="A5208" s="5" t="s">
        <v>618</v>
      </c>
      <c r="B5208" s="0" t="s">
        <v>173</v>
      </c>
      <c r="C5208" s="36" t="n">
        <f aca="false">Sens!$C$5207*1000/(Sens!$C$5190*Sens!$C$5191)</f>
        <v>9.67085565405685</v>
      </c>
      <c r="D5208" s="36" t="n">
        <f aca="false">Sens!$D$5207*1000/(Sens!$D$5190*Sens!$D$5191)</f>
        <v>9.67085565405685</v>
      </c>
      <c r="E5208" s="36" t="n">
        <f aca="false">Sens!$E$5207*1000/(Sens!$E$5190*Sens!$E$5191)</f>
        <v>9.67085565405685</v>
      </c>
      <c r="F5208" s="36" t="n">
        <f aca="false">Sens!$F$5207*1000/(Sens!$F$5190*Sens!$F$5191)</f>
        <v>10.0137581588017</v>
      </c>
      <c r="G5208" s="36" t="n">
        <f aca="false">Sens!$G$5207*1000/(Sens!$G$5190*Sens!$G$5191)</f>
        <v>9.88666562928478</v>
      </c>
      <c r="H5208" s="36" t="n">
        <f aca="false">Sens!$H$5207*1000/(Sens!$H$5190*Sens!$H$5191)</f>
        <v>10.5290045586992</v>
      </c>
      <c r="I5208" s="36" t="n">
        <f aca="false">Sens!$I$5207*1000/(Sens!$I$5190*Sens!$I$5191)</f>
        <v>10.8576363451674</v>
      </c>
      <c r="J5208" s="36" t="n">
        <f aca="false">Sens!$J$5207*1000/(Sens!$J$5190*Sens!$J$5191)</f>
        <v>11.0164452588619</v>
      </c>
      <c r="K5208" s="36" t="n">
        <f aca="false">Sens!$K$5207*1000/(Sens!$K$5190*Sens!$K$5191)</f>
        <v>11.0937367508227</v>
      </c>
      <c r="L5208" s="36" t="n">
        <f aca="false">Sens!$L$5207*1000/(Sens!$L$5190*Sens!$L$5191)</f>
        <v>11.1300508519168</v>
      </c>
      <c r="M5208" s="36" t="n">
        <f aca="false">Sens!$M$5207*1000/(Sens!$M$5190*Sens!$M$5191)</f>
        <v>11.1430113216297</v>
      </c>
      <c r="N5208" s="36" t="n">
        <f aca="false">Sens!$N$5207*1000/(Sens!$N$5190*Sens!$N$5191)</f>
        <v>9.67085565405685</v>
      </c>
      <c r="O5208" s="36" t="n">
        <f aca="false">Sens!$O$5207*1000/(Sens!$O$5190*Sens!$O$5191)</f>
        <v>9.67085565405685</v>
      </c>
    </row>
    <row r="5209" customFormat="false" ht="17.15" hidden="false" customHeight="false" outlineLevel="0" collapsed="false">
      <c r="A5209" s="0" t="s">
        <v>619</v>
      </c>
      <c r="B5209" s="0" t="s">
        <v>86</v>
      </c>
      <c r="C5209" s="38" t="n">
        <f aca="false">Sens!$C$5190/ext_sh*(ox_open+rent_mw)*Sens!$C$5191/1000</f>
        <v>0.642569210675032</v>
      </c>
      <c r="D5209" s="38" t="n">
        <f aca="false">Sens!$D$5190/ext_sh*(ox_open+rent_mw)*Sens!$D$5191/1000</f>
        <v>2.40963454003137</v>
      </c>
      <c r="E5209" s="38" t="n">
        <f aca="false">Sens!$E$5190/ext_sh*(ox_open+rent_mw)*Sens!$E$5191/1000</f>
        <v>2.35608710580845</v>
      </c>
      <c r="F5209" s="38" t="n">
        <f aca="false">((mw_open*ox_open+Sens!$F$5205*Sens!$F$5203)/ext_sh+Sens!$F$5190/ext_sh*rent_mw)*Sens!$F$5191/1000</f>
        <v>4.05421991106232</v>
      </c>
      <c r="G5209" s="38" t="n">
        <f aca="false">Sens!$E$5209+Sens!$F$5209</f>
        <v>6.41030701687077</v>
      </c>
      <c r="H5209" s="38" t="n">
        <f aca="false">((mw_open*ox_open+Sens!$H$5205*Sens!$H$5203)/ext_sh+Sens!$H$5190/ext_sh*rent_mw)*Sens!$H$5191/1000</f>
        <v>15.8108975546616</v>
      </c>
      <c r="I5209" s="38" t="n">
        <f aca="false">((mw_open*ox_open+Sens!$I$5205*Sens!$I$5203)/ext_sh+Sens!$I$5190/ext_sh*rent_mw)*Sens!$I$5191/1000</f>
        <v>26.1871623400817</v>
      </c>
      <c r="J5209" s="38" t="n">
        <f aca="false">((mw_open*ox_open+Sens!$J$5205*Sens!$J$5203)/ext_sh+Sens!$J$5190/ext_sh*rent_mw)*Sens!$J$5191/1000</f>
        <v>36.5826128954935</v>
      </c>
      <c r="K5209" s="38" t="n">
        <f aca="false">((mw_open*ox_open+Sens!$K$5205*Sens!$K$5203)/ext_sh+Sens!$K$5190/ext_sh*rent_mw)*Sens!$K$5191/1000</f>
        <v>45.4546361137628</v>
      </c>
      <c r="L5209" s="38" t="n">
        <f aca="false">((mw_open*ox_open+Sens!$L$5205*Sens!$L$5203)/ext_sh+Sens!$L$5190/ext_sh*rent_mw)*Sens!$L$5191/1000</f>
        <v>51.2855695554452</v>
      </c>
      <c r="M5209" s="38" t="n">
        <f aca="false">((mw_open*ox_open+Sens!$M$5205*Sens!$M$5203)/ext_sh+Sens!$M$5190/ext_sh*rent_mw)*Sens!$M$5191/1000</f>
        <v>54.0722927838398</v>
      </c>
      <c r="N5209" s="38" t="n">
        <f aca="false">Sens!$N$5190/ext_sh*(ox_open+rent_mw)*Sens!$N$5191/1000</f>
        <v>0.84337208901098</v>
      </c>
      <c r="O5209" s="38" t="n">
        <f aca="false">Sens!$O$5190/ext_sh*(ox_open+rent_mw)*Sens!$O$5191/1000</f>
        <v>1.56626245102039</v>
      </c>
    </row>
    <row r="5210" customFormat="false" ht="17.15" hidden="false" customHeight="false" outlineLevel="0" collapsed="false">
      <c r="A5210" s="0" t="s">
        <v>620</v>
      </c>
      <c r="B5210" s="0" t="s">
        <v>86</v>
      </c>
      <c r="C5210" s="38" t="n">
        <f aca="false">Q!$D$7</f>
        <v>107.556</v>
      </c>
      <c r="D5210" s="38" t="n">
        <f aca="false">Q!$E$7</f>
        <v>128.725</v>
      </c>
      <c r="E5210" s="38" t="n">
        <f aca="false">Q!$P$7</f>
        <v>79.819</v>
      </c>
      <c r="N5210" s="38" t="n">
        <f aca="false">Q!$N$7</f>
        <v>60.14</v>
      </c>
      <c r="O5210" s="38" t="n">
        <f aca="false">Q!$O$7</f>
        <v>68.585</v>
      </c>
    </row>
    <row r="5211" customFormat="false" ht="17.15" hidden="false" customHeight="false" outlineLevel="0" collapsed="false">
      <c r="A5211" s="1" t="s">
        <v>621</v>
      </c>
      <c r="B5211" s="8" t="s">
        <v>86</v>
      </c>
      <c r="C5211" s="38" t="n">
        <f aca="false">Sens!$C$5210-Sens!$C$5207</f>
        <v>105.234994643026</v>
      </c>
      <c r="D5211" s="38" t="n">
        <f aca="false">Sens!$D$5210-Sens!$D$5207</f>
        <v>120.021229911349</v>
      </c>
      <c r="E5211" s="38" t="n">
        <f aca="false">Sens!$E$5210-Sens!$E$5207</f>
        <v>71.30864702443</v>
      </c>
      <c r="F5211" s="38" t="n">
        <f aca="false">Sens!$O$5211*(1+Sens!$F$5212)</f>
        <v>71.7692997942464</v>
      </c>
      <c r="G5211" s="38" t="n">
        <f aca="false">Sens!$E$5211+Sens!$F$5211</f>
        <v>143.077946818676</v>
      </c>
      <c r="H5211" s="38" t="n">
        <f aca="false">Sens!$G$5211*(1+Sens!$H$5212)</f>
        <v>161.017077079203</v>
      </c>
      <c r="I5211" s="38" t="n">
        <f aca="false">Sens!$H$5211*(1+Sens!$I$5212)</f>
        <v>178.769759521457</v>
      </c>
      <c r="J5211" s="38" t="n">
        <f aca="false">Sens!$I$5211*(1+Sens!$J$5212)</f>
        <v>195.775538045907</v>
      </c>
      <c r="K5211" s="38" t="n">
        <f aca="false">Sens!$J$5211*(1+Sens!$K$5212)</f>
        <v>211.43758108958</v>
      </c>
      <c r="L5211" s="38" t="n">
        <f aca="false">Sens!$K$5211*(1+Sens!$L$5212)</f>
        <v>228.352587576746</v>
      </c>
      <c r="M5211" s="38" t="n">
        <f aca="false">Sens!$L$5211*(1+Sens!$M$5212)</f>
        <v>246.620794582886</v>
      </c>
      <c r="N5211" s="38" t="n">
        <f aca="false">Sens!$N$5210-Sens!$N$5207</f>
        <v>57.0936804689721</v>
      </c>
      <c r="O5211" s="38" t="n">
        <f aca="false">Sens!$O$5210-Sens!$O$5207</f>
        <v>62.9275494423768</v>
      </c>
      <c r="P5211" s="5" t="s">
        <v>622</v>
      </c>
    </row>
    <row r="5212" customFormat="false" ht="17.15" hidden="false" customHeight="false" outlineLevel="0" collapsed="false">
      <c r="A5212" s="0" t="s">
        <v>623</v>
      </c>
      <c r="B5212" s="0" t="s">
        <v>52</v>
      </c>
      <c r="D5212" s="13" t="n">
        <f aca="false">Sens!$D$5211/Sens!$C$5211-1</f>
        <v>0.140506827776062</v>
      </c>
      <c r="E5212" s="13" t="n">
        <f aca="false">Sens!$E$5211/Sens!$N$5211-1</f>
        <v>0.248976181579029</v>
      </c>
      <c r="F5212" s="13" t="n">
        <f aca="false">Sens!$D$5212</f>
        <v>0.140506827776062</v>
      </c>
      <c r="G5212" s="13" t="n">
        <f aca="false">Sens!$G$5211/Sens!$D$5211-1</f>
        <v>0.19210532106993</v>
      </c>
      <c r="H5212" s="13" t="n">
        <f aca="false">Sens!$F$5212+(g_awso_lt-Sens!$F$5212)*1/4</f>
        <v>0.125380120832046</v>
      </c>
      <c r="I5212" s="13" t="n">
        <f aca="false">Sens!$F$5212+(g_awso_lt-Sens!$F$5212)*2/4</f>
        <v>0.110253413888031</v>
      </c>
      <c r="J5212" s="13" t="n">
        <f aca="false">Sens!$F$5212+(g_awso_lt-Sens!$F$5212)*3/4</f>
        <v>0.0951267069440154</v>
      </c>
      <c r="K5212" s="13" t="n">
        <f aca="false">Sens!$F$5212+(g_awso_lt-Sens!$F$5212)*4/4</f>
        <v>0.08</v>
      </c>
      <c r="L5212" s="13" t="n">
        <f aca="false">g_awso_lt</f>
        <v>0.08</v>
      </c>
      <c r="M5212" s="13" t="n">
        <f aca="false">g_awso_lt</f>
        <v>0.08</v>
      </c>
      <c r="P5212" s="5" t="s">
        <v>624</v>
      </c>
    </row>
    <row r="5213" customFormat="false" ht="17.15" hidden="false" customHeight="false" outlineLevel="0" collapsed="false">
      <c r="A5213" s="1" t="s">
        <v>625</v>
      </c>
    </row>
    <row r="5214" customFormat="false" ht="17.15" hidden="false" customHeight="false" outlineLevel="0" collapsed="false">
      <c r="A5214" s="0" t="s">
        <v>626</v>
      </c>
      <c r="B5214" s="0" t="s">
        <v>86</v>
      </c>
      <c r="F5214" s="38" t="n">
        <f aca="false">cx_rt*Sens!$F$5179+cx_awso*Sens!$F$5211</f>
        <v>34.9734495387866</v>
      </c>
    </row>
    <row r="5215" customFormat="false" ht="17.15" hidden="false" customHeight="false" outlineLevel="0" collapsed="false">
      <c r="A5215" s="0" t="s">
        <v>627</v>
      </c>
      <c r="B5215" s="0" t="s">
        <v>52</v>
      </c>
      <c r="C5215" s="13" t="n">
        <f aca="false">tk_cx_h100/(tk_cx_h100+tk_fac*(1-colo_sh))</f>
        <v>0.730756458006641</v>
      </c>
      <c r="D5215" s="13" t="n">
        <f aca="false">tk_cx_h100/(tk_cx_h100+tk_fac*(1-colo_sh))</f>
        <v>0.730756458006641</v>
      </c>
      <c r="E5215" s="13" t="n">
        <f aca="false">Sens!$F$5215</f>
        <v>0.760792334328868</v>
      </c>
      <c r="F5215" s="13" t="n">
        <f aca="false">Sens!$F$5198/(Sens!$F$5198+tk_fac*(1-colo_sh))</f>
        <v>0.760792334328868</v>
      </c>
      <c r="G5215" s="13" t="n">
        <f aca="false">Sens!$G$5198/(Sens!$G$5198+tk_fac*(1-colo_sh))</f>
        <v>0.760792334328868</v>
      </c>
      <c r="H5215" s="13" t="n">
        <f aca="false">Sens!$H$5198/(Sens!$H$5198+tk_fac*(1-colo_sh))</f>
        <v>0.768110668862996</v>
      </c>
      <c r="I5215" s="13" t="n">
        <f aca="false">Sens!$I$5198/(Sens!$I$5198+tk_fac*(1-colo_sh))</f>
        <v>0.77499450139483</v>
      </c>
      <c r="J5215" s="13" t="n">
        <f aca="false">Sens!$J$5198/(Sens!$J$5198+tk_fac*(1-colo_sh))</f>
        <v>0.77499450139483</v>
      </c>
      <c r="K5215" s="13" t="n">
        <f aca="false">Sens!$K$5198/(Sens!$K$5198+tk_fac*(1-colo_sh))</f>
        <v>0.77499450139483</v>
      </c>
      <c r="L5215" s="13" t="n">
        <f aca="false">Sens!$L$5198/(Sens!$L$5198+tk_fac*(1-colo_sh))</f>
        <v>0.77499450139483</v>
      </c>
      <c r="M5215" s="13" t="n">
        <f aca="false">Sens!$M$5198/(Sens!$M$5198+tk_fac*(1-colo_sh))</f>
        <v>0.77499450139483</v>
      </c>
    </row>
    <row r="5216" customFormat="false" ht="17.15" hidden="false" customHeight="false" outlineLevel="0" collapsed="false">
      <c r="A5216" s="1" t="s">
        <v>628</v>
      </c>
      <c r="B5216" s="8" t="s">
        <v>86</v>
      </c>
      <c r="C5216" s="38" t="n">
        <f aca="false">Q!$D$46-cx_rt*Q!$D$16-cx_awso*Sens!$C$5211</f>
        <v>25.2781053077374</v>
      </c>
      <c r="D5216" s="38" t="n">
        <f aca="false">Q!$E$46-cx_rt*Q!$E$16-cx_awso*Sens!$D$5211</f>
        <v>69.5686316310026</v>
      </c>
      <c r="E5216" s="38" t="n">
        <f aca="false">Q!$P$46-cx_rt*Q!$P$16-cx_awso*Sens!$E$5211</f>
        <v>64.1899206485108</v>
      </c>
      <c r="F5216" s="38" t="n">
        <f aca="false">MAX(Sens!$F$5193*(Sens!$F$5198+tk_fac*(1-colo_sh))/1000,capex_g26-Q!$P$46-Sens!$F$5214)</f>
        <v>96.2481299895</v>
      </c>
      <c r="G5216" s="38" t="n">
        <f aca="false">Sens!$E$5216+Sens!$F$5216</f>
        <v>160.438050638011</v>
      </c>
      <c r="H5216" s="38" t="n">
        <f aca="false">Sens!$H$5193*(Sens!$H$5198+tk_fac*(1-colo_sh))/1000+Sens!$H$5217</f>
        <v>198.57136494475</v>
      </c>
      <c r="I5216" s="38" t="n">
        <f aca="false">Sens!$I$5193*(Sens!$I$5198+tk_fac*(1-colo_sh))/1000+Sens!$I$5217</f>
        <v>204.6464699105</v>
      </c>
      <c r="J5216" s="38" t="n">
        <f aca="false">Sens!$J$5193*(Sens!$J$5198+tk_fac*(1-colo_sh))/1000+Sens!$J$5217</f>
        <v>209.8832381105</v>
      </c>
      <c r="K5216" s="38" t="n">
        <f aca="false">Sens!$K$5193*(Sens!$K$5198+tk_fac*(1-colo_sh))/1000+Sens!$K$5217</f>
        <v>155.238385275201</v>
      </c>
      <c r="L5216" s="38" t="n">
        <f aca="false">Sens!$L$5193*(Sens!$L$5198+tk_fac*(1-colo_sh))/1000+Sens!$L$5217</f>
        <v>132.014141639902</v>
      </c>
      <c r="M5216" s="38" t="n">
        <f aca="false">Sens!$M$5193*(Sens!$M$5198+tk_fac*(1-colo_sh))/1000+Sens!$M$5217</f>
        <v>132.230981659852</v>
      </c>
      <c r="P5216" s="5" t="s">
        <v>629</v>
      </c>
      <c r="R5216" s="38" t="n">
        <f aca="false">Q!$C$46-cx_rt*Q!$C$16-cx_awso*(Q!$C$7-mw_ye23/2*rpm_open/1000)</f>
        <v>1.50429979529945</v>
      </c>
      <c r="S5216" s="38" t="n">
        <f aca="false">Sens!$C$5216</f>
        <v>25.2781053077374</v>
      </c>
      <c r="T5216" s="38" t="n">
        <f aca="false">Sens!$D$5216</f>
        <v>69.5686316310026</v>
      </c>
      <c r="U5216" s="38" t="n">
        <f aca="false">Sens!$G$5216</f>
        <v>160.438050638011</v>
      </c>
      <c r="V5216" s="38" t="n">
        <f aca="false">Sens!$H$5216</f>
        <v>198.57136494475</v>
      </c>
      <c r="W5216" s="38" t="n">
        <f aca="false">Sens!$I$5216</f>
        <v>204.6464699105</v>
      </c>
      <c r="X5216" s="38" t="n">
        <f aca="false">Sens!$J$5216</f>
        <v>209.8832381105</v>
      </c>
      <c r="Y5216" s="38" t="n">
        <f aca="false">Sens!$K$5216</f>
        <v>155.238385275201</v>
      </c>
      <c r="Z5216" s="38" t="n">
        <f aca="false">Sens!$L$5216</f>
        <v>132.014141639902</v>
      </c>
      <c r="AA5216" s="38" t="n">
        <f aca="false">Sens!$M$5216</f>
        <v>132.230981659852</v>
      </c>
    </row>
    <row r="5217" customFormat="false" ht="17.15" hidden="false" customHeight="false" outlineLevel="0" collapsed="false">
      <c r="A5217" s="0" t="s">
        <v>630</v>
      </c>
      <c r="B5217" s="0" t="s">
        <v>86</v>
      </c>
      <c r="H5217" s="38" t="n">
        <f aca="false">SUMPRODUCT(--(Sens!$R$5186:$AA$5186=2027-tk_life),Sens!$R$5193:$AA$5193)*Sens!$H$5198/1000</f>
        <v>0</v>
      </c>
      <c r="I5217" s="38" t="n">
        <f aca="false">SUMPRODUCT(--(Sens!$R$5186:$AA$5186=2028-tk_life),Sens!$R$5193:$AA$5193)*Sens!$I$5198/1000</f>
        <v>0</v>
      </c>
      <c r="J5217" s="38" t="n">
        <f aca="false">SUMPRODUCT(--(Sens!$R$5186:$AA$5186=2029-tk_life),Sens!$R$5193:$AA$5193)*Sens!$J$5198/1000</f>
        <v>5.2367682</v>
      </c>
      <c r="K5217" s="38" t="n">
        <f aca="false">SUMPRODUCT(--(Sens!$R$5186:$AA$5186=2030-tk_life),Sens!$R$5193:$AA$5193)*Sens!$K$5198/1000</f>
        <v>10.4735364</v>
      </c>
      <c r="L5217" s="38" t="n">
        <f aca="false">SUMPRODUCT(--(Sens!$R$5186:$AA$5186=2031-tk_life),Sens!$R$5193:$AA$5193)*Sens!$L$5198/1000</f>
        <v>47.1309138</v>
      </c>
      <c r="M5217" s="38" t="n">
        <f aca="false">SUMPRODUCT(--(Sens!$R$5186:$AA$5186=2032-tk_life),Sens!$R$5193:$AA$5193)*Sens!$M$5198/1000</f>
        <v>107.22937485525</v>
      </c>
    </row>
    <row r="5218" customFormat="false" ht="17.15" hidden="false" customHeight="false" outlineLevel="0" collapsed="false">
      <c r="A5218" s="0" t="s">
        <v>631</v>
      </c>
      <c r="B5218" s="0" t="s">
        <v>86</v>
      </c>
      <c r="C5218" s="38" t="n">
        <f aca="false">MIN(Sens!$C$5216,Sens!$C$5193*(tk_cx_h100+tk_fac*(1-colo_sh))/1000)</f>
        <v>11.2938642</v>
      </c>
      <c r="D5218" s="38" t="n">
        <f aca="false">MIN(Sens!$D$5216,Sens!$D$5193*(tk_cx_h100+tk_fac*(1-colo_sh))/1000)</f>
        <v>50.8223889</v>
      </c>
      <c r="E5218" s="38" t="n">
        <f aca="false">MIN(Sens!$E$5216,Sens!$E$5193*(Sens!$F$5198+tk_fac*(1-colo_sh))/1000)</f>
        <v>33.8985792</v>
      </c>
      <c r="F5218" s="38" t="n">
        <f aca="false">Sens!$F$5216</f>
        <v>96.2481299895</v>
      </c>
      <c r="G5218" s="38" t="n">
        <f aca="false">Sens!$E$5218+Sens!$F$5218</f>
        <v>130.1467091895</v>
      </c>
      <c r="H5218" s="38" t="n">
        <f aca="false">Sens!$H$5216</f>
        <v>198.57136494475</v>
      </c>
      <c r="I5218" s="38" t="n">
        <f aca="false">Sens!$I$5216</f>
        <v>204.6464699105</v>
      </c>
      <c r="J5218" s="38" t="n">
        <f aca="false">Sens!$J$5216</f>
        <v>209.8832381105</v>
      </c>
      <c r="K5218" s="38" t="n">
        <f aca="false">Sens!$K$5216</f>
        <v>155.238385275201</v>
      </c>
      <c r="L5218" s="38" t="n">
        <f aca="false">Sens!$L$5216</f>
        <v>132.014141639902</v>
      </c>
      <c r="M5218" s="38" t="n">
        <f aca="false">Sens!$M$5216</f>
        <v>132.230981659852</v>
      </c>
      <c r="P5218" s="5" t="s">
        <v>632</v>
      </c>
      <c r="R5218" s="38" t="n">
        <f aca="false">MIN(Sens!$R$5216,Sens!$R$5193*(tk_cx_h100+tk_fac*(1-colo_sh))/1000)</f>
        <v>1.50429979529945</v>
      </c>
      <c r="S5218" s="38" t="n">
        <f aca="false">Sens!$C$5218</f>
        <v>11.2938642</v>
      </c>
      <c r="T5218" s="38" t="n">
        <f aca="false">Sens!$D$5218</f>
        <v>50.8223889</v>
      </c>
      <c r="U5218" s="38" t="n">
        <f aca="false">Sens!$G$5218</f>
        <v>130.1467091895</v>
      </c>
      <c r="V5218" s="38" t="n">
        <f aca="false">Sens!$H$5218</f>
        <v>198.57136494475</v>
      </c>
      <c r="W5218" s="38" t="n">
        <f aca="false">Sens!$I$5218</f>
        <v>204.6464699105</v>
      </c>
      <c r="X5218" s="38" t="n">
        <f aca="false">Sens!$J$5218</f>
        <v>209.8832381105</v>
      </c>
      <c r="Y5218" s="38" t="n">
        <f aca="false">Sens!$K$5218</f>
        <v>155.238385275201</v>
      </c>
      <c r="Z5218" s="38" t="n">
        <f aca="false">Sens!$L$5218</f>
        <v>132.014141639902</v>
      </c>
      <c r="AA5218" s="38" t="n">
        <f aca="false">Sens!$M$5218</f>
        <v>132.230981659852</v>
      </c>
    </row>
    <row r="5219" customFormat="false" ht="17.15" hidden="false" customHeight="false" outlineLevel="0" collapsed="false">
      <c r="A5219" s="5" t="s">
        <v>633</v>
      </c>
      <c r="B5219" s="0" t="s">
        <v>86</v>
      </c>
      <c r="C5219" s="38" t="n">
        <f aca="false">Sens!$C$5216-Sens!$C$5218</f>
        <v>13.9842411077374</v>
      </c>
      <c r="D5219" s="38" t="n">
        <f aca="false">Sens!$D$5216-Sens!$D$5218</f>
        <v>18.7462427310026</v>
      </c>
      <c r="E5219" s="38" t="n">
        <f aca="false">Sens!$E$5216-Sens!$E$5218</f>
        <v>30.2913414485108</v>
      </c>
      <c r="F5219" s="38" t="n">
        <f aca="false">Sens!$F$5216-Sens!$F$5218</f>
        <v>0</v>
      </c>
      <c r="G5219" s="38" t="n">
        <f aca="false">Sens!$G$5216-Sens!$G$5218</f>
        <v>30.2913414485108</v>
      </c>
      <c r="H5219" s="38" t="n">
        <f aca="false">Sens!$H$5216-Sens!$H$5218</f>
        <v>0</v>
      </c>
      <c r="I5219" s="38" t="n">
        <f aca="false">Sens!$I$5216-Sens!$I$5218</f>
        <v>0</v>
      </c>
      <c r="J5219" s="38" t="n">
        <f aca="false">Sens!$J$5216-Sens!$J$5218</f>
        <v>0</v>
      </c>
      <c r="K5219" s="38" t="n">
        <f aca="false">Sens!$K$5216-Sens!$K$5218</f>
        <v>0</v>
      </c>
      <c r="L5219" s="38" t="n">
        <f aca="false">Sens!$L$5216-Sens!$L$5218</f>
        <v>0</v>
      </c>
      <c r="M5219" s="38" t="n">
        <f aca="false">Sens!$M$5216-Sens!$M$5218</f>
        <v>0</v>
      </c>
    </row>
    <row r="5220" customFormat="false" ht="17.15" hidden="false" customHeight="false" outlineLevel="0" collapsed="false">
      <c r="A5220" s="5" t="s">
        <v>634</v>
      </c>
      <c r="B5220" s="0" t="s">
        <v>86</v>
      </c>
      <c r="C5220" s="38" t="n">
        <f aca="false">Sens!$C$5218*Sens!$C$5215</f>
        <v>8.2530642</v>
      </c>
      <c r="D5220" s="38" t="n">
        <f aca="false">Sens!$D$5218*Sens!$D$5215</f>
        <v>37.1387889</v>
      </c>
      <c r="E5220" s="38" t="n">
        <f aca="false">Sens!$E$5218*Sens!$E$5215</f>
        <v>25.7897792</v>
      </c>
      <c r="F5220" s="38" t="n">
        <f aca="false">Sens!$F$5218*Sens!$F$5215</f>
        <v>73.2248394895</v>
      </c>
      <c r="G5220" s="38" t="n">
        <f aca="false">Sens!$E$5220+Sens!$F$5220</f>
        <v>99.0146186895</v>
      </c>
      <c r="H5220" s="38" t="n">
        <f aca="false">(Sens!$H$5218-Sens!$H$5217)*Sens!$H$5215+Sens!$H$5217</f>
        <v>152.52478394475</v>
      </c>
      <c r="I5220" s="38" t="n">
        <f aca="false">(Sens!$I$5218-Sens!$I$5217)*Sens!$I$5215+Sens!$I$5217</f>
        <v>158.5998889105</v>
      </c>
      <c r="J5220" s="38" t="n">
        <f aca="false">(Sens!$J$5218-Sens!$J$5217)*Sens!$J$5215+Sens!$J$5217</f>
        <v>163.8366571105</v>
      </c>
      <c r="K5220" s="38" t="n">
        <f aca="false">(Sens!$K$5218-Sens!$K$5217)*Sens!$K$5215+Sens!$K$5217</f>
        <v>122.665498273534</v>
      </c>
      <c r="L5220" s="38" t="n">
        <f aca="false">(Sens!$L$5218-Sens!$L$5217)*Sens!$L$5215+Sens!$L$5217</f>
        <v>112.914948636568</v>
      </c>
      <c r="M5220" s="38" t="n">
        <f aca="false">(Sens!$M$5218-Sens!$M$5217)*Sens!$M$5215+Sens!$M$5217</f>
        <v>126.605482654852</v>
      </c>
      <c r="R5220" s="38" t="n">
        <f aca="false">Sens!$R$5218*Sens!$C$5215</f>
        <v>1.09927679019314</v>
      </c>
      <c r="S5220" s="38" t="n">
        <f aca="false">Sens!$C$5220</f>
        <v>8.2530642</v>
      </c>
      <c r="T5220" s="38" t="n">
        <f aca="false">Sens!$D$5220</f>
        <v>37.1387889</v>
      </c>
      <c r="U5220" s="38" t="n">
        <f aca="false">Sens!$G$5220</f>
        <v>99.0146186895</v>
      </c>
      <c r="V5220" s="38" t="n">
        <f aca="false">Sens!$H$5220</f>
        <v>152.52478394475</v>
      </c>
      <c r="W5220" s="38" t="n">
        <f aca="false">Sens!$I$5220</f>
        <v>158.5998889105</v>
      </c>
      <c r="X5220" s="38" t="n">
        <f aca="false">Sens!$J$5220</f>
        <v>163.8366571105</v>
      </c>
      <c r="Y5220" s="38" t="n">
        <f aca="false">Sens!$K$5220</f>
        <v>122.665498273534</v>
      </c>
      <c r="Z5220" s="38" t="n">
        <f aca="false">Sens!$L$5220</f>
        <v>112.914948636568</v>
      </c>
      <c r="AA5220" s="38" t="n">
        <f aca="false">Sens!$M$5220</f>
        <v>126.605482654852</v>
      </c>
    </row>
    <row r="5221" customFormat="false" ht="15" hidden="false" customHeight="false" outlineLevel="0" collapsed="false">
      <c r="A5221" s="5" t="s">
        <v>635</v>
      </c>
      <c r="B5221" s="0" t="s">
        <v>86</v>
      </c>
      <c r="C5221" s="38" t="n">
        <f aca="false">Sens!$C$5218-Sens!$C$5220</f>
        <v>3.0408</v>
      </c>
      <c r="D5221" s="38" t="n">
        <f aca="false">Sens!$D$5218-Sens!$D$5220</f>
        <v>13.6836</v>
      </c>
      <c r="E5221" s="38" t="n">
        <f aca="false">Sens!$E$5218-Sens!$E$5220</f>
        <v>8.1088</v>
      </c>
      <c r="F5221" s="38" t="n">
        <f aca="false">Sens!$F$5218-Sens!$F$5220</f>
        <v>23.0232905</v>
      </c>
      <c r="G5221" s="38" t="n">
        <f aca="false">Sens!$G$5218-Sens!$G$5220</f>
        <v>31.1320905</v>
      </c>
      <c r="H5221" s="38" t="n">
        <f aca="false">Sens!$H$5218-Sens!$H$5220</f>
        <v>46.046581</v>
      </c>
      <c r="I5221" s="38" t="n">
        <f aca="false">Sens!$I$5218-Sens!$I$5220</f>
        <v>46.046581</v>
      </c>
      <c r="J5221" s="38" t="n">
        <f aca="false">Sens!$J$5218-Sens!$J$5220</f>
        <v>46.046581</v>
      </c>
      <c r="K5221" s="38" t="n">
        <f aca="false">Sens!$K$5218-Sens!$K$5220</f>
        <v>32.5728870016667</v>
      </c>
      <c r="L5221" s="38" t="n">
        <f aca="false">Sens!$L$5218-Sens!$L$5220</f>
        <v>19.0991930033334</v>
      </c>
      <c r="M5221" s="38" t="n">
        <f aca="false">Sens!$M$5218-Sens!$M$5220</f>
        <v>5.62549900499998</v>
      </c>
      <c r="R5221" s="38" t="n">
        <f aca="false">Sens!$R$5218-Sens!$R$5220</f>
        <v>0.405023005106309</v>
      </c>
      <c r="S5221" s="38" t="n">
        <f aca="false">Sens!$S$5218-Sens!$S$5220</f>
        <v>3.0408</v>
      </c>
      <c r="T5221" s="38" t="n">
        <f aca="false">Sens!$T$5218-Sens!$T$5220</f>
        <v>13.6836</v>
      </c>
      <c r="U5221" s="38" t="n">
        <f aca="false">Sens!$U$5218-Sens!$U$5220</f>
        <v>31.1320905</v>
      </c>
      <c r="V5221" s="38" t="n">
        <f aca="false">Sens!$V$5218-Sens!$V$5220</f>
        <v>46.046581</v>
      </c>
      <c r="W5221" s="38" t="n">
        <f aca="false">Sens!$W$5218-Sens!$W$5220</f>
        <v>46.046581</v>
      </c>
      <c r="X5221" s="38" t="n">
        <f aca="false">Sens!$X$5218-Sens!$X$5220</f>
        <v>46.046581</v>
      </c>
      <c r="Y5221" s="38" t="n">
        <f aca="false">Sens!$Y$5218-Sens!$Y$5220</f>
        <v>32.5728870016667</v>
      </c>
      <c r="Z5221" s="38" t="n">
        <f aca="false">Sens!$Z$5218-Sens!$Z$5220</f>
        <v>19.0991930033334</v>
      </c>
      <c r="AA5221" s="38" t="n">
        <f aca="false">Sens!$AA$5218-Sens!$AA$5220</f>
        <v>5.62549900499998</v>
      </c>
    </row>
    <row r="5222" customFormat="false" ht="17.15" hidden="false" customHeight="false" outlineLevel="0" collapsed="false">
      <c r="A5222" s="0" t="s">
        <v>636</v>
      </c>
      <c r="B5222" s="0" t="s">
        <v>52</v>
      </c>
      <c r="C5222" s="13" t="n">
        <f aca="false">Sens!$C$5216/Sens!$C$5338</f>
        <v>0.325505489553393</v>
      </c>
      <c r="D5222" s="13" t="n">
        <f aca="false">Sens!$D$5216/Sens!$D$5338</f>
        <v>0.54214956071542</v>
      </c>
      <c r="E5222" s="13" t="n">
        <f aca="false">Sens!$E$5216/Sens!$E$5338</f>
        <v>0.666492790452817</v>
      </c>
      <c r="F5222" s="13" t="n">
        <f aca="false">Sens!$F$5216/Sens!$F$5338</f>
        <v>0.733477910687338</v>
      </c>
      <c r="G5222" s="13" t="n">
        <f aca="false">Sens!$G$5216/Sens!$G$5338</f>
        <v>0.705124321514523</v>
      </c>
      <c r="H5222" s="13" t="n">
        <f aca="false">Sens!$H$5216/Sens!$H$5338</f>
        <v>0.726376041178204</v>
      </c>
      <c r="I5222" s="13" t="n">
        <f aca="false">Sens!$I$5216/Sens!$I$5338</f>
        <v>0.713099092661699</v>
      </c>
      <c r="J5222" s="13" t="n">
        <f aca="false">Sens!$J$5216/Sens!$J$5338</f>
        <v>0.701208348786245</v>
      </c>
      <c r="K5222" s="13" t="n">
        <f aca="false">Sens!$K$5216/Sens!$K$5338</f>
        <v>0.618338844562383</v>
      </c>
      <c r="L5222" s="13" t="n">
        <f aca="false">Sens!$L$5216/Sens!$L$5338</f>
        <v>0.562489158462506</v>
      </c>
      <c r="M5222" s="13" t="n">
        <f aca="false">Sens!$M$5216/Sens!$M$5338</f>
        <v>0.545751190895923</v>
      </c>
    </row>
    <row r="5223" customFormat="false" ht="17.15" hidden="false" customHeight="false" outlineLevel="0" collapsed="false">
      <c r="A5223" s="0" t="s">
        <v>637</v>
      </c>
      <c r="B5223" s="0" t="s">
        <v>86</v>
      </c>
      <c r="C5223" s="38" t="n">
        <f aca="false">Sens!$S$5223</f>
        <v>0.183212798365523</v>
      </c>
      <c r="D5223" s="38" t="n">
        <f aca="false">Sens!$T$5223</f>
        <v>1.55872349836552</v>
      </c>
      <c r="E5223" s="38" t="n">
        <f aca="false">Sens!$G$5223/2</f>
        <v>3.87426082418276</v>
      </c>
      <c r="F5223" s="38" t="n">
        <f aca="false">Sens!$G$5223/2</f>
        <v>3.87426082418276</v>
      </c>
      <c r="G5223" s="38" t="n">
        <f aca="false">Sens!$U$5223</f>
        <v>7.74852164836552</v>
      </c>
      <c r="H5223" s="38" t="n">
        <f aca="false">Sens!$V$5223</f>
        <v>24.2509580966155</v>
      </c>
      <c r="I5223" s="38" t="n">
        <f aca="false">Sens!$W$5223</f>
        <v>49.6717554207405</v>
      </c>
      <c r="J5223" s="38" t="n">
        <f aca="false">Sens!$X$5223</f>
        <v>76.1050702391572</v>
      </c>
      <c r="K5223" s="38" t="n">
        <f aca="false">Sens!$Y$5223</f>
        <v>103.227966959208</v>
      </c>
      <c r="L5223" s="38" t="n">
        <f aca="false">Sens!$Z$5223</f>
        <v>122.296705971464</v>
      </c>
      <c r="M5223" s="38" t="n">
        <f aca="false">Sens!$AA$5223</f>
        <v>134.926065927559</v>
      </c>
      <c r="N5223" s="38" t="n">
        <f aca="false">Sens!$D$5223/2</f>
        <v>0.779361749182762</v>
      </c>
      <c r="O5223" s="38" t="n">
        <f aca="false">Sens!$D$5223/2</f>
        <v>0.779361749182762</v>
      </c>
      <c r="R5223" s="38" t="n">
        <f aca="false">SUMPRODUCT(--(Sens!$R$5186:$AA$5186&lt;Sens!R$5186),--(Sens!$R$5186:$AA$5186&gt;=Sens!R$5186-tk_life),Sens!$R$5220:$AA$5220)/tk_life</f>
        <v>0</v>
      </c>
      <c r="S5223" s="38" t="n">
        <f aca="false">SUMPRODUCT(--(Sens!$R$5186:$AA$5186&lt;Sens!S$5186),--(Sens!$R$5186:$AA$5186&gt;=Sens!S$5186-tk_life),Sens!$R$5220:$AA$5220)/tk_life</f>
        <v>0.183212798365523</v>
      </c>
      <c r="T5223" s="38" t="n">
        <f aca="false">SUMPRODUCT(--(Sens!$R$5186:$AA$5186&lt;Sens!T$5186),--(Sens!$R$5186:$AA$5186&gt;=Sens!T$5186-tk_life),Sens!$R$5220:$AA$5220)/tk_life</f>
        <v>1.55872349836552</v>
      </c>
      <c r="U5223" s="38" t="n">
        <f aca="false">SUMPRODUCT(--(Sens!$R$5186:$AA$5186&lt;Sens!U$5186),--(Sens!$R$5186:$AA$5186&gt;=Sens!U$5186-tk_life),Sens!$R$5220:$AA$5220)/tk_life</f>
        <v>7.74852164836552</v>
      </c>
      <c r="V5223" s="38" t="n">
        <f aca="false">SUMPRODUCT(--(Sens!$R$5186:$AA$5186&lt;Sens!V$5186),--(Sens!$R$5186:$AA$5186&gt;=Sens!V$5186-tk_life),Sens!$R$5220:$AA$5220)/tk_life</f>
        <v>24.2509580966155</v>
      </c>
      <c r="W5223" s="38" t="n">
        <f aca="false">SUMPRODUCT(--(Sens!$R$5186:$AA$5186&lt;Sens!W$5186),--(Sens!$R$5186:$AA$5186&gt;=Sens!W$5186-tk_life),Sens!$R$5220:$AA$5220)/tk_life</f>
        <v>49.6717554207405</v>
      </c>
      <c r="X5223" s="38" t="n">
        <f aca="false">SUMPRODUCT(--(Sens!$R$5186:$AA$5186&lt;Sens!X$5186),--(Sens!$R$5186:$AA$5186&gt;=Sens!X$5186-tk_life),Sens!$R$5220:$AA$5220)/tk_life</f>
        <v>76.1050702391572</v>
      </c>
      <c r="Y5223" s="38" t="n">
        <f aca="false">SUMPRODUCT(--(Sens!$R$5186:$AA$5186&lt;Sens!Y$5186),--(Sens!$R$5186:$AA$5186&gt;=Sens!Y$5186-tk_life),Sens!$R$5220:$AA$5220)/tk_life</f>
        <v>103.227966959208</v>
      </c>
      <c r="Z5223" s="38" t="n">
        <f aca="false">SUMPRODUCT(--(Sens!$R$5186:$AA$5186&lt;Sens!Z$5186),--(Sens!$R$5186:$AA$5186&gt;=Sens!Z$5186-tk_life),Sens!$R$5220:$AA$5220)/tk_life</f>
        <v>122.296705971464</v>
      </c>
      <c r="AA5223" s="38" t="n">
        <f aca="false">SUMPRODUCT(--(Sens!$R$5186:$AA$5186&lt;Sens!AA$5186),--(Sens!$R$5186:$AA$5186&gt;=Sens!AA$5186-tk_life),Sens!$R$5220:$AA$5220)/tk_life</f>
        <v>134.926065927559</v>
      </c>
    </row>
    <row r="5224" customFormat="false" ht="17.15" hidden="false" customHeight="false" outlineLevel="0" collapsed="false">
      <c r="A5224" s="0" t="s">
        <v>638</v>
      </c>
      <c r="B5224" s="0" t="s">
        <v>86</v>
      </c>
      <c r="C5224" s="38" t="n">
        <f aca="false">Sens!$S$5224</f>
        <v>0.0202511502553155</v>
      </c>
      <c r="D5224" s="38" t="n">
        <f aca="false">Sens!$T$5224</f>
        <v>0.172291150255315</v>
      </c>
      <c r="E5224" s="38" t="n">
        <f aca="false">Sens!$G$5224/2</f>
        <v>0.428235575127658</v>
      </c>
      <c r="F5224" s="38" t="n">
        <f aca="false">Sens!$G$5224/2</f>
        <v>0.428235575127658</v>
      </c>
      <c r="G5224" s="38" t="n">
        <f aca="false">Sens!$U$5224</f>
        <v>0.856471150255315</v>
      </c>
      <c r="H5224" s="38" t="n">
        <f aca="false">Sens!$V$5224</f>
        <v>2.41307567525532</v>
      </c>
      <c r="I5224" s="38" t="n">
        <f aca="false">Sens!$W$5224</f>
        <v>4.71540472525532</v>
      </c>
      <c r="J5224" s="38" t="n">
        <f aca="false">Sens!$X$5224</f>
        <v>7.01773377525532</v>
      </c>
      <c r="K5224" s="38" t="n">
        <f aca="false">Sens!$Y$5224</f>
        <v>9.32006282525532</v>
      </c>
      <c r="L5224" s="38" t="n">
        <f aca="false">Sens!$Z$5224</f>
        <v>10.9487071753387</v>
      </c>
      <c r="M5224" s="38" t="n">
        <f aca="false">Sens!$AA$5224</f>
        <v>11.9036668255053</v>
      </c>
      <c r="N5224" s="38" t="n">
        <f aca="false">Sens!$D$5224/2</f>
        <v>0.0861455751276577</v>
      </c>
      <c r="O5224" s="38" t="n">
        <f aca="false">Sens!$D$5224/2</f>
        <v>0.0861455751276577</v>
      </c>
      <c r="R5224" s="38" t="n">
        <f aca="false">SUMPRODUCT(--(Sens!$R$5186:$AA$5186&lt;Sens!R$5186),Sens!$R$5221:$AA$5221)/fac_life</f>
        <v>0</v>
      </c>
      <c r="S5224" s="38" t="n">
        <f aca="false">SUMPRODUCT(--(Sens!$R$5186:$AA$5186&lt;Sens!S$5186),Sens!$R$5221:$AA$5221)/fac_life</f>
        <v>0.0202511502553155</v>
      </c>
      <c r="T5224" s="38" t="n">
        <f aca="false">SUMPRODUCT(--(Sens!$R$5186:$AA$5186&lt;Sens!T$5186),Sens!$R$5221:$AA$5221)/fac_life</f>
        <v>0.172291150255315</v>
      </c>
      <c r="U5224" s="38" t="n">
        <f aca="false">SUMPRODUCT(--(Sens!$R$5186:$AA$5186&lt;Sens!U$5186),Sens!$R$5221:$AA$5221)/fac_life</f>
        <v>0.856471150255315</v>
      </c>
      <c r="V5224" s="38" t="n">
        <f aca="false">SUMPRODUCT(--(Sens!$R$5186:$AA$5186&lt;Sens!V$5186),Sens!$R$5221:$AA$5221)/fac_life</f>
        <v>2.41307567525532</v>
      </c>
      <c r="W5224" s="38" t="n">
        <f aca="false">SUMPRODUCT(--(Sens!$R$5186:$AA$5186&lt;Sens!W$5186),Sens!$R$5221:$AA$5221)/fac_life</f>
        <v>4.71540472525532</v>
      </c>
      <c r="X5224" s="38" t="n">
        <f aca="false">SUMPRODUCT(--(Sens!$R$5186:$AA$5186&lt;Sens!X$5186),Sens!$R$5221:$AA$5221)/fac_life</f>
        <v>7.01773377525532</v>
      </c>
      <c r="Y5224" s="38" t="n">
        <f aca="false">SUMPRODUCT(--(Sens!$R$5186:$AA$5186&lt;Sens!Y$5186),Sens!$R$5221:$AA$5221)/fac_life</f>
        <v>9.32006282525532</v>
      </c>
      <c r="Z5224" s="38" t="n">
        <f aca="false">SUMPRODUCT(--(Sens!$R$5186:$AA$5186&lt;Sens!Z$5186),Sens!$R$5221:$AA$5221)/fac_life</f>
        <v>10.9487071753387</v>
      </c>
      <c r="AA5224" s="38" t="n">
        <f aca="false">SUMPRODUCT(--(Sens!$R$5186:$AA$5186&lt;Sens!AA$5186),Sens!$R$5221:$AA$5221)/fac_life</f>
        <v>11.9036668255053</v>
      </c>
    </row>
    <row r="5225" customFormat="false" ht="17.15" hidden="false" customHeight="false" outlineLevel="0" collapsed="false">
      <c r="A5225" s="1" t="s">
        <v>639</v>
      </c>
      <c r="B5225" s="8" t="s">
        <v>86</v>
      </c>
      <c r="C5225" s="38" t="n">
        <f aca="false">Sens!$C$5223+Sens!$C$5224</f>
        <v>0.203463948620839</v>
      </c>
      <c r="D5225" s="38" t="n">
        <f aca="false">Sens!$D$5223+Sens!$D$5224</f>
        <v>1.73101464862084</v>
      </c>
      <c r="E5225" s="38" t="n">
        <f aca="false">Sens!$E$5223+Sens!$E$5224</f>
        <v>4.30249639931042</v>
      </c>
      <c r="F5225" s="38" t="n">
        <f aca="false">Sens!$F$5223+Sens!$F$5224</f>
        <v>4.30249639931042</v>
      </c>
      <c r="G5225" s="38" t="n">
        <f aca="false">Sens!$G$5223+Sens!$G$5224</f>
        <v>8.60499279862084</v>
      </c>
      <c r="H5225" s="38" t="n">
        <f aca="false">Sens!$H$5223+Sens!$H$5224</f>
        <v>26.6640337718708</v>
      </c>
      <c r="I5225" s="38" t="n">
        <f aca="false">Sens!$I$5223+Sens!$I$5224</f>
        <v>54.3871601459959</v>
      </c>
      <c r="J5225" s="38" t="n">
        <f aca="false">Sens!$J$5223+Sens!$J$5224</f>
        <v>83.1228040144125</v>
      </c>
      <c r="K5225" s="38" t="n">
        <f aca="false">Sens!$K$5223+Sens!$K$5224</f>
        <v>112.548029784464</v>
      </c>
      <c r="L5225" s="38" t="n">
        <f aca="false">Sens!$L$5223+Sens!$L$5224</f>
        <v>133.245413146803</v>
      </c>
      <c r="M5225" s="38" t="n">
        <f aca="false">Sens!$M$5223+Sens!$M$5224</f>
        <v>146.829732753064</v>
      </c>
      <c r="N5225" s="38" t="n">
        <f aca="false">Sens!$N$5223+Sens!$N$5224</f>
        <v>0.865507324310419</v>
      </c>
      <c r="O5225" s="38" t="n">
        <f aca="false">Sens!$O$5223+Sens!$O$5224</f>
        <v>0.865507324310419</v>
      </c>
      <c r="R5225" s="38" t="n">
        <f aca="false">Sens!$R$5223+Sens!$R$5224</f>
        <v>0</v>
      </c>
      <c r="S5225" s="38" t="n">
        <f aca="false">Sens!$S$5223+Sens!$S$5224</f>
        <v>0.203463948620839</v>
      </c>
      <c r="T5225" s="38" t="n">
        <f aca="false">Sens!$T$5223+Sens!$T$5224</f>
        <v>1.73101464862084</v>
      </c>
      <c r="U5225" s="38" t="n">
        <f aca="false">Sens!$U$5223+Sens!$U$5224</f>
        <v>8.60499279862084</v>
      </c>
      <c r="V5225" s="38" t="n">
        <f aca="false">Sens!$V$5223+Sens!$V$5224</f>
        <v>26.6640337718708</v>
      </c>
      <c r="W5225" s="38" t="n">
        <f aca="false">Sens!$W$5223+Sens!$W$5224</f>
        <v>54.3871601459959</v>
      </c>
      <c r="X5225" s="38" t="n">
        <f aca="false">Sens!$X$5223+Sens!$X$5224</f>
        <v>83.1228040144125</v>
      </c>
      <c r="Y5225" s="38" t="n">
        <f aca="false">Sens!$Y$5223+Sens!$Y$5224</f>
        <v>112.548029784464</v>
      </c>
      <c r="Z5225" s="38" t="n">
        <f aca="false">Sens!$Z$5223+Sens!$Z$5224</f>
        <v>133.245413146803</v>
      </c>
      <c r="AA5225" s="38" t="n">
        <f aca="false">Sens!$AA$5223+Sens!$AA$5224</f>
        <v>146.829732753064</v>
      </c>
    </row>
    <row r="5226" customFormat="false" ht="17.15" hidden="false" customHeight="false" outlineLevel="0" collapsed="false">
      <c r="A5226" s="0" t="s">
        <v>640</v>
      </c>
      <c r="B5226" s="0" t="s">
        <v>86</v>
      </c>
      <c r="C5226" s="38" t="n">
        <f aca="false">Sens!$S$5226</f>
        <v>12.5947000466786</v>
      </c>
      <c r="D5226" s="38" t="n">
        <f aca="false">Sens!$T$5226</f>
        <v>61.6860742980578</v>
      </c>
      <c r="G5226" s="38" t="n">
        <f aca="false">Sens!$U$5226</f>
        <v>183.227790688937</v>
      </c>
      <c r="H5226" s="38" t="n">
        <f aca="false">Sens!$V$5226</f>
        <v>355.135121861816</v>
      </c>
      <c r="I5226" s="38" t="n">
        <f aca="false">Sens!$W$5226</f>
        <v>505.39443162632</v>
      </c>
      <c r="J5226" s="38" t="n">
        <f aca="false">Sens!$X$5226</f>
        <v>632.154865722408</v>
      </c>
      <c r="K5226" s="38" t="n">
        <f aca="false">Sens!$Y$5226</f>
        <v>674.845221213145</v>
      </c>
      <c r="L5226" s="38" t="n">
        <f aca="false">Sens!$Z$5226</f>
        <v>673.613949706244</v>
      </c>
      <c r="M5226" s="38" t="n">
        <f aca="false">Sens!$AA$5226</f>
        <v>659.015198613032</v>
      </c>
      <c r="R5226" s="38" t="n">
        <f aca="false">SUM(Sens!$R$5218:$R$5218)-SUM(Sens!$R$5225:$R$5225)</f>
        <v>1.50429979529945</v>
      </c>
      <c r="S5226" s="38" t="n">
        <f aca="false">SUM(Sens!$R$5218:$S$5218)-SUM(Sens!$R$5225:$S$5225)</f>
        <v>12.5947000466786</v>
      </c>
      <c r="T5226" s="38" t="n">
        <f aca="false">SUM(Sens!$R$5218:$T$5218)-SUM(Sens!$R$5225:$T$5225)</f>
        <v>61.6860742980578</v>
      </c>
      <c r="U5226" s="38" t="n">
        <f aca="false">SUM(Sens!$R$5218:$U$5218)-SUM(Sens!$R$5225:$U$5225)</f>
        <v>183.227790688937</v>
      </c>
      <c r="V5226" s="38" t="n">
        <f aca="false">SUM(Sens!$R$5218:$V$5218)-SUM(Sens!$R$5225:$V$5225)</f>
        <v>355.135121861816</v>
      </c>
      <c r="W5226" s="38" t="n">
        <f aca="false">SUM(Sens!$R$5218:$W$5218)-SUM(Sens!$R$5225:$W$5225)</f>
        <v>505.39443162632</v>
      </c>
      <c r="X5226" s="38" t="n">
        <f aca="false">SUM(Sens!$R$5218:$X$5218)-SUM(Sens!$R$5225:$X$5225)</f>
        <v>632.154865722408</v>
      </c>
      <c r="Y5226" s="38" t="n">
        <f aca="false">SUM(Sens!$R$5218:$Y$5218)-SUM(Sens!$R$5225:$Y$5225)</f>
        <v>674.845221213145</v>
      </c>
      <c r="Z5226" s="38" t="n">
        <f aca="false">SUM(Sens!$R$5218:$Z$5218)-SUM(Sens!$R$5225:$Z$5225)</f>
        <v>673.613949706244</v>
      </c>
      <c r="AA5226" s="38" t="n">
        <f aca="false">SUM(Sens!$R$5218:$AA$5218)-SUM(Sens!$R$5225:$AA$5225)</f>
        <v>659.015198613032</v>
      </c>
    </row>
    <row r="5227" customFormat="false" ht="17.15" hidden="false" customHeight="false" outlineLevel="0" collapsed="false">
      <c r="A5227" s="1" t="s">
        <v>641</v>
      </c>
    </row>
    <row r="5228" customFormat="false" ht="17.15" hidden="false" customHeight="false" outlineLevel="0" collapsed="false">
      <c r="A5228" s="0" t="s">
        <v>642</v>
      </c>
      <c r="B5228" s="0" t="s">
        <v>86</v>
      </c>
      <c r="C5228" s="38" t="n">
        <f aca="false">Sens!$C$5207-ext_sh*Sens!$C$5209</f>
        <v>1.80694998843362</v>
      </c>
      <c r="D5228" s="38" t="n">
        <f aca="false">Sens!$D$5207-ext_sh*Sens!$D$5209</f>
        <v>6.77606245662607</v>
      </c>
      <c r="E5228" s="38" t="n">
        <f aca="false">Sens!$E$5207-ext_sh*Sens!$E$5209</f>
        <v>6.62548329092326</v>
      </c>
      <c r="F5228" s="38" t="n">
        <f aca="false">Sens!$F$5207-ext_sh*Sens!$F$5209</f>
        <v>11.7200577158706</v>
      </c>
      <c r="G5228" s="38" t="n">
        <f aca="false">Sens!$G$5207-ext_sh*Sens!$G$5209</f>
        <v>18.3455410067939</v>
      </c>
      <c r="H5228" s="38" t="n">
        <f aca="false">Sens!$H$5207-ext_sh*Sens!$H$5209</f>
        <v>47.5171727060453</v>
      </c>
      <c r="I5228" s="38" t="n">
        <f aca="false">Sens!$I$5207-ext_sh*Sens!$I$5209</f>
        <v>80.5539692643667</v>
      </c>
      <c r="J5228" s="38" t="n">
        <f aca="false">Sens!$J$5207-ext_sh*Sens!$J$5209</f>
        <v>113.759316834883</v>
      </c>
      <c r="K5228" s="38" t="n">
        <f aca="false">Sens!$K$5207-ext_sh*Sens!$K$5209</f>
        <v>142.084411492169</v>
      </c>
      <c r="L5228" s="38" t="n">
        <f aca="false">Sens!$L$5207-ext_sh*Sens!$L$5209</f>
        <v>160.69964615804</v>
      </c>
      <c r="M5228" s="38" t="n">
        <f aca="false">Sens!$M$5207-ext_sh*Sens!$M$5209</f>
        <v>169.577607141793</v>
      </c>
      <c r="N5228" s="38" t="n">
        <f aca="false">Sens!$N$5207-ext_sh*Sens!$N$5209</f>
        <v>2.37162185981912</v>
      </c>
      <c r="O5228" s="38" t="n">
        <f aca="false">Sens!$O$5207-ext_sh*Sens!$O$5209</f>
        <v>4.40444059680694</v>
      </c>
    </row>
    <row r="5229" customFormat="false" ht="17.15" hidden="false" customHeight="false" outlineLevel="0" collapsed="false">
      <c r="A5229" s="1" t="s">
        <v>643</v>
      </c>
      <c r="B5229" s="8" t="s">
        <v>86</v>
      </c>
      <c r="C5229" s="38" t="n">
        <f aca="false">Sens!$C$5228-ext_sh*Sens!$C$5225</f>
        <v>1.64417882953695</v>
      </c>
      <c r="D5229" s="38" t="n">
        <f aca="false">Sens!$D$5228-ext_sh*Sens!$D$5225</f>
        <v>5.39125073772939</v>
      </c>
      <c r="E5229" s="38" t="n">
        <f aca="false">Sens!$E$5228-ext_sh*Sens!$E$5225</f>
        <v>3.18348617147493</v>
      </c>
      <c r="F5229" s="38" t="n">
        <f aca="false">Sens!$F$5228-ext_sh*Sens!$F$5225</f>
        <v>8.27806059642226</v>
      </c>
      <c r="G5229" s="38" t="n">
        <f aca="false">Sens!$G$5228-ext_sh*Sens!$G$5225</f>
        <v>11.4615467678972</v>
      </c>
      <c r="H5229" s="38" t="n">
        <f aca="false">Sens!$H$5228-ext_sh*Sens!$H$5225</f>
        <v>26.1859456885487</v>
      </c>
      <c r="I5229" s="38" t="n">
        <f aca="false">Sens!$I$5228-ext_sh*Sens!$I$5225</f>
        <v>37.04424114757</v>
      </c>
      <c r="J5229" s="38" t="n">
        <f aca="false">Sens!$J$5228-ext_sh*Sens!$J$5225</f>
        <v>47.2610736233534</v>
      </c>
      <c r="K5229" s="38" t="n">
        <f aca="false">Sens!$K$5228-ext_sh*Sens!$K$5225</f>
        <v>52.0459876645985</v>
      </c>
      <c r="L5229" s="38" t="n">
        <f aca="false">Sens!$L$5228-ext_sh*Sens!$L$5225</f>
        <v>54.1033156405981</v>
      </c>
      <c r="M5229" s="38" t="n">
        <f aca="false">Sens!$M$5228-ext_sh*Sens!$M$5225</f>
        <v>52.1138209393421</v>
      </c>
      <c r="N5229" s="38" t="n">
        <f aca="false">Sens!$N$5228-ext_sh*Sens!$N$5225</f>
        <v>1.67921600037079</v>
      </c>
      <c r="O5229" s="38" t="n">
        <f aca="false">Sens!$O$5228-ext_sh*Sens!$O$5225</f>
        <v>3.71203473735861</v>
      </c>
    </row>
    <row r="5230" customFormat="false" ht="17.15" hidden="false" customHeight="false" outlineLevel="0" collapsed="false">
      <c r="A5230" s="0" t="s">
        <v>644</v>
      </c>
      <c r="B5230" s="0" t="s">
        <v>52</v>
      </c>
      <c r="C5230" s="13" t="n">
        <f aca="false">Sens!$C$5229/Sens!$C$5207</f>
        <v>0.708390794789371</v>
      </c>
      <c r="D5230" s="13" t="n">
        <f aca="false">Sens!$D$5229/Sens!$D$5207</f>
        <v>0.619415573115729</v>
      </c>
      <c r="E5230" s="13" t="n">
        <f aca="false">Sens!$E$5229/Sens!$E$5207</f>
        <v>0.374072166056273</v>
      </c>
      <c r="F5230" s="13" t="n">
        <f aca="false">Sens!$F$5229/Sens!$F$5207</f>
        <v>0.553219320710057</v>
      </c>
      <c r="G5230" s="13" t="n">
        <f aca="false">Sens!$G$5229/Sens!$G$5207</f>
        <v>0.488270041527512</v>
      </c>
      <c r="H5230" s="13" t="n">
        <f aca="false">Sens!$H$5229/Sens!$H$5207</f>
        <v>0.435229086816882</v>
      </c>
      <c r="I5230" s="13" t="n">
        <f aca="false">Sens!$I$5229/Sens!$I$5207</f>
        <v>0.364954592421095</v>
      </c>
      <c r="J5230" s="13" t="n">
        <f aca="false">Sens!$J$5229/Sens!$J$5207</f>
        <v>0.330438308582232</v>
      </c>
      <c r="K5230" s="13" t="n">
        <f aca="false">Sens!$K$5229/Sens!$K$5207</f>
        <v>0.2916589289528</v>
      </c>
      <c r="L5230" s="13" t="n">
        <f aca="false">Sens!$L$5229/Sens!$L$5207</f>
        <v>0.268199200593258</v>
      </c>
      <c r="M5230" s="13" t="n">
        <f aca="false">Sens!$M$5229/Sens!$M$5207</f>
        <v>0.244854995033574</v>
      </c>
      <c r="N5230" s="13" t="n">
        <f aca="false">Sens!$N$5229/Sens!$N$5207</f>
        <v>0.551227795793364</v>
      </c>
      <c r="O5230" s="13" t="n">
        <f aca="false">Sens!$O$5229/Sens!$O$5207</f>
        <v>0.656132068597002</v>
      </c>
    </row>
    <row r="5231" customFormat="false" ht="17.15" hidden="false" customHeight="false" outlineLevel="0" collapsed="false">
      <c r="A5231" s="5" t="s">
        <v>645</v>
      </c>
      <c r="B5231" s="0" t="s">
        <v>86</v>
      </c>
      <c r="C5231" s="39" t="n">
        <v>0</v>
      </c>
      <c r="D5231" s="39" t="n">
        <v>0</v>
      </c>
      <c r="E5231" s="39" t="n">
        <v>0</v>
      </c>
      <c r="F5231" s="38" t="n">
        <f aca="false">IF(internal_ai_reading=2,1,0)*(1-ext_sh)/ext_sh*(mw_open*he_open+Sens!$F$5205*Sens!$F$5202)*Sens!$F$5191/1000</f>
        <v>3.77122048175818</v>
      </c>
      <c r="G5231" s="38" t="n">
        <f aca="false">Sens!$E$5231+Sens!$F$5231</f>
        <v>3.77122048175818</v>
      </c>
      <c r="H5231" s="38" t="n">
        <f aca="false">IF(internal_ai_reading=2,1,0)*(1-ext_sh)/ext_sh*(mw_open*he_open+Sens!$H$5205*Sens!$H$5202)*Sens!$H$5191/1000</f>
        <v>15.1635543609893</v>
      </c>
      <c r="I5231" s="38" t="n">
        <f aca="false">IF(internal_ai_reading=2,1,0)*(1-ext_sh)/ext_sh*(mw_open*he_open+Sens!$I$5205*Sens!$I$5202)*Sens!$I$5191/1000</f>
        <v>25.5818843619889</v>
      </c>
      <c r="J5231" s="38" t="n">
        <f aca="false">IF(internal_ai_reading=2,1,0)*(1-ext_sh)/ext_sh*(mw_open*he_open+Sens!$J$5205*Sens!$J$5202)*Sens!$J$5191/1000</f>
        <v>36.0465624179122</v>
      </c>
      <c r="K5231" s="38" t="n">
        <f aca="false">IF(internal_ai_reading=2,1,0)*(1-ext_sh)/ext_sh*(mw_open*he_open+Sens!$K$5205*Sens!$K$5202)*Sens!$K$5191/1000</f>
        <v>44.9741164026038</v>
      </c>
      <c r="L5231" s="38" t="n">
        <f aca="false">IF(internal_ai_reading=2,1,0)*(1-ext_sh)/ext_sh*(mw_open*he_open+Sens!$L$5205*Sens!$L$5202)*Sens!$L$5191/1000</f>
        <v>50.8413488057813</v>
      </c>
      <c r="M5231" s="38" t="n">
        <f aca="false">IF(internal_ai_reading=2,1,0)*(1-ext_sh)/ext_sh*(mw_open*he_open+Sens!$M$5205*Sens!$M$5202)*Sens!$M$5191/1000</f>
        <v>53.6407214274315</v>
      </c>
      <c r="N5231" s="39" t="n">
        <v>0</v>
      </c>
      <c r="O5231" s="39" t="n">
        <v>0</v>
      </c>
      <c r="P5231" s="8" t="s">
        <v>646</v>
      </c>
    </row>
    <row r="5232" customFormat="false" ht="17.15" hidden="false" customHeight="false" outlineLevel="0" collapsed="false">
      <c r="A5232" s="5" t="s">
        <v>647</v>
      </c>
      <c r="B5232" s="0" t="s">
        <v>86</v>
      </c>
      <c r="C5232" s="38" t="n">
        <f aca="false">(1-ext_sh)*(Sens!$C$5209+Sens!$C$5225)</f>
        <v>0.169206631859174</v>
      </c>
      <c r="D5232" s="38" t="n">
        <f aca="false">(1-ext_sh)*(Sens!$D$5209+Sens!$D$5225)</f>
        <v>0.828129837730442</v>
      </c>
      <c r="E5232" s="38" t="n">
        <f aca="false">(1-ext_sh)*(Sens!$E$5209+Sens!$E$5225)</f>
        <v>1.33171670102377</v>
      </c>
      <c r="F5232" s="38" t="n">
        <f aca="false">(1-ext_sh)*(Sens!$F$5209+Sens!$F$5225)</f>
        <v>1.67134326207455</v>
      </c>
      <c r="G5232" s="38" t="n">
        <f aca="false">(1-ext_sh)*(Sens!$G$5209+Sens!$G$5225)</f>
        <v>3.00305996309832</v>
      </c>
      <c r="H5232" s="38" t="n">
        <f aca="false">(1-ext_sh)*(Sens!$H$5209+Sens!$H$5225)</f>
        <v>8.49498626530648</v>
      </c>
      <c r="I5232" s="38" t="n">
        <f aca="false">(1-ext_sh)*(Sens!$I$5209+Sens!$I$5225)</f>
        <v>16.1148644972155</v>
      </c>
      <c r="J5232" s="38" t="n">
        <f aca="false">(1-ext_sh)*(Sens!$J$5209+Sens!$J$5225)</f>
        <v>23.9410833819812</v>
      </c>
      <c r="K5232" s="38" t="n">
        <f aca="false">(1-ext_sh)*(Sens!$K$5209+Sens!$K$5225)</f>
        <v>31.6005331796453</v>
      </c>
      <c r="L5232" s="38" t="n">
        <f aca="false">(1-ext_sh)*(Sens!$L$5209+Sens!$L$5225)</f>
        <v>36.9061965404496</v>
      </c>
      <c r="M5232" s="38" t="n">
        <f aca="false">(1-ext_sh)*(Sens!$M$5209+Sens!$M$5225)</f>
        <v>40.1804051073808</v>
      </c>
      <c r="N5232" s="38" t="n">
        <f aca="false">(1-ext_sh)*(Sens!$N$5209+Sens!$N$5225)</f>
        <v>0.34177588266428</v>
      </c>
      <c r="O5232" s="38" t="n">
        <f aca="false">(1-ext_sh)*(Sens!$O$5209+Sens!$O$5225)</f>
        <v>0.486353955066162</v>
      </c>
    </row>
    <row r="5233" customFormat="false" ht="17.15" hidden="false" customHeight="false" outlineLevel="0" collapsed="false">
      <c r="A5233" s="0" t="s">
        <v>648</v>
      </c>
      <c r="B5233" s="0" t="s">
        <v>86</v>
      </c>
      <c r="C5233" s="38" t="n">
        <f aca="false">Q!$D$24</f>
        <v>39.834</v>
      </c>
      <c r="D5233" s="38" t="n">
        <f aca="false">Q!$E$24</f>
        <v>45.606</v>
      </c>
      <c r="E5233" s="38" t="n">
        <f aca="false">Q!$P$24</f>
        <v>30.782</v>
      </c>
      <c r="N5233" s="38" t="n">
        <f aca="false">Q!$N$24</f>
        <v>21.707</v>
      </c>
      <c r="O5233" s="38" t="n">
        <f aca="false">Q!$O$24</f>
        <v>23.899</v>
      </c>
    </row>
    <row r="5234" customFormat="false" ht="17.15" hidden="false" customHeight="false" outlineLevel="0" collapsed="false">
      <c r="A5234" s="0" t="s">
        <v>649</v>
      </c>
      <c r="B5234" s="0" t="s">
        <v>86</v>
      </c>
      <c r="C5234" s="38" t="n">
        <f aca="false">Sens!$C$5233-Sens!$C$5229</f>
        <v>38.1898211704631</v>
      </c>
      <c r="D5234" s="38" t="n">
        <f aca="false">Sens!$D$5233-Sens!$D$5229</f>
        <v>40.2147492622706</v>
      </c>
      <c r="E5234" s="38" t="n">
        <f aca="false">Sens!$E$5233-Sens!$E$5229</f>
        <v>27.5985138285251</v>
      </c>
      <c r="F5234" s="38" t="n">
        <f aca="false">Sens!$F$5211*Sens!$F$5235</f>
        <v>25.5484769754606</v>
      </c>
      <c r="G5234" s="38" t="n">
        <f aca="false">Sens!$E$5234+Sens!$F$5234</f>
        <v>53.1469908039857</v>
      </c>
      <c r="H5234" s="38" t="n">
        <f aca="false">Sens!$H$5211*Sens!$H$5235</f>
        <v>57.3189525076539</v>
      </c>
      <c r="I5234" s="38" t="n">
        <f aca="false">Sens!$I$5211*Sens!$I$5235</f>
        <v>63.6385627021087</v>
      </c>
      <c r="J5234" s="38" t="n">
        <f aca="false">Sens!$J$5211*Sens!$J$5235</f>
        <v>69.6922896066105</v>
      </c>
      <c r="K5234" s="38" t="n">
        <f aca="false">Sens!$K$5211*Sens!$K$5235</f>
        <v>75.2676727751394</v>
      </c>
      <c r="L5234" s="38" t="n">
        <f aca="false">Sens!$L$5211*Sens!$L$5235</f>
        <v>81.2890865971505</v>
      </c>
      <c r="M5234" s="38" t="n">
        <f aca="false">Sens!$M$5211*Sens!$M$5235</f>
        <v>87.7922135249226</v>
      </c>
      <c r="N5234" s="38" t="n">
        <f aca="false">Sens!$N$5233-Sens!$N$5229</f>
        <v>20.0277839996292</v>
      </c>
      <c r="O5234" s="38" t="n">
        <f aca="false">Sens!$O$5233-Sens!$O$5229</f>
        <v>20.1869652626414</v>
      </c>
      <c r="P5234" s="5" t="s">
        <v>650</v>
      </c>
    </row>
    <row r="5235" customFormat="false" ht="17.15" hidden="false" customHeight="false" outlineLevel="0" collapsed="false">
      <c r="A5235" s="0" t="s">
        <v>651</v>
      </c>
      <c r="B5235" s="0" t="s">
        <v>52</v>
      </c>
      <c r="C5235" s="13" t="n">
        <f aca="false">Sens!$C$5234/Sens!$C$5211</f>
        <v>0.362900395443635</v>
      </c>
      <c r="D5235" s="13" t="n">
        <f aca="false">Sens!$D$5234/Sens!$D$5211</f>
        <v>0.335063632425483</v>
      </c>
      <c r="E5235" s="13" t="n">
        <f aca="false">Sens!$E$5234/Sens!$E$5211</f>
        <v>0.387028992698038</v>
      </c>
      <c r="F5235" s="13" t="n">
        <f aca="false">(Sens!$O$5234+Sens!$E$5234)/(Sens!$O$5211+Sens!$E$5211)</f>
        <v>0.355980580118587</v>
      </c>
      <c r="G5235" s="13" t="n">
        <f aca="false">Sens!$G$5234/Sens!$G$5211</f>
        <v>0.371454804780916</v>
      </c>
      <c r="H5235" s="13" t="n">
        <f aca="false">Sens!$F$5235</f>
        <v>0.355980580118587</v>
      </c>
      <c r="I5235" s="13" t="n">
        <f aca="false">Sens!$F$5235</f>
        <v>0.355980580118587</v>
      </c>
      <c r="J5235" s="13" t="n">
        <f aca="false">Sens!$F$5235</f>
        <v>0.355980580118587</v>
      </c>
      <c r="K5235" s="13" t="n">
        <f aca="false">Sens!$F$5235</f>
        <v>0.355980580118587</v>
      </c>
      <c r="L5235" s="13" t="n">
        <f aca="false">Sens!$F$5235</f>
        <v>0.355980580118587</v>
      </c>
      <c r="M5235" s="13" t="n">
        <f aca="false">Sens!$F$5235</f>
        <v>0.355980580118587</v>
      </c>
      <c r="N5235" s="13" t="n">
        <f aca="false">Sens!$N$5234/Sens!$N$5211</f>
        <v>0.35078810535806</v>
      </c>
      <c r="O5235" s="13" t="n">
        <f aca="false">Sens!$O$5234/Sens!$O$5211</f>
        <v>0.320796939361619</v>
      </c>
      <c r="P5235" s="8" t="s">
        <v>652</v>
      </c>
    </row>
    <row r="5236" customFormat="false" ht="17.15" hidden="false" customHeight="false" outlineLevel="0" collapsed="false">
      <c r="A5236" s="0" t="s">
        <v>653</v>
      </c>
      <c r="B5236" s="0" t="s">
        <v>52</v>
      </c>
      <c r="D5236" s="13" t="n">
        <f aca="false">(Q!$E$31-ext_sh*Sens!$D$5225)/Sens!$D$5211</f>
        <v>0.167180325480118</v>
      </c>
    </row>
    <row r="5237" customFormat="false" ht="17.15" hidden="false" customHeight="false" outlineLevel="0" collapsed="false">
      <c r="A5237" s="0" t="s">
        <v>654</v>
      </c>
      <c r="B5237" s="0" t="s">
        <v>86</v>
      </c>
      <c r="C5237" s="38" t="n">
        <f aca="false">Q!$D$31</f>
        <v>13.32</v>
      </c>
      <c r="D5237" s="38" t="n">
        <f aca="false">Q!$E$31</f>
        <v>21.45</v>
      </c>
      <c r="E5237" s="38" t="n">
        <f aca="false">Q!$P$31</f>
        <v>15.353</v>
      </c>
      <c r="F5237" s="38" t="n">
        <f aca="false">ext_sh*Sens!$F$5225+Sens!$D$5236*Sens!$F$5211</f>
        <v>15.4404120185306</v>
      </c>
      <c r="G5237" s="38" t="n">
        <f aca="false">Sens!$E$5237+Sens!$F$5237</f>
        <v>30.7934120185306</v>
      </c>
      <c r="H5237" s="38" t="n">
        <f aca="false">ext_sh*Sens!$H$5225+Sens!$D$5236*Sens!$H$5211</f>
        <v>48.250114371455</v>
      </c>
      <c r="I5237" s="38" t="n">
        <f aca="false">ext_sh*Sens!$I$5225+Sens!$D$5236*Sens!$I$5211</f>
        <v>73.3965146995963</v>
      </c>
      <c r="J5237" s="38" t="n">
        <f aca="false">ext_sh*Sens!$J$5225+Sens!$D$5236*Sens!$J$5211</f>
        <v>99.22806138309</v>
      </c>
      <c r="K5237" s="38" t="n">
        <f aca="false">ext_sh*Sens!$K$5225+Sens!$D$5236*Sens!$K$5211</f>
        <v>125.386627452856</v>
      </c>
      <c r="L5237" s="38" t="n">
        <f aca="false">ext_sh*Sens!$L$5225+Sens!$D$5236*Sens!$L$5211</f>
        <v>144.77239043275</v>
      </c>
      <c r="M5237" s="38" t="n">
        <f aca="false">ext_sh*Sens!$M$5225+Sens!$D$5236*Sens!$M$5211</f>
        <v>158.693930910983</v>
      </c>
      <c r="N5237" s="38" t="n">
        <f aca="false">Q!$N$31</f>
        <v>9.234</v>
      </c>
      <c r="O5237" s="38" t="n">
        <f aca="false">Q!$O$31</f>
        <v>12.216</v>
      </c>
    </row>
    <row r="5238" customFormat="false" ht="17.15" hidden="false" customHeight="false" outlineLevel="0" collapsed="false">
      <c r="A5238" s="1" t="s">
        <v>655</v>
      </c>
    </row>
    <row r="5239" customFormat="false" ht="17.15" hidden="false" customHeight="false" outlineLevel="0" collapsed="false">
      <c r="A5239" s="15" t="s">
        <v>656</v>
      </c>
      <c r="B5239" s="14" t="s">
        <v>52</v>
      </c>
      <c r="C5239" s="14"/>
      <c r="D5239" s="14"/>
      <c r="E5239" s="14"/>
      <c r="F5239" s="14"/>
      <c r="G5239" s="17" t="n">
        <f aca="false">Sens!$G$5229*(1-tax)/(ext_sh*(Sens!$D$5226+Sens!$G$5226)/2)</f>
        <v>0.0966870495301478</v>
      </c>
      <c r="H5239" s="17" t="n">
        <f aca="false">Sens!$H$5229*(1-tax)/(ext_sh*(Sens!$G$5226+Sens!$H$5226)/2)</f>
        <v>0.100492020334136</v>
      </c>
      <c r="I5239" s="17" t="n">
        <f aca="false">Sens!$I$5229*(1-tax)/(ext_sh*(Sens!$H$5226+Sens!$I$5226)/2)</f>
        <v>0.0889392292218236</v>
      </c>
      <c r="J5239" s="17" t="n">
        <f aca="false">Sens!$J$5229*(1-tax)/(ext_sh*(Sens!$I$5226+Sens!$J$5226)/2)</f>
        <v>0.0858364613777012</v>
      </c>
      <c r="K5239" s="17" t="n">
        <f aca="false">Sens!$K$5229*(1-tax)/(ext_sh*(Sens!$J$5226+Sens!$K$5226)/2)</f>
        <v>0.08227162714687</v>
      </c>
      <c r="L5239" s="17" t="n">
        <f aca="false">Sens!$L$5229*(1-tax)/(ext_sh*(Sens!$K$5226+Sens!$L$5226)/2)</f>
        <v>0.0828942732763872</v>
      </c>
      <c r="M5239" s="17" t="n">
        <f aca="false">Sens!$M$5229*(1-tax)/(ext_sh*(Sens!$L$5226+Sens!$M$5226)/2)</f>
        <v>0.0807945482347635</v>
      </c>
      <c r="N5239" s="14"/>
      <c r="O5239" s="14"/>
      <c r="P5239" s="8" t="s">
        <v>657</v>
      </c>
    </row>
    <row r="5240" customFormat="false" ht="17.15" hidden="false" customHeight="false" outlineLevel="0" collapsed="false">
      <c r="A5240" s="5" t="s">
        <v>658</v>
      </c>
      <c r="B5240" s="0" t="s">
        <v>57</v>
      </c>
      <c r="H5240" s="36" t="n">
        <f aca="false">Sens!$H$5207*1000/(mw_open*he_open+Sens!$H$5205*Sens!$H$5202)</f>
        <v>0.991949006767191</v>
      </c>
      <c r="I5240" s="36" t="n">
        <f aca="false">Sens!$I$5207*1000/(mw_open*he_open+Sens!$I$5205*Sens!$I$5202)</f>
        <v>0.991949006767191</v>
      </c>
      <c r="J5240" s="36" t="n">
        <f aca="false">Sens!$J$5207*1000/(mw_open*he_open+Sens!$J$5205*Sens!$J$5202)</f>
        <v>0.991949006767191</v>
      </c>
      <c r="K5240" s="36" t="n">
        <f aca="false">Sens!$K$5207*1000/(mw_open*he_open+Sens!$K$5205*Sens!$K$5202)</f>
        <v>0.991949006767191</v>
      </c>
      <c r="L5240" s="36" t="n">
        <f aca="false">Sens!$L$5207*1000/(mw_open*he_open+Sens!$L$5205*Sens!$L$5202)</f>
        <v>0.991949006767191</v>
      </c>
      <c r="M5240" s="36" t="n">
        <f aca="false">Sens!$M$5207*1000/(mw_open*he_open+Sens!$M$5205*Sens!$M$5202)</f>
        <v>0.991949006767191</v>
      </c>
    </row>
    <row r="5241" customFormat="false" ht="17.15" hidden="false" customHeight="false" outlineLevel="0" collapsed="false">
      <c r="A5241" s="5" t="s">
        <v>659</v>
      </c>
      <c r="B5241" s="0" t="s">
        <v>57</v>
      </c>
      <c r="H5241" s="36" t="n">
        <f aca="false">Sens!$H$5240*(Sens!$H$5207+(wacc+0.01)*ext_sh*(Sens!$G$5226+Sens!$H$5226)/2/(1-tax)-Sens!$H$5229)/Sens!$H$5207</f>
        <v>1.08992358944546</v>
      </c>
      <c r="I5241" s="36" t="n">
        <f aca="false">Sens!$I$5240*(Sens!$I$5207+(wacc+0.01)*ext_sh*(Sens!$H$5226+Sens!$I$5226)/2/(1-tax)-Sens!$I$5229)/Sens!$I$5207</f>
        <v>1.13179986654234</v>
      </c>
      <c r="J5241" s="36" t="n">
        <f aca="false">Sens!$J$5240*(Sens!$J$5207+(wacc+0.01)*ext_sh*(Sens!$I$5226+Sens!$J$5226)/2/(1-tax)-Sens!$J$5229)/Sens!$J$5207</f>
        <v>1.1349986737299</v>
      </c>
      <c r="K5241" s="36" t="n">
        <f aca="false">Sens!$K$5240*(Sens!$K$5207+(wacc+0.01)*ext_sh*(Sens!$J$5226+Sens!$K$5226)/2/(1-tax)-Sens!$K$5229)/Sens!$K$5207</f>
        <v>1.1362175176919</v>
      </c>
      <c r="L5241" s="36" t="n">
        <f aca="false">Sens!$L$5240*(Sens!$L$5207+(wacc+0.01)*ext_sh*(Sens!$K$5226+Sens!$L$5226)/2/(1-tax)-Sens!$L$5229)/Sens!$L$5207</f>
        <v>1.12161841179405</v>
      </c>
      <c r="M5241" s="36" t="n">
        <f aca="false">Sens!$M$5240*(Sens!$M$5207+(wacc+0.01)*ext_sh*(Sens!$L$5226+Sens!$M$5226)/2/(1-tax)-Sens!$M$5229)/Sens!$M$5207</f>
        <v>1.1197206738815</v>
      </c>
    </row>
    <row r="5242" customFormat="false" ht="17.15" hidden="false" customHeight="false" outlineLevel="0" collapsed="false">
      <c r="A5242" s="5" t="s">
        <v>660</v>
      </c>
      <c r="B5242" s="0" t="s">
        <v>52</v>
      </c>
      <c r="C5242" s="13" t="n">
        <f aca="false">Sens!$C$5208/tk_pq</f>
        <v>0.195316432429398</v>
      </c>
      <c r="D5242" s="13" t="n">
        <f aca="false">Sens!$D$5208/tk_pq</f>
        <v>0.195316432429398</v>
      </c>
      <c r="E5242" s="13" t="n">
        <f aca="false">Sens!$E$5208/tk_pq</f>
        <v>0.195316432429398</v>
      </c>
      <c r="F5242" s="13" t="n">
        <f aca="false">Sens!$F$5208/tk_pq</f>
        <v>0.202241827274866</v>
      </c>
      <c r="G5242" s="13" t="n">
        <f aca="false">Sens!$G$5208/tk_pq</f>
        <v>0.199675016194063</v>
      </c>
      <c r="H5242" s="13" t="n">
        <f aca="false">Sens!$H$5208/tk_pq</f>
        <v>0.212647947710325</v>
      </c>
      <c r="I5242" s="13" t="n">
        <f aca="false">Sens!$I$5208/tk_pq</f>
        <v>0.219285125475351</v>
      </c>
      <c r="J5242" s="13" t="n">
        <f aca="false">Sens!$J$5208/tk_pq</f>
        <v>0.222492493217189</v>
      </c>
      <c r="K5242" s="13" t="n">
        <f aca="false">Sens!$K$5208/tk_pq</f>
        <v>0.224053502812094</v>
      </c>
      <c r="L5242" s="13" t="n">
        <f aca="false">Sens!$L$5208/tk_pq</f>
        <v>0.224786916785614</v>
      </c>
      <c r="M5242" s="13" t="n">
        <f aca="false">Sens!$M$5208/tk_pq</f>
        <v>0.225048671566937</v>
      </c>
      <c r="N5242" s="13" t="n">
        <f aca="false">Sens!$N$5208/tk_pq</f>
        <v>0.195316432429398</v>
      </c>
      <c r="O5242" s="13" t="n">
        <f aca="false">Sens!$O$5208/tk_pq</f>
        <v>0.195316432429398</v>
      </c>
      <c r="P5242" s="5" t="s">
        <v>661</v>
      </c>
    </row>
    <row r="5245" customFormat="false" ht="17.15" hidden="false" customHeight="false" outlineLevel="0" collapsed="false">
      <c r="A5245" s="1" t="s">
        <v>690</v>
      </c>
    </row>
    <row r="5246" customFormat="false" ht="17.15" hidden="false" customHeight="false" outlineLevel="0" collapsed="false">
      <c r="A5246" s="0" t="s">
        <v>691</v>
      </c>
      <c r="B5246" s="0" t="s">
        <v>86</v>
      </c>
      <c r="C5246" s="38" t="n">
        <f aca="false">Sens!$C$5207</f>
        <v>2.32100535697364</v>
      </c>
      <c r="D5246" s="38" t="n">
        <f aca="false">Sens!$D$5207</f>
        <v>8.70377008865116</v>
      </c>
      <c r="E5246" s="38" t="n">
        <f aca="false">Sens!$E$5207</f>
        <v>8.51035297557002</v>
      </c>
      <c r="F5246" s="38" t="n">
        <f aca="false">Sens!$F$5207</f>
        <v>14.9634336447205</v>
      </c>
      <c r="G5246" s="38" t="n">
        <f aca="false">Sens!$G$5207</f>
        <v>23.4737866202905</v>
      </c>
      <c r="H5246" s="38" t="n">
        <f aca="false">Sens!$H$5207</f>
        <v>60.1658907497746</v>
      </c>
      <c r="I5246" s="38" t="n">
        <f aca="false">Sens!$I$5207</f>
        <v>101.503699136432</v>
      </c>
      <c r="J5246" s="38" t="n">
        <f aca="false">Sens!$J$5207</f>
        <v>143.025407151278</v>
      </c>
      <c r="K5246" s="38" t="n">
        <f aca="false">Sens!$K$5207</f>
        <v>178.44812038318</v>
      </c>
      <c r="L5246" s="38" t="n">
        <f aca="false">Sens!$L$5207</f>
        <v>201.728101802396</v>
      </c>
      <c r="M5246" s="38" t="n">
        <f aca="false">Sens!$M$5207</f>
        <v>212.835441368865</v>
      </c>
      <c r="N5246" s="38" t="n">
        <f aca="false">Sens!$N$5207</f>
        <v>3.04631953102791</v>
      </c>
      <c r="O5246" s="38" t="n">
        <f aca="false">Sens!$O$5207</f>
        <v>5.65745055762326</v>
      </c>
      <c r="P5246" s="8" t="s">
        <v>692</v>
      </c>
    </row>
    <row r="5247" customFormat="false" ht="17.15" hidden="false" customHeight="false" outlineLevel="0" collapsed="false">
      <c r="A5247" s="0" t="s">
        <v>693</v>
      </c>
      <c r="B5247" s="0" t="s">
        <v>86</v>
      </c>
      <c r="C5247" s="38" t="n">
        <f aca="false">Sens!$C$5211</f>
        <v>105.234994643026</v>
      </c>
      <c r="D5247" s="38" t="n">
        <f aca="false">Sens!$D$5211</f>
        <v>120.021229911349</v>
      </c>
      <c r="E5247" s="38" t="n">
        <f aca="false">Sens!$E$5211</f>
        <v>71.30864702443</v>
      </c>
      <c r="F5247" s="38" t="n">
        <f aca="false">Sens!$F$5211</f>
        <v>71.7692997942464</v>
      </c>
      <c r="G5247" s="38" t="n">
        <f aca="false">Sens!$G$5211</f>
        <v>143.077946818676</v>
      </c>
      <c r="H5247" s="38" t="n">
        <f aca="false">Sens!$H$5211</f>
        <v>161.017077079203</v>
      </c>
      <c r="I5247" s="38" t="n">
        <f aca="false">Sens!$I$5211</f>
        <v>178.769759521457</v>
      </c>
      <c r="J5247" s="38" t="n">
        <f aca="false">Sens!$J$5211</f>
        <v>195.775538045907</v>
      </c>
      <c r="K5247" s="38" t="n">
        <f aca="false">Sens!$K$5211</f>
        <v>211.43758108958</v>
      </c>
      <c r="L5247" s="38" t="n">
        <f aca="false">Sens!$L$5211</f>
        <v>228.352587576746</v>
      </c>
      <c r="M5247" s="38" t="n">
        <f aca="false">Sens!$M$5211</f>
        <v>246.620794582886</v>
      </c>
      <c r="N5247" s="38" t="n">
        <f aca="false">Sens!$N$5211</f>
        <v>57.0936804689721</v>
      </c>
      <c r="O5247" s="38" t="n">
        <f aca="false">Sens!$O$5211</f>
        <v>62.9275494423768</v>
      </c>
      <c r="P5247" s="8" t="s">
        <v>692</v>
      </c>
    </row>
    <row r="5248" customFormat="false" ht="17.15" hidden="false" customHeight="false" outlineLevel="0" collapsed="false">
      <c r="A5248" s="1" t="s">
        <v>516</v>
      </c>
      <c r="B5248" s="8" t="s">
        <v>86</v>
      </c>
      <c r="C5248" s="38" t="n">
        <f aca="false">Q!$D$7</f>
        <v>107.556</v>
      </c>
      <c r="D5248" s="38" t="n">
        <f aca="false">Q!$E$7</f>
        <v>128.725</v>
      </c>
      <c r="E5248" s="38" t="n">
        <f aca="false">Q!$P$7</f>
        <v>79.819</v>
      </c>
      <c r="F5248" s="38" t="n">
        <f aca="false">Sens!$F$5246+Sens!$F$5247</f>
        <v>86.7327334389669</v>
      </c>
      <c r="G5248" s="38" t="n">
        <f aca="false">Sens!$G$5246+Sens!$G$5247</f>
        <v>166.551733438967</v>
      </c>
      <c r="H5248" s="38" t="n">
        <f aca="false">Sens!$H$5246+Sens!$H$5247</f>
        <v>221.182967828978</v>
      </c>
      <c r="I5248" s="38" t="n">
        <f aca="false">Sens!$I$5246+Sens!$I$5247</f>
        <v>280.27345865789</v>
      </c>
      <c r="J5248" s="38" t="n">
        <f aca="false">Sens!$J$5246+Sens!$J$5247</f>
        <v>338.800945197185</v>
      </c>
      <c r="K5248" s="38" t="n">
        <f aca="false">Sens!$K$5246+Sens!$K$5247</f>
        <v>389.88570147276</v>
      </c>
      <c r="L5248" s="38" t="n">
        <f aca="false">Sens!$L$5246+Sens!$L$5247</f>
        <v>430.080689379143</v>
      </c>
      <c r="M5248" s="38" t="n">
        <f aca="false">Sens!$M$5246+Sens!$M$5247</f>
        <v>459.456235951751</v>
      </c>
      <c r="N5248" s="38" t="n">
        <f aca="false">Q!$N$7</f>
        <v>60.14</v>
      </c>
      <c r="O5248" s="38" t="n">
        <f aca="false">Q!$O$7</f>
        <v>68.585</v>
      </c>
      <c r="P5248" s="5" t="s">
        <v>694</v>
      </c>
    </row>
    <row r="5249" customFormat="false" ht="15" hidden="false" customHeight="false" outlineLevel="0" collapsed="false">
      <c r="A5249" s="3" t="s">
        <v>695</v>
      </c>
      <c r="B5249" s="8" t="s">
        <v>86</v>
      </c>
      <c r="C5249" s="38" t="n">
        <f aca="false">Q!$D$8</f>
        <v>637.959</v>
      </c>
      <c r="D5249" s="38" t="n">
        <f aca="false">Q!$E$8</f>
        <v>716.924</v>
      </c>
      <c r="E5249" s="38" t="n">
        <f aca="false">Q!$P$8</f>
        <v>382.125</v>
      </c>
      <c r="F5249" s="38" t="n">
        <f aca="false">Sens!$F$5179+Sens!$F$5248</f>
        <v>435.780975084504</v>
      </c>
      <c r="G5249" s="38" t="n">
        <f aca="false">Sens!$G$5179+Sens!$G$5248</f>
        <v>817.905975084504</v>
      </c>
      <c r="H5249" s="38" t="n">
        <f aca="false">Sens!$H$5179+Sens!$H$5248</f>
        <v>942.279857350364</v>
      </c>
      <c r="I5249" s="38" t="n">
        <f aca="false">Sens!$I$5179+Sens!$I$5248</f>
        <v>1068.80284981042</v>
      </c>
      <c r="J5249" s="38" t="n">
        <f aca="false">Sens!$J$5179+Sens!$J$5248</f>
        <v>1189.90935093863</v>
      </c>
      <c r="K5249" s="38" t="n">
        <f aca="false">Sens!$K$5179+Sens!$K$5248</f>
        <v>1296.06215690385</v>
      </c>
      <c r="L5249" s="38" t="n">
        <f aca="false">Sens!$L$5179+Sens!$L$5248</f>
        <v>1395.17379585473</v>
      </c>
      <c r="M5249" s="38" t="n">
        <f aca="false">Sens!$M$5179+Sens!$M$5248</f>
        <v>1487.60414389864</v>
      </c>
      <c r="N5249" s="38" t="n">
        <f aca="false">Q!$N$8</f>
        <v>323.369</v>
      </c>
      <c r="O5249" s="38" t="n">
        <f aca="false">Q!$O$8</f>
        <v>393.555</v>
      </c>
    </row>
    <row r="5250" customFormat="false" ht="17.15" hidden="false" customHeight="false" outlineLevel="0" collapsed="false">
      <c r="A5250" s="24" t="s">
        <v>703</v>
      </c>
      <c r="B5250" s="25" t="s">
        <v>86</v>
      </c>
      <c r="C5250" s="41" t="n">
        <f aca="false">Sens!$C$5179-(Sens!$C$5181+Sens!$C$5182)</f>
        <v>0</v>
      </c>
      <c r="D5250" s="41" t="n">
        <f aca="false">Sens!$D$5179-(Sens!$D$5181+Sens!$D$5182)</f>
        <v>0</v>
      </c>
      <c r="E5250" s="41" t="n">
        <f aca="false">Sens!$E$5179-(Sens!$E$5181+Sens!$E$5182)</f>
        <v>0</v>
      </c>
      <c r="F5250" s="41" t="n">
        <f aca="false">Sens!$F$5179-(Sens!$F$5181+Sens!$F$5182)</f>
        <v>0</v>
      </c>
      <c r="G5250" s="41" t="n">
        <f aca="false">Sens!$G$5179-(Sens!$G$5181+Sens!$G$5182)</f>
        <v>0</v>
      </c>
      <c r="H5250" s="41" t="n">
        <f aca="false">Sens!$H$5179-(Sens!$H$5181+Sens!$H$5182)</f>
        <v>0</v>
      </c>
      <c r="I5250" s="41" t="n">
        <f aca="false">Sens!$I$5179-(Sens!$I$5181+Sens!$I$5182)</f>
        <v>0</v>
      </c>
      <c r="J5250" s="41" t="n">
        <f aca="false">Sens!$J$5179-(Sens!$J$5181+Sens!$J$5182)</f>
        <v>0</v>
      </c>
      <c r="K5250" s="41" t="n">
        <f aca="false">Sens!$K$5179-(Sens!$K$5181+Sens!$K$5182)</f>
        <v>0</v>
      </c>
      <c r="L5250" s="41" t="n">
        <f aca="false">Sens!$L$5179-(Sens!$L$5181+Sens!$L$5182)</f>
        <v>0</v>
      </c>
      <c r="M5250" s="41" t="n">
        <f aca="false">Sens!$M$5179-(Sens!$M$5181+Sens!$M$5182)</f>
        <v>0</v>
      </c>
      <c r="N5250" s="41" t="n">
        <f aca="false">Sens!$N$5179-(Sens!$N$5181+Sens!$N$5182)</f>
        <v>0</v>
      </c>
      <c r="O5250" s="41" t="n">
        <f aca="false">Sens!$O$5179-(Sens!$O$5181+Sens!$O$5182)</f>
        <v>0</v>
      </c>
    </row>
    <row r="5251" customFormat="false" ht="17.15" hidden="false" customHeight="false" outlineLevel="0" collapsed="false">
      <c r="A5251" s="24" t="s">
        <v>704</v>
      </c>
      <c r="B5251" s="25" t="s">
        <v>86</v>
      </c>
      <c r="C5251" s="41" t="n">
        <f aca="false">Sens!$C$5246+Sens!$C$5247-Sens!$C$5248</f>
        <v>0</v>
      </c>
      <c r="D5251" s="41" t="n">
        <f aca="false">Sens!$D$5246+Sens!$D$5247-Sens!$D$5248</f>
        <v>0</v>
      </c>
      <c r="E5251" s="41" t="n">
        <f aca="false">Sens!$E$5246+Sens!$E$5247-Sens!$E$5248</f>
        <v>0</v>
      </c>
      <c r="F5251" s="41" t="n">
        <f aca="false">Sens!$F$5246+Sens!$F$5247-Sens!$F$5248</f>
        <v>0</v>
      </c>
      <c r="G5251" s="41" t="n">
        <f aca="false">Sens!$G$5246+Sens!$G$5247-Sens!$G$5248</f>
        <v>0</v>
      </c>
      <c r="H5251" s="41" t="n">
        <f aca="false">Sens!$H$5246+Sens!$H$5247-Sens!$H$5248</f>
        <v>0</v>
      </c>
      <c r="I5251" s="41" t="n">
        <f aca="false">Sens!$I$5246+Sens!$I$5247-Sens!$I$5248</f>
        <v>0</v>
      </c>
      <c r="J5251" s="41" t="n">
        <f aca="false">Sens!$J$5246+Sens!$J$5247-Sens!$J$5248</f>
        <v>0</v>
      </c>
      <c r="K5251" s="41" t="n">
        <f aca="false">Sens!$K$5246+Sens!$K$5247-Sens!$K$5248</f>
        <v>0</v>
      </c>
      <c r="L5251" s="41" t="n">
        <f aca="false">Sens!$L$5246+Sens!$L$5247-Sens!$L$5248</f>
        <v>0</v>
      </c>
      <c r="M5251" s="41" t="n">
        <f aca="false">Sens!$M$5246+Sens!$M$5247-Sens!$M$5248</f>
        <v>0</v>
      </c>
      <c r="N5251" s="41" t="n">
        <f aca="false">Sens!$N$5246+Sens!$N$5247-Sens!$N$5248</f>
        <v>0</v>
      </c>
      <c r="O5251" s="41" t="n">
        <f aca="false">Sens!$O$5246+Sens!$O$5247-Sens!$O$5248</f>
        <v>0</v>
      </c>
    </row>
    <row r="5252" customFormat="false" ht="17.15" hidden="false" customHeight="false" outlineLevel="0" collapsed="false">
      <c r="A5252" s="24" t="s">
        <v>705</v>
      </c>
      <c r="B5252" s="25" t="s">
        <v>86</v>
      </c>
      <c r="C5252" s="41" t="n">
        <f aca="false">Sens!$C$5181+Sens!$C$5182+Sens!$C$5248-Sens!$C$5249</f>
        <v>0</v>
      </c>
      <c r="D5252" s="41" t="n">
        <f aca="false">Sens!$D$5181+Sens!$D$5182+Sens!$D$5248-Sens!$D$5249</f>
        <v>0</v>
      </c>
      <c r="E5252" s="41" t="n">
        <f aca="false">Sens!$E$5181+Sens!$E$5182+Sens!$E$5248-Sens!$E$5249</f>
        <v>0</v>
      </c>
      <c r="F5252" s="41" t="n">
        <f aca="false">Sens!$F$5181+Sens!$F$5182+Sens!$F$5248-Sens!$F$5249</f>
        <v>0</v>
      </c>
      <c r="G5252" s="41" t="n">
        <f aca="false">Sens!$G$5181+Sens!$G$5182+Sens!$G$5248-Sens!$G$5249</f>
        <v>0</v>
      </c>
      <c r="H5252" s="41" t="n">
        <f aca="false">Sens!$H$5181+Sens!$H$5182+Sens!$H$5248-Sens!$H$5249</f>
        <v>0</v>
      </c>
      <c r="I5252" s="41" t="n">
        <f aca="false">Sens!$I$5181+Sens!$I$5182+Sens!$I$5248-Sens!$I$5249</f>
        <v>0</v>
      </c>
      <c r="J5252" s="41" t="n">
        <f aca="false">Sens!$J$5181+Sens!$J$5182+Sens!$J$5248-Sens!$J$5249</f>
        <v>0</v>
      </c>
      <c r="K5252" s="41" t="n">
        <f aca="false">Sens!$K$5181+Sens!$K$5182+Sens!$K$5248-Sens!$K$5249</f>
        <v>0</v>
      </c>
      <c r="L5252" s="41" t="n">
        <f aca="false">Sens!$L$5181+Sens!$L$5182+Sens!$L$5248-Sens!$L$5249</f>
        <v>0</v>
      </c>
      <c r="M5252" s="41" t="n">
        <f aca="false">Sens!$M$5181+Sens!$M$5182+Sens!$M$5248-Sens!$M$5249</f>
        <v>0</v>
      </c>
      <c r="N5252" s="41" t="n">
        <f aca="false">Sens!$N$5181+Sens!$N$5182+Sens!$N$5248-Sens!$N$5249</f>
        <v>0</v>
      </c>
      <c r="O5252" s="41" t="n">
        <f aca="false">Sens!$O$5181+Sens!$O$5182+Sens!$O$5248-Sens!$O$5249</f>
        <v>0</v>
      </c>
    </row>
    <row r="5253" customFormat="false" ht="15" hidden="false" customHeight="false" outlineLevel="0" collapsed="false">
      <c r="A5253" s="5" t="s">
        <v>699</v>
      </c>
      <c r="B5253" s="0" t="s">
        <v>52</v>
      </c>
      <c r="G5253" s="13" t="n">
        <f aca="false">Sens!$G$5249/Sens!$D$5249-1</f>
        <v>0.140854504918937</v>
      </c>
      <c r="H5253" s="13" t="n">
        <f aca="false">Sens!$H$5249/Sens!$G$5249-1</f>
        <v>0.152063789793209</v>
      </c>
      <c r="I5253" s="13" t="n">
        <f aca="false">Sens!$I$5249/Sens!$H$5249-1</f>
        <v>0.134273264437417</v>
      </c>
      <c r="J5253" s="13" t="n">
        <f aca="false">Sens!$J$5249/Sens!$I$5249-1</f>
        <v>0.113310421234083</v>
      </c>
      <c r="K5253" s="13" t="n">
        <f aca="false">Sens!$K$5249/Sens!$J$5249-1</f>
        <v>0.0892108343223652</v>
      </c>
      <c r="L5253" s="13" t="n">
        <f aca="false">Sens!$L$5249/Sens!$K$5249-1</f>
        <v>0.076471362444261</v>
      </c>
      <c r="M5253" s="13" t="n">
        <f aca="false">Sens!$M$5249/Sens!$L$5249-1</f>
        <v>0.066250060256672</v>
      </c>
    </row>
    <row r="5254" customFormat="false" ht="17.15" hidden="false" customHeight="false" outlineLevel="0" collapsed="false">
      <c r="A5254" s="0" t="s">
        <v>700</v>
      </c>
      <c r="B5254" s="0" t="s">
        <v>52</v>
      </c>
      <c r="C5254" s="13" t="n">
        <f aca="false">Sens!$C$5248/Sens!$C$5249</f>
        <v>0.168593906504964</v>
      </c>
      <c r="D5254" s="13" t="n">
        <f aca="false">Sens!$D$5248/Sens!$D$5249</f>
        <v>0.179551807444025</v>
      </c>
      <c r="E5254" s="13" t="n">
        <f aca="false">Sens!$E$5248/Sens!$E$5249</f>
        <v>0.208881910369643</v>
      </c>
      <c r="F5254" s="13" t="n">
        <f aca="false">Sens!$F$5248/Sens!$F$5249</f>
        <v>0.199028269699356</v>
      </c>
      <c r="G5254" s="13" t="n">
        <f aca="false">Sens!$G$5248/Sens!$G$5249</f>
        <v>0.203631882529968</v>
      </c>
      <c r="H5254" s="13" t="n">
        <f aca="false">Sens!$H$5248/Sens!$H$5249</f>
        <v>0.234731715958496</v>
      </c>
      <c r="I5254" s="13" t="n">
        <f aca="false">Sens!$I$5248/Sens!$I$5249</f>
        <v>0.262231204480418</v>
      </c>
      <c r="J5254" s="13" t="n">
        <f aca="false">Sens!$J$5248/Sens!$J$5249</f>
        <v>0.284728366013706</v>
      </c>
      <c r="K5254" s="13" t="n">
        <f aca="false">Sens!$K$5248/Sens!$K$5249</f>
        <v>0.300823304959505</v>
      </c>
      <c r="L5254" s="13" t="n">
        <f aca="false">Sens!$L$5248/Sens!$L$5249</f>
        <v>0.308263164529735</v>
      </c>
      <c r="M5254" s="13" t="n">
        <f aca="false">Sens!$M$5248/Sens!$M$5249</f>
        <v>0.308856517936036</v>
      </c>
      <c r="N5254" s="13" t="n">
        <f aca="false">Sens!$N$5248/Sens!$N$5249</f>
        <v>0.185979484737251</v>
      </c>
      <c r="O5254" s="13" t="n">
        <f aca="false">Sens!$O$5248/Sens!$O$5249</f>
        <v>0.174270432341096</v>
      </c>
    </row>
    <row r="5255" customFormat="false" ht="17.15" hidden="false" customHeight="false" outlineLevel="0" collapsed="false">
      <c r="A5255" s="0" t="s">
        <v>701</v>
      </c>
      <c r="B5255" s="0" t="s">
        <v>52</v>
      </c>
      <c r="C5255" s="13" t="n">
        <f aca="false">Sens!$C$5246/Sens!$C$5248</f>
        <v>0.0215795060896058</v>
      </c>
      <c r="D5255" s="13" t="n">
        <f aca="false">Sens!$D$5246/Sens!$D$5248</f>
        <v>0.0676152269462122</v>
      </c>
      <c r="E5255" s="13" t="n">
        <f aca="false">Sens!$E$5246/Sens!$E$5248</f>
        <v>0.106620641395783</v>
      </c>
      <c r="F5255" s="13" t="n">
        <f aca="false">Sens!$F$5246/Sens!$F$5248</f>
        <v>0.172523487401099</v>
      </c>
      <c r="G5255" s="13" t="n">
        <f aca="false">Sens!$G$5246/Sens!$G$5248</f>
        <v>0.140939911795589</v>
      </c>
      <c r="H5255" s="13" t="n">
        <f aca="false">Sens!$H$5246/Sens!$H$5248</f>
        <v>0.272018642937714</v>
      </c>
      <c r="I5255" s="13" t="n">
        <f aca="false">Sens!$I$5246/Sens!$I$5248</f>
        <v>0.362159512436497</v>
      </c>
      <c r="J5255" s="13" t="n">
        <f aca="false">Sens!$J$5246/Sens!$J$5248</f>
        <v>0.422151735934609</v>
      </c>
      <c r="K5255" s="13" t="n">
        <f aca="false">Sens!$K$5246/Sens!$K$5248</f>
        <v>0.45769342068485</v>
      </c>
      <c r="L5255" s="13" t="n">
        <f aca="false">Sens!$L$5246/Sens!$L$5248</f>
        <v>0.469047103913472</v>
      </c>
      <c r="M5255" s="13" t="n">
        <f aca="false">Sens!$M$5246/Sens!$M$5248</f>
        <v>0.463233328258093</v>
      </c>
      <c r="N5255" s="13" t="n">
        <f aca="false">Sens!$N$5246/Sens!$N$5248</f>
        <v>0.0506537999838362</v>
      </c>
      <c r="O5255" s="13" t="n">
        <f aca="false">Sens!$O$5246/Sens!$O$5248</f>
        <v>0.0824881615167056</v>
      </c>
    </row>
    <row r="5258" customFormat="false" ht="19.4" hidden="false" customHeight="false" outlineLevel="0" collapsed="false">
      <c r="A5258" s="31" t="s">
        <v>1242</v>
      </c>
    </row>
    <row r="5259" customFormat="false" ht="17.15" hidden="false" customHeight="false" outlineLevel="0" collapsed="false">
      <c r="A5259" s="6" t="s">
        <v>16</v>
      </c>
      <c r="B5259" s="6" t="s">
        <v>17</v>
      </c>
      <c r="C5259" s="20" t="s">
        <v>497</v>
      </c>
      <c r="D5259" s="20" t="s">
        <v>498</v>
      </c>
      <c r="E5259" s="20" t="s">
        <v>580</v>
      </c>
      <c r="F5259" s="20" t="s">
        <v>581</v>
      </c>
      <c r="G5259" s="20" t="s">
        <v>582</v>
      </c>
      <c r="H5259" s="20" t="s">
        <v>583</v>
      </c>
      <c r="I5259" s="20" t="s">
        <v>584</v>
      </c>
      <c r="J5259" s="20" t="s">
        <v>585</v>
      </c>
      <c r="K5259" s="20" t="s">
        <v>586</v>
      </c>
      <c r="L5259" s="20" t="s">
        <v>587</v>
      </c>
      <c r="M5259" s="20" t="s">
        <v>588</v>
      </c>
      <c r="N5259" s="20" t="s">
        <v>589</v>
      </c>
      <c r="O5259" s="20" t="s">
        <v>590</v>
      </c>
      <c r="P5259" s="6" t="s">
        <v>23</v>
      </c>
      <c r="R5259" s="20" t="n">
        <v>2023</v>
      </c>
      <c r="S5259" s="20" t="n">
        <v>2024</v>
      </c>
      <c r="T5259" s="20" t="n">
        <v>2025</v>
      </c>
      <c r="U5259" s="20" t="n">
        <v>2026</v>
      </c>
      <c r="V5259" s="20" t="n">
        <v>2027</v>
      </c>
      <c r="W5259" s="20" t="n">
        <v>2028</v>
      </c>
      <c r="X5259" s="20" t="n">
        <v>2029</v>
      </c>
      <c r="Y5259" s="20" t="n">
        <v>2030</v>
      </c>
      <c r="Z5259" s="20" t="n">
        <v>2031</v>
      </c>
      <c r="AA5259" s="20" t="n">
        <v>2032</v>
      </c>
    </row>
    <row r="5260" customFormat="false" ht="17.15" hidden="false" customHeight="false" outlineLevel="0" collapsed="false">
      <c r="A5260" s="1" t="s">
        <v>716</v>
      </c>
    </row>
    <row r="5261" customFormat="false" ht="15" hidden="false" customHeight="false" outlineLevel="0" collapsed="false">
      <c r="A5261" s="0" t="s">
        <v>519</v>
      </c>
      <c r="B5261" s="0" t="s">
        <v>86</v>
      </c>
      <c r="C5261" s="38" t="n">
        <f aca="false">Sens!$C$5166</f>
        <v>247.029</v>
      </c>
      <c r="D5261" s="38" t="n">
        <f aca="false">Sens!$D$5166</f>
        <v>269.287</v>
      </c>
      <c r="E5261" s="38" t="n">
        <f aca="false">Sens!$E$5166</f>
        <v>134.686</v>
      </c>
      <c r="F5261" s="38" t="n">
        <f aca="false">Sens!$F$5166</f>
        <v>158.293876822267</v>
      </c>
      <c r="G5261" s="38" t="n">
        <f aca="false">Sens!$G$5166</f>
        <v>292.979876822267</v>
      </c>
      <c r="H5261" s="38" t="n">
        <f aca="false">Sens!$H$5166</f>
        <v>318.184543087396</v>
      </c>
      <c r="I5261" s="38" t="n">
        <f aca="false">Sens!$I$5166</f>
        <v>341.736278761793</v>
      </c>
      <c r="J5261" s="38" t="n">
        <f aca="false">Sens!$J$5166</f>
        <v>362.927192787048</v>
      </c>
      <c r="K5261" s="38" t="n">
        <f aca="false">Sens!$K$5166</f>
        <v>381.0735524264</v>
      </c>
      <c r="L5261" s="38" t="n">
        <f aca="false">Sens!$L$5166</f>
        <v>400.12723004772</v>
      </c>
      <c r="M5261" s="38" t="n">
        <f aca="false">Sens!$M$5166</f>
        <v>420.133591550106</v>
      </c>
      <c r="N5261" s="38" t="n">
        <f aca="false">Sens!$N$5166</f>
        <v>118.892</v>
      </c>
      <c r="O5261" s="38" t="n">
        <f aca="false">Sens!$O$5166</f>
        <v>150.395</v>
      </c>
    </row>
    <row r="5262" customFormat="false" ht="15" hidden="false" customHeight="false" outlineLevel="0" collapsed="false">
      <c r="A5262" s="0" t="s">
        <v>520</v>
      </c>
      <c r="B5262" s="0" t="s">
        <v>86</v>
      </c>
      <c r="C5262" s="38" t="n">
        <f aca="false">Sens!$C$5168</f>
        <v>21.215</v>
      </c>
      <c r="D5262" s="38" t="n">
        <f aca="false">Sens!$D$5168</f>
        <v>22.561</v>
      </c>
      <c r="E5262" s="38" t="n">
        <f aca="false">Sens!$E$5168</f>
        <v>11.579</v>
      </c>
      <c r="F5262" s="38" t="n">
        <f aca="false">Sens!$F$5168</f>
        <v>11.5938724610325</v>
      </c>
      <c r="G5262" s="38" t="n">
        <f aca="false">Sens!$G$5168</f>
        <v>23.1728724610325</v>
      </c>
      <c r="H5262" s="38" t="n">
        <f aca="false">Sens!$H$5168</f>
        <v>24.353392759506</v>
      </c>
      <c r="I5262" s="38" t="n">
        <f aca="false">Sens!$I$5168</f>
        <v>25.4240338872015</v>
      </c>
      <c r="J5262" s="38" t="n">
        <f aca="false">Sens!$J$5168</f>
        <v>26.3642491017174</v>
      </c>
      <c r="K5262" s="38" t="n">
        <f aca="false">Sens!$K$5168</f>
        <v>27.155176574769</v>
      </c>
      <c r="L5262" s="38" t="n">
        <f aca="false">Sens!$L$5168</f>
        <v>27.969831872012</v>
      </c>
      <c r="M5262" s="38" t="n">
        <f aca="false">Sens!$M$5168</f>
        <v>28.8089268281724</v>
      </c>
      <c r="N5262" s="38" t="n">
        <f aca="false">Sens!$N$5168</f>
        <v>11.128</v>
      </c>
      <c r="O5262" s="38" t="n">
        <f aca="false">Sens!$O$5168</f>
        <v>11.433</v>
      </c>
    </row>
    <row r="5263" customFormat="false" ht="15" hidden="false" customHeight="false" outlineLevel="0" collapsed="false">
      <c r="A5263" s="0" t="s">
        <v>521</v>
      </c>
      <c r="B5263" s="0" t="s">
        <v>86</v>
      </c>
      <c r="C5263" s="38" t="n">
        <f aca="false">Sens!$C$5170</f>
        <v>156.146</v>
      </c>
      <c r="D5263" s="38" t="n">
        <f aca="false">Sens!$D$5170</f>
        <v>172.162</v>
      </c>
      <c r="E5263" s="38" t="n">
        <f aca="false">Sens!$E$5170</f>
        <v>88.358</v>
      </c>
      <c r="F5263" s="38" t="n">
        <f aca="false">Sens!$F$5170</f>
        <v>102.004388260171</v>
      </c>
      <c r="G5263" s="38" t="n">
        <f aca="false">Sens!$G$5170</f>
        <v>190.362388260171</v>
      </c>
      <c r="H5263" s="38" t="n">
        <f aca="false">Sens!$H$5170</f>
        <v>210.343106588311</v>
      </c>
      <c r="I5263" s="38" t="n">
        <f aca="false">Sens!$I$5170</f>
        <v>229.969728494648</v>
      </c>
      <c r="J5263" s="38" t="n">
        <f aca="false">Sens!$J$5170</f>
        <v>248.747636972598</v>
      </c>
      <c r="K5263" s="38" t="n">
        <f aca="false">Sens!$K$5170</f>
        <v>266.15997156068</v>
      </c>
      <c r="L5263" s="38" t="n">
        <f aca="false">Sens!$L$5170</f>
        <v>284.791169569927</v>
      </c>
      <c r="M5263" s="38" t="n">
        <f aca="false">Sens!$M$5170</f>
        <v>304.726551439822</v>
      </c>
      <c r="N5263" s="38" t="n">
        <f aca="false">Sens!$N$5170</f>
        <v>76.86</v>
      </c>
      <c r="O5263" s="38" t="n">
        <f aca="false">Sens!$O$5170</f>
        <v>95.302</v>
      </c>
    </row>
    <row r="5264" customFormat="false" ht="15" hidden="false" customHeight="false" outlineLevel="0" collapsed="false">
      <c r="A5264" s="0" t="s">
        <v>522</v>
      </c>
      <c r="B5264" s="0" t="s">
        <v>86</v>
      </c>
      <c r="C5264" s="38" t="n">
        <f aca="false">Sens!$C$5172</f>
        <v>56.214</v>
      </c>
      <c r="D5264" s="38" t="n">
        <f aca="false">Sens!$D$5172</f>
        <v>68.635</v>
      </c>
      <c r="E5264" s="38" t="n">
        <f aca="false">Sens!$E$5172</f>
        <v>37.052</v>
      </c>
      <c r="F5264" s="38" t="n">
        <f aca="false">Sens!$F$5172</f>
        <v>46.1572219944148</v>
      </c>
      <c r="G5264" s="38" t="n">
        <f aca="false">Sens!$G$5172</f>
        <v>83.2092219944148</v>
      </c>
      <c r="H5264" s="38" t="n">
        <f aca="false">Sens!$H$5172</f>
        <v>99.8969223878976</v>
      </c>
      <c r="I5264" s="38" t="n">
        <f aca="false">Sens!$I$5172</f>
        <v>116.583111095496</v>
      </c>
      <c r="J5264" s="38" t="n">
        <f aca="false">Sens!$J$5172</f>
        <v>132.148941941952</v>
      </c>
      <c r="K5264" s="38" t="n">
        <f aca="false">Sens!$K$5172</f>
        <v>145.363836136147</v>
      </c>
      <c r="L5264" s="38" t="n">
        <f aca="false">Sens!$L$5172</f>
        <v>159.900219749762</v>
      </c>
      <c r="M5264" s="38" t="n">
        <f aca="false">Sens!$M$5172</f>
        <v>175.890241724738</v>
      </c>
      <c r="N5264" s="38" t="n">
        <f aca="false">Sens!$N$5172</f>
        <v>29.615</v>
      </c>
      <c r="O5264" s="38" t="n">
        <f aca="false">Sens!$O$5172</f>
        <v>39.02</v>
      </c>
    </row>
    <row r="5265" customFormat="false" ht="15" hidden="false" customHeight="false" outlineLevel="0" collapsed="false">
      <c r="A5265" s="0" t="s">
        <v>523</v>
      </c>
      <c r="B5265" s="0" t="s">
        <v>86</v>
      </c>
      <c r="C5265" s="38" t="n">
        <f aca="false">Sens!$C$5174</f>
        <v>44.374</v>
      </c>
      <c r="D5265" s="38" t="n">
        <f aca="false">Sens!$D$5174</f>
        <v>49.619</v>
      </c>
      <c r="E5265" s="38" t="n">
        <f aca="false">Sens!$E$5174</f>
        <v>27.157</v>
      </c>
      <c r="F5265" s="38" t="n">
        <f aca="false">Sens!$F$5174</f>
        <v>27.7764165988154</v>
      </c>
      <c r="G5265" s="38" t="n">
        <f aca="false">Sens!$G$5174</f>
        <v>54.9334165988154</v>
      </c>
      <c r="H5265" s="38" t="n">
        <f aca="false">Sens!$H$5174</f>
        <v>61.1564112561829</v>
      </c>
      <c r="I5265" s="38" t="n">
        <f aca="false">Sens!$I$5174</f>
        <v>67.2020282103945</v>
      </c>
      <c r="J5265" s="38" t="n">
        <f aca="false">Sens!$J$5174</f>
        <v>72.8757274028885</v>
      </c>
      <c r="K5265" s="38" t="n">
        <f aca="false">Sens!$K$5174</f>
        <v>77.9770283210907</v>
      </c>
      <c r="L5265" s="38" t="n">
        <f aca="false">Sens!$L$5174</f>
        <v>83.4354203035671</v>
      </c>
      <c r="M5265" s="38" t="n">
        <f aca="false">Sens!$M$5174</f>
        <v>89.2758997248168</v>
      </c>
      <c r="N5265" s="38" t="n">
        <f aca="false">Sens!$N$5174</f>
        <v>23.923</v>
      </c>
      <c r="O5265" s="38" t="n">
        <f aca="false">Sens!$O$5174</f>
        <v>25.696</v>
      </c>
    </row>
    <row r="5266" customFormat="false" ht="15" hidden="false" customHeight="false" outlineLevel="0" collapsed="false">
      <c r="A5266" s="0" t="s">
        <v>524</v>
      </c>
      <c r="B5266" s="0" t="s">
        <v>86</v>
      </c>
      <c r="C5266" s="38" t="n">
        <f aca="false">Sens!$C$5176</f>
        <v>5.425</v>
      </c>
      <c r="D5266" s="38" t="n">
        <f aca="false">Sens!$D$5176</f>
        <v>5.935</v>
      </c>
      <c r="E5266" s="38" t="n">
        <f aca="false">Sens!$E$5176</f>
        <v>3.474</v>
      </c>
      <c r="F5266" s="38" t="n">
        <f aca="false">Sens!$F$5176</f>
        <v>3.22246550883619</v>
      </c>
      <c r="G5266" s="38" t="n">
        <f aca="false">Sens!$G$5176</f>
        <v>6.69646550883619</v>
      </c>
      <c r="H5266" s="38" t="n">
        <f aca="false">Sens!$H$5176</f>
        <v>7.16251344209196</v>
      </c>
      <c r="I5266" s="38" t="n">
        <f aca="false">Sens!$I$5176</f>
        <v>7.61421070299826</v>
      </c>
      <c r="J5266" s="38" t="n">
        <f aca="false">Sens!$J$5176</f>
        <v>8.04465753523932</v>
      </c>
      <c r="K5266" s="38" t="n">
        <f aca="false">Sens!$K$5176</f>
        <v>8.44689041200128</v>
      </c>
      <c r="L5266" s="38" t="n">
        <f aca="false">Sens!$L$5176</f>
        <v>8.86923493260135</v>
      </c>
      <c r="M5266" s="38" t="n">
        <f aca="false">Sens!$M$5176</f>
        <v>9.31269667923142</v>
      </c>
      <c r="N5266" s="38" t="n">
        <f aca="false">Sens!$N$5176</f>
        <v>2.811</v>
      </c>
      <c r="O5266" s="38" t="n">
        <f aca="false">Sens!$O$5176</f>
        <v>3.124</v>
      </c>
    </row>
    <row r="5267" customFormat="false" ht="17.15" hidden="false" customHeight="false" outlineLevel="0" collapsed="false">
      <c r="A5267" s="0" t="s">
        <v>717</v>
      </c>
      <c r="B5267" s="0" t="s">
        <v>86</v>
      </c>
      <c r="C5267" s="38" t="n">
        <f aca="false">Sens!$C$5248</f>
        <v>107.556</v>
      </c>
      <c r="D5267" s="38" t="n">
        <f aca="false">Sens!$D$5248</f>
        <v>128.725</v>
      </c>
      <c r="E5267" s="38" t="n">
        <f aca="false">Sens!$E$5248</f>
        <v>79.819</v>
      </c>
      <c r="F5267" s="38" t="n">
        <f aca="false">Sens!$F$5248</f>
        <v>86.7327334389669</v>
      </c>
      <c r="G5267" s="38" t="n">
        <f aca="false">Sens!$G$5248</f>
        <v>166.551733438967</v>
      </c>
      <c r="H5267" s="38" t="n">
        <f aca="false">Sens!$H$5248</f>
        <v>221.182967828978</v>
      </c>
      <c r="I5267" s="38" t="n">
        <f aca="false">Sens!$I$5248</f>
        <v>280.27345865789</v>
      </c>
      <c r="J5267" s="38" t="n">
        <f aca="false">Sens!$J$5248</f>
        <v>338.800945197185</v>
      </c>
      <c r="K5267" s="38" t="n">
        <f aca="false">Sens!$K$5248</f>
        <v>389.88570147276</v>
      </c>
      <c r="L5267" s="38" t="n">
        <f aca="false">Sens!$L$5248</f>
        <v>430.080689379143</v>
      </c>
      <c r="M5267" s="38" t="n">
        <f aca="false">Sens!$M$5248</f>
        <v>459.456235951751</v>
      </c>
      <c r="N5267" s="38" t="n">
        <f aca="false">Sens!$N$5248</f>
        <v>60.14</v>
      </c>
      <c r="O5267" s="38" t="n">
        <f aca="false">Sens!$O$5248</f>
        <v>68.585</v>
      </c>
    </row>
    <row r="5268" customFormat="false" ht="15" hidden="false" customHeight="false" outlineLevel="0" collapsed="false">
      <c r="A5268" s="1" t="s">
        <v>512</v>
      </c>
      <c r="B5268" s="8" t="s">
        <v>86</v>
      </c>
      <c r="C5268" s="38" t="n">
        <f aca="false">Sens!$C$5181</f>
        <v>387.497</v>
      </c>
      <c r="D5268" s="38" t="n">
        <f aca="false">Sens!$D$5181</f>
        <v>426.305</v>
      </c>
      <c r="E5268" s="38" t="n">
        <f aca="false">Sens!$E$5181</f>
        <v>220.32</v>
      </c>
      <c r="F5268" s="38" t="n">
        <f aca="false">Sens!$F$5181</f>
        <v>250.639773480586</v>
      </c>
      <c r="G5268" s="38" t="n">
        <f aca="false">Sens!$G$5181</f>
        <v>470.959773480586</v>
      </c>
      <c r="H5268" s="38" t="n">
        <f aca="false">Sens!$H$5181</f>
        <v>521.386990416437</v>
      </c>
      <c r="I5268" s="38" t="n">
        <f aca="false">Sens!$I$5181</f>
        <v>570.143862887555</v>
      </c>
      <c r="J5268" s="38" t="n">
        <f aca="false">Sens!$J$5181</f>
        <v>615.391435791933</v>
      </c>
      <c r="K5268" s="38" t="n">
        <f aca="false">Sens!$K$5181</f>
        <v>655.208227561543</v>
      </c>
      <c r="L5268" s="38" t="n">
        <f aca="false">Sens!$L$5181</f>
        <v>697.807739249767</v>
      </c>
      <c r="M5268" s="38" t="n">
        <f aca="false">Sens!$M$5181</f>
        <v>743.399328463592</v>
      </c>
      <c r="N5268" s="38" t="n">
        <f aca="false">Sens!$N$5181</f>
        <v>192.955</v>
      </c>
      <c r="O5268" s="38" t="n">
        <f aca="false">Sens!$O$5181</f>
        <v>233.35</v>
      </c>
    </row>
    <row r="5269" customFormat="false" ht="15" hidden="false" customHeight="false" outlineLevel="0" collapsed="false">
      <c r="A5269" s="1" t="s">
        <v>515</v>
      </c>
      <c r="B5269" s="8" t="s">
        <v>86</v>
      </c>
      <c r="C5269" s="38" t="n">
        <f aca="false">Sens!$C$5182</f>
        <v>142.906</v>
      </c>
      <c r="D5269" s="38" t="n">
        <f aca="false">Sens!$D$5182</f>
        <v>161.894</v>
      </c>
      <c r="E5269" s="38" t="n">
        <f aca="false">Sens!$E$5182</f>
        <v>81.986</v>
      </c>
      <c r="F5269" s="38" t="n">
        <f aca="false">Sens!$F$5182</f>
        <v>98.408468164951</v>
      </c>
      <c r="G5269" s="38" t="n">
        <f aca="false">Sens!$G$5182</f>
        <v>180.394468164951</v>
      </c>
      <c r="H5269" s="38" t="n">
        <f aca="false">Sens!$H$5182</f>
        <v>199.709899104949</v>
      </c>
      <c r="I5269" s="38" t="n">
        <f aca="false">Sens!$I$5182</f>
        <v>218.385528264976</v>
      </c>
      <c r="J5269" s="38" t="n">
        <f aca="false">Sens!$J$5182</f>
        <v>235.71696994951</v>
      </c>
      <c r="K5269" s="38" t="n">
        <f aca="false">Sens!$K$5182</f>
        <v>250.968227869545</v>
      </c>
      <c r="L5269" s="38" t="n">
        <f aca="false">Sens!$L$5182</f>
        <v>267.285367225822</v>
      </c>
      <c r="M5269" s="38" t="n">
        <f aca="false">Sens!$M$5182</f>
        <v>284.748579483295</v>
      </c>
      <c r="N5269" s="38" t="n">
        <f aca="false">Sens!$N$5182</f>
        <v>70.274</v>
      </c>
      <c r="O5269" s="38" t="n">
        <f aca="false">Sens!$O$5182</f>
        <v>91.62</v>
      </c>
    </row>
    <row r="5270" customFormat="false" ht="15" hidden="false" customHeight="false" outlineLevel="0" collapsed="false">
      <c r="A5270" s="1" t="s">
        <v>516</v>
      </c>
      <c r="B5270" s="8" t="s">
        <v>86</v>
      </c>
      <c r="C5270" s="38" t="n">
        <f aca="false">Sens!$C$5248</f>
        <v>107.556</v>
      </c>
      <c r="D5270" s="38" t="n">
        <f aca="false">Sens!$D$5248</f>
        <v>128.725</v>
      </c>
      <c r="E5270" s="38" t="n">
        <f aca="false">Sens!$E$5248</f>
        <v>79.819</v>
      </c>
      <c r="F5270" s="38" t="n">
        <f aca="false">Sens!$F$5248</f>
        <v>86.7327334389669</v>
      </c>
      <c r="G5270" s="38" t="n">
        <f aca="false">Sens!$G$5248</f>
        <v>166.551733438967</v>
      </c>
      <c r="H5270" s="38" t="n">
        <f aca="false">Sens!$H$5248</f>
        <v>221.182967828978</v>
      </c>
      <c r="I5270" s="38" t="n">
        <f aca="false">Sens!$I$5248</f>
        <v>280.27345865789</v>
      </c>
      <c r="J5270" s="38" t="n">
        <f aca="false">Sens!$J$5248</f>
        <v>338.800945197185</v>
      </c>
      <c r="K5270" s="38" t="n">
        <f aca="false">Sens!$K$5248</f>
        <v>389.88570147276</v>
      </c>
      <c r="L5270" s="38" t="n">
        <f aca="false">Sens!$L$5248</f>
        <v>430.080689379143</v>
      </c>
      <c r="M5270" s="38" t="n">
        <f aca="false">Sens!$M$5248</f>
        <v>459.456235951751</v>
      </c>
      <c r="N5270" s="38" t="n">
        <f aca="false">Sens!$N$5248</f>
        <v>60.14</v>
      </c>
      <c r="O5270" s="38" t="n">
        <f aca="false">Sens!$O$5248</f>
        <v>68.585</v>
      </c>
    </row>
    <row r="5271" customFormat="false" ht="17.15" hidden="false" customHeight="false" outlineLevel="0" collapsed="false">
      <c r="A5271" s="0" t="s">
        <v>691</v>
      </c>
      <c r="B5271" s="0" t="s">
        <v>86</v>
      </c>
      <c r="C5271" s="38" t="n">
        <f aca="false">Sens!$C$5246</f>
        <v>2.32100535697364</v>
      </c>
      <c r="D5271" s="38" t="n">
        <f aca="false">Sens!$D$5246</f>
        <v>8.70377008865116</v>
      </c>
      <c r="E5271" s="38" t="n">
        <f aca="false">Sens!$E$5246</f>
        <v>8.51035297557002</v>
      </c>
      <c r="F5271" s="38" t="n">
        <f aca="false">Sens!$F$5246</f>
        <v>14.9634336447205</v>
      </c>
      <c r="G5271" s="38" t="n">
        <f aca="false">Sens!$G$5246</f>
        <v>23.4737866202905</v>
      </c>
      <c r="H5271" s="38" t="n">
        <f aca="false">Sens!$H$5246</f>
        <v>60.1658907497746</v>
      </c>
      <c r="I5271" s="38" t="n">
        <f aca="false">Sens!$I$5246</f>
        <v>101.503699136432</v>
      </c>
      <c r="J5271" s="38" t="n">
        <f aca="false">Sens!$J$5246</f>
        <v>143.025407151278</v>
      </c>
      <c r="K5271" s="38" t="n">
        <f aca="false">Sens!$K$5246</f>
        <v>178.44812038318</v>
      </c>
      <c r="L5271" s="38" t="n">
        <f aca="false">Sens!$L$5246</f>
        <v>201.728101802396</v>
      </c>
      <c r="M5271" s="38" t="n">
        <f aca="false">Sens!$M$5246</f>
        <v>212.835441368865</v>
      </c>
      <c r="N5271" s="38" t="n">
        <f aca="false">Sens!$N$5246</f>
        <v>3.04631953102791</v>
      </c>
      <c r="O5271" s="38" t="n">
        <f aca="false">Sens!$O$5246</f>
        <v>5.65745055762326</v>
      </c>
    </row>
    <row r="5272" customFormat="false" ht="17.15" hidden="false" customHeight="false" outlineLevel="0" collapsed="false">
      <c r="A5272" s="0" t="s">
        <v>693</v>
      </c>
      <c r="B5272" s="0" t="s">
        <v>86</v>
      </c>
      <c r="C5272" s="38" t="n">
        <f aca="false">Sens!$C$5247</f>
        <v>105.234994643026</v>
      </c>
      <c r="D5272" s="38" t="n">
        <f aca="false">Sens!$D$5247</f>
        <v>120.021229911349</v>
      </c>
      <c r="E5272" s="38" t="n">
        <f aca="false">Sens!$E$5247</f>
        <v>71.30864702443</v>
      </c>
      <c r="F5272" s="38" t="n">
        <f aca="false">Sens!$F$5247</f>
        <v>71.7692997942464</v>
      </c>
      <c r="G5272" s="38" t="n">
        <f aca="false">Sens!$G$5247</f>
        <v>143.077946818676</v>
      </c>
      <c r="H5272" s="38" t="n">
        <f aca="false">Sens!$H$5247</f>
        <v>161.017077079203</v>
      </c>
      <c r="I5272" s="38" t="n">
        <f aca="false">Sens!$I$5247</f>
        <v>178.769759521457</v>
      </c>
      <c r="J5272" s="38" t="n">
        <f aca="false">Sens!$J$5247</f>
        <v>195.775538045907</v>
      </c>
      <c r="K5272" s="38" t="n">
        <f aca="false">Sens!$K$5247</f>
        <v>211.43758108958</v>
      </c>
      <c r="L5272" s="38" t="n">
        <f aca="false">Sens!$L$5247</f>
        <v>228.352587576746</v>
      </c>
      <c r="M5272" s="38" t="n">
        <f aca="false">Sens!$M$5247</f>
        <v>246.620794582886</v>
      </c>
      <c r="N5272" s="38" t="n">
        <f aca="false">Sens!$N$5247</f>
        <v>57.0936804689721</v>
      </c>
      <c r="O5272" s="38" t="n">
        <f aca="false">Sens!$O$5247</f>
        <v>62.9275494423768</v>
      </c>
    </row>
    <row r="5273" customFormat="false" ht="15" hidden="false" customHeight="false" outlineLevel="0" collapsed="false">
      <c r="A5273" s="3" t="s">
        <v>517</v>
      </c>
      <c r="B5273" s="8" t="s">
        <v>86</v>
      </c>
      <c r="C5273" s="38" t="n">
        <f aca="false">Sens!$C$5249</f>
        <v>637.959</v>
      </c>
      <c r="D5273" s="38" t="n">
        <f aca="false">Sens!$D$5249</f>
        <v>716.924</v>
      </c>
      <c r="E5273" s="38" t="n">
        <f aca="false">Sens!$E$5249</f>
        <v>382.125</v>
      </c>
      <c r="F5273" s="38" t="n">
        <f aca="false">Sens!$F$5249</f>
        <v>435.780975084504</v>
      </c>
      <c r="G5273" s="38" t="n">
        <f aca="false">Sens!$G$5249</f>
        <v>817.905975084504</v>
      </c>
      <c r="H5273" s="38" t="n">
        <f aca="false">Sens!$H$5249</f>
        <v>942.279857350364</v>
      </c>
      <c r="I5273" s="38" t="n">
        <f aca="false">Sens!$I$5249</f>
        <v>1068.80284981042</v>
      </c>
      <c r="J5273" s="38" t="n">
        <f aca="false">Sens!$J$5249</f>
        <v>1189.90935093863</v>
      </c>
      <c r="K5273" s="38" t="n">
        <f aca="false">Sens!$K$5249</f>
        <v>1296.06215690385</v>
      </c>
      <c r="L5273" s="38" t="n">
        <f aca="false">Sens!$L$5249</f>
        <v>1395.17379585473</v>
      </c>
      <c r="M5273" s="38" t="n">
        <f aca="false">Sens!$M$5249</f>
        <v>1487.60414389864</v>
      </c>
      <c r="N5273" s="38" t="n">
        <f aca="false">Sens!$N$5249</f>
        <v>323.369</v>
      </c>
      <c r="O5273" s="38" t="n">
        <f aca="false">Sens!$O$5249</f>
        <v>393.555</v>
      </c>
    </row>
    <row r="5274" customFormat="false" ht="17.15" hidden="false" customHeight="false" outlineLevel="0" collapsed="false">
      <c r="A5274" s="24" t="s">
        <v>703</v>
      </c>
      <c r="B5274" s="25" t="s">
        <v>86</v>
      </c>
      <c r="C5274" s="41" t="n">
        <f aca="false">Sens!$C$5261+Sens!$C$5262+Sens!$C$5263+Sens!$C$5264+Sens!$C$5265+Sens!$C$5266-(Sens!$C$5268+Sens!$C$5269)</f>
        <v>0</v>
      </c>
      <c r="D5274" s="41" t="n">
        <f aca="false">Sens!$D$5261+Sens!$D$5262+Sens!$D$5263+Sens!$D$5264+Sens!$D$5265+Sens!$D$5266-(Sens!$D$5268+Sens!$D$5269)</f>
        <v>0</v>
      </c>
      <c r="E5274" s="41" t="n">
        <f aca="false">Sens!$E$5261+Sens!$E$5262+Sens!$E$5263+Sens!$E$5264+Sens!$E$5265+Sens!$E$5266-(Sens!$E$5268+Sens!$E$5269)</f>
        <v>0</v>
      </c>
      <c r="F5274" s="41" t="n">
        <f aca="false">Sens!$F$5261+Sens!$F$5262+Sens!$F$5263+Sens!$F$5264+Sens!$F$5265+Sens!$F$5266-(Sens!$F$5268+Sens!$F$5269)</f>
        <v>0</v>
      </c>
      <c r="G5274" s="41" t="n">
        <f aca="false">Sens!$G$5261+Sens!$G$5262+Sens!$G$5263+Sens!$G$5264+Sens!$G$5265+Sens!$G$5266-(Sens!$G$5268+Sens!$G$5269)</f>
        <v>0</v>
      </c>
      <c r="H5274" s="41" t="n">
        <f aca="false">Sens!$H$5261+Sens!$H$5262+Sens!$H$5263+Sens!$H$5264+Sens!$H$5265+Sens!$H$5266-(Sens!$H$5268+Sens!$H$5269)</f>
        <v>0</v>
      </c>
      <c r="I5274" s="41" t="n">
        <f aca="false">Sens!$I$5261+Sens!$I$5262+Sens!$I$5263+Sens!$I$5264+Sens!$I$5265+Sens!$I$5266-(Sens!$I$5268+Sens!$I$5269)</f>
        <v>0</v>
      </c>
      <c r="J5274" s="41" t="n">
        <f aca="false">Sens!$J$5261+Sens!$J$5262+Sens!$J$5263+Sens!$J$5264+Sens!$J$5265+Sens!$J$5266-(Sens!$J$5268+Sens!$J$5269)</f>
        <v>0</v>
      </c>
      <c r="K5274" s="41" t="n">
        <f aca="false">Sens!$K$5261+Sens!$K$5262+Sens!$K$5263+Sens!$K$5264+Sens!$K$5265+Sens!$K$5266-(Sens!$K$5268+Sens!$K$5269)</f>
        <v>0</v>
      </c>
      <c r="L5274" s="41" t="n">
        <f aca="false">Sens!$L$5261+Sens!$L$5262+Sens!$L$5263+Sens!$L$5264+Sens!$L$5265+Sens!$L$5266-(Sens!$L$5268+Sens!$L$5269)</f>
        <v>0</v>
      </c>
      <c r="M5274" s="41" t="n">
        <f aca="false">Sens!$M$5261+Sens!$M$5262+Sens!$M$5263+Sens!$M$5264+Sens!$M$5265+Sens!$M$5266-(Sens!$M$5268+Sens!$M$5269)</f>
        <v>0</v>
      </c>
      <c r="N5274" s="41" t="n">
        <f aca="false">Sens!$N$5261+Sens!$N$5262+Sens!$N$5263+Sens!$N$5264+Sens!$N$5265+Sens!$N$5266-(Sens!$N$5268+Sens!$N$5269)</f>
        <v>0</v>
      </c>
      <c r="O5274" s="41" t="n">
        <f aca="false">Sens!$O$5261+Sens!$O$5262+Sens!$O$5263+Sens!$O$5264+Sens!$O$5265+Sens!$O$5266-(Sens!$O$5268+Sens!$O$5269)</f>
        <v>0</v>
      </c>
    </row>
    <row r="5275" customFormat="false" ht="17.15" hidden="false" customHeight="false" outlineLevel="0" collapsed="false">
      <c r="A5275" s="24" t="s">
        <v>704</v>
      </c>
      <c r="B5275" s="25" t="s">
        <v>86</v>
      </c>
      <c r="C5275" s="41" t="n">
        <f aca="false">Sens!$C$5271+Sens!$C$5272-Sens!$C$5270</f>
        <v>0</v>
      </c>
      <c r="D5275" s="41" t="n">
        <f aca="false">Sens!$D$5271+Sens!$D$5272-Sens!$D$5270</f>
        <v>0</v>
      </c>
      <c r="E5275" s="41" t="n">
        <f aca="false">Sens!$E$5271+Sens!$E$5272-Sens!$E$5270</f>
        <v>0</v>
      </c>
      <c r="F5275" s="41" t="n">
        <f aca="false">Sens!$F$5271+Sens!$F$5272-Sens!$F$5270</f>
        <v>0</v>
      </c>
      <c r="G5275" s="41" t="n">
        <f aca="false">Sens!$G$5271+Sens!$G$5272-Sens!$G$5270</f>
        <v>0</v>
      </c>
      <c r="H5275" s="41" t="n">
        <f aca="false">Sens!$H$5271+Sens!$H$5272-Sens!$H$5270</f>
        <v>0</v>
      </c>
      <c r="I5275" s="41" t="n">
        <f aca="false">Sens!$I$5271+Sens!$I$5272-Sens!$I$5270</f>
        <v>0</v>
      </c>
      <c r="J5275" s="41" t="n">
        <f aca="false">Sens!$J$5271+Sens!$J$5272-Sens!$J$5270</f>
        <v>0</v>
      </c>
      <c r="K5275" s="41" t="n">
        <f aca="false">Sens!$K$5271+Sens!$K$5272-Sens!$K$5270</f>
        <v>0</v>
      </c>
      <c r="L5275" s="41" t="n">
        <f aca="false">Sens!$L$5271+Sens!$L$5272-Sens!$L$5270</f>
        <v>0</v>
      </c>
      <c r="M5275" s="41" t="n">
        <f aca="false">Sens!$M$5271+Sens!$M$5272-Sens!$M$5270</f>
        <v>0</v>
      </c>
      <c r="N5275" s="41" t="n">
        <f aca="false">Sens!$N$5271+Sens!$N$5272-Sens!$N$5270</f>
        <v>0</v>
      </c>
      <c r="O5275" s="41" t="n">
        <f aca="false">Sens!$O$5271+Sens!$O$5272-Sens!$O$5270</f>
        <v>0</v>
      </c>
    </row>
    <row r="5276" customFormat="false" ht="17.15" hidden="false" customHeight="false" outlineLevel="0" collapsed="false">
      <c r="A5276" s="24" t="s">
        <v>763</v>
      </c>
      <c r="B5276" s="25" t="s">
        <v>86</v>
      </c>
      <c r="C5276" s="41" t="n">
        <f aca="false">Sens!$C$5261+Sens!$C$5262+Sens!$C$5263+Sens!$C$5264+Sens!$C$5265+Sens!$C$5266+Sens!$C$5267-Sens!$C$5273</f>
        <v>0</v>
      </c>
      <c r="D5276" s="41" t="n">
        <f aca="false">Sens!$D$5261+Sens!$D$5262+Sens!$D$5263+Sens!$D$5264+Sens!$D$5265+Sens!$D$5266+Sens!$D$5267-Sens!$D$5273</f>
        <v>0</v>
      </c>
      <c r="E5276" s="41" t="n">
        <f aca="false">Sens!$E$5261+Sens!$E$5262+Sens!$E$5263+Sens!$E$5264+Sens!$E$5265+Sens!$E$5266+Sens!$E$5267-Sens!$E$5273</f>
        <v>0</v>
      </c>
      <c r="F5276" s="41" t="n">
        <f aca="false">Sens!$F$5261+Sens!$F$5262+Sens!$F$5263+Sens!$F$5264+Sens!$F$5265+Sens!$F$5266+Sens!$F$5267-Sens!$F$5273</f>
        <v>0</v>
      </c>
      <c r="G5276" s="41" t="n">
        <f aca="false">Sens!$G$5261+Sens!$G$5262+Sens!$G$5263+Sens!$G$5264+Sens!$G$5265+Sens!$G$5266+Sens!$G$5267-Sens!$G$5273</f>
        <v>0</v>
      </c>
      <c r="H5276" s="41" t="n">
        <f aca="false">Sens!$H$5261+Sens!$H$5262+Sens!$H$5263+Sens!$H$5264+Sens!$H$5265+Sens!$H$5266+Sens!$H$5267-Sens!$H$5273</f>
        <v>0</v>
      </c>
      <c r="I5276" s="41" t="n">
        <f aca="false">Sens!$I$5261+Sens!$I$5262+Sens!$I$5263+Sens!$I$5264+Sens!$I$5265+Sens!$I$5266+Sens!$I$5267-Sens!$I$5273</f>
        <v>0</v>
      </c>
      <c r="J5276" s="41" t="n">
        <f aca="false">Sens!$J$5261+Sens!$J$5262+Sens!$J$5263+Sens!$J$5264+Sens!$J$5265+Sens!$J$5266+Sens!$J$5267-Sens!$J$5273</f>
        <v>0</v>
      </c>
      <c r="K5276" s="41" t="n">
        <f aca="false">Sens!$K$5261+Sens!$K$5262+Sens!$K$5263+Sens!$K$5264+Sens!$K$5265+Sens!$K$5266+Sens!$K$5267-Sens!$K$5273</f>
        <v>0</v>
      </c>
      <c r="L5276" s="41" t="n">
        <f aca="false">Sens!$L$5261+Sens!$L$5262+Sens!$L$5263+Sens!$L$5264+Sens!$L$5265+Sens!$L$5266+Sens!$L$5267-Sens!$L$5273</f>
        <v>0</v>
      </c>
      <c r="M5276" s="41" t="n">
        <f aca="false">Sens!$M$5261+Sens!$M$5262+Sens!$M$5263+Sens!$M$5264+Sens!$M$5265+Sens!$M$5266+Sens!$M$5267-Sens!$M$5273</f>
        <v>0</v>
      </c>
      <c r="N5276" s="41" t="n">
        <f aca="false">Sens!$N$5261+Sens!$N$5262+Sens!$N$5263+Sens!$N$5264+Sens!$N$5265+Sens!$N$5266+Sens!$N$5267-Sens!$N$5273</f>
        <v>0</v>
      </c>
      <c r="O5276" s="41" t="n">
        <f aca="false">Sens!$O$5261+Sens!$O$5262+Sens!$O$5263+Sens!$O$5264+Sens!$O$5265+Sens!$O$5266+Sens!$O$5267-Sens!$O$5273</f>
        <v>0</v>
      </c>
    </row>
    <row r="5277" customFormat="false" ht="17.15" hidden="false" customHeight="false" outlineLevel="0" collapsed="false">
      <c r="A5277" s="24" t="s">
        <v>705</v>
      </c>
      <c r="B5277" s="25" t="s">
        <v>86</v>
      </c>
      <c r="C5277" s="41" t="n">
        <f aca="false">Sens!$C$5268+Sens!$C$5269+Sens!$C$5270-Sens!$C$5273</f>
        <v>0</v>
      </c>
      <c r="D5277" s="41" t="n">
        <f aca="false">Sens!$D$5268+Sens!$D$5269+Sens!$D$5270-Sens!$D$5273</f>
        <v>0</v>
      </c>
      <c r="E5277" s="41" t="n">
        <f aca="false">Sens!$E$5268+Sens!$E$5269+Sens!$E$5270-Sens!$E$5273</f>
        <v>0</v>
      </c>
      <c r="F5277" s="41" t="n">
        <f aca="false">Sens!$F$5268+Sens!$F$5269+Sens!$F$5270-Sens!$F$5273</f>
        <v>0</v>
      </c>
      <c r="G5277" s="41" t="n">
        <f aca="false">Sens!$G$5268+Sens!$G$5269+Sens!$G$5270-Sens!$G$5273</f>
        <v>0</v>
      </c>
      <c r="H5277" s="41" t="n">
        <f aca="false">Sens!$H$5268+Sens!$H$5269+Sens!$H$5270-Sens!$H$5273</f>
        <v>0</v>
      </c>
      <c r="I5277" s="41" t="n">
        <f aca="false">Sens!$I$5268+Sens!$I$5269+Sens!$I$5270-Sens!$I$5273</f>
        <v>0</v>
      </c>
      <c r="J5277" s="41" t="n">
        <f aca="false">Sens!$J$5268+Sens!$J$5269+Sens!$J$5270-Sens!$J$5273</f>
        <v>0</v>
      </c>
      <c r="K5277" s="41" t="n">
        <f aca="false">Sens!$K$5268+Sens!$K$5269+Sens!$K$5270-Sens!$K$5273</f>
        <v>0</v>
      </c>
      <c r="L5277" s="41" t="n">
        <f aca="false">Sens!$L$5268+Sens!$L$5269+Sens!$L$5270-Sens!$L$5273</f>
        <v>0</v>
      </c>
      <c r="M5277" s="41" t="n">
        <f aca="false">Sens!$M$5268+Sens!$M$5269+Sens!$M$5270-Sens!$M$5273</f>
        <v>0</v>
      </c>
      <c r="N5277" s="41" t="n">
        <f aca="false">Sens!$N$5268+Sens!$N$5269+Sens!$N$5270-Sens!$N$5273</f>
        <v>0</v>
      </c>
      <c r="O5277" s="41" t="n">
        <f aca="false">Sens!$O$5268+Sens!$O$5269+Sens!$O$5270-Sens!$O$5273</f>
        <v>0</v>
      </c>
    </row>
    <row r="5278" customFormat="false" ht="17.15" hidden="false" customHeight="false" outlineLevel="0" collapsed="false">
      <c r="A5278" s="1" t="s">
        <v>719</v>
      </c>
    </row>
    <row r="5279" customFormat="false" ht="17.15" hidden="false" customHeight="false" outlineLevel="0" collapsed="false">
      <c r="A5279" s="0" t="s">
        <v>720</v>
      </c>
      <c r="B5279" s="0" t="s">
        <v>86</v>
      </c>
      <c r="C5279" s="38" t="n">
        <f aca="false">Sens!$C$5183*m_ad</f>
        <v>20.5341564414228</v>
      </c>
      <c r="D5279" s="38" t="n">
        <f aca="false">Sens!$D$5183*m_ad</f>
        <v>24.8720617299587</v>
      </c>
      <c r="E5279" s="38" t="n">
        <f aca="false">Sens!$E$5183*m_ad</f>
        <v>13.5017112462207</v>
      </c>
      <c r="F5279" s="38" t="n">
        <f aca="false">Sens!$F$5183*m_ad</f>
        <v>16.5719724165257</v>
      </c>
      <c r="G5279" s="38" t="n">
        <f aca="false">Sens!$G$5183*m_ad</f>
        <v>30.0820919220415</v>
      </c>
      <c r="H5279" s="38" t="n">
        <f aca="false">Sens!$H$5183*m_ad</f>
        <v>36.1150883276314</v>
      </c>
      <c r="I5279" s="38" t="n">
        <f aca="false">Sens!$I$5183*m_ad</f>
        <v>42.1475382231996</v>
      </c>
      <c r="J5279" s="38" t="n">
        <f aca="false">Sens!$J$5183*m_ad</f>
        <v>47.7749523864693</v>
      </c>
      <c r="K5279" s="38" t="n">
        <f aca="false">Sens!$K$5183*m_ad</f>
        <v>52.5524476251162</v>
      </c>
      <c r="L5279" s="38" t="n">
        <f aca="false">Sens!$L$5183*m_ad</f>
        <v>57.8076923876279</v>
      </c>
      <c r="M5279" s="38" t="n">
        <f aca="false">Sens!$M$5183*m_ad</f>
        <v>63.5884616263907</v>
      </c>
      <c r="N5279" s="38" t="n">
        <f aca="false">Sens!$N$5183*m_ad</f>
        <v>10.8543555706248</v>
      </c>
      <c r="O5279" s="38" t="n">
        <f aca="false">Sens!$O$5183*m_ad</f>
        <v>14.0094731821399</v>
      </c>
    </row>
    <row r="5280" customFormat="false" ht="17.15" hidden="false" customHeight="false" outlineLevel="0" collapsed="false">
      <c r="A5280" s="0" t="s">
        <v>721</v>
      </c>
      <c r="B5280" s="0" t="s">
        <v>86</v>
      </c>
      <c r="C5280" s="38" t="n">
        <f aca="false">Sens!$C$5181-Sens!$C$5183</f>
        <v>346.428687117154</v>
      </c>
      <c r="D5280" s="38" t="n">
        <f aca="false">Sens!$D$5181-Sens!$D$5183</f>
        <v>376.560876540083</v>
      </c>
      <c r="E5280" s="38" t="n">
        <f aca="false">Sens!$E$5181-Sens!$E$5183</f>
        <v>193.316577507559</v>
      </c>
      <c r="F5280" s="38" t="n">
        <f aca="false">Sens!$F$5181-Sens!$F$5183</f>
        <v>217.495828647535</v>
      </c>
      <c r="G5280" s="38" t="n">
        <f aca="false">Sens!$G$5181-Sens!$G$5183</f>
        <v>410.795589636503</v>
      </c>
      <c r="H5280" s="38" t="n">
        <f aca="false">Sens!$H$5181-Sens!$H$5183</f>
        <v>449.156813761174</v>
      </c>
      <c r="I5280" s="38" t="n">
        <f aca="false">Sens!$I$5181-Sens!$I$5183</f>
        <v>485.848786441156</v>
      </c>
      <c r="J5280" s="38" t="n">
        <f aca="false">Sens!$J$5181-Sens!$J$5183</f>
        <v>519.841531018994</v>
      </c>
      <c r="K5280" s="38" t="n">
        <f aca="false">Sens!$K$5181-Sens!$K$5183</f>
        <v>550.103332311311</v>
      </c>
      <c r="L5280" s="38" t="n">
        <f aca="false">Sens!$L$5181-Sens!$L$5183</f>
        <v>582.192354474511</v>
      </c>
      <c r="M5280" s="38" t="n">
        <f aca="false">Sens!$M$5181-Sens!$M$5183</f>
        <v>616.22240521081</v>
      </c>
      <c r="N5280" s="38" t="n">
        <f aca="false">Sens!$N$5181-Sens!$N$5183</f>
        <v>171.24628885875</v>
      </c>
      <c r="O5280" s="38" t="n">
        <f aca="false">Sens!$O$5181-Sens!$O$5183</f>
        <v>205.33105363572</v>
      </c>
    </row>
    <row r="5281" customFormat="false" ht="17.15" hidden="false" customHeight="false" outlineLevel="0" collapsed="false">
      <c r="A5281" s="0" t="s">
        <v>722</v>
      </c>
      <c r="B5281" s="0" t="s">
        <v>86</v>
      </c>
      <c r="C5281" s="38" t="n">
        <f aca="false">Sens!$C$5232*Sens!$C$5180</f>
        <v>0.123617442257179</v>
      </c>
      <c r="D5281" s="38" t="n">
        <f aca="false">Sens!$D$5232*Sens!$D$5180</f>
        <v>0.600198046024689</v>
      </c>
      <c r="E5281" s="38" t="n">
        <f aca="false">Sens!$E$5232*Sens!$E$5180</f>
        <v>0.970552432202993</v>
      </c>
      <c r="F5281" s="38" t="n">
        <f aca="false">Sens!$F$5232*Sens!$F$5180</f>
        <v>1.20013524388435</v>
      </c>
      <c r="G5281" s="38" t="n">
        <f aca="false">Sens!$G$5232*Sens!$G$5180</f>
        <v>2.17135369594947</v>
      </c>
      <c r="H5281" s="38" t="n">
        <f aca="false">Sens!$H$5232*Sens!$H$5180</f>
        <v>6.14227489656333</v>
      </c>
      <c r="I5281" s="38" t="n">
        <f aca="false">Sens!$I$5232*Sens!$I$5180</f>
        <v>11.6518054969681</v>
      </c>
      <c r="J5281" s="38" t="n">
        <f aca="false">Sens!$J$5232*Sens!$J$5180</f>
        <v>17.3105301010592</v>
      </c>
      <c r="K5281" s="38" t="n">
        <f aca="false">Sens!$K$5232*Sens!$K$5180</f>
        <v>22.8486728059883</v>
      </c>
      <c r="L5281" s="38" t="n">
        <f aca="false">Sens!$L$5232*Sens!$L$5180</f>
        <v>26.6849171332777</v>
      </c>
      <c r="M5281" s="38" t="n">
        <f aca="false">Sens!$M$5232*Sens!$M$5180</f>
        <v>29.0523240317336</v>
      </c>
      <c r="N5281" s="38" t="n">
        <f aca="false">Sens!$N$5232*Sens!$N$5180</f>
        <v>0.25053229484398</v>
      </c>
      <c r="O5281" s="38" t="n">
        <f aca="false">Sens!$O$5232*Sens!$O$5180</f>
        <v>0.349234376756897</v>
      </c>
    </row>
    <row r="5282" customFormat="false" ht="17.15" hidden="false" customHeight="false" outlineLevel="0" collapsed="false">
      <c r="A5282" s="0" t="s">
        <v>723</v>
      </c>
      <c r="B5282" s="0" t="s">
        <v>52</v>
      </c>
      <c r="C5282" s="28" t="n">
        <f aca="false">(Sens!$C$5283-Sens!$C$5279+Sens!$C$5281)/Sens!$C$5280</f>
        <v>0.0131526665379575</v>
      </c>
      <c r="D5282" s="28" t="n">
        <f aca="false">(Sens!$D$5283-Sens!$D$5279+Sens!$D$5281)/Sens!$D$5280</f>
        <v>0.0141999252954702</v>
      </c>
      <c r="E5282" s="28" t="n">
        <f aca="false">(Sens!$E$5283-Sens!$E$5279+Sens!$E$5281)/Sens!$E$5280</f>
        <v>0.0251341154940129</v>
      </c>
      <c r="F5282" s="28" t="n">
        <f aca="false">Sens!$O$5282+(Sens!$E$5282-Sens!$N$5282)</f>
        <v>0.0217171685713677</v>
      </c>
      <c r="G5282" s="28" t="n">
        <f aca="false">(Sens!$G$5283-Sens!$G$5279+Sens!$G$5281)/Sens!$G$5280</f>
        <v>0.0233071940458981</v>
      </c>
      <c r="H5282" s="28" t="n">
        <f aca="false">Sens!$G$5282+step_na</f>
        <v>0.0263071940458981</v>
      </c>
      <c r="I5282" s="28" t="n">
        <f aca="false">Sens!$H$5282+step_na</f>
        <v>0.0293071940458981</v>
      </c>
      <c r="J5282" s="28" t="n">
        <f aca="false">Sens!$I$5282+step_na</f>
        <v>0.0323071940458981</v>
      </c>
      <c r="K5282" s="28" t="n">
        <f aca="false">Sens!$J$5282+step_na</f>
        <v>0.0353071940458981</v>
      </c>
      <c r="L5282" s="28" t="n">
        <f aca="false">Sens!$K$5282</f>
        <v>0.0353071940458981</v>
      </c>
      <c r="M5282" s="28" t="n">
        <f aca="false">Sens!$L$5282</f>
        <v>0.0353071940458981</v>
      </c>
      <c r="N5282" s="28" t="n">
        <f aca="false">(Sens!$N$5283-Sens!$N$5279+Sens!$N$5281)/Sens!$N$5280</f>
        <v>0.0160831323269779</v>
      </c>
      <c r="O5282" s="28" t="n">
        <f aca="false">(Sens!$O$5283-Sens!$O$5279+Sens!$O$5281)/Sens!$O$5280</f>
        <v>0.0126661854043327</v>
      </c>
      <c r="P5282" s="8" t="s">
        <v>724</v>
      </c>
    </row>
    <row r="5283" customFormat="false" ht="17.15" hidden="false" customHeight="false" outlineLevel="0" collapsed="false">
      <c r="A5283" s="1" t="s">
        <v>725</v>
      </c>
      <c r="B5283" s="8" t="s">
        <v>86</v>
      </c>
      <c r="C5283" s="38" t="n">
        <f aca="false">Q!$D$22</f>
        <v>24.967</v>
      </c>
      <c r="D5283" s="38" t="n">
        <f aca="false">Q!$E$22</f>
        <v>29.619</v>
      </c>
      <c r="E5283" s="38" t="n">
        <f aca="false">Q!$P$22</f>
        <v>17.39</v>
      </c>
      <c r="F5283" s="38" t="n">
        <f aca="false">Sens!$F$5279+Sens!$F$5280*Sens!$F$5282-Sens!$F$5281</f>
        <v>20.0952307469491</v>
      </c>
      <c r="G5283" s="38" t="n">
        <f aca="false">Sens!$E$5283+Sens!$F$5283</f>
        <v>37.4852307469491</v>
      </c>
      <c r="H5283" s="38" t="n">
        <f aca="false">Sens!$H$5279+Sens!$H$5280*Sens!$H$5282-Sens!$H$5281</f>
        <v>41.7888688877206</v>
      </c>
      <c r="I5283" s="38" t="n">
        <f aca="false">Sens!$I$5279+Sens!$I$5280*Sens!$I$5282-Sens!$I$5281</f>
        <v>44.7345973874265</v>
      </c>
      <c r="J5283" s="38" t="n">
        <f aca="false">Sens!$J$5279+Sens!$J$5280*Sens!$J$5282-Sens!$J$5281</f>
        <v>47.2590435011574</v>
      </c>
      <c r="K5283" s="38" t="n">
        <f aca="false">Sens!$K$5279+Sens!$K$5280*Sens!$K$5282-Sens!$K$5281</f>
        <v>49.1263799183386</v>
      </c>
      <c r="L5283" s="38" t="n">
        <f aca="false">Sens!$L$5279+Sens!$L$5280*Sens!$L$5282-Sens!$L$5281</f>
        <v>51.67835368582</v>
      </c>
      <c r="M5283" s="38" t="n">
        <f aca="false">Sens!$M$5279+Sens!$M$5280*Sens!$M$5282-Sens!$M$5281</f>
        <v>56.2932216308652</v>
      </c>
      <c r="N5283" s="38" t="n">
        <f aca="false">Q!$N$22</f>
        <v>13.358</v>
      </c>
      <c r="O5283" s="38" t="n">
        <f aca="false">Q!$O$22</f>
        <v>16.261</v>
      </c>
    </row>
    <row r="5284" customFormat="false" ht="17.15" hidden="false" customHeight="false" outlineLevel="0" collapsed="false">
      <c r="A5284" s="0" t="s">
        <v>726</v>
      </c>
      <c r="B5284" s="0" t="s">
        <v>86</v>
      </c>
      <c r="C5284" s="38" t="n">
        <f aca="false">Sens!$C$5184*m_ad</f>
        <v>7.57284355857716</v>
      </c>
      <c r="D5284" s="38" t="n">
        <f aca="false">Sens!$D$5184*m_ad</f>
        <v>9.44543827004127</v>
      </c>
      <c r="E5284" s="38" t="n">
        <f aca="false">Sens!$E$5184*m_ad</f>
        <v>5.02428875377928</v>
      </c>
      <c r="F5284" s="38" t="n">
        <f aca="false">Sens!$F$5184*m_ad</f>
        <v>6.50663858068173</v>
      </c>
      <c r="G5284" s="38" t="n">
        <f aca="false">Sens!$G$5184*m_ad</f>
        <v>11.5225190751659</v>
      </c>
      <c r="H5284" s="38" t="n">
        <f aca="false">Sens!$H$5184*m_ad</f>
        <v>13.8333728663174</v>
      </c>
      <c r="I5284" s="38" t="n">
        <f aca="false">Sens!$I$5184*m_ad</f>
        <v>16.1440173245485</v>
      </c>
      <c r="J5284" s="38" t="n">
        <f aca="false">Sens!$J$5184*m_ad</f>
        <v>18.2995185845066</v>
      </c>
      <c r="K5284" s="38" t="n">
        <f aca="false">Sens!$K$5184*m_ad</f>
        <v>20.1294704429572</v>
      </c>
      <c r="L5284" s="38" t="n">
        <f aca="false">Sens!$L$5184*m_ad</f>
        <v>22.142417487253</v>
      </c>
      <c r="M5284" s="38" t="n">
        <f aca="false">Sens!$M$5184*m_ad</f>
        <v>24.3566592359783</v>
      </c>
      <c r="N5284" s="38" t="n">
        <f aca="false">Sens!$N$5184*m_ad</f>
        <v>3.95314442937518</v>
      </c>
      <c r="O5284" s="38" t="n">
        <f aca="false">Sens!$O$5184*m_ad</f>
        <v>5.50052681786011</v>
      </c>
    </row>
    <row r="5285" customFormat="false" ht="17.15" hidden="false" customHeight="false" outlineLevel="0" collapsed="false">
      <c r="A5285" s="0" t="s">
        <v>727</v>
      </c>
      <c r="B5285" s="0" t="s">
        <v>86</v>
      </c>
      <c r="C5285" s="38" t="n">
        <f aca="false">Sens!$C$5182-Sens!$C$5184</f>
        <v>127.760312882846</v>
      </c>
      <c r="D5285" s="38" t="n">
        <f aca="false">Sens!$D$5182-Sens!$D$5184</f>
        <v>143.003123459917</v>
      </c>
      <c r="E5285" s="38" t="n">
        <f aca="false">Sens!$E$5182-Sens!$E$5184</f>
        <v>71.9374224924414</v>
      </c>
      <c r="F5285" s="38" t="n">
        <f aca="false">Sens!$F$5182-Sens!$F$5184</f>
        <v>85.3951910035875</v>
      </c>
      <c r="G5285" s="38" t="n">
        <f aca="false">Sens!$G$5182-Sens!$G$5184</f>
        <v>157.349430014619</v>
      </c>
      <c r="H5285" s="38" t="n">
        <f aca="false">Sens!$H$5182-Sens!$H$5184</f>
        <v>172.043153372315</v>
      </c>
      <c r="I5285" s="38" t="n">
        <f aca="false">Sens!$I$5182-Sens!$I$5184</f>
        <v>186.097493615879</v>
      </c>
      <c r="J5285" s="38" t="n">
        <f aca="false">Sens!$J$5182-Sens!$J$5184</f>
        <v>199.117932780497</v>
      </c>
      <c r="K5285" s="38" t="n">
        <f aca="false">Sens!$K$5182-Sens!$K$5184</f>
        <v>210.70928698363</v>
      </c>
      <c r="L5285" s="38" t="n">
        <f aca="false">Sens!$L$5182-Sens!$L$5184</f>
        <v>223.000532251316</v>
      </c>
      <c r="M5285" s="38" t="n">
        <f aca="false">Sens!$M$5182-Sens!$M$5184</f>
        <v>236.035261011339</v>
      </c>
      <c r="N5285" s="38" t="n">
        <f aca="false">Sens!$N$5182-Sens!$N$5184</f>
        <v>62.3677111412496</v>
      </c>
      <c r="O5285" s="38" t="n">
        <f aca="false">Sens!$O$5182-Sens!$O$5184</f>
        <v>80.6189463642798</v>
      </c>
    </row>
    <row r="5286" customFormat="false" ht="17.15" hidden="false" customHeight="false" outlineLevel="0" collapsed="false">
      <c r="A5286" s="0" t="s">
        <v>728</v>
      </c>
      <c r="B5286" s="0" t="s">
        <v>86</v>
      </c>
      <c r="C5286" s="38" t="n">
        <f aca="false">Sens!$C$5232*(1-Sens!$C$5180)</f>
        <v>0.0455891896019953</v>
      </c>
      <c r="D5286" s="38" t="n">
        <f aca="false">Sens!$D$5232*(1-Sens!$D$5180)</f>
        <v>0.227931791705753</v>
      </c>
      <c r="E5286" s="38" t="n">
        <f aca="false">Sens!$E$5232*(1-Sens!$E$5180)</f>
        <v>0.361164268820781</v>
      </c>
      <c r="F5286" s="38" t="n">
        <f aca="false">Sens!$F$5232*(1-Sens!$F$5180)</f>
        <v>0.471208018190203</v>
      </c>
      <c r="G5286" s="38" t="n">
        <f aca="false">Sens!$G$5232*(1-Sens!$G$5180)</f>
        <v>0.83170626714885</v>
      </c>
      <c r="H5286" s="38" t="n">
        <f aca="false">Sens!$H$5232*(1-Sens!$H$5180)</f>
        <v>2.35271136874315</v>
      </c>
      <c r="I5286" s="38" t="n">
        <f aca="false">Sens!$I$5232*(1-Sens!$I$5180)</f>
        <v>4.46305900024741</v>
      </c>
      <c r="J5286" s="38" t="n">
        <f aca="false">Sens!$J$5232*(1-Sens!$J$5180)</f>
        <v>6.63055328092195</v>
      </c>
      <c r="K5286" s="38" t="n">
        <f aca="false">Sens!$K$5232*(1-Sens!$K$5180)</f>
        <v>8.75186037365703</v>
      </c>
      <c r="L5286" s="38" t="n">
        <f aca="false">Sens!$L$5232*(1-Sens!$L$5180)</f>
        <v>10.2212794071718</v>
      </c>
      <c r="M5286" s="38" t="n">
        <f aca="false">Sens!$M$5232*(1-Sens!$M$5180)</f>
        <v>11.1280810756472</v>
      </c>
      <c r="N5286" s="38" t="n">
        <f aca="false">Sens!$N$5232*(1-Sens!$N$5180)</f>
        <v>0.0912435878202994</v>
      </c>
      <c r="O5286" s="38" t="n">
        <f aca="false">Sens!$O$5232*(1-Sens!$O$5180)</f>
        <v>0.137119578309265</v>
      </c>
    </row>
    <row r="5287" customFormat="false" ht="17.15" hidden="false" customHeight="false" outlineLevel="0" collapsed="false">
      <c r="A5287" s="0" t="s">
        <v>729</v>
      </c>
      <c r="B5287" s="0" t="s">
        <v>52</v>
      </c>
      <c r="C5287" s="28" t="n">
        <f aca="false">(Sens!$C$5288-Sens!$C$5284+Sens!$C$5286)/Sens!$C$5285</f>
        <v>-0.0292364215826579</v>
      </c>
      <c r="D5287" s="28" t="n">
        <f aca="false">(Sens!$D$5288-Sens!$D$5284+Sens!$D$5286)/Sens!$D$5285</f>
        <v>-0.0312406216748665</v>
      </c>
      <c r="E5287" s="28" t="n">
        <f aca="false">(Sens!$E$5288-Sens!$E$5284+Sens!$E$5286)/Sens!$E$5285</f>
        <v>-0.0211590078184749</v>
      </c>
      <c r="F5287" s="28" t="n">
        <f aca="false">Sens!$O$5287+(Sens!$E$5287-Sens!$N$5287)</f>
        <v>-0.0382539955245511</v>
      </c>
      <c r="G5287" s="28" t="n">
        <f aca="false">(Sens!$G$5288-Sens!$G$5284+Sens!$G$5286)/Sens!$G$5285</f>
        <v>-0.030385172031133</v>
      </c>
      <c r="H5287" s="28" t="n">
        <f aca="false">Sens!$G$5287+step_in</f>
        <v>-0.030385172031133</v>
      </c>
      <c r="I5287" s="28" t="n">
        <f aca="false">Sens!$H$5287+step_in</f>
        <v>-0.030385172031133</v>
      </c>
      <c r="J5287" s="28" t="n">
        <f aca="false">Sens!$I$5287+step_in</f>
        <v>-0.030385172031133</v>
      </c>
      <c r="K5287" s="28" t="n">
        <f aca="false">Sens!$J$5287+step_in</f>
        <v>-0.030385172031133</v>
      </c>
      <c r="L5287" s="28" t="n">
        <f aca="false">Sens!$K$5287</f>
        <v>-0.030385172031133</v>
      </c>
      <c r="M5287" s="28" t="n">
        <f aca="false">Sens!$L$5287</f>
        <v>-0.030385172031133</v>
      </c>
      <c r="N5287" s="28" t="n">
        <f aca="false">(Sens!$N$5288-Sens!$N$5284+Sens!$N$5286)/Sens!$N$5285</f>
        <v>-0.0216602600421776</v>
      </c>
      <c r="O5287" s="28" t="n">
        <f aca="false">(Sens!$O$5288-Sens!$O$5284+Sens!$O$5286)/Sens!$O$5285</f>
        <v>-0.0387552477482538</v>
      </c>
      <c r="P5287" s="8" t="s">
        <v>724</v>
      </c>
    </row>
    <row r="5288" customFormat="false" ht="17.15" hidden="false" customHeight="false" outlineLevel="0" collapsed="false">
      <c r="A5288" s="1" t="s">
        <v>730</v>
      </c>
      <c r="B5288" s="8" t="s">
        <v>86</v>
      </c>
      <c r="C5288" s="38" t="n">
        <f aca="false">Q!$D$23</f>
        <v>3.792</v>
      </c>
      <c r="D5288" s="38" t="n">
        <f aca="false">Q!$E$23</f>
        <v>4.75</v>
      </c>
      <c r="E5288" s="38" t="n">
        <f aca="false">Q!$P$23</f>
        <v>3.141</v>
      </c>
      <c r="F5288" s="38" t="n">
        <f aca="false">Sens!$F$5284+Sens!$F$5285*Sens!$F$5287-Sens!$F$5286</f>
        <v>2.7687233080221</v>
      </c>
      <c r="G5288" s="38" t="n">
        <f aca="false">Sens!$E$5288+Sens!$F$5288</f>
        <v>5.9097233080221</v>
      </c>
      <c r="H5288" s="38" t="n">
        <f aca="false">Sens!$H$5284+Sens!$H$5285*Sens!$H$5287-Sens!$H$5286</f>
        <v>6.25310068557783</v>
      </c>
      <c r="I5288" s="38" t="n">
        <f aca="false">Sens!$I$5284+Sens!$I$5285*Sens!$I$5287-Sens!$I$5286</f>
        <v>6.02635396621997</v>
      </c>
      <c r="J5288" s="38" t="n">
        <f aca="false">Sens!$J$5284+Sens!$J$5285*Sens!$J$5287-Sens!$J$5286</f>
        <v>5.61873266156566</v>
      </c>
      <c r="K5288" s="38" t="n">
        <f aca="false">Sens!$K$5284+Sens!$K$5285*Sens!$K$5287-Sens!$K$5286</f>
        <v>4.97517213574524</v>
      </c>
      <c r="L5288" s="38" t="n">
        <f aca="false">Sens!$L$5284+Sens!$L$5285*Sens!$L$5287-Sens!$L$5286</f>
        <v>5.14522854459066</v>
      </c>
      <c r="M5288" s="38" t="n">
        <f aca="false">Sens!$M$5284+Sens!$M$5285*Sens!$M$5287-Sens!$M$5286</f>
        <v>6.05660614908815</v>
      </c>
      <c r="N5288" s="38" t="n">
        <f aca="false">Q!$N$23</f>
        <v>2.511</v>
      </c>
      <c r="O5288" s="38" t="n">
        <f aca="false">Q!$O$23</f>
        <v>2.239</v>
      </c>
    </row>
    <row r="5289" customFormat="false" ht="17.15" hidden="false" customHeight="false" outlineLevel="0" collapsed="false">
      <c r="A5289" s="0" t="s">
        <v>731</v>
      </c>
      <c r="B5289" s="0" t="s">
        <v>86</v>
      </c>
      <c r="C5289" s="38" t="n">
        <f aca="false">Sens!$C$5229</f>
        <v>1.64417882953695</v>
      </c>
      <c r="D5289" s="38" t="n">
        <f aca="false">Sens!$D$5229</f>
        <v>5.39125073772939</v>
      </c>
      <c r="E5289" s="38" t="n">
        <f aca="false">Sens!$E$5229</f>
        <v>3.18348617147493</v>
      </c>
      <c r="F5289" s="38" t="n">
        <f aca="false">Sens!$F$5229</f>
        <v>8.27806059642226</v>
      </c>
      <c r="G5289" s="38" t="n">
        <f aca="false">Sens!$G$5229</f>
        <v>11.4615467678972</v>
      </c>
      <c r="H5289" s="38" t="n">
        <f aca="false">Sens!$H$5229</f>
        <v>26.1859456885487</v>
      </c>
      <c r="I5289" s="38" t="n">
        <f aca="false">Sens!$I$5229</f>
        <v>37.04424114757</v>
      </c>
      <c r="J5289" s="38" t="n">
        <f aca="false">Sens!$J$5229</f>
        <v>47.2610736233534</v>
      </c>
      <c r="K5289" s="38" t="n">
        <f aca="false">Sens!$K$5229</f>
        <v>52.0459876645985</v>
      </c>
      <c r="L5289" s="38" t="n">
        <f aca="false">Sens!$L$5229</f>
        <v>54.1033156405981</v>
      </c>
      <c r="M5289" s="38" t="n">
        <f aca="false">Sens!$M$5229</f>
        <v>52.1138209393421</v>
      </c>
      <c r="N5289" s="38" t="n">
        <f aca="false">Sens!$N$5229</f>
        <v>1.67921600037079</v>
      </c>
      <c r="O5289" s="38" t="n">
        <f aca="false">Sens!$O$5229</f>
        <v>3.71203473735861</v>
      </c>
    </row>
    <row r="5290" customFormat="false" ht="17.15" hidden="false" customHeight="false" outlineLevel="0" collapsed="false">
      <c r="A5290" s="0" t="s">
        <v>649</v>
      </c>
      <c r="B5290" s="0" t="s">
        <v>86</v>
      </c>
      <c r="C5290" s="38" t="n">
        <f aca="false">Sens!$C$5234</f>
        <v>38.1898211704631</v>
      </c>
      <c r="D5290" s="38" t="n">
        <f aca="false">Sens!$D$5234</f>
        <v>40.2147492622706</v>
      </c>
      <c r="E5290" s="38" t="n">
        <f aca="false">Sens!$E$5234</f>
        <v>27.5985138285251</v>
      </c>
      <c r="F5290" s="38" t="n">
        <f aca="false">Sens!$F$5234</f>
        <v>25.5484769754606</v>
      </c>
      <c r="G5290" s="38" t="n">
        <f aca="false">Sens!$G$5234</f>
        <v>53.1469908039857</v>
      </c>
      <c r="H5290" s="38" t="n">
        <f aca="false">Sens!$H$5234</f>
        <v>57.3189525076539</v>
      </c>
      <c r="I5290" s="38" t="n">
        <f aca="false">Sens!$I$5234</f>
        <v>63.6385627021087</v>
      </c>
      <c r="J5290" s="38" t="n">
        <f aca="false">Sens!$J$5234</f>
        <v>69.6922896066105</v>
      </c>
      <c r="K5290" s="38" t="n">
        <f aca="false">Sens!$K$5234</f>
        <v>75.2676727751394</v>
      </c>
      <c r="L5290" s="38" t="n">
        <f aca="false">Sens!$L$5234</f>
        <v>81.2890865971505</v>
      </c>
      <c r="M5290" s="38" t="n">
        <f aca="false">Sens!$M$5234</f>
        <v>87.7922135249226</v>
      </c>
      <c r="N5290" s="38" t="n">
        <f aca="false">Sens!$N$5234</f>
        <v>20.0277839996292</v>
      </c>
      <c r="O5290" s="38" t="n">
        <f aca="false">Sens!$O$5234</f>
        <v>20.1869652626414</v>
      </c>
    </row>
    <row r="5291" customFormat="false" ht="17.15" hidden="false" customHeight="false" outlineLevel="0" collapsed="false">
      <c r="A5291" s="1" t="s">
        <v>732</v>
      </c>
      <c r="B5291" s="8" t="s">
        <v>86</v>
      </c>
      <c r="C5291" s="38" t="n">
        <f aca="false">Q!$D$24</f>
        <v>39.834</v>
      </c>
      <c r="D5291" s="38" t="n">
        <f aca="false">Q!$E$24</f>
        <v>45.606</v>
      </c>
      <c r="E5291" s="38" t="n">
        <f aca="false">Q!$P$24</f>
        <v>30.782</v>
      </c>
      <c r="F5291" s="38" t="n">
        <f aca="false">Sens!$F$5289+Sens!$F$5290</f>
        <v>33.8265375718829</v>
      </c>
      <c r="G5291" s="38" t="n">
        <f aca="false">Sens!$G$5289+Sens!$G$5290</f>
        <v>64.6085375718829</v>
      </c>
      <c r="H5291" s="38" t="n">
        <f aca="false">Sens!$H$5289+Sens!$H$5290</f>
        <v>83.5048981962026</v>
      </c>
      <c r="I5291" s="38" t="n">
        <f aca="false">Sens!$I$5289+Sens!$I$5290</f>
        <v>100.682803849679</v>
      </c>
      <c r="J5291" s="38" t="n">
        <f aca="false">Sens!$J$5289+Sens!$J$5290</f>
        <v>116.953363229964</v>
      </c>
      <c r="K5291" s="38" t="n">
        <f aca="false">Sens!$K$5289+Sens!$K$5290</f>
        <v>127.313660439738</v>
      </c>
      <c r="L5291" s="38" t="n">
        <f aca="false">Sens!$L$5289+Sens!$L$5290</f>
        <v>135.392402237749</v>
      </c>
      <c r="M5291" s="38" t="n">
        <f aca="false">Sens!$M$5289+Sens!$M$5290</f>
        <v>139.906034464265</v>
      </c>
      <c r="N5291" s="38" t="n">
        <f aca="false">Q!$N$24</f>
        <v>21.707</v>
      </c>
      <c r="O5291" s="38" t="n">
        <f aca="false">Q!$O$24</f>
        <v>23.899</v>
      </c>
    </row>
    <row r="5292" customFormat="false" ht="17.15" hidden="false" customHeight="false" outlineLevel="0" collapsed="false">
      <c r="A5292" s="5" t="s">
        <v>733</v>
      </c>
      <c r="B5292" s="0" t="s">
        <v>86</v>
      </c>
      <c r="C5292" s="38" t="n">
        <f aca="false">Q!$D$26</f>
        <v>0</v>
      </c>
      <c r="D5292" s="38" t="n">
        <f aca="false">Q!$E$26</f>
        <v>0</v>
      </c>
      <c r="E5292" s="38" t="n">
        <f aca="false">Q!$P$26</f>
        <v>0</v>
      </c>
      <c r="F5292" s="39" t="n">
        <v>0</v>
      </c>
      <c r="G5292" s="38" t="n">
        <f aca="false">Sens!$E$5292+Sens!$F$5292</f>
        <v>0</v>
      </c>
      <c r="H5292" s="39" t="n">
        <v>0</v>
      </c>
      <c r="I5292" s="39" t="n">
        <v>0</v>
      </c>
      <c r="J5292" s="39" t="n">
        <v>0</v>
      </c>
      <c r="K5292" s="39" t="n">
        <v>0</v>
      </c>
      <c r="L5292" s="39" t="n">
        <v>0</v>
      </c>
      <c r="M5292" s="39" t="n">
        <v>0</v>
      </c>
      <c r="N5292" s="38" t="n">
        <f aca="false">Q!$N$26</f>
        <v>0</v>
      </c>
      <c r="O5292" s="38" t="n">
        <f aca="false">Q!$O$26</f>
        <v>0</v>
      </c>
    </row>
    <row r="5293" customFormat="false" ht="15" hidden="false" customHeight="false" outlineLevel="0" collapsed="false">
      <c r="A5293" s="3" t="s">
        <v>534</v>
      </c>
      <c r="B5293" s="8" t="s">
        <v>86</v>
      </c>
      <c r="C5293" s="38" t="n">
        <f aca="false">Q!$D$25</f>
        <v>68.593</v>
      </c>
      <c r="D5293" s="38" t="n">
        <f aca="false">Q!$E$25</f>
        <v>79.975</v>
      </c>
      <c r="E5293" s="38" t="n">
        <f aca="false">Q!$P$25</f>
        <v>51.313</v>
      </c>
      <c r="F5293" s="38" t="n">
        <f aca="false">Sens!$F$5283+Sens!$F$5288+Sens!$F$5291+Sens!$F$5292</f>
        <v>56.6904916268541</v>
      </c>
      <c r="G5293" s="38" t="n">
        <f aca="false">Sens!$G$5283+Sens!$G$5288+Sens!$G$5291+Sens!$G$5292</f>
        <v>108.003491626854</v>
      </c>
      <c r="H5293" s="38" t="n">
        <f aca="false">Sens!$H$5283+Sens!$H$5288+Sens!$H$5291+Sens!$H$5292</f>
        <v>131.546867769501</v>
      </c>
      <c r="I5293" s="38" t="n">
        <f aca="false">Sens!$I$5283+Sens!$I$5288+Sens!$I$5291+Sens!$I$5292</f>
        <v>151.443755203325</v>
      </c>
      <c r="J5293" s="38" t="n">
        <f aca="false">Sens!$J$5283+Sens!$J$5288+Sens!$J$5291+Sens!$J$5292</f>
        <v>169.831139392687</v>
      </c>
      <c r="K5293" s="38" t="n">
        <f aca="false">Sens!$K$5283+Sens!$K$5288+Sens!$K$5291+Sens!$K$5292</f>
        <v>181.415212493822</v>
      </c>
      <c r="L5293" s="38" t="n">
        <f aca="false">Sens!$L$5283+Sens!$L$5288+Sens!$L$5291+Sens!$L$5292</f>
        <v>192.215984468159</v>
      </c>
      <c r="M5293" s="38" t="n">
        <f aca="false">Sens!$M$5283+Sens!$M$5288+Sens!$M$5291+Sens!$M$5292</f>
        <v>202.255862244218</v>
      </c>
      <c r="N5293" s="38" t="n">
        <f aca="false">Q!$N$25</f>
        <v>37.576</v>
      </c>
      <c r="O5293" s="38" t="n">
        <f aca="false">Q!$O$25</f>
        <v>42.399</v>
      </c>
    </row>
    <row r="5294" customFormat="false" ht="17.15" hidden="false" customHeight="false" outlineLevel="0" collapsed="false">
      <c r="A5294" s="24" t="s">
        <v>764</v>
      </c>
      <c r="B5294" s="25" t="s">
        <v>86</v>
      </c>
      <c r="C5294" s="41" t="n">
        <f aca="false">Sens!$C$5283+Sens!$C$5288+Sens!$C$5291+Sens!$C$5292-Sens!$C$5293</f>
        <v>0</v>
      </c>
      <c r="D5294" s="41" t="n">
        <f aca="false">Sens!$D$5283+Sens!$D$5288+Sens!$D$5291+Sens!$D$5292-Sens!$D$5293</f>
        <v>0</v>
      </c>
      <c r="E5294" s="41" t="n">
        <f aca="false">Sens!$E$5283+Sens!$E$5288+Sens!$E$5291+Sens!$E$5292-Sens!$E$5293</f>
        <v>0</v>
      </c>
      <c r="F5294" s="41" t="n">
        <f aca="false">Sens!$F$5283+Sens!$F$5288+Sens!$F$5291+Sens!$F$5292-Sens!$F$5293</f>
        <v>0</v>
      </c>
      <c r="G5294" s="41" t="n">
        <f aca="false">Sens!$G$5283+Sens!$G$5288+Sens!$G$5291+Sens!$G$5292-Sens!$G$5293</f>
        <v>0</v>
      </c>
      <c r="H5294" s="41" t="n">
        <f aca="false">Sens!$H$5283+Sens!$H$5288+Sens!$H$5291+Sens!$H$5292-Sens!$H$5293</f>
        <v>0</v>
      </c>
      <c r="I5294" s="41" t="n">
        <f aca="false">Sens!$I$5283+Sens!$I$5288+Sens!$I$5291+Sens!$I$5292-Sens!$I$5293</f>
        <v>0</v>
      </c>
      <c r="J5294" s="41" t="n">
        <f aca="false">Sens!$J$5283+Sens!$J$5288+Sens!$J$5291+Sens!$J$5292-Sens!$J$5293</f>
        <v>0</v>
      </c>
      <c r="K5294" s="41" t="n">
        <f aca="false">Sens!$K$5283+Sens!$K$5288+Sens!$K$5291+Sens!$K$5292-Sens!$K$5293</f>
        <v>0</v>
      </c>
      <c r="L5294" s="41" t="n">
        <f aca="false">Sens!$L$5283+Sens!$L$5288+Sens!$L$5291+Sens!$L$5292-Sens!$L$5293</f>
        <v>0</v>
      </c>
      <c r="M5294" s="41" t="n">
        <f aca="false">Sens!$M$5283+Sens!$M$5288+Sens!$M$5291+Sens!$M$5292-Sens!$M$5293</f>
        <v>0</v>
      </c>
      <c r="N5294" s="41" t="n">
        <f aca="false">Sens!$N$5283+Sens!$N$5288+Sens!$N$5291+Sens!$N$5292-Sens!$N$5293</f>
        <v>0</v>
      </c>
      <c r="O5294" s="41" t="n">
        <f aca="false">Sens!$O$5283+Sens!$O$5288+Sens!$O$5291+Sens!$O$5292-Sens!$O$5293</f>
        <v>0</v>
      </c>
    </row>
    <row r="5295" customFormat="false" ht="17.15" hidden="false" customHeight="false" outlineLevel="0" collapsed="false">
      <c r="A5295" s="5" t="s">
        <v>735</v>
      </c>
      <c r="B5295" s="0" t="s">
        <v>86</v>
      </c>
      <c r="C5295" s="38" t="n">
        <f aca="false">Sens!$C$5231</f>
        <v>0</v>
      </c>
      <c r="D5295" s="38" t="n">
        <f aca="false">Sens!$D$5231</f>
        <v>0</v>
      </c>
      <c r="E5295" s="38" t="n">
        <f aca="false">Sens!$E$5231</f>
        <v>0</v>
      </c>
      <c r="F5295" s="38" t="n">
        <f aca="false">Sens!$F$5231</f>
        <v>3.77122048175818</v>
      </c>
      <c r="G5295" s="38" t="n">
        <f aca="false">Sens!$G$5231</f>
        <v>3.77122048175818</v>
      </c>
      <c r="H5295" s="38" t="n">
        <f aca="false">Sens!$H$5231</f>
        <v>15.1635543609893</v>
      </c>
      <c r="I5295" s="38" t="n">
        <f aca="false">Sens!$I$5231</f>
        <v>25.5818843619889</v>
      </c>
      <c r="J5295" s="38" t="n">
        <f aca="false">Sens!$J$5231</f>
        <v>36.0465624179122</v>
      </c>
      <c r="K5295" s="38" t="n">
        <f aca="false">Sens!$K$5231</f>
        <v>44.9741164026038</v>
      </c>
      <c r="L5295" s="38" t="n">
        <f aca="false">Sens!$L$5231</f>
        <v>50.8413488057813</v>
      </c>
      <c r="M5295" s="38" t="n">
        <f aca="false">Sens!$M$5231</f>
        <v>53.6407214274315</v>
      </c>
      <c r="N5295" s="38" t="n">
        <f aca="false">Sens!$N$5231</f>
        <v>0</v>
      </c>
      <c r="O5295" s="38" t="n">
        <f aca="false">Sens!$O$5231</f>
        <v>0</v>
      </c>
      <c r="P5295" s="5" t="s">
        <v>736</v>
      </c>
    </row>
    <row r="5296" customFormat="false" ht="17.15" hidden="false" customHeight="false" outlineLevel="0" collapsed="false">
      <c r="A5296" s="5" t="s">
        <v>737</v>
      </c>
      <c r="B5296" s="0" t="s">
        <v>86</v>
      </c>
      <c r="C5296" s="38" t="n">
        <f aca="false">Sens!$C$5293+Sens!$C$5295</f>
        <v>68.593</v>
      </c>
      <c r="D5296" s="38" t="n">
        <f aca="false">Sens!$D$5293+Sens!$D$5295</f>
        <v>79.975</v>
      </c>
      <c r="E5296" s="38" t="n">
        <f aca="false">Sens!$E$5293+Sens!$E$5295</f>
        <v>51.313</v>
      </c>
      <c r="F5296" s="38" t="n">
        <f aca="false">Sens!$F$5293+Sens!$F$5295</f>
        <v>60.4617121086123</v>
      </c>
      <c r="G5296" s="38" t="n">
        <f aca="false">Sens!$G$5293+Sens!$G$5295</f>
        <v>111.774712108612</v>
      </c>
      <c r="H5296" s="38" t="n">
        <f aca="false">Sens!$H$5293+Sens!$H$5295</f>
        <v>146.71042213049</v>
      </c>
      <c r="I5296" s="38" t="n">
        <f aca="false">Sens!$I$5293+Sens!$I$5295</f>
        <v>177.025639565314</v>
      </c>
      <c r="J5296" s="38" t="n">
        <f aca="false">Sens!$J$5293+Sens!$J$5295</f>
        <v>205.877701810599</v>
      </c>
      <c r="K5296" s="38" t="n">
        <f aca="false">Sens!$K$5293+Sens!$K$5295</f>
        <v>226.389328896426</v>
      </c>
      <c r="L5296" s="38" t="n">
        <f aca="false">Sens!$L$5293+Sens!$L$5295</f>
        <v>243.057333273941</v>
      </c>
      <c r="M5296" s="38" t="n">
        <f aca="false">Sens!$M$5293+Sens!$M$5295</f>
        <v>255.896583671649</v>
      </c>
      <c r="N5296" s="38" t="n">
        <f aca="false">Sens!$N$5293+Sens!$N$5295</f>
        <v>37.576</v>
      </c>
      <c r="O5296" s="38" t="n">
        <f aca="false">Sens!$O$5293+Sens!$O$5295</f>
        <v>42.399</v>
      </c>
    </row>
    <row r="5297" customFormat="false" ht="17.15" hidden="false" customHeight="false" outlineLevel="0" collapsed="false">
      <c r="A5297" s="0" t="s">
        <v>738</v>
      </c>
      <c r="B5297" s="0" t="s">
        <v>52</v>
      </c>
      <c r="C5297" s="13" t="n">
        <f aca="false">Sens!$C$5283/Sens!$C$5268</f>
        <v>0.0644314665661928</v>
      </c>
      <c r="D5297" s="13" t="n">
        <f aca="false">Sens!$D$5283/Sens!$D$5268</f>
        <v>0.0694784250712518</v>
      </c>
      <c r="E5297" s="13" t="n">
        <f aca="false">Sens!$E$5283/Sens!$E$5268</f>
        <v>0.0789306463326071</v>
      </c>
      <c r="F5297" s="13" t="n">
        <f aca="false">Sens!$F$5283/Sens!$F$5268</f>
        <v>0.0801757457241943</v>
      </c>
      <c r="G5297" s="13" t="n">
        <f aca="false">Sens!$G$5283/Sens!$G$5268</f>
        <v>0.0795932749625682</v>
      </c>
      <c r="H5297" s="13" t="n">
        <f aca="false">Sens!$H$5283/Sens!$H$5268</f>
        <v>0.0801494276915951</v>
      </c>
      <c r="I5297" s="13" t="n">
        <f aca="false">Sens!$I$5283/Sens!$I$5268</f>
        <v>0.0784619467108939</v>
      </c>
      <c r="J5297" s="13" t="n">
        <f aca="false">Sens!$J$5283/Sens!$J$5268</f>
        <v>0.0767950945569155</v>
      </c>
      <c r="K5297" s="13" t="n">
        <f aca="false">Sens!$K$5283/Sens!$K$5268</f>
        <v>0.0749782708028101</v>
      </c>
      <c r="L5297" s="13" t="n">
        <f aca="false">Sens!$L$5283/Sens!$L$5268</f>
        <v>0.0740581549602486</v>
      </c>
      <c r="M5297" s="13" t="n">
        <f aca="false">Sens!$M$5283/Sens!$M$5268</f>
        <v>0.075724068445432</v>
      </c>
      <c r="N5297" s="13" t="n">
        <f aca="false">Sens!$N$5283/Sens!$N$5268</f>
        <v>0.069228576611127</v>
      </c>
      <c r="O5297" s="13" t="n">
        <f aca="false">Sens!$O$5283/Sens!$O$5268</f>
        <v>0.069685022498393</v>
      </c>
    </row>
    <row r="5298" customFormat="false" ht="17.15" hidden="false" customHeight="false" outlineLevel="0" collapsed="false">
      <c r="A5298" s="0" t="s">
        <v>739</v>
      </c>
      <c r="B5298" s="0" t="s">
        <v>52</v>
      </c>
      <c r="C5298" s="13" t="n">
        <f aca="false">Sens!$C$5288/Sens!$C$5269</f>
        <v>0.026534925055631</v>
      </c>
      <c r="D5298" s="13" t="n">
        <f aca="false">Sens!$D$5288/Sens!$D$5269</f>
        <v>0.0293401855535103</v>
      </c>
      <c r="E5298" s="13" t="n">
        <f aca="false">Sens!$E$5288/Sens!$E$5269</f>
        <v>0.03831141902276</v>
      </c>
      <c r="F5298" s="13" t="n">
        <f aca="false">Sens!$F$5288/Sens!$F$5269</f>
        <v>0.0281350107328284</v>
      </c>
      <c r="G5298" s="13" t="n">
        <f aca="false">Sens!$G$5288/Sens!$G$5269</f>
        <v>0.0327600029432073</v>
      </c>
      <c r="H5298" s="13" t="n">
        <f aca="false">Sens!$H$5288/Sens!$H$5269</f>
        <v>0.031310920057557</v>
      </c>
      <c r="I5298" s="13" t="n">
        <f aca="false">Sens!$I$5288/Sens!$I$5269</f>
        <v>0.0275950243319601</v>
      </c>
      <c r="J5298" s="13" t="n">
        <f aca="false">Sens!$J$5288/Sens!$J$5269</f>
        <v>0.0238367762099147</v>
      </c>
      <c r="K5298" s="13" t="n">
        <f aca="false">Sens!$K$5288/Sens!$K$5269</f>
        <v>0.0198239122855479</v>
      </c>
      <c r="L5298" s="13" t="n">
        <f aca="false">Sens!$L$5288/Sens!$L$5269</f>
        <v>0.0192499447238486</v>
      </c>
      <c r="M5298" s="13" t="n">
        <f aca="false">Sens!$M$5288/Sens!$M$5269</f>
        <v>0.0212700135680342</v>
      </c>
      <c r="N5298" s="13" t="n">
        <f aca="false">Sens!$N$5288/Sens!$N$5269</f>
        <v>0.0357315650169337</v>
      </c>
      <c r="O5298" s="13" t="n">
        <f aca="false">Sens!$O$5288/Sens!$O$5269</f>
        <v>0.0244378956559703</v>
      </c>
    </row>
    <row r="5299" customFormat="false" ht="17.15" hidden="false" customHeight="false" outlineLevel="0" collapsed="false">
      <c r="A5299" s="14" t="s">
        <v>740</v>
      </c>
      <c r="B5299" s="14" t="s">
        <v>52</v>
      </c>
      <c r="C5299" s="17" t="n">
        <f aca="false">Sens!$C$5291/Sens!$C$5270</f>
        <v>0.370355907620217</v>
      </c>
      <c r="D5299" s="17" t="n">
        <f aca="false">Sens!$D$5291/Sens!$D$5270</f>
        <v>0.35429015342785</v>
      </c>
      <c r="E5299" s="17" t="n">
        <f aca="false">Sens!$E$5291/Sens!$E$5270</f>
        <v>0.385647527531039</v>
      </c>
      <c r="F5299" s="17" t="n">
        <f aca="false">Sens!$F$5291/Sens!$F$5270</f>
        <v>0.390008895496028</v>
      </c>
      <c r="G5299" s="17" t="n">
        <f aca="false">Sens!$G$5291/Sens!$G$5270</f>
        <v>0.387918733944362</v>
      </c>
      <c r="H5299" s="17" t="n">
        <f aca="false">Sens!$H$5291/Sens!$H$5270</f>
        <v>0.377537651365497</v>
      </c>
      <c r="I5299" s="17" t="n">
        <f aca="false">Sens!$I$5291/Sens!$I$5270</f>
        <v>0.359230604038662</v>
      </c>
      <c r="J5299" s="17" t="n">
        <f aca="false">Sens!$J$5291/Sens!$J$5270</f>
        <v>0.345197865849801</v>
      </c>
      <c r="K5299" s="17" t="n">
        <f aca="false">Sens!$K$5291/Sens!$K$5270</f>
        <v>0.32654098357242</v>
      </c>
      <c r="L5299" s="17" t="n">
        <f aca="false">Sens!$L$5291/Sens!$L$5270</f>
        <v>0.314806978274702</v>
      </c>
      <c r="M5299" s="17" t="n">
        <f aca="false">Sens!$M$5291/Sens!$M$5270</f>
        <v>0.304503505485029</v>
      </c>
      <c r="N5299" s="17" t="n">
        <f aca="false">Sens!$N$5291/Sens!$N$5270</f>
        <v>0.360941137346192</v>
      </c>
      <c r="O5299" s="17" t="n">
        <f aca="false">Sens!$O$5291/Sens!$O$5270</f>
        <v>0.348458117664212</v>
      </c>
    </row>
    <row r="5300" customFormat="false" ht="17.15" hidden="false" customHeight="false" outlineLevel="0" collapsed="false">
      <c r="A5300" s="0" t="s">
        <v>741</v>
      </c>
      <c r="B5300" s="0" t="s">
        <v>52</v>
      </c>
      <c r="C5300" s="13" t="n">
        <f aca="false">Sens!$C$5289/Sens!$C$5271</f>
        <v>0.708390794789371</v>
      </c>
      <c r="D5300" s="13" t="n">
        <f aca="false">Sens!$D$5289/Sens!$D$5271</f>
        <v>0.619415573115729</v>
      </c>
      <c r="E5300" s="13" t="n">
        <f aca="false">Sens!$E$5289/Sens!$E$5271</f>
        <v>0.374072166056273</v>
      </c>
      <c r="F5300" s="13" t="n">
        <f aca="false">Sens!$F$5289/Sens!$F$5271</f>
        <v>0.553219320710057</v>
      </c>
      <c r="G5300" s="13" t="n">
        <f aca="false">Sens!$G$5289/Sens!$G$5271</f>
        <v>0.488270041527512</v>
      </c>
      <c r="H5300" s="13" t="n">
        <f aca="false">Sens!$H$5289/Sens!$H$5271</f>
        <v>0.435229086816882</v>
      </c>
      <c r="I5300" s="13" t="n">
        <f aca="false">Sens!$I$5289/Sens!$I$5271</f>
        <v>0.364954592421095</v>
      </c>
      <c r="J5300" s="13" t="n">
        <f aca="false">Sens!$J$5289/Sens!$J$5271</f>
        <v>0.330438308582232</v>
      </c>
      <c r="K5300" s="13" t="n">
        <f aca="false">Sens!$K$5289/Sens!$K$5271</f>
        <v>0.2916589289528</v>
      </c>
      <c r="L5300" s="13" t="n">
        <f aca="false">Sens!$L$5289/Sens!$L$5271</f>
        <v>0.268199200593258</v>
      </c>
      <c r="M5300" s="13" t="n">
        <f aca="false">Sens!$M$5289/Sens!$M$5271</f>
        <v>0.244854995033574</v>
      </c>
      <c r="N5300" s="13" t="n">
        <f aca="false">Sens!$N$5289/Sens!$N$5271</f>
        <v>0.551227795793364</v>
      </c>
      <c r="O5300" s="13" t="n">
        <f aca="false">Sens!$O$5289/Sens!$O$5271</f>
        <v>0.656132068597002</v>
      </c>
    </row>
    <row r="5301" customFormat="false" ht="15" hidden="false" customHeight="false" outlineLevel="0" collapsed="false">
      <c r="A5301" s="5" t="s">
        <v>742</v>
      </c>
      <c r="B5301" s="0" t="s">
        <v>52</v>
      </c>
      <c r="C5301" s="13" t="n">
        <f aca="false">Sens!$C$5293/Sens!$C$5273</f>
        <v>0.107519448742004</v>
      </c>
      <c r="D5301" s="13" t="n">
        <f aca="false">Sens!$D$5293/Sens!$D$5273</f>
        <v>0.111552967957552</v>
      </c>
      <c r="E5301" s="13" t="n">
        <f aca="false">Sens!$E$5293/Sens!$E$5273</f>
        <v>0.13428328426562</v>
      </c>
      <c r="F5301" s="13" t="n">
        <f aca="false">Sens!$F$5293/Sens!$F$5273</f>
        <v>0.130089413875539</v>
      </c>
      <c r="G5301" s="13" t="n">
        <f aca="false">Sens!$G$5293/Sens!$G$5273</f>
        <v>0.132048786678316</v>
      </c>
      <c r="H5301" s="13" t="n">
        <f aca="false">Sens!$H$5293/Sens!$H$5273</f>
        <v>0.139604881440853</v>
      </c>
      <c r="I5301" s="13" t="n">
        <f aca="false">Sens!$I$5293/Sens!$I$5273</f>
        <v>0.141694752432769</v>
      </c>
      <c r="J5301" s="13" t="n">
        <f aca="false">Sens!$J$5293/Sens!$J$5273</f>
        <v>0.14272611544629</v>
      </c>
      <c r="K5301" s="13" t="n">
        <f aca="false">Sens!$K$5293/Sens!$K$5273</f>
        <v>0.139974160596744</v>
      </c>
      <c r="L5301" s="13" t="n">
        <f aca="false">Sens!$L$5293/Sens!$L$5273</f>
        <v>0.137772071866073</v>
      </c>
      <c r="M5301" s="13" t="n">
        <f aca="false">Sens!$M$5293/Sens!$M$5273</f>
        <v>0.13596080857516</v>
      </c>
      <c r="N5301" s="13" t="n">
        <f aca="false">Sens!$N$5293/Sens!$N$5273</f>
        <v>0.116201614873411</v>
      </c>
      <c r="O5301" s="13" t="n">
        <f aca="false">Sens!$O$5293/Sens!$O$5273</f>
        <v>0.107733353660861</v>
      </c>
    </row>
    <row r="5302" customFormat="false" ht="17.15" hidden="false" customHeight="false" outlineLevel="0" collapsed="false">
      <c r="A5302" s="1" t="s">
        <v>743</v>
      </c>
    </row>
    <row r="5303" customFormat="false" ht="17.15" hidden="false" customHeight="false" outlineLevel="0" collapsed="false">
      <c r="A5303" s="5" t="s">
        <v>744</v>
      </c>
      <c r="B5303" s="0" t="s">
        <v>52</v>
      </c>
      <c r="D5303" s="28" t="n">
        <f aca="false">(Q!$E$29+Q!$E$30-(1-ext_sh)*Sens!$D$5225)/Sens!$D$5179</f>
        <v>0.0341105596409988</v>
      </c>
    </row>
    <row r="5304" customFormat="false" ht="17.15" hidden="false" customHeight="false" outlineLevel="0" collapsed="false">
      <c r="A5304" s="0" t="s">
        <v>538</v>
      </c>
      <c r="B5304" s="0" t="s">
        <v>86</v>
      </c>
      <c r="C5304" s="38" t="n">
        <f aca="false">Q!$D$29</f>
        <v>14.285</v>
      </c>
      <c r="D5304" s="38" t="n">
        <f aca="false">Q!$E$29</f>
        <v>15.503</v>
      </c>
      <c r="E5304" s="38" t="n">
        <f aca="false">Q!$P$29</f>
        <v>8.78</v>
      </c>
      <c r="F5304" s="38" t="n">
        <f aca="false">(Sens!$D$5303*Sens!$F$5179+(1-ext_sh)*Sens!$F$5225)*Sens!$F$5180</f>
        <v>9.16735846116642</v>
      </c>
      <c r="G5304" s="38" t="n">
        <f aca="false">Sens!$E$5304+Sens!$F$5304</f>
        <v>17.9473584611664</v>
      </c>
      <c r="H5304" s="38" t="n">
        <f aca="false">(Sens!$D$5303*Sens!$H$5179+(1-ext_sh)*Sens!$H$5225)*Sens!$H$5180</f>
        <v>21.6406723110177</v>
      </c>
      <c r="I5304" s="38" t="n">
        <f aca="false">(Sens!$D$5303*Sens!$I$5179+(1-ext_sh)*Sens!$I$5225)*Sens!$I$5180</f>
        <v>27.3128215555087</v>
      </c>
      <c r="J5304" s="38" t="n">
        <f aca="false">(Sens!$D$5303*Sens!$J$5179+(1-ext_sh)*Sens!$J$5225)*Sens!$J$5180</f>
        <v>33.0116861885756</v>
      </c>
      <c r="K5304" s="38" t="n">
        <f aca="false">(Sens!$D$5303*Sens!$K$5179+(1-ext_sh)*Sens!$K$5225)*Sens!$K$5180</f>
        <v>38.6250238720245</v>
      </c>
      <c r="L5304" s="38" t="n">
        <f aca="false">(Sens!$D$5303*Sens!$L$5179+(1-ext_sh)*Sens!$L$5225)*Sens!$L$5180</f>
        <v>43.0711535197861</v>
      </c>
      <c r="M5304" s="38" t="n">
        <f aca="false">(Sens!$D$5303*Sens!$M$5179+(1-ext_sh)*Sens!$M$5225)*Sens!$M$5180</f>
        <v>46.590728630326</v>
      </c>
      <c r="N5304" s="38" t="n">
        <f aca="false">Q!$N$29</f>
        <v>7.272</v>
      </c>
      <c r="O5304" s="38" t="n">
        <f aca="false">Q!$O$29</f>
        <v>8.231</v>
      </c>
    </row>
    <row r="5305" customFormat="false" ht="17.15" hidden="false" customHeight="false" outlineLevel="0" collapsed="false">
      <c r="A5305" s="0" t="s">
        <v>540</v>
      </c>
      <c r="B5305" s="0" t="s">
        <v>86</v>
      </c>
      <c r="C5305" s="38" t="n">
        <f aca="false">Q!$D$30</f>
        <v>4.462</v>
      </c>
      <c r="D5305" s="38" t="n">
        <f aca="false">Q!$E$30</f>
        <v>4.907</v>
      </c>
      <c r="E5305" s="38" t="n">
        <f aca="false">Q!$P$30</f>
        <v>2.57</v>
      </c>
      <c r="F5305" s="38" t="n">
        <f aca="false">(Sens!$D$5303*Sens!$F$5179+(1-ext_sh)*Sens!$F$5225)*(1-Sens!$F$5180)</f>
        <v>3.59937168293151</v>
      </c>
      <c r="G5305" s="38" t="n">
        <f aca="false">Sens!$E$5305+Sens!$F$5305</f>
        <v>6.16937168293151</v>
      </c>
      <c r="H5305" s="38" t="n">
        <f aca="false">(Sens!$D$5303*Sens!$H$5179+(1-ext_sh)*Sens!$H$5225)*(1-Sens!$H$5180)</f>
        <v>8.28915290031442</v>
      </c>
      <c r="I5305" s="38" t="n">
        <f aca="false">(Sens!$D$5303*Sens!$I$5179+(1-ext_sh)*Sens!$I$5225)*(1-Sens!$I$5180)</f>
        <v>10.4617892992793</v>
      </c>
      <c r="J5305" s="38" t="n">
        <f aca="false">(Sens!$D$5303*Sens!$J$5179+(1-ext_sh)*Sens!$J$5225)*(1-Sens!$J$5180)</f>
        <v>12.6446586493057</v>
      </c>
      <c r="K5305" s="38" t="n">
        <f aca="false">(Sens!$D$5303*Sens!$K$5179+(1-ext_sh)*Sens!$K$5225)*(1-Sens!$K$5180)</f>
        <v>14.7947681131192</v>
      </c>
      <c r="L5305" s="38" t="n">
        <f aca="false">(Sens!$D$5303*Sens!$L$5179+(1-ext_sh)*Sens!$L$5225)*(1-Sens!$L$5180)</f>
        <v>16.4977950771268</v>
      </c>
      <c r="M5305" s="38" t="n">
        <f aca="false">(Sens!$D$5303*Sens!$M$5179+(1-ext_sh)*Sens!$M$5225)*(1-Sens!$M$5180)</f>
        <v>17.8459184540772</v>
      </c>
      <c r="N5305" s="38" t="n">
        <f aca="false">Q!$N$30</f>
        <v>2.316</v>
      </c>
      <c r="O5305" s="38" t="n">
        <f aca="false">Q!$O$30</f>
        <v>2.591</v>
      </c>
    </row>
    <row r="5306" customFormat="false" ht="17.15" hidden="false" customHeight="false" outlineLevel="0" collapsed="false">
      <c r="A5306" s="0" t="s">
        <v>541</v>
      </c>
      <c r="B5306" s="0" t="s">
        <v>86</v>
      </c>
      <c r="C5306" s="38" t="n">
        <f aca="false">Sens!$C$5237</f>
        <v>13.32</v>
      </c>
      <c r="D5306" s="38" t="n">
        <f aca="false">Sens!$D$5237</f>
        <v>21.45</v>
      </c>
      <c r="E5306" s="38" t="n">
        <f aca="false">Sens!$E$5237</f>
        <v>15.353</v>
      </c>
      <c r="F5306" s="38" t="n">
        <f aca="false">Sens!$F$5237</f>
        <v>15.4404120185306</v>
      </c>
      <c r="G5306" s="38" t="n">
        <f aca="false">Sens!$G$5237</f>
        <v>30.7934120185306</v>
      </c>
      <c r="H5306" s="38" t="n">
        <f aca="false">Sens!$H$5237</f>
        <v>48.250114371455</v>
      </c>
      <c r="I5306" s="38" t="n">
        <f aca="false">Sens!$I$5237</f>
        <v>73.3965146995963</v>
      </c>
      <c r="J5306" s="38" t="n">
        <f aca="false">Sens!$J$5237</f>
        <v>99.22806138309</v>
      </c>
      <c r="K5306" s="38" t="n">
        <f aca="false">Sens!$K$5237</f>
        <v>125.386627452856</v>
      </c>
      <c r="L5306" s="38" t="n">
        <f aca="false">Sens!$L$5237</f>
        <v>144.77239043275</v>
      </c>
      <c r="M5306" s="38" t="n">
        <f aca="false">Sens!$M$5237</f>
        <v>158.693930910983</v>
      </c>
      <c r="N5306" s="38" t="n">
        <f aca="false">Sens!$N$5237</f>
        <v>9.234</v>
      </c>
      <c r="O5306" s="38" t="n">
        <f aca="false">Sens!$O$5237</f>
        <v>12.216</v>
      </c>
    </row>
    <row r="5307" customFormat="false" ht="17.15" hidden="false" customHeight="false" outlineLevel="0" collapsed="false">
      <c r="A5307" s="5" t="s">
        <v>745</v>
      </c>
      <c r="B5307" s="0" t="s">
        <v>86</v>
      </c>
      <c r="C5307" s="38" t="n">
        <f aca="false">Sens!$C$5304+Sens!$C$5305+Sens!$C$5306</f>
        <v>32.067</v>
      </c>
      <c r="D5307" s="38" t="n">
        <f aca="false">Sens!$D$5304+Sens!$D$5305+Sens!$D$5306</f>
        <v>41.86</v>
      </c>
      <c r="E5307" s="38" t="n">
        <f aca="false">Sens!$E$5304+Sens!$E$5305+Sens!$E$5306</f>
        <v>26.703</v>
      </c>
      <c r="F5307" s="38" t="n">
        <f aca="false">Sens!$F$5304+Sens!$F$5305+Sens!$F$5306</f>
        <v>28.2071421626285</v>
      </c>
      <c r="G5307" s="38" t="n">
        <f aca="false">Sens!$G$5304+Sens!$G$5305+Sens!$G$5306</f>
        <v>54.9101421626285</v>
      </c>
      <c r="H5307" s="38" t="n">
        <f aca="false">Sens!$H$5304+Sens!$H$5305+Sens!$H$5306</f>
        <v>78.1799395827871</v>
      </c>
      <c r="I5307" s="38" t="n">
        <f aca="false">Sens!$I$5304+Sens!$I$5305+Sens!$I$5306</f>
        <v>111.171125554384</v>
      </c>
      <c r="J5307" s="38" t="n">
        <f aca="false">Sens!$J$5304+Sens!$J$5305+Sens!$J$5306</f>
        <v>144.884406220971</v>
      </c>
      <c r="K5307" s="38" t="n">
        <f aca="false">Sens!$K$5304+Sens!$K$5305+Sens!$K$5306</f>
        <v>178.806419437999</v>
      </c>
      <c r="L5307" s="38" t="n">
        <f aca="false">Sens!$L$5304+Sens!$L$5305+Sens!$L$5306</f>
        <v>204.341339029663</v>
      </c>
      <c r="M5307" s="38" t="n">
        <f aca="false">Sens!$M$5304+Sens!$M$5305+Sens!$M$5306</f>
        <v>223.130577995387</v>
      </c>
      <c r="N5307" s="38" t="n">
        <f aca="false">Sens!$N$5304+Sens!$N$5305+Sens!$N$5306</f>
        <v>18.822</v>
      </c>
      <c r="O5307" s="38" t="n">
        <f aca="false">Sens!$O$5304+Sens!$O$5305+Sens!$O$5306</f>
        <v>23.038</v>
      </c>
    </row>
    <row r="5308" customFormat="false" ht="17.15" hidden="false" customHeight="false" outlineLevel="0" collapsed="false">
      <c r="A5308" s="0" t="s">
        <v>746</v>
      </c>
      <c r="B5308" s="0" t="s">
        <v>86</v>
      </c>
      <c r="C5308" s="38" t="n">
        <f aca="false">Sens!$C$5279+Sens!$C$5284</f>
        <v>28.107</v>
      </c>
      <c r="D5308" s="38" t="n">
        <f aca="false">Sens!$D$5279+Sens!$D$5284</f>
        <v>34.3175</v>
      </c>
      <c r="E5308" s="38" t="n">
        <f aca="false">Sens!$E$5279+Sens!$E$5284</f>
        <v>18.526</v>
      </c>
      <c r="F5308" s="38" t="n">
        <f aca="false">Sens!$F$5279+Sens!$F$5284</f>
        <v>23.0786109972074</v>
      </c>
      <c r="G5308" s="38" t="n">
        <f aca="false">Sens!$G$5279+Sens!$G$5284</f>
        <v>41.6046109972074</v>
      </c>
      <c r="H5308" s="38" t="n">
        <f aca="false">Sens!$H$5279+Sens!$H$5284</f>
        <v>49.9484611939488</v>
      </c>
      <c r="I5308" s="38" t="n">
        <f aca="false">Sens!$I$5279+Sens!$I$5284</f>
        <v>58.2915555477481</v>
      </c>
      <c r="J5308" s="38" t="n">
        <f aca="false">Sens!$J$5279+Sens!$J$5284</f>
        <v>66.0744709709759</v>
      </c>
      <c r="K5308" s="38" t="n">
        <f aca="false">Sens!$K$5279+Sens!$K$5284</f>
        <v>72.6819180680735</v>
      </c>
      <c r="L5308" s="38" t="n">
        <f aca="false">Sens!$L$5279+Sens!$L$5284</f>
        <v>79.9501098748808</v>
      </c>
      <c r="M5308" s="38" t="n">
        <f aca="false">Sens!$M$5279+Sens!$M$5284</f>
        <v>87.9451208623689</v>
      </c>
      <c r="N5308" s="38" t="n">
        <f aca="false">Sens!$N$5279+Sens!$N$5284</f>
        <v>14.8075</v>
      </c>
      <c r="O5308" s="38" t="n">
        <f aca="false">Sens!$O$5279+Sens!$O$5284</f>
        <v>19.51</v>
      </c>
    </row>
    <row r="5309" customFormat="false" ht="17.15" hidden="false" customHeight="false" outlineLevel="0" collapsed="false">
      <c r="A5309" s="0" t="s">
        <v>747</v>
      </c>
      <c r="B5309" s="0" t="s">
        <v>86</v>
      </c>
      <c r="C5309" s="38" t="n">
        <f aca="false">Sens!$C$5283+Sens!$C$5288+Sens!$C$5304+Sens!$C$5305-Sens!$C$5308</f>
        <v>19.399</v>
      </c>
      <c r="D5309" s="38" t="n">
        <f aca="false">Sens!$D$5283+Sens!$D$5288+Sens!$D$5304+Sens!$D$5305-Sens!$D$5308</f>
        <v>20.4615</v>
      </c>
      <c r="E5309" s="38" t="n">
        <f aca="false">Sens!$E$5283+Sens!$E$5288+Sens!$E$5304+Sens!$E$5305-Sens!$E$5308</f>
        <v>13.355</v>
      </c>
      <c r="F5309" s="38" t="n">
        <f aca="false">Sens!$F$5283+Sens!$F$5288+Sens!$F$5304+Sens!$F$5305-Sens!$F$5308</f>
        <v>12.5520732018618</v>
      </c>
      <c r="G5309" s="38" t="n">
        <f aca="false">Sens!$G$5283+Sens!$G$5288+Sens!$G$5304+Sens!$G$5305-Sens!$G$5308</f>
        <v>25.9070732018618</v>
      </c>
      <c r="H5309" s="38" t="n">
        <f aca="false">Sens!$H$5283+Sens!$H$5288+Sens!$H$5304+Sens!$H$5305-Sens!$H$5308</f>
        <v>28.0233335906818</v>
      </c>
      <c r="I5309" s="38" t="n">
        <f aca="false">Sens!$I$5283+Sens!$I$5288+Sens!$I$5304+Sens!$I$5305-Sens!$I$5308</f>
        <v>30.2440066606864</v>
      </c>
      <c r="J5309" s="38" t="n">
        <f aca="false">Sens!$J$5283+Sens!$J$5288+Sens!$J$5304+Sens!$J$5305-Sens!$J$5308</f>
        <v>32.4596500296286</v>
      </c>
      <c r="K5309" s="38" t="n">
        <f aca="false">Sens!$K$5283+Sens!$K$5288+Sens!$K$5304+Sens!$K$5305-Sens!$K$5308</f>
        <v>34.839425971154</v>
      </c>
      <c r="L5309" s="38" t="n">
        <f aca="false">Sens!$L$5283+Sens!$L$5288+Sens!$L$5304+Sens!$L$5305-Sens!$L$5308</f>
        <v>36.4424209524427</v>
      </c>
      <c r="M5309" s="38" t="n">
        <f aca="false">Sens!$M$5283+Sens!$M$5288+Sens!$M$5304+Sens!$M$5305-Sens!$M$5308</f>
        <v>38.8413540019876</v>
      </c>
      <c r="N5309" s="38" t="n">
        <f aca="false">Sens!$N$5283+Sens!$N$5288+Sens!$N$5304+Sens!$N$5305-Sens!$N$5308</f>
        <v>10.6495</v>
      </c>
      <c r="O5309" s="38" t="n">
        <f aca="false">Sens!$O$5283+Sens!$O$5288+Sens!$O$5304+Sens!$O$5305-Sens!$O$5308</f>
        <v>9.81200000000001</v>
      </c>
    </row>
    <row r="5310" customFormat="false" ht="17.15" hidden="false" customHeight="false" outlineLevel="0" collapsed="false">
      <c r="A5310" s="0" t="s">
        <v>748</v>
      </c>
      <c r="B5310" s="0" t="s">
        <v>86</v>
      </c>
      <c r="C5310" s="38" t="n">
        <f aca="false">Sens!$C$5290+Sens!$C$5306-ext_sh*Sens!$C$5225</f>
        <v>51.3470500115664</v>
      </c>
      <c r="D5310" s="38" t="n">
        <f aca="false">Sens!$D$5290+Sens!$D$5306-ext_sh*Sens!$D$5225</f>
        <v>60.2799375433739</v>
      </c>
      <c r="E5310" s="38" t="n">
        <f aca="false">Sens!$E$5290+Sens!$E$5306-ext_sh*Sens!$E$5225</f>
        <v>39.5095167090767</v>
      </c>
      <c r="F5310" s="38" t="n">
        <f aca="false">Sens!$F$5290+Sens!$F$5306-ext_sh*Sens!$F$5225</f>
        <v>37.5468918745429</v>
      </c>
      <c r="G5310" s="38" t="n">
        <f aca="false">Sens!$G$5290+Sens!$G$5306-ext_sh*Sens!$G$5225</f>
        <v>77.0564085836196</v>
      </c>
      <c r="H5310" s="38" t="n">
        <f aca="false">Sens!$H$5290+Sens!$H$5306-ext_sh*Sens!$H$5225</f>
        <v>84.2378398616123</v>
      </c>
      <c r="I5310" s="38" t="n">
        <f aca="false">Sens!$I$5290+Sens!$I$5306-ext_sh*Sens!$I$5225</f>
        <v>93.5253492849083</v>
      </c>
      <c r="J5310" s="38" t="n">
        <f aca="false">Sens!$J$5290+Sens!$J$5306-ext_sh*Sens!$J$5225</f>
        <v>102.42210777817</v>
      </c>
      <c r="K5310" s="38" t="n">
        <f aca="false">Sens!$K$5290+Sens!$K$5306-ext_sh*Sens!$K$5225</f>
        <v>110.615876400424</v>
      </c>
      <c r="L5310" s="38" t="n">
        <f aca="false">Sens!$L$5290+Sens!$L$5306-ext_sh*Sens!$L$5225</f>
        <v>119.465146512458</v>
      </c>
      <c r="M5310" s="38" t="n">
        <f aca="false">Sens!$M$5290+Sens!$M$5306-ext_sh*Sens!$M$5225</f>
        <v>129.022358233455</v>
      </c>
      <c r="N5310" s="38" t="n">
        <f aca="false">Sens!$N$5290+Sens!$N$5306-ext_sh*Sens!$N$5225</f>
        <v>28.5693781401809</v>
      </c>
      <c r="O5310" s="38" t="n">
        <f aca="false">Sens!$O$5290+Sens!$O$5306-ext_sh*Sens!$O$5225</f>
        <v>31.7105594031931</v>
      </c>
    </row>
    <row r="5311" customFormat="false" ht="17.15" hidden="false" customHeight="false" outlineLevel="0" collapsed="false">
      <c r="A5311" s="0" t="s">
        <v>749</v>
      </c>
      <c r="B5311" s="0" t="s">
        <v>86</v>
      </c>
      <c r="C5311" s="38" t="n">
        <f aca="false">Sens!$C$5228</f>
        <v>1.80694998843362</v>
      </c>
      <c r="D5311" s="38" t="n">
        <f aca="false">Sens!$D$5228</f>
        <v>6.77606245662607</v>
      </c>
      <c r="E5311" s="38" t="n">
        <f aca="false">Sens!$E$5228</f>
        <v>6.62548329092326</v>
      </c>
      <c r="F5311" s="38" t="n">
        <f aca="false">Sens!$F$5228</f>
        <v>11.7200577158706</v>
      </c>
      <c r="G5311" s="38" t="n">
        <f aca="false">Sens!$G$5228</f>
        <v>18.3455410067939</v>
      </c>
      <c r="H5311" s="38" t="n">
        <f aca="false">Sens!$H$5228</f>
        <v>47.5171727060453</v>
      </c>
      <c r="I5311" s="38" t="n">
        <f aca="false">Sens!$I$5228</f>
        <v>80.5539692643667</v>
      </c>
      <c r="J5311" s="38" t="n">
        <f aca="false">Sens!$J$5228</f>
        <v>113.759316834883</v>
      </c>
      <c r="K5311" s="38" t="n">
        <f aca="false">Sens!$K$5228</f>
        <v>142.084411492169</v>
      </c>
      <c r="L5311" s="38" t="n">
        <f aca="false">Sens!$L$5228</f>
        <v>160.69964615804</v>
      </c>
      <c r="M5311" s="38" t="n">
        <f aca="false">Sens!$M$5228</f>
        <v>169.577607141793</v>
      </c>
      <c r="N5311" s="38" t="n">
        <f aca="false">Sens!$N$5228</f>
        <v>2.37162185981912</v>
      </c>
      <c r="O5311" s="38" t="n">
        <f aca="false">Sens!$O$5228</f>
        <v>4.40444059680694</v>
      </c>
    </row>
    <row r="5312" customFormat="false" ht="17.15" hidden="false" customHeight="false" outlineLevel="0" collapsed="false">
      <c r="A5312" s="0" t="s">
        <v>750</v>
      </c>
      <c r="B5312" s="0" t="s">
        <v>86</v>
      </c>
      <c r="C5312" s="38" t="n">
        <f aca="false">Sens!$C$5293+Sens!$C$5307</f>
        <v>100.66</v>
      </c>
      <c r="D5312" s="38" t="n">
        <f aca="false">Sens!$D$5293+Sens!$D$5307</f>
        <v>121.835</v>
      </c>
      <c r="E5312" s="38" t="n">
        <f aca="false">Sens!$E$5293+Sens!$E$5307</f>
        <v>78.016</v>
      </c>
      <c r="F5312" s="38" t="n">
        <f aca="false">Sens!$F$5293+Sens!$F$5307</f>
        <v>84.8976337894826</v>
      </c>
      <c r="G5312" s="38" t="n">
        <f aca="false">Sens!$G$5293+Sens!$G$5307</f>
        <v>162.913633789483</v>
      </c>
      <c r="H5312" s="38" t="n">
        <f aca="false">Sens!$H$5293+Sens!$H$5307</f>
        <v>209.726807352288</v>
      </c>
      <c r="I5312" s="38" t="n">
        <f aca="false">Sens!$I$5293+Sens!$I$5307</f>
        <v>262.61488075771</v>
      </c>
      <c r="J5312" s="38" t="n">
        <f aca="false">Sens!$J$5293+Sens!$J$5307</f>
        <v>314.715545613658</v>
      </c>
      <c r="K5312" s="38" t="n">
        <f aca="false">Sens!$K$5293+Sens!$K$5307</f>
        <v>360.221631931821</v>
      </c>
      <c r="L5312" s="38" t="n">
        <f aca="false">Sens!$L$5293+Sens!$L$5307</f>
        <v>396.557323497822</v>
      </c>
      <c r="M5312" s="38" t="n">
        <f aca="false">Sens!$M$5293+Sens!$M$5307</f>
        <v>425.386440239605</v>
      </c>
      <c r="N5312" s="38" t="n">
        <f aca="false">Sens!$N$5293+Sens!$N$5307</f>
        <v>56.398</v>
      </c>
      <c r="O5312" s="38" t="n">
        <f aca="false">Sens!$O$5293+Sens!$O$5307</f>
        <v>65.437</v>
      </c>
    </row>
    <row r="5313" customFormat="false" ht="17.15" hidden="false" customHeight="false" outlineLevel="0" collapsed="false">
      <c r="A5313" s="1" t="s">
        <v>751</v>
      </c>
    </row>
    <row r="5314" customFormat="false" ht="15" hidden="false" customHeight="false" outlineLevel="0" collapsed="false">
      <c r="A5314" s="5" t="s">
        <v>544</v>
      </c>
      <c r="B5314" s="0" t="s">
        <v>86</v>
      </c>
      <c r="C5314" s="38" t="n">
        <f aca="false">Q!$D$34</f>
        <v>2.406</v>
      </c>
      <c r="D5314" s="38" t="n">
        <f aca="false">Q!$E$34</f>
        <v>2.274</v>
      </c>
      <c r="E5314" s="38" t="n">
        <f aca="false">Q!$P$34</f>
        <v>2.114</v>
      </c>
      <c r="F5314" s="38" t="n">
        <f aca="false">Sens!$F$5352</f>
        <v>3.24888962733561</v>
      </c>
      <c r="G5314" s="38" t="n">
        <f aca="false">Sens!$E$5314+Sens!$F$5314</f>
        <v>5.36288962733561</v>
      </c>
      <c r="H5314" s="38" t="n">
        <f aca="false">Sens!$H$5352</f>
        <v>7.42354172302123</v>
      </c>
      <c r="I5314" s="38" t="n">
        <f aca="false">Sens!$I$5352</f>
        <v>8.48968024898619</v>
      </c>
      <c r="J5314" s="38" t="n">
        <f aca="false">Sens!$J$5352</f>
        <v>9.63598826439483</v>
      </c>
      <c r="K5314" s="38" t="n">
        <f aca="false">Sens!$K$5352</f>
        <v>9.63598826439483</v>
      </c>
      <c r="L5314" s="38" t="n">
        <f aca="false">Sens!$L$5352</f>
        <v>9.63598826439483</v>
      </c>
      <c r="M5314" s="38" t="n">
        <f aca="false">Sens!$M$5352</f>
        <v>9.63598826439483</v>
      </c>
      <c r="N5314" s="38" t="n">
        <f aca="false">Q!$N$34</f>
        <v>1.057</v>
      </c>
      <c r="O5314" s="38" t="n">
        <f aca="false">Q!$O$34</f>
        <v>1.217</v>
      </c>
    </row>
    <row r="5315" customFormat="false" ht="15" hidden="false" customHeight="false" outlineLevel="0" collapsed="false">
      <c r="A5315" s="5" t="s">
        <v>752</v>
      </c>
      <c r="B5315" s="0" t="s">
        <v>86</v>
      </c>
      <c r="F5315" s="38" t="n">
        <f aca="false">Sens!$F$5353</f>
        <v>2.59</v>
      </c>
      <c r="H5315" s="38" t="n">
        <f aca="false">Sens!$H$5353</f>
        <v>3.76965165045626</v>
      </c>
      <c r="I5315" s="38" t="n">
        <f aca="false">Sens!$I$5353</f>
        <v>2.10589651022864</v>
      </c>
      <c r="J5315" s="38" t="n">
        <f aca="false">Sens!$J$5353</f>
        <v>2.10589651022864</v>
      </c>
      <c r="K5315" s="38" t="n">
        <f aca="false">Sens!$K$5353</f>
        <v>3.03184385018094</v>
      </c>
      <c r="L5315" s="38" t="n">
        <f aca="false">Sens!$L$5353</f>
        <v>8.01944213829919</v>
      </c>
      <c r="M5315" s="38" t="n">
        <f aca="false">Sens!$M$5353</f>
        <v>15.4751142339777</v>
      </c>
    </row>
    <row r="5316" customFormat="false" ht="17.15" hidden="false" customHeight="false" outlineLevel="0" collapsed="false">
      <c r="A5316" s="5" t="s">
        <v>753</v>
      </c>
      <c r="B5316" s="0" t="s">
        <v>86</v>
      </c>
      <c r="C5316" s="38" t="n">
        <f aca="false">Q!$D$39</f>
        <v>2.427</v>
      </c>
      <c r="D5316" s="38" t="n">
        <f aca="false">Q!$E$39</f>
        <v>19.61</v>
      </c>
      <c r="E5316" s="38" t="n">
        <f aca="false">Q!$P$39</f>
        <v>71.492</v>
      </c>
      <c r="F5316" s="39" t="n">
        <v>0</v>
      </c>
      <c r="G5316" s="38" t="n">
        <f aca="false">Sens!$E$5316+Sens!$F$5316</f>
        <v>71.492</v>
      </c>
      <c r="H5316" s="39" t="n">
        <v>0</v>
      </c>
      <c r="I5316" s="39" t="n">
        <v>0</v>
      </c>
      <c r="J5316" s="39" t="n">
        <v>0</v>
      </c>
      <c r="K5316" s="39" t="n">
        <v>0</v>
      </c>
      <c r="L5316" s="39" t="n">
        <v>0</v>
      </c>
      <c r="M5316" s="39" t="n">
        <v>0</v>
      </c>
      <c r="N5316" s="38" t="n">
        <f aca="false">Q!$N$39</f>
        <v>6.017</v>
      </c>
      <c r="O5316" s="38" t="n">
        <f aca="false">Q!$O$39</f>
        <v>13.593</v>
      </c>
      <c r="P5316" s="5" t="s">
        <v>754</v>
      </c>
    </row>
    <row r="5317" customFormat="false" ht="15" hidden="false" customHeight="false" outlineLevel="0" collapsed="false">
      <c r="A5317" s="5" t="s">
        <v>547</v>
      </c>
      <c r="B5317" s="0" t="s">
        <v>86</v>
      </c>
      <c r="C5317" s="38" t="n">
        <f aca="false">Q!$D$36</f>
        <v>68.614</v>
      </c>
      <c r="D5317" s="38" t="n">
        <f aca="false">Q!$E$36</f>
        <v>97.311</v>
      </c>
      <c r="E5317" s="38" t="n">
        <f aca="false">Q!$P$36</f>
        <v>120.691</v>
      </c>
      <c r="F5317" s="38" t="n">
        <f aca="false">Sens!$F$5293-Sens!$F$5314+Sens!$F$5315+Sens!$F$5316</f>
        <v>56.0316019995185</v>
      </c>
      <c r="G5317" s="38" t="n">
        <f aca="false">Sens!$E$5317+Sens!$F$5317</f>
        <v>176.722601999518</v>
      </c>
      <c r="H5317" s="38" t="n">
        <f aca="false">Sens!$H$5293-Sens!$H$5314+Sens!$H$5315+Sens!$H$5316</f>
        <v>127.892977696936</v>
      </c>
      <c r="I5317" s="38" t="n">
        <f aca="false">Sens!$I$5293-Sens!$I$5314+Sens!$I$5315+Sens!$I$5316</f>
        <v>145.059971464568</v>
      </c>
      <c r="J5317" s="38" t="n">
        <f aca="false">Sens!$J$5293-Sens!$J$5314+Sens!$J$5315+Sens!$J$5316</f>
        <v>162.301047638521</v>
      </c>
      <c r="K5317" s="38" t="n">
        <f aca="false">Sens!$K$5293-Sens!$K$5314+Sens!$K$5315+Sens!$K$5316</f>
        <v>174.811068079608</v>
      </c>
      <c r="L5317" s="38" t="n">
        <f aca="false">Sens!$L$5293-Sens!$L$5314+Sens!$L$5315+Sens!$L$5316</f>
        <v>190.599438342064</v>
      </c>
      <c r="M5317" s="38" t="n">
        <f aca="false">Sens!$M$5293-Sens!$M$5314+Sens!$M$5315+Sens!$M$5316</f>
        <v>208.094988213801</v>
      </c>
      <c r="N5317" s="38" t="n">
        <f aca="false">Q!$N$36</f>
        <v>42.536</v>
      </c>
      <c r="O5317" s="38" t="n">
        <f aca="false">Q!$O$36</f>
        <v>54.775</v>
      </c>
    </row>
    <row r="5318" customFormat="false" ht="15" hidden="false" customHeight="false" outlineLevel="0" collapsed="false">
      <c r="A5318" s="5" t="s">
        <v>548</v>
      </c>
      <c r="B5318" s="0" t="s">
        <v>86</v>
      </c>
      <c r="C5318" s="38" t="n">
        <f aca="false">Q!$D$37</f>
        <v>9.265</v>
      </c>
      <c r="D5318" s="38" t="n">
        <f aca="false">Q!$E$37</f>
        <v>19.087</v>
      </c>
      <c r="E5318" s="38" t="n">
        <f aca="false">Q!$P$37</f>
        <v>27.759</v>
      </c>
      <c r="F5318" s="38" t="n">
        <f aca="false">Sens!$F$5317*tax</f>
        <v>9.72621910890414</v>
      </c>
      <c r="G5318" s="38" t="n">
        <f aca="false">Sens!$E$5318+Sens!$F$5318</f>
        <v>37.4852191089041</v>
      </c>
      <c r="H5318" s="38" t="n">
        <f aca="false">Sens!$H$5317*tax</f>
        <v>22.2002419916761</v>
      </c>
      <c r="I5318" s="38" t="n">
        <f aca="false">Sens!$I$5317*tax</f>
        <v>25.1801664783365</v>
      </c>
      <c r="J5318" s="38" t="n">
        <f aca="false">Sens!$J$5317*tax</f>
        <v>28.1729505244292</v>
      </c>
      <c r="K5318" s="38" t="n">
        <f aca="false">Sens!$K$5317*tax</f>
        <v>30.3444965007146</v>
      </c>
      <c r="L5318" s="38" t="n">
        <f aca="false">Sens!$L$5317*tax</f>
        <v>33.0851132788405</v>
      </c>
      <c r="M5318" s="38" t="n">
        <f aca="false">Sens!$M$5317*tax</f>
        <v>36.1220700213006</v>
      </c>
      <c r="N5318" s="38" t="n">
        <f aca="false">Q!$N$37</f>
        <v>7.231</v>
      </c>
      <c r="O5318" s="38" t="n">
        <f aca="false">Q!$O$37</f>
        <v>11.856</v>
      </c>
    </row>
    <row r="5319" customFormat="false" ht="15" hidden="false" customHeight="false" outlineLevel="0" collapsed="false">
      <c r="A5319" s="3" t="s">
        <v>549</v>
      </c>
      <c r="B5319" s="8" t="s">
        <v>86</v>
      </c>
      <c r="C5319" s="38" t="n">
        <f aca="false">Q!$D$38</f>
        <v>59.248</v>
      </c>
      <c r="D5319" s="38" t="n">
        <f aca="false">Q!$E$38</f>
        <v>77.67</v>
      </c>
      <c r="E5319" s="38" t="n">
        <f aca="false">Q!$P$38</f>
        <v>92.902</v>
      </c>
      <c r="F5319" s="38" t="n">
        <f aca="false">Sens!$F$5317-Sens!$F$5318</f>
        <v>46.3053828906144</v>
      </c>
      <c r="G5319" s="38" t="n">
        <f aca="false">Sens!$E$5319+Sens!$F$5319</f>
        <v>139.207382890614</v>
      </c>
      <c r="H5319" s="38" t="n">
        <f aca="false">Sens!$H$5317-Sens!$H$5318</f>
        <v>105.69273570526</v>
      </c>
      <c r="I5319" s="38" t="n">
        <f aca="false">Sens!$I$5317-Sens!$I$5318</f>
        <v>119.879804986231</v>
      </c>
      <c r="J5319" s="38" t="n">
        <f aca="false">Sens!$J$5317-Sens!$J$5318</f>
        <v>134.128097114092</v>
      </c>
      <c r="K5319" s="38" t="n">
        <f aca="false">Sens!$K$5317-Sens!$K$5318</f>
        <v>144.466571578893</v>
      </c>
      <c r="L5319" s="38" t="n">
        <f aca="false">Sens!$L$5317-Sens!$L$5318</f>
        <v>157.514325063223</v>
      </c>
      <c r="M5319" s="38" t="n">
        <f aca="false">Sens!$M$5317-Sens!$M$5318</f>
        <v>171.9729181925</v>
      </c>
      <c r="N5319" s="38" t="n">
        <f aca="false">Q!$N$38</f>
        <v>35.291</v>
      </c>
      <c r="O5319" s="38" t="n">
        <f aca="false">Q!$O$38</f>
        <v>42.379</v>
      </c>
    </row>
    <row r="5320" customFormat="false" ht="17.15" hidden="false" customHeight="false" outlineLevel="0" collapsed="false">
      <c r="A5320" s="5" t="s">
        <v>552</v>
      </c>
      <c r="B5320" s="5" t="s">
        <v>33</v>
      </c>
      <c r="C5320" s="22" t="n">
        <f aca="false">Q!$D$41</f>
        <v>10.721</v>
      </c>
      <c r="D5320" s="22" t="n">
        <f aca="false">Q!$E$41</f>
        <v>10.827</v>
      </c>
      <c r="E5320" s="22" t="n">
        <f aca="false">(Q!$L$41+Q!$M$41)/2</f>
        <v>10.8885</v>
      </c>
      <c r="F5320" s="22" t="n">
        <f aca="false">Sens!$G$5320</f>
        <v>10.924806</v>
      </c>
      <c r="G5320" s="22" t="n">
        <f aca="false">Q!$M$41*(1+sh_g*0.25)</f>
        <v>10.924806</v>
      </c>
      <c r="H5320" s="22" t="n">
        <f aca="false">Sens!$G$5320*(1+sh_g)</f>
        <v>11.012204448</v>
      </c>
      <c r="I5320" s="22" t="n">
        <f aca="false">Sens!$H$5320*(1+sh_g)</f>
        <v>11.100302083584</v>
      </c>
      <c r="J5320" s="22" t="n">
        <f aca="false">Sens!$I$5320*(1+sh_g)</f>
        <v>11.1891045002527</v>
      </c>
      <c r="K5320" s="22" t="n">
        <f aca="false">Sens!$J$5320*(1+sh_g)</f>
        <v>11.2786173362547</v>
      </c>
      <c r="L5320" s="22" t="n">
        <f aca="false">Sens!$K$5320*(1+sh_g)</f>
        <v>11.3688462749447</v>
      </c>
      <c r="M5320" s="22" t="n">
        <f aca="false">Sens!$L$5320*(1+sh_g)</f>
        <v>11.4597970451443</v>
      </c>
      <c r="P5320" s="5" t="s">
        <v>755</v>
      </c>
    </row>
    <row r="5321" customFormat="false" ht="17.15" hidden="false" customHeight="false" outlineLevel="0" collapsed="false">
      <c r="A5321" s="5" t="s">
        <v>756</v>
      </c>
      <c r="B5321" s="0" t="s">
        <v>86</v>
      </c>
      <c r="C5321" s="38" t="n">
        <f aca="false">Sens!$C$5319+Sens!$C$5295*(1-tax)</f>
        <v>59.248</v>
      </c>
      <c r="D5321" s="38" t="n">
        <f aca="false">Sens!$D$5319+Sens!$D$5295*(1-tax)</f>
        <v>77.67</v>
      </c>
      <c r="E5321" s="38" t="n">
        <f aca="false">Sens!$E$5319+Sens!$E$5295*(1-tax)</f>
        <v>92.902</v>
      </c>
      <c r="F5321" s="38" t="n">
        <f aca="false">Sens!$F$5319+Sens!$F$5295*(1-tax)</f>
        <v>49.421977850263</v>
      </c>
      <c r="G5321" s="38" t="n">
        <f aca="false">Sens!$G$5319+Sens!$G$5295*(1-tax)</f>
        <v>142.323977850263</v>
      </c>
      <c r="H5321" s="38" t="n">
        <f aca="false">Sens!$H$5319+Sens!$H$5295*(1-tax)</f>
        <v>118.224131660605</v>
      </c>
      <c r="I5321" s="38" t="n">
        <f aca="false">Sens!$I$5319+Sens!$I$5295*(1-tax)</f>
        <v>141.02107006117</v>
      </c>
      <c r="J5321" s="38" t="n">
        <f aca="false">Sens!$J$5319+Sens!$J$5295*(1-tax)</f>
        <v>163.917534058375</v>
      </c>
      <c r="K5321" s="38" t="n">
        <f aca="false">Sens!$K$5319+Sens!$K$5295*(1-tax)</f>
        <v>181.633877275552</v>
      </c>
      <c r="L5321" s="38" t="n">
        <f aca="false">Sens!$L$5319+Sens!$L$5295*(1-tax)</f>
        <v>199.530402403778</v>
      </c>
      <c r="M5321" s="38" t="n">
        <f aca="false">Sens!$M$5319+Sens!$M$5295*(1-tax)</f>
        <v>216.302440383341</v>
      </c>
      <c r="N5321" s="38" t="n">
        <f aca="false">Sens!$N$5319+Sens!$N$5295*(1-tax)</f>
        <v>35.291</v>
      </c>
      <c r="O5321" s="38" t="n">
        <f aca="false">Sens!$O$5319+Sens!$O$5295*(1-tax)</f>
        <v>42.379</v>
      </c>
    </row>
    <row r="5322" customFormat="false" ht="17.15" hidden="false" customHeight="false" outlineLevel="0" collapsed="false">
      <c r="A5322" s="43" t="s">
        <v>757</v>
      </c>
      <c r="B5322" s="14" t="s">
        <v>27</v>
      </c>
      <c r="C5322" s="44" t="n">
        <f aca="false">Sens!$C$5321/Sens!$C$5320</f>
        <v>5.52635015390355</v>
      </c>
      <c r="D5322" s="44" t="n">
        <f aca="false">Sens!$D$5321/Sens!$D$5320</f>
        <v>7.1737323358271</v>
      </c>
      <c r="E5322" s="44" t="n">
        <f aca="false">Sens!$E$5321/Sens!$E$5320</f>
        <v>8.53212104513937</v>
      </c>
      <c r="F5322" s="14"/>
      <c r="G5322" s="44" t="n">
        <f aca="false">Sens!$G$5321/Sens!$G$5320</f>
        <v>13.0275977303636</v>
      </c>
      <c r="H5322" s="44" t="n">
        <f aca="false">Sens!$H$5321/Sens!$H$5320</f>
        <v>10.7357370832392</v>
      </c>
      <c r="I5322" s="44" t="n">
        <f aca="false">Sens!$I$5321/Sens!$I$5320</f>
        <v>12.7042551634449</v>
      </c>
      <c r="J5322" s="44" t="n">
        <f aca="false">Sens!$J$5321/Sens!$J$5320</f>
        <v>14.6497455676344</v>
      </c>
      <c r="K5322" s="44" t="n">
        <f aca="false">Sens!$K$5321/Sens!$K$5320</f>
        <v>16.104268090708</v>
      </c>
      <c r="L5322" s="44" t="n">
        <f aca="false">Sens!$L$5321/Sens!$L$5320</f>
        <v>17.5506289361581</v>
      </c>
      <c r="M5322" s="44" t="n">
        <f aca="false">Sens!$M$5321/Sens!$M$5320</f>
        <v>18.8748927691518</v>
      </c>
      <c r="N5322" s="14"/>
      <c r="O5322" s="14"/>
    </row>
    <row r="5323" customFormat="false" ht="17.15" hidden="false" customHeight="false" outlineLevel="0" collapsed="false">
      <c r="A5323" s="0" t="s">
        <v>758</v>
      </c>
      <c r="B5323" s="0" t="s">
        <v>27</v>
      </c>
      <c r="C5323" s="30" t="n">
        <f aca="false">Sens!$C$5319/Sens!$C$5320</f>
        <v>5.52635015390355</v>
      </c>
      <c r="D5323" s="30" t="n">
        <f aca="false">Sens!$D$5319/Sens!$D$5320</f>
        <v>7.1737323358271</v>
      </c>
      <c r="E5323" s="30" t="n">
        <f aca="false">Sens!$E$5319/Sens!$E$5320</f>
        <v>8.53212104513937</v>
      </c>
      <c r="G5323" s="30" t="n">
        <f aca="false">Sens!$G$5319/Sens!$G$5320</f>
        <v>12.7423208147233</v>
      </c>
      <c r="H5323" s="30" t="n">
        <f aca="false">Sens!$H$5319/Sens!$H$5320</f>
        <v>9.59778182509639</v>
      </c>
      <c r="I5323" s="30" t="n">
        <f aca="false">Sens!$I$5319/Sens!$I$5320</f>
        <v>10.799688520506</v>
      </c>
      <c r="J5323" s="30" t="n">
        <f aca="false">Sens!$J$5319/Sens!$J$5320</f>
        <v>11.9873844337644</v>
      </c>
      <c r="K5323" s="30" t="n">
        <f aca="false">Sens!$K$5319/Sens!$K$5320</f>
        <v>12.8088902453061</v>
      </c>
      <c r="L5323" s="30" t="n">
        <f aca="false">Sens!$L$5319/Sens!$L$5320</f>
        <v>13.8549085152432</v>
      </c>
      <c r="M5323" s="30" t="n">
        <f aca="false">Sens!$M$5319/Sens!$M$5320</f>
        <v>15.0066286091313</v>
      </c>
    </row>
    <row r="5324" customFormat="false" ht="17.15" hidden="false" customHeight="false" outlineLevel="0" collapsed="false">
      <c r="A5324" s="0" t="s">
        <v>759</v>
      </c>
      <c r="B5324" s="0" t="s">
        <v>27</v>
      </c>
      <c r="C5324" s="30" t="n">
        <f aca="false">(Sens!$C$5319-Sens!$C$5316*(1-tax))/Sens!$C$5320</f>
        <v>5.33926775917445</v>
      </c>
      <c r="D5324" s="30" t="n">
        <f aca="false">(Sens!$D$5319-Sens!$D$5316*(1-tax))/Sens!$D$5320</f>
        <v>5.67691812755503</v>
      </c>
      <c r="E5324" s="30" t="n">
        <f aca="false">(Sens!$E$5319-Sens!$E$5316*(1-tax))/Sens!$E$5320</f>
        <v>3.10602057006846</v>
      </c>
      <c r="G5324" s="30" t="n">
        <f aca="false">(Sens!$G$5319-Sens!$G$5316*(1-tax))/Sens!$G$5320</f>
        <v>7.33425269682635</v>
      </c>
      <c r="H5324" s="30" t="n">
        <f aca="false">(Sens!$H$5319-Sens!$H$5316*(1-tax))/Sens!$H$5320</f>
        <v>9.59778182509639</v>
      </c>
      <c r="I5324" s="30" t="n">
        <f aca="false">(Sens!$I$5319-Sens!$I$5316*(1-tax))/Sens!$I$5320</f>
        <v>10.799688520506</v>
      </c>
      <c r="J5324" s="30" t="n">
        <f aca="false">(Sens!$J$5319-Sens!$J$5316*(1-tax))/Sens!$J$5320</f>
        <v>11.9873844337644</v>
      </c>
      <c r="K5324" s="30" t="n">
        <f aca="false">(Sens!$K$5319-Sens!$K$5316*(1-tax))/Sens!$K$5320</f>
        <v>12.8088902453061</v>
      </c>
      <c r="L5324" s="30" t="n">
        <f aca="false">(Sens!$L$5319-Sens!$L$5316*(1-tax))/Sens!$L$5320</f>
        <v>13.8549085152432</v>
      </c>
      <c r="M5324" s="30" t="n">
        <f aca="false">(Sens!$M$5319-Sens!$M$5316*(1-tax))/Sens!$M$5320</f>
        <v>15.0066286091313</v>
      </c>
      <c r="P5324" s="5" t="s">
        <v>760</v>
      </c>
    </row>
    <row r="5325" customFormat="false" ht="17.15" hidden="false" customHeight="false" outlineLevel="0" collapsed="false">
      <c r="A5325" s="0" t="s">
        <v>761</v>
      </c>
      <c r="B5325" s="0" t="s">
        <v>52</v>
      </c>
      <c r="H5325" s="13" t="n">
        <f aca="false">Sens!$H$5322/Sens!$G$5322-1</f>
        <v>-0.175923504437261</v>
      </c>
      <c r="I5325" s="13" t="n">
        <f aca="false">Sens!$I$5322/Sens!$H$5322-1</f>
        <v>0.183361241519136</v>
      </c>
      <c r="J5325" s="13" t="n">
        <f aca="false">Sens!$J$5322/Sens!$I$5322-1</f>
        <v>0.153136911936991</v>
      </c>
      <c r="K5325" s="13" t="n">
        <f aca="false">Sens!$K$5322/Sens!$J$5322-1</f>
        <v>0.0992865382103958</v>
      </c>
      <c r="L5325" s="13" t="n">
        <f aca="false">Sens!$L$5322/Sens!$K$5322-1</f>
        <v>0.0898122682324627</v>
      </c>
      <c r="M5325" s="13" t="n">
        <f aca="false">Sens!$M$5322/Sens!$L$5322-1</f>
        <v>0.0754539246320329</v>
      </c>
    </row>
    <row r="5328" customFormat="false" ht="19.4" hidden="false" customHeight="false" outlineLevel="0" collapsed="false">
      <c r="A5328" s="31" t="s">
        <v>1243</v>
      </c>
    </row>
    <row r="5329" customFormat="false" ht="17.15" hidden="false" customHeight="false" outlineLevel="0" collapsed="false">
      <c r="A5329" s="6" t="s">
        <v>16</v>
      </c>
      <c r="B5329" s="6" t="s">
        <v>17</v>
      </c>
      <c r="C5329" s="20" t="s">
        <v>497</v>
      </c>
      <c r="D5329" s="20" t="s">
        <v>498</v>
      </c>
      <c r="E5329" s="20" t="s">
        <v>580</v>
      </c>
      <c r="F5329" s="20" t="s">
        <v>581</v>
      </c>
      <c r="G5329" s="20" t="s">
        <v>582</v>
      </c>
      <c r="H5329" s="20" t="s">
        <v>583</v>
      </c>
      <c r="I5329" s="20" t="s">
        <v>584</v>
      </c>
      <c r="J5329" s="20" t="s">
        <v>585</v>
      </c>
      <c r="K5329" s="20" t="s">
        <v>586</v>
      </c>
      <c r="L5329" s="20" t="s">
        <v>587</v>
      </c>
      <c r="M5329" s="20" t="s">
        <v>588</v>
      </c>
      <c r="N5329" s="20" t="s">
        <v>589</v>
      </c>
      <c r="O5329" s="20" t="s">
        <v>590</v>
      </c>
      <c r="P5329" s="6" t="s">
        <v>23</v>
      </c>
      <c r="R5329" s="20" t="n">
        <v>2023</v>
      </c>
      <c r="S5329" s="20" t="n">
        <v>2024</v>
      </c>
      <c r="T5329" s="20" t="n">
        <v>2025</v>
      </c>
      <c r="U5329" s="20" t="n">
        <v>2026</v>
      </c>
      <c r="V5329" s="20" t="n">
        <v>2027</v>
      </c>
      <c r="W5329" s="20" t="n">
        <v>2028</v>
      </c>
      <c r="X5329" s="20" t="n">
        <v>2029</v>
      </c>
      <c r="Y5329" s="20" t="n">
        <v>2030</v>
      </c>
      <c r="Z5329" s="20" t="n">
        <v>2031</v>
      </c>
      <c r="AA5329" s="20" t="n">
        <v>2032</v>
      </c>
    </row>
    <row r="5330" customFormat="false" ht="15" hidden="false" customHeight="false" outlineLevel="0" collapsed="false">
      <c r="A5330" s="5" t="s">
        <v>549</v>
      </c>
      <c r="B5330" s="0" t="s">
        <v>86</v>
      </c>
      <c r="C5330" s="38" t="n">
        <f aca="false">Sens!$C$5319</f>
        <v>59.248</v>
      </c>
      <c r="D5330" s="38" t="n">
        <f aca="false">Sens!$D$5319</f>
        <v>77.67</v>
      </c>
      <c r="E5330" s="38" t="n">
        <f aca="false">Sens!$E$5319</f>
        <v>92.902</v>
      </c>
      <c r="F5330" s="38" t="n">
        <f aca="false">Sens!$F$5319</f>
        <v>46.3053828906144</v>
      </c>
      <c r="G5330" s="38" t="n">
        <f aca="false">Sens!$G$5319</f>
        <v>139.207382890614</v>
      </c>
      <c r="H5330" s="38" t="n">
        <f aca="false">Sens!$H$5319</f>
        <v>105.69273570526</v>
      </c>
      <c r="I5330" s="38" t="n">
        <f aca="false">Sens!$I$5319</f>
        <v>119.879804986231</v>
      </c>
      <c r="J5330" s="38" t="n">
        <f aca="false">Sens!$J$5319</f>
        <v>134.128097114092</v>
      </c>
      <c r="K5330" s="38" t="n">
        <f aca="false">Sens!$K$5319</f>
        <v>144.466571578893</v>
      </c>
      <c r="L5330" s="38" t="n">
        <f aca="false">Sens!$L$5319</f>
        <v>157.514325063223</v>
      </c>
      <c r="M5330" s="38" t="n">
        <f aca="false">Sens!$M$5319</f>
        <v>171.9729181925</v>
      </c>
    </row>
    <row r="5331" customFormat="false" ht="17.15" hidden="false" customHeight="false" outlineLevel="0" collapsed="false">
      <c r="A5331" s="5" t="s">
        <v>784</v>
      </c>
      <c r="B5331" s="0" t="s">
        <v>86</v>
      </c>
      <c r="C5331" s="38" t="n">
        <f aca="false">Sens!$C$5307</f>
        <v>32.067</v>
      </c>
      <c r="D5331" s="38" t="n">
        <f aca="false">Sens!$D$5307</f>
        <v>41.86</v>
      </c>
      <c r="E5331" s="38" t="n">
        <f aca="false">Sens!$E$5307</f>
        <v>26.703</v>
      </c>
      <c r="F5331" s="38" t="n">
        <f aca="false">Sens!$F$5307</f>
        <v>28.2071421626285</v>
      </c>
      <c r="G5331" s="38" t="n">
        <f aca="false">Sens!$G$5307</f>
        <v>54.9101421626285</v>
      </c>
      <c r="H5331" s="38" t="n">
        <f aca="false">Sens!$H$5307</f>
        <v>78.1799395827871</v>
      </c>
      <c r="I5331" s="38" t="n">
        <f aca="false">Sens!$I$5307</f>
        <v>111.171125554384</v>
      </c>
      <c r="J5331" s="38" t="n">
        <f aca="false">Sens!$J$5307</f>
        <v>144.884406220971</v>
      </c>
      <c r="K5331" s="38" t="n">
        <f aca="false">Sens!$K$5307</f>
        <v>178.806419437999</v>
      </c>
      <c r="L5331" s="38" t="n">
        <f aca="false">Sens!$L$5307</f>
        <v>204.341339029663</v>
      </c>
      <c r="M5331" s="38" t="n">
        <f aca="false">Sens!$M$5307</f>
        <v>223.130577995387</v>
      </c>
    </row>
    <row r="5332" customFormat="false" ht="15" hidden="false" customHeight="false" outlineLevel="0" collapsed="false">
      <c r="A5332" s="5" t="s">
        <v>785</v>
      </c>
      <c r="B5332" s="0" t="s">
        <v>86</v>
      </c>
      <c r="C5332" s="38" t="n">
        <f aca="false">Q!$D$48</f>
        <v>22.011</v>
      </c>
      <c r="D5332" s="38" t="n">
        <f aca="false">Q!$E$48</f>
        <v>19.467</v>
      </c>
      <c r="E5332" s="38" t="n">
        <f aca="false">Q!$P$48</f>
        <v>10.07</v>
      </c>
      <c r="F5332" s="38" t="n">
        <f aca="false">sbc_r*Sens!$F$5249</f>
        <v>10.8507035798037</v>
      </c>
      <c r="G5332" s="38" t="n">
        <f aca="false">Sens!$E$5332+Sens!$F$5332</f>
        <v>20.9207035798037</v>
      </c>
      <c r="H5332" s="38" t="n">
        <f aca="false">sbc_r*Sens!$H$5249</f>
        <v>23.46224366345</v>
      </c>
      <c r="I5332" s="38" t="n">
        <f aca="false">sbc_r*Sens!$I$5249</f>
        <v>26.6125957111676</v>
      </c>
      <c r="J5332" s="38" t="n">
        <f aca="false">sbc_r*Sens!$J$5249</f>
        <v>29.6280801413323</v>
      </c>
      <c r="K5332" s="38" t="n">
        <f aca="false">sbc_r*Sens!$K$5249</f>
        <v>32.2712258901105</v>
      </c>
      <c r="L5332" s="38" t="n">
        <f aca="false">sbc_r*Sens!$L$5249</f>
        <v>34.7390505016737</v>
      </c>
      <c r="M5332" s="38" t="n">
        <f aca="false">sbc_r*Sens!$M$5249</f>
        <v>37.0405146906692</v>
      </c>
    </row>
    <row r="5333" customFormat="false" ht="17.15" hidden="false" customHeight="false" outlineLevel="0" collapsed="false">
      <c r="A5333" s="5" t="s">
        <v>786</v>
      </c>
      <c r="B5333" s="0" t="s">
        <v>86</v>
      </c>
      <c r="C5333" s="38" t="n">
        <f aca="false">Q!$D$44-Sens!$C$5330-Sens!$C$5331-Sens!$C$5332</f>
        <v>2.551</v>
      </c>
      <c r="D5333" s="38" t="n">
        <f aca="false">Q!$E$44-Sens!$D$5330-Sens!$D$5331-Sens!$D$5332</f>
        <v>0.51700000000001</v>
      </c>
      <c r="E5333" s="38" t="n">
        <f aca="false">Q!$P$44-Sens!$E$5330-Sens!$E$5331-Sens!$E$5332</f>
        <v>-58.256</v>
      </c>
      <c r="F5333" s="38" t="n">
        <f aca="false">oth_r*Sens!$F$5249</f>
        <v>5.22265251035878</v>
      </c>
      <c r="G5333" s="38" t="n">
        <f aca="false">Sens!$E$5333+Sens!$F$5333</f>
        <v>-53.0333474896412</v>
      </c>
      <c r="H5333" s="38" t="n">
        <f aca="false">oth_r*Sens!$H$5249</f>
        <v>11.2928295263397</v>
      </c>
      <c r="I5333" s="38" t="n">
        <f aca="false">oth_r*Sens!$I$5249</f>
        <v>12.8091546115766</v>
      </c>
      <c r="J5333" s="38" t="n">
        <f aca="false">oth_r*Sens!$J$5249</f>
        <v>14.2605653162668</v>
      </c>
      <c r="K5333" s="38" t="n">
        <f aca="false">oth_r*Sens!$K$5249</f>
        <v>15.5327622460396</v>
      </c>
      <c r="L5333" s="38" t="n">
        <f aca="false">oth_r*Sens!$L$5249</f>
        <v>16.720573737517</v>
      </c>
      <c r="M5333" s="38" t="n">
        <f aca="false">oth_r*Sens!$M$5249</f>
        <v>17.8283127551536</v>
      </c>
      <c r="P5333" s="8" t="s">
        <v>787</v>
      </c>
    </row>
    <row r="5334" customFormat="false" ht="15" hidden="false" customHeight="false" outlineLevel="0" collapsed="false">
      <c r="A5334" s="3" t="s">
        <v>555</v>
      </c>
      <c r="B5334" s="8" t="s">
        <v>86</v>
      </c>
      <c r="C5334" s="38" t="n">
        <f aca="false">Q!$D$44</f>
        <v>115.877</v>
      </c>
      <c r="D5334" s="38" t="n">
        <f aca="false">Q!$E$44</f>
        <v>139.514</v>
      </c>
      <c r="E5334" s="38" t="n">
        <f aca="false">Q!$P$44</f>
        <v>71.419</v>
      </c>
      <c r="F5334" s="38" t="n">
        <f aca="false">Sens!$F$5330+Sens!$F$5331+Sens!$F$5332+Sens!$F$5333</f>
        <v>90.5858811434053</v>
      </c>
      <c r="G5334" s="38" t="n">
        <f aca="false">Sens!$E$5334+Sens!$F$5334</f>
        <v>162.004881143405</v>
      </c>
      <c r="H5334" s="38" t="n">
        <f aca="false">Sens!$H$5330+Sens!$H$5331+Sens!$H$5332+Sens!$H$5333</f>
        <v>218.627748477837</v>
      </c>
      <c r="I5334" s="38" t="n">
        <f aca="false">Sens!$I$5330+Sens!$I$5331+Sens!$I$5332+Sens!$I$5333</f>
        <v>270.47268086336</v>
      </c>
      <c r="J5334" s="38" t="n">
        <f aca="false">Sens!$J$5330+Sens!$J$5331+Sens!$J$5332+Sens!$J$5333</f>
        <v>322.901148792662</v>
      </c>
      <c r="K5334" s="38" t="n">
        <f aca="false">Sens!$K$5330+Sens!$K$5331+Sens!$K$5332+Sens!$K$5333</f>
        <v>371.076979153043</v>
      </c>
      <c r="L5334" s="38" t="n">
        <f aca="false">Sens!$L$5330+Sens!$L$5331+Sens!$L$5332+Sens!$L$5333</f>
        <v>413.315288332076</v>
      </c>
      <c r="M5334" s="38" t="n">
        <f aca="false">Sens!$M$5330+Sens!$M$5331+Sens!$M$5332+Sens!$M$5333</f>
        <v>449.97232363371</v>
      </c>
    </row>
    <row r="5335" customFormat="false" ht="17.15" hidden="false" customHeight="false" outlineLevel="0" collapsed="false">
      <c r="A5335" s="5" t="s">
        <v>788</v>
      </c>
      <c r="B5335" s="0" t="s">
        <v>86</v>
      </c>
      <c r="C5335" s="38" t="n">
        <f aca="false">Sens!$C$5216</f>
        <v>25.2781053077374</v>
      </c>
      <c r="D5335" s="38" t="n">
        <f aca="false">Sens!$D$5216</f>
        <v>69.5686316310026</v>
      </c>
      <c r="E5335" s="38" t="n">
        <f aca="false">Sens!$E$5216</f>
        <v>64.1899206485108</v>
      </c>
      <c r="F5335" s="38" t="n">
        <f aca="false">Sens!$F$5216</f>
        <v>96.2481299895</v>
      </c>
      <c r="G5335" s="38" t="n">
        <f aca="false">Sens!$G$5216</f>
        <v>160.438050638011</v>
      </c>
      <c r="H5335" s="38" t="n">
        <f aca="false">Sens!$H$5216</f>
        <v>198.57136494475</v>
      </c>
      <c r="I5335" s="38" t="n">
        <f aca="false">Sens!$I$5216</f>
        <v>204.6464699105</v>
      </c>
      <c r="J5335" s="38" t="n">
        <f aca="false">Sens!$J$5216</f>
        <v>209.8832381105</v>
      </c>
      <c r="K5335" s="38" t="n">
        <f aca="false">Sens!$K$5216</f>
        <v>155.238385275201</v>
      </c>
      <c r="L5335" s="38" t="n">
        <f aca="false">Sens!$L$5216</f>
        <v>132.014141639902</v>
      </c>
      <c r="M5335" s="38" t="n">
        <f aca="false">Sens!$M$5216</f>
        <v>132.230981659852</v>
      </c>
    </row>
    <row r="5336" customFormat="false" ht="17.15" hidden="false" customHeight="false" outlineLevel="0" collapsed="false">
      <c r="A5336" s="5" t="s">
        <v>789</v>
      </c>
      <c r="B5336" s="0" t="s">
        <v>86</v>
      </c>
      <c r="C5336" s="38" t="n">
        <f aca="false">cx_awso*Sens!$C$5247</f>
        <v>21.0469989286053</v>
      </c>
      <c r="D5336" s="38" t="n">
        <f aca="false">cx_awso*Sens!$D$5247</f>
        <v>24.0042459822698</v>
      </c>
      <c r="E5336" s="38" t="n">
        <f aca="false">cx_awso*Sens!$E$5247</f>
        <v>14.261729404886</v>
      </c>
      <c r="F5336" s="38" t="n">
        <f aca="false">cx_awso*Sens!$F$5247</f>
        <v>14.3538599588493</v>
      </c>
      <c r="G5336" s="38" t="n">
        <f aca="false">Sens!$E$5336+Sens!$F$5336</f>
        <v>28.6155893637353</v>
      </c>
      <c r="H5336" s="38" t="n">
        <f aca="false">cx_awso*Sens!$H$5247</f>
        <v>32.2034154158406</v>
      </c>
      <c r="I5336" s="38" t="n">
        <f aca="false">cx_awso*Sens!$I$5247</f>
        <v>35.7539519042915</v>
      </c>
      <c r="J5336" s="38" t="n">
        <f aca="false">cx_awso*Sens!$J$5247</f>
        <v>39.1551076091815</v>
      </c>
      <c r="K5336" s="38" t="n">
        <f aca="false">cx_awso*Sens!$K$5247</f>
        <v>42.287516217916</v>
      </c>
      <c r="L5336" s="38" t="n">
        <f aca="false">cx_awso*Sens!$L$5247</f>
        <v>45.6705175153492</v>
      </c>
      <c r="M5336" s="38" t="n">
        <f aca="false">cx_awso*Sens!$M$5247</f>
        <v>49.3241589165772</v>
      </c>
    </row>
    <row r="5337" customFormat="false" ht="17.15" hidden="false" customHeight="false" outlineLevel="0" collapsed="false">
      <c r="A5337" s="5" t="s">
        <v>790</v>
      </c>
      <c r="B5337" s="0" t="s">
        <v>86</v>
      </c>
      <c r="C5337" s="38" t="n">
        <f aca="false">Q!$D$46-Sens!$C$5335-Sens!$C$5336</f>
        <v>31.3328957636573</v>
      </c>
      <c r="D5337" s="38" t="n">
        <f aca="false">Q!$E$46-Sens!$D$5335-Sens!$D$5336</f>
        <v>34.7471223867276</v>
      </c>
      <c r="E5337" s="38" t="n">
        <f aca="false">Q!$P$46-Sens!$E$5335-Sens!$E$5336</f>
        <v>17.8583499466032</v>
      </c>
      <c r="F5337" s="38" t="n">
        <f aca="false">cx_rt*Sens!$F$5179</f>
        <v>20.6195895799373</v>
      </c>
      <c r="G5337" s="38" t="n">
        <f aca="false">Sens!$E$5337+Sens!$F$5337</f>
        <v>38.4779395265405</v>
      </c>
      <c r="H5337" s="38" t="n">
        <f aca="false">cx_rt*Sens!$H$5179</f>
        <v>42.5978994743075</v>
      </c>
      <c r="I5337" s="38" t="n">
        <f aca="false">cx_rt*Sens!$I$5179</f>
        <v>46.5813904136335</v>
      </c>
      <c r="J5337" s="38" t="n">
        <f aca="false">cx_rt*Sens!$J$5179</f>
        <v>50.2781676586844</v>
      </c>
      <c r="K5337" s="38" t="n">
        <f aca="false">cx_rt*Sens!$K$5179</f>
        <v>53.5312440191755</v>
      </c>
      <c r="L5337" s="38" t="n">
        <f aca="false">cx_rt*Sens!$L$5179</f>
        <v>57.0116717051447</v>
      </c>
      <c r="M5337" s="38" t="n">
        <f aca="false">cx_rt*Sens!$M$5179</f>
        <v>60.7365554669226</v>
      </c>
    </row>
    <row r="5338" customFormat="false" ht="15" hidden="false" customHeight="false" outlineLevel="0" collapsed="false">
      <c r="A5338" s="3" t="s">
        <v>791</v>
      </c>
      <c r="B5338" s="8" t="s">
        <v>86</v>
      </c>
      <c r="C5338" s="38" t="n">
        <f aca="false">Q!$D$46</f>
        <v>77.658</v>
      </c>
      <c r="D5338" s="38" t="n">
        <f aca="false">Q!$E$46</f>
        <v>128.32</v>
      </c>
      <c r="E5338" s="38" t="n">
        <f aca="false">Q!$P$46</f>
        <v>96.31</v>
      </c>
      <c r="F5338" s="38" t="n">
        <f aca="false">Sens!$F$5335+Sens!$F$5336+Sens!$F$5337</f>
        <v>131.221579528287</v>
      </c>
      <c r="G5338" s="38" t="n">
        <f aca="false">Sens!$E$5338+Sens!$F$5338</f>
        <v>227.531579528287</v>
      </c>
      <c r="H5338" s="38" t="n">
        <f aca="false">Sens!$H$5335+Sens!$H$5336+Sens!$H$5337</f>
        <v>273.372679834898</v>
      </c>
      <c r="I5338" s="38" t="n">
        <f aca="false">Sens!$I$5335+Sens!$I$5336+Sens!$I$5337</f>
        <v>286.981812228425</v>
      </c>
      <c r="J5338" s="38" t="n">
        <f aca="false">Sens!$J$5335+Sens!$J$5336+Sens!$J$5337</f>
        <v>299.316513378366</v>
      </c>
      <c r="K5338" s="38" t="n">
        <f aca="false">Sens!$K$5335+Sens!$K$5336+Sens!$K$5337</f>
        <v>251.057145512292</v>
      </c>
      <c r="L5338" s="38" t="n">
        <f aca="false">Sens!$L$5335+Sens!$L$5336+Sens!$L$5337</f>
        <v>234.696330860396</v>
      </c>
      <c r="M5338" s="38" t="n">
        <f aca="false">Sens!$M$5335+Sens!$M$5336+Sens!$M$5337</f>
        <v>242.291696043352</v>
      </c>
    </row>
    <row r="5339" customFormat="false" ht="17.15" hidden="false" customHeight="false" outlineLevel="0" collapsed="false">
      <c r="A5339" s="5" t="s">
        <v>563</v>
      </c>
      <c r="B5339" s="0" t="s">
        <v>86</v>
      </c>
      <c r="C5339" s="38" t="n">
        <f aca="false">Q!$D$50</f>
        <v>2.043</v>
      </c>
      <c r="D5339" s="38" t="n">
        <f aca="false">Q!$E$50</f>
        <v>1.557</v>
      </c>
      <c r="E5339" s="38" t="n">
        <f aca="false">lease_pr/2</f>
        <v>0.8</v>
      </c>
      <c r="F5339" s="38" t="n">
        <f aca="false">lease_pr/2</f>
        <v>0.8</v>
      </c>
      <c r="G5339" s="38" t="n">
        <f aca="false">Sens!$E$5339+Sens!$F$5339</f>
        <v>1.6</v>
      </c>
      <c r="H5339" s="38" t="n">
        <f aca="false">lease_pr</f>
        <v>1.6</v>
      </c>
      <c r="I5339" s="38" t="n">
        <f aca="false">lease_pr</f>
        <v>1.6</v>
      </c>
      <c r="J5339" s="38" t="n">
        <f aca="false">lease_pr</f>
        <v>1.6</v>
      </c>
      <c r="K5339" s="38" t="n">
        <f aca="false">lease_pr</f>
        <v>1.6</v>
      </c>
      <c r="L5339" s="38" t="n">
        <f aca="false">lease_pr</f>
        <v>1.6</v>
      </c>
      <c r="M5339" s="38" t="n">
        <f aca="false">lease_pr</f>
        <v>1.6</v>
      </c>
      <c r="P5339" s="8" t="s">
        <v>792</v>
      </c>
    </row>
    <row r="5340" customFormat="false" ht="15" hidden="false" customHeight="false" outlineLevel="0" collapsed="false">
      <c r="A5340" s="47" t="s">
        <v>793</v>
      </c>
      <c r="B5340" s="14" t="s">
        <v>86</v>
      </c>
      <c r="C5340" s="48" t="n">
        <f aca="false">Sens!$C$5334-Sens!$C$5338-Sens!$C$5339</f>
        <v>36.176</v>
      </c>
      <c r="D5340" s="48" t="n">
        <f aca="false">Sens!$D$5334-Sens!$D$5338-Sens!$D$5339</f>
        <v>9.63700000000002</v>
      </c>
      <c r="E5340" s="48" t="n">
        <f aca="false">Sens!$E$5334-Sens!$E$5338-Sens!$E$5339</f>
        <v>-25.691</v>
      </c>
      <c r="F5340" s="48" t="n">
        <f aca="false">Sens!$F$5334-Sens!$F$5338-Sens!$F$5339</f>
        <v>-41.4356983848813</v>
      </c>
      <c r="G5340" s="48" t="n">
        <f aca="false">Sens!$G$5334-Sens!$G$5338-Sens!$G$5339</f>
        <v>-67.1266983848813</v>
      </c>
      <c r="H5340" s="48" t="n">
        <f aca="false">Sens!$H$5334-Sens!$H$5338-Sens!$H$5339</f>
        <v>-56.3449313570613</v>
      </c>
      <c r="I5340" s="48" t="n">
        <f aca="false">Sens!$I$5334-Sens!$I$5338-Sens!$I$5339</f>
        <v>-18.1091313650653</v>
      </c>
      <c r="J5340" s="48" t="n">
        <f aca="false">Sens!$J$5334-Sens!$J$5338-Sens!$J$5339</f>
        <v>21.9846354142961</v>
      </c>
      <c r="K5340" s="48" t="n">
        <f aca="false">Sens!$K$5334-Sens!$K$5338-Sens!$K$5339</f>
        <v>118.41983364075</v>
      </c>
      <c r="L5340" s="48" t="n">
        <f aca="false">Sens!$L$5334-Sens!$L$5338-Sens!$L$5339</f>
        <v>177.018957471681</v>
      </c>
      <c r="M5340" s="48" t="n">
        <f aca="false">Sens!$M$5334-Sens!$M$5338-Sens!$M$5339</f>
        <v>206.080627590357</v>
      </c>
      <c r="N5340" s="14"/>
      <c r="O5340" s="14"/>
    </row>
    <row r="5341" customFormat="false" ht="17.15" hidden="false" customHeight="false" outlineLevel="0" collapsed="false">
      <c r="A5341" s="5" t="s">
        <v>794</v>
      </c>
      <c r="B5341" s="0" t="s">
        <v>86</v>
      </c>
      <c r="C5341" s="38" t="n">
        <f aca="false">dps*Sens!$C$5320</f>
        <v>0</v>
      </c>
      <c r="D5341" s="38" t="n">
        <f aca="false">dps*Sens!$D$5320</f>
        <v>0</v>
      </c>
      <c r="E5341" s="38" t="n">
        <f aca="false">dps*Sens!$E$5320</f>
        <v>0</v>
      </c>
      <c r="F5341" s="38" t="n">
        <f aca="false">0</f>
        <v>0</v>
      </c>
      <c r="G5341" s="38" t="n">
        <f aca="false">dps*Sens!$G$5320</f>
        <v>0</v>
      </c>
      <c r="H5341" s="38" t="n">
        <f aca="false">dps*Sens!$H$5320</f>
        <v>0</v>
      </c>
      <c r="I5341" s="38" t="n">
        <f aca="false">dps*Sens!$I$5320</f>
        <v>0</v>
      </c>
      <c r="J5341" s="38" t="n">
        <f aca="false">dps*Sens!$J$5320</f>
        <v>0</v>
      </c>
      <c r="K5341" s="38" t="n">
        <f aca="false">dps*Sens!$K$5320</f>
        <v>0</v>
      </c>
      <c r="L5341" s="38" t="n">
        <f aca="false">dps*Sens!$L$5320</f>
        <v>0</v>
      </c>
      <c r="M5341" s="38" t="n">
        <f aca="false">dps*Sens!$M$5320</f>
        <v>0</v>
      </c>
      <c r="P5341" s="8" t="s">
        <v>795</v>
      </c>
    </row>
    <row r="5342" customFormat="false" ht="17.15" hidden="false" customHeight="false" outlineLevel="0" collapsed="false">
      <c r="A5342" s="5" t="s">
        <v>796</v>
      </c>
      <c r="B5342" s="0" t="s">
        <v>86</v>
      </c>
      <c r="C5342" s="38" t="n">
        <f aca="false">0</f>
        <v>0</v>
      </c>
      <c r="D5342" s="38" t="n">
        <f aca="false">0</f>
        <v>0</v>
      </c>
      <c r="E5342" s="38" t="n">
        <f aca="false">0</f>
        <v>0</v>
      </c>
      <c r="F5342" s="38" t="n">
        <f aca="false">0</f>
        <v>0</v>
      </c>
      <c r="G5342" s="38" t="n">
        <f aca="false">0</f>
        <v>0</v>
      </c>
      <c r="H5342" s="38" t="n">
        <f aca="false">0</f>
        <v>0</v>
      </c>
      <c r="I5342" s="38" t="n">
        <f aca="false">0</f>
        <v>0</v>
      </c>
      <c r="J5342" s="38" t="n">
        <f aca="false">0</f>
        <v>0</v>
      </c>
      <c r="K5342" s="38" t="n">
        <f aca="false">0</f>
        <v>0</v>
      </c>
      <c r="L5342" s="38" t="n">
        <f aca="false">0</f>
        <v>0</v>
      </c>
      <c r="M5342" s="38" t="n">
        <f aca="false">0</f>
        <v>0</v>
      </c>
      <c r="P5342" s="8" t="s">
        <v>797</v>
      </c>
    </row>
    <row r="5343" customFormat="false" ht="15" hidden="false" customHeight="false" outlineLevel="0" collapsed="false">
      <c r="A5343" s="3" t="s">
        <v>798</v>
      </c>
      <c r="B5343" s="8" t="s">
        <v>86</v>
      </c>
      <c r="C5343" s="38" t="n">
        <f aca="false">Sens!$C$5340-Sens!$C$5341</f>
        <v>36.176</v>
      </c>
      <c r="D5343" s="38" t="n">
        <f aca="false">Sens!$D$5340-Sens!$D$5341</f>
        <v>9.63700000000002</v>
      </c>
      <c r="E5343" s="38" t="n">
        <f aca="false">Sens!$E$5340-Sens!$E$5341</f>
        <v>-25.691</v>
      </c>
      <c r="F5343" s="38" t="n">
        <f aca="false">Sens!$F$5340-Sens!$F$5341</f>
        <v>-41.4356983848813</v>
      </c>
      <c r="G5343" s="38" t="n">
        <f aca="false">Sens!$G$5340-Sens!$G$5341</f>
        <v>-67.1266983848813</v>
      </c>
      <c r="H5343" s="38" t="n">
        <f aca="false">Sens!$H$5340-Sens!$H$5341</f>
        <v>-56.3449313570613</v>
      </c>
      <c r="I5343" s="38" t="n">
        <f aca="false">Sens!$I$5340-Sens!$I$5341</f>
        <v>-18.1091313650653</v>
      </c>
      <c r="J5343" s="38" t="n">
        <f aca="false">Sens!$J$5340-Sens!$J$5341</f>
        <v>21.9846354142961</v>
      </c>
      <c r="K5343" s="38" t="n">
        <f aca="false">Sens!$K$5340-Sens!$K$5341</f>
        <v>118.41983364075</v>
      </c>
      <c r="L5343" s="38" t="n">
        <f aca="false">Sens!$L$5340-Sens!$L$5341</f>
        <v>177.018957471681</v>
      </c>
      <c r="M5343" s="38" t="n">
        <f aca="false">Sens!$M$5340-Sens!$M$5341</f>
        <v>206.080627590357</v>
      </c>
    </row>
    <row r="5344" customFormat="false" ht="17.15" hidden="false" customHeight="false" outlineLevel="0" collapsed="false">
      <c r="A5344" s="5" t="s">
        <v>799</v>
      </c>
      <c r="B5344" s="0" t="s">
        <v>86</v>
      </c>
      <c r="E5344" s="38" t="n">
        <f aca="false">Q!$P$53</f>
        <v>39.767</v>
      </c>
      <c r="F5344" s="38" t="n">
        <f aca="false">inv_2h26</f>
        <v>21.3</v>
      </c>
      <c r="G5344" s="38" t="n">
        <f aca="false">Sens!$E$5344+Sens!$F$5344</f>
        <v>61.067</v>
      </c>
      <c r="H5344" s="39" t="n">
        <v>0</v>
      </c>
      <c r="I5344" s="39" t="n">
        <v>0</v>
      </c>
      <c r="J5344" s="39" t="n">
        <v>0</v>
      </c>
      <c r="K5344" s="39" t="n">
        <v>0</v>
      </c>
      <c r="L5344" s="39" t="n">
        <v>0</v>
      </c>
      <c r="M5344" s="39" t="n">
        <v>0</v>
      </c>
    </row>
    <row r="5345" customFormat="false" ht="17.15" hidden="false" customHeight="false" outlineLevel="0" collapsed="false">
      <c r="A5345" s="5" t="s">
        <v>800</v>
      </c>
      <c r="B5345" s="0" t="s">
        <v>86</v>
      </c>
      <c r="F5345" s="38" t="n">
        <f aca="false">iss_2h26</f>
        <v>29.249999</v>
      </c>
      <c r="G5345" s="38" t="n">
        <f aca="false">Sens!$F$5345</f>
        <v>29.249999</v>
      </c>
      <c r="H5345" s="39" t="n">
        <v>0</v>
      </c>
      <c r="I5345" s="39" t="n">
        <v>0</v>
      </c>
      <c r="J5345" s="39" t="n">
        <v>0</v>
      </c>
      <c r="K5345" s="39" t="n">
        <v>0</v>
      </c>
      <c r="L5345" s="39" t="n">
        <v>0</v>
      </c>
      <c r="M5345" s="39" t="n">
        <v>0</v>
      </c>
    </row>
    <row r="5346" customFormat="false" ht="17.15" hidden="false" customHeight="false" outlineLevel="0" collapsed="false">
      <c r="A5346" s="5" t="s">
        <v>801</v>
      </c>
      <c r="B5346" s="0" t="s">
        <v>86</v>
      </c>
      <c r="F5346" s="38" t="n">
        <f aca="false">cash_q2</f>
        <v>122.988</v>
      </c>
      <c r="G5346" s="38" t="n">
        <f aca="false">cash_q2</f>
        <v>122.988</v>
      </c>
      <c r="H5346" s="38" t="n">
        <f aca="false">Sens!$G$5349</f>
        <v>89.5023006151187</v>
      </c>
      <c r="I5346" s="38" t="n">
        <f aca="false">Sens!$H$5349</f>
        <v>50</v>
      </c>
      <c r="J5346" s="38" t="n">
        <f aca="false">Sens!$I$5349</f>
        <v>50</v>
      </c>
      <c r="K5346" s="38" t="n">
        <f aca="false">Sens!$J$5349</f>
        <v>71.9846354142962</v>
      </c>
      <c r="L5346" s="38" t="n">
        <f aca="false">Sens!$K$5349</f>
        <v>190.404469055046</v>
      </c>
      <c r="M5346" s="38" t="n">
        <f aca="false">Sens!$L$5349</f>
        <v>367.423426526727</v>
      </c>
    </row>
    <row r="5347" customFormat="false" ht="15" hidden="false" customHeight="false" outlineLevel="0" collapsed="false">
      <c r="A5347" s="5" t="s">
        <v>802</v>
      </c>
      <c r="B5347" s="0" t="s">
        <v>86</v>
      </c>
      <c r="F5347" s="38" t="n">
        <f aca="false">Sens!$F$5346+Sens!$F$5343-Sens!$F$5342-Sens!$F$5344+Sens!$F$5345</f>
        <v>89.5023006151187</v>
      </c>
      <c r="H5347" s="38" t="n">
        <f aca="false">Sens!$H$5346+Sens!$H$5343-Sens!$H$5342-Sens!$H$5344+Sens!$H$5345</f>
        <v>33.1573692580575</v>
      </c>
      <c r="I5347" s="38" t="n">
        <f aca="false">Sens!$I$5346+Sens!$I$5343-Sens!$I$5342-Sens!$I$5344+Sens!$I$5345</f>
        <v>31.8908686349347</v>
      </c>
      <c r="J5347" s="38" t="n">
        <f aca="false">Sens!$J$5346+Sens!$J$5343-Sens!$J$5342-Sens!$J$5344+Sens!$J$5345</f>
        <v>71.9846354142962</v>
      </c>
      <c r="K5347" s="38" t="n">
        <f aca="false">Sens!$K$5346+Sens!$K$5343-Sens!$K$5342-Sens!$K$5344+Sens!$K$5345</f>
        <v>190.404469055046</v>
      </c>
      <c r="L5347" s="38" t="n">
        <f aca="false">Sens!$L$5346+Sens!$L$5343-Sens!$L$5342-Sens!$L$5344+Sens!$L$5345</f>
        <v>367.423426526727</v>
      </c>
      <c r="M5347" s="38" t="n">
        <f aca="false">Sens!$M$5346+Sens!$M$5343-Sens!$M$5342-Sens!$M$5344+Sens!$M$5345</f>
        <v>573.504054117085</v>
      </c>
    </row>
    <row r="5348" customFormat="false" ht="17.15" hidden="false" customHeight="false" outlineLevel="0" collapsed="false">
      <c r="A5348" s="5" t="s">
        <v>803</v>
      </c>
      <c r="B5348" s="0" t="s">
        <v>86</v>
      </c>
      <c r="F5348" s="38" t="n">
        <f aca="false">MAX(0,min_cash-Sens!$F$5347)</f>
        <v>0</v>
      </c>
      <c r="G5348" s="38" t="n">
        <f aca="false">Sens!$F$5348</f>
        <v>0</v>
      </c>
      <c r="H5348" s="38" t="n">
        <f aca="false">MAX(0,min_cash-Sens!$H$5347)</f>
        <v>16.8426307419426</v>
      </c>
      <c r="I5348" s="38" t="n">
        <f aca="false">MAX(0,min_cash-Sens!$I$5347)</f>
        <v>18.1091313650653</v>
      </c>
      <c r="J5348" s="38" t="n">
        <f aca="false">MAX(0,min_cash-Sens!$J$5347)</f>
        <v>0</v>
      </c>
      <c r="K5348" s="38" t="n">
        <f aca="false">MAX(0,min_cash-Sens!$K$5347)</f>
        <v>0</v>
      </c>
      <c r="L5348" s="38" t="n">
        <f aca="false">MAX(0,min_cash-Sens!$L$5347)</f>
        <v>0</v>
      </c>
      <c r="M5348" s="38" t="n">
        <f aca="false">MAX(0,min_cash-Sens!$M$5347)</f>
        <v>0</v>
      </c>
      <c r="P5348" s="5" t="s">
        <v>804</v>
      </c>
    </row>
    <row r="5349" customFormat="false" ht="15" hidden="false" customHeight="false" outlineLevel="0" collapsed="false">
      <c r="A5349" s="5" t="s">
        <v>805</v>
      </c>
      <c r="B5349" s="0" t="s">
        <v>86</v>
      </c>
      <c r="D5349" s="38" t="n">
        <f aca="false">Q!$E$61</f>
        <v>123.029</v>
      </c>
      <c r="E5349" s="38" t="n">
        <f aca="false">Q!$M$61</f>
        <v>122.988</v>
      </c>
      <c r="F5349" s="38" t="n">
        <f aca="false">Sens!$F$5347+Sens!$F$5348</f>
        <v>89.5023006151187</v>
      </c>
      <c r="G5349" s="38" t="n">
        <f aca="false">Sens!$F$5349</f>
        <v>89.5023006151187</v>
      </c>
      <c r="H5349" s="38" t="n">
        <f aca="false">Sens!$H$5347+Sens!$H$5348</f>
        <v>50</v>
      </c>
      <c r="I5349" s="38" t="n">
        <f aca="false">Sens!$I$5347+Sens!$I$5348</f>
        <v>50</v>
      </c>
      <c r="J5349" s="38" t="n">
        <f aca="false">Sens!$J$5347+Sens!$J$5348</f>
        <v>71.9846354142962</v>
      </c>
      <c r="K5349" s="38" t="n">
        <f aca="false">Sens!$K$5347+Sens!$K$5348</f>
        <v>190.404469055046</v>
      </c>
      <c r="L5349" s="38" t="n">
        <f aca="false">Sens!$L$5347+Sens!$L$5348</f>
        <v>367.423426526727</v>
      </c>
      <c r="M5349" s="38" t="n">
        <f aca="false">Sens!$M$5347+Sens!$M$5348</f>
        <v>573.504054117085</v>
      </c>
    </row>
    <row r="5350" customFormat="false" ht="15" hidden="false" customHeight="false" outlineLevel="0" collapsed="false">
      <c r="A5350" s="5" t="s">
        <v>806</v>
      </c>
      <c r="B5350" s="0" t="s">
        <v>86</v>
      </c>
      <c r="D5350" s="38" t="n">
        <f aca="false">Q!$E$62</f>
        <v>68.836</v>
      </c>
      <c r="E5350" s="38" t="n">
        <f aca="false">Q!$M$62</f>
        <v>132.995</v>
      </c>
      <c r="F5350" s="38" t="n">
        <f aca="false">debt_q2+Sens!$F$5345+Sens!$F$5348</f>
        <v>162.244999</v>
      </c>
      <c r="G5350" s="38" t="n">
        <f aca="false">Sens!$F$5350</f>
        <v>162.244999</v>
      </c>
      <c r="H5350" s="38" t="n">
        <f aca="false">Sens!$G$5350+Sens!$H$5348</f>
        <v>179.087629741943</v>
      </c>
      <c r="I5350" s="38" t="n">
        <f aca="false">Sens!$H$5350+Sens!$I$5348</f>
        <v>197.196761107008</v>
      </c>
      <c r="J5350" s="38" t="n">
        <f aca="false">Sens!$I$5350+Sens!$J$5348</f>
        <v>197.196761107008</v>
      </c>
      <c r="K5350" s="38" t="n">
        <f aca="false">Sens!$J$5350+Sens!$K$5348</f>
        <v>197.196761107008</v>
      </c>
      <c r="L5350" s="38" t="n">
        <f aca="false">Sens!$K$5350+Sens!$L$5348</f>
        <v>197.196761107008</v>
      </c>
      <c r="M5350" s="38" t="n">
        <f aca="false">Sens!$L$5350+Sens!$M$5348</f>
        <v>197.196761107008</v>
      </c>
    </row>
    <row r="5351" customFormat="false" ht="15" hidden="false" customHeight="false" outlineLevel="0" collapsed="false">
      <c r="A5351" s="5" t="s">
        <v>807</v>
      </c>
      <c r="B5351" s="0" t="s">
        <v>86</v>
      </c>
      <c r="D5351" s="38" t="n">
        <f aca="false">Sens!$D$5350-Sens!$D$5349</f>
        <v>-54.193</v>
      </c>
      <c r="E5351" s="38" t="n">
        <f aca="false">Sens!$E$5350-Sens!$E$5349</f>
        <v>10.007</v>
      </c>
      <c r="F5351" s="38" t="n">
        <f aca="false">Sens!$F$5350-Sens!$F$5349</f>
        <v>72.7426983848813</v>
      </c>
      <c r="G5351" s="38" t="n">
        <f aca="false">Sens!$G$5350-Sens!$G$5349</f>
        <v>72.7426983848813</v>
      </c>
      <c r="H5351" s="38" t="n">
        <f aca="false">Sens!$H$5350-Sens!$H$5349</f>
        <v>129.087629741943</v>
      </c>
      <c r="I5351" s="38" t="n">
        <f aca="false">Sens!$I$5350-Sens!$I$5349</f>
        <v>147.196761107008</v>
      </c>
      <c r="J5351" s="38" t="n">
        <f aca="false">Sens!$J$5350-Sens!$J$5349</f>
        <v>125.212125692712</v>
      </c>
      <c r="K5351" s="38" t="n">
        <f aca="false">Sens!$K$5350-Sens!$K$5349</f>
        <v>6.79229205196145</v>
      </c>
      <c r="L5351" s="38" t="n">
        <f aca="false">Sens!$L$5350-Sens!$L$5349</f>
        <v>-170.226665419719</v>
      </c>
      <c r="M5351" s="38" t="n">
        <f aca="false">Sens!$M$5350-Sens!$M$5349</f>
        <v>-376.307293010077</v>
      </c>
    </row>
    <row r="5352" customFormat="false" ht="17.15" hidden="false" customHeight="false" outlineLevel="0" collapsed="false">
      <c r="A5352" s="5" t="s">
        <v>808</v>
      </c>
      <c r="B5352" s="0" t="s">
        <v>86</v>
      </c>
      <c r="F5352" s="38" t="n">
        <f aca="false">debt_q2*kd_book*0.5+iss_2h26*kd_new*iss_t</f>
        <v>3.24888962733561</v>
      </c>
      <c r="H5352" s="38" t="n">
        <f aca="false">debt_q2*kd_book+(Sens!$G$5350-debt_q2)*kd_new</f>
        <v>7.42354172302123</v>
      </c>
      <c r="I5352" s="38" t="n">
        <f aca="false">debt_q2*kd_book+(Sens!$H$5350-debt_q2)*kd_new</f>
        <v>8.48968024898619</v>
      </c>
      <c r="J5352" s="38" t="n">
        <f aca="false">debt_q2*kd_book+(Sens!$I$5350-debt_q2)*kd_new</f>
        <v>9.63598826439483</v>
      </c>
      <c r="K5352" s="38" t="n">
        <f aca="false">debt_q2*kd_book+(Sens!$J$5350-debt_q2)*kd_new</f>
        <v>9.63598826439483</v>
      </c>
      <c r="L5352" s="38" t="n">
        <f aca="false">debt_q2*kd_book+(Sens!$K$5350-debt_q2)*kd_new</f>
        <v>9.63598826439483</v>
      </c>
      <c r="M5352" s="38" t="n">
        <f aca="false">debt_q2*kd_book+(Sens!$L$5350-debt_q2)*kd_new</f>
        <v>9.63598826439483</v>
      </c>
    </row>
    <row r="5353" customFormat="false" ht="17.15" hidden="false" customHeight="false" outlineLevel="0" collapsed="false">
      <c r="A5353" s="5" t="s">
        <v>809</v>
      </c>
      <c r="B5353" s="0" t="s">
        <v>86</v>
      </c>
      <c r="F5353" s="38" t="n">
        <f aca="false">cash_q2*y_cash*0.5</f>
        <v>2.59</v>
      </c>
      <c r="H5353" s="38" t="n">
        <f aca="false">Sens!$G$5349*y_cash</f>
        <v>3.76965165045626</v>
      </c>
      <c r="I5353" s="38" t="n">
        <f aca="false">Sens!$H$5349*y_cash</f>
        <v>2.10589651022864</v>
      </c>
      <c r="J5353" s="38" t="n">
        <f aca="false">Sens!$I$5349*y_cash</f>
        <v>2.10589651022864</v>
      </c>
      <c r="K5353" s="38" t="n">
        <f aca="false">Sens!$J$5349*y_cash</f>
        <v>3.03184385018094</v>
      </c>
      <c r="L5353" s="38" t="n">
        <f aca="false">Sens!$K$5349*y_cash</f>
        <v>8.01944213829919</v>
      </c>
      <c r="M5353" s="38" t="n">
        <f aca="false">Sens!$L$5349*y_cash</f>
        <v>15.4751142339777</v>
      </c>
    </row>
    <row r="5354" customFormat="false" ht="17.15" hidden="false" customHeight="false" outlineLevel="0" collapsed="false">
      <c r="A5354" s="47" t="s">
        <v>810</v>
      </c>
      <c r="B5354" s="14" t="s">
        <v>86</v>
      </c>
      <c r="C5354" s="14"/>
      <c r="D5354" s="14"/>
      <c r="E5354" s="14"/>
      <c r="F5354" s="14"/>
      <c r="G5354" s="48" t="n">
        <f aca="false">SUM(Sens!$G$5343:$K$5343)</f>
        <v>-1.17629205196147</v>
      </c>
      <c r="H5354" s="14"/>
      <c r="I5354" s="14"/>
      <c r="J5354" s="14"/>
      <c r="K5354" s="14"/>
      <c r="L5354" s="14"/>
      <c r="M5354" s="14"/>
      <c r="N5354" s="14"/>
      <c r="O5354" s="14"/>
    </row>
    <row r="5355" customFormat="false" ht="17.15" hidden="false" customHeight="false" outlineLevel="0" collapsed="false">
      <c r="A5355" s="0" t="s">
        <v>776</v>
      </c>
      <c r="B5355" s="0" t="s">
        <v>86</v>
      </c>
      <c r="G5355" s="38" t="n">
        <f aca="false">SUM(Sens!$G$5348:$K$5348)</f>
        <v>34.9517621070079</v>
      </c>
    </row>
    <row r="5356" customFormat="false" ht="17.15" hidden="false" customHeight="false" outlineLevel="0" collapsed="false">
      <c r="A5356" s="24" t="s">
        <v>813</v>
      </c>
      <c r="B5356" s="25" t="s">
        <v>86</v>
      </c>
      <c r="C5356" s="25"/>
      <c r="D5356" s="25"/>
      <c r="E5356" s="25"/>
      <c r="F5356" s="25"/>
      <c r="G5356" s="41" t="n">
        <f aca="false">Sens!$G$5354-(Sens!$G$5343+Sens!$H$5343+Sens!$I$5343+Sens!$J$5343+Sens!$K$5343)</f>
        <v>-2.8421709430404E-014</v>
      </c>
      <c r="H5356" s="25"/>
      <c r="I5356" s="25"/>
      <c r="J5356" s="25"/>
      <c r="K5356" s="25"/>
      <c r="L5356" s="25"/>
      <c r="M5356" s="25"/>
      <c r="N5356" s="25"/>
      <c r="O5356" s="25"/>
    </row>
    <row r="5359" customFormat="false" ht="19.4" hidden="false" customHeight="false" outlineLevel="0" collapsed="false">
      <c r="A5359" s="31" t="s">
        <v>1244</v>
      </c>
    </row>
    <row r="5360" customFormat="false" ht="17.15" hidden="false" customHeight="false" outlineLevel="0" collapsed="false">
      <c r="A5360" s="6" t="s">
        <v>16</v>
      </c>
      <c r="B5360" s="6" t="s">
        <v>17</v>
      </c>
      <c r="C5360" s="20" t="s">
        <v>497</v>
      </c>
      <c r="D5360" s="20" t="s">
        <v>498</v>
      </c>
      <c r="E5360" s="20" t="s">
        <v>580</v>
      </c>
      <c r="F5360" s="20" t="s">
        <v>581</v>
      </c>
      <c r="G5360" s="20" t="s">
        <v>582</v>
      </c>
      <c r="H5360" s="20" t="s">
        <v>583</v>
      </c>
      <c r="I5360" s="20" t="s">
        <v>584</v>
      </c>
      <c r="J5360" s="20" t="s">
        <v>585</v>
      </c>
      <c r="K5360" s="20" t="s">
        <v>586</v>
      </c>
      <c r="L5360" s="20" t="s">
        <v>587</v>
      </c>
      <c r="M5360" s="20" t="s">
        <v>588</v>
      </c>
      <c r="N5360" s="20" t="s">
        <v>589</v>
      </c>
      <c r="O5360" s="20" t="s">
        <v>590</v>
      </c>
      <c r="P5360" s="6" t="s">
        <v>23</v>
      </c>
      <c r="R5360" s="20" t="n">
        <v>2023</v>
      </c>
      <c r="S5360" s="20" t="n">
        <v>2024</v>
      </c>
      <c r="T5360" s="20" t="n">
        <v>2025</v>
      </c>
      <c r="U5360" s="20" t="n">
        <v>2026</v>
      </c>
      <c r="V5360" s="20" t="n">
        <v>2027</v>
      </c>
      <c r="W5360" s="20" t="n">
        <v>2028</v>
      </c>
      <c r="X5360" s="20" t="n">
        <v>2029</v>
      </c>
      <c r="Y5360" s="20" t="n">
        <v>2030</v>
      </c>
      <c r="Z5360" s="20" t="n">
        <v>2031</v>
      </c>
      <c r="AA5360" s="20" t="n">
        <v>2032</v>
      </c>
    </row>
    <row r="5361" customFormat="false" ht="17.15" hidden="false" customHeight="false" outlineLevel="0" collapsed="false">
      <c r="A5361" s="1" t="s">
        <v>915</v>
      </c>
    </row>
    <row r="5362" customFormat="false" ht="17.15" hidden="false" customHeight="false" outlineLevel="0" collapsed="false">
      <c r="A5362" s="0" t="s">
        <v>916</v>
      </c>
      <c r="B5362" s="0" t="s">
        <v>86</v>
      </c>
      <c r="H5362" s="38" t="n">
        <f aca="false">Sens!$H$5296*(1-tax)</f>
        <v>121.243762954598</v>
      </c>
      <c r="I5362" s="38" t="n">
        <f aca="false">Sens!$I$5296*(1-tax)</f>
        <v>146.296727721585</v>
      </c>
      <c r="J5362" s="38" t="n">
        <f aca="false">Sens!$J$5296*(1-tax)</f>
        <v>170.140518399982</v>
      </c>
      <c r="K5362" s="38" t="n">
        <f aca="false">Sens!$K$5296*(1-tax)</f>
        <v>187.091644407888</v>
      </c>
      <c r="L5362" s="38" t="n">
        <f aca="false">Sens!$L$5296*(1-tax)</f>
        <v>200.866341135815</v>
      </c>
      <c r="M5362" s="38" t="n">
        <f aca="false">Sens!$M$5296*(1-tax)</f>
        <v>211.476896331068</v>
      </c>
    </row>
    <row r="5363" customFormat="false" ht="15" hidden="false" customHeight="false" outlineLevel="0" collapsed="false">
      <c r="A5363" s="5" t="s">
        <v>917</v>
      </c>
      <c r="B5363" s="0" t="s">
        <v>86</v>
      </c>
      <c r="H5363" s="38" t="n">
        <f aca="false">Sens!$H$5307</f>
        <v>78.1799395827871</v>
      </c>
      <c r="I5363" s="38" t="n">
        <f aca="false">Sens!$I$5307</f>
        <v>111.171125554384</v>
      </c>
      <c r="J5363" s="38" t="n">
        <f aca="false">Sens!$J$5307</f>
        <v>144.884406220971</v>
      </c>
      <c r="K5363" s="38" t="n">
        <f aca="false">Sens!$K$5307</f>
        <v>178.806419437999</v>
      </c>
      <c r="L5363" s="38" t="n">
        <f aca="false">Sens!$L$5307</f>
        <v>204.341339029663</v>
      </c>
      <c r="M5363" s="38" t="n">
        <f aca="false">Sens!$M$5307</f>
        <v>223.130577995387</v>
      </c>
    </row>
    <row r="5364" customFormat="false" ht="15" hidden="false" customHeight="false" outlineLevel="0" collapsed="false">
      <c r="A5364" s="5" t="s">
        <v>918</v>
      </c>
      <c r="B5364" s="0" t="s">
        <v>86</v>
      </c>
      <c r="H5364" s="38" t="n">
        <f aca="false">Sens!$H$5338</f>
        <v>273.372679834898</v>
      </c>
      <c r="I5364" s="38" t="n">
        <f aca="false">Sens!$I$5338</f>
        <v>286.981812228425</v>
      </c>
      <c r="J5364" s="38" t="n">
        <f aca="false">Sens!$J$5338</f>
        <v>299.316513378366</v>
      </c>
      <c r="K5364" s="38" t="n">
        <f aca="false">Sens!$K$5338</f>
        <v>251.057145512292</v>
      </c>
      <c r="L5364" s="38" t="n">
        <f aca="false">Sens!$L$5338</f>
        <v>234.696330860396</v>
      </c>
      <c r="M5364" s="38" t="n">
        <f aca="false">Sens!$M$5338</f>
        <v>242.291696043352</v>
      </c>
    </row>
    <row r="5365" customFormat="false" ht="15" hidden="false" customHeight="false" outlineLevel="0" collapsed="false">
      <c r="A5365" s="5" t="s">
        <v>919</v>
      </c>
      <c r="B5365" s="0" t="s">
        <v>86</v>
      </c>
      <c r="H5365" s="38" t="n">
        <f aca="false">Sens!$H$5339</f>
        <v>1.6</v>
      </c>
      <c r="I5365" s="38" t="n">
        <f aca="false">Sens!$I$5339</f>
        <v>1.6</v>
      </c>
      <c r="J5365" s="38" t="n">
        <f aca="false">Sens!$J$5339</f>
        <v>1.6</v>
      </c>
      <c r="K5365" s="38" t="n">
        <f aca="false">Sens!$K$5339</f>
        <v>1.6</v>
      </c>
      <c r="L5365" s="38" t="n">
        <f aca="false">Sens!$L$5339</f>
        <v>1.6</v>
      </c>
      <c r="M5365" s="38" t="n">
        <f aca="false">Sens!$M$5339</f>
        <v>1.6</v>
      </c>
    </row>
    <row r="5366" customFormat="false" ht="15" hidden="false" customHeight="false" outlineLevel="0" collapsed="false">
      <c r="A5366" s="5" t="s">
        <v>920</v>
      </c>
      <c r="B5366" s="0" t="s">
        <v>86</v>
      </c>
      <c r="H5366" s="38" t="n">
        <f aca="false">Sens!$H$5333</f>
        <v>11.2928295263397</v>
      </c>
      <c r="I5366" s="38" t="n">
        <f aca="false">Sens!$I$5333</f>
        <v>12.8091546115766</v>
      </c>
      <c r="J5366" s="38" t="n">
        <f aca="false">Sens!$J$5333</f>
        <v>14.2605653162668</v>
      </c>
      <c r="K5366" s="38" t="n">
        <f aca="false">Sens!$K$5333</f>
        <v>15.5327622460396</v>
      </c>
      <c r="L5366" s="38" t="n">
        <f aca="false">Sens!$L$5333</f>
        <v>16.720573737517</v>
      </c>
      <c r="M5366" s="38" t="n">
        <f aca="false">Sens!$M$5333</f>
        <v>17.8283127551536</v>
      </c>
    </row>
    <row r="5367" customFormat="false" ht="17.15" hidden="false" customHeight="false" outlineLevel="0" collapsed="false">
      <c r="A5367" s="1" t="s">
        <v>921</v>
      </c>
      <c r="B5367" s="8" t="s">
        <v>86</v>
      </c>
      <c r="H5367" s="38" t="n">
        <f aca="false">Sens!$H$5362+Sens!$H$5363-Sens!$H$5364+Sens!$H$5366</f>
        <v>-62.6561477711731</v>
      </c>
      <c r="I5367" s="38" t="n">
        <f aca="false">Sens!$I$5362+Sens!$I$5363-Sens!$I$5364+Sens!$I$5366</f>
        <v>-16.7048043408794</v>
      </c>
      <c r="J5367" s="38" t="n">
        <f aca="false">Sens!$J$5362+Sens!$J$5363-Sens!$J$5364+Sens!$J$5366</f>
        <v>29.9689765588539</v>
      </c>
      <c r="K5367" s="38" t="n">
        <f aca="false">Sens!$K$5362+Sens!$K$5363-Sens!$K$5364+Sens!$K$5366</f>
        <v>130.373680579634</v>
      </c>
      <c r="L5367" s="38" t="n">
        <f aca="false">Sens!$L$5362+Sens!$L$5363-Sens!$L$5364+Sens!$L$5366</f>
        <v>187.231923042598</v>
      </c>
      <c r="M5367" s="38" t="n">
        <f aca="false">Sens!$M$5362+Sens!$M$5363-Sens!$M$5364+Sens!$M$5366</f>
        <v>210.144091038257</v>
      </c>
    </row>
    <row r="5368" customFormat="false" ht="15" hidden="false" customHeight="false" outlineLevel="0" collapsed="false">
      <c r="A5368" s="5" t="s">
        <v>922</v>
      </c>
      <c r="B5368" s="0" t="s">
        <v>57</v>
      </c>
      <c r="H5368" s="40" t="n">
        <f aca="false">1/(1+(wacc+0.01))^(2027-2026-0.5)</f>
        <v>0.943523276903728</v>
      </c>
      <c r="I5368" s="40" t="n">
        <f aca="false">1/(1+(wacc+0.01))^(2028-2026-0.5)</f>
        <v>0.839958552166526</v>
      </c>
      <c r="J5368" s="40" t="n">
        <f aca="false">1/(1+(wacc+0.01))^(2029-2026-0.5)</f>
        <v>0.747761487848991</v>
      </c>
      <c r="K5368" s="40" t="n">
        <f aca="false">1/(1+(wacc+0.01))^(2030-2026-0.5)</f>
        <v>0.665684326051463</v>
      </c>
      <c r="L5368" s="40" t="n">
        <f aca="false">1/(1+(wacc+0.01))^(2031-2026-0.5)</f>
        <v>0.592616267555198</v>
      </c>
      <c r="M5368" s="40" t="n">
        <f aca="false">1/(1+(wacc+0.01))^(2032-2026-0.5)</f>
        <v>0.527568438713552</v>
      </c>
    </row>
    <row r="5369" customFormat="false" ht="15" hidden="false" customHeight="false" outlineLevel="0" collapsed="false">
      <c r="A5369" s="5" t="s">
        <v>923</v>
      </c>
      <c r="B5369" s="0" t="s">
        <v>86</v>
      </c>
      <c r="H5369" s="38" t="n">
        <f aca="false">Sens!$H$5367*Sens!$H$5368</f>
        <v>-59.1175338632214</v>
      </c>
      <c r="I5369" s="38" t="n">
        <f aca="false">Sens!$I$5367*Sens!$I$5368</f>
        <v>-14.0313432683902</v>
      </c>
      <c r="J5369" s="38" t="n">
        <f aca="false">Sens!$J$5367*Sens!$J$5368</f>
        <v>22.4096465009601</v>
      </c>
      <c r="K5369" s="38" t="n">
        <f aca="false">Sens!$K$5367*Sens!$K$5368</f>
        <v>86.7877156915026</v>
      </c>
      <c r="L5369" s="38" t="n">
        <f aca="false">Sens!$L$5367*Sens!$L$5368</f>
        <v>110.956683400687</v>
      </c>
      <c r="M5369" s="38" t="n">
        <f aca="false">Sens!$M$5367*Sens!$M$5368</f>
        <v>110.865390013932</v>
      </c>
    </row>
    <row r="5370" customFormat="false" ht="15" hidden="false" customHeight="false" outlineLevel="0" collapsed="false">
      <c r="A5370" s="5" t="s">
        <v>924</v>
      </c>
      <c r="B5370" s="0" t="s">
        <v>86</v>
      </c>
      <c r="C5370" s="38" t="n">
        <f aca="false">SUM(Sens!$H$5369:$M$5369)</f>
        <v>257.870558475469</v>
      </c>
    </row>
    <row r="5371" customFormat="false" ht="17.15" hidden="false" customHeight="false" outlineLevel="0" collapsed="false">
      <c r="A5371" s="5" t="s">
        <v>925</v>
      </c>
      <c r="B5371" s="0" t="s">
        <v>86</v>
      </c>
      <c r="C5371" s="38" t="n">
        <f aca="false">Sens!$M$5362*(1+tg)*(1-tg/ronic)/((wacc+0.01)-tg)</f>
        <v>1716.49301001085</v>
      </c>
    </row>
    <row r="5372" customFormat="false" ht="15" hidden="false" customHeight="false" outlineLevel="0" collapsed="false">
      <c r="A5372" s="5" t="s">
        <v>926</v>
      </c>
      <c r="B5372" s="0" t="s">
        <v>86</v>
      </c>
      <c r="C5372" s="38" t="n">
        <f aca="false">Sens!$C$5371/(1+(wacc+0.01))^6</f>
        <v>854.424050302025</v>
      </c>
    </row>
    <row r="5373" customFormat="false" ht="17.15" hidden="false" customHeight="false" outlineLevel="0" collapsed="false">
      <c r="A5373" s="5" t="s">
        <v>927</v>
      </c>
      <c r="B5373" s="0" t="s">
        <v>86</v>
      </c>
      <c r="C5373" s="38" t="n">
        <f aca="false">Sens!$C$5370+Sens!$C$5372</f>
        <v>1112.29460877749</v>
      </c>
    </row>
    <row r="5374" customFormat="false" ht="17.15" hidden="false" customHeight="false" outlineLevel="0" collapsed="false">
      <c r="A5374" s="5" t="s">
        <v>928</v>
      </c>
      <c r="B5374" s="0" t="s">
        <v>52</v>
      </c>
      <c r="C5374" s="13" t="n">
        <f aca="false">Sens!$C$5372/Sens!$C$5373</f>
        <v>0.768163437599602</v>
      </c>
    </row>
    <row r="5375" customFormat="false" ht="17.15" hidden="false" customHeight="false" outlineLevel="0" collapsed="false">
      <c r="A5375" s="5" t="s">
        <v>929</v>
      </c>
      <c r="B5375" s="0" t="s">
        <v>86</v>
      </c>
      <c r="C5375" s="38" t="n">
        <f aca="false">Sens!$G$5351+fin_debt</f>
        <v>97.2636983848813</v>
      </c>
    </row>
    <row r="5376" customFormat="false" ht="17.15" hidden="false" customHeight="false" outlineLevel="0" collapsed="false">
      <c r="A5376" s="5" t="s">
        <v>930</v>
      </c>
      <c r="B5376" s="0" t="s">
        <v>86</v>
      </c>
      <c r="C5376" s="38" t="n">
        <f aca="false">(ant_val*ant_sh+oai_val*oai_sh)*(1-liq_disc)</f>
        <v>178.944</v>
      </c>
    </row>
    <row r="5377" customFormat="false" ht="15" hidden="false" customHeight="false" outlineLevel="0" collapsed="false">
      <c r="A5377" s="5" t="s">
        <v>931</v>
      </c>
      <c r="B5377" s="0" t="s">
        <v>86</v>
      </c>
      <c r="C5377" s="38" t="n">
        <f aca="false">Sens!$C$5373-Sens!$C$5375+Sens!$C$5376</f>
        <v>1193.97491039261</v>
      </c>
    </row>
    <row r="5378" customFormat="false" ht="17.15" hidden="false" customHeight="false" outlineLevel="0" collapsed="false">
      <c r="A5378" s="5" t="s">
        <v>932</v>
      </c>
      <c r="B5378" s="0" t="s">
        <v>27</v>
      </c>
      <c r="C5378" s="30" t="n">
        <f aca="false">Sens!$C$5377/sh_out</f>
        <v>110.693505714057</v>
      </c>
    </row>
    <row r="5379" customFormat="false" ht="17.15" hidden="false" customHeight="false" outlineLevel="0" collapsed="false">
      <c r="A5379" s="1" t="s">
        <v>933</v>
      </c>
      <c r="B5379" s="8" t="s">
        <v>27</v>
      </c>
      <c r="C5379" s="30" t="n">
        <f aca="false">Sens!$C$5378*(1+ke)^tp_yf-dps*tp_yf</f>
        <v>121.25021766624</v>
      </c>
    </row>
    <row r="5380" customFormat="false" ht="17.15" hidden="false" customHeight="false" outlineLevel="0" collapsed="false">
      <c r="A5380" s="3" t="s">
        <v>934</v>
      </c>
    </row>
    <row r="5381" customFormat="false" ht="17.15" hidden="false" customHeight="false" outlineLevel="0" collapsed="false">
      <c r="A5381" s="5" t="s">
        <v>935</v>
      </c>
      <c r="B5381" s="0" t="s">
        <v>86</v>
      </c>
      <c r="C5381" s="38" t="n">
        <f aca="false">(1-tp_yf)*(Sens!$H$5308+sbc_ab*Sens!$H$5332*Sens!$H$5172/Sens!$H$5249)+tp_yf*(Sens!$I$5308+sbc_ab*Sens!$I$5332*Sens!$I$5172/Sens!$I$5249)</f>
        <v>59.634664536349</v>
      </c>
    </row>
    <row r="5382" customFormat="false" ht="15" hidden="false" customHeight="false" outlineLevel="0" collapsed="false">
      <c r="A5382" s="5" t="s">
        <v>936</v>
      </c>
      <c r="B5382" s="0" t="s">
        <v>57</v>
      </c>
      <c r="C5382" s="30" t="n">
        <f aca="false">m_ads*m_x</f>
        <v>9.11</v>
      </c>
    </row>
    <row r="5383" customFormat="false" ht="17.15" hidden="false" customHeight="false" outlineLevel="0" collapsed="false">
      <c r="A5383" s="5" t="s">
        <v>937</v>
      </c>
      <c r="B5383" s="0" t="s">
        <v>86</v>
      </c>
      <c r="C5383" s="38" t="n">
        <f aca="false">Sens!$C$5381*Sens!$C$5382</f>
        <v>543.271793926139</v>
      </c>
    </row>
    <row r="5384" customFormat="false" ht="17.15" hidden="false" customHeight="false" outlineLevel="0" collapsed="false">
      <c r="A5384" s="5" t="s">
        <v>938</v>
      </c>
      <c r="B5384" s="0" t="s">
        <v>86</v>
      </c>
      <c r="C5384" s="38" t="n">
        <f aca="false">(1-tp_yf)*(Sens!$H$5309+sbc_ab*Sens!$H$5332*(Sens!$H$5179-Sens!$H$5172)/Sens!$H$5249+IF(internal_ai_reading=2,1,0)*(1-ext_sh)*Sens!$H$5209)+tp_yf*(Sens!$I$5309+sbc_ab*Sens!$I$5332*(Sens!$I$5179-Sens!$I$5172)/Sens!$I$5249+IF(internal_ai_reading=2,1,0)*(1-ext_sh)*Sens!$I$5209)</f>
        <v>51.2224827206816</v>
      </c>
    </row>
    <row r="5385" customFormat="false" ht="17.15" hidden="false" customHeight="false" outlineLevel="0" collapsed="false">
      <c r="A5385" s="5" t="s">
        <v>939</v>
      </c>
      <c r="B5385" s="0" t="s">
        <v>57</v>
      </c>
      <c r="C5385" s="30" t="n">
        <f aca="false">m_retail*m_x</f>
        <v>17.72</v>
      </c>
    </row>
    <row r="5386" customFormat="false" ht="17.15" hidden="false" customHeight="false" outlineLevel="0" collapsed="false">
      <c r="A5386" s="5" t="s">
        <v>940</v>
      </c>
      <c r="B5386" s="0" t="s">
        <v>86</v>
      </c>
      <c r="C5386" s="38" t="n">
        <f aca="false">Sens!$C$5384*Sens!$C$5385</f>
        <v>907.662393810478</v>
      </c>
    </row>
    <row r="5387" customFormat="false" ht="17.15" hidden="false" customHeight="false" outlineLevel="0" collapsed="false">
      <c r="A5387" s="0" t="s">
        <v>941</v>
      </c>
      <c r="B5387" s="0" t="s">
        <v>86</v>
      </c>
      <c r="C5387" s="38" t="n">
        <f aca="false">(1-tp_yf)*(Sens!$H$5310+sbc_ab*Sens!$H$5332*Sens!$H$5247/Sens!$H$5249)+tp_yf*(Sens!$I$5310+sbc_ab*Sens!$I$5332*Sens!$I$5247/Sens!$I$5249)</f>
        <v>96.2439586897193</v>
      </c>
    </row>
    <row r="5388" customFormat="false" ht="17.15" hidden="false" customHeight="false" outlineLevel="0" collapsed="false">
      <c r="A5388" s="0" t="s">
        <v>942</v>
      </c>
      <c r="B5388" s="0" t="s">
        <v>57</v>
      </c>
      <c r="C5388" s="30" t="n">
        <f aca="false">m_cloud*m_x</f>
        <v>13.82</v>
      </c>
    </row>
    <row r="5389" customFormat="false" ht="17.15" hidden="false" customHeight="false" outlineLevel="0" collapsed="false">
      <c r="A5389" s="0" t="s">
        <v>943</v>
      </c>
      <c r="B5389" s="0" t="s">
        <v>86</v>
      </c>
      <c r="C5389" s="38" t="n">
        <f aca="false">Sens!$C$5387*Sens!$C$5388</f>
        <v>1330.09150909192</v>
      </c>
    </row>
    <row r="5390" customFormat="false" ht="17.15" hidden="false" customHeight="false" outlineLevel="0" collapsed="false">
      <c r="A5390" s="0" t="s">
        <v>944</v>
      </c>
      <c r="B5390" s="0" t="s">
        <v>86</v>
      </c>
      <c r="H5390" s="38" t="n">
        <f aca="false">Sens!$H$5228-tax*Sens!$H$5229-ext_sh*Sens!$H$5216</f>
        <v>-115.885394236225</v>
      </c>
      <c r="I5390" s="38" t="n">
        <f aca="false">Sens!$I$5228-tax*Sens!$I$5229-ext_sh*Sens!$I$5216</f>
        <v>-89.5935137276694</v>
      </c>
      <c r="J5390" s="38" t="n">
        <f aca="false">Sens!$J$5228-tax*Sens!$J$5229-ext_sh*Sens!$J$5216</f>
        <v>-62.3510647460279</v>
      </c>
      <c r="K5390" s="38" t="n">
        <f aca="false">Sens!$K$5228-tax*Sens!$K$5229-ext_sh*Sens!$K$5216</f>
        <v>8.85932514072565</v>
      </c>
      <c r="L5390" s="38" t="n">
        <f aca="false">Sens!$L$5228-tax*Sens!$L$5229-ext_sh*Sens!$L$5216</f>
        <v>45.6968344120177</v>
      </c>
      <c r="M5390" s="38" t="n">
        <f aca="false">Sens!$M$5228-tax*Sens!$M$5229-ext_sh*Sens!$M$5216</f>
        <v>54.7466688757428</v>
      </c>
    </row>
    <row r="5391" customFormat="false" ht="17.15" hidden="false" customHeight="false" outlineLevel="0" collapsed="false">
      <c r="A5391" s="5" t="s">
        <v>945</v>
      </c>
      <c r="B5391" s="0" t="s">
        <v>86</v>
      </c>
      <c r="H5391" s="38" t="n">
        <f aca="false">Sens!$H$5390*Sens!$H$5368</f>
        <v>-109.340566915044</v>
      </c>
      <c r="I5391" s="38" t="n">
        <f aca="false">Sens!$I$5390*Sens!$I$5368</f>
        <v>-75.254838074205</v>
      </c>
      <c r="J5391" s="38" t="n">
        <f aca="false">Sens!$J$5390*Sens!$J$5368</f>
        <v>-46.6237249434586</v>
      </c>
      <c r="K5391" s="38" t="n">
        <f aca="false">Sens!$K$5390*Sens!$K$5368</f>
        <v>5.89751388557473</v>
      </c>
      <c r="L5391" s="38" t="n">
        <f aca="false">Sens!$L$5390*Sens!$L$5368</f>
        <v>27.0806874483378</v>
      </c>
      <c r="M5391" s="38" t="n">
        <f aca="false">Sens!$M$5390*Sens!$M$5368</f>
        <v>28.8826146235434</v>
      </c>
    </row>
    <row r="5392" customFormat="false" ht="17.15" hidden="false" customHeight="false" outlineLevel="0" collapsed="false">
      <c r="A5392" s="5" t="s">
        <v>946</v>
      </c>
      <c r="B5392" s="0" t="s">
        <v>86</v>
      </c>
      <c r="C5392" s="38" t="n">
        <f aca="false">Sens!$M$5229*(1-tax)*(1+tg)*(1-tg/ronic)/((wacc+0.01)-tg)</f>
        <v>349.567032446662</v>
      </c>
    </row>
    <row r="5393" customFormat="false" ht="17.15" hidden="false" customHeight="false" outlineLevel="0" collapsed="false">
      <c r="A5393" s="0" t="s">
        <v>947</v>
      </c>
      <c r="B5393" s="0" t="s">
        <v>86</v>
      </c>
      <c r="C5393" s="38" t="n">
        <f aca="false">(SUM(Sens!$I$5391:$M$5391)+Sens!$C$5392/(1+(wacc+0.01))^6)*(1+(wacc+0.01))^tp_yf</f>
        <v>125.417772702331</v>
      </c>
    </row>
    <row r="5394" customFormat="false" ht="17.15" hidden="false" customHeight="false" outlineLevel="0" collapsed="false">
      <c r="A5394" s="5" t="s">
        <v>948</v>
      </c>
      <c r="B5394" s="0" t="s">
        <v>86</v>
      </c>
      <c r="C5394" s="38" t="n">
        <f aca="false">(1-tp_yf)*(Sens!$H$5311)+tp_yf*(Sens!$I$5311)</f>
        <v>74.6707041238437</v>
      </c>
    </row>
    <row r="5395" customFormat="false" ht="17.15" hidden="false" customHeight="false" outlineLevel="0" collapsed="false">
      <c r="A5395" s="5" t="s">
        <v>949</v>
      </c>
      <c r="B5395" s="0" t="s">
        <v>86</v>
      </c>
      <c r="C5395" s="38" t="n">
        <f aca="false">Sens!$C$5394*m_ai</f>
        <v>448.024224743062</v>
      </c>
    </row>
    <row r="5396" customFormat="false" ht="17.15" hidden="false" customHeight="false" outlineLevel="0" collapsed="false">
      <c r="A5396" s="0" t="s">
        <v>950</v>
      </c>
      <c r="B5396" s="0" t="s">
        <v>86</v>
      </c>
      <c r="C5396" s="38" t="n">
        <f aca="false">IF(ai_leg=1,Sens!$C$5393,Sens!$C$5395)</f>
        <v>125.417772702331</v>
      </c>
    </row>
    <row r="5397" customFormat="false" ht="17.15" hidden="false" customHeight="false" outlineLevel="0" collapsed="false">
      <c r="A5397" s="5" t="s">
        <v>951</v>
      </c>
      <c r="B5397" s="0" t="s">
        <v>86</v>
      </c>
      <c r="C5397" s="38" t="n">
        <f aca="false">Sens!$C$5383+Sens!$C$5386+Sens!$C$5389+Sens!$C$5396</f>
        <v>2906.44346953087</v>
      </c>
    </row>
    <row r="5398" customFormat="false" ht="17.15" hidden="false" customHeight="false" outlineLevel="0" collapsed="false">
      <c r="A5398" s="5" t="s">
        <v>952</v>
      </c>
      <c r="B5398" s="0" t="s">
        <v>86</v>
      </c>
      <c r="C5398" s="38" t="n">
        <f aca="false">Sens!$H$5351+fin_debt</f>
        <v>153.608629741943</v>
      </c>
    </row>
    <row r="5399" customFormat="false" ht="15" hidden="false" customHeight="false" outlineLevel="0" collapsed="false">
      <c r="A5399" s="5" t="s">
        <v>953</v>
      </c>
      <c r="B5399" s="0" t="s">
        <v>86</v>
      </c>
      <c r="C5399" s="38" t="n">
        <f aca="false">Sens!$C$5397-Sens!$C$5398+Sens!$C$5376</f>
        <v>2931.77883978893</v>
      </c>
    </row>
    <row r="5400" customFormat="false" ht="15" hidden="false" customHeight="false" outlineLevel="0" collapsed="false">
      <c r="A5400" s="3" t="s">
        <v>954</v>
      </c>
      <c r="B5400" s="8" t="s">
        <v>27</v>
      </c>
      <c r="C5400" s="30" t="n">
        <f aca="false">Sens!$C$5399/sh_val</f>
        <v>265.792872241799</v>
      </c>
    </row>
    <row r="5401" customFormat="false" ht="17.15" hidden="false" customHeight="false" outlineLevel="0" collapsed="false">
      <c r="A5401" s="47" t="s">
        <v>955</v>
      </c>
      <c r="B5401" s="14" t="s">
        <v>27</v>
      </c>
      <c r="C5401" s="44" t="n">
        <f aca="false">w_dcf*Sens!$C$5379+(1-w_dcf)*Sens!$C$5400</f>
        <v>193.521544954019</v>
      </c>
      <c r="D5401" s="14"/>
      <c r="E5401" s="14"/>
      <c r="F5401" s="14"/>
      <c r="G5401" s="14"/>
      <c r="H5401" s="14"/>
      <c r="I5401" s="14"/>
      <c r="J5401" s="14"/>
      <c r="K5401" s="14"/>
      <c r="L5401" s="14"/>
      <c r="M5401" s="14"/>
      <c r="N5401" s="14"/>
      <c r="O5401" s="14"/>
    </row>
    <row r="5402" customFormat="false" ht="17.15" hidden="false" customHeight="false" outlineLevel="0" collapsed="false">
      <c r="A5402" s="5" t="s">
        <v>956</v>
      </c>
      <c r="B5402" s="0" t="s">
        <v>27</v>
      </c>
      <c r="C5402" s="30" t="n">
        <f aca="false">v022_wdcf*Sens!$C$5379+(1-v022_wdcf)*Sens!$C$5400</f>
        <v>200.748677682797</v>
      </c>
    </row>
    <row r="5403" customFormat="false" ht="17.15" hidden="false" customHeight="false" outlineLevel="0" collapsed="false">
      <c r="A5403" s="5" t="s">
        <v>957</v>
      </c>
      <c r="B5403" s="0" t="s">
        <v>27</v>
      </c>
      <c r="C5403" s="30" t="n">
        <f aca="false">(Sens!$C$5399-Sens!$C$5396+Sens!$C$5395)/sh_val</f>
        <v>295.040131389701</v>
      </c>
    </row>
    <row r="5406" customFormat="false" ht="19.4" hidden="false" customHeight="false" outlineLevel="0" collapsed="false">
      <c r="A5406" s="31" t="s">
        <v>1245</v>
      </c>
    </row>
    <row r="5407" customFormat="false" ht="17.15" hidden="false" customHeight="false" outlineLevel="0" collapsed="false">
      <c r="A5407" s="6" t="s">
        <v>16</v>
      </c>
      <c r="B5407" s="6" t="s">
        <v>17</v>
      </c>
      <c r="C5407" s="20" t="s">
        <v>497</v>
      </c>
      <c r="D5407" s="20" t="s">
        <v>498</v>
      </c>
      <c r="E5407" s="20" t="s">
        <v>580</v>
      </c>
      <c r="F5407" s="20" t="s">
        <v>581</v>
      </c>
      <c r="G5407" s="20" t="s">
        <v>582</v>
      </c>
      <c r="H5407" s="20" t="s">
        <v>583</v>
      </c>
      <c r="I5407" s="20" t="s">
        <v>584</v>
      </c>
      <c r="J5407" s="20" t="s">
        <v>585</v>
      </c>
      <c r="K5407" s="20" t="s">
        <v>586</v>
      </c>
      <c r="L5407" s="20" t="s">
        <v>587</v>
      </c>
      <c r="M5407" s="20" t="s">
        <v>588</v>
      </c>
      <c r="N5407" s="20" t="s">
        <v>589</v>
      </c>
      <c r="O5407" s="20" t="s">
        <v>590</v>
      </c>
      <c r="P5407" s="6" t="s">
        <v>23</v>
      </c>
      <c r="R5407" s="20" t="n">
        <v>2023</v>
      </c>
      <c r="S5407" s="20" t="n">
        <v>2024</v>
      </c>
      <c r="T5407" s="20" t="n">
        <v>2025</v>
      </c>
      <c r="U5407" s="20" t="n">
        <v>2026</v>
      </c>
      <c r="V5407" s="20" t="n">
        <v>2027</v>
      </c>
      <c r="W5407" s="20" t="n">
        <v>2028</v>
      </c>
      <c r="X5407" s="20" t="n">
        <v>2029</v>
      </c>
      <c r="Y5407" s="20" t="n">
        <v>2030</v>
      </c>
      <c r="Z5407" s="20" t="n">
        <v>2031</v>
      </c>
      <c r="AA5407" s="20" t="n">
        <v>2032</v>
      </c>
    </row>
    <row r="5408" customFormat="false" ht="17.15" hidden="false" customHeight="false" outlineLevel="0" collapsed="false">
      <c r="A5408" s="1" t="s">
        <v>666</v>
      </c>
    </row>
    <row r="5409" customFormat="false" ht="17.15" hidden="false" customHeight="false" outlineLevel="0" collapsed="false">
      <c r="A5409" s="0" t="s">
        <v>519</v>
      </c>
      <c r="B5409" s="0" t="s">
        <v>86</v>
      </c>
      <c r="C5409" s="38" t="n">
        <f aca="false">Q!$D$10</f>
        <v>247.029</v>
      </c>
      <c r="D5409" s="38" t="n">
        <f aca="false">Q!$E$10</f>
        <v>269.287</v>
      </c>
      <c r="E5409" s="38" t="n">
        <f aca="false">Q!$P$10</f>
        <v>134.686</v>
      </c>
      <c r="F5409" s="38" t="n">
        <f aca="false">Sens!$O$5409*(1+Sens!$F$5410)*Sens!$F$5421</f>
        <v>158.293876822267</v>
      </c>
      <c r="G5409" s="38" t="n">
        <f aca="false">Sens!$E$5409+Sens!$F$5409</f>
        <v>292.979876822267</v>
      </c>
      <c r="H5409" s="38" t="n">
        <f aca="false">Sens!$G$5409*(1+Sens!$H$5410)</f>
        <v>318.184543087396</v>
      </c>
      <c r="I5409" s="38" t="n">
        <f aca="false">Sens!$H$5409*(1+Sens!$I$5410)</f>
        <v>341.736278761793</v>
      </c>
      <c r="J5409" s="38" t="n">
        <f aca="false">Sens!$I$5409*(1+Sens!$J$5410)</f>
        <v>362.927192787048</v>
      </c>
      <c r="K5409" s="38" t="n">
        <f aca="false">Sens!$J$5409*(1+Sens!$K$5410)</f>
        <v>381.0735524264</v>
      </c>
      <c r="L5409" s="38" t="n">
        <f aca="false">Sens!$K$5409*(1+Sens!$L$5410)</f>
        <v>400.12723004772</v>
      </c>
      <c r="M5409" s="38" t="n">
        <f aca="false">Sens!$L$5409*(1+Sens!$M$5410)</f>
        <v>420.133591550106</v>
      </c>
      <c r="N5409" s="38" t="n">
        <f aca="false">Q!$N$10</f>
        <v>118.892</v>
      </c>
      <c r="O5409" s="38" t="n">
        <f aca="false">Q!$O$10</f>
        <v>150.395</v>
      </c>
      <c r="P5409" s="8" t="s">
        <v>667</v>
      </c>
    </row>
    <row r="5410" customFormat="false" ht="17.15" hidden="false" customHeight="false" outlineLevel="0" collapsed="false">
      <c r="A5410" s="0" t="s">
        <v>668</v>
      </c>
      <c r="B5410" s="0" t="s">
        <v>52</v>
      </c>
      <c r="E5410" s="13" t="n">
        <f aca="false">Sens!$E$5409/Sens!$N$5409-1</f>
        <v>0.132843252699929</v>
      </c>
      <c r="F5410" s="13" t="n">
        <f aca="false">Sens!$O$5409/(Q!$F$10+Q!$G$10)-1</f>
        <v>0.0980382135842941</v>
      </c>
      <c r="G5410" s="13" t="n">
        <f aca="false">Sens!$G$5409/Sens!$D$5409-1</f>
        <v>0.0879837378791657</v>
      </c>
      <c r="H5410" s="13" t="n">
        <f aca="false">Sens!$F$5410+(g_os-Sens!$F$5410)*1/4</f>
        <v>0.0860286601882206</v>
      </c>
      <c r="I5410" s="13" t="n">
        <f aca="false">Sens!$F$5410+(g_os-Sens!$F$5410)*2/4</f>
        <v>0.074019106792147</v>
      </c>
      <c r="J5410" s="13" t="n">
        <f aca="false">Sens!$F$5410+(g_os-Sens!$F$5410)*3/4</f>
        <v>0.0620095533960735</v>
      </c>
      <c r="K5410" s="13" t="n">
        <f aca="false">Sens!$F$5410+(g_os-Sens!$F$5410)*4/4</f>
        <v>0.05</v>
      </c>
      <c r="L5410" s="13" t="n">
        <f aca="false">g_os</f>
        <v>0.05</v>
      </c>
      <c r="M5410" s="13" t="n">
        <f aca="false">g_os</f>
        <v>0.05</v>
      </c>
      <c r="P5410" s="8" t="s">
        <v>669</v>
      </c>
    </row>
    <row r="5411" customFormat="false" ht="17.15" hidden="false" customHeight="false" outlineLevel="0" collapsed="false">
      <c r="A5411" s="0" t="s">
        <v>520</v>
      </c>
      <c r="B5411" s="0" t="s">
        <v>86</v>
      </c>
      <c r="C5411" s="38" t="n">
        <f aca="false">Q!$D$11</f>
        <v>21.215</v>
      </c>
      <c r="D5411" s="38" t="n">
        <f aca="false">Q!$E$11</f>
        <v>22.561</v>
      </c>
      <c r="E5411" s="38" t="n">
        <f aca="false">Q!$P$11</f>
        <v>11.579</v>
      </c>
      <c r="F5411" s="38" t="n">
        <f aca="false">Sens!$O$5411*(1+Sens!$F$5412)*Sens!$F$5421</f>
        <v>11.5938724610325</v>
      </c>
      <c r="G5411" s="38" t="n">
        <f aca="false">Sens!$E$5411+Sens!$F$5411</f>
        <v>23.1728724610325</v>
      </c>
      <c r="H5411" s="38" t="n">
        <f aca="false">Sens!$G$5411*(1+Sens!$H$5412)</f>
        <v>24.353392759506</v>
      </c>
      <c r="I5411" s="38" t="n">
        <f aca="false">Sens!$H$5411*(1+Sens!$I$5412)</f>
        <v>25.4240338872015</v>
      </c>
      <c r="J5411" s="38" t="n">
        <f aca="false">Sens!$I$5411*(1+Sens!$J$5412)</f>
        <v>26.3642491017174</v>
      </c>
      <c r="K5411" s="38" t="n">
        <f aca="false">Sens!$J$5411*(1+Sens!$K$5412)</f>
        <v>27.155176574769</v>
      </c>
      <c r="L5411" s="38" t="n">
        <f aca="false">Sens!$K$5411*(1+Sens!$L$5412)</f>
        <v>27.969831872012</v>
      </c>
      <c r="M5411" s="38" t="n">
        <f aca="false">Sens!$L$5411*(1+Sens!$M$5412)</f>
        <v>28.8089268281724</v>
      </c>
      <c r="N5411" s="38" t="n">
        <f aca="false">Q!$N$11</f>
        <v>11.128</v>
      </c>
      <c r="O5411" s="38" t="n">
        <f aca="false">Q!$O$11</f>
        <v>11.433</v>
      </c>
      <c r="P5411" s="8" t="s">
        <v>667</v>
      </c>
    </row>
    <row r="5412" customFormat="false" ht="17.15" hidden="false" customHeight="false" outlineLevel="0" collapsed="false">
      <c r="A5412" s="0" t="s">
        <v>670</v>
      </c>
      <c r="B5412" s="0" t="s">
        <v>52</v>
      </c>
      <c r="E5412" s="13" t="n">
        <f aca="false">Sens!$E$5411/Sens!$N$5411-1</f>
        <v>0.0405283968368082</v>
      </c>
      <c r="F5412" s="13" t="n">
        <f aca="false">Sens!$O$5411/(Q!$F$11+Q!$G$11)-1</f>
        <v>0.0579254187100955</v>
      </c>
      <c r="G5412" s="13" t="n">
        <f aca="false">Sens!$G$5411/Sens!$D$5411-1</f>
        <v>0.0271208040881397</v>
      </c>
      <c r="H5412" s="13" t="n">
        <f aca="false">Sens!$F$5412+(g_ps-Sens!$F$5412)*1/4</f>
        <v>0.0509440640325716</v>
      </c>
      <c r="I5412" s="13" t="n">
        <f aca="false">Sens!$F$5412+(g_ps-Sens!$F$5412)*2/4</f>
        <v>0.0439627093550477</v>
      </c>
      <c r="J5412" s="13" t="n">
        <f aca="false">Sens!$F$5412+(g_ps-Sens!$F$5412)*3/4</f>
        <v>0.0369813546775239</v>
      </c>
      <c r="K5412" s="13" t="n">
        <f aca="false">Sens!$F$5412+(g_ps-Sens!$F$5412)*4/4</f>
        <v>0.03</v>
      </c>
      <c r="L5412" s="13" t="n">
        <f aca="false">g_ps</f>
        <v>0.03</v>
      </c>
      <c r="M5412" s="13" t="n">
        <f aca="false">g_ps</f>
        <v>0.03</v>
      </c>
      <c r="P5412" s="8" t="s">
        <v>671</v>
      </c>
    </row>
    <row r="5413" customFormat="false" ht="17.15" hidden="false" customHeight="false" outlineLevel="0" collapsed="false">
      <c r="A5413" s="0" t="s">
        <v>521</v>
      </c>
      <c r="B5413" s="0" t="s">
        <v>86</v>
      </c>
      <c r="C5413" s="38" t="n">
        <f aca="false">Q!$D$12</f>
        <v>156.146</v>
      </c>
      <c r="D5413" s="38" t="n">
        <f aca="false">Q!$E$12</f>
        <v>172.162</v>
      </c>
      <c r="E5413" s="38" t="n">
        <f aca="false">Q!$P$12</f>
        <v>88.358</v>
      </c>
      <c r="F5413" s="38" t="n">
        <f aca="false">Sens!$O$5413*(1+Sens!$F$5414)*Sens!$F$5421</f>
        <v>102.004388260171</v>
      </c>
      <c r="G5413" s="38" t="n">
        <f aca="false">Sens!$E$5413+Sens!$F$5413</f>
        <v>190.362388260171</v>
      </c>
      <c r="H5413" s="38" t="n">
        <f aca="false">Sens!$G$5413*(1+Sens!$H$5414)</f>
        <v>210.343106588311</v>
      </c>
      <c r="I5413" s="38" t="n">
        <f aca="false">Sens!$H$5413*(1+Sens!$I$5414)</f>
        <v>229.969728494648</v>
      </c>
      <c r="J5413" s="38" t="n">
        <f aca="false">Sens!$I$5413*(1+Sens!$J$5414)</f>
        <v>248.747636972598</v>
      </c>
      <c r="K5413" s="38" t="n">
        <f aca="false">Sens!$J$5413*(1+Sens!$K$5414)</f>
        <v>266.15997156068</v>
      </c>
      <c r="L5413" s="38" t="n">
        <f aca="false">Sens!$K$5413*(1+Sens!$L$5414)</f>
        <v>284.791169569927</v>
      </c>
      <c r="M5413" s="38" t="n">
        <f aca="false">Sens!$L$5413*(1+Sens!$M$5414)</f>
        <v>304.726551439822</v>
      </c>
      <c r="N5413" s="38" t="n">
        <f aca="false">Q!$N$12</f>
        <v>76.86</v>
      </c>
      <c r="O5413" s="38" t="n">
        <f aca="false">Q!$O$12</f>
        <v>95.302</v>
      </c>
      <c r="P5413" s="8" t="s">
        <v>667</v>
      </c>
    </row>
    <row r="5414" customFormat="false" ht="17.15" hidden="false" customHeight="false" outlineLevel="0" collapsed="false">
      <c r="A5414" s="0" t="s">
        <v>672</v>
      </c>
      <c r="B5414" s="0" t="s">
        <v>52</v>
      </c>
      <c r="E5414" s="13" t="n">
        <f aca="false">Sens!$E$5413/Sens!$N$5413-1</f>
        <v>0.1495966692688</v>
      </c>
      <c r="F5414" s="13" t="n">
        <f aca="false">Sens!$O$5413/(Q!$F$12+Q!$G$12)-1</f>
        <v>0.11661530890813</v>
      </c>
      <c r="G5414" s="13" t="n">
        <f aca="false">Sens!$G$5413/Sens!$D$5413-1</f>
        <v>0.105716640490767</v>
      </c>
      <c r="H5414" s="13" t="n">
        <f aca="false">Sens!$F$5414+(g_sp-Sens!$F$5414)*1/4</f>
        <v>0.104961481681098</v>
      </c>
      <c r="I5414" s="13" t="n">
        <f aca="false">Sens!$F$5414+(g_sp-Sens!$F$5414)*2/4</f>
        <v>0.0933076544540651</v>
      </c>
      <c r="J5414" s="13" t="n">
        <f aca="false">Sens!$F$5414+(g_sp-Sens!$F$5414)*3/4</f>
        <v>0.0816538272270325</v>
      </c>
      <c r="K5414" s="13" t="n">
        <f aca="false">Sens!$F$5414+(g_sp-Sens!$F$5414)*4/4</f>
        <v>0.07</v>
      </c>
      <c r="L5414" s="13" t="n">
        <f aca="false">g_sp</f>
        <v>0.07</v>
      </c>
      <c r="M5414" s="13" t="n">
        <f aca="false">g_sp</f>
        <v>0.07</v>
      </c>
      <c r="P5414" s="8" t="s">
        <v>673</v>
      </c>
    </row>
    <row r="5415" customFormat="false" ht="17.15" hidden="false" customHeight="false" outlineLevel="0" collapsed="false">
      <c r="A5415" s="0" t="s">
        <v>522</v>
      </c>
      <c r="B5415" s="0" t="s">
        <v>86</v>
      </c>
      <c r="C5415" s="38" t="n">
        <f aca="false">Q!$D$13</f>
        <v>56.214</v>
      </c>
      <c r="D5415" s="38" t="n">
        <f aca="false">Q!$E$13</f>
        <v>68.635</v>
      </c>
      <c r="E5415" s="38" t="n">
        <f aca="false">Q!$P$13</f>
        <v>37.052</v>
      </c>
      <c r="F5415" s="38" t="n">
        <f aca="false">Sens!$O$5415*(1+Sens!$F$5416)*Sens!$F$5421</f>
        <v>46.1572219944148</v>
      </c>
      <c r="G5415" s="38" t="n">
        <f aca="false">Sens!$E$5415+Sens!$F$5415</f>
        <v>83.2092219944148</v>
      </c>
      <c r="H5415" s="38" t="n">
        <f aca="false">Sens!$G$5415*(1+Sens!$H$5416)</f>
        <v>99.8969223878976</v>
      </c>
      <c r="I5415" s="38" t="n">
        <f aca="false">Sens!$H$5415*(1+Sens!$I$5416)</f>
        <v>116.583111095496</v>
      </c>
      <c r="J5415" s="38" t="n">
        <f aca="false">Sens!$I$5415*(1+Sens!$J$5416)</f>
        <v>132.148941941952</v>
      </c>
      <c r="K5415" s="38" t="n">
        <f aca="false">Sens!$J$5415*(1+Sens!$K$5416)</f>
        <v>145.363836136147</v>
      </c>
      <c r="L5415" s="38" t="n">
        <f aca="false">Sens!$K$5415*(1+Sens!$L$5416)</f>
        <v>159.900219749762</v>
      </c>
      <c r="M5415" s="38" t="n">
        <f aca="false">Sens!$L$5415*(1+Sens!$M$5416)</f>
        <v>175.890241724738</v>
      </c>
      <c r="N5415" s="38" t="n">
        <f aca="false">Q!$N$13</f>
        <v>29.615</v>
      </c>
      <c r="O5415" s="38" t="n">
        <f aca="false">Q!$O$13</f>
        <v>39.02</v>
      </c>
      <c r="P5415" s="8" t="s">
        <v>667</v>
      </c>
    </row>
    <row r="5416" customFormat="false" ht="17.15" hidden="false" customHeight="false" outlineLevel="0" collapsed="false">
      <c r="A5416" s="0" t="s">
        <v>674</v>
      </c>
      <c r="B5416" s="0" t="s">
        <v>52</v>
      </c>
      <c r="E5416" s="13" t="n">
        <f aca="false">Sens!$E$5415/Sens!$N$5415-1</f>
        <v>0.25112274185379</v>
      </c>
      <c r="F5416" s="13" t="n">
        <f aca="false">Sens!$O$5415/(Q!$F$13+Q!$G$13)-1</f>
        <v>0.234068123596572</v>
      </c>
      <c r="G5416" s="13" t="n">
        <f aca="false">Sens!$G$5415/Sens!$D$5415-1</f>
        <v>0.212343876949294</v>
      </c>
      <c r="H5416" s="13" t="n">
        <f aca="false">Sens!$F$5416+(g_ad-Sens!$F$5416)*1/4</f>
        <v>0.200551092697429</v>
      </c>
      <c r="I5416" s="13" t="n">
        <f aca="false">Sens!$F$5416+(g_ad-Sens!$F$5416)*2/4</f>
        <v>0.167034061798286</v>
      </c>
      <c r="J5416" s="13" t="n">
        <f aca="false">Sens!$F$5416+(g_ad-Sens!$F$5416)*3/4</f>
        <v>0.133517030899143</v>
      </c>
      <c r="K5416" s="13" t="n">
        <f aca="false">Sens!$F$5416+(g_ad-Sens!$F$5416)*4/4</f>
        <v>0.1</v>
      </c>
      <c r="L5416" s="13" t="n">
        <f aca="false">g_ad</f>
        <v>0.1</v>
      </c>
      <c r="M5416" s="13" t="n">
        <f aca="false">g_ad</f>
        <v>0.1</v>
      </c>
      <c r="P5416" s="8" t="s">
        <v>675</v>
      </c>
    </row>
    <row r="5417" customFormat="false" ht="17.15" hidden="false" customHeight="false" outlineLevel="0" collapsed="false">
      <c r="A5417" s="0" t="s">
        <v>523</v>
      </c>
      <c r="B5417" s="0" t="s">
        <v>86</v>
      </c>
      <c r="C5417" s="38" t="n">
        <f aca="false">Q!$D$14</f>
        <v>44.374</v>
      </c>
      <c r="D5417" s="38" t="n">
        <f aca="false">Q!$E$14</f>
        <v>49.619</v>
      </c>
      <c r="E5417" s="38" t="n">
        <f aca="false">Q!$P$14</f>
        <v>27.157</v>
      </c>
      <c r="F5417" s="38" t="n">
        <f aca="false">Sens!$O$5417*(1+Sens!$F$5418)*Sens!$F$5421</f>
        <v>27.7764165988154</v>
      </c>
      <c r="G5417" s="38" t="n">
        <f aca="false">Sens!$E$5417+Sens!$F$5417</f>
        <v>54.9334165988154</v>
      </c>
      <c r="H5417" s="38" t="n">
        <f aca="false">Sens!$G$5417*(1+Sens!$H$5418)</f>
        <v>61.1564112561829</v>
      </c>
      <c r="I5417" s="38" t="n">
        <f aca="false">Sens!$H$5417*(1+Sens!$I$5418)</f>
        <v>67.2020282103945</v>
      </c>
      <c r="J5417" s="38" t="n">
        <f aca="false">Sens!$I$5417*(1+Sens!$J$5418)</f>
        <v>72.8757274028885</v>
      </c>
      <c r="K5417" s="38" t="n">
        <f aca="false">Sens!$J$5417*(1+Sens!$K$5418)</f>
        <v>77.9770283210907</v>
      </c>
      <c r="L5417" s="38" t="n">
        <f aca="false">Sens!$K$5417*(1+Sens!$L$5418)</f>
        <v>83.4354203035671</v>
      </c>
      <c r="M5417" s="38" t="n">
        <f aca="false">Sens!$L$5417*(1+Sens!$M$5418)</f>
        <v>89.2758997248168</v>
      </c>
      <c r="N5417" s="38" t="n">
        <f aca="false">Q!$N$14</f>
        <v>23.923</v>
      </c>
      <c r="O5417" s="38" t="n">
        <f aca="false">Q!$O$14</f>
        <v>25.696</v>
      </c>
      <c r="P5417" s="8" t="s">
        <v>667</v>
      </c>
    </row>
    <row r="5418" customFormat="false" ht="17.15" hidden="false" customHeight="false" outlineLevel="0" collapsed="false">
      <c r="A5418" s="0" t="s">
        <v>676</v>
      </c>
      <c r="B5418" s="0" t="s">
        <v>52</v>
      </c>
      <c r="E5418" s="13" t="n">
        <f aca="false">Sens!$E$5417/Sens!$N$5417-1</f>
        <v>0.135183714417088</v>
      </c>
      <c r="F5418" s="13" t="n">
        <f aca="false">Sens!$O$5417/(Q!$F$14+Q!$G$14)-1</f>
        <v>0.127709997366804</v>
      </c>
      <c r="G5418" s="13" t="n">
        <f aca="false">Sens!$G$5417/Sens!$D$5417-1</f>
        <v>0.107104468022641</v>
      </c>
      <c r="H5418" s="13" t="n">
        <f aca="false">Sens!$F$5418+(g_sub-Sens!$F$5418)*1/4</f>
        <v>0.113282498025103</v>
      </c>
      <c r="I5418" s="13" t="n">
        <f aca="false">Sens!$F$5418+(g_sub-Sens!$F$5418)*2/4</f>
        <v>0.0988549986834021</v>
      </c>
      <c r="J5418" s="13" t="n">
        <f aca="false">Sens!$F$5418+(g_sub-Sens!$F$5418)*3/4</f>
        <v>0.084427499341701</v>
      </c>
      <c r="K5418" s="13" t="n">
        <f aca="false">Sens!$F$5418+(g_sub-Sens!$F$5418)*4/4</f>
        <v>0.07</v>
      </c>
      <c r="L5418" s="13" t="n">
        <f aca="false">g_sub</f>
        <v>0.07</v>
      </c>
      <c r="M5418" s="13" t="n">
        <f aca="false">g_sub</f>
        <v>0.07</v>
      </c>
      <c r="P5418" s="8" t="s">
        <v>677</v>
      </c>
    </row>
    <row r="5419" customFormat="false" ht="17.15" hidden="false" customHeight="false" outlineLevel="0" collapsed="false">
      <c r="A5419" s="0" t="s">
        <v>524</v>
      </c>
      <c r="B5419" s="0" t="s">
        <v>86</v>
      </c>
      <c r="C5419" s="38" t="n">
        <f aca="false">Q!$D$15</f>
        <v>5.425</v>
      </c>
      <c r="D5419" s="38" t="n">
        <f aca="false">Q!$E$15</f>
        <v>5.935</v>
      </c>
      <c r="E5419" s="38" t="n">
        <f aca="false">Q!$P$15</f>
        <v>3.474</v>
      </c>
      <c r="F5419" s="38" t="n">
        <f aca="false">Sens!$O$5419*(1+Sens!$F$5420)*Sens!$F$5421</f>
        <v>3.22246550883619</v>
      </c>
      <c r="G5419" s="38" t="n">
        <f aca="false">Sens!$E$5419+Sens!$F$5419</f>
        <v>6.69646550883619</v>
      </c>
      <c r="H5419" s="38" t="n">
        <f aca="false">Sens!$G$5419*(1+Sens!$H$5420)</f>
        <v>7.16251344209196</v>
      </c>
      <c r="I5419" s="38" t="n">
        <f aca="false">Sens!$H$5419*(1+Sens!$I$5420)</f>
        <v>7.61421070299826</v>
      </c>
      <c r="J5419" s="38" t="n">
        <f aca="false">Sens!$I$5419*(1+Sens!$J$5420)</f>
        <v>8.04465753523932</v>
      </c>
      <c r="K5419" s="38" t="n">
        <f aca="false">Sens!$J$5419*(1+Sens!$K$5420)</f>
        <v>8.44689041200128</v>
      </c>
      <c r="L5419" s="38" t="n">
        <f aca="false">Sens!$K$5419*(1+Sens!$L$5420)</f>
        <v>8.86923493260135</v>
      </c>
      <c r="M5419" s="38" t="n">
        <f aca="false">Sens!$L$5419*(1+Sens!$M$5420)</f>
        <v>9.31269667923142</v>
      </c>
      <c r="N5419" s="38" t="n">
        <f aca="false">Q!$N$15</f>
        <v>2.811</v>
      </c>
      <c r="O5419" s="38" t="n">
        <f aca="false">Q!$O$15</f>
        <v>3.124</v>
      </c>
      <c r="P5419" s="8" t="s">
        <v>667</v>
      </c>
    </row>
    <row r="5420" customFormat="false" ht="17.15" hidden="false" customHeight="false" outlineLevel="0" collapsed="false">
      <c r="A5420" s="0" t="s">
        <v>678</v>
      </c>
      <c r="B5420" s="0" t="s">
        <v>52</v>
      </c>
      <c r="E5420" s="13" t="n">
        <f aca="false">Sens!$E$5419/Sens!$N$5419-1</f>
        <v>0.235859124866596</v>
      </c>
      <c r="F5420" s="13" t="n">
        <f aca="false">Sens!$O$5419/(Q!$F$15+Q!$G$15)-1</f>
        <v>0.0761281433000345</v>
      </c>
      <c r="G5420" s="13" t="n">
        <f aca="false">Sens!$G$5419/Sens!$D$5419-1</f>
        <v>0.128300843948811</v>
      </c>
      <c r="H5420" s="13" t="n">
        <f aca="false">Sens!$F$5420+(g_ot-Sens!$F$5420)*1/4</f>
        <v>0.0695961074750259</v>
      </c>
      <c r="I5420" s="13" t="n">
        <f aca="false">Sens!$F$5420+(g_ot-Sens!$F$5420)*2/4</f>
        <v>0.0630640716500172</v>
      </c>
      <c r="J5420" s="13" t="n">
        <f aca="false">Sens!$F$5420+(g_ot-Sens!$F$5420)*3/4</f>
        <v>0.0565320358250086</v>
      </c>
      <c r="K5420" s="13" t="n">
        <f aca="false">Sens!$F$5420+(g_ot-Sens!$F$5420)*4/4</f>
        <v>0.05</v>
      </c>
      <c r="L5420" s="13" t="n">
        <f aca="false">g_ot</f>
        <v>0.05</v>
      </c>
      <c r="M5420" s="13" t="n">
        <f aca="false">g_ot</f>
        <v>0.05</v>
      </c>
      <c r="P5420" s="8" t="s">
        <v>679</v>
      </c>
    </row>
    <row r="5421" customFormat="false" ht="17.15" hidden="false" customHeight="false" outlineLevel="0" collapsed="false">
      <c r="A5421" s="0" t="s">
        <v>680</v>
      </c>
      <c r="B5421" s="0" t="s">
        <v>57</v>
      </c>
      <c r="F5421" s="40" t="n">
        <f aca="false">(g26q3_mid*Q!$O$8/Q!$J$8-Thesis!$F$86-Thesis!$F$90)/(Sens!$O$5409*(1+Sens!$F$5410)+Sens!$O$5411*(1+Sens!$F$5412)+Sens!$O$5413*(1+Sens!$F$5414)+Sens!$O$5415*(1+Sens!$F$5416)+Sens!$O$5417*(1+Sens!$F$5418)+Sens!$O$5419*(1+Sens!$F$5420))</f>
        <v>0.958546670622329</v>
      </c>
      <c r="P5421" s="8" t="s">
        <v>681</v>
      </c>
    </row>
    <row r="5422" customFormat="false" ht="17.15" hidden="false" customHeight="false" outlineLevel="0" collapsed="false">
      <c r="A5422" s="3" t="s">
        <v>682</v>
      </c>
      <c r="B5422" s="8" t="s">
        <v>86</v>
      </c>
      <c r="C5422" s="38" t="n">
        <f aca="false">Sens!$C$5409+Sens!$C$5411+Sens!$C$5413+Sens!$C$5415+Sens!$C$5417+Sens!$C$5419</f>
        <v>530.403</v>
      </c>
      <c r="D5422" s="38" t="n">
        <f aca="false">Sens!$D$5409+Sens!$D$5411+Sens!$D$5413+Sens!$D$5415+Sens!$D$5417+Sens!$D$5419</f>
        <v>588.199</v>
      </c>
      <c r="E5422" s="38" t="n">
        <f aca="false">Sens!$E$5409+Sens!$E$5411+Sens!$E$5413+Sens!$E$5415+Sens!$E$5417+Sens!$E$5419</f>
        <v>302.306</v>
      </c>
      <c r="F5422" s="38" t="n">
        <f aca="false">Sens!$F$5409+Sens!$F$5411+Sens!$F$5413+Sens!$F$5415+Sens!$F$5417+Sens!$F$5419</f>
        <v>349.048241645537</v>
      </c>
      <c r="G5422" s="38" t="n">
        <f aca="false">Sens!$G$5409+Sens!$G$5411+Sens!$G$5413+Sens!$G$5415+Sens!$G$5417+Sens!$G$5419</f>
        <v>651.354241645537</v>
      </c>
      <c r="H5422" s="38" t="n">
        <f aca="false">Sens!$H$5409+Sens!$H$5411+Sens!$H$5413+Sens!$H$5415+Sens!$H$5417+Sens!$H$5419</f>
        <v>721.096889521386</v>
      </c>
      <c r="I5422" s="38" t="n">
        <f aca="false">Sens!$I$5409+Sens!$I$5411+Sens!$I$5413+Sens!$I$5415+Sens!$I$5417+Sens!$I$5419</f>
        <v>788.529391152531</v>
      </c>
      <c r="J5422" s="38" t="n">
        <f aca="false">Sens!$J$5409+Sens!$J$5411+Sens!$J$5413+Sens!$J$5415+Sens!$J$5417+Sens!$J$5419</f>
        <v>851.108405741443</v>
      </c>
      <c r="K5422" s="38" t="n">
        <f aca="false">Sens!$K$5409+Sens!$K$5411+Sens!$K$5413+Sens!$K$5415+Sens!$K$5417+Sens!$K$5419</f>
        <v>906.176455431088</v>
      </c>
      <c r="L5422" s="38" t="n">
        <f aca="false">Sens!$L$5409+Sens!$L$5411+Sens!$L$5413+Sens!$L$5415+Sens!$L$5417+Sens!$L$5419</f>
        <v>965.093106475589</v>
      </c>
      <c r="M5422" s="38" t="n">
        <f aca="false">Sens!$M$5409+Sens!$M$5411+Sens!$M$5413+Sens!$M$5415+Sens!$M$5417+Sens!$M$5419</f>
        <v>1028.14790794689</v>
      </c>
      <c r="N5422" s="38" t="n">
        <f aca="false">Sens!$N$5409+Sens!$N$5411+Sens!$N$5413+Sens!$N$5415+Sens!$N$5417+Sens!$N$5419</f>
        <v>263.229</v>
      </c>
      <c r="O5422" s="38" t="n">
        <f aca="false">Sens!$O$5409+Sens!$O$5411+Sens!$O$5413+Sens!$O$5415+Sens!$O$5417+Sens!$O$5419</f>
        <v>324.97</v>
      </c>
    </row>
    <row r="5423" customFormat="false" ht="17.15" hidden="false" customHeight="false" outlineLevel="0" collapsed="false">
      <c r="A5423" s="5" t="s">
        <v>683</v>
      </c>
      <c r="B5423" s="0" t="s">
        <v>52</v>
      </c>
      <c r="C5423" s="13" t="n">
        <f aca="false">Q!$D$5/(Q!$D$5+Q!$D$6)</f>
        <v>0.730570905519011</v>
      </c>
      <c r="D5423" s="13" t="n">
        <f aca="false">Q!$E$5/(Q!$E$5+Q!$E$6)</f>
        <v>0.724763217890544</v>
      </c>
      <c r="E5423" s="13" t="n">
        <f aca="false">Q!$P$5/(Q!$P$5+Q!$P$6)</f>
        <v>0.728797972914861</v>
      </c>
      <c r="F5423" s="13" t="n">
        <f aca="false">Sens!$O$5423</f>
        <v>0.718066283041511</v>
      </c>
      <c r="G5423" s="13" t="n">
        <f aca="false">Sens!$G$5424/Sens!$G$5422</f>
        <v>0.723047066202847</v>
      </c>
      <c r="H5423" s="13" t="n">
        <f aca="false">Sens!$G$5423</f>
        <v>0.723047066202847</v>
      </c>
      <c r="I5423" s="13" t="n">
        <f aca="false">Sens!$G$5423</f>
        <v>0.723047066202847</v>
      </c>
      <c r="J5423" s="13" t="n">
        <f aca="false">Sens!$G$5423</f>
        <v>0.723047066202847</v>
      </c>
      <c r="K5423" s="13" t="n">
        <f aca="false">Sens!$G$5423</f>
        <v>0.723047066202847</v>
      </c>
      <c r="L5423" s="13" t="n">
        <f aca="false">Sens!$G$5423</f>
        <v>0.723047066202847</v>
      </c>
      <c r="M5423" s="13" t="n">
        <f aca="false">Sens!$G$5423</f>
        <v>0.723047066202847</v>
      </c>
      <c r="N5423" s="13" t="n">
        <f aca="false">Q!$N$5/(Q!$N$5+Q!$N$6)</f>
        <v>0.733030935041352</v>
      </c>
      <c r="O5423" s="13" t="n">
        <f aca="false">Q!$O$5/(Q!$O$5+Q!$O$6)</f>
        <v>0.718066283041511</v>
      </c>
      <c r="P5423" s="8" t="s">
        <v>684</v>
      </c>
    </row>
    <row r="5424" customFormat="false" ht="17.15" hidden="false" customHeight="false" outlineLevel="0" collapsed="false">
      <c r="A5424" s="1" t="s">
        <v>512</v>
      </c>
      <c r="B5424" s="8" t="s">
        <v>86</v>
      </c>
      <c r="C5424" s="38" t="n">
        <f aca="false">Q!$D$5</f>
        <v>387.497</v>
      </c>
      <c r="D5424" s="38" t="n">
        <f aca="false">Q!$E$5</f>
        <v>426.305</v>
      </c>
      <c r="E5424" s="38" t="n">
        <f aca="false">Q!$P$5</f>
        <v>220.32</v>
      </c>
      <c r="F5424" s="38" t="n">
        <f aca="false">Sens!$F$5422*Sens!$F$5423</f>
        <v>250.639773480586</v>
      </c>
      <c r="G5424" s="38" t="n">
        <f aca="false">Sens!$E$5424+Sens!$F$5424</f>
        <v>470.959773480586</v>
      </c>
      <c r="H5424" s="38" t="n">
        <f aca="false">Sens!$H$5422*Sens!$H$5423</f>
        <v>521.386990416437</v>
      </c>
      <c r="I5424" s="38" t="n">
        <f aca="false">Sens!$I$5422*Sens!$I$5423</f>
        <v>570.143862887555</v>
      </c>
      <c r="J5424" s="38" t="n">
        <f aca="false">Sens!$J$5422*Sens!$J$5423</f>
        <v>615.391435791933</v>
      </c>
      <c r="K5424" s="38" t="n">
        <f aca="false">Sens!$K$5422*Sens!$K$5423</f>
        <v>655.208227561543</v>
      </c>
      <c r="L5424" s="38" t="n">
        <f aca="false">Sens!$L$5422*Sens!$L$5423</f>
        <v>697.807739249767</v>
      </c>
      <c r="M5424" s="38" t="n">
        <f aca="false">Sens!$M$5422*Sens!$M$5423</f>
        <v>743.399328463592</v>
      </c>
      <c r="N5424" s="38" t="n">
        <f aca="false">Q!$N$5</f>
        <v>192.955</v>
      </c>
      <c r="O5424" s="38" t="n">
        <f aca="false">Q!$O$5</f>
        <v>233.35</v>
      </c>
      <c r="P5424" s="5" t="s">
        <v>685</v>
      </c>
    </row>
    <row r="5425" customFormat="false" ht="17.15" hidden="false" customHeight="false" outlineLevel="0" collapsed="false">
      <c r="A5425" s="1" t="s">
        <v>515</v>
      </c>
      <c r="B5425" s="8" t="s">
        <v>86</v>
      </c>
      <c r="C5425" s="38" t="n">
        <f aca="false">Q!$D$6</f>
        <v>142.906</v>
      </c>
      <c r="D5425" s="38" t="n">
        <f aca="false">Q!$E$6</f>
        <v>161.894</v>
      </c>
      <c r="E5425" s="38" t="n">
        <f aca="false">Q!$P$6</f>
        <v>81.986</v>
      </c>
      <c r="F5425" s="38" t="n">
        <f aca="false">Sens!$F$5422*(1-Sens!$F$5423)</f>
        <v>98.408468164951</v>
      </c>
      <c r="G5425" s="38" t="n">
        <f aca="false">Sens!$E$5425+Sens!$F$5425</f>
        <v>180.394468164951</v>
      </c>
      <c r="H5425" s="38" t="n">
        <f aca="false">Sens!$H$5422*(1-Sens!$H$5423)</f>
        <v>199.709899104949</v>
      </c>
      <c r="I5425" s="38" t="n">
        <f aca="false">Sens!$I$5422*(1-Sens!$I$5423)</f>
        <v>218.385528264976</v>
      </c>
      <c r="J5425" s="38" t="n">
        <f aca="false">Sens!$J$5422*(1-Sens!$J$5423)</f>
        <v>235.71696994951</v>
      </c>
      <c r="K5425" s="38" t="n">
        <f aca="false">Sens!$K$5422*(1-Sens!$K$5423)</f>
        <v>250.968227869545</v>
      </c>
      <c r="L5425" s="38" t="n">
        <f aca="false">Sens!$L$5422*(1-Sens!$L$5423)</f>
        <v>267.285367225822</v>
      </c>
      <c r="M5425" s="38" t="n">
        <f aca="false">Sens!$M$5422*(1-Sens!$M$5423)</f>
        <v>284.748579483295</v>
      </c>
      <c r="N5425" s="38" t="n">
        <f aca="false">Q!$N$6</f>
        <v>70.274</v>
      </c>
      <c r="O5425" s="38" t="n">
        <f aca="false">Q!$O$6</f>
        <v>91.62</v>
      </c>
      <c r="P5425" s="5" t="s">
        <v>686</v>
      </c>
    </row>
    <row r="5426" customFormat="false" ht="17.15" hidden="false" customHeight="false" outlineLevel="0" collapsed="false">
      <c r="A5426" s="5" t="s">
        <v>687</v>
      </c>
      <c r="B5426" s="0" t="s">
        <v>86</v>
      </c>
      <c r="C5426" s="38" t="n">
        <f aca="false">Sens!$C$5415*Sens!$C$5423</f>
        <v>41.0683128828457</v>
      </c>
      <c r="D5426" s="38" t="n">
        <f aca="false">Sens!$D$5415*Sens!$D$5423</f>
        <v>49.7441234599175</v>
      </c>
      <c r="E5426" s="38" t="n">
        <f aca="false">Sens!$E$5415*Sens!$E$5423</f>
        <v>27.0034224924414</v>
      </c>
      <c r="F5426" s="38" t="n">
        <f aca="false">Sens!$F$5415*Sens!$F$5423</f>
        <v>33.1439448330513</v>
      </c>
      <c r="G5426" s="38" t="n">
        <f aca="false">Sens!$G$5415*Sens!$G$5423</f>
        <v>60.164183844083</v>
      </c>
      <c r="H5426" s="38" t="n">
        <f aca="false">Sens!$H$5415*Sens!$H$5423</f>
        <v>72.2301766552629</v>
      </c>
      <c r="I5426" s="38" t="n">
        <f aca="false">Sens!$I$5415*Sens!$I$5423</f>
        <v>84.2950764463991</v>
      </c>
      <c r="J5426" s="38" t="n">
        <f aca="false">Sens!$J$5415*Sens!$J$5423</f>
        <v>95.5499047729386</v>
      </c>
      <c r="K5426" s="38" t="n">
        <f aca="false">Sens!$K$5415*Sens!$K$5423</f>
        <v>105.104895250232</v>
      </c>
      <c r="L5426" s="38" t="n">
        <f aca="false">Sens!$L$5415*Sens!$L$5423</f>
        <v>115.615384775256</v>
      </c>
      <c r="M5426" s="38" t="n">
        <f aca="false">Sens!$M$5415*Sens!$M$5423</f>
        <v>127.176923252781</v>
      </c>
      <c r="N5426" s="38" t="n">
        <f aca="false">Sens!$N$5415*Sens!$N$5423</f>
        <v>21.7087111412496</v>
      </c>
      <c r="O5426" s="38" t="n">
        <f aca="false">Sens!$O$5415*Sens!$O$5423</f>
        <v>28.0189463642798</v>
      </c>
      <c r="P5426" s="5" t="s">
        <v>688</v>
      </c>
    </row>
    <row r="5427" customFormat="false" ht="15" hidden="false" customHeight="false" outlineLevel="0" collapsed="false">
      <c r="A5427" s="5" t="s">
        <v>689</v>
      </c>
      <c r="B5427" s="0" t="s">
        <v>86</v>
      </c>
      <c r="C5427" s="38" t="n">
        <f aca="false">Sens!$C$5415-Sens!$C$5426</f>
        <v>15.1456871171543</v>
      </c>
      <c r="D5427" s="38" t="n">
        <f aca="false">Sens!$D$5415-Sens!$D$5426</f>
        <v>18.8908765400825</v>
      </c>
      <c r="E5427" s="38" t="n">
        <f aca="false">Sens!$E$5415-Sens!$E$5426</f>
        <v>10.0485775075586</v>
      </c>
      <c r="F5427" s="38" t="n">
        <f aca="false">Sens!$F$5415-Sens!$F$5426</f>
        <v>13.0132771613635</v>
      </c>
      <c r="G5427" s="38" t="n">
        <f aca="false">Sens!$G$5415-Sens!$G$5426</f>
        <v>23.0450381503318</v>
      </c>
      <c r="H5427" s="38" t="n">
        <f aca="false">Sens!$H$5415-Sens!$H$5426</f>
        <v>27.6667457326347</v>
      </c>
      <c r="I5427" s="38" t="n">
        <f aca="false">Sens!$I$5415-Sens!$I$5426</f>
        <v>32.2880346490971</v>
      </c>
      <c r="J5427" s="38" t="n">
        <f aca="false">Sens!$J$5415-Sens!$J$5426</f>
        <v>36.5990371690132</v>
      </c>
      <c r="K5427" s="38" t="n">
        <f aca="false">Sens!$K$5415-Sens!$K$5426</f>
        <v>40.2589408859145</v>
      </c>
      <c r="L5427" s="38" t="n">
        <f aca="false">Sens!$L$5415-Sens!$L$5426</f>
        <v>44.2848349745059</v>
      </c>
      <c r="M5427" s="38" t="n">
        <f aca="false">Sens!$M$5415-Sens!$M$5426</f>
        <v>48.7133184719565</v>
      </c>
      <c r="N5427" s="38" t="n">
        <f aca="false">Sens!$N$5415-Sens!$N$5426</f>
        <v>7.90628885875037</v>
      </c>
      <c r="O5427" s="38" t="n">
        <f aca="false">Sens!$O$5415-Sens!$O$5426</f>
        <v>11.0010536357202</v>
      </c>
    </row>
    <row r="5428" customFormat="false" ht="19.4" hidden="false" customHeight="false" outlineLevel="0" collapsed="false">
      <c r="A5428" s="31" t="s">
        <v>1246</v>
      </c>
    </row>
    <row r="5429" customFormat="false" ht="17.15" hidden="false" customHeight="false" outlineLevel="0" collapsed="false">
      <c r="A5429" s="6" t="s">
        <v>16</v>
      </c>
      <c r="B5429" s="6" t="s">
        <v>17</v>
      </c>
      <c r="C5429" s="20" t="s">
        <v>497</v>
      </c>
      <c r="D5429" s="20" t="s">
        <v>498</v>
      </c>
      <c r="E5429" s="20" t="s">
        <v>580</v>
      </c>
      <c r="F5429" s="20" t="s">
        <v>581</v>
      </c>
      <c r="G5429" s="20" t="s">
        <v>582</v>
      </c>
      <c r="H5429" s="20" t="s">
        <v>583</v>
      </c>
      <c r="I5429" s="20" t="s">
        <v>584</v>
      </c>
      <c r="J5429" s="20" t="s">
        <v>585</v>
      </c>
      <c r="K5429" s="20" t="s">
        <v>586</v>
      </c>
      <c r="L5429" s="20" t="s">
        <v>587</v>
      </c>
      <c r="M5429" s="20" t="s">
        <v>588</v>
      </c>
      <c r="N5429" s="20" t="s">
        <v>589</v>
      </c>
      <c r="O5429" s="20" t="s">
        <v>590</v>
      </c>
      <c r="P5429" s="6" t="s">
        <v>23</v>
      </c>
      <c r="R5429" s="20" t="n">
        <v>2023</v>
      </c>
      <c r="S5429" s="20" t="n">
        <v>2024</v>
      </c>
      <c r="T5429" s="20" t="n">
        <v>2025</v>
      </c>
      <c r="U5429" s="20" t="n">
        <v>2026</v>
      </c>
      <c r="V5429" s="20" t="n">
        <v>2027</v>
      </c>
      <c r="W5429" s="20" t="n">
        <v>2028</v>
      </c>
      <c r="X5429" s="20" t="n">
        <v>2029</v>
      </c>
      <c r="Y5429" s="20" t="n">
        <v>2030</v>
      </c>
      <c r="Z5429" s="20" t="n">
        <v>2031</v>
      </c>
      <c r="AA5429" s="20" t="n">
        <v>2032</v>
      </c>
    </row>
    <row r="5430" customFormat="false" ht="17.15" hidden="false" customHeight="false" outlineLevel="0" collapsed="false">
      <c r="A5430" s="1" t="s">
        <v>591</v>
      </c>
    </row>
    <row r="5431" customFormat="false" ht="17.15" hidden="false" customHeight="false" outlineLevel="0" collapsed="false">
      <c r="A5431" s="5" t="s">
        <v>592</v>
      </c>
      <c r="B5431" s="0" t="s">
        <v>144</v>
      </c>
      <c r="H5431" s="32" t="n">
        <f aca="false">pace_B</f>
        <v>3634.3</v>
      </c>
      <c r="I5431" s="32" t="n">
        <f aca="false">pace_B</f>
        <v>3634.3</v>
      </c>
      <c r="J5431" s="32" t="n">
        <f aca="false">pace_B</f>
        <v>3634.3</v>
      </c>
      <c r="K5431" s="32" t="n">
        <f aca="false">pace_B+(Sens!$J$5432*tg_lo-pace_B)*1/3</f>
        <v>2521.53366666667</v>
      </c>
      <c r="L5431" s="32" t="n">
        <f aca="false">pace_B+(Sens!$J$5432*tg_lo-pace_B)*2/3</f>
        <v>1408.76733333333</v>
      </c>
      <c r="M5431" s="32" t="n">
        <f aca="false">pace_B+(Sens!$J$5432*tg_lo-pace_B)*3/3</f>
        <v>296.001</v>
      </c>
      <c r="P5431" s="5" t="s">
        <v>593</v>
      </c>
    </row>
    <row r="5432" customFormat="false" ht="17.15" hidden="false" customHeight="false" outlineLevel="0" collapsed="false">
      <c r="A5432" s="15" t="s">
        <v>594</v>
      </c>
      <c r="B5432" s="14" t="s">
        <v>129</v>
      </c>
      <c r="C5432" s="33" t="n">
        <f aca="false">mw_ye24</f>
        <v>360</v>
      </c>
      <c r="D5432" s="33" t="n">
        <f aca="false">mw_ye25</f>
        <v>1440</v>
      </c>
      <c r="E5432" s="33" t="n">
        <f aca="false">mw_open</f>
        <v>2080</v>
      </c>
      <c r="F5432" s="33" t="n">
        <f aca="false">Sens!$E$5432+pace_B*0.5</f>
        <v>3897.15</v>
      </c>
      <c r="G5432" s="33" t="n">
        <f aca="false">Sens!$F$5432</f>
        <v>3897.15</v>
      </c>
      <c r="H5432" s="33" t="n">
        <f aca="false">Sens!$G$5432+Sens!$H$5431</f>
        <v>7531.45</v>
      </c>
      <c r="I5432" s="33" t="n">
        <f aca="false">Sens!$H$5432+Sens!$I$5431</f>
        <v>11165.75</v>
      </c>
      <c r="J5432" s="33" t="n">
        <f aca="false">Sens!$I$5432+Sens!$J$5431</f>
        <v>14800.05</v>
      </c>
      <c r="K5432" s="33" t="n">
        <f aca="false">Sens!$J$5432+Sens!$K$5431</f>
        <v>17321.5836666667</v>
      </c>
      <c r="L5432" s="33" t="n">
        <f aca="false">Sens!$K$5432+Sens!$L$5431</f>
        <v>18730.351</v>
      </c>
      <c r="M5432" s="33" t="n">
        <f aca="false">Sens!$L$5432+Sens!$M$5431</f>
        <v>19026.352</v>
      </c>
      <c r="N5432" s="33" t="n">
        <f aca="false">(mw_ye24+mw_ye25)/2</f>
        <v>900</v>
      </c>
      <c r="O5432" s="33" t="n">
        <f aca="false">mw_ye25</f>
        <v>1440</v>
      </c>
      <c r="P5432" s="5" t="s">
        <v>595</v>
      </c>
    </row>
    <row r="5433" customFormat="false" ht="17.15" hidden="false" customHeight="false" outlineLevel="0" collapsed="false">
      <c r="A5433" s="5" t="s">
        <v>596</v>
      </c>
      <c r="B5433" s="0" t="s">
        <v>129</v>
      </c>
      <c r="C5433" s="32" t="n">
        <f aca="false">(mw_ye23+mw_ye24)/2</f>
        <v>240</v>
      </c>
      <c r="D5433" s="32" t="n">
        <f aca="false">(Sens!$C$5432+Sens!$D$5432)/2</f>
        <v>900</v>
      </c>
      <c r="E5433" s="32" t="n">
        <f aca="false">(Sens!$D$5432+Sens!$E$5432)/2</f>
        <v>1760</v>
      </c>
      <c r="F5433" s="32" t="n">
        <f aca="false">(Sens!$E$5432+Sens!$F$5432)/2</f>
        <v>2988.575</v>
      </c>
      <c r="G5433" s="32" t="n">
        <f aca="false">(Sens!$E$5433+Sens!$F$5433)/2</f>
        <v>2374.2875</v>
      </c>
      <c r="H5433" s="32" t="n">
        <f aca="false">(Sens!$G$5432+Sens!$H$5432)/2</f>
        <v>5714.3</v>
      </c>
      <c r="I5433" s="32" t="n">
        <f aca="false">(Sens!$H$5432+Sens!$I$5432)/2</f>
        <v>9348.6</v>
      </c>
      <c r="J5433" s="32" t="n">
        <f aca="false">(Sens!$I$5432+Sens!$J$5432)/2</f>
        <v>12982.9</v>
      </c>
      <c r="K5433" s="32" t="n">
        <f aca="false">(Sens!$J$5432+Sens!$K$5432)/2</f>
        <v>16060.8168333333</v>
      </c>
      <c r="L5433" s="32" t="n">
        <f aca="false">(Sens!$K$5432+Sens!$L$5432)/2</f>
        <v>18025.9673333333</v>
      </c>
      <c r="M5433" s="32" t="n">
        <f aca="false">(Sens!$L$5432+Sens!$M$5432)/2</f>
        <v>18878.3515</v>
      </c>
      <c r="N5433" s="32" t="n">
        <f aca="false">(Sens!$C$5432+Sens!$N$5432)/2</f>
        <v>630</v>
      </c>
      <c r="O5433" s="32" t="n">
        <f aca="false">(Sens!$N$5432+Sens!$O$5432)/2</f>
        <v>1170</v>
      </c>
    </row>
    <row r="5434" customFormat="false" ht="15" hidden="false" customHeight="false" outlineLevel="0" collapsed="false">
      <c r="A5434" s="5" t="s">
        <v>597</v>
      </c>
      <c r="B5434" s="5" t="s">
        <v>123</v>
      </c>
      <c r="C5434" s="34" t="n">
        <v>1</v>
      </c>
      <c r="D5434" s="34" t="n">
        <v>1</v>
      </c>
      <c r="E5434" s="34" t="n">
        <v>0.5</v>
      </c>
      <c r="F5434" s="34" t="n">
        <v>0.5</v>
      </c>
      <c r="G5434" s="34" t="n">
        <v>1</v>
      </c>
      <c r="H5434" s="34" t="n">
        <v>1</v>
      </c>
      <c r="I5434" s="34" t="n">
        <v>1</v>
      </c>
      <c r="J5434" s="34" t="n">
        <v>1</v>
      </c>
      <c r="K5434" s="34" t="n">
        <v>1</v>
      </c>
      <c r="L5434" s="34" t="n">
        <v>1</v>
      </c>
      <c r="M5434" s="34" t="n">
        <v>1</v>
      </c>
      <c r="N5434" s="34" t="n">
        <v>0.5</v>
      </c>
      <c r="O5434" s="34" t="n">
        <v>0.5</v>
      </c>
    </row>
    <row r="5435" customFormat="false" ht="17.15" hidden="false" customHeight="false" outlineLevel="0" collapsed="false">
      <c r="A5435" s="5" t="s">
        <v>598</v>
      </c>
      <c r="B5435" s="0" t="s">
        <v>129</v>
      </c>
      <c r="C5435" s="32" t="n">
        <f aca="false">Sens!$C$5432-mw_ye23</f>
        <v>240</v>
      </c>
      <c r="D5435" s="32" t="n">
        <f aca="false">Sens!$D$5432-Sens!$C$5432</f>
        <v>1080</v>
      </c>
      <c r="E5435" s="32" t="n">
        <f aca="false">Sens!$E$5432-Sens!$D$5432</f>
        <v>640</v>
      </c>
      <c r="F5435" s="32" t="n">
        <f aca="false">Sens!$F$5432-Sens!$E$5432</f>
        <v>1817.15</v>
      </c>
      <c r="G5435" s="32" t="n">
        <f aca="false">Sens!$E$5435+Sens!$F$5435</f>
        <v>2457.15</v>
      </c>
      <c r="H5435" s="32" t="n">
        <f aca="false">Sens!$H$5432-Sens!$G$5432</f>
        <v>3634.3</v>
      </c>
      <c r="I5435" s="32" t="n">
        <f aca="false">Sens!$I$5432-Sens!$H$5432</f>
        <v>3634.3</v>
      </c>
      <c r="J5435" s="32" t="n">
        <f aca="false">Sens!$J$5432-Sens!$I$5432</f>
        <v>3634.3</v>
      </c>
      <c r="K5435" s="32" t="n">
        <f aca="false">Sens!$K$5432-Sens!$J$5432</f>
        <v>2521.53366666667</v>
      </c>
      <c r="L5435" s="32" t="n">
        <f aca="false">Sens!$L$5432-Sens!$K$5432</f>
        <v>1408.76733333333</v>
      </c>
      <c r="M5435" s="32" t="n">
        <f aca="false">Sens!$M$5432-Sens!$L$5432</f>
        <v>296.001</v>
      </c>
      <c r="N5435" s="32" t="n">
        <f aca="false">Sens!$N$5432-Sens!$C$5432</f>
        <v>540</v>
      </c>
      <c r="O5435" s="32" t="n">
        <f aca="false">Sens!$O$5432-Sens!$N$5432</f>
        <v>540</v>
      </c>
    </row>
    <row r="5436" customFormat="false" ht="17.15" hidden="false" customHeight="false" outlineLevel="0" collapsed="false">
      <c r="A5436" s="5" t="s">
        <v>599</v>
      </c>
      <c r="B5436" s="0" t="s">
        <v>129</v>
      </c>
      <c r="C5436" s="32" t="n">
        <f aca="false">Sens!$C$5435/ext_sh</f>
        <v>300</v>
      </c>
      <c r="D5436" s="32" t="n">
        <f aca="false">Sens!$D$5435/ext_sh</f>
        <v>1350</v>
      </c>
      <c r="E5436" s="32" t="n">
        <f aca="false">Sens!$E$5435/ext_sh</f>
        <v>800</v>
      </c>
      <c r="F5436" s="32" t="n">
        <f aca="false">Sens!$F$5435/ext_sh</f>
        <v>2271.4375</v>
      </c>
      <c r="G5436" s="32" t="n">
        <f aca="false">Sens!$G$5435/ext_sh</f>
        <v>3071.4375</v>
      </c>
      <c r="H5436" s="32" t="n">
        <f aca="false">Sens!$H$5435/ext_sh</f>
        <v>4542.875</v>
      </c>
      <c r="I5436" s="32" t="n">
        <f aca="false">Sens!$I$5435/ext_sh</f>
        <v>4542.875</v>
      </c>
      <c r="J5436" s="32" t="n">
        <f aca="false">Sens!$J$5435/ext_sh</f>
        <v>4542.875</v>
      </c>
      <c r="K5436" s="32" t="n">
        <f aca="false">Sens!$K$5435/ext_sh</f>
        <v>3151.91708333333</v>
      </c>
      <c r="L5436" s="32" t="n">
        <f aca="false">Sens!$L$5435/ext_sh</f>
        <v>1760.95916666667</v>
      </c>
      <c r="M5436" s="32" t="n">
        <f aca="false">Sens!$M$5435/ext_sh</f>
        <v>370.00125</v>
      </c>
      <c r="N5436" s="32" t="n">
        <f aca="false">Sens!$N$5435/ext_sh</f>
        <v>675</v>
      </c>
      <c r="O5436" s="32" t="n">
        <f aca="false">Sens!$O$5435/ext_sh</f>
        <v>675</v>
      </c>
      <c r="P5436" s="8" t="s">
        <v>600</v>
      </c>
      <c r="R5436" s="32" t="n">
        <f aca="false">mw_ye23/ext_sh</f>
        <v>150</v>
      </c>
      <c r="S5436" s="32" t="n">
        <f aca="false">Sens!$C$5436</f>
        <v>300</v>
      </c>
      <c r="T5436" s="32" t="n">
        <f aca="false">Sens!$D$5436</f>
        <v>1350</v>
      </c>
      <c r="U5436" s="32" t="n">
        <f aca="false">Sens!$G$5436</f>
        <v>3071.4375</v>
      </c>
      <c r="V5436" s="32" t="n">
        <f aca="false">Sens!$H$5436</f>
        <v>4542.875</v>
      </c>
      <c r="W5436" s="32" t="n">
        <f aca="false">Sens!$I$5436</f>
        <v>4542.875</v>
      </c>
      <c r="X5436" s="32" t="n">
        <f aca="false">Sens!$J$5436</f>
        <v>4542.875</v>
      </c>
      <c r="Y5436" s="32" t="n">
        <f aca="false">Sens!$K$5436</f>
        <v>3151.91708333333</v>
      </c>
      <c r="Z5436" s="32" t="n">
        <f aca="false">Sens!$L$5436</f>
        <v>1760.95916666667</v>
      </c>
      <c r="AA5436" s="32" t="n">
        <f aca="false">Sens!$M$5436</f>
        <v>370.00125</v>
      </c>
    </row>
    <row r="5437" customFormat="false" ht="17.15" hidden="false" customHeight="false" outlineLevel="0" collapsed="false">
      <c r="A5437" s="1" t="s">
        <v>601</v>
      </c>
    </row>
    <row r="5438" customFormat="false" ht="17.15" hidden="false" customHeight="false" outlineLevel="0" collapsed="false">
      <c r="A5438" s="0" t="s">
        <v>602</v>
      </c>
      <c r="B5438" s="0" t="s">
        <v>52</v>
      </c>
      <c r="F5438" s="35" t="n">
        <f aca="false">na_vr26</f>
        <v>0</v>
      </c>
      <c r="G5438" s="35" t="n">
        <f aca="false">na_vr26</f>
        <v>0</v>
      </c>
      <c r="H5438" s="35" t="n">
        <f aca="false">na_vr27</f>
        <v>0.5</v>
      </c>
      <c r="I5438" s="35" t="n">
        <f aca="false">na_vr28</f>
        <v>1</v>
      </c>
      <c r="J5438" s="35" t="n">
        <f aca="false">na_vr28</f>
        <v>1</v>
      </c>
      <c r="K5438" s="35" t="n">
        <f aca="false">na_vr28</f>
        <v>1</v>
      </c>
      <c r="L5438" s="35" t="n">
        <f aca="false">na_vr28</f>
        <v>1</v>
      </c>
      <c r="M5438" s="35" t="n">
        <f aca="false">na_vr28</f>
        <v>1</v>
      </c>
    </row>
    <row r="5439" customFormat="false" ht="17.15" hidden="false" customHeight="false" outlineLevel="0" collapsed="false">
      <c r="A5439" s="5" t="s">
        <v>603</v>
      </c>
      <c r="B5439" s="0" t="s">
        <v>173</v>
      </c>
      <c r="F5439" s="36" t="n">
        <f aca="false">cust_sh*tk_he_gb300*cf_chip+(1-cust_sh)*((1-Sens!$F$5438)*tk_he_gb300+Sens!$F$5438*tk_he_vr200)</f>
        <v>10.8864110021101</v>
      </c>
      <c r="G5439" s="36" t="n">
        <f aca="false">cust_sh*tk_he_gb300*cf_chip+(1-cust_sh)*((1-Sens!$G$5438)*tk_he_gb300+Sens!$G$5438*tk_he_vr200)</f>
        <v>10.8864110021101</v>
      </c>
      <c r="H5439" s="36" t="n">
        <f aca="false">cust_sh*tk_he_gb300*cf_chip+(1-cust_sh)*((1-Sens!$H$5438)*tk_he_gb300+Sens!$H$5438*tk_he_vr200)</f>
        <v>11.2211760027286</v>
      </c>
      <c r="I5439" s="36" t="n">
        <f aca="false">cust_sh*tk_he_gb300*cf_chip+(1-cust_sh)*((1-Sens!$I$5438)*tk_he_gb300+Sens!$I$5438*tk_he_vr200)</f>
        <v>11.5559410033471</v>
      </c>
      <c r="J5439" s="36" t="n">
        <f aca="false">cust_sh*tk_he_gb300*cf_chip+(1-cust_sh)*((1-Sens!$J$5438)*tk_he_gb300+Sens!$J$5438*tk_he_vr200)</f>
        <v>11.5559410033471</v>
      </c>
      <c r="K5439" s="36" t="n">
        <f aca="false">cust_sh*tk_he_gb300*cf_chip+(1-cust_sh)*((1-Sens!$K$5438)*tk_he_gb300+Sens!$K$5438*tk_he_vr200)</f>
        <v>11.5559410033471</v>
      </c>
      <c r="L5439" s="36" t="n">
        <f aca="false">cust_sh*tk_he_gb300*cf_chip+(1-cust_sh)*((1-Sens!$L$5438)*tk_he_gb300+Sens!$L$5438*tk_he_vr200)</f>
        <v>11.5559410033471</v>
      </c>
      <c r="M5439" s="36" t="n">
        <f aca="false">cust_sh*tk_he_gb300*cf_chip+(1-cust_sh)*((1-Sens!$M$5438)*tk_he_gb300+Sens!$M$5438*tk_he_vr200)</f>
        <v>11.5559410033471</v>
      </c>
    </row>
    <row r="5440" customFormat="false" ht="17.15" hidden="false" customHeight="false" outlineLevel="0" collapsed="false">
      <c r="A5440" s="5" t="s">
        <v>604</v>
      </c>
      <c r="B5440" s="0" t="s">
        <v>173</v>
      </c>
      <c r="F5440" s="36" t="n">
        <f aca="false">cust_sh*tk_ox_gb300+(1-cust_sh)*((1-Sens!$F$5438)*tk_ox_gb300+Sens!$F$5438*tk_ox_vr200)</f>
        <v>1.98263481314457</v>
      </c>
      <c r="G5440" s="36" t="n">
        <f aca="false">cust_sh*tk_ox_gb300+(1-cust_sh)*((1-Sens!$G$5438)*tk_ox_gb300+Sens!$G$5438*tk_ox_vr200)</f>
        <v>1.98263481314457</v>
      </c>
      <c r="H5440" s="36" t="n">
        <f aca="false">cust_sh*tk_ox_gb300+(1-cust_sh)*((1-Sens!$H$5438)*tk_ox_gb300+Sens!$H$5438*tk_ox_vr200)</f>
        <v>2.01034999693694</v>
      </c>
      <c r="I5440" s="36" t="n">
        <f aca="false">cust_sh*tk_ox_gb300+(1-cust_sh)*((1-Sens!$I$5438)*tk_ox_gb300+Sens!$I$5438*tk_ox_vr200)</f>
        <v>2.0380651807293</v>
      </c>
      <c r="J5440" s="36" t="n">
        <f aca="false">cust_sh*tk_ox_gb300+(1-cust_sh)*((1-Sens!$J$5438)*tk_ox_gb300+Sens!$J$5438*tk_ox_vr200)</f>
        <v>2.0380651807293</v>
      </c>
      <c r="K5440" s="36" t="n">
        <f aca="false">cust_sh*tk_ox_gb300+(1-cust_sh)*((1-Sens!$K$5438)*tk_ox_gb300+Sens!$K$5438*tk_ox_vr200)</f>
        <v>2.0380651807293</v>
      </c>
      <c r="L5440" s="36" t="n">
        <f aca="false">cust_sh*tk_ox_gb300+(1-cust_sh)*((1-Sens!$L$5438)*tk_ox_gb300+Sens!$L$5438*tk_ox_vr200)</f>
        <v>2.0380651807293</v>
      </c>
      <c r="M5440" s="36" t="n">
        <f aca="false">cust_sh*tk_ox_gb300+(1-cust_sh)*((1-Sens!$M$5438)*tk_ox_gb300+Sens!$M$5438*tk_ox_vr200)</f>
        <v>2.0380651807293</v>
      </c>
    </row>
    <row r="5441" customFormat="false" ht="17.15" hidden="false" customHeight="false" outlineLevel="0" collapsed="false">
      <c r="A5441" s="5" t="s">
        <v>605</v>
      </c>
      <c r="B5441" s="0" t="s">
        <v>192</v>
      </c>
      <c r="F5441" s="36" t="n">
        <f aca="false">cust_sh*tk_cx_gb300*cf_cx+(1-cust_sh)*((1-Sens!$F$5438)*tk_cx_gb300+Sens!$F$5438*tk_cx_vr200)</f>
        <v>32.237224</v>
      </c>
      <c r="G5441" s="36" t="n">
        <f aca="false">cust_sh*tk_cx_gb300*cf_cx+(1-cust_sh)*((1-Sens!$G$5438)*tk_cx_gb300+Sens!$G$5438*tk_cx_vr200)</f>
        <v>32.237224</v>
      </c>
      <c r="H5441" s="36" t="n">
        <f aca="false">cust_sh*tk_cx_gb300*cf_cx+(1-cust_sh)*((1-Sens!$H$5438)*tk_cx_gb300+Sens!$H$5438*tk_cx_vr200)</f>
        <v>33.574506</v>
      </c>
      <c r="I5441" s="36" t="n">
        <f aca="false">cust_sh*tk_cx_gb300*cf_cx+(1-cust_sh)*((1-Sens!$I$5438)*tk_cx_gb300+Sens!$I$5438*tk_cx_vr200)</f>
        <v>34.911788</v>
      </c>
      <c r="J5441" s="36" t="n">
        <f aca="false">cust_sh*tk_cx_gb300*cf_cx+(1-cust_sh)*((1-Sens!$J$5438)*tk_cx_gb300+Sens!$J$5438*tk_cx_vr200)</f>
        <v>34.911788</v>
      </c>
      <c r="K5441" s="36" t="n">
        <f aca="false">cust_sh*tk_cx_gb300*cf_cx+(1-cust_sh)*((1-Sens!$K$5438)*tk_cx_gb300+Sens!$K$5438*tk_cx_vr200)</f>
        <v>34.911788</v>
      </c>
      <c r="L5441" s="36" t="n">
        <f aca="false">cust_sh*tk_cx_gb300*cf_cx+(1-cust_sh)*((1-Sens!$L$5438)*tk_cx_gb300+Sens!$L$5438*tk_cx_vr200)</f>
        <v>34.911788</v>
      </c>
      <c r="M5441" s="36" t="n">
        <f aca="false">cust_sh*tk_cx_gb300*cf_cx+(1-cust_sh)*((1-Sens!$M$5438)*tk_cx_gb300+Sens!$M$5438*tk_cx_vr200)</f>
        <v>34.911788</v>
      </c>
    </row>
    <row r="5442" customFormat="false" ht="17.15" hidden="false" customHeight="false" outlineLevel="0" collapsed="false">
      <c r="A5442" s="5" t="s">
        <v>606</v>
      </c>
      <c r="B5442" s="0" t="s">
        <v>129</v>
      </c>
      <c r="F5442" s="32" t="n">
        <f aca="false">Sens!$F$5432-mw_open</f>
        <v>1817.15</v>
      </c>
      <c r="G5442" s="32" t="n">
        <f aca="false">Sens!$F$5442</f>
        <v>1817.15</v>
      </c>
      <c r="H5442" s="32" t="n">
        <f aca="false">Sens!$H$5432-mw_open</f>
        <v>5451.45</v>
      </c>
      <c r="I5442" s="32" t="n">
        <f aca="false">Sens!$I$5432-mw_open</f>
        <v>9085.75</v>
      </c>
      <c r="J5442" s="32" t="n">
        <f aca="false">Sens!$J$5432-mw_open</f>
        <v>12720.05</v>
      </c>
      <c r="K5442" s="32" t="n">
        <f aca="false">Sens!$K$5432-mw_open</f>
        <v>15241.5836666667</v>
      </c>
      <c r="L5442" s="32" t="n">
        <f aca="false">Sens!$L$5432-mw_open</f>
        <v>16650.351</v>
      </c>
      <c r="M5442" s="32" t="n">
        <f aca="false">Sens!$M$5432-mw_open</f>
        <v>16946.352</v>
      </c>
    </row>
    <row r="5443" customFormat="false" ht="17.15" hidden="false" customHeight="false" outlineLevel="0" collapsed="false">
      <c r="A5443" s="0" t="s">
        <v>607</v>
      </c>
      <c r="B5443" s="0" t="s">
        <v>608</v>
      </c>
      <c r="F5443" s="32" t="n">
        <f aca="false">Sens!$F$5435*Sens!$F$5439</f>
        <v>19782.2417524844</v>
      </c>
      <c r="G5443" s="32" t="n">
        <f aca="false">Sens!$F$5443</f>
        <v>19782.2417524844</v>
      </c>
      <c r="H5443" s="32" t="n">
        <f aca="false">Sens!$G$5443+Sens!$H$5435*Sens!$H$5439</f>
        <v>60563.3616992009</v>
      </c>
      <c r="I5443" s="32" t="n">
        <f aca="false">Sens!$H$5443+Sens!$I$5435*Sens!$I$5439</f>
        <v>102561.118087665</v>
      </c>
      <c r="J5443" s="32" t="n">
        <f aca="false">Sens!$I$5443+Sens!$J$5435*Sens!$J$5439</f>
        <v>144558.87447613</v>
      </c>
      <c r="K5443" s="32" t="n">
        <f aca="false">Sens!$J$5443+Sens!$K$5435*Sens!$K$5439</f>
        <v>173697.568766083</v>
      </c>
      <c r="L5443" s="32" t="n">
        <f aca="false">Sens!$K$5443+Sens!$L$5435*Sens!$L$5439</f>
        <v>189977.200957526</v>
      </c>
      <c r="M5443" s="32" t="n">
        <f aca="false">Sens!$L$5443+Sens!$M$5435*Sens!$M$5439</f>
        <v>193397.771050458</v>
      </c>
    </row>
    <row r="5444" customFormat="false" ht="17.15" hidden="false" customHeight="false" outlineLevel="0" collapsed="false">
      <c r="A5444" s="0" t="s">
        <v>609</v>
      </c>
      <c r="B5444" s="0" t="s">
        <v>608</v>
      </c>
      <c r="F5444" s="32" t="n">
        <f aca="false">Sens!$F$5435*Sens!$F$5440</f>
        <v>3602.74485070566</v>
      </c>
      <c r="G5444" s="32" t="n">
        <f aca="false">Sens!$F$5444</f>
        <v>3602.74485070566</v>
      </c>
      <c r="H5444" s="32" t="n">
        <f aca="false">Sens!$G$5444+Sens!$H$5435*Sens!$H$5440</f>
        <v>10908.9598445736</v>
      </c>
      <c r="I5444" s="32" t="n">
        <f aca="false">Sens!$H$5444+Sens!$I$5435*Sens!$I$5440</f>
        <v>18315.9001308981</v>
      </c>
      <c r="J5444" s="32" t="n">
        <f aca="false">Sens!$I$5444+Sens!$J$5435*Sens!$J$5440</f>
        <v>25722.8404172225</v>
      </c>
      <c r="K5444" s="32" t="n">
        <f aca="false">Sens!$J$5444+Sens!$K$5435*Sens!$K$5440</f>
        <v>30861.8903852926</v>
      </c>
      <c r="L5444" s="32" t="n">
        <f aca="false">Sens!$K$5444+Sens!$L$5435*Sens!$L$5440</f>
        <v>33733.0500351081</v>
      </c>
      <c r="M5444" s="32" t="n">
        <f aca="false">Sens!$L$5444+Sens!$M$5435*Sens!$M$5440</f>
        <v>34336.3193666691</v>
      </c>
    </row>
    <row r="5445" customFormat="false" ht="17.15" hidden="false" customHeight="false" outlineLevel="0" collapsed="false">
      <c r="A5445" s="5" t="s">
        <v>610</v>
      </c>
      <c r="B5445" s="0" t="s">
        <v>173</v>
      </c>
      <c r="F5445" s="36" t="n">
        <f aca="false">IF(Sens!$F$5442&gt;0,Sens!$F$5443/Sens!$F$5442,Sens!$F$5439)</f>
        <v>10.8864110021101</v>
      </c>
      <c r="G5445" s="36" t="n">
        <f aca="false">IF(Sens!$G$5442&gt;0,Sens!$G$5443/Sens!$G$5442,Sens!$G$5439)</f>
        <v>10.8864110021101</v>
      </c>
      <c r="H5445" s="36" t="n">
        <f aca="false">IF(Sens!$H$5442&gt;0,Sens!$H$5443/Sens!$H$5442,Sens!$H$5439)</f>
        <v>11.1095876691891</v>
      </c>
      <c r="I5445" s="36" t="n">
        <f aca="false">IF(Sens!$I$5442&gt;0,Sens!$I$5443/Sens!$I$5442,Sens!$I$5439)</f>
        <v>11.2881290028523</v>
      </c>
      <c r="J5445" s="36" t="n">
        <f aca="false">IF(Sens!$J$5442&gt;0,Sens!$J$5443/Sens!$J$5442,Sens!$J$5439)</f>
        <v>11.3646467172794</v>
      </c>
      <c r="K5445" s="36" t="n">
        <f aca="false">IF(Sens!$K$5442&gt;0,Sens!$K$5443/Sens!$K$5442,Sens!$K$5439)</f>
        <v>11.3962940180527</v>
      </c>
      <c r="L5445" s="36" t="n">
        <f aca="false">IF(Sens!$L$5442&gt;0,Sens!$L$5443/Sens!$L$5442,Sens!$L$5439)</f>
        <v>11.4098015685991</v>
      </c>
      <c r="M5445" s="36" t="n">
        <f aca="false">IF(Sens!$M$5442&gt;0,Sens!$M$5443/Sens!$M$5442,Sens!$M$5439)</f>
        <v>11.4123541780825</v>
      </c>
    </row>
    <row r="5446" customFormat="false" ht="17.15" hidden="false" customHeight="false" outlineLevel="0" collapsed="false">
      <c r="A5446" s="5" t="s">
        <v>611</v>
      </c>
      <c r="B5446" s="0" t="s">
        <v>173</v>
      </c>
      <c r="F5446" s="36" t="n">
        <f aca="false">IF(Sens!$F$5442&gt;0,Sens!$F$5444/Sens!$F$5442,Sens!$F$5440)</f>
        <v>1.98263481314457</v>
      </c>
      <c r="G5446" s="36" t="n">
        <f aca="false">IF(Sens!$G$5442&gt;0,Sens!$G$5444/Sens!$G$5442,Sens!$G$5440)</f>
        <v>1.98263481314457</v>
      </c>
      <c r="H5446" s="36" t="n">
        <f aca="false">IF(Sens!$H$5442&gt;0,Sens!$H$5444/Sens!$H$5442,Sens!$H$5440)</f>
        <v>2.00111160233948</v>
      </c>
      <c r="I5446" s="36" t="n">
        <f aca="false">IF(Sens!$I$5442&gt;0,Sens!$I$5444/Sens!$I$5442,Sens!$I$5440)</f>
        <v>2.01589303369541</v>
      </c>
      <c r="J5446" s="36" t="n">
        <f aca="false">IF(Sens!$J$5442&gt;0,Sens!$J$5444/Sens!$J$5442,Sens!$J$5440)</f>
        <v>2.02222793284795</v>
      </c>
      <c r="K5446" s="36" t="n">
        <f aca="false">IF(Sens!$K$5442&gt;0,Sens!$K$5444/Sens!$K$5442,Sens!$K$5440)</f>
        <v>2.02484801187606</v>
      </c>
      <c r="L5446" s="36" t="n">
        <f aca="false">IF(Sens!$L$5442&gt;0,Sens!$L$5444/Sens!$L$5442,Sens!$L$5440)</f>
        <v>2.02596630155773</v>
      </c>
      <c r="M5446" s="36" t="n">
        <f aca="false">IF(Sens!$M$5442&gt;0,Sens!$M$5444/Sens!$M$5442,Sens!$M$5440)</f>
        <v>2.02617763201597</v>
      </c>
    </row>
    <row r="5447" customFormat="false" ht="17.15" hidden="false" customHeight="false" outlineLevel="0" collapsed="false">
      <c r="A5447" s="15" t="s">
        <v>612</v>
      </c>
      <c r="B5447" s="14" t="s">
        <v>173</v>
      </c>
      <c r="C5447" s="14"/>
      <c r="D5447" s="14"/>
      <c r="E5447" s="14"/>
      <c r="F5447" s="37" t="n">
        <f aca="false">Sens!$F$5445*k_B</f>
        <v>10.7987645808025</v>
      </c>
      <c r="G5447" s="37" t="n">
        <f aca="false">Sens!$G$5445*k_B</f>
        <v>10.7987645808025</v>
      </c>
      <c r="H5447" s="37" t="n">
        <f aca="false">Sens!$H$5445*k_B</f>
        <v>11.0201444540452</v>
      </c>
      <c r="I5447" s="37" t="n">
        <f aca="false">Sens!$I$5445*k_B</f>
        <v>11.1972483526393</v>
      </c>
      <c r="J5447" s="37" t="n">
        <f aca="false">Sens!$J$5445*k_B</f>
        <v>11.2731500234653</v>
      </c>
      <c r="K5447" s="37" t="n">
        <f aca="false">Sens!$K$5445*k_B</f>
        <v>11.3045425320343</v>
      </c>
      <c r="L5447" s="37" t="n">
        <f aca="false">Sens!$L$5445*k_B</f>
        <v>11.3179413333826</v>
      </c>
      <c r="M5447" s="37" t="n">
        <f aca="false">Sens!$M$5445*k_B</f>
        <v>11.3204733918244</v>
      </c>
      <c r="N5447" s="14"/>
      <c r="O5447" s="14"/>
      <c r="P5447" s="5" t="s">
        <v>613</v>
      </c>
    </row>
    <row r="5448" customFormat="false" ht="17.15" hidden="false" customHeight="false" outlineLevel="0" collapsed="false">
      <c r="A5448" s="5" t="s">
        <v>614</v>
      </c>
      <c r="B5448" s="0" t="s">
        <v>129</v>
      </c>
      <c r="F5448" s="32" t="n">
        <f aca="false">Sens!$F$5442/2</f>
        <v>908.575</v>
      </c>
      <c r="H5448" s="32" t="n">
        <f aca="false">(Sens!$G$5442+Sens!$H$5442)/2</f>
        <v>3634.3</v>
      </c>
      <c r="I5448" s="32" t="n">
        <f aca="false">(Sens!$H$5442+Sens!$I$5442)/2</f>
        <v>7268.6</v>
      </c>
      <c r="J5448" s="32" t="n">
        <f aca="false">(Sens!$I$5442+Sens!$J$5442)/2</f>
        <v>10902.9</v>
      </c>
      <c r="K5448" s="32" t="n">
        <f aca="false">(Sens!$J$5442+Sens!$K$5442)/2</f>
        <v>13980.8168333333</v>
      </c>
      <c r="L5448" s="32" t="n">
        <f aca="false">(Sens!$K$5442+Sens!$L$5442)/2</f>
        <v>15945.9673333333</v>
      </c>
      <c r="M5448" s="32" t="n">
        <f aca="false">(Sens!$L$5442+Sens!$M$5442)/2</f>
        <v>16798.3515</v>
      </c>
    </row>
    <row r="5449" customFormat="false" ht="17.15" hidden="false" customHeight="false" outlineLevel="0" collapsed="false">
      <c r="A5449" s="1" t="s">
        <v>615</v>
      </c>
    </row>
    <row r="5450" customFormat="false" ht="17.15" hidden="false" customHeight="false" outlineLevel="0" collapsed="false">
      <c r="A5450" s="1" t="s">
        <v>616</v>
      </c>
      <c r="B5450" s="8" t="s">
        <v>86</v>
      </c>
      <c r="C5450" s="38" t="n">
        <f aca="false">Sens!$C$5433*rpm_open*Sens!$C$5434/1000</f>
        <v>2.32100535697364</v>
      </c>
      <c r="D5450" s="38" t="n">
        <f aca="false">Sens!$D$5433*rpm_open*Sens!$D$5434/1000</f>
        <v>8.70377008865116</v>
      </c>
      <c r="E5450" s="38" t="n">
        <f aca="false">Sens!$E$5433*rpm_open*Sens!$E$5434/1000</f>
        <v>8.51035297557002</v>
      </c>
      <c r="F5450" s="38" t="n">
        <f aca="false">(mw_open*rpm_open+Sens!$F$5448*Sens!$F$5447)*Sens!$F$5434/1000</f>
        <v>14.9634336447205</v>
      </c>
      <c r="G5450" s="38" t="n">
        <f aca="false">Sens!$E$5450+Sens!$F$5450</f>
        <v>23.4737866202905</v>
      </c>
      <c r="H5450" s="38" t="n">
        <f aca="false">(mw_open*rpm_open+Sens!$H$5448*Sens!$H$5447)/1000</f>
        <v>60.1658907497746</v>
      </c>
      <c r="I5450" s="38" t="n">
        <f aca="false">(mw_open*rpm_open+Sens!$I$5448*Sens!$I$5447)/1000</f>
        <v>101.503699136432</v>
      </c>
      <c r="J5450" s="38" t="n">
        <f aca="false">(mw_open*rpm_open+Sens!$J$5448*Sens!$J$5447)/1000</f>
        <v>143.025407151278</v>
      </c>
      <c r="K5450" s="38" t="n">
        <f aca="false">(mw_open*rpm_open+Sens!$K$5448*Sens!$K$5447)/1000</f>
        <v>178.162118285436</v>
      </c>
      <c r="L5450" s="38" t="n">
        <f aca="false">(mw_open*rpm_open+Sens!$L$5448*Sens!$L$5447)/1000</f>
        <v>200.590902543141</v>
      </c>
      <c r="M5450" s="38" t="n">
        <f aca="false">(mw_open*rpm_open+Sens!$M$5448*Sens!$M$5447)/1000</f>
        <v>210.280670942702</v>
      </c>
      <c r="N5450" s="38" t="n">
        <f aca="false">Sens!$N$5433*rpm_open*Sens!$N$5434/1000</f>
        <v>3.04631953102791</v>
      </c>
      <c r="O5450" s="38" t="n">
        <f aca="false">Sens!$O$5433*rpm_open*Sens!$O$5434/1000</f>
        <v>5.65745055762326</v>
      </c>
      <c r="P5450" s="5" t="s">
        <v>617</v>
      </c>
    </row>
    <row r="5451" customFormat="false" ht="17.15" hidden="false" customHeight="false" outlineLevel="0" collapsed="false">
      <c r="A5451" s="5" t="s">
        <v>618</v>
      </c>
      <c r="B5451" s="0" t="s">
        <v>173</v>
      </c>
      <c r="C5451" s="36" t="n">
        <f aca="false">Sens!$C$5450*1000/(Sens!$C$5433*Sens!$C$5434)</f>
        <v>9.67085565405685</v>
      </c>
      <c r="D5451" s="36" t="n">
        <f aca="false">Sens!$D$5450*1000/(Sens!$D$5433*Sens!$D$5434)</f>
        <v>9.67085565405685</v>
      </c>
      <c r="E5451" s="36" t="n">
        <f aca="false">Sens!$E$5450*1000/(Sens!$E$5433*Sens!$E$5434)</f>
        <v>9.67085565405685</v>
      </c>
      <c r="F5451" s="36" t="n">
        <f aca="false">Sens!$F$5450*1000/(Sens!$F$5433*Sens!$F$5434)</f>
        <v>10.0137581588017</v>
      </c>
      <c r="G5451" s="36" t="n">
        <f aca="false">Sens!$G$5450*1000/(Sens!$G$5433*Sens!$G$5434)</f>
        <v>9.88666562928478</v>
      </c>
      <c r="H5451" s="36" t="n">
        <f aca="false">Sens!$H$5450*1000/(Sens!$H$5433*Sens!$H$5434)</f>
        <v>10.5290045586992</v>
      </c>
      <c r="I5451" s="36" t="n">
        <f aca="false">Sens!$I$5450*1000/(Sens!$I$5433*Sens!$I$5434)</f>
        <v>10.8576363451674</v>
      </c>
      <c r="J5451" s="36" t="n">
        <f aca="false">Sens!$J$5450*1000/(Sens!$J$5433*Sens!$J$5434)</f>
        <v>11.0164452588619</v>
      </c>
      <c r="K5451" s="36" t="n">
        <f aca="false">Sens!$K$5450*1000/(Sens!$K$5433*Sens!$K$5434)</f>
        <v>11.0929674458194</v>
      </c>
      <c r="L5451" s="36" t="n">
        <f aca="false">Sens!$L$5450*1000/(Sens!$L$5433*Sens!$L$5434)</f>
        <v>11.1278856126745</v>
      </c>
      <c r="M5451" s="36" t="n">
        <f aca="false">Sens!$M$5450*1000/(Sens!$M$5433*Sens!$M$5434)</f>
        <v>11.1387199747129</v>
      </c>
      <c r="N5451" s="36" t="n">
        <f aca="false">Sens!$N$5450*1000/(Sens!$N$5433*Sens!$N$5434)</f>
        <v>9.67085565405685</v>
      </c>
      <c r="O5451" s="36" t="n">
        <f aca="false">Sens!$O$5450*1000/(Sens!$O$5433*Sens!$O$5434)</f>
        <v>9.67085565405685</v>
      </c>
    </row>
    <row r="5452" customFormat="false" ht="17.15" hidden="false" customHeight="false" outlineLevel="0" collapsed="false">
      <c r="A5452" s="0" t="s">
        <v>619</v>
      </c>
      <c r="B5452" s="0" t="s">
        <v>86</v>
      </c>
      <c r="C5452" s="38" t="n">
        <f aca="false">Sens!$C$5433/ext_sh*(ox_open+rent_mw)*Sens!$C$5434/1000</f>
        <v>0.642569210675032</v>
      </c>
      <c r="D5452" s="38" t="n">
        <f aca="false">Sens!$D$5433/ext_sh*(ox_open+rent_mw)*Sens!$D$5434/1000</f>
        <v>2.40963454003137</v>
      </c>
      <c r="E5452" s="38" t="n">
        <f aca="false">Sens!$E$5433/ext_sh*(ox_open+rent_mw)*Sens!$E$5434/1000</f>
        <v>2.35608710580845</v>
      </c>
      <c r="F5452" s="38" t="n">
        <f aca="false">((mw_open*ox_open+Sens!$F$5448*Sens!$F$5446)/ext_sh+Sens!$F$5433/ext_sh*rent_mw)*Sens!$F$5434/1000</f>
        <v>4.05421991106232</v>
      </c>
      <c r="G5452" s="38" t="n">
        <f aca="false">Sens!$E$5452+Sens!$F$5452</f>
        <v>6.41030701687077</v>
      </c>
      <c r="H5452" s="38" t="n">
        <f aca="false">((mw_open*ox_open+Sens!$H$5448*Sens!$H$5446)/ext_sh+Sens!$H$5433/ext_sh*rent_mw)*Sens!$H$5434/1000</f>
        <v>15.8108975546616</v>
      </c>
      <c r="I5452" s="38" t="n">
        <f aca="false">((mw_open*ox_open+Sens!$I$5448*Sens!$I$5446)/ext_sh+Sens!$I$5433/ext_sh*rent_mw)*Sens!$I$5434/1000</f>
        <v>26.1871623400817</v>
      </c>
      <c r="J5452" s="38" t="n">
        <f aca="false">((mw_open*ox_open+Sens!$J$5448*Sens!$J$5446)/ext_sh+Sens!$J$5433/ext_sh*rent_mw)*Sens!$J$5434/1000</f>
        <v>36.5826128954935</v>
      </c>
      <c r="K5452" s="38" t="n">
        <f aca="false">((mw_open*ox_open+Sens!$K$5448*Sens!$K$5446)/ext_sh+Sens!$K$5433/ext_sh*rent_mw)*Sens!$K$5434/1000</f>
        <v>45.3836433528648</v>
      </c>
      <c r="L5452" s="38" t="n">
        <f aca="false">((mw_open*ox_open+Sens!$L$5448*Sens!$L$5446)/ext_sh+Sens!$L$5433/ext_sh*rent_mw)*Sens!$L$5434/1000</f>
        <v>51.0023088908591</v>
      </c>
      <c r="M5452" s="38" t="n">
        <f aca="false">((mw_open*ox_open+Sens!$M$5448*Sens!$M$5446)/ext_sh+Sens!$M$5433/ext_sh*rent_mw)*Sens!$M$5434/1000</f>
        <v>53.4353660768611</v>
      </c>
      <c r="N5452" s="38" t="n">
        <f aca="false">Sens!$N$5433/ext_sh*(ox_open+rent_mw)*Sens!$N$5434/1000</f>
        <v>0.84337208901098</v>
      </c>
      <c r="O5452" s="38" t="n">
        <f aca="false">Sens!$O$5433/ext_sh*(ox_open+rent_mw)*Sens!$O$5434/1000</f>
        <v>1.56626245102039</v>
      </c>
    </row>
    <row r="5453" customFormat="false" ht="17.15" hidden="false" customHeight="false" outlineLevel="0" collapsed="false">
      <c r="A5453" s="0" t="s">
        <v>620</v>
      </c>
      <c r="B5453" s="0" t="s">
        <v>86</v>
      </c>
      <c r="C5453" s="38" t="n">
        <f aca="false">Q!$D$7</f>
        <v>107.556</v>
      </c>
      <c r="D5453" s="38" t="n">
        <f aca="false">Q!$E$7</f>
        <v>128.725</v>
      </c>
      <c r="E5453" s="38" t="n">
        <f aca="false">Q!$P$7</f>
        <v>79.819</v>
      </c>
      <c r="N5453" s="38" t="n">
        <f aca="false">Q!$N$7</f>
        <v>60.14</v>
      </c>
      <c r="O5453" s="38" t="n">
        <f aca="false">Q!$O$7</f>
        <v>68.585</v>
      </c>
    </row>
    <row r="5454" customFormat="false" ht="17.15" hidden="false" customHeight="false" outlineLevel="0" collapsed="false">
      <c r="A5454" s="1" t="s">
        <v>621</v>
      </c>
      <c r="B5454" s="8" t="s">
        <v>86</v>
      </c>
      <c r="C5454" s="38" t="n">
        <f aca="false">Sens!$C$5453-Sens!$C$5450</f>
        <v>105.234994643026</v>
      </c>
      <c r="D5454" s="38" t="n">
        <f aca="false">Sens!$D$5453-Sens!$D$5450</f>
        <v>120.021229911349</v>
      </c>
      <c r="E5454" s="38" t="n">
        <f aca="false">Sens!$E$5453-Sens!$E$5450</f>
        <v>71.30864702443</v>
      </c>
      <c r="F5454" s="38" t="n">
        <f aca="false">Sens!$O$5454*(1+Sens!$F$5455)</f>
        <v>71.7692997942464</v>
      </c>
      <c r="G5454" s="38" t="n">
        <f aca="false">Sens!$E$5454+Sens!$F$5454</f>
        <v>143.077946818676</v>
      </c>
      <c r="H5454" s="38" t="n">
        <f aca="false">Sens!$G$5454*(1+Sens!$H$5455)</f>
        <v>161.017077079203</v>
      </c>
      <c r="I5454" s="38" t="n">
        <f aca="false">Sens!$H$5454*(1+Sens!$I$5455)</f>
        <v>178.769759521457</v>
      </c>
      <c r="J5454" s="38" t="n">
        <f aca="false">Sens!$I$5454*(1+Sens!$J$5455)</f>
        <v>195.775538045907</v>
      </c>
      <c r="K5454" s="38" t="n">
        <f aca="false">Sens!$J$5454*(1+Sens!$K$5455)</f>
        <v>211.43758108958</v>
      </c>
      <c r="L5454" s="38" t="n">
        <f aca="false">Sens!$K$5454*(1+Sens!$L$5455)</f>
        <v>228.352587576746</v>
      </c>
      <c r="M5454" s="38" t="n">
        <f aca="false">Sens!$L$5454*(1+Sens!$M$5455)</f>
        <v>246.620794582886</v>
      </c>
      <c r="N5454" s="38" t="n">
        <f aca="false">Sens!$N$5453-Sens!$N$5450</f>
        <v>57.0936804689721</v>
      </c>
      <c r="O5454" s="38" t="n">
        <f aca="false">Sens!$O$5453-Sens!$O$5450</f>
        <v>62.9275494423768</v>
      </c>
      <c r="P5454" s="5" t="s">
        <v>622</v>
      </c>
    </row>
    <row r="5455" customFormat="false" ht="17.15" hidden="false" customHeight="false" outlineLevel="0" collapsed="false">
      <c r="A5455" s="0" t="s">
        <v>623</v>
      </c>
      <c r="B5455" s="0" t="s">
        <v>52</v>
      </c>
      <c r="D5455" s="13" t="n">
        <f aca="false">Sens!$D$5454/Sens!$C$5454-1</f>
        <v>0.140506827776062</v>
      </c>
      <c r="E5455" s="13" t="n">
        <f aca="false">Sens!$E$5454/Sens!$N$5454-1</f>
        <v>0.248976181579029</v>
      </c>
      <c r="F5455" s="13" t="n">
        <f aca="false">Sens!$D$5455</f>
        <v>0.140506827776062</v>
      </c>
      <c r="G5455" s="13" t="n">
        <f aca="false">Sens!$G$5454/Sens!$D$5454-1</f>
        <v>0.19210532106993</v>
      </c>
      <c r="H5455" s="13" t="n">
        <f aca="false">Sens!$F$5455+(g_awso_lt-Sens!$F$5455)*1/4</f>
        <v>0.125380120832046</v>
      </c>
      <c r="I5455" s="13" t="n">
        <f aca="false">Sens!$F$5455+(g_awso_lt-Sens!$F$5455)*2/4</f>
        <v>0.110253413888031</v>
      </c>
      <c r="J5455" s="13" t="n">
        <f aca="false">Sens!$F$5455+(g_awso_lt-Sens!$F$5455)*3/4</f>
        <v>0.0951267069440154</v>
      </c>
      <c r="K5455" s="13" t="n">
        <f aca="false">Sens!$F$5455+(g_awso_lt-Sens!$F$5455)*4/4</f>
        <v>0.08</v>
      </c>
      <c r="L5455" s="13" t="n">
        <f aca="false">g_awso_lt</f>
        <v>0.08</v>
      </c>
      <c r="M5455" s="13" t="n">
        <f aca="false">g_awso_lt</f>
        <v>0.08</v>
      </c>
      <c r="P5455" s="5" t="s">
        <v>624</v>
      </c>
    </row>
    <row r="5456" customFormat="false" ht="17.15" hidden="false" customHeight="false" outlineLevel="0" collapsed="false">
      <c r="A5456" s="1" t="s">
        <v>625</v>
      </c>
    </row>
    <row r="5457" customFormat="false" ht="17.15" hidden="false" customHeight="false" outlineLevel="0" collapsed="false">
      <c r="A5457" s="0" t="s">
        <v>626</v>
      </c>
      <c r="B5457" s="0" t="s">
        <v>86</v>
      </c>
      <c r="F5457" s="38" t="n">
        <f aca="false">cx_rt*Sens!$F$5422+cx_awso*Sens!$F$5454</f>
        <v>34.9734495387866</v>
      </c>
    </row>
    <row r="5458" customFormat="false" ht="17.15" hidden="false" customHeight="false" outlineLevel="0" collapsed="false">
      <c r="A5458" s="0" t="s">
        <v>627</v>
      </c>
      <c r="B5458" s="0" t="s">
        <v>52</v>
      </c>
      <c r="C5458" s="13" t="n">
        <f aca="false">tk_cx_h100/(tk_cx_h100+tk_fac*(1-colo_sh))</f>
        <v>0.730756458006641</v>
      </c>
      <c r="D5458" s="13" t="n">
        <f aca="false">tk_cx_h100/(tk_cx_h100+tk_fac*(1-colo_sh))</f>
        <v>0.730756458006641</v>
      </c>
      <c r="E5458" s="13" t="n">
        <f aca="false">Sens!$F$5458</f>
        <v>0.760792334328868</v>
      </c>
      <c r="F5458" s="13" t="n">
        <f aca="false">Sens!$F$5441/(Sens!$F$5441+tk_fac*(1-colo_sh))</f>
        <v>0.760792334328868</v>
      </c>
      <c r="G5458" s="13" t="n">
        <f aca="false">Sens!$G$5441/(Sens!$G$5441+tk_fac*(1-colo_sh))</f>
        <v>0.760792334328868</v>
      </c>
      <c r="H5458" s="13" t="n">
        <f aca="false">Sens!$H$5441/(Sens!$H$5441+tk_fac*(1-colo_sh))</f>
        <v>0.768110668862996</v>
      </c>
      <c r="I5458" s="13" t="n">
        <f aca="false">Sens!$I$5441/(Sens!$I$5441+tk_fac*(1-colo_sh))</f>
        <v>0.77499450139483</v>
      </c>
      <c r="J5458" s="13" t="n">
        <f aca="false">Sens!$J$5441/(Sens!$J$5441+tk_fac*(1-colo_sh))</f>
        <v>0.77499450139483</v>
      </c>
      <c r="K5458" s="13" t="n">
        <f aca="false">Sens!$K$5441/(Sens!$K$5441+tk_fac*(1-colo_sh))</f>
        <v>0.77499450139483</v>
      </c>
      <c r="L5458" s="13" t="n">
        <f aca="false">Sens!$L$5441/(Sens!$L$5441+tk_fac*(1-colo_sh))</f>
        <v>0.77499450139483</v>
      </c>
      <c r="M5458" s="13" t="n">
        <f aca="false">Sens!$M$5441/(Sens!$M$5441+tk_fac*(1-colo_sh))</f>
        <v>0.77499450139483</v>
      </c>
    </row>
    <row r="5459" customFormat="false" ht="17.15" hidden="false" customHeight="false" outlineLevel="0" collapsed="false">
      <c r="A5459" s="1" t="s">
        <v>628</v>
      </c>
      <c r="B5459" s="8" t="s">
        <v>86</v>
      </c>
      <c r="C5459" s="38" t="n">
        <f aca="false">Q!$D$46-cx_rt*Q!$D$16-cx_awso*Sens!$C$5454</f>
        <v>25.2781053077374</v>
      </c>
      <c r="D5459" s="38" t="n">
        <f aca="false">Q!$E$46-cx_rt*Q!$E$16-cx_awso*Sens!$D$5454</f>
        <v>69.5686316310026</v>
      </c>
      <c r="E5459" s="38" t="n">
        <f aca="false">Q!$P$46-cx_rt*Q!$P$16-cx_awso*Sens!$E$5454</f>
        <v>64.1899206485108</v>
      </c>
      <c r="F5459" s="38" t="n">
        <f aca="false">MAX(Sens!$F$5436*(Sens!$F$5441+tk_fac*(1-colo_sh))/1000,capex_g26-Q!$P$46-Sens!$F$5457)</f>
        <v>96.2481299895</v>
      </c>
      <c r="G5459" s="38" t="n">
        <f aca="false">Sens!$E$5459+Sens!$F$5459</f>
        <v>160.438050638011</v>
      </c>
      <c r="H5459" s="38" t="n">
        <f aca="false">Sens!$H$5436*(Sens!$H$5441+tk_fac*(1-colo_sh))/1000+Sens!$H$5460</f>
        <v>198.57136494475</v>
      </c>
      <c r="I5459" s="38" t="n">
        <f aca="false">Sens!$I$5436*(Sens!$I$5441+tk_fac*(1-colo_sh))/1000+Sens!$I$5460</f>
        <v>204.6464699105</v>
      </c>
      <c r="J5459" s="38" t="n">
        <f aca="false">Sens!$J$5436*(Sens!$J$5441+tk_fac*(1-colo_sh))/1000+Sens!$J$5460</f>
        <v>209.8832381105</v>
      </c>
      <c r="K5459" s="38" t="n">
        <f aca="false">Sens!$K$5436*(Sens!$K$5441+tk_fac*(1-colo_sh))/1000+Sens!$K$5460</f>
        <v>152.460428963578</v>
      </c>
      <c r="L5459" s="38" t="n">
        <f aca="false">Sens!$L$5436*(Sens!$L$5441+tk_fac*(1-colo_sh))/1000+Sens!$L$5460</f>
        <v>126.458229016657</v>
      </c>
      <c r="M5459" s="38" t="n">
        <f aca="false">Sens!$M$5436*(Sens!$M$5441+tk_fac*(1-colo_sh))/1000+Sens!$M$5460</f>
        <v>123.897112724985</v>
      </c>
      <c r="P5459" s="5" t="s">
        <v>629</v>
      </c>
      <c r="R5459" s="38" t="n">
        <f aca="false">Q!$C$46-cx_rt*Q!$C$16-cx_awso*(Q!$C$7-mw_ye23/2*rpm_open/1000)</f>
        <v>1.50429979529945</v>
      </c>
      <c r="S5459" s="38" t="n">
        <f aca="false">Sens!$C$5459</f>
        <v>25.2781053077374</v>
      </c>
      <c r="T5459" s="38" t="n">
        <f aca="false">Sens!$D$5459</f>
        <v>69.5686316310026</v>
      </c>
      <c r="U5459" s="38" t="n">
        <f aca="false">Sens!$G$5459</f>
        <v>160.438050638011</v>
      </c>
      <c r="V5459" s="38" t="n">
        <f aca="false">Sens!$H$5459</f>
        <v>198.57136494475</v>
      </c>
      <c r="W5459" s="38" t="n">
        <f aca="false">Sens!$I$5459</f>
        <v>204.6464699105</v>
      </c>
      <c r="X5459" s="38" t="n">
        <f aca="false">Sens!$J$5459</f>
        <v>209.8832381105</v>
      </c>
      <c r="Y5459" s="38" t="n">
        <f aca="false">Sens!$K$5459</f>
        <v>152.460428963578</v>
      </c>
      <c r="Z5459" s="38" t="n">
        <f aca="false">Sens!$L$5459</f>
        <v>126.458229016657</v>
      </c>
      <c r="AA5459" s="38" t="n">
        <f aca="false">Sens!$M$5459</f>
        <v>123.897112724985</v>
      </c>
    </row>
    <row r="5460" customFormat="false" ht="17.15" hidden="false" customHeight="false" outlineLevel="0" collapsed="false">
      <c r="A5460" s="0" t="s">
        <v>630</v>
      </c>
      <c r="B5460" s="0" t="s">
        <v>86</v>
      </c>
      <c r="H5460" s="38" t="n">
        <f aca="false">SUMPRODUCT(--(Sens!$R$5429:$AA$5429=2027-tk_life),Sens!$R$5436:$AA$5436)*Sens!$H$5441/1000</f>
        <v>0</v>
      </c>
      <c r="I5460" s="38" t="n">
        <f aca="false">SUMPRODUCT(--(Sens!$R$5429:$AA$5429=2028-tk_life),Sens!$R$5436:$AA$5436)*Sens!$I$5441/1000</f>
        <v>0</v>
      </c>
      <c r="J5460" s="38" t="n">
        <f aca="false">SUMPRODUCT(--(Sens!$R$5429:$AA$5429=2029-tk_life),Sens!$R$5436:$AA$5436)*Sens!$J$5441/1000</f>
        <v>5.2367682</v>
      </c>
      <c r="K5460" s="38" t="n">
        <f aca="false">SUMPRODUCT(--(Sens!$R$5429:$AA$5429=2030-tk_life),Sens!$R$5436:$AA$5436)*Sens!$K$5441/1000</f>
        <v>10.4735364</v>
      </c>
      <c r="L5460" s="38" t="n">
        <f aca="false">SUMPRODUCT(--(Sens!$R$5429:$AA$5429=2031-tk_life),Sens!$R$5436:$AA$5436)*Sens!$L$5441/1000</f>
        <v>47.1309138</v>
      </c>
      <c r="M5460" s="38" t="n">
        <f aca="false">SUMPRODUCT(--(Sens!$R$5429:$AA$5429=2032-tk_life),Sens!$R$5436:$AA$5436)*Sens!$M$5441/1000</f>
        <v>107.22937485525</v>
      </c>
    </row>
    <row r="5461" customFormat="false" ht="17.15" hidden="false" customHeight="false" outlineLevel="0" collapsed="false">
      <c r="A5461" s="0" t="s">
        <v>631</v>
      </c>
      <c r="B5461" s="0" t="s">
        <v>86</v>
      </c>
      <c r="C5461" s="38" t="n">
        <f aca="false">MIN(Sens!$C$5459,Sens!$C$5436*(tk_cx_h100+tk_fac*(1-colo_sh))/1000)</f>
        <v>11.2938642</v>
      </c>
      <c r="D5461" s="38" t="n">
        <f aca="false">MIN(Sens!$D$5459,Sens!$D$5436*(tk_cx_h100+tk_fac*(1-colo_sh))/1000)</f>
        <v>50.8223889</v>
      </c>
      <c r="E5461" s="38" t="n">
        <f aca="false">MIN(Sens!$E$5459,Sens!$E$5436*(Sens!$F$5441+tk_fac*(1-colo_sh))/1000)</f>
        <v>33.8985792</v>
      </c>
      <c r="F5461" s="38" t="n">
        <f aca="false">Sens!$F$5459</f>
        <v>96.2481299895</v>
      </c>
      <c r="G5461" s="38" t="n">
        <f aca="false">Sens!$E$5461+Sens!$F$5461</f>
        <v>130.1467091895</v>
      </c>
      <c r="H5461" s="38" t="n">
        <f aca="false">Sens!$H$5459</f>
        <v>198.57136494475</v>
      </c>
      <c r="I5461" s="38" t="n">
        <f aca="false">Sens!$I$5459</f>
        <v>204.6464699105</v>
      </c>
      <c r="J5461" s="38" t="n">
        <f aca="false">Sens!$J$5459</f>
        <v>209.8832381105</v>
      </c>
      <c r="K5461" s="38" t="n">
        <f aca="false">Sens!$K$5459</f>
        <v>152.460428963578</v>
      </c>
      <c r="L5461" s="38" t="n">
        <f aca="false">Sens!$L$5459</f>
        <v>126.458229016657</v>
      </c>
      <c r="M5461" s="38" t="n">
        <f aca="false">Sens!$M$5459</f>
        <v>123.897112724985</v>
      </c>
      <c r="P5461" s="5" t="s">
        <v>632</v>
      </c>
      <c r="R5461" s="38" t="n">
        <f aca="false">MIN(Sens!$R$5459,Sens!$R$5436*(tk_cx_h100+tk_fac*(1-colo_sh))/1000)</f>
        <v>1.50429979529945</v>
      </c>
      <c r="S5461" s="38" t="n">
        <f aca="false">Sens!$C$5461</f>
        <v>11.2938642</v>
      </c>
      <c r="T5461" s="38" t="n">
        <f aca="false">Sens!$D$5461</f>
        <v>50.8223889</v>
      </c>
      <c r="U5461" s="38" t="n">
        <f aca="false">Sens!$G$5461</f>
        <v>130.1467091895</v>
      </c>
      <c r="V5461" s="38" t="n">
        <f aca="false">Sens!$H$5461</f>
        <v>198.57136494475</v>
      </c>
      <c r="W5461" s="38" t="n">
        <f aca="false">Sens!$I$5461</f>
        <v>204.6464699105</v>
      </c>
      <c r="X5461" s="38" t="n">
        <f aca="false">Sens!$J$5461</f>
        <v>209.8832381105</v>
      </c>
      <c r="Y5461" s="38" t="n">
        <f aca="false">Sens!$K$5461</f>
        <v>152.460428963578</v>
      </c>
      <c r="Z5461" s="38" t="n">
        <f aca="false">Sens!$L$5461</f>
        <v>126.458229016657</v>
      </c>
      <c r="AA5461" s="38" t="n">
        <f aca="false">Sens!$M$5461</f>
        <v>123.897112724985</v>
      </c>
    </row>
    <row r="5462" customFormat="false" ht="17.15" hidden="false" customHeight="false" outlineLevel="0" collapsed="false">
      <c r="A5462" s="5" t="s">
        <v>633</v>
      </c>
      <c r="B5462" s="0" t="s">
        <v>86</v>
      </c>
      <c r="C5462" s="38" t="n">
        <f aca="false">Sens!$C$5459-Sens!$C$5461</f>
        <v>13.9842411077374</v>
      </c>
      <c r="D5462" s="38" t="n">
        <f aca="false">Sens!$D$5459-Sens!$D$5461</f>
        <v>18.7462427310026</v>
      </c>
      <c r="E5462" s="38" t="n">
        <f aca="false">Sens!$E$5459-Sens!$E$5461</f>
        <v>30.2913414485108</v>
      </c>
      <c r="F5462" s="38" t="n">
        <f aca="false">Sens!$F$5459-Sens!$F$5461</f>
        <v>0</v>
      </c>
      <c r="G5462" s="38" t="n">
        <f aca="false">Sens!$G$5459-Sens!$G$5461</f>
        <v>30.2913414485108</v>
      </c>
      <c r="H5462" s="38" t="n">
        <f aca="false">Sens!$H$5459-Sens!$H$5461</f>
        <v>0</v>
      </c>
      <c r="I5462" s="38" t="n">
        <f aca="false">Sens!$I$5459-Sens!$I$5461</f>
        <v>0</v>
      </c>
      <c r="J5462" s="38" t="n">
        <f aca="false">Sens!$J$5459-Sens!$J$5461</f>
        <v>0</v>
      </c>
      <c r="K5462" s="38" t="n">
        <f aca="false">Sens!$K$5459-Sens!$K$5461</f>
        <v>0</v>
      </c>
      <c r="L5462" s="38" t="n">
        <f aca="false">Sens!$L$5459-Sens!$L$5461</f>
        <v>0</v>
      </c>
      <c r="M5462" s="38" t="n">
        <f aca="false">Sens!$M$5459-Sens!$M$5461</f>
        <v>0</v>
      </c>
    </row>
    <row r="5463" customFormat="false" ht="17.15" hidden="false" customHeight="false" outlineLevel="0" collapsed="false">
      <c r="A5463" s="5" t="s">
        <v>634</v>
      </c>
      <c r="B5463" s="0" t="s">
        <v>86</v>
      </c>
      <c r="C5463" s="38" t="n">
        <f aca="false">Sens!$C$5461*Sens!$C$5458</f>
        <v>8.2530642</v>
      </c>
      <c r="D5463" s="38" t="n">
        <f aca="false">Sens!$D$5461*Sens!$D$5458</f>
        <v>37.1387889</v>
      </c>
      <c r="E5463" s="38" t="n">
        <f aca="false">Sens!$E$5461*Sens!$E$5458</f>
        <v>25.7897792</v>
      </c>
      <c r="F5463" s="38" t="n">
        <f aca="false">Sens!$F$5461*Sens!$F$5458</f>
        <v>73.2248394895</v>
      </c>
      <c r="G5463" s="38" t="n">
        <f aca="false">Sens!$E$5463+Sens!$F$5463</f>
        <v>99.0146186895</v>
      </c>
      <c r="H5463" s="38" t="n">
        <f aca="false">(Sens!$H$5461-Sens!$H$5460)*Sens!$H$5458+Sens!$H$5460</f>
        <v>152.52478394475</v>
      </c>
      <c r="I5463" s="38" t="n">
        <f aca="false">(Sens!$I$5461-Sens!$I$5460)*Sens!$I$5458+Sens!$I$5460</f>
        <v>158.5998889105</v>
      </c>
      <c r="J5463" s="38" t="n">
        <f aca="false">(Sens!$J$5461-Sens!$J$5460)*Sens!$J$5458+Sens!$J$5460</f>
        <v>163.8366571105</v>
      </c>
      <c r="K5463" s="38" t="n">
        <f aca="false">(Sens!$K$5461-Sens!$K$5460)*Sens!$K$5458+Sens!$K$5460</f>
        <v>120.512597406912</v>
      </c>
      <c r="L5463" s="38" t="n">
        <f aca="false">(Sens!$L$5461-Sens!$L$5460)*Sens!$L$5458+Sens!$L$5460</f>
        <v>108.609146903323</v>
      </c>
      <c r="M5463" s="38" t="n">
        <f aca="false">(Sens!$M$5461-Sens!$M$5460)*Sens!$M$5458+Sens!$M$5460</f>
        <v>120.146780054985</v>
      </c>
      <c r="R5463" s="38" t="n">
        <f aca="false">Sens!$R$5461*Sens!$C$5458</f>
        <v>1.09927679019314</v>
      </c>
      <c r="S5463" s="38" t="n">
        <f aca="false">Sens!$C$5463</f>
        <v>8.2530642</v>
      </c>
      <c r="T5463" s="38" t="n">
        <f aca="false">Sens!$D$5463</f>
        <v>37.1387889</v>
      </c>
      <c r="U5463" s="38" t="n">
        <f aca="false">Sens!$G$5463</f>
        <v>99.0146186895</v>
      </c>
      <c r="V5463" s="38" t="n">
        <f aca="false">Sens!$H$5463</f>
        <v>152.52478394475</v>
      </c>
      <c r="W5463" s="38" t="n">
        <f aca="false">Sens!$I$5463</f>
        <v>158.5998889105</v>
      </c>
      <c r="X5463" s="38" t="n">
        <f aca="false">Sens!$J$5463</f>
        <v>163.8366571105</v>
      </c>
      <c r="Y5463" s="38" t="n">
        <f aca="false">Sens!$K$5463</f>
        <v>120.512597406912</v>
      </c>
      <c r="Z5463" s="38" t="n">
        <f aca="false">Sens!$L$5463</f>
        <v>108.609146903323</v>
      </c>
      <c r="AA5463" s="38" t="n">
        <f aca="false">Sens!$M$5463</f>
        <v>120.146780054985</v>
      </c>
    </row>
    <row r="5464" customFormat="false" ht="15" hidden="false" customHeight="false" outlineLevel="0" collapsed="false">
      <c r="A5464" s="5" t="s">
        <v>635</v>
      </c>
      <c r="B5464" s="0" t="s">
        <v>86</v>
      </c>
      <c r="C5464" s="38" t="n">
        <f aca="false">Sens!$C$5461-Sens!$C$5463</f>
        <v>3.0408</v>
      </c>
      <c r="D5464" s="38" t="n">
        <f aca="false">Sens!$D$5461-Sens!$D$5463</f>
        <v>13.6836</v>
      </c>
      <c r="E5464" s="38" t="n">
        <f aca="false">Sens!$E$5461-Sens!$E$5463</f>
        <v>8.1088</v>
      </c>
      <c r="F5464" s="38" t="n">
        <f aca="false">Sens!$F$5461-Sens!$F$5463</f>
        <v>23.0232905</v>
      </c>
      <c r="G5464" s="38" t="n">
        <f aca="false">Sens!$G$5461-Sens!$G$5463</f>
        <v>31.1320905</v>
      </c>
      <c r="H5464" s="38" t="n">
        <f aca="false">Sens!$H$5461-Sens!$H$5463</f>
        <v>46.046581</v>
      </c>
      <c r="I5464" s="38" t="n">
        <f aca="false">Sens!$I$5461-Sens!$I$5463</f>
        <v>46.046581</v>
      </c>
      <c r="J5464" s="38" t="n">
        <f aca="false">Sens!$J$5461-Sens!$J$5463</f>
        <v>46.046581</v>
      </c>
      <c r="K5464" s="38" t="n">
        <f aca="false">Sens!$K$5461-Sens!$K$5463</f>
        <v>31.9478315566667</v>
      </c>
      <c r="L5464" s="38" t="n">
        <f aca="false">Sens!$L$5461-Sens!$L$5463</f>
        <v>17.8490821133333</v>
      </c>
      <c r="M5464" s="38" t="n">
        <f aca="false">Sens!$M$5461-Sens!$M$5463</f>
        <v>3.75033267000001</v>
      </c>
      <c r="R5464" s="38" t="n">
        <f aca="false">Sens!$R$5461-Sens!$R$5463</f>
        <v>0.405023005106309</v>
      </c>
      <c r="S5464" s="38" t="n">
        <f aca="false">Sens!$S$5461-Sens!$S$5463</f>
        <v>3.0408</v>
      </c>
      <c r="T5464" s="38" t="n">
        <f aca="false">Sens!$T$5461-Sens!$T$5463</f>
        <v>13.6836</v>
      </c>
      <c r="U5464" s="38" t="n">
        <f aca="false">Sens!$U$5461-Sens!$U$5463</f>
        <v>31.1320905</v>
      </c>
      <c r="V5464" s="38" t="n">
        <f aca="false">Sens!$V$5461-Sens!$V$5463</f>
        <v>46.046581</v>
      </c>
      <c r="W5464" s="38" t="n">
        <f aca="false">Sens!$W$5461-Sens!$W$5463</f>
        <v>46.046581</v>
      </c>
      <c r="X5464" s="38" t="n">
        <f aca="false">Sens!$X$5461-Sens!$X$5463</f>
        <v>46.046581</v>
      </c>
      <c r="Y5464" s="38" t="n">
        <f aca="false">Sens!$Y$5461-Sens!$Y$5463</f>
        <v>31.9478315566667</v>
      </c>
      <c r="Z5464" s="38" t="n">
        <f aca="false">Sens!$Z$5461-Sens!$Z$5463</f>
        <v>17.8490821133333</v>
      </c>
      <c r="AA5464" s="38" t="n">
        <f aca="false">Sens!$AA$5461-Sens!$AA$5463</f>
        <v>3.75033267000001</v>
      </c>
    </row>
    <row r="5465" customFormat="false" ht="17.15" hidden="false" customHeight="false" outlineLevel="0" collapsed="false">
      <c r="A5465" s="0" t="s">
        <v>636</v>
      </c>
      <c r="B5465" s="0" t="s">
        <v>52</v>
      </c>
      <c r="C5465" s="13" t="n">
        <f aca="false">Sens!$C$5459/Sens!$C$5581</f>
        <v>0.325505489553393</v>
      </c>
      <c r="D5465" s="13" t="n">
        <f aca="false">Sens!$D$5459/Sens!$D$5581</f>
        <v>0.54214956071542</v>
      </c>
      <c r="E5465" s="13" t="n">
        <f aca="false">Sens!$E$5459/Sens!$E$5581</f>
        <v>0.666492790452817</v>
      </c>
      <c r="F5465" s="13" t="n">
        <f aca="false">Sens!$F$5459/Sens!$F$5581</f>
        <v>0.733477910687338</v>
      </c>
      <c r="G5465" s="13" t="n">
        <f aca="false">Sens!$G$5459/Sens!$G$5581</f>
        <v>0.705124321514523</v>
      </c>
      <c r="H5465" s="13" t="n">
        <f aca="false">Sens!$H$5459/Sens!$H$5581</f>
        <v>0.726376041178204</v>
      </c>
      <c r="I5465" s="13" t="n">
        <f aca="false">Sens!$I$5459/Sens!$I$5581</f>
        <v>0.713099092661699</v>
      </c>
      <c r="J5465" s="13" t="n">
        <f aca="false">Sens!$J$5459/Sens!$J$5581</f>
        <v>0.701208348786245</v>
      </c>
      <c r="K5465" s="13" t="n">
        <f aca="false">Sens!$K$5459/Sens!$K$5581</f>
        <v>0.614068498670476</v>
      </c>
      <c r="L5465" s="13" t="n">
        <f aca="false">Sens!$L$5459/Sens!$L$5581</f>
        <v>0.551880938289018</v>
      </c>
      <c r="M5465" s="13" t="n">
        <f aca="false">Sens!$M$5459/Sens!$M$5581</f>
        <v>0.529570283055906</v>
      </c>
    </row>
    <row r="5466" customFormat="false" ht="17.15" hidden="false" customHeight="false" outlineLevel="0" collapsed="false">
      <c r="A5466" s="0" t="s">
        <v>637</v>
      </c>
      <c r="B5466" s="0" t="s">
        <v>86</v>
      </c>
      <c r="C5466" s="38" t="n">
        <f aca="false">Sens!$S$5466</f>
        <v>0.183212798365523</v>
      </c>
      <c r="D5466" s="38" t="n">
        <f aca="false">Sens!$T$5466</f>
        <v>1.55872349836552</v>
      </c>
      <c r="E5466" s="38" t="n">
        <f aca="false">Sens!$G$5466/2</f>
        <v>3.87426082418276</v>
      </c>
      <c r="F5466" s="38" t="n">
        <f aca="false">Sens!$G$5466/2</f>
        <v>3.87426082418276</v>
      </c>
      <c r="G5466" s="38" t="n">
        <f aca="false">Sens!$U$5466</f>
        <v>7.74852164836552</v>
      </c>
      <c r="H5466" s="38" t="n">
        <f aca="false">Sens!$V$5466</f>
        <v>24.2509580966155</v>
      </c>
      <c r="I5466" s="38" t="n">
        <f aca="false">Sens!$W$5466</f>
        <v>49.6717554207405</v>
      </c>
      <c r="J5466" s="38" t="n">
        <f aca="false">Sens!$X$5466</f>
        <v>76.1050702391572</v>
      </c>
      <c r="K5466" s="38" t="n">
        <f aca="false">Sens!$Y$5466</f>
        <v>103.227966959208</v>
      </c>
      <c r="L5466" s="38" t="n">
        <f aca="false">Sens!$Z$5466</f>
        <v>121.93788916036</v>
      </c>
      <c r="M5466" s="38" t="n">
        <f aca="false">Sens!$AA$5466</f>
        <v>133.849615494248</v>
      </c>
      <c r="N5466" s="38" t="n">
        <f aca="false">Sens!$D$5466/2</f>
        <v>0.779361749182762</v>
      </c>
      <c r="O5466" s="38" t="n">
        <f aca="false">Sens!$D$5466/2</f>
        <v>0.779361749182762</v>
      </c>
      <c r="R5466" s="38" t="n">
        <f aca="false">SUMPRODUCT(--(Sens!$R$5429:$AA$5429&lt;Sens!R$5429),--(Sens!$R$5429:$AA$5429&gt;=Sens!R$5429-tk_life),Sens!$R$5463:$AA$5463)/tk_life</f>
        <v>0</v>
      </c>
      <c r="S5466" s="38" t="n">
        <f aca="false">SUMPRODUCT(--(Sens!$R$5429:$AA$5429&lt;Sens!S$5429),--(Sens!$R$5429:$AA$5429&gt;=Sens!S$5429-tk_life),Sens!$R$5463:$AA$5463)/tk_life</f>
        <v>0.183212798365523</v>
      </c>
      <c r="T5466" s="38" t="n">
        <f aca="false">SUMPRODUCT(--(Sens!$R$5429:$AA$5429&lt;Sens!T$5429),--(Sens!$R$5429:$AA$5429&gt;=Sens!T$5429-tk_life),Sens!$R$5463:$AA$5463)/tk_life</f>
        <v>1.55872349836552</v>
      </c>
      <c r="U5466" s="38" t="n">
        <f aca="false">SUMPRODUCT(--(Sens!$R$5429:$AA$5429&lt;Sens!U$5429),--(Sens!$R$5429:$AA$5429&gt;=Sens!U$5429-tk_life),Sens!$R$5463:$AA$5463)/tk_life</f>
        <v>7.74852164836552</v>
      </c>
      <c r="V5466" s="38" t="n">
        <f aca="false">SUMPRODUCT(--(Sens!$R$5429:$AA$5429&lt;Sens!V$5429),--(Sens!$R$5429:$AA$5429&gt;=Sens!V$5429-tk_life),Sens!$R$5463:$AA$5463)/tk_life</f>
        <v>24.2509580966155</v>
      </c>
      <c r="W5466" s="38" t="n">
        <f aca="false">SUMPRODUCT(--(Sens!$R$5429:$AA$5429&lt;Sens!W$5429),--(Sens!$R$5429:$AA$5429&gt;=Sens!W$5429-tk_life),Sens!$R$5463:$AA$5463)/tk_life</f>
        <v>49.6717554207405</v>
      </c>
      <c r="X5466" s="38" t="n">
        <f aca="false">SUMPRODUCT(--(Sens!$R$5429:$AA$5429&lt;Sens!X$5429),--(Sens!$R$5429:$AA$5429&gt;=Sens!X$5429-tk_life),Sens!$R$5463:$AA$5463)/tk_life</f>
        <v>76.1050702391572</v>
      </c>
      <c r="Y5466" s="38" t="n">
        <f aca="false">SUMPRODUCT(--(Sens!$R$5429:$AA$5429&lt;Sens!Y$5429),--(Sens!$R$5429:$AA$5429&gt;=Sens!Y$5429-tk_life),Sens!$R$5463:$AA$5463)/tk_life</f>
        <v>103.227966959208</v>
      </c>
      <c r="Z5466" s="38" t="n">
        <f aca="false">SUMPRODUCT(--(Sens!$R$5429:$AA$5429&lt;Sens!Z$5429),--(Sens!$R$5429:$AA$5429&gt;=Sens!Z$5429-tk_life),Sens!$R$5463:$AA$5463)/tk_life</f>
        <v>121.93788916036</v>
      </c>
      <c r="AA5466" s="38" t="n">
        <f aca="false">SUMPRODUCT(--(Sens!$R$5429:$AA$5429&lt;Sens!AA$5429),--(Sens!$R$5429:$AA$5429&gt;=Sens!AA$5429-tk_life),Sens!$R$5463:$AA$5463)/tk_life</f>
        <v>133.849615494248</v>
      </c>
    </row>
    <row r="5467" customFormat="false" ht="17.15" hidden="false" customHeight="false" outlineLevel="0" collapsed="false">
      <c r="A5467" s="0" t="s">
        <v>638</v>
      </c>
      <c r="B5467" s="0" t="s">
        <v>86</v>
      </c>
      <c r="C5467" s="38" t="n">
        <f aca="false">Sens!$S$5467</f>
        <v>0.0202511502553155</v>
      </c>
      <c r="D5467" s="38" t="n">
        <f aca="false">Sens!$T$5467</f>
        <v>0.172291150255315</v>
      </c>
      <c r="E5467" s="38" t="n">
        <f aca="false">Sens!$G$5467/2</f>
        <v>0.428235575127658</v>
      </c>
      <c r="F5467" s="38" t="n">
        <f aca="false">Sens!$G$5467/2</f>
        <v>0.428235575127658</v>
      </c>
      <c r="G5467" s="38" t="n">
        <f aca="false">Sens!$U$5467</f>
        <v>0.856471150255315</v>
      </c>
      <c r="H5467" s="38" t="n">
        <f aca="false">Sens!$V$5467</f>
        <v>2.41307567525532</v>
      </c>
      <c r="I5467" s="38" t="n">
        <f aca="false">Sens!$W$5467</f>
        <v>4.71540472525532</v>
      </c>
      <c r="J5467" s="38" t="n">
        <f aca="false">Sens!$X$5467</f>
        <v>7.01773377525532</v>
      </c>
      <c r="K5467" s="38" t="n">
        <f aca="false">Sens!$Y$5467</f>
        <v>9.32006282525532</v>
      </c>
      <c r="L5467" s="38" t="n">
        <f aca="false">Sens!$Z$5467</f>
        <v>10.9174544030887</v>
      </c>
      <c r="M5467" s="38" t="n">
        <f aca="false">Sens!$AA$5467</f>
        <v>11.8099085087553</v>
      </c>
      <c r="N5467" s="38" t="n">
        <f aca="false">Sens!$D$5467/2</f>
        <v>0.0861455751276577</v>
      </c>
      <c r="O5467" s="38" t="n">
        <f aca="false">Sens!$D$5467/2</f>
        <v>0.0861455751276577</v>
      </c>
      <c r="R5467" s="38" t="n">
        <f aca="false">SUMPRODUCT(--(Sens!$R$5429:$AA$5429&lt;Sens!R$5429),Sens!$R$5464:$AA$5464)/fac_life</f>
        <v>0</v>
      </c>
      <c r="S5467" s="38" t="n">
        <f aca="false">SUMPRODUCT(--(Sens!$R$5429:$AA$5429&lt;Sens!S$5429),Sens!$R$5464:$AA$5464)/fac_life</f>
        <v>0.0202511502553155</v>
      </c>
      <c r="T5467" s="38" t="n">
        <f aca="false">SUMPRODUCT(--(Sens!$R$5429:$AA$5429&lt;Sens!T$5429),Sens!$R$5464:$AA$5464)/fac_life</f>
        <v>0.172291150255315</v>
      </c>
      <c r="U5467" s="38" t="n">
        <f aca="false">SUMPRODUCT(--(Sens!$R$5429:$AA$5429&lt;Sens!U$5429),Sens!$R$5464:$AA$5464)/fac_life</f>
        <v>0.856471150255315</v>
      </c>
      <c r="V5467" s="38" t="n">
        <f aca="false">SUMPRODUCT(--(Sens!$R$5429:$AA$5429&lt;Sens!V$5429),Sens!$R$5464:$AA$5464)/fac_life</f>
        <v>2.41307567525532</v>
      </c>
      <c r="W5467" s="38" t="n">
        <f aca="false">SUMPRODUCT(--(Sens!$R$5429:$AA$5429&lt;Sens!W$5429),Sens!$R$5464:$AA$5464)/fac_life</f>
        <v>4.71540472525532</v>
      </c>
      <c r="X5467" s="38" t="n">
        <f aca="false">SUMPRODUCT(--(Sens!$R$5429:$AA$5429&lt;Sens!X$5429),Sens!$R$5464:$AA$5464)/fac_life</f>
        <v>7.01773377525532</v>
      </c>
      <c r="Y5467" s="38" t="n">
        <f aca="false">SUMPRODUCT(--(Sens!$R$5429:$AA$5429&lt;Sens!Y$5429),Sens!$R$5464:$AA$5464)/fac_life</f>
        <v>9.32006282525532</v>
      </c>
      <c r="Z5467" s="38" t="n">
        <f aca="false">SUMPRODUCT(--(Sens!$R$5429:$AA$5429&lt;Sens!Z$5429),Sens!$R$5464:$AA$5464)/fac_life</f>
        <v>10.9174544030887</v>
      </c>
      <c r="AA5467" s="38" t="n">
        <f aca="false">SUMPRODUCT(--(Sens!$R$5429:$AA$5429&lt;Sens!AA$5429),Sens!$R$5464:$AA$5464)/fac_life</f>
        <v>11.8099085087553</v>
      </c>
    </row>
    <row r="5468" customFormat="false" ht="17.15" hidden="false" customHeight="false" outlineLevel="0" collapsed="false">
      <c r="A5468" s="1" t="s">
        <v>639</v>
      </c>
      <c r="B5468" s="8" t="s">
        <v>86</v>
      </c>
      <c r="C5468" s="38" t="n">
        <f aca="false">Sens!$C$5466+Sens!$C$5467</f>
        <v>0.203463948620839</v>
      </c>
      <c r="D5468" s="38" t="n">
        <f aca="false">Sens!$D$5466+Sens!$D$5467</f>
        <v>1.73101464862084</v>
      </c>
      <c r="E5468" s="38" t="n">
        <f aca="false">Sens!$E$5466+Sens!$E$5467</f>
        <v>4.30249639931042</v>
      </c>
      <c r="F5468" s="38" t="n">
        <f aca="false">Sens!$F$5466+Sens!$F$5467</f>
        <v>4.30249639931042</v>
      </c>
      <c r="G5468" s="38" t="n">
        <f aca="false">Sens!$G$5466+Sens!$G$5467</f>
        <v>8.60499279862084</v>
      </c>
      <c r="H5468" s="38" t="n">
        <f aca="false">Sens!$H$5466+Sens!$H$5467</f>
        <v>26.6640337718708</v>
      </c>
      <c r="I5468" s="38" t="n">
        <f aca="false">Sens!$I$5466+Sens!$I$5467</f>
        <v>54.3871601459959</v>
      </c>
      <c r="J5468" s="38" t="n">
        <f aca="false">Sens!$J$5466+Sens!$J$5467</f>
        <v>83.1228040144125</v>
      </c>
      <c r="K5468" s="38" t="n">
        <f aca="false">Sens!$K$5466+Sens!$K$5467</f>
        <v>112.548029784464</v>
      </c>
      <c r="L5468" s="38" t="n">
        <f aca="false">Sens!$L$5466+Sens!$L$5467</f>
        <v>132.855343563449</v>
      </c>
      <c r="M5468" s="38" t="n">
        <f aca="false">Sens!$M$5466+Sens!$M$5467</f>
        <v>145.659524003003</v>
      </c>
      <c r="N5468" s="38" t="n">
        <f aca="false">Sens!$N$5466+Sens!$N$5467</f>
        <v>0.865507324310419</v>
      </c>
      <c r="O5468" s="38" t="n">
        <f aca="false">Sens!$O$5466+Sens!$O$5467</f>
        <v>0.865507324310419</v>
      </c>
      <c r="R5468" s="38" t="n">
        <f aca="false">Sens!$R$5466+Sens!$R$5467</f>
        <v>0</v>
      </c>
      <c r="S5468" s="38" t="n">
        <f aca="false">Sens!$S$5466+Sens!$S$5467</f>
        <v>0.203463948620839</v>
      </c>
      <c r="T5468" s="38" t="n">
        <f aca="false">Sens!$T$5466+Sens!$T$5467</f>
        <v>1.73101464862084</v>
      </c>
      <c r="U5468" s="38" t="n">
        <f aca="false">Sens!$U$5466+Sens!$U$5467</f>
        <v>8.60499279862084</v>
      </c>
      <c r="V5468" s="38" t="n">
        <f aca="false">Sens!$V$5466+Sens!$V$5467</f>
        <v>26.6640337718708</v>
      </c>
      <c r="W5468" s="38" t="n">
        <f aca="false">Sens!$W$5466+Sens!$W$5467</f>
        <v>54.3871601459959</v>
      </c>
      <c r="X5468" s="38" t="n">
        <f aca="false">Sens!$X$5466+Sens!$X$5467</f>
        <v>83.1228040144125</v>
      </c>
      <c r="Y5468" s="38" t="n">
        <f aca="false">Sens!$Y$5466+Sens!$Y$5467</f>
        <v>112.548029784464</v>
      </c>
      <c r="Z5468" s="38" t="n">
        <f aca="false">Sens!$Z$5466+Sens!$Z$5467</f>
        <v>132.855343563449</v>
      </c>
      <c r="AA5468" s="38" t="n">
        <f aca="false">Sens!$AA$5466+Sens!$AA$5467</f>
        <v>145.659524003003</v>
      </c>
    </row>
    <row r="5469" customFormat="false" ht="17.15" hidden="false" customHeight="false" outlineLevel="0" collapsed="false">
      <c r="A5469" s="0" t="s">
        <v>640</v>
      </c>
      <c r="B5469" s="0" t="s">
        <v>86</v>
      </c>
      <c r="C5469" s="38" t="n">
        <f aca="false">Sens!$S$5469</f>
        <v>12.5947000466786</v>
      </c>
      <c r="D5469" s="38" t="n">
        <f aca="false">Sens!$T$5469</f>
        <v>61.6860742980578</v>
      </c>
      <c r="G5469" s="38" t="n">
        <f aca="false">Sens!$U$5469</f>
        <v>183.227790688937</v>
      </c>
      <c r="H5469" s="38" t="n">
        <f aca="false">Sens!$V$5469</f>
        <v>355.135121861816</v>
      </c>
      <c r="I5469" s="38" t="n">
        <f aca="false">Sens!$W$5469</f>
        <v>505.39443162632</v>
      </c>
      <c r="J5469" s="38" t="n">
        <f aca="false">Sens!$X$5469</f>
        <v>632.154865722408</v>
      </c>
      <c r="K5469" s="38" t="n">
        <f aca="false">Sens!$Y$5469</f>
        <v>672.067264901522</v>
      </c>
      <c r="L5469" s="38" t="n">
        <f aca="false">Sens!$Z$5469</f>
        <v>665.67015035473</v>
      </c>
      <c r="M5469" s="38" t="n">
        <f aca="false">Sens!$AA$5469</f>
        <v>643.907739076712</v>
      </c>
      <c r="R5469" s="38" t="n">
        <f aca="false">SUM(Sens!$R$5461:$R$5461)-SUM(Sens!$R$5468:$R$5468)</f>
        <v>1.50429979529945</v>
      </c>
      <c r="S5469" s="38" t="n">
        <f aca="false">SUM(Sens!$R$5461:$S$5461)-SUM(Sens!$R$5468:$S$5468)</f>
        <v>12.5947000466786</v>
      </c>
      <c r="T5469" s="38" t="n">
        <f aca="false">SUM(Sens!$R$5461:$T$5461)-SUM(Sens!$R$5468:$T$5468)</f>
        <v>61.6860742980578</v>
      </c>
      <c r="U5469" s="38" t="n">
        <f aca="false">SUM(Sens!$R$5461:$U$5461)-SUM(Sens!$R$5468:$U$5468)</f>
        <v>183.227790688937</v>
      </c>
      <c r="V5469" s="38" t="n">
        <f aca="false">SUM(Sens!$R$5461:$V$5461)-SUM(Sens!$R$5468:$V$5468)</f>
        <v>355.135121861816</v>
      </c>
      <c r="W5469" s="38" t="n">
        <f aca="false">SUM(Sens!$R$5461:$W$5461)-SUM(Sens!$R$5468:$W$5468)</f>
        <v>505.39443162632</v>
      </c>
      <c r="X5469" s="38" t="n">
        <f aca="false">SUM(Sens!$R$5461:$X$5461)-SUM(Sens!$R$5468:$X$5468)</f>
        <v>632.154865722408</v>
      </c>
      <c r="Y5469" s="38" t="n">
        <f aca="false">SUM(Sens!$R$5461:$Y$5461)-SUM(Sens!$R$5468:$Y$5468)</f>
        <v>672.067264901522</v>
      </c>
      <c r="Z5469" s="38" t="n">
        <f aca="false">SUM(Sens!$R$5461:$Z$5461)-SUM(Sens!$R$5468:$Z$5468)</f>
        <v>665.67015035473</v>
      </c>
      <c r="AA5469" s="38" t="n">
        <f aca="false">SUM(Sens!$R$5461:$AA$5461)-SUM(Sens!$R$5468:$AA$5468)</f>
        <v>643.907739076712</v>
      </c>
    </row>
    <row r="5470" customFormat="false" ht="17.15" hidden="false" customHeight="false" outlineLevel="0" collapsed="false">
      <c r="A5470" s="1" t="s">
        <v>641</v>
      </c>
    </row>
    <row r="5471" customFormat="false" ht="17.15" hidden="false" customHeight="false" outlineLevel="0" collapsed="false">
      <c r="A5471" s="0" t="s">
        <v>642</v>
      </c>
      <c r="B5471" s="0" t="s">
        <v>86</v>
      </c>
      <c r="C5471" s="38" t="n">
        <f aca="false">Sens!$C$5450-ext_sh*Sens!$C$5452</f>
        <v>1.80694998843362</v>
      </c>
      <c r="D5471" s="38" t="n">
        <f aca="false">Sens!$D$5450-ext_sh*Sens!$D$5452</f>
        <v>6.77606245662607</v>
      </c>
      <c r="E5471" s="38" t="n">
        <f aca="false">Sens!$E$5450-ext_sh*Sens!$E$5452</f>
        <v>6.62548329092326</v>
      </c>
      <c r="F5471" s="38" t="n">
        <f aca="false">Sens!$F$5450-ext_sh*Sens!$F$5452</f>
        <v>11.7200577158706</v>
      </c>
      <c r="G5471" s="38" t="n">
        <f aca="false">Sens!$G$5450-ext_sh*Sens!$G$5452</f>
        <v>18.3455410067939</v>
      </c>
      <c r="H5471" s="38" t="n">
        <f aca="false">Sens!$H$5450-ext_sh*Sens!$H$5452</f>
        <v>47.5171727060453</v>
      </c>
      <c r="I5471" s="38" t="n">
        <f aca="false">Sens!$I$5450-ext_sh*Sens!$I$5452</f>
        <v>80.5539692643667</v>
      </c>
      <c r="J5471" s="38" t="n">
        <f aca="false">Sens!$J$5450-ext_sh*Sens!$J$5452</f>
        <v>113.759316834883</v>
      </c>
      <c r="K5471" s="38" t="n">
        <f aca="false">Sens!$K$5450-ext_sh*Sens!$K$5452</f>
        <v>141.855203603144</v>
      </c>
      <c r="L5471" s="38" t="n">
        <f aca="false">Sens!$L$5450-ext_sh*Sens!$L$5452</f>
        <v>159.789055430453</v>
      </c>
      <c r="M5471" s="38" t="n">
        <f aca="false">Sens!$M$5450-ext_sh*Sens!$M$5452</f>
        <v>167.532378081213</v>
      </c>
      <c r="N5471" s="38" t="n">
        <f aca="false">Sens!$N$5450-ext_sh*Sens!$N$5452</f>
        <v>2.37162185981912</v>
      </c>
      <c r="O5471" s="38" t="n">
        <f aca="false">Sens!$O$5450-ext_sh*Sens!$O$5452</f>
        <v>4.40444059680694</v>
      </c>
    </row>
    <row r="5472" customFormat="false" ht="17.15" hidden="false" customHeight="false" outlineLevel="0" collapsed="false">
      <c r="A5472" s="1" t="s">
        <v>643</v>
      </c>
      <c r="B5472" s="8" t="s">
        <v>86</v>
      </c>
      <c r="C5472" s="38" t="n">
        <f aca="false">Sens!$C$5471-ext_sh*Sens!$C$5468</f>
        <v>1.64417882953695</v>
      </c>
      <c r="D5472" s="38" t="n">
        <f aca="false">Sens!$D$5471-ext_sh*Sens!$D$5468</f>
        <v>5.39125073772939</v>
      </c>
      <c r="E5472" s="38" t="n">
        <f aca="false">Sens!$E$5471-ext_sh*Sens!$E$5468</f>
        <v>3.18348617147493</v>
      </c>
      <c r="F5472" s="38" t="n">
        <f aca="false">Sens!$F$5471-ext_sh*Sens!$F$5468</f>
        <v>8.27806059642226</v>
      </c>
      <c r="G5472" s="38" t="n">
        <f aca="false">Sens!$G$5471-ext_sh*Sens!$G$5468</f>
        <v>11.4615467678972</v>
      </c>
      <c r="H5472" s="38" t="n">
        <f aca="false">Sens!$H$5471-ext_sh*Sens!$H$5468</f>
        <v>26.1859456885487</v>
      </c>
      <c r="I5472" s="38" t="n">
        <f aca="false">Sens!$I$5471-ext_sh*Sens!$I$5468</f>
        <v>37.04424114757</v>
      </c>
      <c r="J5472" s="38" t="n">
        <f aca="false">Sens!$J$5471-ext_sh*Sens!$J$5468</f>
        <v>47.2610736233534</v>
      </c>
      <c r="K5472" s="38" t="n">
        <f aca="false">Sens!$K$5471-ext_sh*Sens!$K$5468</f>
        <v>51.8167797755728</v>
      </c>
      <c r="L5472" s="38" t="n">
        <f aca="false">Sens!$L$5471-ext_sh*Sens!$L$5468</f>
        <v>53.5047805796943</v>
      </c>
      <c r="M5472" s="38" t="n">
        <f aca="false">Sens!$M$5471-ext_sh*Sens!$M$5468</f>
        <v>51.0047588788104</v>
      </c>
      <c r="N5472" s="38" t="n">
        <f aca="false">Sens!$N$5471-ext_sh*Sens!$N$5468</f>
        <v>1.67921600037079</v>
      </c>
      <c r="O5472" s="38" t="n">
        <f aca="false">Sens!$O$5471-ext_sh*Sens!$O$5468</f>
        <v>3.71203473735861</v>
      </c>
    </row>
    <row r="5473" customFormat="false" ht="17.15" hidden="false" customHeight="false" outlineLevel="0" collapsed="false">
      <c r="A5473" s="0" t="s">
        <v>644</v>
      </c>
      <c r="B5473" s="0" t="s">
        <v>52</v>
      </c>
      <c r="C5473" s="13" t="n">
        <f aca="false">Sens!$C$5472/Sens!$C$5450</f>
        <v>0.708390794789371</v>
      </c>
      <c r="D5473" s="13" t="n">
        <f aca="false">Sens!$D$5472/Sens!$D$5450</f>
        <v>0.619415573115729</v>
      </c>
      <c r="E5473" s="13" t="n">
        <f aca="false">Sens!$E$5472/Sens!$E$5450</f>
        <v>0.374072166056273</v>
      </c>
      <c r="F5473" s="13" t="n">
        <f aca="false">Sens!$F$5472/Sens!$F$5450</f>
        <v>0.553219320710057</v>
      </c>
      <c r="G5473" s="13" t="n">
        <f aca="false">Sens!$G$5472/Sens!$G$5450</f>
        <v>0.488270041527512</v>
      </c>
      <c r="H5473" s="13" t="n">
        <f aca="false">Sens!$H$5472/Sens!$H$5450</f>
        <v>0.435229086816882</v>
      </c>
      <c r="I5473" s="13" t="n">
        <f aca="false">Sens!$I$5472/Sens!$I$5450</f>
        <v>0.364954592421095</v>
      </c>
      <c r="J5473" s="13" t="n">
        <f aca="false">Sens!$J$5472/Sens!$J$5450</f>
        <v>0.330438308582232</v>
      </c>
      <c r="K5473" s="13" t="n">
        <f aca="false">Sens!$K$5472/Sens!$K$5450</f>
        <v>0.290840613449356</v>
      </c>
      <c r="L5473" s="13" t="n">
        <f aca="false">Sens!$L$5472/Sens!$L$5450</f>
        <v>0.26673582850143</v>
      </c>
      <c r="M5473" s="13" t="n">
        <f aca="false">Sens!$M$5472/Sens!$M$5450</f>
        <v>0.242555621732387</v>
      </c>
      <c r="N5473" s="13" t="n">
        <f aca="false">Sens!$N$5472/Sens!$N$5450</f>
        <v>0.551227795793364</v>
      </c>
      <c r="O5473" s="13" t="n">
        <f aca="false">Sens!$O$5472/Sens!$O$5450</f>
        <v>0.656132068597002</v>
      </c>
    </row>
    <row r="5474" customFormat="false" ht="17.15" hidden="false" customHeight="false" outlineLevel="0" collapsed="false">
      <c r="A5474" s="5" t="s">
        <v>645</v>
      </c>
      <c r="B5474" s="0" t="s">
        <v>86</v>
      </c>
      <c r="C5474" s="39" t="n">
        <v>0</v>
      </c>
      <c r="D5474" s="39" t="n">
        <v>0</v>
      </c>
      <c r="E5474" s="39" t="n">
        <v>0</v>
      </c>
      <c r="F5474" s="38" t="n">
        <f aca="false">IF(internal_ai_reading=2,1,0)*(1-ext_sh)/ext_sh*(mw_open*he_open+Sens!$F$5448*Sens!$F$5445)*Sens!$F$5434/1000</f>
        <v>3.77122048175818</v>
      </c>
      <c r="G5474" s="38" t="n">
        <f aca="false">Sens!$E$5474+Sens!$F$5474</f>
        <v>3.77122048175818</v>
      </c>
      <c r="H5474" s="38" t="n">
        <f aca="false">IF(internal_ai_reading=2,1,0)*(1-ext_sh)/ext_sh*(mw_open*he_open+Sens!$H$5448*Sens!$H$5445)*Sens!$H$5434/1000</f>
        <v>15.1635543609893</v>
      </c>
      <c r="I5474" s="38" t="n">
        <f aca="false">IF(internal_ai_reading=2,1,0)*(1-ext_sh)/ext_sh*(mw_open*he_open+Sens!$I$5448*Sens!$I$5445)*Sens!$I$5434/1000</f>
        <v>25.5818843619889</v>
      </c>
      <c r="J5474" s="38" t="n">
        <f aca="false">IF(internal_ai_reading=2,1,0)*(1-ext_sh)/ext_sh*(mw_open*he_open+Sens!$J$5448*Sens!$J$5445)*Sens!$J$5434/1000</f>
        <v>36.0465624179122</v>
      </c>
      <c r="K5474" s="38" t="n">
        <f aca="false">IF(internal_ai_reading=2,1,0)*(1-ext_sh)/ext_sh*(mw_open*he_open+Sens!$K$5448*Sens!$K$5445)*Sens!$K$5434/1000</f>
        <v>44.9020355557576</v>
      </c>
      <c r="L5474" s="38" t="n">
        <f aca="false">IF(internal_ai_reading=2,1,0)*(1-ext_sh)/ext_sh*(mw_open*he_open+Sens!$L$5448*Sens!$L$5445)*Sens!$L$5434/1000</f>
        <v>50.55474151763</v>
      </c>
      <c r="M5474" s="38" t="n">
        <f aca="false">IF(internal_ai_reading=2,1,0)*(1-ext_sh)/ext_sh*(mw_open*he_open+Sens!$M$5448*Sens!$M$5445)*Sens!$M$5434/1000</f>
        <v>52.9968449759368</v>
      </c>
      <c r="N5474" s="39" t="n">
        <v>0</v>
      </c>
      <c r="O5474" s="39" t="n">
        <v>0</v>
      </c>
      <c r="P5474" s="8" t="s">
        <v>646</v>
      </c>
    </row>
    <row r="5475" customFormat="false" ht="17.15" hidden="false" customHeight="false" outlineLevel="0" collapsed="false">
      <c r="A5475" s="5" t="s">
        <v>647</v>
      </c>
      <c r="B5475" s="0" t="s">
        <v>86</v>
      </c>
      <c r="C5475" s="38" t="n">
        <f aca="false">(1-ext_sh)*(Sens!$C$5452+Sens!$C$5468)</f>
        <v>0.169206631859174</v>
      </c>
      <c r="D5475" s="38" t="n">
        <f aca="false">(1-ext_sh)*(Sens!$D$5452+Sens!$D$5468)</f>
        <v>0.828129837730442</v>
      </c>
      <c r="E5475" s="38" t="n">
        <f aca="false">(1-ext_sh)*(Sens!$E$5452+Sens!$E$5468)</f>
        <v>1.33171670102377</v>
      </c>
      <c r="F5475" s="38" t="n">
        <f aca="false">(1-ext_sh)*(Sens!$F$5452+Sens!$F$5468)</f>
        <v>1.67134326207455</v>
      </c>
      <c r="G5475" s="38" t="n">
        <f aca="false">(1-ext_sh)*(Sens!$G$5452+Sens!$G$5468)</f>
        <v>3.00305996309832</v>
      </c>
      <c r="H5475" s="38" t="n">
        <f aca="false">(1-ext_sh)*(Sens!$H$5452+Sens!$H$5468)</f>
        <v>8.49498626530648</v>
      </c>
      <c r="I5475" s="38" t="n">
        <f aca="false">(1-ext_sh)*(Sens!$I$5452+Sens!$I$5468)</f>
        <v>16.1148644972155</v>
      </c>
      <c r="J5475" s="38" t="n">
        <f aca="false">(1-ext_sh)*(Sens!$J$5452+Sens!$J$5468)</f>
        <v>23.9410833819812</v>
      </c>
      <c r="K5475" s="38" t="n">
        <f aca="false">(1-ext_sh)*(Sens!$K$5452+Sens!$K$5468)</f>
        <v>31.5863346274657</v>
      </c>
      <c r="L5475" s="38" t="n">
        <f aca="false">(1-ext_sh)*(Sens!$L$5452+Sens!$L$5468)</f>
        <v>36.7715304908616</v>
      </c>
      <c r="M5475" s="38" t="n">
        <f aca="false">(1-ext_sh)*(Sens!$M$5452+Sens!$M$5468)</f>
        <v>39.8189780159728</v>
      </c>
      <c r="N5475" s="38" t="n">
        <f aca="false">(1-ext_sh)*(Sens!$N$5452+Sens!$N$5468)</f>
        <v>0.34177588266428</v>
      </c>
      <c r="O5475" s="38" t="n">
        <f aca="false">(1-ext_sh)*(Sens!$O$5452+Sens!$O$5468)</f>
        <v>0.486353955066162</v>
      </c>
    </row>
    <row r="5476" customFormat="false" ht="17.15" hidden="false" customHeight="false" outlineLevel="0" collapsed="false">
      <c r="A5476" s="0" t="s">
        <v>648</v>
      </c>
      <c r="B5476" s="0" t="s">
        <v>86</v>
      </c>
      <c r="C5476" s="38" t="n">
        <f aca="false">Q!$D$24</f>
        <v>39.834</v>
      </c>
      <c r="D5476" s="38" t="n">
        <f aca="false">Q!$E$24</f>
        <v>45.606</v>
      </c>
      <c r="E5476" s="38" t="n">
        <f aca="false">Q!$P$24</f>
        <v>30.782</v>
      </c>
      <c r="N5476" s="38" t="n">
        <f aca="false">Q!$N$24</f>
        <v>21.707</v>
      </c>
      <c r="O5476" s="38" t="n">
        <f aca="false">Q!$O$24</f>
        <v>23.899</v>
      </c>
    </row>
    <row r="5477" customFormat="false" ht="17.15" hidden="false" customHeight="false" outlineLevel="0" collapsed="false">
      <c r="A5477" s="0" t="s">
        <v>649</v>
      </c>
      <c r="B5477" s="0" t="s">
        <v>86</v>
      </c>
      <c r="C5477" s="38" t="n">
        <f aca="false">Sens!$C$5476-Sens!$C$5472</f>
        <v>38.1898211704631</v>
      </c>
      <c r="D5477" s="38" t="n">
        <f aca="false">Sens!$D$5476-Sens!$D$5472</f>
        <v>40.2147492622706</v>
      </c>
      <c r="E5477" s="38" t="n">
        <f aca="false">Sens!$E$5476-Sens!$E$5472</f>
        <v>27.5985138285251</v>
      </c>
      <c r="F5477" s="38" t="n">
        <f aca="false">Sens!$F$5454*Sens!$F$5478</f>
        <v>25.5484769754606</v>
      </c>
      <c r="G5477" s="38" t="n">
        <f aca="false">Sens!$E$5477+Sens!$F$5477</f>
        <v>53.1469908039857</v>
      </c>
      <c r="H5477" s="38" t="n">
        <f aca="false">Sens!$H$5454*Sens!$H$5478</f>
        <v>57.3189525076539</v>
      </c>
      <c r="I5477" s="38" t="n">
        <f aca="false">Sens!$I$5454*Sens!$I$5478</f>
        <v>63.6385627021087</v>
      </c>
      <c r="J5477" s="38" t="n">
        <f aca="false">Sens!$J$5454*Sens!$J$5478</f>
        <v>69.6922896066105</v>
      </c>
      <c r="K5477" s="38" t="n">
        <f aca="false">Sens!$K$5454*Sens!$K$5478</f>
        <v>75.2676727751394</v>
      </c>
      <c r="L5477" s="38" t="n">
        <f aca="false">Sens!$L$5454*Sens!$L$5478</f>
        <v>81.2890865971505</v>
      </c>
      <c r="M5477" s="38" t="n">
        <f aca="false">Sens!$M$5454*Sens!$M$5478</f>
        <v>87.7922135249226</v>
      </c>
      <c r="N5477" s="38" t="n">
        <f aca="false">Sens!$N$5476-Sens!$N$5472</f>
        <v>20.0277839996292</v>
      </c>
      <c r="O5477" s="38" t="n">
        <f aca="false">Sens!$O$5476-Sens!$O$5472</f>
        <v>20.1869652626414</v>
      </c>
      <c r="P5477" s="5" t="s">
        <v>650</v>
      </c>
    </row>
    <row r="5478" customFormat="false" ht="17.15" hidden="false" customHeight="false" outlineLevel="0" collapsed="false">
      <c r="A5478" s="0" t="s">
        <v>651</v>
      </c>
      <c r="B5478" s="0" t="s">
        <v>52</v>
      </c>
      <c r="C5478" s="13" t="n">
        <f aca="false">Sens!$C$5477/Sens!$C$5454</f>
        <v>0.362900395443635</v>
      </c>
      <c r="D5478" s="13" t="n">
        <f aca="false">Sens!$D$5477/Sens!$D$5454</f>
        <v>0.335063632425483</v>
      </c>
      <c r="E5478" s="13" t="n">
        <f aca="false">Sens!$E$5477/Sens!$E$5454</f>
        <v>0.387028992698038</v>
      </c>
      <c r="F5478" s="13" t="n">
        <f aca="false">(Sens!$O$5477+Sens!$E$5477)/(Sens!$O$5454+Sens!$E$5454)</f>
        <v>0.355980580118587</v>
      </c>
      <c r="G5478" s="13" t="n">
        <f aca="false">Sens!$G$5477/Sens!$G$5454</f>
        <v>0.371454804780916</v>
      </c>
      <c r="H5478" s="13" t="n">
        <f aca="false">Sens!$F$5478</f>
        <v>0.355980580118587</v>
      </c>
      <c r="I5478" s="13" t="n">
        <f aca="false">Sens!$F$5478</f>
        <v>0.355980580118587</v>
      </c>
      <c r="J5478" s="13" t="n">
        <f aca="false">Sens!$F$5478</f>
        <v>0.355980580118587</v>
      </c>
      <c r="K5478" s="13" t="n">
        <f aca="false">Sens!$F$5478</f>
        <v>0.355980580118587</v>
      </c>
      <c r="L5478" s="13" t="n">
        <f aca="false">Sens!$F$5478</f>
        <v>0.355980580118587</v>
      </c>
      <c r="M5478" s="13" t="n">
        <f aca="false">Sens!$F$5478</f>
        <v>0.355980580118587</v>
      </c>
      <c r="N5478" s="13" t="n">
        <f aca="false">Sens!$N$5477/Sens!$N$5454</f>
        <v>0.35078810535806</v>
      </c>
      <c r="O5478" s="13" t="n">
        <f aca="false">Sens!$O$5477/Sens!$O$5454</f>
        <v>0.320796939361619</v>
      </c>
      <c r="P5478" s="8" t="s">
        <v>652</v>
      </c>
    </row>
    <row r="5479" customFormat="false" ht="17.15" hidden="false" customHeight="false" outlineLevel="0" collapsed="false">
      <c r="A5479" s="0" t="s">
        <v>653</v>
      </c>
      <c r="B5479" s="0" t="s">
        <v>52</v>
      </c>
      <c r="D5479" s="13" t="n">
        <f aca="false">(Q!$E$31-ext_sh*Sens!$D$5468)/Sens!$D$5454</f>
        <v>0.167180325480118</v>
      </c>
    </row>
    <row r="5480" customFormat="false" ht="17.15" hidden="false" customHeight="false" outlineLevel="0" collapsed="false">
      <c r="A5480" s="0" t="s">
        <v>654</v>
      </c>
      <c r="B5480" s="0" t="s">
        <v>86</v>
      </c>
      <c r="C5480" s="38" t="n">
        <f aca="false">Q!$D$31</f>
        <v>13.32</v>
      </c>
      <c r="D5480" s="38" t="n">
        <f aca="false">Q!$E$31</f>
        <v>21.45</v>
      </c>
      <c r="E5480" s="38" t="n">
        <f aca="false">Q!$P$31</f>
        <v>15.353</v>
      </c>
      <c r="F5480" s="38" t="n">
        <f aca="false">ext_sh*Sens!$F$5468+Sens!$D$5479*Sens!$F$5454</f>
        <v>15.4404120185306</v>
      </c>
      <c r="G5480" s="38" t="n">
        <f aca="false">Sens!$E$5480+Sens!$F$5480</f>
        <v>30.7934120185306</v>
      </c>
      <c r="H5480" s="38" t="n">
        <f aca="false">ext_sh*Sens!$H$5468+Sens!$D$5479*Sens!$H$5454</f>
        <v>48.250114371455</v>
      </c>
      <c r="I5480" s="38" t="n">
        <f aca="false">ext_sh*Sens!$I$5468+Sens!$D$5479*Sens!$I$5454</f>
        <v>73.3965146995963</v>
      </c>
      <c r="J5480" s="38" t="n">
        <f aca="false">ext_sh*Sens!$J$5468+Sens!$D$5479*Sens!$J$5454</f>
        <v>99.22806138309</v>
      </c>
      <c r="K5480" s="38" t="n">
        <f aca="false">ext_sh*Sens!$K$5468+Sens!$D$5479*Sens!$K$5454</f>
        <v>125.386627452856</v>
      </c>
      <c r="L5480" s="38" t="n">
        <f aca="false">ext_sh*Sens!$L$5468+Sens!$D$5479*Sens!$L$5454</f>
        <v>144.460334766067</v>
      </c>
      <c r="M5480" s="38" t="n">
        <f aca="false">ext_sh*Sens!$M$5468+Sens!$D$5479*Sens!$M$5454</f>
        <v>157.757763910934</v>
      </c>
      <c r="N5480" s="38" t="n">
        <f aca="false">Q!$N$31</f>
        <v>9.234</v>
      </c>
      <c r="O5480" s="38" t="n">
        <f aca="false">Q!$O$31</f>
        <v>12.216</v>
      </c>
    </row>
    <row r="5481" customFormat="false" ht="17.15" hidden="false" customHeight="false" outlineLevel="0" collapsed="false">
      <c r="A5481" s="1" t="s">
        <v>655</v>
      </c>
    </row>
    <row r="5482" customFormat="false" ht="17.15" hidden="false" customHeight="false" outlineLevel="0" collapsed="false">
      <c r="A5482" s="15" t="s">
        <v>656</v>
      </c>
      <c r="B5482" s="14" t="s">
        <v>52</v>
      </c>
      <c r="C5482" s="14"/>
      <c r="D5482" s="14"/>
      <c r="E5482" s="14"/>
      <c r="F5482" s="14"/>
      <c r="G5482" s="17" t="n">
        <f aca="false">Sens!$G$5472*(1-tax)/(ext_sh*(Sens!$D$5469+Sens!$G$5469)/2)</f>
        <v>0.0966870495301478</v>
      </c>
      <c r="H5482" s="17" t="n">
        <f aca="false">Sens!$H$5472*(1-tax)/(ext_sh*(Sens!$G$5469+Sens!$H$5469)/2)</f>
        <v>0.100492020334136</v>
      </c>
      <c r="I5482" s="17" t="n">
        <f aca="false">Sens!$I$5472*(1-tax)/(ext_sh*(Sens!$H$5469+Sens!$I$5469)/2)</f>
        <v>0.0889392292218236</v>
      </c>
      <c r="J5482" s="17" t="n">
        <f aca="false">Sens!$J$5472*(1-tax)/(ext_sh*(Sens!$I$5469+Sens!$J$5469)/2)</f>
        <v>0.0858364613777012</v>
      </c>
      <c r="K5482" s="17" t="n">
        <f aca="false">Sens!$K$5472*(1-tax)/(ext_sh*(Sens!$J$5469+Sens!$K$5469)/2)</f>
        <v>0.0820837715863597</v>
      </c>
      <c r="L5482" s="17" t="n">
        <f aca="false">Sens!$L$5472*(1-tax)/(ext_sh*(Sens!$K$5469+Sens!$L$5469)/2)</f>
        <v>0.0826342637698</v>
      </c>
      <c r="M5482" s="17" t="n">
        <f aca="false">Sens!$M$5472*(1-tax)/(ext_sh*(Sens!$L$5469+Sens!$M$5469)/2)</f>
        <v>0.0804670006526159</v>
      </c>
      <c r="N5482" s="14"/>
      <c r="O5482" s="14"/>
      <c r="P5482" s="8" t="s">
        <v>657</v>
      </c>
    </row>
    <row r="5483" customFormat="false" ht="17.15" hidden="false" customHeight="false" outlineLevel="0" collapsed="false">
      <c r="A5483" s="5" t="s">
        <v>658</v>
      </c>
      <c r="B5483" s="0" t="s">
        <v>57</v>
      </c>
      <c r="H5483" s="36" t="n">
        <f aca="false">Sens!$H$5450*1000/(mw_open*he_open+Sens!$H$5448*Sens!$H$5445)</f>
        <v>0.991949006767191</v>
      </c>
      <c r="I5483" s="36" t="n">
        <f aca="false">Sens!$I$5450*1000/(mw_open*he_open+Sens!$I$5448*Sens!$I$5445)</f>
        <v>0.991949006767191</v>
      </c>
      <c r="J5483" s="36" t="n">
        <f aca="false">Sens!$J$5450*1000/(mw_open*he_open+Sens!$J$5448*Sens!$J$5445)</f>
        <v>0.991949006767191</v>
      </c>
      <c r="K5483" s="36" t="n">
        <f aca="false">Sens!$K$5450*1000/(mw_open*he_open+Sens!$K$5448*Sens!$K$5445)</f>
        <v>0.991949006767191</v>
      </c>
      <c r="L5483" s="36" t="n">
        <f aca="false">Sens!$L$5450*1000/(mw_open*he_open+Sens!$L$5448*Sens!$L$5445)</f>
        <v>0.991949006767191</v>
      </c>
      <c r="M5483" s="36" t="n">
        <f aca="false">Sens!$M$5450*1000/(mw_open*he_open+Sens!$M$5448*Sens!$M$5445)</f>
        <v>0.991949006767191</v>
      </c>
    </row>
    <row r="5484" customFormat="false" ht="17.15" hidden="false" customHeight="false" outlineLevel="0" collapsed="false">
      <c r="A5484" s="5" t="s">
        <v>659</v>
      </c>
      <c r="B5484" s="0" t="s">
        <v>57</v>
      </c>
      <c r="H5484" s="36" t="n">
        <f aca="false">Sens!$H$5483*(Sens!$H$5450+wacc*ext_sh*(Sens!$G$5469+Sens!$H$5469)/2/(1-tax)-Sens!$H$5472)/Sens!$H$5450</f>
        <v>1.04696246089529</v>
      </c>
      <c r="I5484" s="36" t="n">
        <f aca="false">Sens!$I$5483*(Sens!$I$5450+wacc*ext_sh*(Sens!$H$5469+Sens!$I$5469)/2/(1-tax)-Sens!$I$5472)/Sens!$I$5450</f>
        <v>1.09109607940198</v>
      </c>
      <c r="J5484" s="36" t="n">
        <f aca="false">Sens!$J$5483*(Sens!$J$5450+wacc*ext_sh*(Sens!$I$5469+Sens!$J$5469)/2/(1-tax)-Sens!$J$5472)/Sens!$J$5450</f>
        <v>1.09681234280071</v>
      </c>
      <c r="K5484" s="36" t="n">
        <f aca="false">Sens!$K$5483*(Sens!$K$5450+wacc*ext_sh*(Sens!$J$5469+Sens!$K$5469)/2/(1-tax)-Sens!$K$5472)/Sens!$K$5450</f>
        <v>1.101655332211</v>
      </c>
      <c r="L5484" s="36" t="n">
        <f aca="false">Sens!$L$5483*(Sens!$L$5450+wacc*ext_sh*(Sens!$K$5469+Sens!$L$5469)/2/(1-tax)-Sens!$L$5472)/Sens!$L$5450</f>
        <v>1.09013000312741</v>
      </c>
      <c r="M5484" s="36" t="n">
        <f aca="false">Sens!$M$5483*(Sens!$M$5450+wacc*ext_sh*(Sens!$L$5469+Sens!$M$5469)/2/(1-tax)-Sens!$M$5472)/Sens!$M$5450</f>
        <v>1.090114611219</v>
      </c>
    </row>
    <row r="5485" customFormat="false" ht="17.15" hidden="false" customHeight="false" outlineLevel="0" collapsed="false">
      <c r="A5485" s="5" t="s">
        <v>660</v>
      </c>
      <c r="B5485" s="0" t="s">
        <v>52</v>
      </c>
      <c r="C5485" s="13" t="n">
        <f aca="false">Sens!$C$5451/tk_pq</f>
        <v>0.195316432429398</v>
      </c>
      <c r="D5485" s="13" t="n">
        <f aca="false">Sens!$D$5451/tk_pq</f>
        <v>0.195316432429398</v>
      </c>
      <c r="E5485" s="13" t="n">
        <f aca="false">Sens!$E$5451/tk_pq</f>
        <v>0.195316432429398</v>
      </c>
      <c r="F5485" s="13" t="n">
        <f aca="false">Sens!$F$5451/tk_pq</f>
        <v>0.202241827274866</v>
      </c>
      <c r="G5485" s="13" t="n">
        <f aca="false">Sens!$G$5451/tk_pq</f>
        <v>0.199675016194063</v>
      </c>
      <c r="H5485" s="13" t="n">
        <f aca="false">Sens!$H$5451/tk_pq</f>
        <v>0.212647947710325</v>
      </c>
      <c r="I5485" s="13" t="n">
        <f aca="false">Sens!$I$5451/tk_pq</f>
        <v>0.219285125475351</v>
      </c>
      <c r="J5485" s="13" t="n">
        <f aca="false">Sens!$J$5451/tk_pq</f>
        <v>0.222492493217189</v>
      </c>
      <c r="K5485" s="13" t="n">
        <f aca="false">Sens!$K$5451/tk_pq</f>
        <v>0.224037965623446</v>
      </c>
      <c r="L5485" s="13" t="n">
        <f aca="false">Sens!$L$5451/tk_pq</f>
        <v>0.224743186755999</v>
      </c>
      <c r="M5485" s="13" t="n">
        <f aca="false">Sens!$M$5451/tk_pq</f>
        <v>0.224962001824354</v>
      </c>
      <c r="N5485" s="13" t="n">
        <f aca="false">Sens!$N$5451/tk_pq</f>
        <v>0.195316432429398</v>
      </c>
      <c r="O5485" s="13" t="n">
        <f aca="false">Sens!$O$5451/tk_pq</f>
        <v>0.195316432429398</v>
      </c>
      <c r="P5485" s="5" t="s">
        <v>661</v>
      </c>
    </row>
    <row r="5488" customFormat="false" ht="17.15" hidden="false" customHeight="false" outlineLevel="0" collapsed="false">
      <c r="A5488" s="1" t="s">
        <v>690</v>
      </c>
    </row>
    <row r="5489" customFormat="false" ht="17.15" hidden="false" customHeight="false" outlineLevel="0" collapsed="false">
      <c r="A5489" s="0" t="s">
        <v>691</v>
      </c>
      <c r="B5489" s="0" t="s">
        <v>86</v>
      </c>
      <c r="C5489" s="38" t="n">
        <f aca="false">Sens!$C$5450</f>
        <v>2.32100535697364</v>
      </c>
      <c r="D5489" s="38" t="n">
        <f aca="false">Sens!$D$5450</f>
        <v>8.70377008865116</v>
      </c>
      <c r="E5489" s="38" t="n">
        <f aca="false">Sens!$E$5450</f>
        <v>8.51035297557002</v>
      </c>
      <c r="F5489" s="38" t="n">
        <f aca="false">Sens!$F$5450</f>
        <v>14.9634336447205</v>
      </c>
      <c r="G5489" s="38" t="n">
        <f aca="false">Sens!$G$5450</f>
        <v>23.4737866202905</v>
      </c>
      <c r="H5489" s="38" t="n">
        <f aca="false">Sens!$H$5450</f>
        <v>60.1658907497746</v>
      </c>
      <c r="I5489" s="38" t="n">
        <f aca="false">Sens!$I$5450</f>
        <v>101.503699136432</v>
      </c>
      <c r="J5489" s="38" t="n">
        <f aca="false">Sens!$J$5450</f>
        <v>143.025407151278</v>
      </c>
      <c r="K5489" s="38" t="n">
        <f aca="false">Sens!$K$5450</f>
        <v>178.162118285436</v>
      </c>
      <c r="L5489" s="38" t="n">
        <f aca="false">Sens!$L$5450</f>
        <v>200.590902543141</v>
      </c>
      <c r="M5489" s="38" t="n">
        <f aca="false">Sens!$M$5450</f>
        <v>210.280670942702</v>
      </c>
      <c r="N5489" s="38" t="n">
        <f aca="false">Sens!$N$5450</f>
        <v>3.04631953102791</v>
      </c>
      <c r="O5489" s="38" t="n">
        <f aca="false">Sens!$O$5450</f>
        <v>5.65745055762326</v>
      </c>
      <c r="P5489" s="8" t="s">
        <v>692</v>
      </c>
    </row>
    <row r="5490" customFormat="false" ht="17.15" hidden="false" customHeight="false" outlineLevel="0" collapsed="false">
      <c r="A5490" s="0" t="s">
        <v>693</v>
      </c>
      <c r="B5490" s="0" t="s">
        <v>86</v>
      </c>
      <c r="C5490" s="38" t="n">
        <f aca="false">Sens!$C$5454</f>
        <v>105.234994643026</v>
      </c>
      <c r="D5490" s="38" t="n">
        <f aca="false">Sens!$D$5454</f>
        <v>120.021229911349</v>
      </c>
      <c r="E5490" s="38" t="n">
        <f aca="false">Sens!$E$5454</f>
        <v>71.30864702443</v>
      </c>
      <c r="F5490" s="38" t="n">
        <f aca="false">Sens!$F$5454</f>
        <v>71.7692997942464</v>
      </c>
      <c r="G5490" s="38" t="n">
        <f aca="false">Sens!$G$5454</f>
        <v>143.077946818676</v>
      </c>
      <c r="H5490" s="38" t="n">
        <f aca="false">Sens!$H$5454</f>
        <v>161.017077079203</v>
      </c>
      <c r="I5490" s="38" t="n">
        <f aca="false">Sens!$I$5454</f>
        <v>178.769759521457</v>
      </c>
      <c r="J5490" s="38" t="n">
        <f aca="false">Sens!$J$5454</f>
        <v>195.775538045907</v>
      </c>
      <c r="K5490" s="38" t="n">
        <f aca="false">Sens!$K$5454</f>
        <v>211.43758108958</v>
      </c>
      <c r="L5490" s="38" t="n">
        <f aca="false">Sens!$L$5454</f>
        <v>228.352587576746</v>
      </c>
      <c r="M5490" s="38" t="n">
        <f aca="false">Sens!$M$5454</f>
        <v>246.620794582886</v>
      </c>
      <c r="N5490" s="38" t="n">
        <f aca="false">Sens!$N$5454</f>
        <v>57.0936804689721</v>
      </c>
      <c r="O5490" s="38" t="n">
        <f aca="false">Sens!$O$5454</f>
        <v>62.9275494423768</v>
      </c>
      <c r="P5490" s="8" t="s">
        <v>692</v>
      </c>
    </row>
    <row r="5491" customFormat="false" ht="17.15" hidden="false" customHeight="false" outlineLevel="0" collapsed="false">
      <c r="A5491" s="1" t="s">
        <v>516</v>
      </c>
      <c r="B5491" s="8" t="s">
        <v>86</v>
      </c>
      <c r="C5491" s="38" t="n">
        <f aca="false">Q!$D$7</f>
        <v>107.556</v>
      </c>
      <c r="D5491" s="38" t="n">
        <f aca="false">Q!$E$7</f>
        <v>128.725</v>
      </c>
      <c r="E5491" s="38" t="n">
        <f aca="false">Q!$P$7</f>
        <v>79.819</v>
      </c>
      <c r="F5491" s="38" t="n">
        <f aca="false">Sens!$F$5489+Sens!$F$5490</f>
        <v>86.7327334389669</v>
      </c>
      <c r="G5491" s="38" t="n">
        <f aca="false">Sens!$G$5489+Sens!$G$5490</f>
        <v>166.551733438967</v>
      </c>
      <c r="H5491" s="38" t="n">
        <f aca="false">Sens!$H$5489+Sens!$H$5490</f>
        <v>221.182967828978</v>
      </c>
      <c r="I5491" s="38" t="n">
        <f aca="false">Sens!$I$5489+Sens!$I$5490</f>
        <v>280.27345865789</v>
      </c>
      <c r="J5491" s="38" t="n">
        <f aca="false">Sens!$J$5489+Sens!$J$5490</f>
        <v>338.800945197185</v>
      </c>
      <c r="K5491" s="38" t="n">
        <f aca="false">Sens!$K$5489+Sens!$K$5490</f>
        <v>389.599699375015</v>
      </c>
      <c r="L5491" s="38" t="n">
        <f aca="false">Sens!$L$5489+Sens!$L$5490</f>
        <v>428.943490119887</v>
      </c>
      <c r="M5491" s="38" t="n">
        <f aca="false">Sens!$M$5489+Sens!$M$5490</f>
        <v>456.901465525587</v>
      </c>
      <c r="N5491" s="38" t="n">
        <f aca="false">Q!$N$7</f>
        <v>60.14</v>
      </c>
      <c r="O5491" s="38" t="n">
        <f aca="false">Q!$O$7</f>
        <v>68.585</v>
      </c>
      <c r="P5491" s="5" t="s">
        <v>694</v>
      </c>
    </row>
    <row r="5492" customFormat="false" ht="15" hidden="false" customHeight="false" outlineLevel="0" collapsed="false">
      <c r="A5492" s="3" t="s">
        <v>695</v>
      </c>
      <c r="B5492" s="8" t="s">
        <v>86</v>
      </c>
      <c r="C5492" s="38" t="n">
        <f aca="false">Q!$D$8</f>
        <v>637.959</v>
      </c>
      <c r="D5492" s="38" t="n">
        <f aca="false">Q!$E$8</f>
        <v>716.924</v>
      </c>
      <c r="E5492" s="38" t="n">
        <f aca="false">Q!$P$8</f>
        <v>382.125</v>
      </c>
      <c r="F5492" s="38" t="n">
        <f aca="false">Sens!$F$5422+Sens!$F$5491</f>
        <v>435.780975084504</v>
      </c>
      <c r="G5492" s="38" t="n">
        <f aca="false">Sens!$G$5422+Sens!$G$5491</f>
        <v>817.905975084504</v>
      </c>
      <c r="H5492" s="38" t="n">
        <f aca="false">Sens!$H$5422+Sens!$H$5491</f>
        <v>942.279857350364</v>
      </c>
      <c r="I5492" s="38" t="n">
        <f aca="false">Sens!$I$5422+Sens!$I$5491</f>
        <v>1068.80284981042</v>
      </c>
      <c r="J5492" s="38" t="n">
        <f aca="false">Sens!$J$5422+Sens!$J$5491</f>
        <v>1189.90935093863</v>
      </c>
      <c r="K5492" s="38" t="n">
        <f aca="false">Sens!$K$5422+Sens!$K$5491</f>
        <v>1295.7761548061</v>
      </c>
      <c r="L5492" s="38" t="n">
        <f aca="false">Sens!$L$5422+Sens!$L$5491</f>
        <v>1394.03659659548</v>
      </c>
      <c r="M5492" s="38" t="n">
        <f aca="false">Sens!$M$5422+Sens!$M$5491</f>
        <v>1485.04937347247</v>
      </c>
      <c r="N5492" s="38" t="n">
        <f aca="false">Q!$N$8</f>
        <v>323.369</v>
      </c>
      <c r="O5492" s="38" t="n">
        <f aca="false">Q!$O$8</f>
        <v>393.555</v>
      </c>
    </row>
    <row r="5493" customFormat="false" ht="17.15" hidden="false" customHeight="false" outlineLevel="0" collapsed="false">
      <c r="A5493" s="24" t="s">
        <v>703</v>
      </c>
      <c r="B5493" s="25" t="s">
        <v>86</v>
      </c>
      <c r="C5493" s="41" t="n">
        <f aca="false">Sens!$C$5422-(Sens!$C$5424+Sens!$C$5425)</f>
        <v>0</v>
      </c>
      <c r="D5493" s="41" t="n">
        <f aca="false">Sens!$D$5422-(Sens!$D$5424+Sens!$D$5425)</f>
        <v>0</v>
      </c>
      <c r="E5493" s="41" t="n">
        <f aca="false">Sens!$E$5422-(Sens!$E$5424+Sens!$E$5425)</f>
        <v>0</v>
      </c>
      <c r="F5493" s="41" t="n">
        <f aca="false">Sens!$F$5422-(Sens!$F$5424+Sens!$F$5425)</f>
        <v>0</v>
      </c>
      <c r="G5493" s="41" t="n">
        <f aca="false">Sens!$G$5422-(Sens!$G$5424+Sens!$G$5425)</f>
        <v>0</v>
      </c>
      <c r="H5493" s="41" t="n">
        <f aca="false">Sens!$H$5422-(Sens!$H$5424+Sens!$H$5425)</f>
        <v>0</v>
      </c>
      <c r="I5493" s="41" t="n">
        <f aca="false">Sens!$I$5422-(Sens!$I$5424+Sens!$I$5425)</f>
        <v>0</v>
      </c>
      <c r="J5493" s="41" t="n">
        <f aca="false">Sens!$J$5422-(Sens!$J$5424+Sens!$J$5425)</f>
        <v>0</v>
      </c>
      <c r="K5493" s="41" t="n">
        <f aca="false">Sens!$K$5422-(Sens!$K$5424+Sens!$K$5425)</f>
        <v>0</v>
      </c>
      <c r="L5493" s="41" t="n">
        <f aca="false">Sens!$L$5422-(Sens!$L$5424+Sens!$L$5425)</f>
        <v>0</v>
      </c>
      <c r="M5493" s="41" t="n">
        <f aca="false">Sens!$M$5422-(Sens!$M$5424+Sens!$M$5425)</f>
        <v>0</v>
      </c>
      <c r="N5493" s="41" t="n">
        <f aca="false">Sens!$N$5422-(Sens!$N$5424+Sens!$N$5425)</f>
        <v>0</v>
      </c>
      <c r="O5493" s="41" t="n">
        <f aca="false">Sens!$O$5422-(Sens!$O$5424+Sens!$O$5425)</f>
        <v>0</v>
      </c>
    </row>
    <row r="5494" customFormat="false" ht="17.15" hidden="false" customHeight="false" outlineLevel="0" collapsed="false">
      <c r="A5494" s="24" t="s">
        <v>704</v>
      </c>
      <c r="B5494" s="25" t="s">
        <v>86</v>
      </c>
      <c r="C5494" s="41" t="n">
        <f aca="false">Sens!$C$5489+Sens!$C$5490-Sens!$C$5491</f>
        <v>0</v>
      </c>
      <c r="D5494" s="41" t="n">
        <f aca="false">Sens!$D$5489+Sens!$D$5490-Sens!$D$5491</f>
        <v>0</v>
      </c>
      <c r="E5494" s="41" t="n">
        <f aca="false">Sens!$E$5489+Sens!$E$5490-Sens!$E$5491</f>
        <v>0</v>
      </c>
      <c r="F5494" s="41" t="n">
        <f aca="false">Sens!$F$5489+Sens!$F$5490-Sens!$F$5491</f>
        <v>0</v>
      </c>
      <c r="G5494" s="41" t="n">
        <f aca="false">Sens!$G$5489+Sens!$G$5490-Sens!$G$5491</f>
        <v>0</v>
      </c>
      <c r="H5494" s="41" t="n">
        <f aca="false">Sens!$H$5489+Sens!$H$5490-Sens!$H$5491</f>
        <v>0</v>
      </c>
      <c r="I5494" s="41" t="n">
        <f aca="false">Sens!$I$5489+Sens!$I$5490-Sens!$I$5491</f>
        <v>0</v>
      </c>
      <c r="J5494" s="41" t="n">
        <f aca="false">Sens!$J$5489+Sens!$J$5490-Sens!$J$5491</f>
        <v>0</v>
      </c>
      <c r="K5494" s="41" t="n">
        <f aca="false">Sens!$K$5489+Sens!$K$5490-Sens!$K$5491</f>
        <v>0</v>
      </c>
      <c r="L5494" s="41" t="n">
        <f aca="false">Sens!$L$5489+Sens!$L$5490-Sens!$L$5491</f>
        <v>0</v>
      </c>
      <c r="M5494" s="41" t="n">
        <f aca="false">Sens!$M$5489+Sens!$M$5490-Sens!$M$5491</f>
        <v>0</v>
      </c>
      <c r="N5494" s="41" t="n">
        <f aca="false">Sens!$N$5489+Sens!$N$5490-Sens!$N$5491</f>
        <v>0</v>
      </c>
      <c r="O5494" s="41" t="n">
        <f aca="false">Sens!$O$5489+Sens!$O$5490-Sens!$O$5491</f>
        <v>0</v>
      </c>
    </row>
    <row r="5495" customFormat="false" ht="17.15" hidden="false" customHeight="false" outlineLevel="0" collapsed="false">
      <c r="A5495" s="24" t="s">
        <v>705</v>
      </c>
      <c r="B5495" s="25" t="s">
        <v>86</v>
      </c>
      <c r="C5495" s="41" t="n">
        <f aca="false">Sens!$C$5424+Sens!$C$5425+Sens!$C$5491-Sens!$C$5492</f>
        <v>0</v>
      </c>
      <c r="D5495" s="41" t="n">
        <f aca="false">Sens!$D$5424+Sens!$D$5425+Sens!$D$5491-Sens!$D$5492</f>
        <v>0</v>
      </c>
      <c r="E5495" s="41" t="n">
        <f aca="false">Sens!$E$5424+Sens!$E$5425+Sens!$E$5491-Sens!$E$5492</f>
        <v>0</v>
      </c>
      <c r="F5495" s="41" t="n">
        <f aca="false">Sens!$F$5424+Sens!$F$5425+Sens!$F$5491-Sens!$F$5492</f>
        <v>0</v>
      </c>
      <c r="G5495" s="41" t="n">
        <f aca="false">Sens!$G$5424+Sens!$G$5425+Sens!$G$5491-Sens!$G$5492</f>
        <v>0</v>
      </c>
      <c r="H5495" s="41" t="n">
        <f aca="false">Sens!$H$5424+Sens!$H$5425+Sens!$H$5491-Sens!$H$5492</f>
        <v>0</v>
      </c>
      <c r="I5495" s="41" t="n">
        <f aca="false">Sens!$I$5424+Sens!$I$5425+Sens!$I$5491-Sens!$I$5492</f>
        <v>0</v>
      </c>
      <c r="J5495" s="41" t="n">
        <f aca="false">Sens!$J$5424+Sens!$J$5425+Sens!$J$5491-Sens!$J$5492</f>
        <v>0</v>
      </c>
      <c r="K5495" s="41" t="n">
        <f aca="false">Sens!$K$5424+Sens!$K$5425+Sens!$K$5491-Sens!$K$5492</f>
        <v>0</v>
      </c>
      <c r="L5495" s="41" t="n">
        <f aca="false">Sens!$L$5424+Sens!$L$5425+Sens!$L$5491-Sens!$L$5492</f>
        <v>0</v>
      </c>
      <c r="M5495" s="41" t="n">
        <f aca="false">Sens!$M$5424+Sens!$M$5425+Sens!$M$5491-Sens!$M$5492</f>
        <v>0</v>
      </c>
      <c r="N5495" s="41" t="n">
        <f aca="false">Sens!$N$5424+Sens!$N$5425+Sens!$N$5491-Sens!$N$5492</f>
        <v>0</v>
      </c>
      <c r="O5495" s="41" t="n">
        <f aca="false">Sens!$O$5424+Sens!$O$5425+Sens!$O$5491-Sens!$O$5492</f>
        <v>0</v>
      </c>
    </row>
    <row r="5496" customFormat="false" ht="15" hidden="false" customHeight="false" outlineLevel="0" collapsed="false">
      <c r="A5496" s="5" t="s">
        <v>699</v>
      </c>
      <c r="B5496" s="0" t="s">
        <v>52</v>
      </c>
      <c r="G5496" s="13" t="n">
        <f aca="false">Sens!$G$5492/Sens!$D$5492-1</f>
        <v>0.140854504918937</v>
      </c>
      <c r="H5496" s="13" t="n">
        <f aca="false">Sens!$H$5492/Sens!$G$5492-1</f>
        <v>0.152063789793209</v>
      </c>
      <c r="I5496" s="13" t="n">
        <f aca="false">Sens!$I$5492/Sens!$H$5492-1</f>
        <v>0.134273264437417</v>
      </c>
      <c r="J5496" s="13" t="n">
        <f aca="false">Sens!$J$5492/Sens!$I$5492-1</f>
        <v>0.113310421234083</v>
      </c>
      <c r="K5496" s="13" t="n">
        <f aca="false">Sens!$K$5492/Sens!$J$5492-1</f>
        <v>0.0889704781158034</v>
      </c>
      <c r="L5496" s="13" t="n">
        <f aca="false">Sens!$L$5492/Sens!$K$5492-1</f>
        <v>0.0758313397147494</v>
      </c>
      <c r="M5496" s="13" t="n">
        <f aca="false">Sens!$M$5492/Sens!$L$5492-1</f>
        <v>0.0652872220853238</v>
      </c>
    </row>
    <row r="5497" customFormat="false" ht="17.15" hidden="false" customHeight="false" outlineLevel="0" collapsed="false">
      <c r="A5497" s="0" t="s">
        <v>700</v>
      </c>
      <c r="B5497" s="0" t="s">
        <v>52</v>
      </c>
      <c r="C5497" s="13" t="n">
        <f aca="false">Sens!$C$5491/Sens!$C$5492</f>
        <v>0.168593906504964</v>
      </c>
      <c r="D5497" s="13" t="n">
        <f aca="false">Sens!$D$5491/Sens!$D$5492</f>
        <v>0.179551807444025</v>
      </c>
      <c r="E5497" s="13" t="n">
        <f aca="false">Sens!$E$5491/Sens!$E$5492</f>
        <v>0.208881910369643</v>
      </c>
      <c r="F5497" s="13" t="n">
        <f aca="false">Sens!$F$5491/Sens!$F$5492</f>
        <v>0.199028269699356</v>
      </c>
      <c r="G5497" s="13" t="n">
        <f aca="false">Sens!$G$5491/Sens!$G$5492</f>
        <v>0.203631882529968</v>
      </c>
      <c r="H5497" s="13" t="n">
        <f aca="false">Sens!$H$5491/Sens!$H$5492</f>
        <v>0.234731715958496</v>
      </c>
      <c r="I5497" s="13" t="n">
        <f aca="false">Sens!$I$5491/Sens!$I$5492</f>
        <v>0.262231204480418</v>
      </c>
      <c r="J5497" s="13" t="n">
        <f aca="false">Sens!$J$5491/Sens!$J$5492</f>
        <v>0.284728366013706</v>
      </c>
      <c r="K5497" s="13" t="n">
        <f aca="false">Sens!$K$5491/Sens!$K$5492</f>
        <v>0.300668983550877</v>
      </c>
      <c r="L5497" s="13" t="n">
        <f aca="false">Sens!$L$5491/Sens!$L$5492</f>
        <v>0.307698873306092</v>
      </c>
      <c r="M5497" s="13" t="n">
        <f aca="false">Sens!$M$5491/Sens!$M$5492</f>
        <v>0.30766752519293</v>
      </c>
      <c r="N5497" s="13" t="n">
        <f aca="false">Sens!$N$5491/Sens!$N$5492</f>
        <v>0.185979484737251</v>
      </c>
      <c r="O5497" s="13" t="n">
        <f aca="false">Sens!$O$5491/Sens!$O$5492</f>
        <v>0.174270432341096</v>
      </c>
    </row>
    <row r="5498" customFormat="false" ht="17.15" hidden="false" customHeight="false" outlineLevel="0" collapsed="false">
      <c r="A5498" s="0" t="s">
        <v>701</v>
      </c>
      <c r="B5498" s="0" t="s">
        <v>52</v>
      </c>
      <c r="C5498" s="13" t="n">
        <f aca="false">Sens!$C$5489/Sens!$C$5491</f>
        <v>0.0215795060896058</v>
      </c>
      <c r="D5498" s="13" t="n">
        <f aca="false">Sens!$D$5489/Sens!$D$5491</f>
        <v>0.0676152269462122</v>
      </c>
      <c r="E5498" s="13" t="n">
        <f aca="false">Sens!$E$5489/Sens!$E$5491</f>
        <v>0.106620641395783</v>
      </c>
      <c r="F5498" s="13" t="n">
        <f aca="false">Sens!$F$5489/Sens!$F$5491</f>
        <v>0.172523487401099</v>
      </c>
      <c r="G5498" s="13" t="n">
        <f aca="false">Sens!$G$5489/Sens!$G$5491</f>
        <v>0.140939911795589</v>
      </c>
      <c r="H5498" s="13" t="n">
        <f aca="false">Sens!$H$5489/Sens!$H$5491</f>
        <v>0.272018642937714</v>
      </c>
      <c r="I5498" s="13" t="n">
        <f aca="false">Sens!$I$5489/Sens!$I$5491</f>
        <v>0.362159512436497</v>
      </c>
      <c r="J5498" s="13" t="n">
        <f aca="false">Sens!$J$5489/Sens!$J$5491</f>
        <v>0.422151735934609</v>
      </c>
      <c r="K5498" s="13" t="n">
        <f aca="false">Sens!$K$5489/Sens!$K$5491</f>
        <v>0.45729531765871</v>
      </c>
      <c r="L5498" s="13" t="n">
        <f aca="false">Sens!$L$5489/Sens!$L$5491</f>
        <v>0.467639461055993</v>
      </c>
      <c r="M5498" s="13" t="n">
        <f aca="false">Sens!$M$5489/Sens!$M$5491</f>
        <v>0.460231990503268</v>
      </c>
      <c r="N5498" s="13" t="n">
        <f aca="false">Sens!$N$5489/Sens!$N$5491</f>
        <v>0.0506537999838362</v>
      </c>
      <c r="O5498" s="13" t="n">
        <f aca="false">Sens!$O$5489/Sens!$O$5491</f>
        <v>0.0824881615167056</v>
      </c>
    </row>
    <row r="5501" customFormat="false" ht="19.4" hidden="false" customHeight="false" outlineLevel="0" collapsed="false">
      <c r="A5501" s="31" t="s">
        <v>1247</v>
      </c>
    </row>
    <row r="5502" customFormat="false" ht="17.15" hidden="false" customHeight="false" outlineLevel="0" collapsed="false">
      <c r="A5502" s="6" t="s">
        <v>16</v>
      </c>
      <c r="B5502" s="6" t="s">
        <v>17</v>
      </c>
      <c r="C5502" s="20" t="s">
        <v>497</v>
      </c>
      <c r="D5502" s="20" t="s">
        <v>498</v>
      </c>
      <c r="E5502" s="20" t="s">
        <v>580</v>
      </c>
      <c r="F5502" s="20" t="s">
        <v>581</v>
      </c>
      <c r="G5502" s="20" t="s">
        <v>582</v>
      </c>
      <c r="H5502" s="20" t="s">
        <v>583</v>
      </c>
      <c r="I5502" s="20" t="s">
        <v>584</v>
      </c>
      <c r="J5502" s="20" t="s">
        <v>585</v>
      </c>
      <c r="K5502" s="20" t="s">
        <v>586</v>
      </c>
      <c r="L5502" s="20" t="s">
        <v>587</v>
      </c>
      <c r="M5502" s="20" t="s">
        <v>588</v>
      </c>
      <c r="N5502" s="20" t="s">
        <v>589</v>
      </c>
      <c r="O5502" s="20" t="s">
        <v>590</v>
      </c>
      <c r="P5502" s="6" t="s">
        <v>23</v>
      </c>
      <c r="R5502" s="20" t="n">
        <v>2023</v>
      </c>
      <c r="S5502" s="20" t="n">
        <v>2024</v>
      </c>
      <c r="T5502" s="20" t="n">
        <v>2025</v>
      </c>
      <c r="U5502" s="20" t="n">
        <v>2026</v>
      </c>
      <c r="V5502" s="20" t="n">
        <v>2027</v>
      </c>
      <c r="W5502" s="20" t="n">
        <v>2028</v>
      </c>
      <c r="X5502" s="20" t="n">
        <v>2029</v>
      </c>
      <c r="Y5502" s="20" t="n">
        <v>2030</v>
      </c>
      <c r="Z5502" s="20" t="n">
        <v>2031</v>
      </c>
      <c r="AA5502" s="20" t="n">
        <v>2032</v>
      </c>
    </row>
    <row r="5503" customFormat="false" ht="17.15" hidden="false" customHeight="false" outlineLevel="0" collapsed="false">
      <c r="A5503" s="1" t="s">
        <v>716</v>
      </c>
    </row>
    <row r="5504" customFormat="false" ht="15" hidden="false" customHeight="false" outlineLevel="0" collapsed="false">
      <c r="A5504" s="0" t="s">
        <v>519</v>
      </c>
      <c r="B5504" s="0" t="s">
        <v>86</v>
      </c>
      <c r="C5504" s="38" t="n">
        <f aca="false">Sens!$C$5409</f>
        <v>247.029</v>
      </c>
      <c r="D5504" s="38" t="n">
        <f aca="false">Sens!$D$5409</f>
        <v>269.287</v>
      </c>
      <c r="E5504" s="38" t="n">
        <f aca="false">Sens!$E$5409</f>
        <v>134.686</v>
      </c>
      <c r="F5504" s="38" t="n">
        <f aca="false">Sens!$F$5409</f>
        <v>158.293876822267</v>
      </c>
      <c r="G5504" s="38" t="n">
        <f aca="false">Sens!$G$5409</f>
        <v>292.979876822267</v>
      </c>
      <c r="H5504" s="38" t="n">
        <f aca="false">Sens!$H$5409</f>
        <v>318.184543087396</v>
      </c>
      <c r="I5504" s="38" t="n">
        <f aca="false">Sens!$I$5409</f>
        <v>341.736278761793</v>
      </c>
      <c r="J5504" s="38" t="n">
        <f aca="false">Sens!$J$5409</f>
        <v>362.927192787048</v>
      </c>
      <c r="K5504" s="38" t="n">
        <f aca="false">Sens!$K$5409</f>
        <v>381.0735524264</v>
      </c>
      <c r="L5504" s="38" t="n">
        <f aca="false">Sens!$L$5409</f>
        <v>400.12723004772</v>
      </c>
      <c r="M5504" s="38" t="n">
        <f aca="false">Sens!$M$5409</f>
        <v>420.133591550106</v>
      </c>
      <c r="N5504" s="38" t="n">
        <f aca="false">Sens!$N$5409</f>
        <v>118.892</v>
      </c>
      <c r="O5504" s="38" t="n">
        <f aca="false">Sens!$O$5409</f>
        <v>150.395</v>
      </c>
    </row>
    <row r="5505" customFormat="false" ht="15" hidden="false" customHeight="false" outlineLevel="0" collapsed="false">
      <c r="A5505" s="0" t="s">
        <v>520</v>
      </c>
      <c r="B5505" s="0" t="s">
        <v>86</v>
      </c>
      <c r="C5505" s="38" t="n">
        <f aca="false">Sens!$C$5411</f>
        <v>21.215</v>
      </c>
      <c r="D5505" s="38" t="n">
        <f aca="false">Sens!$D$5411</f>
        <v>22.561</v>
      </c>
      <c r="E5505" s="38" t="n">
        <f aca="false">Sens!$E$5411</f>
        <v>11.579</v>
      </c>
      <c r="F5505" s="38" t="n">
        <f aca="false">Sens!$F$5411</f>
        <v>11.5938724610325</v>
      </c>
      <c r="G5505" s="38" t="n">
        <f aca="false">Sens!$G$5411</f>
        <v>23.1728724610325</v>
      </c>
      <c r="H5505" s="38" t="n">
        <f aca="false">Sens!$H$5411</f>
        <v>24.353392759506</v>
      </c>
      <c r="I5505" s="38" t="n">
        <f aca="false">Sens!$I$5411</f>
        <v>25.4240338872015</v>
      </c>
      <c r="J5505" s="38" t="n">
        <f aca="false">Sens!$J$5411</f>
        <v>26.3642491017174</v>
      </c>
      <c r="K5505" s="38" t="n">
        <f aca="false">Sens!$K$5411</f>
        <v>27.155176574769</v>
      </c>
      <c r="L5505" s="38" t="n">
        <f aca="false">Sens!$L$5411</f>
        <v>27.969831872012</v>
      </c>
      <c r="M5505" s="38" t="n">
        <f aca="false">Sens!$M$5411</f>
        <v>28.8089268281724</v>
      </c>
      <c r="N5505" s="38" t="n">
        <f aca="false">Sens!$N$5411</f>
        <v>11.128</v>
      </c>
      <c r="O5505" s="38" t="n">
        <f aca="false">Sens!$O$5411</f>
        <v>11.433</v>
      </c>
    </row>
    <row r="5506" customFormat="false" ht="15" hidden="false" customHeight="false" outlineLevel="0" collapsed="false">
      <c r="A5506" s="0" t="s">
        <v>521</v>
      </c>
      <c r="B5506" s="0" t="s">
        <v>86</v>
      </c>
      <c r="C5506" s="38" t="n">
        <f aca="false">Sens!$C$5413</f>
        <v>156.146</v>
      </c>
      <c r="D5506" s="38" t="n">
        <f aca="false">Sens!$D$5413</f>
        <v>172.162</v>
      </c>
      <c r="E5506" s="38" t="n">
        <f aca="false">Sens!$E$5413</f>
        <v>88.358</v>
      </c>
      <c r="F5506" s="38" t="n">
        <f aca="false">Sens!$F$5413</f>
        <v>102.004388260171</v>
      </c>
      <c r="G5506" s="38" t="n">
        <f aca="false">Sens!$G$5413</f>
        <v>190.362388260171</v>
      </c>
      <c r="H5506" s="38" t="n">
        <f aca="false">Sens!$H$5413</f>
        <v>210.343106588311</v>
      </c>
      <c r="I5506" s="38" t="n">
        <f aca="false">Sens!$I$5413</f>
        <v>229.969728494648</v>
      </c>
      <c r="J5506" s="38" t="n">
        <f aca="false">Sens!$J$5413</f>
        <v>248.747636972598</v>
      </c>
      <c r="K5506" s="38" t="n">
        <f aca="false">Sens!$K$5413</f>
        <v>266.15997156068</v>
      </c>
      <c r="L5506" s="38" t="n">
        <f aca="false">Sens!$L$5413</f>
        <v>284.791169569927</v>
      </c>
      <c r="M5506" s="38" t="n">
        <f aca="false">Sens!$M$5413</f>
        <v>304.726551439822</v>
      </c>
      <c r="N5506" s="38" t="n">
        <f aca="false">Sens!$N$5413</f>
        <v>76.86</v>
      </c>
      <c r="O5506" s="38" t="n">
        <f aca="false">Sens!$O$5413</f>
        <v>95.302</v>
      </c>
    </row>
    <row r="5507" customFormat="false" ht="15" hidden="false" customHeight="false" outlineLevel="0" collapsed="false">
      <c r="A5507" s="0" t="s">
        <v>522</v>
      </c>
      <c r="B5507" s="0" t="s">
        <v>86</v>
      </c>
      <c r="C5507" s="38" t="n">
        <f aca="false">Sens!$C$5415</f>
        <v>56.214</v>
      </c>
      <c r="D5507" s="38" t="n">
        <f aca="false">Sens!$D$5415</f>
        <v>68.635</v>
      </c>
      <c r="E5507" s="38" t="n">
        <f aca="false">Sens!$E$5415</f>
        <v>37.052</v>
      </c>
      <c r="F5507" s="38" t="n">
        <f aca="false">Sens!$F$5415</f>
        <v>46.1572219944148</v>
      </c>
      <c r="G5507" s="38" t="n">
        <f aca="false">Sens!$G$5415</f>
        <v>83.2092219944148</v>
      </c>
      <c r="H5507" s="38" t="n">
        <f aca="false">Sens!$H$5415</f>
        <v>99.8969223878976</v>
      </c>
      <c r="I5507" s="38" t="n">
        <f aca="false">Sens!$I$5415</f>
        <v>116.583111095496</v>
      </c>
      <c r="J5507" s="38" t="n">
        <f aca="false">Sens!$J$5415</f>
        <v>132.148941941952</v>
      </c>
      <c r="K5507" s="38" t="n">
        <f aca="false">Sens!$K$5415</f>
        <v>145.363836136147</v>
      </c>
      <c r="L5507" s="38" t="n">
        <f aca="false">Sens!$L$5415</f>
        <v>159.900219749762</v>
      </c>
      <c r="M5507" s="38" t="n">
        <f aca="false">Sens!$M$5415</f>
        <v>175.890241724738</v>
      </c>
      <c r="N5507" s="38" t="n">
        <f aca="false">Sens!$N$5415</f>
        <v>29.615</v>
      </c>
      <c r="O5507" s="38" t="n">
        <f aca="false">Sens!$O$5415</f>
        <v>39.02</v>
      </c>
    </row>
    <row r="5508" customFormat="false" ht="15" hidden="false" customHeight="false" outlineLevel="0" collapsed="false">
      <c r="A5508" s="0" t="s">
        <v>523</v>
      </c>
      <c r="B5508" s="0" t="s">
        <v>86</v>
      </c>
      <c r="C5508" s="38" t="n">
        <f aca="false">Sens!$C$5417</f>
        <v>44.374</v>
      </c>
      <c r="D5508" s="38" t="n">
        <f aca="false">Sens!$D$5417</f>
        <v>49.619</v>
      </c>
      <c r="E5508" s="38" t="n">
        <f aca="false">Sens!$E$5417</f>
        <v>27.157</v>
      </c>
      <c r="F5508" s="38" t="n">
        <f aca="false">Sens!$F$5417</f>
        <v>27.7764165988154</v>
      </c>
      <c r="G5508" s="38" t="n">
        <f aca="false">Sens!$G$5417</f>
        <v>54.9334165988154</v>
      </c>
      <c r="H5508" s="38" t="n">
        <f aca="false">Sens!$H$5417</f>
        <v>61.1564112561829</v>
      </c>
      <c r="I5508" s="38" t="n">
        <f aca="false">Sens!$I$5417</f>
        <v>67.2020282103945</v>
      </c>
      <c r="J5508" s="38" t="n">
        <f aca="false">Sens!$J$5417</f>
        <v>72.8757274028885</v>
      </c>
      <c r="K5508" s="38" t="n">
        <f aca="false">Sens!$K$5417</f>
        <v>77.9770283210907</v>
      </c>
      <c r="L5508" s="38" t="n">
        <f aca="false">Sens!$L$5417</f>
        <v>83.4354203035671</v>
      </c>
      <c r="M5508" s="38" t="n">
        <f aca="false">Sens!$M$5417</f>
        <v>89.2758997248168</v>
      </c>
      <c r="N5508" s="38" t="n">
        <f aca="false">Sens!$N$5417</f>
        <v>23.923</v>
      </c>
      <c r="O5508" s="38" t="n">
        <f aca="false">Sens!$O$5417</f>
        <v>25.696</v>
      </c>
    </row>
    <row r="5509" customFormat="false" ht="15" hidden="false" customHeight="false" outlineLevel="0" collapsed="false">
      <c r="A5509" s="0" t="s">
        <v>524</v>
      </c>
      <c r="B5509" s="0" t="s">
        <v>86</v>
      </c>
      <c r="C5509" s="38" t="n">
        <f aca="false">Sens!$C$5419</f>
        <v>5.425</v>
      </c>
      <c r="D5509" s="38" t="n">
        <f aca="false">Sens!$D$5419</f>
        <v>5.935</v>
      </c>
      <c r="E5509" s="38" t="n">
        <f aca="false">Sens!$E$5419</f>
        <v>3.474</v>
      </c>
      <c r="F5509" s="38" t="n">
        <f aca="false">Sens!$F$5419</f>
        <v>3.22246550883619</v>
      </c>
      <c r="G5509" s="38" t="n">
        <f aca="false">Sens!$G$5419</f>
        <v>6.69646550883619</v>
      </c>
      <c r="H5509" s="38" t="n">
        <f aca="false">Sens!$H$5419</f>
        <v>7.16251344209196</v>
      </c>
      <c r="I5509" s="38" t="n">
        <f aca="false">Sens!$I$5419</f>
        <v>7.61421070299826</v>
      </c>
      <c r="J5509" s="38" t="n">
        <f aca="false">Sens!$J$5419</f>
        <v>8.04465753523932</v>
      </c>
      <c r="K5509" s="38" t="n">
        <f aca="false">Sens!$K$5419</f>
        <v>8.44689041200128</v>
      </c>
      <c r="L5509" s="38" t="n">
        <f aca="false">Sens!$L$5419</f>
        <v>8.86923493260135</v>
      </c>
      <c r="M5509" s="38" t="n">
        <f aca="false">Sens!$M$5419</f>
        <v>9.31269667923142</v>
      </c>
      <c r="N5509" s="38" t="n">
        <f aca="false">Sens!$N$5419</f>
        <v>2.811</v>
      </c>
      <c r="O5509" s="38" t="n">
        <f aca="false">Sens!$O$5419</f>
        <v>3.124</v>
      </c>
    </row>
    <row r="5510" customFormat="false" ht="17.15" hidden="false" customHeight="false" outlineLevel="0" collapsed="false">
      <c r="A5510" s="0" t="s">
        <v>717</v>
      </c>
      <c r="B5510" s="0" t="s">
        <v>86</v>
      </c>
      <c r="C5510" s="38" t="n">
        <f aca="false">Sens!$C$5491</f>
        <v>107.556</v>
      </c>
      <c r="D5510" s="38" t="n">
        <f aca="false">Sens!$D$5491</f>
        <v>128.725</v>
      </c>
      <c r="E5510" s="38" t="n">
        <f aca="false">Sens!$E$5491</f>
        <v>79.819</v>
      </c>
      <c r="F5510" s="38" t="n">
        <f aca="false">Sens!$F$5491</f>
        <v>86.7327334389669</v>
      </c>
      <c r="G5510" s="38" t="n">
        <f aca="false">Sens!$G$5491</f>
        <v>166.551733438967</v>
      </c>
      <c r="H5510" s="38" t="n">
        <f aca="false">Sens!$H$5491</f>
        <v>221.182967828978</v>
      </c>
      <c r="I5510" s="38" t="n">
        <f aca="false">Sens!$I$5491</f>
        <v>280.27345865789</v>
      </c>
      <c r="J5510" s="38" t="n">
        <f aca="false">Sens!$J$5491</f>
        <v>338.800945197185</v>
      </c>
      <c r="K5510" s="38" t="n">
        <f aca="false">Sens!$K$5491</f>
        <v>389.599699375015</v>
      </c>
      <c r="L5510" s="38" t="n">
        <f aca="false">Sens!$L$5491</f>
        <v>428.943490119887</v>
      </c>
      <c r="M5510" s="38" t="n">
        <f aca="false">Sens!$M$5491</f>
        <v>456.901465525587</v>
      </c>
      <c r="N5510" s="38" t="n">
        <f aca="false">Sens!$N$5491</f>
        <v>60.14</v>
      </c>
      <c r="O5510" s="38" t="n">
        <f aca="false">Sens!$O$5491</f>
        <v>68.585</v>
      </c>
    </row>
    <row r="5511" customFormat="false" ht="15" hidden="false" customHeight="false" outlineLevel="0" collapsed="false">
      <c r="A5511" s="1" t="s">
        <v>512</v>
      </c>
      <c r="B5511" s="8" t="s">
        <v>86</v>
      </c>
      <c r="C5511" s="38" t="n">
        <f aca="false">Sens!$C$5424</f>
        <v>387.497</v>
      </c>
      <c r="D5511" s="38" t="n">
        <f aca="false">Sens!$D$5424</f>
        <v>426.305</v>
      </c>
      <c r="E5511" s="38" t="n">
        <f aca="false">Sens!$E$5424</f>
        <v>220.32</v>
      </c>
      <c r="F5511" s="38" t="n">
        <f aca="false">Sens!$F$5424</f>
        <v>250.639773480586</v>
      </c>
      <c r="G5511" s="38" t="n">
        <f aca="false">Sens!$G$5424</f>
        <v>470.959773480586</v>
      </c>
      <c r="H5511" s="38" t="n">
        <f aca="false">Sens!$H$5424</f>
        <v>521.386990416437</v>
      </c>
      <c r="I5511" s="38" t="n">
        <f aca="false">Sens!$I$5424</f>
        <v>570.143862887555</v>
      </c>
      <c r="J5511" s="38" t="n">
        <f aca="false">Sens!$J$5424</f>
        <v>615.391435791933</v>
      </c>
      <c r="K5511" s="38" t="n">
        <f aca="false">Sens!$K$5424</f>
        <v>655.208227561543</v>
      </c>
      <c r="L5511" s="38" t="n">
        <f aca="false">Sens!$L$5424</f>
        <v>697.807739249767</v>
      </c>
      <c r="M5511" s="38" t="n">
        <f aca="false">Sens!$M$5424</f>
        <v>743.399328463592</v>
      </c>
      <c r="N5511" s="38" t="n">
        <f aca="false">Sens!$N$5424</f>
        <v>192.955</v>
      </c>
      <c r="O5511" s="38" t="n">
        <f aca="false">Sens!$O$5424</f>
        <v>233.35</v>
      </c>
    </row>
    <row r="5512" customFormat="false" ht="15" hidden="false" customHeight="false" outlineLevel="0" collapsed="false">
      <c r="A5512" s="1" t="s">
        <v>515</v>
      </c>
      <c r="B5512" s="8" t="s">
        <v>86</v>
      </c>
      <c r="C5512" s="38" t="n">
        <f aca="false">Sens!$C$5425</f>
        <v>142.906</v>
      </c>
      <c r="D5512" s="38" t="n">
        <f aca="false">Sens!$D$5425</f>
        <v>161.894</v>
      </c>
      <c r="E5512" s="38" t="n">
        <f aca="false">Sens!$E$5425</f>
        <v>81.986</v>
      </c>
      <c r="F5512" s="38" t="n">
        <f aca="false">Sens!$F$5425</f>
        <v>98.408468164951</v>
      </c>
      <c r="G5512" s="38" t="n">
        <f aca="false">Sens!$G$5425</f>
        <v>180.394468164951</v>
      </c>
      <c r="H5512" s="38" t="n">
        <f aca="false">Sens!$H$5425</f>
        <v>199.709899104949</v>
      </c>
      <c r="I5512" s="38" t="n">
        <f aca="false">Sens!$I$5425</f>
        <v>218.385528264976</v>
      </c>
      <c r="J5512" s="38" t="n">
        <f aca="false">Sens!$J$5425</f>
        <v>235.71696994951</v>
      </c>
      <c r="K5512" s="38" t="n">
        <f aca="false">Sens!$K$5425</f>
        <v>250.968227869545</v>
      </c>
      <c r="L5512" s="38" t="n">
        <f aca="false">Sens!$L$5425</f>
        <v>267.285367225822</v>
      </c>
      <c r="M5512" s="38" t="n">
        <f aca="false">Sens!$M$5425</f>
        <v>284.748579483295</v>
      </c>
      <c r="N5512" s="38" t="n">
        <f aca="false">Sens!$N$5425</f>
        <v>70.274</v>
      </c>
      <c r="O5512" s="38" t="n">
        <f aca="false">Sens!$O$5425</f>
        <v>91.62</v>
      </c>
    </row>
    <row r="5513" customFormat="false" ht="15" hidden="false" customHeight="false" outlineLevel="0" collapsed="false">
      <c r="A5513" s="1" t="s">
        <v>516</v>
      </c>
      <c r="B5513" s="8" t="s">
        <v>86</v>
      </c>
      <c r="C5513" s="38" t="n">
        <f aca="false">Sens!$C$5491</f>
        <v>107.556</v>
      </c>
      <c r="D5513" s="38" t="n">
        <f aca="false">Sens!$D$5491</f>
        <v>128.725</v>
      </c>
      <c r="E5513" s="38" t="n">
        <f aca="false">Sens!$E$5491</f>
        <v>79.819</v>
      </c>
      <c r="F5513" s="38" t="n">
        <f aca="false">Sens!$F$5491</f>
        <v>86.7327334389669</v>
      </c>
      <c r="G5513" s="38" t="n">
        <f aca="false">Sens!$G$5491</f>
        <v>166.551733438967</v>
      </c>
      <c r="H5513" s="38" t="n">
        <f aca="false">Sens!$H$5491</f>
        <v>221.182967828978</v>
      </c>
      <c r="I5513" s="38" t="n">
        <f aca="false">Sens!$I$5491</f>
        <v>280.27345865789</v>
      </c>
      <c r="J5513" s="38" t="n">
        <f aca="false">Sens!$J$5491</f>
        <v>338.800945197185</v>
      </c>
      <c r="K5513" s="38" t="n">
        <f aca="false">Sens!$K$5491</f>
        <v>389.599699375015</v>
      </c>
      <c r="L5513" s="38" t="n">
        <f aca="false">Sens!$L$5491</f>
        <v>428.943490119887</v>
      </c>
      <c r="M5513" s="38" t="n">
        <f aca="false">Sens!$M$5491</f>
        <v>456.901465525587</v>
      </c>
      <c r="N5513" s="38" t="n">
        <f aca="false">Sens!$N$5491</f>
        <v>60.14</v>
      </c>
      <c r="O5513" s="38" t="n">
        <f aca="false">Sens!$O$5491</f>
        <v>68.585</v>
      </c>
    </row>
    <row r="5514" customFormat="false" ht="17.15" hidden="false" customHeight="false" outlineLevel="0" collapsed="false">
      <c r="A5514" s="0" t="s">
        <v>691</v>
      </c>
      <c r="B5514" s="0" t="s">
        <v>86</v>
      </c>
      <c r="C5514" s="38" t="n">
        <f aca="false">Sens!$C$5489</f>
        <v>2.32100535697364</v>
      </c>
      <c r="D5514" s="38" t="n">
        <f aca="false">Sens!$D$5489</f>
        <v>8.70377008865116</v>
      </c>
      <c r="E5514" s="38" t="n">
        <f aca="false">Sens!$E$5489</f>
        <v>8.51035297557002</v>
      </c>
      <c r="F5514" s="38" t="n">
        <f aca="false">Sens!$F$5489</f>
        <v>14.9634336447205</v>
      </c>
      <c r="G5514" s="38" t="n">
        <f aca="false">Sens!$G$5489</f>
        <v>23.4737866202905</v>
      </c>
      <c r="H5514" s="38" t="n">
        <f aca="false">Sens!$H$5489</f>
        <v>60.1658907497746</v>
      </c>
      <c r="I5514" s="38" t="n">
        <f aca="false">Sens!$I$5489</f>
        <v>101.503699136432</v>
      </c>
      <c r="J5514" s="38" t="n">
        <f aca="false">Sens!$J$5489</f>
        <v>143.025407151278</v>
      </c>
      <c r="K5514" s="38" t="n">
        <f aca="false">Sens!$K$5489</f>
        <v>178.162118285436</v>
      </c>
      <c r="L5514" s="38" t="n">
        <f aca="false">Sens!$L$5489</f>
        <v>200.590902543141</v>
      </c>
      <c r="M5514" s="38" t="n">
        <f aca="false">Sens!$M$5489</f>
        <v>210.280670942702</v>
      </c>
      <c r="N5514" s="38" t="n">
        <f aca="false">Sens!$N$5489</f>
        <v>3.04631953102791</v>
      </c>
      <c r="O5514" s="38" t="n">
        <f aca="false">Sens!$O$5489</f>
        <v>5.65745055762326</v>
      </c>
    </row>
    <row r="5515" customFormat="false" ht="17.15" hidden="false" customHeight="false" outlineLevel="0" collapsed="false">
      <c r="A5515" s="0" t="s">
        <v>693</v>
      </c>
      <c r="B5515" s="0" t="s">
        <v>86</v>
      </c>
      <c r="C5515" s="38" t="n">
        <f aca="false">Sens!$C$5490</f>
        <v>105.234994643026</v>
      </c>
      <c r="D5515" s="38" t="n">
        <f aca="false">Sens!$D$5490</f>
        <v>120.021229911349</v>
      </c>
      <c r="E5515" s="38" t="n">
        <f aca="false">Sens!$E$5490</f>
        <v>71.30864702443</v>
      </c>
      <c r="F5515" s="38" t="n">
        <f aca="false">Sens!$F$5490</f>
        <v>71.7692997942464</v>
      </c>
      <c r="G5515" s="38" t="n">
        <f aca="false">Sens!$G$5490</f>
        <v>143.077946818676</v>
      </c>
      <c r="H5515" s="38" t="n">
        <f aca="false">Sens!$H$5490</f>
        <v>161.017077079203</v>
      </c>
      <c r="I5515" s="38" t="n">
        <f aca="false">Sens!$I$5490</f>
        <v>178.769759521457</v>
      </c>
      <c r="J5515" s="38" t="n">
        <f aca="false">Sens!$J$5490</f>
        <v>195.775538045907</v>
      </c>
      <c r="K5515" s="38" t="n">
        <f aca="false">Sens!$K$5490</f>
        <v>211.43758108958</v>
      </c>
      <c r="L5515" s="38" t="n">
        <f aca="false">Sens!$L$5490</f>
        <v>228.352587576746</v>
      </c>
      <c r="M5515" s="38" t="n">
        <f aca="false">Sens!$M$5490</f>
        <v>246.620794582886</v>
      </c>
      <c r="N5515" s="38" t="n">
        <f aca="false">Sens!$N$5490</f>
        <v>57.0936804689721</v>
      </c>
      <c r="O5515" s="38" t="n">
        <f aca="false">Sens!$O$5490</f>
        <v>62.9275494423768</v>
      </c>
    </row>
    <row r="5516" customFormat="false" ht="15" hidden="false" customHeight="false" outlineLevel="0" collapsed="false">
      <c r="A5516" s="3" t="s">
        <v>517</v>
      </c>
      <c r="B5516" s="8" t="s">
        <v>86</v>
      </c>
      <c r="C5516" s="38" t="n">
        <f aca="false">Sens!$C$5492</f>
        <v>637.959</v>
      </c>
      <c r="D5516" s="38" t="n">
        <f aca="false">Sens!$D$5492</f>
        <v>716.924</v>
      </c>
      <c r="E5516" s="38" t="n">
        <f aca="false">Sens!$E$5492</f>
        <v>382.125</v>
      </c>
      <c r="F5516" s="38" t="n">
        <f aca="false">Sens!$F$5492</f>
        <v>435.780975084504</v>
      </c>
      <c r="G5516" s="38" t="n">
        <f aca="false">Sens!$G$5492</f>
        <v>817.905975084504</v>
      </c>
      <c r="H5516" s="38" t="n">
        <f aca="false">Sens!$H$5492</f>
        <v>942.279857350364</v>
      </c>
      <c r="I5516" s="38" t="n">
        <f aca="false">Sens!$I$5492</f>
        <v>1068.80284981042</v>
      </c>
      <c r="J5516" s="38" t="n">
        <f aca="false">Sens!$J$5492</f>
        <v>1189.90935093863</v>
      </c>
      <c r="K5516" s="38" t="n">
        <f aca="false">Sens!$K$5492</f>
        <v>1295.7761548061</v>
      </c>
      <c r="L5516" s="38" t="n">
        <f aca="false">Sens!$L$5492</f>
        <v>1394.03659659548</v>
      </c>
      <c r="M5516" s="38" t="n">
        <f aca="false">Sens!$M$5492</f>
        <v>1485.04937347247</v>
      </c>
      <c r="N5516" s="38" t="n">
        <f aca="false">Sens!$N$5492</f>
        <v>323.369</v>
      </c>
      <c r="O5516" s="38" t="n">
        <f aca="false">Sens!$O$5492</f>
        <v>393.555</v>
      </c>
    </row>
    <row r="5517" customFormat="false" ht="17.15" hidden="false" customHeight="false" outlineLevel="0" collapsed="false">
      <c r="A5517" s="24" t="s">
        <v>703</v>
      </c>
      <c r="B5517" s="25" t="s">
        <v>86</v>
      </c>
      <c r="C5517" s="41" t="n">
        <f aca="false">Sens!$C$5504+Sens!$C$5505+Sens!$C$5506+Sens!$C$5507+Sens!$C$5508+Sens!$C$5509-(Sens!$C$5511+Sens!$C$5512)</f>
        <v>0</v>
      </c>
      <c r="D5517" s="41" t="n">
        <f aca="false">Sens!$D$5504+Sens!$D$5505+Sens!$D$5506+Sens!$D$5507+Sens!$D$5508+Sens!$D$5509-(Sens!$D$5511+Sens!$D$5512)</f>
        <v>0</v>
      </c>
      <c r="E5517" s="41" t="n">
        <f aca="false">Sens!$E$5504+Sens!$E$5505+Sens!$E$5506+Sens!$E$5507+Sens!$E$5508+Sens!$E$5509-(Sens!$E$5511+Sens!$E$5512)</f>
        <v>0</v>
      </c>
      <c r="F5517" s="41" t="n">
        <f aca="false">Sens!$F$5504+Sens!$F$5505+Sens!$F$5506+Sens!$F$5507+Sens!$F$5508+Sens!$F$5509-(Sens!$F$5511+Sens!$F$5512)</f>
        <v>0</v>
      </c>
      <c r="G5517" s="41" t="n">
        <f aca="false">Sens!$G$5504+Sens!$G$5505+Sens!$G$5506+Sens!$G$5507+Sens!$G$5508+Sens!$G$5509-(Sens!$G$5511+Sens!$G$5512)</f>
        <v>0</v>
      </c>
      <c r="H5517" s="41" t="n">
        <f aca="false">Sens!$H$5504+Sens!$H$5505+Sens!$H$5506+Sens!$H$5507+Sens!$H$5508+Sens!$H$5509-(Sens!$H$5511+Sens!$H$5512)</f>
        <v>0</v>
      </c>
      <c r="I5517" s="41" t="n">
        <f aca="false">Sens!$I$5504+Sens!$I$5505+Sens!$I$5506+Sens!$I$5507+Sens!$I$5508+Sens!$I$5509-(Sens!$I$5511+Sens!$I$5512)</f>
        <v>0</v>
      </c>
      <c r="J5517" s="41" t="n">
        <f aca="false">Sens!$J$5504+Sens!$J$5505+Sens!$J$5506+Sens!$J$5507+Sens!$J$5508+Sens!$J$5509-(Sens!$J$5511+Sens!$J$5512)</f>
        <v>0</v>
      </c>
      <c r="K5517" s="41" t="n">
        <f aca="false">Sens!$K$5504+Sens!$K$5505+Sens!$K$5506+Sens!$K$5507+Sens!$K$5508+Sens!$K$5509-(Sens!$K$5511+Sens!$K$5512)</f>
        <v>0</v>
      </c>
      <c r="L5517" s="41" t="n">
        <f aca="false">Sens!$L$5504+Sens!$L$5505+Sens!$L$5506+Sens!$L$5507+Sens!$L$5508+Sens!$L$5509-(Sens!$L$5511+Sens!$L$5512)</f>
        <v>0</v>
      </c>
      <c r="M5517" s="41" t="n">
        <f aca="false">Sens!$M$5504+Sens!$M$5505+Sens!$M$5506+Sens!$M$5507+Sens!$M$5508+Sens!$M$5509-(Sens!$M$5511+Sens!$M$5512)</f>
        <v>0</v>
      </c>
      <c r="N5517" s="41" t="n">
        <f aca="false">Sens!$N$5504+Sens!$N$5505+Sens!$N$5506+Sens!$N$5507+Sens!$N$5508+Sens!$N$5509-(Sens!$N$5511+Sens!$N$5512)</f>
        <v>0</v>
      </c>
      <c r="O5517" s="41" t="n">
        <f aca="false">Sens!$O$5504+Sens!$O$5505+Sens!$O$5506+Sens!$O$5507+Sens!$O$5508+Sens!$O$5509-(Sens!$O$5511+Sens!$O$5512)</f>
        <v>0</v>
      </c>
    </row>
    <row r="5518" customFormat="false" ht="17.15" hidden="false" customHeight="false" outlineLevel="0" collapsed="false">
      <c r="A5518" s="24" t="s">
        <v>704</v>
      </c>
      <c r="B5518" s="25" t="s">
        <v>86</v>
      </c>
      <c r="C5518" s="41" t="n">
        <f aca="false">Sens!$C$5514+Sens!$C$5515-Sens!$C$5513</f>
        <v>0</v>
      </c>
      <c r="D5518" s="41" t="n">
        <f aca="false">Sens!$D$5514+Sens!$D$5515-Sens!$D$5513</f>
        <v>0</v>
      </c>
      <c r="E5518" s="41" t="n">
        <f aca="false">Sens!$E$5514+Sens!$E$5515-Sens!$E$5513</f>
        <v>0</v>
      </c>
      <c r="F5518" s="41" t="n">
        <f aca="false">Sens!$F$5514+Sens!$F$5515-Sens!$F$5513</f>
        <v>0</v>
      </c>
      <c r="G5518" s="41" t="n">
        <f aca="false">Sens!$G$5514+Sens!$G$5515-Sens!$G$5513</f>
        <v>0</v>
      </c>
      <c r="H5518" s="41" t="n">
        <f aca="false">Sens!$H$5514+Sens!$H$5515-Sens!$H$5513</f>
        <v>0</v>
      </c>
      <c r="I5518" s="41" t="n">
        <f aca="false">Sens!$I$5514+Sens!$I$5515-Sens!$I$5513</f>
        <v>0</v>
      </c>
      <c r="J5518" s="41" t="n">
        <f aca="false">Sens!$J$5514+Sens!$J$5515-Sens!$J$5513</f>
        <v>0</v>
      </c>
      <c r="K5518" s="41" t="n">
        <f aca="false">Sens!$K$5514+Sens!$K$5515-Sens!$K$5513</f>
        <v>0</v>
      </c>
      <c r="L5518" s="41" t="n">
        <f aca="false">Sens!$L$5514+Sens!$L$5515-Sens!$L$5513</f>
        <v>0</v>
      </c>
      <c r="M5518" s="41" t="n">
        <f aca="false">Sens!$M$5514+Sens!$M$5515-Sens!$M$5513</f>
        <v>0</v>
      </c>
      <c r="N5518" s="41" t="n">
        <f aca="false">Sens!$N$5514+Sens!$N$5515-Sens!$N$5513</f>
        <v>0</v>
      </c>
      <c r="O5518" s="41" t="n">
        <f aca="false">Sens!$O$5514+Sens!$O$5515-Sens!$O$5513</f>
        <v>0</v>
      </c>
    </row>
    <row r="5519" customFormat="false" ht="17.15" hidden="false" customHeight="false" outlineLevel="0" collapsed="false">
      <c r="A5519" s="24" t="s">
        <v>763</v>
      </c>
      <c r="B5519" s="25" t="s">
        <v>86</v>
      </c>
      <c r="C5519" s="41" t="n">
        <f aca="false">Sens!$C$5504+Sens!$C$5505+Sens!$C$5506+Sens!$C$5507+Sens!$C$5508+Sens!$C$5509+Sens!$C$5510-Sens!$C$5516</f>
        <v>0</v>
      </c>
      <c r="D5519" s="41" t="n">
        <f aca="false">Sens!$D$5504+Sens!$D$5505+Sens!$D$5506+Sens!$D$5507+Sens!$D$5508+Sens!$D$5509+Sens!$D$5510-Sens!$D$5516</f>
        <v>0</v>
      </c>
      <c r="E5519" s="41" t="n">
        <f aca="false">Sens!$E$5504+Sens!$E$5505+Sens!$E$5506+Sens!$E$5507+Sens!$E$5508+Sens!$E$5509+Sens!$E$5510-Sens!$E$5516</f>
        <v>0</v>
      </c>
      <c r="F5519" s="41" t="n">
        <f aca="false">Sens!$F$5504+Sens!$F$5505+Sens!$F$5506+Sens!$F$5507+Sens!$F$5508+Sens!$F$5509+Sens!$F$5510-Sens!$F$5516</f>
        <v>0</v>
      </c>
      <c r="G5519" s="41" t="n">
        <f aca="false">Sens!$G$5504+Sens!$G$5505+Sens!$G$5506+Sens!$G$5507+Sens!$G$5508+Sens!$G$5509+Sens!$G$5510-Sens!$G$5516</f>
        <v>0</v>
      </c>
      <c r="H5519" s="41" t="n">
        <f aca="false">Sens!$H$5504+Sens!$H$5505+Sens!$H$5506+Sens!$H$5507+Sens!$H$5508+Sens!$H$5509+Sens!$H$5510-Sens!$H$5516</f>
        <v>0</v>
      </c>
      <c r="I5519" s="41" t="n">
        <f aca="false">Sens!$I$5504+Sens!$I$5505+Sens!$I$5506+Sens!$I$5507+Sens!$I$5508+Sens!$I$5509+Sens!$I$5510-Sens!$I$5516</f>
        <v>0</v>
      </c>
      <c r="J5519" s="41" t="n">
        <f aca="false">Sens!$J$5504+Sens!$J$5505+Sens!$J$5506+Sens!$J$5507+Sens!$J$5508+Sens!$J$5509+Sens!$J$5510-Sens!$J$5516</f>
        <v>0</v>
      </c>
      <c r="K5519" s="41" t="n">
        <f aca="false">Sens!$K$5504+Sens!$K$5505+Sens!$K$5506+Sens!$K$5507+Sens!$K$5508+Sens!$K$5509+Sens!$K$5510-Sens!$K$5516</f>
        <v>0</v>
      </c>
      <c r="L5519" s="41" t="n">
        <f aca="false">Sens!$L$5504+Sens!$L$5505+Sens!$L$5506+Sens!$L$5507+Sens!$L$5508+Sens!$L$5509+Sens!$L$5510-Sens!$L$5516</f>
        <v>0</v>
      </c>
      <c r="M5519" s="41" t="n">
        <f aca="false">Sens!$M$5504+Sens!$M$5505+Sens!$M$5506+Sens!$M$5507+Sens!$M$5508+Sens!$M$5509+Sens!$M$5510-Sens!$M$5516</f>
        <v>0</v>
      </c>
      <c r="N5519" s="41" t="n">
        <f aca="false">Sens!$N$5504+Sens!$N$5505+Sens!$N$5506+Sens!$N$5507+Sens!$N$5508+Sens!$N$5509+Sens!$N$5510-Sens!$N$5516</f>
        <v>0</v>
      </c>
      <c r="O5519" s="41" t="n">
        <f aca="false">Sens!$O$5504+Sens!$O$5505+Sens!$O$5506+Sens!$O$5507+Sens!$O$5508+Sens!$O$5509+Sens!$O$5510-Sens!$O$5516</f>
        <v>0</v>
      </c>
    </row>
    <row r="5520" customFormat="false" ht="17.15" hidden="false" customHeight="false" outlineLevel="0" collapsed="false">
      <c r="A5520" s="24" t="s">
        <v>705</v>
      </c>
      <c r="B5520" s="25" t="s">
        <v>86</v>
      </c>
      <c r="C5520" s="41" t="n">
        <f aca="false">Sens!$C$5511+Sens!$C$5512+Sens!$C$5513-Sens!$C$5516</f>
        <v>0</v>
      </c>
      <c r="D5520" s="41" t="n">
        <f aca="false">Sens!$D$5511+Sens!$D$5512+Sens!$D$5513-Sens!$D$5516</f>
        <v>0</v>
      </c>
      <c r="E5520" s="41" t="n">
        <f aca="false">Sens!$E$5511+Sens!$E$5512+Sens!$E$5513-Sens!$E$5516</f>
        <v>0</v>
      </c>
      <c r="F5520" s="41" t="n">
        <f aca="false">Sens!$F$5511+Sens!$F$5512+Sens!$F$5513-Sens!$F$5516</f>
        <v>0</v>
      </c>
      <c r="G5520" s="41" t="n">
        <f aca="false">Sens!$G$5511+Sens!$G$5512+Sens!$G$5513-Sens!$G$5516</f>
        <v>0</v>
      </c>
      <c r="H5520" s="41" t="n">
        <f aca="false">Sens!$H$5511+Sens!$H$5512+Sens!$H$5513-Sens!$H$5516</f>
        <v>0</v>
      </c>
      <c r="I5520" s="41" t="n">
        <f aca="false">Sens!$I$5511+Sens!$I$5512+Sens!$I$5513-Sens!$I$5516</f>
        <v>0</v>
      </c>
      <c r="J5520" s="41" t="n">
        <f aca="false">Sens!$J$5511+Sens!$J$5512+Sens!$J$5513-Sens!$J$5516</f>
        <v>0</v>
      </c>
      <c r="K5520" s="41" t="n">
        <f aca="false">Sens!$K$5511+Sens!$K$5512+Sens!$K$5513-Sens!$K$5516</f>
        <v>0</v>
      </c>
      <c r="L5520" s="41" t="n">
        <f aca="false">Sens!$L$5511+Sens!$L$5512+Sens!$L$5513-Sens!$L$5516</f>
        <v>0</v>
      </c>
      <c r="M5520" s="41" t="n">
        <f aca="false">Sens!$M$5511+Sens!$M$5512+Sens!$M$5513-Sens!$M$5516</f>
        <v>0</v>
      </c>
      <c r="N5520" s="41" t="n">
        <f aca="false">Sens!$N$5511+Sens!$N$5512+Sens!$N$5513-Sens!$N$5516</f>
        <v>0</v>
      </c>
      <c r="O5520" s="41" t="n">
        <f aca="false">Sens!$O$5511+Sens!$O$5512+Sens!$O$5513-Sens!$O$5516</f>
        <v>0</v>
      </c>
    </row>
    <row r="5521" customFormat="false" ht="17.15" hidden="false" customHeight="false" outlineLevel="0" collapsed="false">
      <c r="A5521" s="1" t="s">
        <v>719</v>
      </c>
    </row>
    <row r="5522" customFormat="false" ht="17.15" hidden="false" customHeight="false" outlineLevel="0" collapsed="false">
      <c r="A5522" s="0" t="s">
        <v>720</v>
      </c>
      <c r="B5522" s="0" t="s">
        <v>86</v>
      </c>
      <c r="C5522" s="38" t="n">
        <f aca="false">Sens!$C$5426*m_ad</f>
        <v>20.5341564414228</v>
      </c>
      <c r="D5522" s="38" t="n">
        <f aca="false">Sens!$D$5426*m_ad</f>
        <v>24.8720617299587</v>
      </c>
      <c r="E5522" s="38" t="n">
        <f aca="false">Sens!$E$5426*m_ad</f>
        <v>13.5017112462207</v>
      </c>
      <c r="F5522" s="38" t="n">
        <f aca="false">Sens!$F$5426*m_ad</f>
        <v>16.5719724165257</v>
      </c>
      <c r="G5522" s="38" t="n">
        <f aca="false">Sens!$G$5426*m_ad</f>
        <v>30.0820919220415</v>
      </c>
      <c r="H5522" s="38" t="n">
        <f aca="false">Sens!$H$5426*m_ad</f>
        <v>36.1150883276314</v>
      </c>
      <c r="I5522" s="38" t="n">
        <f aca="false">Sens!$I$5426*m_ad</f>
        <v>42.1475382231996</v>
      </c>
      <c r="J5522" s="38" t="n">
        <f aca="false">Sens!$J$5426*m_ad</f>
        <v>47.7749523864693</v>
      </c>
      <c r="K5522" s="38" t="n">
        <f aca="false">Sens!$K$5426*m_ad</f>
        <v>52.5524476251162</v>
      </c>
      <c r="L5522" s="38" t="n">
        <f aca="false">Sens!$L$5426*m_ad</f>
        <v>57.8076923876279</v>
      </c>
      <c r="M5522" s="38" t="n">
        <f aca="false">Sens!$M$5426*m_ad</f>
        <v>63.5884616263907</v>
      </c>
      <c r="N5522" s="38" t="n">
        <f aca="false">Sens!$N$5426*m_ad</f>
        <v>10.8543555706248</v>
      </c>
      <c r="O5522" s="38" t="n">
        <f aca="false">Sens!$O$5426*m_ad</f>
        <v>14.0094731821399</v>
      </c>
    </row>
    <row r="5523" customFormat="false" ht="17.15" hidden="false" customHeight="false" outlineLevel="0" collapsed="false">
      <c r="A5523" s="0" t="s">
        <v>721</v>
      </c>
      <c r="B5523" s="0" t="s">
        <v>86</v>
      </c>
      <c r="C5523" s="38" t="n">
        <f aca="false">Sens!$C$5424-Sens!$C$5426</f>
        <v>346.428687117154</v>
      </c>
      <c r="D5523" s="38" t="n">
        <f aca="false">Sens!$D$5424-Sens!$D$5426</f>
        <v>376.560876540083</v>
      </c>
      <c r="E5523" s="38" t="n">
        <f aca="false">Sens!$E$5424-Sens!$E$5426</f>
        <v>193.316577507559</v>
      </c>
      <c r="F5523" s="38" t="n">
        <f aca="false">Sens!$F$5424-Sens!$F$5426</f>
        <v>217.495828647535</v>
      </c>
      <c r="G5523" s="38" t="n">
        <f aca="false">Sens!$G$5424-Sens!$G$5426</f>
        <v>410.795589636503</v>
      </c>
      <c r="H5523" s="38" t="n">
        <f aca="false">Sens!$H$5424-Sens!$H$5426</f>
        <v>449.156813761174</v>
      </c>
      <c r="I5523" s="38" t="n">
        <f aca="false">Sens!$I$5424-Sens!$I$5426</f>
        <v>485.848786441156</v>
      </c>
      <c r="J5523" s="38" t="n">
        <f aca="false">Sens!$J$5424-Sens!$J$5426</f>
        <v>519.841531018994</v>
      </c>
      <c r="K5523" s="38" t="n">
        <f aca="false">Sens!$K$5424-Sens!$K$5426</f>
        <v>550.103332311311</v>
      </c>
      <c r="L5523" s="38" t="n">
        <f aca="false">Sens!$L$5424-Sens!$L$5426</f>
        <v>582.192354474511</v>
      </c>
      <c r="M5523" s="38" t="n">
        <f aca="false">Sens!$M$5424-Sens!$M$5426</f>
        <v>616.22240521081</v>
      </c>
      <c r="N5523" s="38" t="n">
        <f aca="false">Sens!$N$5424-Sens!$N$5426</f>
        <v>171.24628885875</v>
      </c>
      <c r="O5523" s="38" t="n">
        <f aca="false">Sens!$O$5424-Sens!$O$5426</f>
        <v>205.33105363572</v>
      </c>
    </row>
    <row r="5524" customFormat="false" ht="17.15" hidden="false" customHeight="false" outlineLevel="0" collapsed="false">
      <c r="A5524" s="0" t="s">
        <v>722</v>
      </c>
      <c r="B5524" s="0" t="s">
        <v>86</v>
      </c>
      <c r="C5524" s="38" t="n">
        <f aca="false">Sens!$C$5475*Sens!$C$5423</f>
        <v>0.123617442257179</v>
      </c>
      <c r="D5524" s="38" t="n">
        <f aca="false">Sens!$D$5475*Sens!$D$5423</f>
        <v>0.600198046024689</v>
      </c>
      <c r="E5524" s="38" t="n">
        <f aca="false">Sens!$E$5475*Sens!$E$5423</f>
        <v>0.970552432202993</v>
      </c>
      <c r="F5524" s="38" t="n">
        <f aca="false">Sens!$F$5475*Sens!$F$5423</f>
        <v>1.20013524388435</v>
      </c>
      <c r="G5524" s="38" t="n">
        <f aca="false">Sens!$G$5475*Sens!$G$5423</f>
        <v>2.17135369594947</v>
      </c>
      <c r="H5524" s="38" t="n">
        <f aca="false">Sens!$H$5475*Sens!$H$5423</f>
        <v>6.14227489656333</v>
      </c>
      <c r="I5524" s="38" t="n">
        <f aca="false">Sens!$I$5475*Sens!$I$5423</f>
        <v>11.6518054969681</v>
      </c>
      <c r="J5524" s="38" t="n">
        <f aca="false">Sens!$J$5475*Sens!$J$5423</f>
        <v>17.3105301010592</v>
      </c>
      <c r="K5524" s="38" t="n">
        <f aca="false">Sens!$K$5475*Sens!$K$5423</f>
        <v>22.8384065844905</v>
      </c>
      <c r="L5524" s="38" t="n">
        <f aca="false">Sens!$L$5475*Sens!$L$5423</f>
        <v>26.587547241206</v>
      </c>
      <c r="M5524" s="38" t="n">
        <f aca="false">Sens!$M$5475*Sens!$M$5423</f>
        <v>28.7909952336448</v>
      </c>
      <c r="N5524" s="38" t="n">
        <f aca="false">Sens!$N$5475*Sens!$N$5423</f>
        <v>0.25053229484398</v>
      </c>
      <c r="O5524" s="38" t="n">
        <f aca="false">Sens!$O$5475*Sens!$O$5423</f>
        <v>0.349234376756897</v>
      </c>
    </row>
    <row r="5525" customFormat="false" ht="17.15" hidden="false" customHeight="false" outlineLevel="0" collapsed="false">
      <c r="A5525" s="0" t="s">
        <v>723</v>
      </c>
      <c r="B5525" s="0" t="s">
        <v>52</v>
      </c>
      <c r="C5525" s="28" t="n">
        <f aca="false">(Sens!$C$5526-Sens!$C$5522+Sens!$C$5524)/Sens!$C$5523</f>
        <v>0.0131526665379575</v>
      </c>
      <c r="D5525" s="28" t="n">
        <f aca="false">(Sens!$D$5526-Sens!$D$5522+Sens!$D$5524)/Sens!$D$5523</f>
        <v>0.0141999252954702</v>
      </c>
      <c r="E5525" s="28" t="n">
        <f aca="false">(Sens!$E$5526-Sens!$E$5522+Sens!$E$5524)/Sens!$E$5523</f>
        <v>0.0251341154940129</v>
      </c>
      <c r="F5525" s="28" t="n">
        <f aca="false">Sens!$O$5525+(Sens!$E$5525-Sens!$N$5525)</f>
        <v>0.0217171685713677</v>
      </c>
      <c r="G5525" s="28" t="n">
        <f aca="false">(Sens!$G$5526-Sens!$G$5522+Sens!$G$5524)/Sens!$G$5523</f>
        <v>0.0233071940458981</v>
      </c>
      <c r="H5525" s="28" t="n">
        <f aca="false">Sens!$G$5525+step_na</f>
        <v>0.0263071940458981</v>
      </c>
      <c r="I5525" s="28" t="n">
        <f aca="false">Sens!$H$5525+step_na</f>
        <v>0.0293071940458981</v>
      </c>
      <c r="J5525" s="28" t="n">
        <f aca="false">Sens!$I$5525+step_na</f>
        <v>0.0323071940458981</v>
      </c>
      <c r="K5525" s="28" t="n">
        <f aca="false">Sens!$J$5525+step_na</f>
        <v>0.0353071940458981</v>
      </c>
      <c r="L5525" s="28" t="n">
        <f aca="false">Sens!$K$5525</f>
        <v>0.0353071940458981</v>
      </c>
      <c r="M5525" s="28" t="n">
        <f aca="false">Sens!$L$5525</f>
        <v>0.0353071940458981</v>
      </c>
      <c r="N5525" s="28" t="n">
        <f aca="false">(Sens!$N$5526-Sens!$N$5522+Sens!$N$5524)/Sens!$N$5523</f>
        <v>0.0160831323269779</v>
      </c>
      <c r="O5525" s="28" t="n">
        <f aca="false">(Sens!$O$5526-Sens!$O$5522+Sens!$O$5524)/Sens!$O$5523</f>
        <v>0.0126661854043327</v>
      </c>
      <c r="P5525" s="8" t="s">
        <v>724</v>
      </c>
    </row>
    <row r="5526" customFormat="false" ht="17.15" hidden="false" customHeight="false" outlineLevel="0" collapsed="false">
      <c r="A5526" s="1" t="s">
        <v>725</v>
      </c>
      <c r="B5526" s="8" t="s">
        <v>86</v>
      </c>
      <c r="C5526" s="38" t="n">
        <f aca="false">Q!$D$22</f>
        <v>24.967</v>
      </c>
      <c r="D5526" s="38" t="n">
        <f aca="false">Q!$E$22</f>
        <v>29.619</v>
      </c>
      <c r="E5526" s="38" t="n">
        <f aca="false">Q!$P$22</f>
        <v>17.39</v>
      </c>
      <c r="F5526" s="38" t="n">
        <f aca="false">Sens!$F$5522+Sens!$F$5523*Sens!$F$5525-Sens!$F$5524</f>
        <v>20.0952307469491</v>
      </c>
      <c r="G5526" s="38" t="n">
        <f aca="false">Sens!$E$5526+Sens!$F$5526</f>
        <v>37.4852307469491</v>
      </c>
      <c r="H5526" s="38" t="n">
        <f aca="false">Sens!$H$5522+Sens!$H$5523*Sens!$H$5525-Sens!$H$5524</f>
        <v>41.7888688877206</v>
      </c>
      <c r="I5526" s="38" t="n">
        <f aca="false">Sens!$I$5522+Sens!$I$5523*Sens!$I$5525-Sens!$I$5524</f>
        <v>44.7345973874265</v>
      </c>
      <c r="J5526" s="38" t="n">
        <f aca="false">Sens!$J$5522+Sens!$J$5523*Sens!$J$5525-Sens!$J$5524</f>
        <v>47.2590435011574</v>
      </c>
      <c r="K5526" s="38" t="n">
        <f aca="false">Sens!$K$5522+Sens!$K$5523*Sens!$K$5525-Sens!$K$5524</f>
        <v>49.1366461398364</v>
      </c>
      <c r="L5526" s="38" t="n">
        <f aca="false">Sens!$L$5522+Sens!$L$5523*Sens!$L$5525-Sens!$L$5524</f>
        <v>51.7757235778917</v>
      </c>
      <c r="M5526" s="38" t="n">
        <f aca="false">Sens!$M$5522+Sens!$M$5523*Sens!$M$5525-Sens!$M$5524</f>
        <v>56.554550428954</v>
      </c>
      <c r="N5526" s="38" t="n">
        <f aca="false">Q!$N$22</f>
        <v>13.358</v>
      </c>
      <c r="O5526" s="38" t="n">
        <f aca="false">Q!$O$22</f>
        <v>16.261</v>
      </c>
    </row>
    <row r="5527" customFormat="false" ht="17.15" hidden="false" customHeight="false" outlineLevel="0" collapsed="false">
      <c r="A5527" s="0" t="s">
        <v>726</v>
      </c>
      <c r="B5527" s="0" t="s">
        <v>86</v>
      </c>
      <c r="C5527" s="38" t="n">
        <f aca="false">Sens!$C$5427*m_ad</f>
        <v>7.57284355857716</v>
      </c>
      <c r="D5527" s="38" t="n">
        <f aca="false">Sens!$D$5427*m_ad</f>
        <v>9.44543827004127</v>
      </c>
      <c r="E5527" s="38" t="n">
        <f aca="false">Sens!$E$5427*m_ad</f>
        <v>5.02428875377928</v>
      </c>
      <c r="F5527" s="38" t="n">
        <f aca="false">Sens!$F$5427*m_ad</f>
        <v>6.50663858068173</v>
      </c>
      <c r="G5527" s="38" t="n">
        <f aca="false">Sens!$G$5427*m_ad</f>
        <v>11.5225190751659</v>
      </c>
      <c r="H5527" s="38" t="n">
        <f aca="false">Sens!$H$5427*m_ad</f>
        <v>13.8333728663174</v>
      </c>
      <c r="I5527" s="38" t="n">
        <f aca="false">Sens!$I$5427*m_ad</f>
        <v>16.1440173245485</v>
      </c>
      <c r="J5527" s="38" t="n">
        <f aca="false">Sens!$J$5427*m_ad</f>
        <v>18.2995185845066</v>
      </c>
      <c r="K5527" s="38" t="n">
        <f aca="false">Sens!$K$5427*m_ad</f>
        <v>20.1294704429572</v>
      </c>
      <c r="L5527" s="38" t="n">
        <f aca="false">Sens!$L$5427*m_ad</f>
        <v>22.142417487253</v>
      </c>
      <c r="M5527" s="38" t="n">
        <f aca="false">Sens!$M$5427*m_ad</f>
        <v>24.3566592359783</v>
      </c>
      <c r="N5527" s="38" t="n">
        <f aca="false">Sens!$N$5427*m_ad</f>
        <v>3.95314442937518</v>
      </c>
      <c r="O5527" s="38" t="n">
        <f aca="false">Sens!$O$5427*m_ad</f>
        <v>5.50052681786011</v>
      </c>
    </row>
    <row r="5528" customFormat="false" ht="17.15" hidden="false" customHeight="false" outlineLevel="0" collapsed="false">
      <c r="A5528" s="0" t="s">
        <v>727</v>
      </c>
      <c r="B5528" s="0" t="s">
        <v>86</v>
      </c>
      <c r="C5528" s="38" t="n">
        <f aca="false">Sens!$C$5425-Sens!$C$5427</f>
        <v>127.760312882846</v>
      </c>
      <c r="D5528" s="38" t="n">
        <f aca="false">Sens!$D$5425-Sens!$D$5427</f>
        <v>143.003123459917</v>
      </c>
      <c r="E5528" s="38" t="n">
        <f aca="false">Sens!$E$5425-Sens!$E$5427</f>
        <v>71.9374224924414</v>
      </c>
      <c r="F5528" s="38" t="n">
        <f aca="false">Sens!$F$5425-Sens!$F$5427</f>
        <v>85.3951910035875</v>
      </c>
      <c r="G5528" s="38" t="n">
        <f aca="false">Sens!$G$5425-Sens!$G$5427</f>
        <v>157.349430014619</v>
      </c>
      <c r="H5528" s="38" t="n">
        <f aca="false">Sens!$H$5425-Sens!$H$5427</f>
        <v>172.043153372315</v>
      </c>
      <c r="I5528" s="38" t="n">
        <f aca="false">Sens!$I$5425-Sens!$I$5427</f>
        <v>186.097493615879</v>
      </c>
      <c r="J5528" s="38" t="n">
        <f aca="false">Sens!$J$5425-Sens!$J$5427</f>
        <v>199.117932780497</v>
      </c>
      <c r="K5528" s="38" t="n">
        <f aca="false">Sens!$K$5425-Sens!$K$5427</f>
        <v>210.70928698363</v>
      </c>
      <c r="L5528" s="38" t="n">
        <f aca="false">Sens!$L$5425-Sens!$L$5427</f>
        <v>223.000532251316</v>
      </c>
      <c r="M5528" s="38" t="n">
        <f aca="false">Sens!$M$5425-Sens!$M$5427</f>
        <v>236.035261011339</v>
      </c>
      <c r="N5528" s="38" t="n">
        <f aca="false">Sens!$N$5425-Sens!$N$5427</f>
        <v>62.3677111412496</v>
      </c>
      <c r="O5528" s="38" t="n">
        <f aca="false">Sens!$O$5425-Sens!$O$5427</f>
        <v>80.6189463642798</v>
      </c>
    </row>
    <row r="5529" customFormat="false" ht="17.15" hidden="false" customHeight="false" outlineLevel="0" collapsed="false">
      <c r="A5529" s="0" t="s">
        <v>728</v>
      </c>
      <c r="B5529" s="0" t="s">
        <v>86</v>
      </c>
      <c r="C5529" s="38" t="n">
        <f aca="false">Sens!$C$5475*(1-Sens!$C$5423)</f>
        <v>0.0455891896019953</v>
      </c>
      <c r="D5529" s="38" t="n">
        <f aca="false">Sens!$D$5475*(1-Sens!$D$5423)</f>
        <v>0.227931791705753</v>
      </c>
      <c r="E5529" s="38" t="n">
        <f aca="false">Sens!$E$5475*(1-Sens!$E$5423)</f>
        <v>0.361164268820781</v>
      </c>
      <c r="F5529" s="38" t="n">
        <f aca="false">Sens!$F$5475*(1-Sens!$F$5423)</f>
        <v>0.471208018190203</v>
      </c>
      <c r="G5529" s="38" t="n">
        <f aca="false">Sens!$G$5475*(1-Sens!$G$5423)</f>
        <v>0.83170626714885</v>
      </c>
      <c r="H5529" s="38" t="n">
        <f aca="false">Sens!$H$5475*(1-Sens!$H$5423)</f>
        <v>2.35271136874315</v>
      </c>
      <c r="I5529" s="38" t="n">
        <f aca="false">Sens!$I$5475*(1-Sens!$I$5423)</f>
        <v>4.46305900024741</v>
      </c>
      <c r="J5529" s="38" t="n">
        <f aca="false">Sens!$J$5475*(1-Sens!$J$5423)</f>
        <v>6.63055328092195</v>
      </c>
      <c r="K5529" s="38" t="n">
        <f aca="false">Sens!$K$5475*(1-Sens!$K$5423)</f>
        <v>8.74792804297522</v>
      </c>
      <c r="L5529" s="38" t="n">
        <f aca="false">Sens!$L$5475*(1-Sens!$L$5423)</f>
        <v>10.1839832496556</v>
      </c>
      <c r="M5529" s="38" t="n">
        <f aca="false">Sens!$M$5475*(1-Sens!$M$5423)</f>
        <v>11.027982782328</v>
      </c>
      <c r="N5529" s="38" t="n">
        <f aca="false">Sens!$N$5475*(1-Sens!$N$5423)</f>
        <v>0.0912435878202994</v>
      </c>
      <c r="O5529" s="38" t="n">
        <f aca="false">Sens!$O$5475*(1-Sens!$O$5423)</f>
        <v>0.137119578309265</v>
      </c>
    </row>
    <row r="5530" customFormat="false" ht="17.15" hidden="false" customHeight="false" outlineLevel="0" collapsed="false">
      <c r="A5530" s="0" t="s">
        <v>729</v>
      </c>
      <c r="B5530" s="0" t="s">
        <v>52</v>
      </c>
      <c r="C5530" s="28" t="n">
        <f aca="false">(Sens!$C$5531-Sens!$C$5527+Sens!$C$5529)/Sens!$C$5528</f>
        <v>-0.0292364215826579</v>
      </c>
      <c r="D5530" s="28" t="n">
        <f aca="false">(Sens!$D$5531-Sens!$D$5527+Sens!$D$5529)/Sens!$D$5528</f>
        <v>-0.0312406216748665</v>
      </c>
      <c r="E5530" s="28" t="n">
        <f aca="false">(Sens!$E$5531-Sens!$E$5527+Sens!$E$5529)/Sens!$E$5528</f>
        <v>-0.0211590078184749</v>
      </c>
      <c r="F5530" s="28" t="n">
        <f aca="false">Sens!$O$5530+(Sens!$E$5530-Sens!$N$5530)</f>
        <v>-0.0382539955245511</v>
      </c>
      <c r="G5530" s="28" t="n">
        <f aca="false">(Sens!$G$5531-Sens!$G$5527+Sens!$G$5529)/Sens!$G$5528</f>
        <v>-0.030385172031133</v>
      </c>
      <c r="H5530" s="28" t="n">
        <f aca="false">Sens!$G$5530+step_in</f>
        <v>-0.030385172031133</v>
      </c>
      <c r="I5530" s="28" t="n">
        <f aca="false">Sens!$H$5530+step_in</f>
        <v>-0.030385172031133</v>
      </c>
      <c r="J5530" s="28" t="n">
        <f aca="false">Sens!$I$5530+step_in</f>
        <v>-0.030385172031133</v>
      </c>
      <c r="K5530" s="28" t="n">
        <f aca="false">Sens!$J$5530+step_in</f>
        <v>-0.030385172031133</v>
      </c>
      <c r="L5530" s="28" t="n">
        <f aca="false">Sens!$K$5530</f>
        <v>-0.030385172031133</v>
      </c>
      <c r="M5530" s="28" t="n">
        <f aca="false">Sens!$L$5530</f>
        <v>-0.030385172031133</v>
      </c>
      <c r="N5530" s="28" t="n">
        <f aca="false">(Sens!$N$5531-Sens!$N$5527+Sens!$N$5529)/Sens!$N$5528</f>
        <v>-0.0216602600421776</v>
      </c>
      <c r="O5530" s="28" t="n">
        <f aca="false">(Sens!$O$5531-Sens!$O$5527+Sens!$O$5529)/Sens!$O$5528</f>
        <v>-0.0387552477482538</v>
      </c>
      <c r="P5530" s="8" t="s">
        <v>724</v>
      </c>
    </row>
    <row r="5531" customFormat="false" ht="17.15" hidden="false" customHeight="false" outlineLevel="0" collapsed="false">
      <c r="A5531" s="1" t="s">
        <v>730</v>
      </c>
      <c r="B5531" s="8" t="s">
        <v>86</v>
      </c>
      <c r="C5531" s="38" t="n">
        <f aca="false">Q!$D$23</f>
        <v>3.792</v>
      </c>
      <c r="D5531" s="38" t="n">
        <f aca="false">Q!$E$23</f>
        <v>4.75</v>
      </c>
      <c r="E5531" s="38" t="n">
        <f aca="false">Q!$P$23</f>
        <v>3.141</v>
      </c>
      <c r="F5531" s="38" t="n">
        <f aca="false">Sens!$F$5527+Sens!$F$5528*Sens!$F$5530-Sens!$F$5529</f>
        <v>2.7687233080221</v>
      </c>
      <c r="G5531" s="38" t="n">
        <f aca="false">Sens!$E$5531+Sens!$F$5531</f>
        <v>5.9097233080221</v>
      </c>
      <c r="H5531" s="38" t="n">
        <f aca="false">Sens!$H$5527+Sens!$H$5528*Sens!$H$5530-Sens!$H$5529</f>
        <v>6.25310068557783</v>
      </c>
      <c r="I5531" s="38" t="n">
        <f aca="false">Sens!$I$5527+Sens!$I$5528*Sens!$I$5530-Sens!$I$5529</f>
        <v>6.02635396621997</v>
      </c>
      <c r="J5531" s="38" t="n">
        <f aca="false">Sens!$J$5527+Sens!$J$5528*Sens!$J$5530-Sens!$J$5529</f>
        <v>5.61873266156566</v>
      </c>
      <c r="K5531" s="38" t="n">
        <f aca="false">Sens!$K$5527+Sens!$K$5528*Sens!$K$5530-Sens!$K$5529</f>
        <v>4.97910446642705</v>
      </c>
      <c r="L5531" s="38" t="n">
        <f aca="false">Sens!$L$5527+Sens!$L$5528*Sens!$L$5530-Sens!$L$5529</f>
        <v>5.18252470210692</v>
      </c>
      <c r="M5531" s="38" t="n">
        <f aca="false">Sens!$M$5527+Sens!$M$5528*Sens!$M$5530-Sens!$M$5529</f>
        <v>6.15670444240737</v>
      </c>
      <c r="N5531" s="38" t="n">
        <f aca="false">Q!$N$23</f>
        <v>2.511</v>
      </c>
      <c r="O5531" s="38" t="n">
        <f aca="false">Q!$O$23</f>
        <v>2.239</v>
      </c>
    </row>
    <row r="5532" customFormat="false" ht="17.15" hidden="false" customHeight="false" outlineLevel="0" collapsed="false">
      <c r="A5532" s="0" t="s">
        <v>731</v>
      </c>
      <c r="B5532" s="0" t="s">
        <v>86</v>
      </c>
      <c r="C5532" s="38" t="n">
        <f aca="false">Sens!$C$5472</f>
        <v>1.64417882953695</v>
      </c>
      <c r="D5532" s="38" t="n">
        <f aca="false">Sens!$D$5472</f>
        <v>5.39125073772939</v>
      </c>
      <c r="E5532" s="38" t="n">
        <f aca="false">Sens!$E$5472</f>
        <v>3.18348617147493</v>
      </c>
      <c r="F5532" s="38" t="n">
        <f aca="false">Sens!$F$5472</f>
        <v>8.27806059642226</v>
      </c>
      <c r="G5532" s="38" t="n">
        <f aca="false">Sens!$G$5472</f>
        <v>11.4615467678972</v>
      </c>
      <c r="H5532" s="38" t="n">
        <f aca="false">Sens!$H$5472</f>
        <v>26.1859456885487</v>
      </c>
      <c r="I5532" s="38" t="n">
        <f aca="false">Sens!$I$5472</f>
        <v>37.04424114757</v>
      </c>
      <c r="J5532" s="38" t="n">
        <f aca="false">Sens!$J$5472</f>
        <v>47.2610736233534</v>
      </c>
      <c r="K5532" s="38" t="n">
        <f aca="false">Sens!$K$5472</f>
        <v>51.8167797755728</v>
      </c>
      <c r="L5532" s="38" t="n">
        <f aca="false">Sens!$L$5472</f>
        <v>53.5047805796943</v>
      </c>
      <c r="M5532" s="38" t="n">
        <f aca="false">Sens!$M$5472</f>
        <v>51.0047588788104</v>
      </c>
      <c r="N5532" s="38" t="n">
        <f aca="false">Sens!$N$5472</f>
        <v>1.67921600037079</v>
      </c>
      <c r="O5532" s="38" t="n">
        <f aca="false">Sens!$O$5472</f>
        <v>3.71203473735861</v>
      </c>
    </row>
    <row r="5533" customFormat="false" ht="17.15" hidden="false" customHeight="false" outlineLevel="0" collapsed="false">
      <c r="A5533" s="0" t="s">
        <v>649</v>
      </c>
      <c r="B5533" s="0" t="s">
        <v>86</v>
      </c>
      <c r="C5533" s="38" t="n">
        <f aca="false">Sens!$C$5477</f>
        <v>38.1898211704631</v>
      </c>
      <c r="D5533" s="38" t="n">
        <f aca="false">Sens!$D$5477</f>
        <v>40.2147492622706</v>
      </c>
      <c r="E5533" s="38" t="n">
        <f aca="false">Sens!$E$5477</f>
        <v>27.5985138285251</v>
      </c>
      <c r="F5533" s="38" t="n">
        <f aca="false">Sens!$F$5477</f>
        <v>25.5484769754606</v>
      </c>
      <c r="G5533" s="38" t="n">
        <f aca="false">Sens!$G$5477</f>
        <v>53.1469908039857</v>
      </c>
      <c r="H5533" s="38" t="n">
        <f aca="false">Sens!$H$5477</f>
        <v>57.3189525076539</v>
      </c>
      <c r="I5533" s="38" t="n">
        <f aca="false">Sens!$I$5477</f>
        <v>63.6385627021087</v>
      </c>
      <c r="J5533" s="38" t="n">
        <f aca="false">Sens!$J$5477</f>
        <v>69.6922896066105</v>
      </c>
      <c r="K5533" s="38" t="n">
        <f aca="false">Sens!$K$5477</f>
        <v>75.2676727751394</v>
      </c>
      <c r="L5533" s="38" t="n">
        <f aca="false">Sens!$L$5477</f>
        <v>81.2890865971505</v>
      </c>
      <c r="M5533" s="38" t="n">
        <f aca="false">Sens!$M$5477</f>
        <v>87.7922135249226</v>
      </c>
      <c r="N5533" s="38" t="n">
        <f aca="false">Sens!$N$5477</f>
        <v>20.0277839996292</v>
      </c>
      <c r="O5533" s="38" t="n">
        <f aca="false">Sens!$O$5477</f>
        <v>20.1869652626414</v>
      </c>
    </row>
    <row r="5534" customFormat="false" ht="17.15" hidden="false" customHeight="false" outlineLevel="0" collapsed="false">
      <c r="A5534" s="1" t="s">
        <v>732</v>
      </c>
      <c r="B5534" s="8" t="s">
        <v>86</v>
      </c>
      <c r="C5534" s="38" t="n">
        <f aca="false">Q!$D$24</f>
        <v>39.834</v>
      </c>
      <c r="D5534" s="38" t="n">
        <f aca="false">Q!$E$24</f>
        <v>45.606</v>
      </c>
      <c r="E5534" s="38" t="n">
        <f aca="false">Q!$P$24</f>
        <v>30.782</v>
      </c>
      <c r="F5534" s="38" t="n">
        <f aca="false">Sens!$F$5532+Sens!$F$5533</f>
        <v>33.8265375718829</v>
      </c>
      <c r="G5534" s="38" t="n">
        <f aca="false">Sens!$G$5532+Sens!$G$5533</f>
        <v>64.6085375718829</v>
      </c>
      <c r="H5534" s="38" t="n">
        <f aca="false">Sens!$H$5532+Sens!$H$5533</f>
        <v>83.5048981962026</v>
      </c>
      <c r="I5534" s="38" t="n">
        <f aca="false">Sens!$I$5532+Sens!$I$5533</f>
        <v>100.682803849679</v>
      </c>
      <c r="J5534" s="38" t="n">
        <f aca="false">Sens!$J$5532+Sens!$J$5533</f>
        <v>116.953363229964</v>
      </c>
      <c r="K5534" s="38" t="n">
        <f aca="false">Sens!$K$5532+Sens!$K$5533</f>
        <v>127.084452550712</v>
      </c>
      <c r="L5534" s="38" t="n">
        <f aca="false">Sens!$L$5532+Sens!$L$5533</f>
        <v>134.793867176845</v>
      </c>
      <c r="M5534" s="38" t="n">
        <f aca="false">Sens!$M$5532+Sens!$M$5533</f>
        <v>138.796972403733</v>
      </c>
      <c r="N5534" s="38" t="n">
        <f aca="false">Q!$N$24</f>
        <v>21.707</v>
      </c>
      <c r="O5534" s="38" t="n">
        <f aca="false">Q!$O$24</f>
        <v>23.899</v>
      </c>
    </row>
    <row r="5535" customFormat="false" ht="17.15" hidden="false" customHeight="false" outlineLevel="0" collapsed="false">
      <c r="A5535" s="5" t="s">
        <v>733</v>
      </c>
      <c r="B5535" s="0" t="s">
        <v>86</v>
      </c>
      <c r="C5535" s="38" t="n">
        <f aca="false">Q!$D$26</f>
        <v>0</v>
      </c>
      <c r="D5535" s="38" t="n">
        <f aca="false">Q!$E$26</f>
        <v>0</v>
      </c>
      <c r="E5535" s="38" t="n">
        <f aca="false">Q!$P$26</f>
        <v>0</v>
      </c>
      <c r="F5535" s="39" t="n">
        <v>0</v>
      </c>
      <c r="G5535" s="38" t="n">
        <f aca="false">Sens!$E$5535+Sens!$F$5535</f>
        <v>0</v>
      </c>
      <c r="H5535" s="39" t="n">
        <v>0</v>
      </c>
      <c r="I5535" s="39" t="n">
        <v>0</v>
      </c>
      <c r="J5535" s="39" t="n">
        <v>0</v>
      </c>
      <c r="K5535" s="39" t="n">
        <v>0</v>
      </c>
      <c r="L5535" s="39" t="n">
        <v>0</v>
      </c>
      <c r="M5535" s="39" t="n">
        <v>0</v>
      </c>
      <c r="N5535" s="38" t="n">
        <f aca="false">Q!$N$26</f>
        <v>0</v>
      </c>
      <c r="O5535" s="38" t="n">
        <f aca="false">Q!$O$26</f>
        <v>0</v>
      </c>
    </row>
    <row r="5536" customFormat="false" ht="15" hidden="false" customHeight="false" outlineLevel="0" collapsed="false">
      <c r="A5536" s="3" t="s">
        <v>534</v>
      </c>
      <c r="B5536" s="8" t="s">
        <v>86</v>
      </c>
      <c r="C5536" s="38" t="n">
        <f aca="false">Q!$D$25</f>
        <v>68.593</v>
      </c>
      <c r="D5536" s="38" t="n">
        <f aca="false">Q!$E$25</f>
        <v>79.975</v>
      </c>
      <c r="E5536" s="38" t="n">
        <f aca="false">Q!$P$25</f>
        <v>51.313</v>
      </c>
      <c r="F5536" s="38" t="n">
        <f aca="false">Sens!$F$5526+Sens!$F$5531+Sens!$F$5534+Sens!$F$5535</f>
        <v>56.6904916268541</v>
      </c>
      <c r="G5536" s="38" t="n">
        <f aca="false">Sens!$G$5526+Sens!$G$5531+Sens!$G$5534+Sens!$G$5535</f>
        <v>108.003491626854</v>
      </c>
      <c r="H5536" s="38" t="n">
        <f aca="false">Sens!$H$5526+Sens!$H$5531+Sens!$H$5534+Sens!$H$5535</f>
        <v>131.546867769501</v>
      </c>
      <c r="I5536" s="38" t="n">
        <f aca="false">Sens!$I$5526+Sens!$I$5531+Sens!$I$5534+Sens!$I$5535</f>
        <v>151.443755203325</v>
      </c>
      <c r="J5536" s="38" t="n">
        <f aca="false">Sens!$J$5526+Sens!$J$5531+Sens!$J$5534+Sens!$J$5535</f>
        <v>169.831139392687</v>
      </c>
      <c r="K5536" s="38" t="n">
        <f aca="false">Sens!$K$5526+Sens!$K$5531+Sens!$K$5534+Sens!$K$5535</f>
        <v>181.200203156976</v>
      </c>
      <c r="L5536" s="38" t="n">
        <f aca="false">Sens!$L$5526+Sens!$L$5531+Sens!$L$5534+Sens!$L$5535</f>
        <v>191.752115456843</v>
      </c>
      <c r="M5536" s="38" t="n">
        <f aca="false">Sens!$M$5526+Sens!$M$5531+Sens!$M$5534+Sens!$M$5535</f>
        <v>201.508227275094</v>
      </c>
      <c r="N5536" s="38" t="n">
        <f aca="false">Q!$N$25</f>
        <v>37.576</v>
      </c>
      <c r="O5536" s="38" t="n">
        <f aca="false">Q!$O$25</f>
        <v>42.399</v>
      </c>
    </row>
    <row r="5537" customFormat="false" ht="17.15" hidden="false" customHeight="false" outlineLevel="0" collapsed="false">
      <c r="A5537" s="24" t="s">
        <v>764</v>
      </c>
      <c r="B5537" s="25" t="s">
        <v>86</v>
      </c>
      <c r="C5537" s="41" t="n">
        <f aca="false">Sens!$C$5526+Sens!$C$5531+Sens!$C$5534+Sens!$C$5535-Sens!$C$5536</f>
        <v>0</v>
      </c>
      <c r="D5537" s="41" t="n">
        <f aca="false">Sens!$D$5526+Sens!$D$5531+Sens!$D$5534+Sens!$D$5535-Sens!$D$5536</f>
        <v>0</v>
      </c>
      <c r="E5537" s="41" t="n">
        <f aca="false">Sens!$E$5526+Sens!$E$5531+Sens!$E$5534+Sens!$E$5535-Sens!$E$5536</f>
        <v>0</v>
      </c>
      <c r="F5537" s="41" t="n">
        <f aca="false">Sens!$F$5526+Sens!$F$5531+Sens!$F$5534+Sens!$F$5535-Sens!$F$5536</f>
        <v>0</v>
      </c>
      <c r="G5537" s="41" t="n">
        <f aca="false">Sens!$G$5526+Sens!$G$5531+Sens!$G$5534+Sens!$G$5535-Sens!$G$5536</f>
        <v>0</v>
      </c>
      <c r="H5537" s="41" t="n">
        <f aca="false">Sens!$H$5526+Sens!$H$5531+Sens!$H$5534+Sens!$H$5535-Sens!$H$5536</f>
        <v>0</v>
      </c>
      <c r="I5537" s="41" t="n">
        <f aca="false">Sens!$I$5526+Sens!$I$5531+Sens!$I$5534+Sens!$I$5535-Sens!$I$5536</f>
        <v>0</v>
      </c>
      <c r="J5537" s="41" t="n">
        <f aca="false">Sens!$J$5526+Sens!$J$5531+Sens!$J$5534+Sens!$J$5535-Sens!$J$5536</f>
        <v>0</v>
      </c>
      <c r="K5537" s="41" t="n">
        <f aca="false">Sens!$K$5526+Sens!$K$5531+Sens!$K$5534+Sens!$K$5535-Sens!$K$5536</f>
        <v>0</v>
      </c>
      <c r="L5537" s="41" t="n">
        <f aca="false">Sens!$L$5526+Sens!$L$5531+Sens!$L$5534+Sens!$L$5535-Sens!$L$5536</f>
        <v>0</v>
      </c>
      <c r="M5537" s="41" t="n">
        <f aca="false">Sens!$M$5526+Sens!$M$5531+Sens!$M$5534+Sens!$M$5535-Sens!$M$5536</f>
        <v>0</v>
      </c>
      <c r="N5537" s="41" t="n">
        <f aca="false">Sens!$N$5526+Sens!$N$5531+Sens!$N$5534+Sens!$N$5535-Sens!$N$5536</f>
        <v>0</v>
      </c>
      <c r="O5537" s="41" t="n">
        <f aca="false">Sens!$O$5526+Sens!$O$5531+Sens!$O$5534+Sens!$O$5535-Sens!$O$5536</f>
        <v>0</v>
      </c>
    </row>
    <row r="5538" customFormat="false" ht="17.15" hidden="false" customHeight="false" outlineLevel="0" collapsed="false">
      <c r="A5538" s="5" t="s">
        <v>735</v>
      </c>
      <c r="B5538" s="0" t="s">
        <v>86</v>
      </c>
      <c r="C5538" s="38" t="n">
        <f aca="false">Sens!$C$5474</f>
        <v>0</v>
      </c>
      <c r="D5538" s="38" t="n">
        <f aca="false">Sens!$D$5474</f>
        <v>0</v>
      </c>
      <c r="E5538" s="38" t="n">
        <f aca="false">Sens!$E$5474</f>
        <v>0</v>
      </c>
      <c r="F5538" s="38" t="n">
        <f aca="false">Sens!$F$5474</f>
        <v>3.77122048175818</v>
      </c>
      <c r="G5538" s="38" t="n">
        <f aca="false">Sens!$G$5474</f>
        <v>3.77122048175818</v>
      </c>
      <c r="H5538" s="38" t="n">
        <f aca="false">Sens!$H$5474</f>
        <v>15.1635543609893</v>
      </c>
      <c r="I5538" s="38" t="n">
        <f aca="false">Sens!$I$5474</f>
        <v>25.5818843619889</v>
      </c>
      <c r="J5538" s="38" t="n">
        <f aca="false">Sens!$J$5474</f>
        <v>36.0465624179122</v>
      </c>
      <c r="K5538" s="38" t="n">
        <f aca="false">Sens!$K$5474</f>
        <v>44.9020355557576</v>
      </c>
      <c r="L5538" s="38" t="n">
        <f aca="false">Sens!$L$5474</f>
        <v>50.55474151763</v>
      </c>
      <c r="M5538" s="38" t="n">
        <f aca="false">Sens!$M$5474</f>
        <v>52.9968449759368</v>
      </c>
      <c r="N5538" s="38" t="n">
        <f aca="false">Sens!$N$5474</f>
        <v>0</v>
      </c>
      <c r="O5538" s="38" t="n">
        <f aca="false">Sens!$O$5474</f>
        <v>0</v>
      </c>
      <c r="P5538" s="5" t="s">
        <v>736</v>
      </c>
    </row>
    <row r="5539" customFormat="false" ht="17.15" hidden="false" customHeight="false" outlineLevel="0" collapsed="false">
      <c r="A5539" s="5" t="s">
        <v>737</v>
      </c>
      <c r="B5539" s="0" t="s">
        <v>86</v>
      </c>
      <c r="C5539" s="38" t="n">
        <f aca="false">Sens!$C$5536+Sens!$C$5538</f>
        <v>68.593</v>
      </c>
      <c r="D5539" s="38" t="n">
        <f aca="false">Sens!$D$5536+Sens!$D$5538</f>
        <v>79.975</v>
      </c>
      <c r="E5539" s="38" t="n">
        <f aca="false">Sens!$E$5536+Sens!$E$5538</f>
        <v>51.313</v>
      </c>
      <c r="F5539" s="38" t="n">
        <f aca="false">Sens!$F$5536+Sens!$F$5538</f>
        <v>60.4617121086123</v>
      </c>
      <c r="G5539" s="38" t="n">
        <f aca="false">Sens!$G$5536+Sens!$G$5538</f>
        <v>111.774712108612</v>
      </c>
      <c r="H5539" s="38" t="n">
        <f aca="false">Sens!$H$5536+Sens!$H$5538</f>
        <v>146.71042213049</v>
      </c>
      <c r="I5539" s="38" t="n">
        <f aca="false">Sens!$I$5536+Sens!$I$5538</f>
        <v>177.025639565314</v>
      </c>
      <c r="J5539" s="38" t="n">
        <f aca="false">Sens!$J$5536+Sens!$J$5538</f>
        <v>205.877701810599</v>
      </c>
      <c r="K5539" s="38" t="n">
        <f aca="false">Sens!$K$5536+Sens!$K$5538</f>
        <v>226.102238712733</v>
      </c>
      <c r="L5539" s="38" t="n">
        <f aca="false">Sens!$L$5536+Sens!$L$5538</f>
        <v>242.306856974473</v>
      </c>
      <c r="M5539" s="38" t="n">
        <f aca="false">Sens!$M$5536+Sens!$M$5538</f>
        <v>254.505072251031</v>
      </c>
      <c r="N5539" s="38" t="n">
        <f aca="false">Sens!$N$5536+Sens!$N$5538</f>
        <v>37.576</v>
      </c>
      <c r="O5539" s="38" t="n">
        <f aca="false">Sens!$O$5536+Sens!$O$5538</f>
        <v>42.399</v>
      </c>
    </row>
    <row r="5540" customFormat="false" ht="17.15" hidden="false" customHeight="false" outlineLevel="0" collapsed="false">
      <c r="A5540" s="0" t="s">
        <v>738</v>
      </c>
      <c r="B5540" s="0" t="s">
        <v>52</v>
      </c>
      <c r="C5540" s="13" t="n">
        <f aca="false">Sens!$C$5526/Sens!$C$5511</f>
        <v>0.0644314665661928</v>
      </c>
      <c r="D5540" s="13" t="n">
        <f aca="false">Sens!$D$5526/Sens!$D$5511</f>
        <v>0.0694784250712518</v>
      </c>
      <c r="E5540" s="13" t="n">
        <f aca="false">Sens!$E$5526/Sens!$E$5511</f>
        <v>0.0789306463326071</v>
      </c>
      <c r="F5540" s="13" t="n">
        <f aca="false">Sens!$F$5526/Sens!$F$5511</f>
        <v>0.0801757457241943</v>
      </c>
      <c r="G5540" s="13" t="n">
        <f aca="false">Sens!$G$5526/Sens!$G$5511</f>
        <v>0.0795932749625682</v>
      </c>
      <c r="H5540" s="13" t="n">
        <f aca="false">Sens!$H$5526/Sens!$H$5511</f>
        <v>0.0801494276915951</v>
      </c>
      <c r="I5540" s="13" t="n">
        <f aca="false">Sens!$I$5526/Sens!$I$5511</f>
        <v>0.0784619467108939</v>
      </c>
      <c r="J5540" s="13" t="n">
        <f aca="false">Sens!$J$5526/Sens!$J$5511</f>
        <v>0.0767950945569155</v>
      </c>
      <c r="K5540" s="13" t="n">
        <f aca="false">Sens!$K$5526/Sens!$K$5511</f>
        <v>0.0749939394422836</v>
      </c>
      <c r="L5540" s="13" t="n">
        <f aca="false">Sens!$L$5526/Sens!$L$5511</f>
        <v>0.0741976918077138</v>
      </c>
      <c r="M5540" s="13" t="n">
        <f aca="false">Sens!$M$5526/Sens!$M$5511</f>
        <v>0.0760756006409599</v>
      </c>
      <c r="N5540" s="13" t="n">
        <f aca="false">Sens!$N$5526/Sens!$N$5511</f>
        <v>0.069228576611127</v>
      </c>
      <c r="O5540" s="13" t="n">
        <f aca="false">Sens!$O$5526/Sens!$O$5511</f>
        <v>0.069685022498393</v>
      </c>
    </row>
    <row r="5541" customFormat="false" ht="17.15" hidden="false" customHeight="false" outlineLevel="0" collapsed="false">
      <c r="A5541" s="0" t="s">
        <v>739</v>
      </c>
      <c r="B5541" s="0" t="s">
        <v>52</v>
      </c>
      <c r="C5541" s="13" t="n">
        <f aca="false">Sens!$C$5531/Sens!$C$5512</f>
        <v>0.026534925055631</v>
      </c>
      <c r="D5541" s="13" t="n">
        <f aca="false">Sens!$D$5531/Sens!$D$5512</f>
        <v>0.0293401855535103</v>
      </c>
      <c r="E5541" s="13" t="n">
        <f aca="false">Sens!$E$5531/Sens!$E$5512</f>
        <v>0.03831141902276</v>
      </c>
      <c r="F5541" s="13" t="n">
        <f aca="false">Sens!$F$5531/Sens!$F$5512</f>
        <v>0.0281350107328284</v>
      </c>
      <c r="G5541" s="13" t="n">
        <f aca="false">Sens!$G$5531/Sens!$G$5512</f>
        <v>0.0327600029432073</v>
      </c>
      <c r="H5541" s="13" t="n">
        <f aca="false">Sens!$H$5531/Sens!$H$5512</f>
        <v>0.031310920057557</v>
      </c>
      <c r="I5541" s="13" t="n">
        <f aca="false">Sens!$I$5531/Sens!$I$5512</f>
        <v>0.0275950243319601</v>
      </c>
      <c r="J5541" s="13" t="n">
        <f aca="false">Sens!$J$5531/Sens!$J$5512</f>
        <v>0.0238367762099147</v>
      </c>
      <c r="K5541" s="13" t="n">
        <f aca="false">Sens!$K$5531/Sens!$K$5512</f>
        <v>0.0198395809250214</v>
      </c>
      <c r="L5541" s="13" t="n">
        <f aca="false">Sens!$L$5531/Sens!$L$5512</f>
        <v>0.0193894815713138</v>
      </c>
      <c r="M5541" s="13" t="n">
        <f aca="false">Sens!$M$5531/Sens!$M$5512</f>
        <v>0.0216215457635621</v>
      </c>
      <c r="N5541" s="13" t="n">
        <f aca="false">Sens!$N$5531/Sens!$N$5512</f>
        <v>0.0357315650169337</v>
      </c>
      <c r="O5541" s="13" t="n">
        <f aca="false">Sens!$O$5531/Sens!$O$5512</f>
        <v>0.0244378956559703</v>
      </c>
    </row>
    <row r="5542" customFormat="false" ht="17.15" hidden="false" customHeight="false" outlineLevel="0" collapsed="false">
      <c r="A5542" s="14" t="s">
        <v>740</v>
      </c>
      <c r="B5542" s="14" t="s">
        <v>52</v>
      </c>
      <c r="C5542" s="17" t="n">
        <f aca="false">Sens!$C$5534/Sens!$C$5513</f>
        <v>0.370355907620217</v>
      </c>
      <c r="D5542" s="17" t="n">
        <f aca="false">Sens!$D$5534/Sens!$D$5513</f>
        <v>0.35429015342785</v>
      </c>
      <c r="E5542" s="17" t="n">
        <f aca="false">Sens!$E$5534/Sens!$E$5513</f>
        <v>0.385647527531039</v>
      </c>
      <c r="F5542" s="17" t="n">
        <f aca="false">Sens!$F$5534/Sens!$F$5513</f>
        <v>0.390008895496028</v>
      </c>
      <c r="G5542" s="17" t="n">
        <f aca="false">Sens!$G$5534/Sens!$G$5513</f>
        <v>0.387918733944362</v>
      </c>
      <c r="H5542" s="17" t="n">
        <f aca="false">Sens!$H$5534/Sens!$H$5513</f>
        <v>0.377537651365497</v>
      </c>
      <c r="I5542" s="17" t="n">
        <f aca="false">Sens!$I$5534/Sens!$I$5513</f>
        <v>0.359230604038662</v>
      </c>
      <c r="J5542" s="17" t="n">
        <f aca="false">Sens!$J$5534/Sens!$J$5513</f>
        <v>0.345197865849801</v>
      </c>
      <c r="K5542" s="17" t="n">
        <f aca="false">Sens!$K$5534/Sens!$K$5513</f>
        <v>0.326192378368303</v>
      </c>
      <c r="L5542" s="17" t="n">
        <f aca="false">Sens!$L$5534/Sens!$L$5513</f>
        <v>0.314246212570264</v>
      </c>
      <c r="M5542" s="17" t="n">
        <f aca="false">Sens!$M$5534/Sens!$M$5513</f>
        <v>0.303778785747756</v>
      </c>
      <c r="N5542" s="17" t="n">
        <f aca="false">Sens!$N$5534/Sens!$N$5513</f>
        <v>0.360941137346192</v>
      </c>
      <c r="O5542" s="17" t="n">
        <f aca="false">Sens!$O$5534/Sens!$O$5513</f>
        <v>0.348458117664212</v>
      </c>
    </row>
    <row r="5543" customFormat="false" ht="17.15" hidden="false" customHeight="false" outlineLevel="0" collapsed="false">
      <c r="A5543" s="0" t="s">
        <v>741</v>
      </c>
      <c r="B5543" s="0" t="s">
        <v>52</v>
      </c>
      <c r="C5543" s="13" t="n">
        <f aca="false">Sens!$C$5532/Sens!$C$5514</f>
        <v>0.708390794789371</v>
      </c>
      <c r="D5543" s="13" t="n">
        <f aca="false">Sens!$D$5532/Sens!$D$5514</f>
        <v>0.619415573115729</v>
      </c>
      <c r="E5543" s="13" t="n">
        <f aca="false">Sens!$E$5532/Sens!$E$5514</f>
        <v>0.374072166056273</v>
      </c>
      <c r="F5543" s="13" t="n">
        <f aca="false">Sens!$F$5532/Sens!$F$5514</f>
        <v>0.553219320710057</v>
      </c>
      <c r="G5543" s="13" t="n">
        <f aca="false">Sens!$G$5532/Sens!$G$5514</f>
        <v>0.488270041527512</v>
      </c>
      <c r="H5543" s="13" t="n">
        <f aca="false">Sens!$H$5532/Sens!$H$5514</f>
        <v>0.435229086816882</v>
      </c>
      <c r="I5543" s="13" t="n">
        <f aca="false">Sens!$I$5532/Sens!$I$5514</f>
        <v>0.364954592421095</v>
      </c>
      <c r="J5543" s="13" t="n">
        <f aca="false">Sens!$J$5532/Sens!$J$5514</f>
        <v>0.330438308582232</v>
      </c>
      <c r="K5543" s="13" t="n">
        <f aca="false">Sens!$K$5532/Sens!$K$5514</f>
        <v>0.290840613449356</v>
      </c>
      <c r="L5543" s="13" t="n">
        <f aca="false">Sens!$L$5532/Sens!$L$5514</f>
        <v>0.26673582850143</v>
      </c>
      <c r="M5543" s="13" t="n">
        <f aca="false">Sens!$M$5532/Sens!$M$5514</f>
        <v>0.242555621732387</v>
      </c>
      <c r="N5543" s="13" t="n">
        <f aca="false">Sens!$N$5532/Sens!$N$5514</f>
        <v>0.551227795793364</v>
      </c>
      <c r="O5543" s="13" t="n">
        <f aca="false">Sens!$O$5532/Sens!$O$5514</f>
        <v>0.656132068597002</v>
      </c>
    </row>
    <row r="5544" customFormat="false" ht="15" hidden="false" customHeight="false" outlineLevel="0" collapsed="false">
      <c r="A5544" s="5" t="s">
        <v>742</v>
      </c>
      <c r="B5544" s="0" t="s">
        <v>52</v>
      </c>
      <c r="C5544" s="13" t="n">
        <f aca="false">Sens!$C$5536/Sens!$C$5516</f>
        <v>0.107519448742004</v>
      </c>
      <c r="D5544" s="13" t="n">
        <f aca="false">Sens!$D$5536/Sens!$D$5516</f>
        <v>0.111552967957552</v>
      </c>
      <c r="E5544" s="13" t="n">
        <f aca="false">Sens!$E$5536/Sens!$E$5516</f>
        <v>0.13428328426562</v>
      </c>
      <c r="F5544" s="13" t="n">
        <f aca="false">Sens!$F$5536/Sens!$F$5516</f>
        <v>0.130089413875539</v>
      </c>
      <c r="G5544" s="13" t="n">
        <f aca="false">Sens!$G$5536/Sens!$G$5516</f>
        <v>0.132048786678316</v>
      </c>
      <c r="H5544" s="13" t="n">
        <f aca="false">Sens!$H$5536/Sens!$H$5516</f>
        <v>0.139604881440853</v>
      </c>
      <c r="I5544" s="13" t="n">
        <f aca="false">Sens!$I$5536/Sens!$I$5516</f>
        <v>0.141694752432769</v>
      </c>
      <c r="J5544" s="13" t="n">
        <f aca="false">Sens!$J$5536/Sens!$J$5516</f>
        <v>0.14272611544629</v>
      </c>
      <c r="K5544" s="13" t="n">
        <f aca="false">Sens!$K$5536/Sens!$K$5516</f>
        <v>0.139839124593314</v>
      </c>
      <c r="L5544" s="13" t="n">
        <f aca="false">Sens!$L$5536/Sens!$L$5516</f>
        <v>0.137551708416509</v>
      </c>
      <c r="M5544" s="13" t="n">
        <f aca="false">Sens!$M$5536/Sens!$M$5516</f>
        <v>0.135691264462076</v>
      </c>
      <c r="N5544" s="13" t="n">
        <f aca="false">Sens!$N$5536/Sens!$N$5516</f>
        <v>0.116201614873411</v>
      </c>
      <c r="O5544" s="13" t="n">
        <f aca="false">Sens!$O$5536/Sens!$O$5516</f>
        <v>0.107733353660861</v>
      </c>
    </row>
    <row r="5545" customFormat="false" ht="17.15" hidden="false" customHeight="false" outlineLevel="0" collapsed="false">
      <c r="A5545" s="1" t="s">
        <v>743</v>
      </c>
    </row>
    <row r="5546" customFormat="false" ht="17.15" hidden="false" customHeight="false" outlineLevel="0" collapsed="false">
      <c r="A5546" s="5" t="s">
        <v>744</v>
      </c>
      <c r="B5546" s="0" t="s">
        <v>52</v>
      </c>
      <c r="D5546" s="28" t="n">
        <f aca="false">(Q!$E$29+Q!$E$30-(1-ext_sh)*Sens!$D$5468)/Sens!$D$5422</f>
        <v>0.0341105596409988</v>
      </c>
    </row>
    <row r="5547" customFormat="false" ht="17.15" hidden="false" customHeight="false" outlineLevel="0" collapsed="false">
      <c r="A5547" s="0" t="s">
        <v>538</v>
      </c>
      <c r="B5547" s="0" t="s">
        <v>86</v>
      </c>
      <c r="C5547" s="38" t="n">
        <f aca="false">Q!$D$29</f>
        <v>14.285</v>
      </c>
      <c r="D5547" s="38" t="n">
        <f aca="false">Q!$E$29</f>
        <v>15.503</v>
      </c>
      <c r="E5547" s="38" t="n">
        <f aca="false">Q!$P$29</f>
        <v>8.78</v>
      </c>
      <c r="F5547" s="38" t="n">
        <f aca="false">(Sens!$D$5546*Sens!$F$5422+(1-ext_sh)*Sens!$F$5468)*Sens!$F$5423</f>
        <v>9.16735846116642</v>
      </c>
      <c r="G5547" s="38" t="n">
        <f aca="false">Sens!$E$5547+Sens!$F$5547</f>
        <v>17.9473584611664</v>
      </c>
      <c r="H5547" s="38" t="n">
        <f aca="false">(Sens!$D$5546*Sens!$H$5422+(1-ext_sh)*Sens!$H$5468)*Sens!$H$5423</f>
        <v>21.6406723110177</v>
      </c>
      <c r="I5547" s="38" t="n">
        <f aca="false">(Sens!$D$5546*Sens!$I$5422+(1-ext_sh)*Sens!$I$5468)*Sens!$I$5423</f>
        <v>27.3128215555087</v>
      </c>
      <c r="J5547" s="38" t="n">
        <f aca="false">(Sens!$D$5546*Sens!$J$5422+(1-ext_sh)*Sens!$J$5468)*Sens!$J$5423</f>
        <v>33.0116861885756</v>
      </c>
      <c r="K5547" s="38" t="n">
        <f aca="false">(Sens!$D$5546*Sens!$K$5422+(1-ext_sh)*Sens!$K$5468)*Sens!$K$5423</f>
        <v>38.6250238720245</v>
      </c>
      <c r="L5547" s="38" t="n">
        <f aca="false">(Sens!$D$5546*Sens!$L$5422+(1-ext_sh)*Sens!$L$5468)*Sens!$L$5423</f>
        <v>43.0147457862143</v>
      </c>
      <c r="M5547" s="38" t="n">
        <f aca="false">(Sens!$D$5546*Sens!$M$5422+(1-ext_sh)*Sens!$M$5468)*Sens!$M$5423</f>
        <v>46.4215054296107</v>
      </c>
      <c r="N5547" s="38" t="n">
        <f aca="false">Q!$N$29</f>
        <v>7.272</v>
      </c>
      <c r="O5547" s="38" t="n">
        <f aca="false">Q!$O$29</f>
        <v>8.231</v>
      </c>
    </row>
    <row r="5548" customFormat="false" ht="17.15" hidden="false" customHeight="false" outlineLevel="0" collapsed="false">
      <c r="A5548" s="0" t="s">
        <v>540</v>
      </c>
      <c r="B5548" s="0" t="s">
        <v>86</v>
      </c>
      <c r="C5548" s="38" t="n">
        <f aca="false">Q!$D$30</f>
        <v>4.462</v>
      </c>
      <c r="D5548" s="38" t="n">
        <f aca="false">Q!$E$30</f>
        <v>4.907</v>
      </c>
      <c r="E5548" s="38" t="n">
        <f aca="false">Q!$P$30</f>
        <v>2.57</v>
      </c>
      <c r="F5548" s="38" t="n">
        <f aca="false">(Sens!$D$5546*Sens!$F$5422+(1-ext_sh)*Sens!$F$5468)*(1-Sens!$F$5423)</f>
        <v>3.59937168293151</v>
      </c>
      <c r="G5548" s="38" t="n">
        <f aca="false">Sens!$E$5548+Sens!$F$5548</f>
        <v>6.16937168293151</v>
      </c>
      <c r="H5548" s="38" t="n">
        <f aca="false">(Sens!$D$5546*Sens!$H$5422+(1-ext_sh)*Sens!$H$5468)*(1-Sens!$H$5423)</f>
        <v>8.28915290031442</v>
      </c>
      <c r="I5548" s="38" t="n">
        <f aca="false">(Sens!$D$5546*Sens!$I$5422+(1-ext_sh)*Sens!$I$5468)*(1-Sens!$I$5423)</f>
        <v>10.4617892992793</v>
      </c>
      <c r="J5548" s="38" t="n">
        <f aca="false">(Sens!$D$5546*Sens!$J$5422+(1-ext_sh)*Sens!$J$5468)*(1-Sens!$J$5423)</f>
        <v>12.6446586493057</v>
      </c>
      <c r="K5548" s="38" t="n">
        <f aca="false">(Sens!$D$5546*Sens!$K$5422+(1-ext_sh)*Sens!$K$5468)*(1-Sens!$K$5423)</f>
        <v>14.7947681131192</v>
      </c>
      <c r="L5548" s="38" t="n">
        <f aca="false">(Sens!$D$5546*Sens!$L$5422+(1-ext_sh)*Sens!$L$5468)*(1-Sens!$L$5423)</f>
        <v>16.4761888940278</v>
      </c>
      <c r="M5548" s="38" t="n">
        <f aca="false">(Sens!$D$5546*Sens!$M$5422+(1-ext_sh)*Sens!$M$5468)*(1-Sens!$M$5423)</f>
        <v>17.7810999047803</v>
      </c>
      <c r="N5548" s="38" t="n">
        <f aca="false">Q!$N$30</f>
        <v>2.316</v>
      </c>
      <c r="O5548" s="38" t="n">
        <f aca="false">Q!$O$30</f>
        <v>2.591</v>
      </c>
    </row>
    <row r="5549" customFormat="false" ht="17.15" hidden="false" customHeight="false" outlineLevel="0" collapsed="false">
      <c r="A5549" s="0" t="s">
        <v>541</v>
      </c>
      <c r="B5549" s="0" t="s">
        <v>86</v>
      </c>
      <c r="C5549" s="38" t="n">
        <f aca="false">Sens!$C$5480</f>
        <v>13.32</v>
      </c>
      <c r="D5549" s="38" t="n">
        <f aca="false">Sens!$D$5480</f>
        <v>21.45</v>
      </c>
      <c r="E5549" s="38" t="n">
        <f aca="false">Sens!$E$5480</f>
        <v>15.353</v>
      </c>
      <c r="F5549" s="38" t="n">
        <f aca="false">Sens!$F$5480</f>
        <v>15.4404120185306</v>
      </c>
      <c r="G5549" s="38" t="n">
        <f aca="false">Sens!$G$5480</f>
        <v>30.7934120185306</v>
      </c>
      <c r="H5549" s="38" t="n">
        <f aca="false">Sens!$H$5480</f>
        <v>48.250114371455</v>
      </c>
      <c r="I5549" s="38" t="n">
        <f aca="false">Sens!$I$5480</f>
        <v>73.3965146995963</v>
      </c>
      <c r="J5549" s="38" t="n">
        <f aca="false">Sens!$J$5480</f>
        <v>99.22806138309</v>
      </c>
      <c r="K5549" s="38" t="n">
        <f aca="false">Sens!$K$5480</f>
        <v>125.386627452856</v>
      </c>
      <c r="L5549" s="38" t="n">
        <f aca="false">Sens!$L$5480</f>
        <v>144.460334766067</v>
      </c>
      <c r="M5549" s="38" t="n">
        <f aca="false">Sens!$M$5480</f>
        <v>157.757763910934</v>
      </c>
      <c r="N5549" s="38" t="n">
        <f aca="false">Sens!$N$5480</f>
        <v>9.234</v>
      </c>
      <c r="O5549" s="38" t="n">
        <f aca="false">Sens!$O$5480</f>
        <v>12.216</v>
      </c>
    </row>
    <row r="5550" customFormat="false" ht="17.15" hidden="false" customHeight="false" outlineLevel="0" collapsed="false">
      <c r="A5550" s="5" t="s">
        <v>745</v>
      </c>
      <c r="B5550" s="0" t="s">
        <v>86</v>
      </c>
      <c r="C5550" s="38" t="n">
        <f aca="false">Sens!$C$5547+Sens!$C$5548+Sens!$C$5549</f>
        <v>32.067</v>
      </c>
      <c r="D5550" s="38" t="n">
        <f aca="false">Sens!$D$5547+Sens!$D$5548+Sens!$D$5549</f>
        <v>41.86</v>
      </c>
      <c r="E5550" s="38" t="n">
        <f aca="false">Sens!$E$5547+Sens!$E$5548+Sens!$E$5549</f>
        <v>26.703</v>
      </c>
      <c r="F5550" s="38" t="n">
        <f aca="false">Sens!$F$5547+Sens!$F$5548+Sens!$F$5549</f>
        <v>28.2071421626285</v>
      </c>
      <c r="G5550" s="38" t="n">
        <f aca="false">Sens!$G$5547+Sens!$G$5548+Sens!$G$5549</f>
        <v>54.9101421626285</v>
      </c>
      <c r="H5550" s="38" t="n">
        <f aca="false">Sens!$H$5547+Sens!$H$5548+Sens!$H$5549</f>
        <v>78.1799395827871</v>
      </c>
      <c r="I5550" s="38" t="n">
        <f aca="false">Sens!$I$5547+Sens!$I$5548+Sens!$I$5549</f>
        <v>111.171125554384</v>
      </c>
      <c r="J5550" s="38" t="n">
        <f aca="false">Sens!$J$5547+Sens!$J$5548+Sens!$J$5549</f>
        <v>144.884406220971</v>
      </c>
      <c r="K5550" s="38" t="n">
        <f aca="false">Sens!$K$5547+Sens!$K$5548+Sens!$K$5549</f>
        <v>178.806419437999</v>
      </c>
      <c r="L5550" s="38" t="n">
        <f aca="false">Sens!$L$5547+Sens!$L$5548+Sens!$L$5549</f>
        <v>203.951269446309</v>
      </c>
      <c r="M5550" s="38" t="n">
        <f aca="false">Sens!$M$5547+Sens!$M$5548+Sens!$M$5549</f>
        <v>221.960369245325</v>
      </c>
      <c r="N5550" s="38" t="n">
        <f aca="false">Sens!$N$5547+Sens!$N$5548+Sens!$N$5549</f>
        <v>18.822</v>
      </c>
      <c r="O5550" s="38" t="n">
        <f aca="false">Sens!$O$5547+Sens!$O$5548+Sens!$O$5549</f>
        <v>23.038</v>
      </c>
    </row>
    <row r="5551" customFormat="false" ht="17.15" hidden="false" customHeight="false" outlineLevel="0" collapsed="false">
      <c r="A5551" s="0" t="s">
        <v>746</v>
      </c>
      <c r="B5551" s="0" t="s">
        <v>86</v>
      </c>
      <c r="C5551" s="38" t="n">
        <f aca="false">Sens!$C$5522+Sens!$C$5527</f>
        <v>28.107</v>
      </c>
      <c r="D5551" s="38" t="n">
        <f aca="false">Sens!$D$5522+Sens!$D$5527</f>
        <v>34.3175</v>
      </c>
      <c r="E5551" s="38" t="n">
        <f aca="false">Sens!$E$5522+Sens!$E$5527</f>
        <v>18.526</v>
      </c>
      <c r="F5551" s="38" t="n">
        <f aca="false">Sens!$F$5522+Sens!$F$5527</f>
        <v>23.0786109972074</v>
      </c>
      <c r="G5551" s="38" t="n">
        <f aca="false">Sens!$G$5522+Sens!$G$5527</f>
        <v>41.6046109972074</v>
      </c>
      <c r="H5551" s="38" t="n">
        <f aca="false">Sens!$H$5522+Sens!$H$5527</f>
        <v>49.9484611939488</v>
      </c>
      <c r="I5551" s="38" t="n">
        <f aca="false">Sens!$I$5522+Sens!$I$5527</f>
        <v>58.2915555477481</v>
      </c>
      <c r="J5551" s="38" t="n">
        <f aca="false">Sens!$J$5522+Sens!$J$5527</f>
        <v>66.0744709709759</v>
      </c>
      <c r="K5551" s="38" t="n">
        <f aca="false">Sens!$K$5522+Sens!$K$5527</f>
        <v>72.6819180680735</v>
      </c>
      <c r="L5551" s="38" t="n">
        <f aca="false">Sens!$L$5522+Sens!$L$5527</f>
        <v>79.9501098748808</v>
      </c>
      <c r="M5551" s="38" t="n">
        <f aca="false">Sens!$M$5522+Sens!$M$5527</f>
        <v>87.9451208623689</v>
      </c>
      <c r="N5551" s="38" t="n">
        <f aca="false">Sens!$N$5522+Sens!$N$5527</f>
        <v>14.8075</v>
      </c>
      <c r="O5551" s="38" t="n">
        <f aca="false">Sens!$O$5522+Sens!$O$5527</f>
        <v>19.51</v>
      </c>
    </row>
    <row r="5552" customFormat="false" ht="17.15" hidden="false" customHeight="false" outlineLevel="0" collapsed="false">
      <c r="A5552" s="0" t="s">
        <v>747</v>
      </c>
      <c r="B5552" s="0" t="s">
        <v>86</v>
      </c>
      <c r="C5552" s="38" t="n">
        <f aca="false">Sens!$C$5526+Sens!$C$5531+Sens!$C$5547+Sens!$C$5548-Sens!$C$5551</f>
        <v>19.399</v>
      </c>
      <c r="D5552" s="38" t="n">
        <f aca="false">Sens!$D$5526+Sens!$D$5531+Sens!$D$5547+Sens!$D$5548-Sens!$D$5551</f>
        <v>20.4615</v>
      </c>
      <c r="E5552" s="38" t="n">
        <f aca="false">Sens!$E$5526+Sens!$E$5531+Sens!$E$5547+Sens!$E$5548-Sens!$E$5551</f>
        <v>13.355</v>
      </c>
      <c r="F5552" s="38" t="n">
        <f aca="false">Sens!$F$5526+Sens!$F$5531+Sens!$F$5547+Sens!$F$5548-Sens!$F$5551</f>
        <v>12.5520732018618</v>
      </c>
      <c r="G5552" s="38" t="n">
        <f aca="false">Sens!$G$5526+Sens!$G$5531+Sens!$G$5547+Sens!$G$5548-Sens!$G$5551</f>
        <v>25.9070732018618</v>
      </c>
      <c r="H5552" s="38" t="n">
        <f aca="false">Sens!$H$5526+Sens!$H$5531+Sens!$H$5547+Sens!$H$5548-Sens!$H$5551</f>
        <v>28.0233335906818</v>
      </c>
      <c r="I5552" s="38" t="n">
        <f aca="false">Sens!$I$5526+Sens!$I$5531+Sens!$I$5547+Sens!$I$5548-Sens!$I$5551</f>
        <v>30.2440066606864</v>
      </c>
      <c r="J5552" s="38" t="n">
        <f aca="false">Sens!$J$5526+Sens!$J$5531+Sens!$J$5547+Sens!$J$5548-Sens!$J$5551</f>
        <v>32.4596500296286</v>
      </c>
      <c r="K5552" s="38" t="n">
        <f aca="false">Sens!$K$5526+Sens!$K$5531+Sens!$K$5547+Sens!$K$5548-Sens!$K$5551</f>
        <v>34.8536245233336</v>
      </c>
      <c r="L5552" s="38" t="n">
        <f aca="false">Sens!$L$5526+Sens!$L$5531+Sens!$L$5547+Sens!$L$5548-Sens!$L$5551</f>
        <v>36.4990730853599</v>
      </c>
      <c r="M5552" s="38" t="n">
        <f aca="false">Sens!$M$5526+Sens!$M$5531+Sens!$M$5547+Sens!$M$5548-Sens!$M$5551</f>
        <v>38.9687393433834</v>
      </c>
      <c r="N5552" s="38" t="n">
        <f aca="false">Sens!$N$5526+Sens!$N$5531+Sens!$N$5547+Sens!$N$5548-Sens!$N$5551</f>
        <v>10.6495</v>
      </c>
      <c r="O5552" s="38" t="n">
        <f aca="false">Sens!$O$5526+Sens!$O$5531+Sens!$O$5547+Sens!$O$5548-Sens!$O$5551</f>
        <v>9.81200000000001</v>
      </c>
    </row>
    <row r="5553" customFormat="false" ht="17.15" hidden="false" customHeight="false" outlineLevel="0" collapsed="false">
      <c r="A5553" s="0" t="s">
        <v>748</v>
      </c>
      <c r="B5553" s="0" t="s">
        <v>86</v>
      </c>
      <c r="C5553" s="38" t="n">
        <f aca="false">Sens!$C$5533+Sens!$C$5549-ext_sh*Sens!$C$5468</f>
        <v>51.3470500115664</v>
      </c>
      <c r="D5553" s="38" t="n">
        <f aca="false">Sens!$D$5533+Sens!$D$5549-ext_sh*Sens!$D$5468</f>
        <v>60.2799375433739</v>
      </c>
      <c r="E5553" s="38" t="n">
        <f aca="false">Sens!$E$5533+Sens!$E$5549-ext_sh*Sens!$E$5468</f>
        <v>39.5095167090767</v>
      </c>
      <c r="F5553" s="38" t="n">
        <f aca="false">Sens!$F$5533+Sens!$F$5549-ext_sh*Sens!$F$5468</f>
        <v>37.5468918745429</v>
      </c>
      <c r="G5553" s="38" t="n">
        <f aca="false">Sens!$G$5533+Sens!$G$5549-ext_sh*Sens!$G$5468</f>
        <v>77.0564085836196</v>
      </c>
      <c r="H5553" s="38" t="n">
        <f aca="false">Sens!$H$5533+Sens!$H$5549-ext_sh*Sens!$H$5468</f>
        <v>84.2378398616123</v>
      </c>
      <c r="I5553" s="38" t="n">
        <f aca="false">Sens!$I$5533+Sens!$I$5549-ext_sh*Sens!$I$5468</f>
        <v>93.5253492849083</v>
      </c>
      <c r="J5553" s="38" t="n">
        <f aca="false">Sens!$J$5533+Sens!$J$5549-ext_sh*Sens!$J$5468</f>
        <v>102.42210777817</v>
      </c>
      <c r="K5553" s="38" t="n">
        <f aca="false">Sens!$K$5533+Sens!$K$5549-ext_sh*Sens!$K$5468</f>
        <v>110.615876400424</v>
      </c>
      <c r="L5553" s="38" t="n">
        <f aca="false">Sens!$L$5533+Sens!$L$5549-ext_sh*Sens!$L$5468</f>
        <v>119.465146512458</v>
      </c>
      <c r="M5553" s="38" t="n">
        <f aca="false">Sens!$M$5533+Sens!$M$5549-ext_sh*Sens!$M$5468</f>
        <v>129.022358233455</v>
      </c>
      <c r="N5553" s="38" t="n">
        <f aca="false">Sens!$N$5533+Sens!$N$5549-ext_sh*Sens!$N$5468</f>
        <v>28.5693781401809</v>
      </c>
      <c r="O5553" s="38" t="n">
        <f aca="false">Sens!$O$5533+Sens!$O$5549-ext_sh*Sens!$O$5468</f>
        <v>31.7105594031931</v>
      </c>
    </row>
    <row r="5554" customFormat="false" ht="17.15" hidden="false" customHeight="false" outlineLevel="0" collapsed="false">
      <c r="A5554" s="0" t="s">
        <v>749</v>
      </c>
      <c r="B5554" s="0" t="s">
        <v>86</v>
      </c>
      <c r="C5554" s="38" t="n">
        <f aca="false">Sens!$C$5471</f>
        <v>1.80694998843362</v>
      </c>
      <c r="D5554" s="38" t="n">
        <f aca="false">Sens!$D$5471</f>
        <v>6.77606245662607</v>
      </c>
      <c r="E5554" s="38" t="n">
        <f aca="false">Sens!$E$5471</f>
        <v>6.62548329092326</v>
      </c>
      <c r="F5554" s="38" t="n">
        <f aca="false">Sens!$F$5471</f>
        <v>11.7200577158706</v>
      </c>
      <c r="G5554" s="38" t="n">
        <f aca="false">Sens!$G$5471</f>
        <v>18.3455410067939</v>
      </c>
      <c r="H5554" s="38" t="n">
        <f aca="false">Sens!$H$5471</f>
        <v>47.5171727060453</v>
      </c>
      <c r="I5554" s="38" t="n">
        <f aca="false">Sens!$I$5471</f>
        <v>80.5539692643667</v>
      </c>
      <c r="J5554" s="38" t="n">
        <f aca="false">Sens!$J$5471</f>
        <v>113.759316834883</v>
      </c>
      <c r="K5554" s="38" t="n">
        <f aca="false">Sens!$K$5471</f>
        <v>141.855203603144</v>
      </c>
      <c r="L5554" s="38" t="n">
        <f aca="false">Sens!$L$5471</f>
        <v>159.789055430453</v>
      </c>
      <c r="M5554" s="38" t="n">
        <f aca="false">Sens!$M$5471</f>
        <v>167.532378081213</v>
      </c>
      <c r="N5554" s="38" t="n">
        <f aca="false">Sens!$N$5471</f>
        <v>2.37162185981912</v>
      </c>
      <c r="O5554" s="38" t="n">
        <f aca="false">Sens!$O$5471</f>
        <v>4.40444059680694</v>
      </c>
    </row>
    <row r="5555" customFormat="false" ht="17.15" hidden="false" customHeight="false" outlineLevel="0" collapsed="false">
      <c r="A5555" s="0" t="s">
        <v>750</v>
      </c>
      <c r="B5555" s="0" t="s">
        <v>86</v>
      </c>
      <c r="C5555" s="38" t="n">
        <f aca="false">Sens!$C$5536+Sens!$C$5550</f>
        <v>100.66</v>
      </c>
      <c r="D5555" s="38" t="n">
        <f aca="false">Sens!$D$5536+Sens!$D$5550</f>
        <v>121.835</v>
      </c>
      <c r="E5555" s="38" t="n">
        <f aca="false">Sens!$E$5536+Sens!$E$5550</f>
        <v>78.016</v>
      </c>
      <c r="F5555" s="38" t="n">
        <f aca="false">Sens!$F$5536+Sens!$F$5550</f>
        <v>84.8976337894826</v>
      </c>
      <c r="G5555" s="38" t="n">
        <f aca="false">Sens!$G$5536+Sens!$G$5550</f>
        <v>162.913633789483</v>
      </c>
      <c r="H5555" s="38" t="n">
        <f aca="false">Sens!$H$5536+Sens!$H$5550</f>
        <v>209.726807352288</v>
      </c>
      <c r="I5555" s="38" t="n">
        <f aca="false">Sens!$I$5536+Sens!$I$5550</f>
        <v>262.61488075771</v>
      </c>
      <c r="J5555" s="38" t="n">
        <f aca="false">Sens!$J$5536+Sens!$J$5550</f>
        <v>314.715545613658</v>
      </c>
      <c r="K5555" s="38" t="n">
        <f aca="false">Sens!$K$5536+Sens!$K$5550</f>
        <v>360.006622594975</v>
      </c>
      <c r="L5555" s="38" t="n">
        <f aca="false">Sens!$L$5536+Sens!$L$5550</f>
        <v>395.703384903152</v>
      </c>
      <c r="M5555" s="38" t="n">
        <f aca="false">Sens!$M$5536+Sens!$M$5550</f>
        <v>423.46859652042</v>
      </c>
      <c r="N5555" s="38" t="n">
        <f aca="false">Sens!$N$5536+Sens!$N$5550</f>
        <v>56.398</v>
      </c>
      <c r="O5555" s="38" t="n">
        <f aca="false">Sens!$O$5536+Sens!$O$5550</f>
        <v>65.437</v>
      </c>
    </row>
    <row r="5556" customFormat="false" ht="17.15" hidden="false" customHeight="false" outlineLevel="0" collapsed="false">
      <c r="A5556" s="1" t="s">
        <v>751</v>
      </c>
    </row>
    <row r="5557" customFormat="false" ht="15" hidden="false" customHeight="false" outlineLevel="0" collapsed="false">
      <c r="A5557" s="5" t="s">
        <v>544</v>
      </c>
      <c r="B5557" s="0" t="s">
        <v>86</v>
      </c>
      <c r="C5557" s="38" t="n">
        <f aca="false">Q!$D$34</f>
        <v>2.406</v>
      </c>
      <c r="D5557" s="38" t="n">
        <f aca="false">Q!$E$34</f>
        <v>2.274</v>
      </c>
      <c r="E5557" s="38" t="n">
        <f aca="false">Q!$P$34</f>
        <v>2.114</v>
      </c>
      <c r="F5557" s="38" t="n">
        <f aca="false">Sens!$F$5595</f>
        <v>3.24888962733561</v>
      </c>
      <c r="G5557" s="38" t="n">
        <f aca="false">Sens!$E$5557+Sens!$F$5557</f>
        <v>5.36288962733561</v>
      </c>
      <c r="H5557" s="38" t="n">
        <f aca="false">Sens!$H$5595</f>
        <v>7.42354172302123</v>
      </c>
      <c r="I5557" s="38" t="n">
        <f aca="false">Sens!$I$5595</f>
        <v>8.48968024898619</v>
      </c>
      <c r="J5557" s="38" t="n">
        <f aca="false">Sens!$J$5595</f>
        <v>9.63598826439483</v>
      </c>
      <c r="K5557" s="38" t="n">
        <f aca="false">Sens!$K$5595</f>
        <v>9.63598826439483</v>
      </c>
      <c r="L5557" s="38" t="n">
        <f aca="false">Sens!$L$5595</f>
        <v>9.63598826439483</v>
      </c>
      <c r="M5557" s="38" t="n">
        <f aca="false">Sens!$M$5595</f>
        <v>9.63598826439483</v>
      </c>
      <c r="N5557" s="38" t="n">
        <f aca="false">Q!$N$34</f>
        <v>1.057</v>
      </c>
      <c r="O5557" s="38" t="n">
        <f aca="false">Q!$O$34</f>
        <v>1.217</v>
      </c>
    </row>
    <row r="5558" customFormat="false" ht="15" hidden="false" customHeight="false" outlineLevel="0" collapsed="false">
      <c r="A5558" s="5" t="s">
        <v>752</v>
      </c>
      <c r="B5558" s="0" t="s">
        <v>86</v>
      </c>
      <c r="F5558" s="38" t="n">
        <f aca="false">Sens!$F$5596</f>
        <v>2.59</v>
      </c>
      <c r="H5558" s="38" t="n">
        <f aca="false">Sens!$H$5596</f>
        <v>3.76965165045626</v>
      </c>
      <c r="I5558" s="38" t="n">
        <f aca="false">Sens!$I$5596</f>
        <v>2.10589651022864</v>
      </c>
      <c r="J5558" s="38" t="n">
        <f aca="false">Sens!$J$5596</f>
        <v>2.10589651022864</v>
      </c>
      <c r="K5558" s="38" t="n">
        <f aca="false">Sens!$K$5596</f>
        <v>3.03184385018094</v>
      </c>
      <c r="L5558" s="38" t="n">
        <f aca="false">Sens!$L$5596</f>
        <v>8.12851579968782</v>
      </c>
      <c r="M5558" s="38" t="n">
        <f aca="false">Sens!$M$5596</f>
        <v>15.7876465675307</v>
      </c>
    </row>
    <row r="5559" customFormat="false" ht="17.15" hidden="false" customHeight="false" outlineLevel="0" collapsed="false">
      <c r="A5559" s="5" t="s">
        <v>753</v>
      </c>
      <c r="B5559" s="0" t="s">
        <v>86</v>
      </c>
      <c r="C5559" s="38" t="n">
        <f aca="false">Q!$D$39</f>
        <v>2.427</v>
      </c>
      <c r="D5559" s="38" t="n">
        <f aca="false">Q!$E$39</f>
        <v>19.61</v>
      </c>
      <c r="E5559" s="38" t="n">
        <f aca="false">Q!$P$39</f>
        <v>71.492</v>
      </c>
      <c r="F5559" s="39" t="n">
        <v>0</v>
      </c>
      <c r="G5559" s="38" t="n">
        <f aca="false">Sens!$E$5559+Sens!$F$5559</f>
        <v>71.492</v>
      </c>
      <c r="H5559" s="39" t="n">
        <v>0</v>
      </c>
      <c r="I5559" s="39" t="n">
        <v>0</v>
      </c>
      <c r="J5559" s="39" t="n">
        <v>0</v>
      </c>
      <c r="K5559" s="39" t="n">
        <v>0</v>
      </c>
      <c r="L5559" s="39" t="n">
        <v>0</v>
      </c>
      <c r="M5559" s="39" t="n">
        <v>0</v>
      </c>
      <c r="N5559" s="38" t="n">
        <f aca="false">Q!$N$39</f>
        <v>6.017</v>
      </c>
      <c r="O5559" s="38" t="n">
        <f aca="false">Q!$O$39</f>
        <v>13.593</v>
      </c>
      <c r="P5559" s="5" t="s">
        <v>754</v>
      </c>
    </row>
    <row r="5560" customFormat="false" ht="15" hidden="false" customHeight="false" outlineLevel="0" collapsed="false">
      <c r="A5560" s="5" t="s">
        <v>547</v>
      </c>
      <c r="B5560" s="0" t="s">
        <v>86</v>
      </c>
      <c r="C5560" s="38" t="n">
        <f aca="false">Q!$D$36</f>
        <v>68.614</v>
      </c>
      <c r="D5560" s="38" t="n">
        <f aca="false">Q!$E$36</f>
        <v>97.311</v>
      </c>
      <c r="E5560" s="38" t="n">
        <f aca="false">Q!$P$36</f>
        <v>120.691</v>
      </c>
      <c r="F5560" s="38" t="n">
        <f aca="false">Sens!$F$5536-Sens!$F$5557+Sens!$F$5558+Sens!$F$5559</f>
        <v>56.0316019995185</v>
      </c>
      <c r="G5560" s="38" t="n">
        <f aca="false">Sens!$E$5560+Sens!$F$5560</f>
        <v>176.722601999518</v>
      </c>
      <c r="H5560" s="38" t="n">
        <f aca="false">Sens!$H$5536-Sens!$H$5557+Sens!$H$5558+Sens!$H$5559</f>
        <v>127.892977696936</v>
      </c>
      <c r="I5560" s="38" t="n">
        <f aca="false">Sens!$I$5536-Sens!$I$5557+Sens!$I$5558+Sens!$I$5559</f>
        <v>145.059971464568</v>
      </c>
      <c r="J5560" s="38" t="n">
        <f aca="false">Sens!$J$5536-Sens!$J$5557+Sens!$J$5558+Sens!$J$5559</f>
        <v>162.301047638521</v>
      </c>
      <c r="K5560" s="38" t="n">
        <f aca="false">Sens!$K$5536-Sens!$K$5557+Sens!$K$5558+Sens!$K$5559</f>
        <v>174.596058742762</v>
      </c>
      <c r="L5560" s="38" t="n">
        <f aca="false">Sens!$L$5536-Sens!$L$5557+Sens!$L$5558+Sens!$L$5559</f>
        <v>190.244642992136</v>
      </c>
      <c r="M5560" s="38" t="n">
        <f aca="false">Sens!$M$5536-Sens!$M$5557+Sens!$M$5558+Sens!$M$5559</f>
        <v>207.65988557823</v>
      </c>
      <c r="N5560" s="38" t="n">
        <f aca="false">Q!$N$36</f>
        <v>42.536</v>
      </c>
      <c r="O5560" s="38" t="n">
        <f aca="false">Q!$O$36</f>
        <v>54.775</v>
      </c>
    </row>
    <row r="5561" customFormat="false" ht="15" hidden="false" customHeight="false" outlineLevel="0" collapsed="false">
      <c r="A5561" s="5" t="s">
        <v>548</v>
      </c>
      <c r="B5561" s="0" t="s">
        <v>86</v>
      </c>
      <c r="C5561" s="38" t="n">
        <f aca="false">Q!$D$37</f>
        <v>9.265</v>
      </c>
      <c r="D5561" s="38" t="n">
        <f aca="false">Q!$E$37</f>
        <v>19.087</v>
      </c>
      <c r="E5561" s="38" t="n">
        <f aca="false">Q!$P$37</f>
        <v>27.759</v>
      </c>
      <c r="F5561" s="38" t="n">
        <f aca="false">Sens!$F$5560*tax</f>
        <v>9.72621910890414</v>
      </c>
      <c r="G5561" s="38" t="n">
        <f aca="false">Sens!$E$5561+Sens!$F$5561</f>
        <v>37.4852191089041</v>
      </c>
      <c r="H5561" s="38" t="n">
        <f aca="false">Sens!$H$5560*tax</f>
        <v>22.2002419916761</v>
      </c>
      <c r="I5561" s="38" t="n">
        <f aca="false">Sens!$I$5560*tax</f>
        <v>25.1801664783365</v>
      </c>
      <c r="J5561" s="38" t="n">
        <f aca="false">Sens!$J$5560*tax</f>
        <v>28.1729505244292</v>
      </c>
      <c r="K5561" s="38" t="n">
        <f aca="false">Sens!$K$5560*tax</f>
        <v>30.3071742067591</v>
      </c>
      <c r="L5561" s="38" t="n">
        <f aca="false">Sens!$L$5560*tax</f>
        <v>33.0235262959761</v>
      </c>
      <c r="M5561" s="38" t="n">
        <f aca="false">Sens!$M$5560*tax</f>
        <v>36.0465429362735</v>
      </c>
      <c r="N5561" s="38" t="n">
        <f aca="false">Q!$N$37</f>
        <v>7.231</v>
      </c>
      <c r="O5561" s="38" t="n">
        <f aca="false">Q!$O$37</f>
        <v>11.856</v>
      </c>
    </row>
    <row r="5562" customFormat="false" ht="15" hidden="false" customHeight="false" outlineLevel="0" collapsed="false">
      <c r="A5562" s="3" t="s">
        <v>549</v>
      </c>
      <c r="B5562" s="8" t="s">
        <v>86</v>
      </c>
      <c r="C5562" s="38" t="n">
        <f aca="false">Q!$D$38</f>
        <v>59.248</v>
      </c>
      <c r="D5562" s="38" t="n">
        <f aca="false">Q!$E$38</f>
        <v>77.67</v>
      </c>
      <c r="E5562" s="38" t="n">
        <f aca="false">Q!$P$38</f>
        <v>92.902</v>
      </c>
      <c r="F5562" s="38" t="n">
        <f aca="false">Sens!$F$5560-Sens!$F$5561</f>
        <v>46.3053828906144</v>
      </c>
      <c r="G5562" s="38" t="n">
        <f aca="false">Sens!$E$5562+Sens!$F$5562</f>
        <v>139.207382890614</v>
      </c>
      <c r="H5562" s="38" t="n">
        <f aca="false">Sens!$H$5560-Sens!$H$5561</f>
        <v>105.69273570526</v>
      </c>
      <c r="I5562" s="38" t="n">
        <f aca="false">Sens!$I$5560-Sens!$I$5561</f>
        <v>119.879804986231</v>
      </c>
      <c r="J5562" s="38" t="n">
        <f aca="false">Sens!$J$5560-Sens!$J$5561</f>
        <v>134.128097114092</v>
      </c>
      <c r="K5562" s="38" t="n">
        <f aca="false">Sens!$K$5560-Sens!$K$5561</f>
        <v>144.288884536003</v>
      </c>
      <c r="L5562" s="38" t="n">
        <f aca="false">Sens!$L$5560-Sens!$L$5561</f>
        <v>157.22111669616</v>
      </c>
      <c r="M5562" s="38" t="n">
        <f aca="false">Sens!$M$5560-Sens!$M$5561</f>
        <v>171.613342641957</v>
      </c>
      <c r="N5562" s="38" t="n">
        <f aca="false">Q!$N$38</f>
        <v>35.291</v>
      </c>
      <c r="O5562" s="38" t="n">
        <f aca="false">Q!$O$38</f>
        <v>42.379</v>
      </c>
    </row>
    <row r="5563" customFormat="false" ht="17.15" hidden="false" customHeight="false" outlineLevel="0" collapsed="false">
      <c r="A5563" s="5" t="s">
        <v>552</v>
      </c>
      <c r="B5563" s="5" t="s">
        <v>33</v>
      </c>
      <c r="C5563" s="22" t="n">
        <f aca="false">Q!$D$41</f>
        <v>10.721</v>
      </c>
      <c r="D5563" s="22" t="n">
        <f aca="false">Q!$E$41</f>
        <v>10.827</v>
      </c>
      <c r="E5563" s="22" t="n">
        <f aca="false">(Q!$L$41+Q!$M$41)/2</f>
        <v>10.8885</v>
      </c>
      <c r="F5563" s="22" t="n">
        <f aca="false">Sens!$G$5563</f>
        <v>10.924806</v>
      </c>
      <c r="G5563" s="22" t="n">
        <f aca="false">Q!$M$41*(1+sh_g*0.25)</f>
        <v>10.924806</v>
      </c>
      <c r="H5563" s="22" t="n">
        <f aca="false">Sens!$G$5563*(1+sh_g)</f>
        <v>11.012204448</v>
      </c>
      <c r="I5563" s="22" t="n">
        <f aca="false">Sens!$H$5563*(1+sh_g)</f>
        <v>11.100302083584</v>
      </c>
      <c r="J5563" s="22" t="n">
        <f aca="false">Sens!$I$5563*(1+sh_g)</f>
        <v>11.1891045002527</v>
      </c>
      <c r="K5563" s="22" t="n">
        <f aca="false">Sens!$J$5563*(1+sh_g)</f>
        <v>11.2786173362547</v>
      </c>
      <c r="L5563" s="22" t="n">
        <f aca="false">Sens!$K$5563*(1+sh_g)</f>
        <v>11.3688462749447</v>
      </c>
      <c r="M5563" s="22" t="n">
        <f aca="false">Sens!$L$5563*(1+sh_g)</f>
        <v>11.4597970451443</v>
      </c>
      <c r="P5563" s="5" t="s">
        <v>755</v>
      </c>
    </row>
    <row r="5564" customFormat="false" ht="17.15" hidden="false" customHeight="false" outlineLevel="0" collapsed="false">
      <c r="A5564" s="5" t="s">
        <v>756</v>
      </c>
      <c r="B5564" s="0" t="s">
        <v>86</v>
      </c>
      <c r="C5564" s="38" t="n">
        <f aca="false">Sens!$C$5562+Sens!$C$5538*(1-tax)</f>
        <v>59.248</v>
      </c>
      <c r="D5564" s="38" t="n">
        <f aca="false">Sens!$D$5562+Sens!$D$5538*(1-tax)</f>
        <v>77.67</v>
      </c>
      <c r="E5564" s="38" t="n">
        <f aca="false">Sens!$E$5562+Sens!$E$5538*(1-tax)</f>
        <v>92.902</v>
      </c>
      <c r="F5564" s="38" t="n">
        <f aca="false">Sens!$F$5562+Sens!$F$5538*(1-tax)</f>
        <v>49.421977850263</v>
      </c>
      <c r="G5564" s="38" t="n">
        <f aca="false">Sens!$G$5562+Sens!$G$5538*(1-tax)</f>
        <v>142.323977850263</v>
      </c>
      <c r="H5564" s="38" t="n">
        <f aca="false">Sens!$H$5562+Sens!$H$5538*(1-tax)</f>
        <v>118.224131660605</v>
      </c>
      <c r="I5564" s="38" t="n">
        <f aca="false">Sens!$I$5562+Sens!$I$5538*(1-tax)</f>
        <v>141.02107006117</v>
      </c>
      <c r="J5564" s="38" t="n">
        <f aca="false">Sens!$J$5562+Sens!$J$5538*(1-tax)</f>
        <v>163.917534058375</v>
      </c>
      <c r="K5564" s="38" t="n">
        <f aca="false">Sens!$K$5562+Sens!$K$5538*(1-tax)</f>
        <v>181.396621505494</v>
      </c>
      <c r="L5564" s="38" t="n">
        <f aca="false">Sens!$L$5562+Sens!$L$5538*(1-tax)</f>
        <v>199.000337339004</v>
      </c>
      <c r="M5564" s="38" t="n">
        <f aca="false">Sens!$M$5562+Sens!$M$5538*(1-tax)</f>
        <v>215.410755370338</v>
      </c>
      <c r="N5564" s="38" t="n">
        <f aca="false">Sens!$N$5562+Sens!$N$5538*(1-tax)</f>
        <v>35.291</v>
      </c>
      <c r="O5564" s="38" t="n">
        <f aca="false">Sens!$O$5562+Sens!$O$5538*(1-tax)</f>
        <v>42.379</v>
      </c>
    </row>
    <row r="5565" customFormat="false" ht="17.15" hidden="false" customHeight="false" outlineLevel="0" collapsed="false">
      <c r="A5565" s="43" t="s">
        <v>757</v>
      </c>
      <c r="B5565" s="14" t="s">
        <v>27</v>
      </c>
      <c r="C5565" s="44" t="n">
        <f aca="false">Sens!$C$5564/Sens!$C$5563</f>
        <v>5.52635015390355</v>
      </c>
      <c r="D5565" s="44" t="n">
        <f aca="false">Sens!$D$5564/Sens!$D$5563</f>
        <v>7.1737323358271</v>
      </c>
      <c r="E5565" s="44" t="n">
        <f aca="false">Sens!$E$5564/Sens!$E$5563</f>
        <v>8.53212104513937</v>
      </c>
      <c r="F5565" s="14"/>
      <c r="G5565" s="44" t="n">
        <f aca="false">Sens!$G$5564/Sens!$G$5563</f>
        <v>13.0275977303636</v>
      </c>
      <c r="H5565" s="44" t="n">
        <f aca="false">Sens!$H$5564/Sens!$H$5563</f>
        <v>10.7357370832392</v>
      </c>
      <c r="I5565" s="44" t="n">
        <f aca="false">Sens!$I$5564/Sens!$I$5563</f>
        <v>12.7042551634449</v>
      </c>
      <c r="J5565" s="44" t="n">
        <f aca="false">Sens!$J$5564/Sens!$J$5563</f>
        <v>14.6497455676344</v>
      </c>
      <c r="K5565" s="44" t="n">
        <f aca="false">Sens!$K$5564/Sens!$K$5563</f>
        <v>16.083232199252</v>
      </c>
      <c r="L5565" s="44" t="n">
        <f aca="false">Sens!$L$5564/Sens!$L$5563</f>
        <v>17.504004586426</v>
      </c>
      <c r="M5565" s="44" t="n">
        <f aca="false">Sens!$M$5564/Sens!$M$5563</f>
        <v>18.7970829257932</v>
      </c>
      <c r="N5565" s="14"/>
      <c r="O5565" s="14"/>
    </row>
    <row r="5566" customFormat="false" ht="17.15" hidden="false" customHeight="false" outlineLevel="0" collapsed="false">
      <c r="A5566" s="0" t="s">
        <v>758</v>
      </c>
      <c r="B5566" s="0" t="s">
        <v>27</v>
      </c>
      <c r="C5566" s="30" t="n">
        <f aca="false">Sens!$C$5562/Sens!$C$5563</f>
        <v>5.52635015390355</v>
      </c>
      <c r="D5566" s="30" t="n">
        <f aca="false">Sens!$D$5562/Sens!$D$5563</f>
        <v>7.1737323358271</v>
      </c>
      <c r="E5566" s="30" t="n">
        <f aca="false">Sens!$E$5562/Sens!$E$5563</f>
        <v>8.53212104513937</v>
      </c>
      <c r="G5566" s="30" t="n">
        <f aca="false">Sens!$G$5562/Sens!$G$5563</f>
        <v>12.7423208147233</v>
      </c>
      <c r="H5566" s="30" t="n">
        <f aca="false">Sens!$H$5562/Sens!$H$5563</f>
        <v>9.59778182509639</v>
      </c>
      <c r="I5566" s="30" t="n">
        <f aca="false">Sens!$I$5562/Sens!$I$5563</f>
        <v>10.799688520506</v>
      </c>
      <c r="J5566" s="30" t="n">
        <f aca="false">Sens!$J$5562/Sens!$J$5563</f>
        <v>11.9873844337644</v>
      </c>
      <c r="K5566" s="30" t="n">
        <f aca="false">Sens!$K$5562/Sens!$K$5563</f>
        <v>12.7931359167751</v>
      </c>
      <c r="L5566" s="30" t="n">
        <f aca="false">Sens!$L$5562/Sens!$L$5563</f>
        <v>13.8291180031744</v>
      </c>
      <c r="M5566" s="30" t="n">
        <f aca="false">Sens!$M$5562/Sens!$M$5563</f>
        <v>14.975251478356</v>
      </c>
    </row>
    <row r="5567" customFormat="false" ht="17.15" hidden="false" customHeight="false" outlineLevel="0" collapsed="false">
      <c r="A5567" s="0" t="s">
        <v>759</v>
      </c>
      <c r="B5567" s="0" t="s">
        <v>27</v>
      </c>
      <c r="C5567" s="30" t="n">
        <f aca="false">(Sens!$C$5562-Sens!$C$5559*(1-tax))/Sens!$C$5563</f>
        <v>5.33926775917445</v>
      </c>
      <c r="D5567" s="30" t="n">
        <f aca="false">(Sens!$D$5562-Sens!$D$5559*(1-tax))/Sens!$D$5563</f>
        <v>5.67691812755503</v>
      </c>
      <c r="E5567" s="30" t="n">
        <f aca="false">(Sens!$E$5562-Sens!$E$5559*(1-tax))/Sens!$E$5563</f>
        <v>3.10602057006846</v>
      </c>
      <c r="G5567" s="30" t="n">
        <f aca="false">(Sens!$G$5562-Sens!$G$5559*(1-tax))/Sens!$G$5563</f>
        <v>7.33425269682635</v>
      </c>
      <c r="H5567" s="30" t="n">
        <f aca="false">(Sens!$H$5562-Sens!$H$5559*(1-tax))/Sens!$H$5563</f>
        <v>9.59778182509639</v>
      </c>
      <c r="I5567" s="30" t="n">
        <f aca="false">(Sens!$I$5562-Sens!$I$5559*(1-tax))/Sens!$I$5563</f>
        <v>10.799688520506</v>
      </c>
      <c r="J5567" s="30" t="n">
        <f aca="false">(Sens!$J$5562-Sens!$J$5559*(1-tax))/Sens!$J$5563</f>
        <v>11.9873844337644</v>
      </c>
      <c r="K5567" s="30" t="n">
        <f aca="false">(Sens!$K$5562-Sens!$K$5559*(1-tax))/Sens!$K$5563</f>
        <v>12.7931359167751</v>
      </c>
      <c r="L5567" s="30" t="n">
        <f aca="false">(Sens!$L$5562-Sens!$L$5559*(1-tax))/Sens!$L$5563</f>
        <v>13.8291180031744</v>
      </c>
      <c r="M5567" s="30" t="n">
        <f aca="false">(Sens!$M$5562-Sens!$M$5559*(1-tax))/Sens!$M$5563</f>
        <v>14.975251478356</v>
      </c>
      <c r="P5567" s="5" t="s">
        <v>760</v>
      </c>
    </row>
    <row r="5568" customFormat="false" ht="17.15" hidden="false" customHeight="false" outlineLevel="0" collapsed="false">
      <c r="A5568" s="0" t="s">
        <v>761</v>
      </c>
      <c r="B5568" s="0" t="s">
        <v>52</v>
      </c>
      <c r="H5568" s="13" t="n">
        <f aca="false">Sens!$H$5565/Sens!$G$5565-1</f>
        <v>-0.175923504437261</v>
      </c>
      <c r="I5568" s="13" t="n">
        <f aca="false">Sens!$I$5565/Sens!$H$5565-1</f>
        <v>0.183361241519136</v>
      </c>
      <c r="J5568" s="13" t="n">
        <f aca="false">Sens!$J$5565/Sens!$I$5565-1</f>
        <v>0.153136911936991</v>
      </c>
      <c r="K5568" s="13" t="n">
        <f aca="false">Sens!$K$5565/Sens!$J$5565-1</f>
        <v>0.0978506162444597</v>
      </c>
      <c r="L5568" s="13" t="n">
        <f aca="false">Sens!$L$5565/Sens!$K$5565-1</f>
        <v>0.088338734998803</v>
      </c>
      <c r="M5568" s="13" t="n">
        <f aca="false">Sens!$M$5565/Sens!$L$5565-1</f>
        <v>0.0738732861376219</v>
      </c>
    </row>
    <row r="5571" customFormat="false" ht="19.4" hidden="false" customHeight="false" outlineLevel="0" collapsed="false">
      <c r="A5571" s="31" t="s">
        <v>1248</v>
      </c>
    </row>
    <row r="5572" customFormat="false" ht="17.15" hidden="false" customHeight="false" outlineLevel="0" collapsed="false">
      <c r="A5572" s="6" t="s">
        <v>16</v>
      </c>
      <c r="B5572" s="6" t="s">
        <v>17</v>
      </c>
      <c r="C5572" s="20" t="s">
        <v>497</v>
      </c>
      <c r="D5572" s="20" t="s">
        <v>498</v>
      </c>
      <c r="E5572" s="20" t="s">
        <v>580</v>
      </c>
      <c r="F5572" s="20" t="s">
        <v>581</v>
      </c>
      <c r="G5572" s="20" t="s">
        <v>582</v>
      </c>
      <c r="H5572" s="20" t="s">
        <v>583</v>
      </c>
      <c r="I5572" s="20" t="s">
        <v>584</v>
      </c>
      <c r="J5572" s="20" t="s">
        <v>585</v>
      </c>
      <c r="K5572" s="20" t="s">
        <v>586</v>
      </c>
      <c r="L5572" s="20" t="s">
        <v>587</v>
      </c>
      <c r="M5572" s="20" t="s">
        <v>588</v>
      </c>
      <c r="N5572" s="20" t="s">
        <v>589</v>
      </c>
      <c r="O5572" s="20" t="s">
        <v>590</v>
      </c>
      <c r="P5572" s="6" t="s">
        <v>23</v>
      </c>
      <c r="R5572" s="20" t="n">
        <v>2023</v>
      </c>
      <c r="S5572" s="20" t="n">
        <v>2024</v>
      </c>
      <c r="T5572" s="20" t="n">
        <v>2025</v>
      </c>
      <c r="U5572" s="20" t="n">
        <v>2026</v>
      </c>
      <c r="V5572" s="20" t="n">
        <v>2027</v>
      </c>
      <c r="W5572" s="20" t="n">
        <v>2028</v>
      </c>
      <c r="X5572" s="20" t="n">
        <v>2029</v>
      </c>
      <c r="Y5572" s="20" t="n">
        <v>2030</v>
      </c>
      <c r="Z5572" s="20" t="n">
        <v>2031</v>
      </c>
      <c r="AA5572" s="20" t="n">
        <v>2032</v>
      </c>
    </row>
    <row r="5573" customFormat="false" ht="15" hidden="false" customHeight="false" outlineLevel="0" collapsed="false">
      <c r="A5573" s="5" t="s">
        <v>549</v>
      </c>
      <c r="B5573" s="0" t="s">
        <v>86</v>
      </c>
      <c r="C5573" s="38" t="n">
        <f aca="false">Sens!$C$5562</f>
        <v>59.248</v>
      </c>
      <c r="D5573" s="38" t="n">
        <f aca="false">Sens!$D$5562</f>
        <v>77.67</v>
      </c>
      <c r="E5573" s="38" t="n">
        <f aca="false">Sens!$E$5562</f>
        <v>92.902</v>
      </c>
      <c r="F5573" s="38" t="n">
        <f aca="false">Sens!$F$5562</f>
        <v>46.3053828906144</v>
      </c>
      <c r="G5573" s="38" t="n">
        <f aca="false">Sens!$G$5562</f>
        <v>139.207382890614</v>
      </c>
      <c r="H5573" s="38" t="n">
        <f aca="false">Sens!$H$5562</f>
        <v>105.69273570526</v>
      </c>
      <c r="I5573" s="38" t="n">
        <f aca="false">Sens!$I$5562</f>
        <v>119.879804986231</v>
      </c>
      <c r="J5573" s="38" t="n">
        <f aca="false">Sens!$J$5562</f>
        <v>134.128097114092</v>
      </c>
      <c r="K5573" s="38" t="n">
        <f aca="false">Sens!$K$5562</f>
        <v>144.288884536003</v>
      </c>
      <c r="L5573" s="38" t="n">
        <f aca="false">Sens!$L$5562</f>
        <v>157.22111669616</v>
      </c>
      <c r="M5573" s="38" t="n">
        <f aca="false">Sens!$M$5562</f>
        <v>171.613342641957</v>
      </c>
    </row>
    <row r="5574" customFormat="false" ht="17.15" hidden="false" customHeight="false" outlineLevel="0" collapsed="false">
      <c r="A5574" s="5" t="s">
        <v>784</v>
      </c>
      <c r="B5574" s="0" t="s">
        <v>86</v>
      </c>
      <c r="C5574" s="38" t="n">
        <f aca="false">Sens!$C$5550</f>
        <v>32.067</v>
      </c>
      <c r="D5574" s="38" t="n">
        <f aca="false">Sens!$D$5550</f>
        <v>41.86</v>
      </c>
      <c r="E5574" s="38" t="n">
        <f aca="false">Sens!$E$5550</f>
        <v>26.703</v>
      </c>
      <c r="F5574" s="38" t="n">
        <f aca="false">Sens!$F$5550</f>
        <v>28.2071421626285</v>
      </c>
      <c r="G5574" s="38" t="n">
        <f aca="false">Sens!$G$5550</f>
        <v>54.9101421626285</v>
      </c>
      <c r="H5574" s="38" t="n">
        <f aca="false">Sens!$H$5550</f>
        <v>78.1799395827871</v>
      </c>
      <c r="I5574" s="38" t="n">
        <f aca="false">Sens!$I$5550</f>
        <v>111.171125554384</v>
      </c>
      <c r="J5574" s="38" t="n">
        <f aca="false">Sens!$J$5550</f>
        <v>144.884406220971</v>
      </c>
      <c r="K5574" s="38" t="n">
        <f aca="false">Sens!$K$5550</f>
        <v>178.806419437999</v>
      </c>
      <c r="L5574" s="38" t="n">
        <f aca="false">Sens!$L$5550</f>
        <v>203.951269446309</v>
      </c>
      <c r="M5574" s="38" t="n">
        <f aca="false">Sens!$M$5550</f>
        <v>221.960369245325</v>
      </c>
    </row>
    <row r="5575" customFormat="false" ht="15" hidden="false" customHeight="false" outlineLevel="0" collapsed="false">
      <c r="A5575" s="5" t="s">
        <v>785</v>
      </c>
      <c r="B5575" s="0" t="s">
        <v>86</v>
      </c>
      <c r="C5575" s="38" t="n">
        <f aca="false">Q!$D$48</f>
        <v>22.011</v>
      </c>
      <c r="D5575" s="38" t="n">
        <f aca="false">Q!$E$48</f>
        <v>19.467</v>
      </c>
      <c r="E5575" s="38" t="n">
        <f aca="false">Q!$P$48</f>
        <v>10.07</v>
      </c>
      <c r="F5575" s="38" t="n">
        <f aca="false">sbc_r*Sens!$F$5492</f>
        <v>10.8507035798037</v>
      </c>
      <c r="G5575" s="38" t="n">
        <f aca="false">Sens!$E$5575+Sens!$F$5575</f>
        <v>20.9207035798037</v>
      </c>
      <c r="H5575" s="38" t="n">
        <f aca="false">sbc_r*Sens!$H$5492</f>
        <v>23.46224366345</v>
      </c>
      <c r="I5575" s="38" t="n">
        <f aca="false">sbc_r*Sens!$I$5492</f>
        <v>26.6125957111676</v>
      </c>
      <c r="J5575" s="38" t="n">
        <f aca="false">sbc_r*Sens!$J$5492</f>
        <v>29.6280801413323</v>
      </c>
      <c r="K5575" s="38" t="n">
        <f aca="false">sbc_r*Sens!$K$5492</f>
        <v>32.26410459716</v>
      </c>
      <c r="L5575" s="38" t="n">
        <f aca="false">sbc_r*Sens!$L$5492</f>
        <v>34.7107348734595</v>
      </c>
      <c r="M5575" s="38" t="n">
        <f aca="false">sbc_r*Sens!$M$5492</f>
        <v>36.9769023298878</v>
      </c>
    </row>
    <row r="5576" customFormat="false" ht="17.15" hidden="false" customHeight="false" outlineLevel="0" collapsed="false">
      <c r="A5576" s="5" t="s">
        <v>786</v>
      </c>
      <c r="B5576" s="0" t="s">
        <v>86</v>
      </c>
      <c r="C5576" s="38" t="n">
        <f aca="false">Q!$D$44-Sens!$C$5573-Sens!$C$5574-Sens!$C$5575</f>
        <v>2.551</v>
      </c>
      <c r="D5576" s="38" t="n">
        <f aca="false">Q!$E$44-Sens!$D$5573-Sens!$D$5574-Sens!$D$5575</f>
        <v>0.51700000000001</v>
      </c>
      <c r="E5576" s="38" t="n">
        <f aca="false">Q!$P$44-Sens!$E$5573-Sens!$E$5574-Sens!$E$5575</f>
        <v>-58.256</v>
      </c>
      <c r="F5576" s="38" t="n">
        <f aca="false">oth_r*Sens!$F$5492</f>
        <v>5.22265251035878</v>
      </c>
      <c r="G5576" s="38" t="n">
        <f aca="false">Sens!$E$5576+Sens!$F$5576</f>
        <v>-53.0333474896412</v>
      </c>
      <c r="H5576" s="38" t="n">
        <f aca="false">oth_r*Sens!$H$5492</f>
        <v>11.2928295263397</v>
      </c>
      <c r="I5576" s="38" t="n">
        <f aca="false">oth_r*Sens!$I$5492</f>
        <v>12.8091546115766</v>
      </c>
      <c r="J5576" s="38" t="n">
        <f aca="false">oth_r*Sens!$J$5492</f>
        <v>14.2605653162668</v>
      </c>
      <c r="K5576" s="38" t="n">
        <f aca="false">oth_r*Sens!$K$5492</f>
        <v>15.5293346306567</v>
      </c>
      <c r="L5576" s="38" t="n">
        <f aca="false">oth_r*Sens!$L$5492</f>
        <v>16.7069448805781</v>
      </c>
      <c r="M5576" s="38" t="n">
        <f aca="false">oth_r*Sens!$M$5492</f>
        <v>17.7976949013636</v>
      </c>
      <c r="P5576" s="8" t="s">
        <v>787</v>
      </c>
    </row>
    <row r="5577" customFormat="false" ht="15" hidden="false" customHeight="false" outlineLevel="0" collapsed="false">
      <c r="A5577" s="3" t="s">
        <v>555</v>
      </c>
      <c r="B5577" s="8" t="s">
        <v>86</v>
      </c>
      <c r="C5577" s="38" t="n">
        <f aca="false">Q!$D$44</f>
        <v>115.877</v>
      </c>
      <c r="D5577" s="38" t="n">
        <f aca="false">Q!$E$44</f>
        <v>139.514</v>
      </c>
      <c r="E5577" s="38" t="n">
        <f aca="false">Q!$P$44</f>
        <v>71.419</v>
      </c>
      <c r="F5577" s="38" t="n">
        <f aca="false">Sens!$F$5573+Sens!$F$5574+Sens!$F$5575+Sens!$F$5576</f>
        <v>90.5858811434053</v>
      </c>
      <c r="G5577" s="38" t="n">
        <f aca="false">Sens!$E$5577+Sens!$F$5577</f>
        <v>162.004881143405</v>
      </c>
      <c r="H5577" s="38" t="n">
        <f aca="false">Sens!$H$5573+Sens!$H$5574+Sens!$H$5575+Sens!$H$5576</f>
        <v>218.627748477837</v>
      </c>
      <c r="I5577" s="38" t="n">
        <f aca="false">Sens!$I$5573+Sens!$I$5574+Sens!$I$5575+Sens!$I$5576</f>
        <v>270.47268086336</v>
      </c>
      <c r="J5577" s="38" t="n">
        <f aca="false">Sens!$J$5573+Sens!$J$5574+Sens!$J$5575+Sens!$J$5576</f>
        <v>322.901148792662</v>
      </c>
      <c r="K5577" s="38" t="n">
        <f aca="false">Sens!$K$5573+Sens!$K$5574+Sens!$K$5575+Sens!$K$5576</f>
        <v>370.888743201819</v>
      </c>
      <c r="L5577" s="38" t="n">
        <f aca="false">Sens!$L$5573+Sens!$L$5574+Sens!$L$5575+Sens!$L$5576</f>
        <v>412.590065896507</v>
      </c>
      <c r="M5577" s="38" t="n">
        <f aca="false">Sens!$M$5573+Sens!$M$5574+Sens!$M$5575+Sens!$M$5576</f>
        <v>448.348309118534</v>
      </c>
    </row>
    <row r="5578" customFormat="false" ht="17.15" hidden="false" customHeight="false" outlineLevel="0" collapsed="false">
      <c r="A5578" s="5" t="s">
        <v>788</v>
      </c>
      <c r="B5578" s="0" t="s">
        <v>86</v>
      </c>
      <c r="C5578" s="38" t="n">
        <f aca="false">Sens!$C$5459</f>
        <v>25.2781053077374</v>
      </c>
      <c r="D5578" s="38" t="n">
        <f aca="false">Sens!$D$5459</f>
        <v>69.5686316310026</v>
      </c>
      <c r="E5578" s="38" t="n">
        <f aca="false">Sens!$E$5459</f>
        <v>64.1899206485108</v>
      </c>
      <c r="F5578" s="38" t="n">
        <f aca="false">Sens!$F$5459</f>
        <v>96.2481299895</v>
      </c>
      <c r="G5578" s="38" t="n">
        <f aca="false">Sens!$G$5459</f>
        <v>160.438050638011</v>
      </c>
      <c r="H5578" s="38" t="n">
        <f aca="false">Sens!$H$5459</f>
        <v>198.57136494475</v>
      </c>
      <c r="I5578" s="38" t="n">
        <f aca="false">Sens!$I$5459</f>
        <v>204.6464699105</v>
      </c>
      <c r="J5578" s="38" t="n">
        <f aca="false">Sens!$J$5459</f>
        <v>209.8832381105</v>
      </c>
      <c r="K5578" s="38" t="n">
        <f aca="false">Sens!$K$5459</f>
        <v>152.460428963578</v>
      </c>
      <c r="L5578" s="38" t="n">
        <f aca="false">Sens!$L$5459</f>
        <v>126.458229016657</v>
      </c>
      <c r="M5578" s="38" t="n">
        <f aca="false">Sens!$M$5459</f>
        <v>123.897112724985</v>
      </c>
    </row>
    <row r="5579" customFormat="false" ht="17.15" hidden="false" customHeight="false" outlineLevel="0" collapsed="false">
      <c r="A5579" s="5" t="s">
        <v>789</v>
      </c>
      <c r="B5579" s="0" t="s">
        <v>86</v>
      </c>
      <c r="C5579" s="38" t="n">
        <f aca="false">cx_awso*Sens!$C$5490</f>
        <v>21.0469989286053</v>
      </c>
      <c r="D5579" s="38" t="n">
        <f aca="false">cx_awso*Sens!$D$5490</f>
        <v>24.0042459822698</v>
      </c>
      <c r="E5579" s="38" t="n">
        <f aca="false">cx_awso*Sens!$E$5490</f>
        <v>14.261729404886</v>
      </c>
      <c r="F5579" s="38" t="n">
        <f aca="false">cx_awso*Sens!$F$5490</f>
        <v>14.3538599588493</v>
      </c>
      <c r="G5579" s="38" t="n">
        <f aca="false">Sens!$E$5579+Sens!$F$5579</f>
        <v>28.6155893637353</v>
      </c>
      <c r="H5579" s="38" t="n">
        <f aca="false">cx_awso*Sens!$H$5490</f>
        <v>32.2034154158406</v>
      </c>
      <c r="I5579" s="38" t="n">
        <f aca="false">cx_awso*Sens!$I$5490</f>
        <v>35.7539519042915</v>
      </c>
      <c r="J5579" s="38" t="n">
        <f aca="false">cx_awso*Sens!$J$5490</f>
        <v>39.1551076091815</v>
      </c>
      <c r="K5579" s="38" t="n">
        <f aca="false">cx_awso*Sens!$K$5490</f>
        <v>42.287516217916</v>
      </c>
      <c r="L5579" s="38" t="n">
        <f aca="false">cx_awso*Sens!$L$5490</f>
        <v>45.6705175153492</v>
      </c>
      <c r="M5579" s="38" t="n">
        <f aca="false">cx_awso*Sens!$M$5490</f>
        <v>49.3241589165772</v>
      </c>
    </row>
    <row r="5580" customFormat="false" ht="17.15" hidden="false" customHeight="false" outlineLevel="0" collapsed="false">
      <c r="A5580" s="5" t="s">
        <v>790</v>
      </c>
      <c r="B5580" s="0" t="s">
        <v>86</v>
      </c>
      <c r="C5580" s="38" t="n">
        <f aca="false">Q!$D$46-Sens!$C$5578-Sens!$C$5579</f>
        <v>31.3328957636573</v>
      </c>
      <c r="D5580" s="38" t="n">
        <f aca="false">Q!$E$46-Sens!$D$5578-Sens!$D$5579</f>
        <v>34.7471223867276</v>
      </c>
      <c r="E5580" s="38" t="n">
        <f aca="false">Q!$P$46-Sens!$E$5578-Sens!$E$5579</f>
        <v>17.8583499466032</v>
      </c>
      <c r="F5580" s="38" t="n">
        <f aca="false">cx_rt*Sens!$F$5422</f>
        <v>20.6195895799373</v>
      </c>
      <c r="G5580" s="38" t="n">
        <f aca="false">Sens!$E$5580+Sens!$F$5580</f>
        <v>38.4779395265405</v>
      </c>
      <c r="H5580" s="38" t="n">
        <f aca="false">cx_rt*Sens!$H$5422</f>
        <v>42.5978994743075</v>
      </c>
      <c r="I5580" s="38" t="n">
        <f aca="false">cx_rt*Sens!$I$5422</f>
        <v>46.5813904136335</v>
      </c>
      <c r="J5580" s="38" t="n">
        <f aca="false">cx_rt*Sens!$J$5422</f>
        <v>50.2781676586844</v>
      </c>
      <c r="K5580" s="38" t="n">
        <f aca="false">cx_rt*Sens!$K$5422</f>
        <v>53.5312440191755</v>
      </c>
      <c r="L5580" s="38" t="n">
        <f aca="false">cx_rt*Sens!$L$5422</f>
        <v>57.0116717051447</v>
      </c>
      <c r="M5580" s="38" t="n">
        <f aca="false">cx_rt*Sens!$M$5422</f>
        <v>60.7365554669226</v>
      </c>
    </row>
    <row r="5581" customFormat="false" ht="15" hidden="false" customHeight="false" outlineLevel="0" collapsed="false">
      <c r="A5581" s="3" t="s">
        <v>791</v>
      </c>
      <c r="B5581" s="8" t="s">
        <v>86</v>
      </c>
      <c r="C5581" s="38" t="n">
        <f aca="false">Q!$D$46</f>
        <v>77.658</v>
      </c>
      <c r="D5581" s="38" t="n">
        <f aca="false">Q!$E$46</f>
        <v>128.32</v>
      </c>
      <c r="E5581" s="38" t="n">
        <f aca="false">Q!$P$46</f>
        <v>96.31</v>
      </c>
      <c r="F5581" s="38" t="n">
        <f aca="false">Sens!$F$5578+Sens!$F$5579+Sens!$F$5580</f>
        <v>131.221579528287</v>
      </c>
      <c r="G5581" s="38" t="n">
        <f aca="false">Sens!$E$5581+Sens!$F$5581</f>
        <v>227.531579528287</v>
      </c>
      <c r="H5581" s="38" t="n">
        <f aca="false">Sens!$H$5578+Sens!$H$5579+Sens!$H$5580</f>
        <v>273.372679834898</v>
      </c>
      <c r="I5581" s="38" t="n">
        <f aca="false">Sens!$I$5578+Sens!$I$5579+Sens!$I$5580</f>
        <v>286.981812228425</v>
      </c>
      <c r="J5581" s="38" t="n">
        <f aca="false">Sens!$J$5578+Sens!$J$5579+Sens!$J$5580</f>
        <v>299.316513378366</v>
      </c>
      <c r="K5581" s="38" t="n">
        <f aca="false">Sens!$K$5578+Sens!$K$5579+Sens!$K$5580</f>
        <v>248.27918920067</v>
      </c>
      <c r="L5581" s="38" t="n">
        <f aca="false">Sens!$L$5578+Sens!$L$5579+Sens!$L$5580</f>
        <v>229.140418237151</v>
      </c>
      <c r="M5581" s="38" t="n">
        <f aca="false">Sens!$M$5578+Sens!$M$5579+Sens!$M$5580</f>
        <v>233.957827108485</v>
      </c>
    </row>
    <row r="5582" customFormat="false" ht="17.15" hidden="false" customHeight="false" outlineLevel="0" collapsed="false">
      <c r="A5582" s="5" t="s">
        <v>563</v>
      </c>
      <c r="B5582" s="0" t="s">
        <v>86</v>
      </c>
      <c r="C5582" s="38" t="n">
        <f aca="false">Q!$D$50</f>
        <v>2.043</v>
      </c>
      <c r="D5582" s="38" t="n">
        <f aca="false">Q!$E$50</f>
        <v>1.557</v>
      </c>
      <c r="E5582" s="38" t="n">
        <f aca="false">lease_pr/2</f>
        <v>0.8</v>
      </c>
      <c r="F5582" s="38" t="n">
        <f aca="false">lease_pr/2</f>
        <v>0.8</v>
      </c>
      <c r="G5582" s="38" t="n">
        <f aca="false">Sens!$E$5582+Sens!$F$5582</f>
        <v>1.6</v>
      </c>
      <c r="H5582" s="38" t="n">
        <f aca="false">lease_pr</f>
        <v>1.6</v>
      </c>
      <c r="I5582" s="38" t="n">
        <f aca="false">lease_pr</f>
        <v>1.6</v>
      </c>
      <c r="J5582" s="38" t="n">
        <f aca="false">lease_pr</f>
        <v>1.6</v>
      </c>
      <c r="K5582" s="38" t="n">
        <f aca="false">lease_pr</f>
        <v>1.6</v>
      </c>
      <c r="L5582" s="38" t="n">
        <f aca="false">lease_pr</f>
        <v>1.6</v>
      </c>
      <c r="M5582" s="38" t="n">
        <f aca="false">lease_pr</f>
        <v>1.6</v>
      </c>
      <c r="P5582" s="8" t="s">
        <v>792</v>
      </c>
    </row>
    <row r="5583" customFormat="false" ht="15" hidden="false" customHeight="false" outlineLevel="0" collapsed="false">
      <c r="A5583" s="47" t="s">
        <v>793</v>
      </c>
      <c r="B5583" s="14" t="s">
        <v>86</v>
      </c>
      <c r="C5583" s="48" t="n">
        <f aca="false">Sens!$C$5577-Sens!$C$5581-Sens!$C$5582</f>
        <v>36.176</v>
      </c>
      <c r="D5583" s="48" t="n">
        <f aca="false">Sens!$D$5577-Sens!$D$5581-Sens!$D$5582</f>
        <v>9.63700000000002</v>
      </c>
      <c r="E5583" s="48" t="n">
        <f aca="false">Sens!$E$5577-Sens!$E$5581-Sens!$E$5582</f>
        <v>-25.691</v>
      </c>
      <c r="F5583" s="48" t="n">
        <f aca="false">Sens!$F$5577-Sens!$F$5581-Sens!$F$5582</f>
        <v>-41.4356983848813</v>
      </c>
      <c r="G5583" s="48" t="n">
        <f aca="false">Sens!$G$5577-Sens!$G$5581-Sens!$G$5582</f>
        <v>-67.1266983848813</v>
      </c>
      <c r="H5583" s="48" t="n">
        <f aca="false">Sens!$H$5577-Sens!$H$5581-Sens!$H$5582</f>
        <v>-56.3449313570613</v>
      </c>
      <c r="I5583" s="48" t="n">
        <f aca="false">Sens!$I$5577-Sens!$I$5581-Sens!$I$5582</f>
        <v>-18.1091313650653</v>
      </c>
      <c r="J5583" s="48" t="n">
        <f aca="false">Sens!$J$5577-Sens!$J$5581-Sens!$J$5582</f>
        <v>21.9846354142961</v>
      </c>
      <c r="K5583" s="48" t="n">
        <f aca="false">Sens!$K$5577-Sens!$K$5581-Sens!$K$5582</f>
        <v>121.009554001149</v>
      </c>
      <c r="L5583" s="48" t="n">
        <f aca="false">Sens!$L$5577-Sens!$L$5581-Sens!$L$5582</f>
        <v>181.849647659356</v>
      </c>
      <c r="M5583" s="48" t="n">
        <f aca="false">Sens!$M$5577-Sens!$M$5581-Sens!$M$5582</f>
        <v>212.790482010049</v>
      </c>
      <c r="N5583" s="14"/>
      <c r="O5583" s="14"/>
    </row>
    <row r="5584" customFormat="false" ht="17.15" hidden="false" customHeight="false" outlineLevel="0" collapsed="false">
      <c r="A5584" s="5" t="s">
        <v>794</v>
      </c>
      <c r="B5584" s="0" t="s">
        <v>86</v>
      </c>
      <c r="C5584" s="38" t="n">
        <f aca="false">dps*Sens!$C$5563</f>
        <v>0</v>
      </c>
      <c r="D5584" s="38" t="n">
        <f aca="false">dps*Sens!$D$5563</f>
        <v>0</v>
      </c>
      <c r="E5584" s="38" t="n">
        <f aca="false">dps*Sens!$E$5563</f>
        <v>0</v>
      </c>
      <c r="F5584" s="38" t="n">
        <f aca="false">0</f>
        <v>0</v>
      </c>
      <c r="G5584" s="38" t="n">
        <f aca="false">dps*Sens!$G$5563</f>
        <v>0</v>
      </c>
      <c r="H5584" s="38" t="n">
        <f aca="false">dps*Sens!$H$5563</f>
        <v>0</v>
      </c>
      <c r="I5584" s="38" t="n">
        <f aca="false">dps*Sens!$I$5563</f>
        <v>0</v>
      </c>
      <c r="J5584" s="38" t="n">
        <f aca="false">dps*Sens!$J$5563</f>
        <v>0</v>
      </c>
      <c r="K5584" s="38" t="n">
        <f aca="false">dps*Sens!$K$5563</f>
        <v>0</v>
      </c>
      <c r="L5584" s="38" t="n">
        <f aca="false">dps*Sens!$L$5563</f>
        <v>0</v>
      </c>
      <c r="M5584" s="38" t="n">
        <f aca="false">dps*Sens!$M$5563</f>
        <v>0</v>
      </c>
      <c r="P5584" s="8" t="s">
        <v>795</v>
      </c>
    </row>
    <row r="5585" customFormat="false" ht="17.15" hidden="false" customHeight="false" outlineLevel="0" collapsed="false">
      <c r="A5585" s="5" t="s">
        <v>796</v>
      </c>
      <c r="B5585" s="0" t="s">
        <v>86</v>
      </c>
      <c r="C5585" s="38" t="n">
        <f aca="false">0</f>
        <v>0</v>
      </c>
      <c r="D5585" s="38" t="n">
        <f aca="false">0</f>
        <v>0</v>
      </c>
      <c r="E5585" s="38" t="n">
        <f aca="false">0</f>
        <v>0</v>
      </c>
      <c r="F5585" s="38" t="n">
        <f aca="false">0</f>
        <v>0</v>
      </c>
      <c r="G5585" s="38" t="n">
        <f aca="false">0</f>
        <v>0</v>
      </c>
      <c r="H5585" s="38" t="n">
        <f aca="false">0</f>
        <v>0</v>
      </c>
      <c r="I5585" s="38" t="n">
        <f aca="false">0</f>
        <v>0</v>
      </c>
      <c r="J5585" s="38" t="n">
        <f aca="false">0</f>
        <v>0</v>
      </c>
      <c r="K5585" s="38" t="n">
        <f aca="false">0</f>
        <v>0</v>
      </c>
      <c r="L5585" s="38" t="n">
        <f aca="false">0</f>
        <v>0</v>
      </c>
      <c r="M5585" s="38" t="n">
        <f aca="false">0</f>
        <v>0</v>
      </c>
      <c r="P5585" s="8" t="s">
        <v>797</v>
      </c>
    </row>
    <row r="5586" customFormat="false" ht="15" hidden="false" customHeight="false" outlineLevel="0" collapsed="false">
      <c r="A5586" s="3" t="s">
        <v>798</v>
      </c>
      <c r="B5586" s="8" t="s">
        <v>86</v>
      </c>
      <c r="C5586" s="38" t="n">
        <f aca="false">Sens!$C$5583-Sens!$C$5584</f>
        <v>36.176</v>
      </c>
      <c r="D5586" s="38" t="n">
        <f aca="false">Sens!$D$5583-Sens!$D$5584</f>
        <v>9.63700000000002</v>
      </c>
      <c r="E5586" s="38" t="n">
        <f aca="false">Sens!$E$5583-Sens!$E$5584</f>
        <v>-25.691</v>
      </c>
      <c r="F5586" s="38" t="n">
        <f aca="false">Sens!$F$5583-Sens!$F$5584</f>
        <v>-41.4356983848813</v>
      </c>
      <c r="G5586" s="38" t="n">
        <f aca="false">Sens!$G$5583-Sens!$G$5584</f>
        <v>-67.1266983848813</v>
      </c>
      <c r="H5586" s="38" t="n">
        <f aca="false">Sens!$H$5583-Sens!$H$5584</f>
        <v>-56.3449313570613</v>
      </c>
      <c r="I5586" s="38" t="n">
        <f aca="false">Sens!$I$5583-Sens!$I$5584</f>
        <v>-18.1091313650653</v>
      </c>
      <c r="J5586" s="38" t="n">
        <f aca="false">Sens!$J$5583-Sens!$J$5584</f>
        <v>21.9846354142961</v>
      </c>
      <c r="K5586" s="38" t="n">
        <f aca="false">Sens!$K$5583-Sens!$K$5584</f>
        <v>121.009554001149</v>
      </c>
      <c r="L5586" s="38" t="n">
        <f aca="false">Sens!$L$5583-Sens!$L$5584</f>
        <v>181.849647659356</v>
      </c>
      <c r="M5586" s="38" t="n">
        <f aca="false">Sens!$M$5583-Sens!$M$5584</f>
        <v>212.790482010049</v>
      </c>
    </row>
    <row r="5587" customFormat="false" ht="17.15" hidden="false" customHeight="false" outlineLevel="0" collapsed="false">
      <c r="A5587" s="5" t="s">
        <v>799</v>
      </c>
      <c r="B5587" s="0" t="s">
        <v>86</v>
      </c>
      <c r="E5587" s="38" t="n">
        <f aca="false">Q!$P$53</f>
        <v>39.767</v>
      </c>
      <c r="F5587" s="38" t="n">
        <f aca="false">inv_2h26</f>
        <v>21.3</v>
      </c>
      <c r="G5587" s="38" t="n">
        <f aca="false">Sens!$E$5587+Sens!$F$5587</f>
        <v>61.067</v>
      </c>
      <c r="H5587" s="39" t="n">
        <v>0</v>
      </c>
      <c r="I5587" s="39" t="n">
        <v>0</v>
      </c>
      <c r="J5587" s="39" t="n">
        <v>0</v>
      </c>
      <c r="K5587" s="39" t="n">
        <v>0</v>
      </c>
      <c r="L5587" s="39" t="n">
        <v>0</v>
      </c>
      <c r="M5587" s="39" t="n">
        <v>0</v>
      </c>
    </row>
    <row r="5588" customFormat="false" ht="17.15" hidden="false" customHeight="false" outlineLevel="0" collapsed="false">
      <c r="A5588" s="5" t="s">
        <v>800</v>
      </c>
      <c r="B5588" s="0" t="s">
        <v>86</v>
      </c>
      <c r="F5588" s="38" t="n">
        <f aca="false">iss_2h26</f>
        <v>29.249999</v>
      </c>
      <c r="G5588" s="38" t="n">
        <f aca="false">Sens!$F$5588</f>
        <v>29.249999</v>
      </c>
      <c r="H5588" s="39" t="n">
        <v>0</v>
      </c>
      <c r="I5588" s="39" t="n">
        <v>0</v>
      </c>
      <c r="J5588" s="39" t="n">
        <v>0</v>
      </c>
      <c r="K5588" s="39" t="n">
        <v>0</v>
      </c>
      <c r="L5588" s="39" t="n">
        <v>0</v>
      </c>
      <c r="M5588" s="39" t="n">
        <v>0</v>
      </c>
    </row>
    <row r="5589" customFormat="false" ht="17.15" hidden="false" customHeight="false" outlineLevel="0" collapsed="false">
      <c r="A5589" s="5" t="s">
        <v>801</v>
      </c>
      <c r="B5589" s="0" t="s">
        <v>86</v>
      </c>
      <c r="F5589" s="38" t="n">
        <f aca="false">cash_q2</f>
        <v>122.988</v>
      </c>
      <c r="G5589" s="38" t="n">
        <f aca="false">cash_q2</f>
        <v>122.988</v>
      </c>
      <c r="H5589" s="38" t="n">
        <f aca="false">Sens!$G$5592</f>
        <v>89.5023006151187</v>
      </c>
      <c r="I5589" s="38" t="n">
        <f aca="false">Sens!$H$5592</f>
        <v>50</v>
      </c>
      <c r="J5589" s="38" t="n">
        <f aca="false">Sens!$I$5592</f>
        <v>50</v>
      </c>
      <c r="K5589" s="38" t="n">
        <f aca="false">Sens!$J$5592</f>
        <v>71.9846354142962</v>
      </c>
      <c r="L5589" s="38" t="n">
        <f aca="false">Sens!$K$5592</f>
        <v>192.994189415445</v>
      </c>
      <c r="M5589" s="38" t="n">
        <f aca="false">Sens!$L$5592</f>
        <v>374.843837074801</v>
      </c>
    </row>
    <row r="5590" customFormat="false" ht="15" hidden="false" customHeight="false" outlineLevel="0" collapsed="false">
      <c r="A5590" s="5" t="s">
        <v>802</v>
      </c>
      <c r="B5590" s="0" t="s">
        <v>86</v>
      </c>
      <c r="F5590" s="38" t="n">
        <f aca="false">Sens!$F$5589+Sens!$F$5586-Sens!$F$5585-Sens!$F$5587+Sens!$F$5588</f>
        <v>89.5023006151187</v>
      </c>
      <c r="H5590" s="38" t="n">
        <f aca="false">Sens!$H$5589+Sens!$H$5586-Sens!$H$5585-Sens!$H$5587+Sens!$H$5588</f>
        <v>33.1573692580575</v>
      </c>
      <c r="I5590" s="38" t="n">
        <f aca="false">Sens!$I$5589+Sens!$I$5586-Sens!$I$5585-Sens!$I$5587+Sens!$I$5588</f>
        <v>31.8908686349347</v>
      </c>
      <c r="J5590" s="38" t="n">
        <f aca="false">Sens!$J$5589+Sens!$J$5586-Sens!$J$5585-Sens!$J$5587+Sens!$J$5588</f>
        <v>71.9846354142962</v>
      </c>
      <c r="K5590" s="38" t="n">
        <f aca="false">Sens!$K$5589+Sens!$K$5586-Sens!$K$5585-Sens!$K$5587+Sens!$K$5588</f>
        <v>192.994189415445</v>
      </c>
      <c r="L5590" s="38" t="n">
        <f aca="false">Sens!$L$5589+Sens!$L$5586-Sens!$L$5585-Sens!$L$5587+Sens!$L$5588</f>
        <v>374.843837074801</v>
      </c>
      <c r="M5590" s="38" t="n">
        <f aca="false">Sens!$M$5589+Sens!$M$5586-Sens!$M$5585-Sens!$M$5587+Sens!$M$5588</f>
        <v>587.63431908485</v>
      </c>
    </row>
    <row r="5591" customFormat="false" ht="17.15" hidden="false" customHeight="false" outlineLevel="0" collapsed="false">
      <c r="A5591" s="5" t="s">
        <v>803</v>
      </c>
      <c r="B5591" s="0" t="s">
        <v>86</v>
      </c>
      <c r="F5591" s="38" t="n">
        <f aca="false">MAX(0,min_cash-Sens!$F$5590)</f>
        <v>0</v>
      </c>
      <c r="G5591" s="38" t="n">
        <f aca="false">Sens!$F$5591</f>
        <v>0</v>
      </c>
      <c r="H5591" s="38" t="n">
        <f aca="false">MAX(0,min_cash-Sens!$H$5590)</f>
        <v>16.8426307419426</v>
      </c>
      <c r="I5591" s="38" t="n">
        <f aca="false">MAX(0,min_cash-Sens!$I$5590)</f>
        <v>18.1091313650653</v>
      </c>
      <c r="J5591" s="38" t="n">
        <f aca="false">MAX(0,min_cash-Sens!$J$5590)</f>
        <v>0</v>
      </c>
      <c r="K5591" s="38" t="n">
        <f aca="false">MAX(0,min_cash-Sens!$K$5590)</f>
        <v>0</v>
      </c>
      <c r="L5591" s="38" t="n">
        <f aca="false">MAX(0,min_cash-Sens!$L$5590)</f>
        <v>0</v>
      </c>
      <c r="M5591" s="38" t="n">
        <f aca="false">MAX(0,min_cash-Sens!$M$5590)</f>
        <v>0</v>
      </c>
      <c r="P5591" s="5" t="s">
        <v>804</v>
      </c>
    </row>
    <row r="5592" customFormat="false" ht="15" hidden="false" customHeight="false" outlineLevel="0" collapsed="false">
      <c r="A5592" s="5" t="s">
        <v>805</v>
      </c>
      <c r="B5592" s="0" t="s">
        <v>86</v>
      </c>
      <c r="D5592" s="38" t="n">
        <f aca="false">Q!$E$61</f>
        <v>123.029</v>
      </c>
      <c r="E5592" s="38" t="n">
        <f aca="false">Q!$M$61</f>
        <v>122.988</v>
      </c>
      <c r="F5592" s="38" t="n">
        <f aca="false">Sens!$F$5590+Sens!$F$5591</f>
        <v>89.5023006151187</v>
      </c>
      <c r="G5592" s="38" t="n">
        <f aca="false">Sens!$F$5592</f>
        <v>89.5023006151187</v>
      </c>
      <c r="H5592" s="38" t="n">
        <f aca="false">Sens!$H$5590+Sens!$H$5591</f>
        <v>50</v>
      </c>
      <c r="I5592" s="38" t="n">
        <f aca="false">Sens!$I$5590+Sens!$I$5591</f>
        <v>50</v>
      </c>
      <c r="J5592" s="38" t="n">
        <f aca="false">Sens!$J$5590+Sens!$J$5591</f>
        <v>71.9846354142962</v>
      </c>
      <c r="K5592" s="38" t="n">
        <f aca="false">Sens!$K$5590+Sens!$K$5591</f>
        <v>192.994189415445</v>
      </c>
      <c r="L5592" s="38" t="n">
        <f aca="false">Sens!$L$5590+Sens!$L$5591</f>
        <v>374.843837074801</v>
      </c>
      <c r="M5592" s="38" t="n">
        <f aca="false">Sens!$M$5590+Sens!$M$5591</f>
        <v>587.63431908485</v>
      </c>
    </row>
    <row r="5593" customFormat="false" ht="15" hidden="false" customHeight="false" outlineLevel="0" collapsed="false">
      <c r="A5593" s="5" t="s">
        <v>806</v>
      </c>
      <c r="B5593" s="0" t="s">
        <v>86</v>
      </c>
      <c r="D5593" s="38" t="n">
        <f aca="false">Q!$E$62</f>
        <v>68.836</v>
      </c>
      <c r="E5593" s="38" t="n">
        <f aca="false">Q!$M$62</f>
        <v>132.995</v>
      </c>
      <c r="F5593" s="38" t="n">
        <f aca="false">debt_q2+Sens!$F$5588+Sens!$F$5591</f>
        <v>162.244999</v>
      </c>
      <c r="G5593" s="38" t="n">
        <f aca="false">Sens!$F$5593</f>
        <v>162.244999</v>
      </c>
      <c r="H5593" s="38" t="n">
        <f aca="false">Sens!$G$5593+Sens!$H$5591</f>
        <v>179.087629741943</v>
      </c>
      <c r="I5593" s="38" t="n">
        <f aca="false">Sens!$H$5593+Sens!$I$5591</f>
        <v>197.196761107008</v>
      </c>
      <c r="J5593" s="38" t="n">
        <f aca="false">Sens!$I$5593+Sens!$J$5591</f>
        <v>197.196761107008</v>
      </c>
      <c r="K5593" s="38" t="n">
        <f aca="false">Sens!$J$5593+Sens!$K$5591</f>
        <v>197.196761107008</v>
      </c>
      <c r="L5593" s="38" t="n">
        <f aca="false">Sens!$K$5593+Sens!$L$5591</f>
        <v>197.196761107008</v>
      </c>
      <c r="M5593" s="38" t="n">
        <f aca="false">Sens!$L$5593+Sens!$M$5591</f>
        <v>197.196761107008</v>
      </c>
    </row>
    <row r="5594" customFormat="false" ht="15" hidden="false" customHeight="false" outlineLevel="0" collapsed="false">
      <c r="A5594" s="5" t="s">
        <v>807</v>
      </c>
      <c r="B5594" s="0" t="s">
        <v>86</v>
      </c>
      <c r="D5594" s="38" t="n">
        <f aca="false">Sens!$D$5593-Sens!$D$5592</f>
        <v>-54.193</v>
      </c>
      <c r="E5594" s="38" t="n">
        <f aca="false">Sens!$E$5593-Sens!$E$5592</f>
        <v>10.007</v>
      </c>
      <c r="F5594" s="38" t="n">
        <f aca="false">Sens!$F$5593-Sens!$F$5592</f>
        <v>72.7426983848813</v>
      </c>
      <c r="G5594" s="38" t="n">
        <f aca="false">Sens!$G$5593-Sens!$G$5592</f>
        <v>72.7426983848813</v>
      </c>
      <c r="H5594" s="38" t="n">
        <f aca="false">Sens!$H$5593-Sens!$H$5592</f>
        <v>129.087629741943</v>
      </c>
      <c r="I5594" s="38" t="n">
        <f aca="false">Sens!$I$5593-Sens!$I$5592</f>
        <v>147.196761107008</v>
      </c>
      <c r="J5594" s="38" t="n">
        <f aca="false">Sens!$J$5593-Sens!$J$5592</f>
        <v>125.212125692712</v>
      </c>
      <c r="K5594" s="38" t="n">
        <f aca="false">Sens!$K$5593-Sens!$K$5592</f>
        <v>4.2025716915629</v>
      </c>
      <c r="L5594" s="38" t="n">
        <f aca="false">Sens!$L$5593-Sens!$L$5592</f>
        <v>-177.647075967793</v>
      </c>
      <c r="M5594" s="38" t="n">
        <f aca="false">Sens!$M$5593-Sens!$M$5592</f>
        <v>-390.437557977842</v>
      </c>
    </row>
    <row r="5595" customFormat="false" ht="17.15" hidden="false" customHeight="false" outlineLevel="0" collapsed="false">
      <c r="A5595" s="5" t="s">
        <v>808</v>
      </c>
      <c r="B5595" s="0" t="s">
        <v>86</v>
      </c>
      <c r="F5595" s="38" t="n">
        <f aca="false">debt_q2*kd_book*0.5+iss_2h26*kd_new*iss_t</f>
        <v>3.24888962733561</v>
      </c>
      <c r="H5595" s="38" t="n">
        <f aca="false">debt_q2*kd_book+(Sens!$G$5593-debt_q2)*kd_new</f>
        <v>7.42354172302123</v>
      </c>
      <c r="I5595" s="38" t="n">
        <f aca="false">debt_q2*kd_book+(Sens!$H$5593-debt_q2)*kd_new</f>
        <v>8.48968024898619</v>
      </c>
      <c r="J5595" s="38" t="n">
        <f aca="false">debt_q2*kd_book+(Sens!$I$5593-debt_q2)*kd_new</f>
        <v>9.63598826439483</v>
      </c>
      <c r="K5595" s="38" t="n">
        <f aca="false">debt_q2*kd_book+(Sens!$J$5593-debt_q2)*kd_new</f>
        <v>9.63598826439483</v>
      </c>
      <c r="L5595" s="38" t="n">
        <f aca="false">debt_q2*kd_book+(Sens!$K$5593-debt_q2)*kd_new</f>
        <v>9.63598826439483</v>
      </c>
      <c r="M5595" s="38" t="n">
        <f aca="false">debt_q2*kd_book+(Sens!$L$5593-debt_q2)*kd_new</f>
        <v>9.63598826439483</v>
      </c>
    </row>
    <row r="5596" customFormat="false" ht="17.15" hidden="false" customHeight="false" outlineLevel="0" collapsed="false">
      <c r="A5596" s="5" t="s">
        <v>809</v>
      </c>
      <c r="B5596" s="0" t="s">
        <v>86</v>
      </c>
      <c r="F5596" s="38" t="n">
        <f aca="false">cash_q2*y_cash*0.5</f>
        <v>2.59</v>
      </c>
      <c r="H5596" s="38" t="n">
        <f aca="false">Sens!$G$5592*y_cash</f>
        <v>3.76965165045626</v>
      </c>
      <c r="I5596" s="38" t="n">
        <f aca="false">Sens!$H$5592*y_cash</f>
        <v>2.10589651022864</v>
      </c>
      <c r="J5596" s="38" t="n">
        <f aca="false">Sens!$I$5592*y_cash</f>
        <v>2.10589651022864</v>
      </c>
      <c r="K5596" s="38" t="n">
        <f aca="false">Sens!$J$5592*y_cash</f>
        <v>3.03184385018094</v>
      </c>
      <c r="L5596" s="38" t="n">
        <f aca="false">Sens!$K$5592*y_cash</f>
        <v>8.12851579968782</v>
      </c>
      <c r="M5596" s="38" t="n">
        <f aca="false">Sens!$L$5592*y_cash</f>
        <v>15.7876465675307</v>
      </c>
    </row>
    <row r="5597" customFormat="false" ht="17.15" hidden="false" customHeight="false" outlineLevel="0" collapsed="false">
      <c r="A5597" s="47" t="s">
        <v>810</v>
      </c>
      <c r="B5597" s="14" t="s">
        <v>86</v>
      </c>
      <c r="C5597" s="14"/>
      <c r="D5597" s="14"/>
      <c r="E5597" s="14"/>
      <c r="F5597" s="14"/>
      <c r="G5597" s="48" t="n">
        <f aca="false">SUM(Sens!$G$5586:$K$5586)</f>
        <v>1.41342830843709</v>
      </c>
      <c r="H5597" s="14"/>
      <c r="I5597" s="14"/>
      <c r="J5597" s="14"/>
      <c r="K5597" s="14"/>
      <c r="L5597" s="14"/>
      <c r="M5597" s="14"/>
      <c r="N5597" s="14"/>
      <c r="O5597" s="14"/>
    </row>
    <row r="5598" customFormat="false" ht="17.15" hidden="false" customHeight="false" outlineLevel="0" collapsed="false">
      <c r="A5598" s="0" t="s">
        <v>776</v>
      </c>
      <c r="B5598" s="0" t="s">
        <v>86</v>
      </c>
      <c r="G5598" s="38" t="n">
        <f aca="false">SUM(Sens!$G$5591:$K$5591)</f>
        <v>34.9517621070079</v>
      </c>
    </row>
    <row r="5599" customFormat="false" ht="17.15" hidden="false" customHeight="false" outlineLevel="0" collapsed="false">
      <c r="A5599" s="24" t="s">
        <v>813</v>
      </c>
      <c r="B5599" s="25" t="s">
        <v>86</v>
      </c>
      <c r="C5599" s="25"/>
      <c r="D5599" s="25"/>
      <c r="E5599" s="25"/>
      <c r="F5599" s="25"/>
      <c r="G5599" s="41" t="n">
        <f aca="false">Sens!$G$5597-(Sens!$G$5586+Sens!$H$5586+Sens!$I$5586+Sens!$J$5586+Sens!$K$5586)</f>
        <v>-2.8421709430404E-014</v>
      </c>
      <c r="H5599" s="25"/>
      <c r="I5599" s="25"/>
      <c r="J5599" s="25"/>
      <c r="K5599" s="25"/>
      <c r="L5599" s="25"/>
      <c r="M5599" s="25"/>
      <c r="N5599" s="25"/>
      <c r="O5599" s="25"/>
    </row>
    <row r="5602" customFormat="false" ht="19.4" hidden="false" customHeight="false" outlineLevel="0" collapsed="false">
      <c r="A5602" s="31" t="s">
        <v>1249</v>
      </c>
    </row>
    <row r="5603" customFormat="false" ht="17.15" hidden="false" customHeight="false" outlineLevel="0" collapsed="false">
      <c r="A5603" s="6" t="s">
        <v>16</v>
      </c>
      <c r="B5603" s="6" t="s">
        <v>17</v>
      </c>
      <c r="C5603" s="20" t="s">
        <v>497</v>
      </c>
      <c r="D5603" s="20" t="s">
        <v>498</v>
      </c>
      <c r="E5603" s="20" t="s">
        <v>580</v>
      </c>
      <c r="F5603" s="20" t="s">
        <v>581</v>
      </c>
      <c r="G5603" s="20" t="s">
        <v>582</v>
      </c>
      <c r="H5603" s="20" t="s">
        <v>583</v>
      </c>
      <c r="I5603" s="20" t="s">
        <v>584</v>
      </c>
      <c r="J5603" s="20" t="s">
        <v>585</v>
      </c>
      <c r="K5603" s="20" t="s">
        <v>586</v>
      </c>
      <c r="L5603" s="20" t="s">
        <v>587</v>
      </c>
      <c r="M5603" s="20" t="s">
        <v>588</v>
      </c>
      <c r="N5603" s="20" t="s">
        <v>589</v>
      </c>
      <c r="O5603" s="20" t="s">
        <v>590</v>
      </c>
      <c r="P5603" s="6" t="s">
        <v>23</v>
      </c>
      <c r="R5603" s="20" t="n">
        <v>2023</v>
      </c>
      <c r="S5603" s="20" t="n">
        <v>2024</v>
      </c>
      <c r="T5603" s="20" t="n">
        <v>2025</v>
      </c>
      <c r="U5603" s="20" t="n">
        <v>2026</v>
      </c>
      <c r="V5603" s="20" t="n">
        <v>2027</v>
      </c>
      <c r="W5603" s="20" t="n">
        <v>2028</v>
      </c>
      <c r="X5603" s="20" t="n">
        <v>2029</v>
      </c>
      <c r="Y5603" s="20" t="n">
        <v>2030</v>
      </c>
      <c r="Z5603" s="20" t="n">
        <v>2031</v>
      </c>
      <c r="AA5603" s="20" t="n">
        <v>2032</v>
      </c>
    </row>
    <row r="5604" customFormat="false" ht="17.15" hidden="false" customHeight="false" outlineLevel="0" collapsed="false">
      <c r="A5604" s="1" t="s">
        <v>915</v>
      </c>
    </row>
    <row r="5605" customFormat="false" ht="17.15" hidden="false" customHeight="false" outlineLevel="0" collapsed="false">
      <c r="A5605" s="0" t="s">
        <v>916</v>
      </c>
      <c r="B5605" s="0" t="s">
        <v>86</v>
      </c>
      <c r="H5605" s="38" t="n">
        <f aca="false">Sens!$H$5539*(1-tax)</f>
        <v>121.243762954598</v>
      </c>
      <c r="I5605" s="38" t="n">
        <f aca="false">Sens!$I$5539*(1-tax)</f>
        <v>146.296727721585</v>
      </c>
      <c r="J5605" s="38" t="n">
        <f aca="false">Sens!$J$5539*(1-tax)</f>
        <v>170.140518399982</v>
      </c>
      <c r="K5605" s="38" t="n">
        <f aca="false">Sens!$K$5539*(1-tax)</f>
        <v>186.854388637829</v>
      </c>
      <c r="L5605" s="38" t="n">
        <f aca="false">Sens!$L$5539*(1-tax)</f>
        <v>200.246135909531</v>
      </c>
      <c r="M5605" s="38" t="n">
        <f aca="false">Sens!$M$5539*(1-tax)</f>
        <v>210.326929761686</v>
      </c>
    </row>
    <row r="5606" customFormat="false" ht="15" hidden="false" customHeight="false" outlineLevel="0" collapsed="false">
      <c r="A5606" s="5" t="s">
        <v>917</v>
      </c>
      <c r="B5606" s="0" t="s">
        <v>86</v>
      </c>
      <c r="H5606" s="38" t="n">
        <f aca="false">Sens!$H$5550</f>
        <v>78.1799395827871</v>
      </c>
      <c r="I5606" s="38" t="n">
        <f aca="false">Sens!$I$5550</f>
        <v>111.171125554384</v>
      </c>
      <c r="J5606" s="38" t="n">
        <f aca="false">Sens!$J$5550</f>
        <v>144.884406220971</v>
      </c>
      <c r="K5606" s="38" t="n">
        <f aca="false">Sens!$K$5550</f>
        <v>178.806419437999</v>
      </c>
      <c r="L5606" s="38" t="n">
        <f aca="false">Sens!$L$5550</f>
        <v>203.951269446309</v>
      </c>
      <c r="M5606" s="38" t="n">
        <f aca="false">Sens!$M$5550</f>
        <v>221.960369245325</v>
      </c>
    </row>
    <row r="5607" customFormat="false" ht="15" hidden="false" customHeight="false" outlineLevel="0" collapsed="false">
      <c r="A5607" s="5" t="s">
        <v>918</v>
      </c>
      <c r="B5607" s="0" t="s">
        <v>86</v>
      </c>
      <c r="H5607" s="38" t="n">
        <f aca="false">Sens!$H$5581</f>
        <v>273.372679834898</v>
      </c>
      <c r="I5607" s="38" t="n">
        <f aca="false">Sens!$I$5581</f>
        <v>286.981812228425</v>
      </c>
      <c r="J5607" s="38" t="n">
        <f aca="false">Sens!$J$5581</f>
        <v>299.316513378366</v>
      </c>
      <c r="K5607" s="38" t="n">
        <f aca="false">Sens!$K$5581</f>
        <v>248.27918920067</v>
      </c>
      <c r="L5607" s="38" t="n">
        <f aca="false">Sens!$L$5581</f>
        <v>229.140418237151</v>
      </c>
      <c r="M5607" s="38" t="n">
        <f aca="false">Sens!$M$5581</f>
        <v>233.957827108485</v>
      </c>
    </row>
    <row r="5608" customFormat="false" ht="15" hidden="false" customHeight="false" outlineLevel="0" collapsed="false">
      <c r="A5608" s="5" t="s">
        <v>919</v>
      </c>
      <c r="B5608" s="0" t="s">
        <v>86</v>
      </c>
      <c r="H5608" s="38" t="n">
        <f aca="false">Sens!$H$5582</f>
        <v>1.6</v>
      </c>
      <c r="I5608" s="38" t="n">
        <f aca="false">Sens!$I$5582</f>
        <v>1.6</v>
      </c>
      <c r="J5608" s="38" t="n">
        <f aca="false">Sens!$J$5582</f>
        <v>1.6</v>
      </c>
      <c r="K5608" s="38" t="n">
        <f aca="false">Sens!$K$5582</f>
        <v>1.6</v>
      </c>
      <c r="L5608" s="38" t="n">
        <f aca="false">Sens!$L$5582</f>
        <v>1.6</v>
      </c>
      <c r="M5608" s="38" t="n">
        <f aca="false">Sens!$M$5582</f>
        <v>1.6</v>
      </c>
    </row>
    <row r="5609" customFormat="false" ht="15" hidden="false" customHeight="false" outlineLevel="0" collapsed="false">
      <c r="A5609" s="5" t="s">
        <v>920</v>
      </c>
      <c r="B5609" s="0" t="s">
        <v>86</v>
      </c>
      <c r="H5609" s="38" t="n">
        <f aca="false">Sens!$H$5576</f>
        <v>11.2928295263397</v>
      </c>
      <c r="I5609" s="38" t="n">
        <f aca="false">Sens!$I$5576</f>
        <v>12.8091546115766</v>
      </c>
      <c r="J5609" s="38" t="n">
        <f aca="false">Sens!$J$5576</f>
        <v>14.2605653162668</v>
      </c>
      <c r="K5609" s="38" t="n">
        <f aca="false">Sens!$K$5576</f>
        <v>15.5293346306567</v>
      </c>
      <c r="L5609" s="38" t="n">
        <f aca="false">Sens!$L$5576</f>
        <v>16.7069448805781</v>
      </c>
      <c r="M5609" s="38" t="n">
        <f aca="false">Sens!$M$5576</f>
        <v>17.7976949013636</v>
      </c>
    </row>
    <row r="5610" customFormat="false" ht="17.15" hidden="false" customHeight="false" outlineLevel="0" collapsed="false">
      <c r="A5610" s="1" t="s">
        <v>921</v>
      </c>
      <c r="B5610" s="8" t="s">
        <v>86</v>
      </c>
      <c r="H5610" s="38" t="n">
        <f aca="false">Sens!$H$5605+Sens!$H$5606-Sens!$H$5607+Sens!$H$5609</f>
        <v>-62.6561477711731</v>
      </c>
      <c r="I5610" s="38" t="n">
        <f aca="false">Sens!$I$5605+Sens!$I$5606-Sens!$I$5607+Sens!$I$5609</f>
        <v>-16.7048043408794</v>
      </c>
      <c r="J5610" s="38" t="n">
        <f aca="false">Sens!$J$5605+Sens!$J$5606-Sens!$J$5607+Sens!$J$5609</f>
        <v>29.9689765588539</v>
      </c>
      <c r="K5610" s="38" t="n">
        <f aca="false">Sens!$K$5605+Sens!$K$5606-Sens!$K$5607+Sens!$K$5609</f>
        <v>132.910953505815</v>
      </c>
      <c r="L5610" s="38" t="n">
        <f aca="false">Sens!$L$5605+Sens!$L$5606-Sens!$L$5607+Sens!$L$5609</f>
        <v>191.763931999267</v>
      </c>
      <c r="M5610" s="38" t="n">
        <f aca="false">Sens!$M$5605+Sens!$M$5606-Sens!$M$5607+Sens!$M$5609</f>
        <v>216.12716679989</v>
      </c>
    </row>
    <row r="5611" customFormat="false" ht="15" hidden="false" customHeight="false" outlineLevel="0" collapsed="false">
      <c r="A5611" s="5" t="s">
        <v>922</v>
      </c>
      <c r="B5611" s="0" t="s">
        <v>57</v>
      </c>
      <c r="H5611" s="40" t="n">
        <f aca="false">1/(1+wacc)^(2027-2026-0.5)</f>
        <v>0.947751320380232</v>
      </c>
      <c r="I5611" s="40" t="n">
        <f aca="false">1/(1+wacc)^(2028-2026-0.5)</f>
        <v>0.851301099754987</v>
      </c>
      <c r="J5611" s="40" t="n">
        <f aca="false">1/(1+wacc)^(2029-2026-0.5)</f>
        <v>0.764666370660713</v>
      </c>
      <c r="K5611" s="40" t="n">
        <f aca="false">1/(1+wacc)^(2030-2026-0.5)</f>
        <v>0.686848235703811</v>
      </c>
      <c r="L5611" s="40" t="n">
        <f aca="false">1/(1+wacc)^(2031-2026-0.5)</f>
        <v>0.616949452715975</v>
      </c>
      <c r="M5611" s="40" t="n">
        <f aca="false">1/(1+wacc)^(2032-2026-0.5)</f>
        <v>0.554164089562688</v>
      </c>
    </row>
    <row r="5612" customFormat="false" ht="15" hidden="false" customHeight="false" outlineLevel="0" collapsed="false">
      <c r="A5612" s="5" t="s">
        <v>923</v>
      </c>
      <c r="B5612" s="0" t="s">
        <v>86</v>
      </c>
      <c r="H5612" s="38" t="n">
        <f aca="false">Sens!$H$5610*Sens!$H$5611</f>
        <v>-59.3824467800682</v>
      </c>
      <c r="I5612" s="38" t="n">
        <f aca="false">Sens!$I$5610*Sens!$I$5611</f>
        <v>-14.2208183065825</v>
      </c>
      <c r="J5612" s="38" t="n">
        <f aca="false">Sens!$J$5610*Sens!$J$5611</f>
        <v>22.9162685376748</v>
      </c>
      <c r="K5612" s="38" t="n">
        <f aca="false">Sens!$K$5610*Sens!$K$5611</f>
        <v>91.2896539211806</v>
      </c>
      <c r="L5612" s="38" t="n">
        <f aca="false">Sens!$L$5610*Sens!$L$5611</f>
        <v>118.308652897611</v>
      </c>
      <c r="M5612" s="38" t="n">
        <f aca="false">Sens!$M$5610*Sens!$M$5611</f>
        <v>119.769914619424</v>
      </c>
    </row>
    <row r="5613" customFormat="false" ht="15" hidden="false" customHeight="false" outlineLevel="0" collapsed="false">
      <c r="A5613" s="5" t="s">
        <v>924</v>
      </c>
      <c r="B5613" s="0" t="s">
        <v>86</v>
      </c>
      <c r="C5613" s="38" t="n">
        <f aca="false">SUM(Sens!$H$5612:$M$5612)</f>
        <v>278.68122488924</v>
      </c>
    </row>
    <row r="5614" customFormat="false" ht="17.15" hidden="false" customHeight="false" outlineLevel="0" collapsed="false">
      <c r="A5614" s="5" t="s">
        <v>925</v>
      </c>
      <c r="B5614" s="0" t="s">
        <v>86</v>
      </c>
      <c r="C5614" s="38" t="n">
        <f aca="false">Sens!$M$5605*(1+tg_lo)*(1-tg_lo/ronic)/(wacc-tg_lo)</f>
        <v>1893.54235130381</v>
      </c>
    </row>
    <row r="5615" customFormat="false" ht="15" hidden="false" customHeight="false" outlineLevel="0" collapsed="false">
      <c r="A5615" s="5" t="s">
        <v>926</v>
      </c>
      <c r="B5615" s="0" t="s">
        <v>86</v>
      </c>
      <c r="C5615" s="38" t="n">
        <f aca="false">Sens!$C$5614/(1+wacc)^6</f>
        <v>994.506900379906</v>
      </c>
    </row>
    <row r="5616" customFormat="false" ht="17.15" hidden="false" customHeight="false" outlineLevel="0" collapsed="false">
      <c r="A5616" s="5" t="s">
        <v>927</v>
      </c>
      <c r="B5616" s="0" t="s">
        <v>86</v>
      </c>
      <c r="C5616" s="38" t="n">
        <f aca="false">Sens!$C$5613+Sens!$C$5615</f>
        <v>1273.18812526915</v>
      </c>
    </row>
    <row r="5617" customFormat="false" ht="17.15" hidden="false" customHeight="false" outlineLevel="0" collapsed="false">
      <c r="A5617" s="5" t="s">
        <v>928</v>
      </c>
      <c r="B5617" s="0" t="s">
        <v>52</v>
      </c>
      <c r="C5617" s="13" t="n">
        <f aca="false">Sens!$C$5615/Sens!$C$5616</f>
        <v>0.781115438199419</v>
      </c>
    </row>
    <row r="5618" customFormat="false" ht="17.15" hidden="false" customHeight="false" outlineLevel="0" collapsed="false">
      <c r="A5618" s="5" t="s">
        <v>929</v>
      </c>
      <c r="B5618" s="0" t="s">
        <v>86</v>
      </c>
      <c r="C5618" s="38" t="n">
        <f aca="false">Sens!$G$5594+fin_debt</f>
        <v>97.2636983848813</v>
      </c>
    </row>
    <row r="5619" customFormat="false" ht="17.15" hidden="false" customHeight="false" outlineLevel="0" collapsed="false">
      <c r="A5619" s="5" t="s">
        <v>930</v>
      </c>
      <c r="B5619" s="0" t="s">
        <v>86</v>
      </c>
      <c r="C5619" s="38" t="n">
        <f aca="false">(ant_val*ant_sh+oai_val*oai_sh)*(1-liq_disc)</f>
        <v>178.944</v>
      </c>
    </row>
    <row r="5620" customFormat="false" ht="15" hidden="false" customHeight="false" outlineLevel="0" collapsed="false">
      <c r="A5620" s="5" t="s">
        <v>931</v>
      </c>
      <c r="B5620" s="0" t="s">
        <v>86</v>
      </c>
      <c r="C5620" s="38" t="n">
        <f aca="false">Sens!$C$5616-Sens!$C$5618+Sens!$C$5619</f>
        <v>1354.86842688426</v>
      </c>
    </row>
    <row r="5621" customFormat="false" ht="17.15" hidden="false" customHeight="false" outlineLevel="0" collapsed="false">
      <c r="A5621" s="5" t="s">
        <v>932</v>
      </c>
      <c r="B5621" s="0" t="s">
        <v>27</v>
      </c>
      <c r="C5621" s="30" t="n">
        <f aca="false">Sens!$C$5620/sh_out</f>
        <v>125.60995599463</v>
      </c>
    </row>
    <row r="5622" customFormat="false" ht="17.15" hidden="false" customHeight="false" outlineLevel="0" collapsed="false">
      <c r="A5622" s="1" t="s">
        <v>933</v>
      </c>
      <c r="B5622" s="8" t="s">
        <v>27</v>
      </c>
      <c r="C5622" s="30" t="n">
        <f aca="false">Sens!$C$5621*(1+ke)^tp_yf-dps*tp_yf</f>
        <v>137.589232603568</v>
      </c>
    </row>
    <row r="5623" customFormat="false" ht="17.15" hidden="false" customHeight="false" outlineLevel="0" collapsed="false">
      <c r="A5623" s="3" t="s">
        <v>934</v>
      </c>
    </row>
    <row r="5624" customFormat="false" ht="17.15" hidden="false" customHeight="false" outlineLevel="0" collapsed="false">
      <c r="A5624" s="5" t="s">
        <v>935</v>
      </c>
      <c r="B5624" s="0" t="s">
        <v>86</v>
      </c>
      <c r="C5624" s="38" t="n">
        <f aca="false">(1-tp_yf)*(Sens!$H$5551+sbc_ab*Sens!$H$5575*Sens!$H$5415/Sens!$H$5492)+tp_yf*(Sens!$I$5551+sbc_ab*Sens!$I$5575*Sens!$I$5415/Sens!$I$5492)</f>
        <v>59.634664536349</v>
      </c>
    </row>
    <row r="5625" customFormat="false" ht="15" hidden="false" customHeight="false" outlineLevel="0" collapsed="false">
      <c r="A5625" s="5" t="s">
        <v>936</v>
      </c>
      <c r="B5625" s="0" t="s">
        <v>57</v>
      </c>
      <c r="C5625" s="30" t="n">
        <f aca="false">m_ads*m_x</f>
        <v>9.11</v>
      </c>
    </row>
    <row r="5626" customFormat="false" ht="17.15" hidden="false" customHeight="false" outlineLevel="0" collapsed="false">
      <c r="A5626" s="5" t="s">
        <v>937</v>
      </c>
      <c r="B5626" s="0" t="s">
        <v>86</v>
      </c>
      <c r="C5626" s="38" t="n">
        <f aca="false">Sens!$C$5624*Sens!$C$5625</f>
        <v>543.271793926139</v>
      </c>
    </row>
    <row r="5627" customFormat="false" ht="17.15" hidden="false" customHeight="false" outlineLevel="0" collapsed="false">
      <c r="A5627" s="5" t="s">
        <v>938</v>
      </c>
      <c r="B5627" s="0" t="s">
        <v>86</v>
      </c>
      <c r="C5627" s="38" t="n">
        <f aca="false">(1-tp_yf)*(Sens!$H$5552+sbc_ab*Sens!$H$5575*(Sens!$H$5422-Sens!$H$5415)/Sens!$H$5492+IF(internal_ai_reading=2,1,0)*(1-ext_sh)*Sens!$H$5452)+tp_yf*(Sens!$I$5552+sbc_ab*Sens!$I$5575*(Sens!$I$5422-Sens!$I$5415)/Sens!$I$5492+IF(internal_ai_reading=2,1,0)*(1-ext_sh)*Sens!$I$5452)</f>
        <v>51.2224827206816</v>
      </c>
    </row>
    <row r="5628" customFormat="false" ht="17.15" hidden="false" customHeight="false" outlineLevel="0" collapsed="false">
      <c r="A5628" s="5" t="s">
        <v>939</v>
      </c>
      <c r="B5628" s="0" t="s">
        <v>57</v>
      </c>
      <c r="C5628" s="30" t="n">
        <f aca="false">m_retail*m_x</f>
        <v>17.72</v>
      </c>
    </row>
    <row r="5629" customFormat="false" ht="17.15" hidden="false" customHeight="false" outlineLevel="0" collapsed="false">
      <c r="A5629" s="5" t="s">
        <v>940</v>
      </c>
      <c r="B5629" s="0" t="s">
        <v>86</v>
      </c>
      <c r="C5629" s="38" t="n">
        <f aca="false">Sens!$C$5627*Sens!$C$5628</f>
        <v>907.662393810478</v>
      </c>
    </row>
    <row r="5630" customFormat="false" ht="17.15" hidden="false" customHeight="false" outlineLevel="0" collapsed="false">
      <c r="A5630" s="0" t="s">
        <v>941</v>
      </c>
      <c r="B5630" s="0" t="s">
        <v>86</v>
      </c>
      <c r="C5630" s="38" t="n">
        <f aca="false">(1-tp_yf)*(Sens!$H$5553+sbc_ab*Sens!$H$5575*Sens!$H$5490/Sens!$H$5492)+tp_yf*(Sens!$I$5553+sbc_ab*Sens!$I$5575*Sens!$I$5490/Sens!$I$5492)</f>
        <v>96.2439586897193</v>
      </c>
    </row>
    <row r="5631" customFormat="false" ht="17.15" hidden="false" customHeight="false" outlineLevel="0" collapsed="false">
      <c r="A5631" s="0" t="s">
        <v>942</v>
      </c>
      <c r="B5631" s="0" t="s">
        <v>57</v>
      </c>
      <c r="C5631" s="30" t="n">
        <f aca="false">m_cloud*m_x</f>
        <v>13.82</v>
      </c>
    </row>
    <row r="5632" customFormat="false" ht="17.15" hidden="false" customHeight="false" outlineLevel="0" collapsed="false">
      <c r="A5632" s="0" t="s">
        <v>943</v>
      </c>
      <c r="B5632" s="0" t="s">
        <v>86</v>
      </c>
      <c r="C5632" s="38" t="n">
        <f aca="false">Sens!$C$5630*Sens!$C$5631</f>
        <v>1330.09150909192</v>
      </c>
    </row>
    <row r="5633" customFormat="false" ht="17.15" hidden="false" customHeight="false" outlineLevel="0" collapsed="false">
      <c r="A5633" s="0" t="s">
        <v>944</v>
      </c>
      <c r="B5633" s="0" t="s">
        <v>86</v>
      </c>
      <c r="H5633" s="38" t="n">
        <f aca="false">Sens!$H$5471-tax*Sens!$H$5472-ext_sh*Sens!$H$5459</f>
        <v>-115.885394236225</v>
      </c>
      <c r="I5633" s="38" t="n">
        <f aca="false">Sens!$I$5471-tax*Sens!$I$5472-ext_sh*Sens!$I$5459</f>
        <v>-89.5935137276694</v>
      </c>
      <c r="J5633" s="38" t="n">
        <f aca="false">Sens!$J$5471-tax*Sens!$J$5472-ext_sh*Sens!$J$5459</f>
        <v>-62.3510647460279</v>
      </c>
      <c r="K5633" s="38" t="n">
        <f aca="false">Sens!$K$5471-tax*Sens!$K$5472-ext_sh*Sens!$K$5459</f>
        <v>10.8922692439123</v>
      </c>
      <c r="L5633" s="38" t="n">
        <f aca="false">Sens!$L$5471-tax*Sens!$L$5472-ext_sh*Sens!$L$5459</f>
        <v>49.33487020824</v>
      </c>
      <c r="M5633" s="38" t="n">
        <f aca="false">Sens!$M$5471-tax*Sens!$M$5472-ext_sh*Sens!$M$5459</f>
        <v>59.5610509758268</v>
      </c>
    </row>
    <row r="5634" customFormat="false" ht="17.15" hidden="false" customHeight="false" outlineLevel="0" collapsed="false">
      <c r="A5634" s="5" t="s">
        <v>945</v>
      </c>
      <c r="B5634" s="0" t="s">
        <v>86</v>
      </c>
      <c r="H5634" s="38" t="n">
        <f aca="false">Sens!$H$5633*Sens!$H$5611</f>
        <v>-109.830535400166</v>
      </c>
      <c r="I5634" s="38" t="n">
        <f aca="false">Sens!$I$5633*Sens!$I$5611</f>
        <v>-76.2710567672785</v>
      </c>
      <c r="J5634" s="38" t="n">
        <f aca="false">Sens!$J$5633*Sens!$J$5611</f>
        <v>-47.6777623861763</v>
      </c>
      <c r="K5634" s="38" t="n">
        <f aca="false">Sens!$K$5633*Sens!$K$5611</f>
        <v>7.48133591299203</v>
      </c>
      <c r="L5634" s="38" t="n">
        <f aca="false">Sens!$L$5633*Sens!$L$5611</f>
        <v>30.4371211747874</v>
      </c>
      <c r="M5634" s="38" t="n">
        <f aca="false">Sens!$M$5633*Sens!$M$5611</f>
        <v>33.0065955874159</v>
      </c>
    </row>
    <row r="5635" customFormat="false" ht="17.15" hidden="false" customHeight="false" outlineLevel="0" collapsed="false">
      <c r="A5635" s="5" t="s">
        <v>946</v>
      </c>
      <c r="B5635" s="0" t="s">
        <v>86</v>
      </c>
      <c r="C5635" s="38" t="n">
        <f aca="false">Sens!$M$5472*(1-tax)*(1+tg_lo)*(1-tg_lo/ronic)/(wacc-tg_lo)</f>
        <v>379.480338842933</v>
      </c>
    </row>
    <row r="5636" customFormat="false" ht="17.15" hidden="false" customHeight="false" outlineLevel="0" collapsed="false">
      <c r="A5636" s="0" t="s">
        <v>947</v>
      </c>
      <c r="B5636" s="0" t="s">
        <v>86</v>
      </c>
      <c r="C5636" s="38" t="n">
        <f aca="false">(SUM(Sens!$I$5634:$M$5634)+Sens!$C$5635/(1+wacc)^6)*(1+wacc)^tp_yf</f>
        <v>159.773392239472</v>
      </c>
    </row>
    <row r="5637" customFormat="false" ht="17.15" hidden="false" customHeight="false" outlineLevel="0" collapsed="false">
      <c r="A5637" s="5" t="s">
        <v>948</v>
      </c>
      <c r="B5637" s="0" t="s">
        <v>86</v>
      </c>
      <c r="C5637" s="38" t="n">
        <f aca="false">(1-tp_yf)*(Sens!$H$5554)+tp_yf*(Sens!$I$5554)</f>
        <v>74.6707041238437</v>
      </c>
    </row>
    <row r="5638" customFormat="false" ht="17.15" hidden="false" customHeight="false" outlineLevel="0" collapsed="false">
      <c r="A5638" s="5" t="s">
        <v>949</v>
      </c>
      <c r="B5638" s="0" t="s">
        <v>86</v>
      </c>
      <c r="C5638" s="38" t="n">
        <f aca="false">Sens!$C$5637*m_ai</f>
        <v>448.024224743062</v>
      </c>
    </row>
    <row r="5639" customFormat="false" ht="17.15" hidden="false" customHeight="false" outlineLevel="0" collapsed="false">
      <c r="A5639" s="0" t="s">
        <v>950</v>
      </c>
      <c r="B5639" s="0" t="s">
        <v>86</v>
      </c>
      <c r="C5639" s="38" t="n">
        <f aca="false">IF(ai_leg=1,Sens!$C$5636,Sens!$C$5638)</f>
        <v>159.773392239472</v>
      </c>
    </row>
    <row r="5640" customFormat="false" ht="17.15" hidden="false" customHeight="false" outlineLevel="0" collapsed="false">
      <c r="A5640" s="5" t="s">
        <v>951</v>
      </c>
      <c r="B5640" s="0" t="s">
        <v>86</v>
      </c>
      <c r="C5640" s="38" t="n">
        <f aca="false">Sens!$C$5626+Sens!$C$5629+Sens!$C$5632+Sens!$C$5639</f>
        <v>2940.79908906801</v>
      </c>
    </row>
    <row r="5641" customFormat="false" ht="17.15" hidden="false" customHeight="false" outlineLevel="0" collapsed="false">
      <c r="A5641" s="5" t="s">
        <v>952</v>
      </c>
      <c r="B5641" s="0" t="s">
        <v>86</v>
      </c>
      <c r="C5641" s="38" t="n">
        <f aca="false">Sens!$H$5594+fin_debt</f>
        <v>153.608629741943</v>
      </c>
    </row>
    <row r="5642" customFormat="false" ht="15" hidden="false" customHeight="false" outlineLevel="0" collapsed="false">
      <c r="A5642" s="5" t="s">
        <v>953</v>
      </c>
      <c r="B5642" s="0" t="s">
        <v>86</v>
      </c>
      <c r="C5642" s="38" t="n">
        <f aca="false">Sens!$C$5640-Sens!$C$5641+Sens!$C$5619</f>
        <v>2966.13445932607</v>
      </c>
    </row>
    <row r="5643" customFormat="false" ht="15" hidden="false" customHeight="false" outlineLevel="0" collapsed="false">
      <c r="A5643" s="3" t="s">
        <v>954</v>
      </c>
      <c r="B5643" s="8" t="s">
        <v>27</v>
      </c>
      <c r="C5643" s="30" t="n">
        <f aca="false">Sens!$C$5642/sh_val</f>
        <v>268.907526959438</v>
      </c>
    </row>
    <row r="5644" customFormat="false" ht="17.15" hidden="false" customHeight="false" outlineLevel="0" collapsed="false">
      <c r="A5644" s="47" t="s">
        <v>955</v>
      </c>
      <c r="B5644" s="14" t="s">
        <v>27</v>
      </c>
      <c r="C5644" s="44" t="n">
        <f aca="false">w_dcf*Sens!$C$5622+(1-w_dcf)*Sens!$C$5643</f>
        <v>203.248379781503</v>
      </c>
      <c r="D5644" s="14"/>
      <c r="E5644" s="14"/>
      <c r="F5644" s="14"/>
      <c r="G5644" s="14"/>
      <c r="H5644" s="14"/>
      <c r="I5644" s="14"/>
      <c r="J5644" s="14"/>
      <c r="K5644" s="14"/>
      <c r="L5644" s="14"/>
      <c r="M5644" s="14"/>
      <c r="N5644" s="14"/>
      <c r="O5644" s="14"/>
    </row>
    <row r="5645" customFormat="false" ht="17.15" hidden="false" customHeight="false" outlineLevel="0" collapsed="false">
      <c r="A5645" s="5" t="s">
        <v>956</v>
      </c>
      <c r="B5645" s="0" t="s">
        <v>27</v>
      </c>
      <c r="C5645" s="30" t="n">
        <f aca="false">v022_wdcf*Sens!$C$5622+(1-v022_wdcf)*Sens!$C$5643</f>
        <v>209.814294499297</v>
      </c>
    </row>
    <row r="5646" customFormat="false" ht="17.15" hidden="false" customHeight="false" outlineLevel="0" collapsed="false">
      <c r="A5646" s="5" t="s">
        <v>957</v>
      </c>
      <c r="B5646" s="0" t="s">
        <v>27</v>
      </c>
      <c r="C5646" s="30" t="n">
        <f aca="false">(Sens!$C$5642-Sens!$C$5639+Sens!$C$5638)/sh_val</f>
        <v>295.040131389701</v>
      </c>
    </row>
    <row r="5649" customFormat="false" ht="19.4" hidden="false" customHeight="false" outlineLevel="0" collapsed="false">
      <c r="A5649" s="31" t="s">
        <v>1250</v>
      </c>
    </row>
    <row r="5650" customFormat="false" ht="17.15" hidden="false" customHeight="false" outlineLevel="0" collapsed="false">
      <c r="A5650" s="6" t="s">
        <v>16</v>
      </c>
      <c r="B5650" s="6" t="s">
        <v>17</v>
      </c>
      <c r="C5650" s="20" t="s">
        <v>497</v>
      </c>
      <c r="D5650" s="20" t="s">
        <v>498</v>
      </c>
      <c r="E5650" s="20" t="s">
        <v>580</v>
      </c>
      <c r="F5650" s="20" t="s">
        <v>581</v>
      </c>
      <c r="G5650" s="20" t="s">
        <v>582</v>
      </c>
      <c r="H5650" s="20" t="s">
        <v>583</v>
      </c>
      <c r="I5650" s="20" t="s">
        <v>584</v>
      </c>
      <c r="J5650" s="20" t="s">
        <v>585</v>
      </c>
      <c r="K5650" s="20" t="s">
        <v>586</v>
      </c>
      <c r="L5650" s="20" t="s">
        <v>587</v>
      </c>
      <c r="M5650" s="20" t="s">
        <v>588</v>
      </c>
      <c r="N5650" s="20" t="s">
        <v>589</v>
      </c>
      <c r="O5650" s="20" t="s">
        <v>590</v>
      </c>
      <c r="P5650" s="6" t="s">
        <v>23</v>
      </c>
      <c r="R5650" s="20" t="n">
        <v>2023</v>
      </c>
      <c r="S5650" s="20" t="n">
        <v>2024</v>
      </c>
      <c r="T5650" s="20" t="n">
        <v>2025</v>
      </c>
      <c r="U5650" s="20" t="n">
        <v>2026</v>
      </c>
      <c r="V5650" s="20" t="n">
        <v>2027</v>
      </c>
      <c r="W5650" s="20" t="n">
        <v>2028</v>
      </c>
      <c r="X5650" s="20" t="n">
        <v>2029</v>
      </c>
      <c r="Y5650" s="20" t="n">
        <v>2030</v>
      </c>
      <c r="Z5650" s="20" t="n">
        <v>2031</v>
      </c>
      <c r="AA5650" s="20" t="n">
        <v>2032</v>
      </c>
    </row>
    <row r="5651" customFormat="false" ht="17.15" hidden="false" customHeight="false" outlineLevel="0" collapsed="false">
      <c r="A5651" s="1" t="s">
        <v>666</v>
      </c>
    </row>
    <row r="5652" customFormat="false" ht="17.15" hidden="false" customHeight="false" outlineLevel="0" collapsed="false">
      <c r="A5652" s="0" t="s">
        <v>519</v>
      </c>
      <c r="B5652" s="0" t="s">
        <v>86</v>
      </c>
      <c r="C5652" s="38" t="n">
        <f aca="false">Q!$D$10</f>
        <v>247.029</v>
      </c>
      <c r="D5652" s="38" t="n">
        <f aca="false">Q!$E$10</f>
        <v>269.287</v>
      </c>
      <c r="E5652" s="38" t="n">
        <f aca="false">Q!$P$10</f>
        <v>134.686</v>
      </c>
      <c r="F5652" s="38" t="n">
        <f aca="false">Sens!$O$5652*(1+Sens!$F$5653)*Sens!$F$5664</f>
        <v>158.293876822267</v>
      </c>
      <c r="G5652" s="38" t="n">
        <f aca="false">Sens!$E$5652+Sens!$F$5652</f>
        <v>292.979876822267</v>
      </c>
      <c r="H5652" s="38" t="n">
        <f aca="false">Sens!$G$5652*(1+Sens!$H$5653)</f>
        <v>318.184543087396</v>
      </c>
      <c r="I5652" s="38" t="n">
        <f aca="false">Sens!$H$5652*(1+Sens!$I$5653)</f>
        <v>341.736278761793</v>
      </c>
      <c r="J5652" s="38" t="n">
        <f aca="false">Sens!$I$5652*(1+Sens!$J$5653)</f>
        <v>362.927192787048</v>
      </c>
      <c r="K5652" s="38" t="n">
        <f aca="false">Sens!$J$5652*(1+Sens!$K$5653)</f>
        <v>381.0735524264</v>
      </c>
      <c r="L5652" s="38" t="n">
        <f aca="false">Sens!$K$5652*(1+Sens!$L$5653)</f>
        <v>400.12723004772</v>
      </c>
      <c r="M5652" s="38" t="n">
        <f aca="false">Sens!$L$5652*(1+Sens!$M$5653)</f>
        <v>420.133591550106</v>
      </c>
      <c r="N5652" s="38" t="n">
        <f aca="false">Q!$N$10</f>
        <v>118.892</v>
      </c>
      <c r="O5652" s="38" t="n">
        <f aca="false">Q!$O$10</f>
        <v>150.395</v>
      </c>
      <c r="P5652" s="8" t="s">
        <v>667</v>
      </c>
    </row>
    <row r="5653" customFormat="false" ht="17.15" hidden="false" customHeight="false" outlineLevel="0" collapsed="false">
      <c r="A5653" s="0" t="s">
        <v>668</v>
      </c>
      <c r="B5653" s="0" t="s">
        <v>52</v>
      </c>
      <c r="E5653" s="13" t="n">
        <f aca="false">Sens!$E$5652/Sens!$N$5652-1</f>
        <v>0.132843252699929</v>
      </c>
      <c r="F5653" s="13" t="n">
        <f aca="false">Sens!$O$5652/(Q!$F$10+Q!$G$10)-1</f>
        <v>0.0980382135842941</v>
      </c>
      <c r="G5653" s="13" t="n">
        <f aca="false">Sens!$G$5652/Sens!$D$5652-1</f>
        <v>0.0879837378791657</v>
      </c>
      <c r="H5653" s="13" t="n">
        <f aca="false">Sens!$F$5653+(g_os-Sens!$F$5653)*1/4</f>
        <v>0.0860286601882206</v>
      </c>
      <c r="I5653" s="13" t="n">
        <f aca="false">Sens!$F$5653+(g_os-Sens!$F$5653)*2/4</f>
        <v>0.074019106792147</v>
      </c>
      <c r="J5653" s="13" t="n">
        <f aca="false">Sens!$F$5653+(g_os-Sens!$F$5653)*3/4</f>
        <v>0.0620095533960735</v>
      </c>
      <c r="K5653" s="13" t="n">
        <f aca="false">Sens!$F$5653+(g_os-Sens!$F$5653)*4/4</f>
        <v>0.05</v>
      </c>
      <c r="L5653" s="13" t="n">
        <f aca="false">g_os</f>
        <v>0.05</v>
      </c>
      <c r="M5653" s="13" t="n">
        <f aca="false">g_os</f>
        <v>0.05</v>
      </c>
      <c r="P5653" s="8" t="s">
        <v>669</v>
      </c>
    </row>
    <row r="5654" customFormat="false" ht="17.15" hidden="false" customHeight="false" outlineLevel="0" collapsed="false">
      <c r="A5654" s="0" t="s">
        <v>520</v>
      </c>
      <c r="B5654" s="0" t="s">
        <v>86</v>
      </c>
      <c r="C5654" s="38" t="n">
        <f aca="false">Q!$D$11</f>
        <v>21.215</v>
      </c>
      <c r="D5654" s="38" t="n">
        <f aca="false">Q!$E$11</f>
        <v>22.561</v>
      </c>
      <c r="E5654" s="38" t="n">
        <f aca="false">Q!$P$11</f>
        <v>11.579</v>
      </c>
      <c r="F5654" s="38" t="n">
        <f aca="false">Sens!$O$5654*(1+Sens!$F$5655)*Sens!$F$5664</f>
        <v>11.5938724610325</v>
      </c>
      <c r="G5654" s="38" t="n">
        <f aca="false">Sens!$E$5654+Sens!$F$5654</f>
        <v>23.1728724610325</v>
      </c>
      <c r="H5654" s="38" t="n">
        <f aca="false">Sens!$G$5654*(1+Sens!$H$5655)</f>
        <v>24.353392759506</v>
      </c>
      <c r="I5654" s="38" t="n">
        <f aca="false">Sens!$H$5654*(1+Sens!$I$5655)</f>
        <v>25.4240338872015</v>
      </c>
      <c r="J5654" s="38" t="n">
        <f aca="false">Sens!$I$5654*(1+Sens!$J$5655)</f>
        <v>26.3642491017174</v>
      </c>
      <c r="K5654" s="38" t="n">
        <f aca="false">Sens!$J$5654*(1+Sens!$K$5655)</f>
        <v>27.155176574769</v>
      </c>
      <c r="L5654" s="38" t="n">
        <f aca="false">Sens!$K$5654*(1+Sens!$L$5655)</f>
        <v>27.969831872012</v>
      </c>
      <c r="M5654" s="38" t="n">
        <f aca="false">Sens!$L$5654*(1+Sens!$M$5655)</f>
        <v>28.8089268281724</v>
      </c>
      <c r="N5654" s="38" t="n">
        <f aca="false">Q!$N$11</f>
        <v>11.128</v>
      </c>
      <c r="O5654" s="38" t="n">
        <f aca="false">Q!$O$11</f>
        <v>11.433</v>
      </c>
      <c r="P5654" s="8" t="s">
        <v>667</v>
      </c>
    </row>
    <row r="5655" customFormat="false" ht="17.15" hidden="false" customHeight="false" outlineLevel="0" collapsed="false">
      <c r="A5655" s="0" t="s">
        <v>670</v>
      </c>
      <c r="B5655" s="0" t="s">
        <v>52</v>
      </c>
      <c r="E5655" s="13" t="n">
        <f aca="false">Sens!$E$5654/Sens!$N$5654-1</f>
        <v>0.0405283968368082</v>
      </c>
      <c r="F5655" s="13" t="n">
        <f aca="false">Sens!$O$5654/(Q!$F$11+Q!$G$11)-1</f>
        <v>0.0579254187100955</v>
      </c>
      <c r="G5655" s="13" t="n">
        <f aca="false">Sens!$G$5654/Sens!$D$5654-1</f>
        <v>0.0271208040881397</v>
      </c>
      <c r="H5655" s="13" t="n">
        <f aca="false">Sens!$F$5655+(g_ps-Sens!$F$5655)*1/4</f>
        <v>0.0509440640325716</v>
      </c>
      <c r="I5655" s="13" t="n">
        <f aca="false">Sens!$F$5655+(g_ps-Sens!$F$5655)*2/4</f>
        <v>0.0439627093550477</v>
      </c>
      <c r="J5655" s="13" t="n">
        <f aca="false">Sens!$F$5655+(g_ps-Sens!$F$5655)*3/4</f>
        <v>0.0369813546775239</v>
      </c>
      <c r="K5655" s="13" t="n">
        <f aca="false">Sens!$F$5655+(g_ps-Sens!$F$5655)*4/4</f>
        <v>0.03</v>
      </c>
      <c r="L5655" s="13" t="n">
        <f aca="false">g_ps</f>
        <v>0.03</v>
      </c>
      <c r="M5655" s="13" t="n">
        <f aca="false">g_ps</f>
        <v>0.03</v>
      </c>
      <c r="P5655" s="8" t="s">
        <v>671</v>
      </c>
    </row>
    <row r="5656" customFormat="false" ht="17.15" hidden="false" customHeight="false" outlineLevel="0" collapsed="false">
      <c r="A5656" s="0" t="s">
        <v>521</v>
      </c>
      <c r="B5656" s="0" t="s">
        <v>86</v>
      </c>
      <c r="C5656" s="38" t="n">
        <f aca="false">Q!$D$12</f>
        <v>156.146</v>
      </c>
      <c r="D5656" s="38" t="n">
        <f aca="false">Q!$E$12</f>
        <v>172.162</v>
      </c>
      <c r="E5656" s="38" t="n">
        <f aca="false">Q!$P$12</f>
        <v>88.358</v>
      </c>
      <c r="F5656" s="38" t="n">
        <f aca="false">Sens!$O$5656*(1+Sens!$F$5657)*Sens!$F$5664</f>
        <v>102.004388260171</v>
      </c>
      <c r="G5656" s="38" t="n">
        <f aca="false">Sens!$E$5656+Sens!$F$5656</f>
        <v>190.362388260171</v>
      </c>
      <c r="H5656" s="38" t="n">
        <f aca="false">Sens!$G$5656*(1+Sens!$H$5657)</f>
        <v>210.343106588311</v>
      </c>
      <c r="I5656" s="38" t="n">
        <f aca="false">Sens!$H$5656*(1+Sens!$I$5657)</f>
        <v>229.969728494648</v>
      </c>
      <c r="J5656" s="38" t="n">
        <f aca="false">Sens!$I$5656*(1+Sens!$J$5657)</f>
        <v>248.747636972598</v>
      </c>
      <c r="K5656" s="38" t="n">
        <f aca="false">Sens!$J$5656*(1+Sens!$K$5657)</f>
        <v>266.15997156068</v>
      </c>
      <c r="L5656" s="38" t="n">
        <f aca="false">Sens!$K$5656*(1+Sens!$L$5657)</f>
        <v>284.791169569927</v>
      </c>
      <c r="M5656" s="38" t="n">
        <f aca="false">Sens!$L$5656*(1+Sens!$M$5657)</f>
        <v>304.726551439822</v>
      </c>
      <c r="N5656" s="38" t="n">
        <f aca="false">Q!$N$12</f>
        <v>76.86</v>
      </c>
      <c r="O5656" s="38" t="n">
        <f aca="false">Q!$O$12</f>
        <v>95.302</v>
      </c>
      <c r="P5656" s="8" t="s">
        <v>667</v>
      </c>
    </row>
    <row r="5657" customFormat="false" ht="17.15" hidden="false" customHeight="false" outlineLevel="0" collapsed="false">
      <c r="A5657" s="0" t="s">
        <v>672</v>
      </c>
      <c r="B5657" s="0" t="s">
        <v>52</v>
      </c>
      <c r="E5657" s="13" t="n">
        <f aca="false">Sens!$E$5656/Sens!$N$5656-1</f>
        <v>0.1495966692688</v>
      </c>
      <c r="F5657" s="13" t="n">
        <f aca="false">Sens!$O$5656/(Q!$F$12+Q!$G$12)-1</f>
        <v>0.11661530890813</v>
      </c>
      <c r="G5657" s="13" t="n">
        <f aca="false">Sens!$G$5656/Sens!$D$5656-1</f>
        <v>0.105716640490767</v>
      </c>
      <c r="H5657" s="13" t="n">
        <f aca="false">Sens!$F$5657+(g_sp-Sens!$F$5657)*1/4</f>
        <v>0.104961481681098</v>
      </c>
      <c r="I5657" s="13" t="n">
        <f aca="false">Sens!$F$5657+(g_sp-Sens!$F$5657)*2/4</f>
        <v>0.0933076544540651</v>
      </c>
      <c r="J5657" s="13" t="n">
        <f aca="false">Sens!$F$5657+(g_sp-Sens!$F$5657)*3/4</f>
        <v>0.0816538272270325</v>
      </c>
      <c r="K5657" s="13" t="n">
        <f aca="false">Sens!$F$5657+(g_sp-Sens!$F$5657)*4/4</f>
        <v>0.07</v>
      </c>
      <c r="L5657" s="13" t="n">
        <f aca="false">g_sp</f>
        <v>0.07</v>
      </c>
      <c r="M5657" s="13" t="n">
        <f aca="false">g_sp</f>
        <v>0.07</v>
      </c>
      <c r="P5657" s="8" t="s">
        <v>673</v>
      </c>
    </row>
    <row r="5658" customFormat="false" ht="17.15" hidden="false" customHeight="false" outlineLevel="0" collapsed="false">
      <c r="A5658" s="0" t="s">
        <v>522</v>
      </c>
      <c r="B5658" s="0" t="s">
        <v>86</v>
      </c>
      <c r="C5658" s="38" t="n">
        <f aca="false">Q!$D$13</f>
        <v>56.214</v>
      </c>
      <c r="D5658" s="38" t="n">
        <f aca="false">Q!$E$13</f>
        <v>68.635</v>
      </c>
      <c r="E5658" s="38" t="n">
        <f aca="false">Q!$P$13</f>
        <v>37.052</v>
      </c>
      <c r="F5658" s="38" t="n">
        <f aca="false">Sens!$O$5658*(1+Sens!$F$5659)*Sens!$F$5664</f>
        <v>46.1572219944148</v>
      </c>
      <c r="G5658" s="38" t="n">
        <f aca="false">Sens!$E$5658+Sens!$F$5658</f>
        <v>83.2092219944148</v>
      </c>
      <c r="H5658" s="38" t="n">
        <f aca="false">Sens!$G$5658*(1+Sens!$H$5659)</f>
        <v>99.8969223878976</v>
      </c>
      <c r="I5658" s="38" t="n">
        <f aca="false">Sens!$H$5658*(1+Sens!$I$5659)</f>
        <v>116.583111095496</v>
      </c>
      <c r="J5658" s="38" t="n">
        <f aca="false">Sens!$I$5658*(1+Sens!$J$5659)</f>
        <v>132.148941941952</v>
      </c>
      <c r="K5658" s="38" t="n">
        <f aca="false">Sens!$J$5658*(1+Sens!$K$5659)</f>
        <v>145.363836136147</v>
      </c>
      <c r="L5658" s="38" t="n">
        <f aca="false">Sens!$K$5658*(1+Sens!$L$5659)</f>
        <v>159.900219749762</v>
      </c>
      <c r="M5658" s="38" t="n">
        <f aca="false">Sens!$L$5658*(1+Sens!$M$5659)</f>
        <v>175.890241724738</v>
      </c>
      <c r="N5658" s="38" t="n">
        <f aca="false">Q!$N$13</f>
        <v>29.615</v>
      </c>
      <c r="O5658" s="38" t="n">
        <f aca="false">Q!$O$13</f>
        <v>39.02</v>
      </c>
      <c r="P5658" s="8" t="s">
        <v>667</v>
      </c>
    </row>
    <row r="5659" customFormat="false" ht="17.15" hidden="false" customHeight="false" outlineLevel="0" collapsed="false">
      <c r="A5659" s="0" t="s">
        <v>674</v>
      </c>
      <c r="B5659" s="0" t="s">
        <v>52</v>
      </c>
      <c r="E5659" s="13" t="n">
        <f aca="false">Sens!$E$5658/Sens!$N$5658-1</f>
        <v>0.25112274185379</v>
      </c>
      <c r="F5659" s="13" t="n">
        <f aca="false">Sens!$O$5658/(Q!$F$13+Q!$G$13)-1</f>
        <v>0.234068123596572</v>
      </c>
      <c r="G5659" s="13" t="n">
        <f aca="false">Sens!$G$5658/Sens!$D$5658-1</f>
        <v>0.212343876949294</v>
      </c>
      <c r="H5659" s="13" t="n">
        <f aca="false">Sens!$F$5659+(g_ad-Sens!$F$5659)*1/4</f>
        <v>0.200551092697429</v>
      </c>
      <c r="I5659" s="13" t="n">
        <f aca="false">Sens!$F$5659+(g_ad-Sens!$F$5659)*2/4</f>
        <v>0.167034061798286</v>
      </c>
      <c r="J5659" s="13" t="n">
        <f aca="false">Sens!$F$5659+(g_ad-Sens!$F$5659)*3/4</f>
        <v>0.133517030899143</v>
      </c>
      <c r="K5659" s="13" t="n">
        <f aca="false">Sens!$F$5659+(g_ad-Sens!$F$5659)*4/4</f>
        <v>0.1</v>
      </c>
      <c r="L5659" s="13" t="n">
        <f aca="false">g_ad</f>
        <v>0.1</v>
      </c>
      <c r="M5659" s="13" t="n">
        <f aca="false">g_ad</f>
        <v>0.1</v>
      </c>
      <c r="P5659" s="8" t="s">
        <v>675</v>
      </c>
    </row>
    <row r="5660" customFormat="false" ht="17.15" hidden="false" customHeight="false" outlineLevel="0" collapsed="false">
      <c r="A5660" s="0" t="s">
        <v>523</v>
      </c>
      <c r="B5660" s="0" t="s">
        <v>86</v>
      </c>
      <c r="C5660" s="38" t="n">
        <f aca="false">Q!$D$14</f>
        <v>44.374</v>
      </c>
      <c r="D5660" s="38" t="n">
        <f aca="false">Q!$E$14</f>
        <v>49.619</v>
      </c>
      <c r="E5660" s="38" t="n">
        <f aca="false">Q!$P$14</f>
        <v>27.157</v>
      </c>
      <c r="F5660" s="38" t="n">
        <f aca="false">Sens!$O$5660*(1+Sens!$F$5661)*Sens!$F$5664</f>
        <v>27.7764165988154</v>
      </c>
      <c r="G5660" s="38" t="n">
        <f aca="false">Sens!$E$5660+Sens!$F$5660</f>
        <v>54.9334165988154</v>
      </c>
      <c r="H5660" s="38" t="n">
        <f aca="false">Sens!$G$5660*(1+Sens!$H$5661)</f>
        <v>61.1564112561829</v>
      </c>
      <c r="I5660" s="38" t="n">
        <f aca="false">Sens!$H$5660*(1+Sens!$I$5661)</f>
        <v>67.2020282103945</v>
      </c>
      <c r="J5660" s="38" t="n">
        <f aca="false">Sens!$I$5660*(1+Sens!$J$5661)</f>
        <v>72.8757274028885</v>
      </c>
      <c r="K5660" s="38" t="n">
        <f aca="false">Sens!$J$5660*(1+Sens!$K$5661)</f>
        <v>77.9770283210907</v>
      </c>
      <c r="L5660" s="38" t="n">
        <f aca="false">Sens!$K$5660*(1+Sens!$L$5661)</f>
        <v>83.4354203035671</v>
      </c>
      <c r="M5660" s="38" t="n">
        <f aca="false">Sens!$L$5660*(1+Sens!$M$5661)</f>
        <v>89.2758997248168</v>
      </c>
      <c r="N5660" s="38" t="n">
        <f aca="false">Q!$N$14</f>
        <v>23.923</v>
      </c>
      <c r="O5660" s="38" t="n">
        <f aca="false">Q!$O$14</f>
        <v>25.696</v>
      </c>
      <c r="P5660" s="8" t="s">
        <v>667</v>
      </c>
    </row>
    <row r="5661" customFormat="false" ht="17.15" hidden="false" customHeight="false" outlineLevel="0" collapsed="false">
      <c r="A5661" s="0" t="s">
        <v>676</v>
      </c>
      <c r="B5661" s="0" t="s">
        <v>52</v>
      </c>
      <c r="E5661" s="13" t="n">
        <f aca="false">Sens!$E$5660/Sens!$N$5660-1</f>
        <v>0.135183714417088</v>
      </c>
      <c r="F5661" s="13" t="n">
        <f aca="false">Sens!$O$5660/(Q!$F$14+Q!$G$14)-1</f>
        <v>0.127709997366804</v>
      </c>
      <c r="G5661" s="13" t="n">
        <f aca="false">Sens!$G$5660/Sens!$D$5660-1</f>
        <v>0.107104468022641</v>
      </c>
      <c r="H5661" s="13" t="n">
        <f aca="false">Sens!$F$5661+(g_sub-Sens!$F$5661)*1/4</f>
        <v>0.113282498025103</v>
      </c>
      <c r="I5661" s="13" t="n">
        <f aca="false">Sens!$F$5661+(g_sub-Sens!$F$5661)*2/4</f>
        <v>0.0988549986834021</v>
      </c>
      <c r="J5661" s="13" t="n">
        <f aca="false">Sens!$F$5661+(g_sub-Sens!$F$5661)*3/4</f>
        <v>0.084427499341701</v>
      </c>
      <c r="K5661" s="13" t="n">
        <f aca="false">Sens!$F$5661+(g_sub-Sens!$F$5661)*4/4</f>
        <v>0.07</v>
      </c>
      <c r="L5661" s="13" t="n">
        <f aca="false">g_sub</f>
        <v>0.07</v>
      </c>
      <c r="M5661" s="13" t="n">
        <f aca="false">g_sub</f>
        <v>0.07</v>
      </c>
      <c r="P5661" s="8" t="s">
        <v>677</v>
      </c>
    </row>
    <row r="5662" customFormat="false" ht="17.15" hidden="false" customHeight="false" outlineLevel="0" collapsed="false">
      <c r="A5662" s="0" t="s">
        <v>524</v>
      </c>
      <c r="B5662" s="0" t="s">
        <v>86</v>
      </c>
      <c r="C5662" s="38" t="n">
        <f aca="false">Q!$D$15</f>
        <v>5.425</v>
      </c>
      <c r="D5662" s="38" t="n">
        <f aca="false">Q!$E$15</f>
        <v>5.935</v>
      </c>
      <c r="E5662" s="38" t="n">
        <f aca="false">Q!$P$15</f>
        <v>3.474</v>
      </c>
      <c r="F5662" s="38" t="n">
        <f aca="false">Sens!$O$5662*(1+Sens!$F$5663)*Sens!$F$5664</f>
        <v>3.22246550883619</v>
      </c>
      <c r="G5662" s="38" t="n">
        <f aca="false">Sens!$E$5662+Sens!$F$5662</f>
        <v>6.69646550883619</v>
      </c>
      <c r="H5662" s="38" t="n">
        <f aca="false">Sens!$G$5662*(1+Sens!$H$5663)</f>
        <v>7.16251344209196</v>
      </c>
      <c r="I5662" s="38" t="n">
        <f aca="false">Sens!$H$5662*(1+Sens!$I$5663)</f>
        <v>7.61421070299826</v>
      </c>
      <c r="J5662" s="38" t="n">
        <f aca="false">Sens!$I$5662*(1+Sens!$J$5663)</f>
        <v>8.04465753523932</v>
      </c>
      <c r="K5662" s="38" t="n">
        <f aca="false">Sens!$J$5662*(1+Sens!$K$5663)</f>
        <v>8.44689041200128</v>
      </c>
      <c r="L5662" s="38" t="n">
        <f aca="false">Sens!$K$5662*(1+Sens!$L$5663)</f>
        <v>8.86923493260135</v>
      </c>
      <c r="M5662" s="38" t="n">
        <f aca="false">Sens!$L$5662*(1+Sens!$M$5663)</f>
        <v>9.31269667923142</v>
      </c>
      <c r="N5662" s="38" t="n">
        <f aca="false">Q!$N$15</f>
        <v>2.811</v>
      </c>
      <c r="O5662" s="38" t="n">
        <f aca="false">Q!$O$15</f>
        <v>3.124</v>
      </c>
      <c r="P5662" s="8" t="s">
        <v>667</v>
      </c>
    </row>
    <row r="5663" customFormat="false" ht="17.15" hidden="false" customHeight="false" outlineLevel="0" collapsed="false">
      <c r="A5663" s="0" t="s">
        <v>678</v>
      </c>
      <c r="B5663" s="0" t="s">
        <v>52</v>
      </c>
      <c r="E5663" s="13" t="n">
        <f aca="false">Sens!$E$5662/Sens!$N$5662-1</f>
        <v>0.235859124866596</v>
      </c>
      <c r="F5663" s="13" t="n">
        <f aca="false">Sens!$O$5662/(Q!$F$15+Q!$G$15)-1</f>
        <v>0.0761281433000345</v>
      </c>
      <c r="G5663" s="13" t="n">
        <f aca="false">Sens!$G$5662/Sens!$D$5662-1</f>
        <v>0.128300843948811</v>
      </c>
      <c r="H5663" s="13" t="n">
        <f aca="false">Sens!$F$5663+(g_ot-Sens!$F$5663)*1/4</f>
        <v>0.0695961074750259</v>
      </c>
      <c r="I5663" s="13" t="n">
        <f aca="false">Sens!$F$5663+(g_ot-Sens!$F$5663)*2/4</f>
        <v>0.0630640716500172</v>
      </c>
      <c r="J5663" s="13" t="n">
        <f aca="false">Sens!$F$5663+(g_ot-Sens!$F$5663)*3/4</f>
        <v>0.0565320358250086</v>
      </c>
      <c r="K5663" s="13" t="n">
        <f aca="false">Sens!$F$5663+(g_ot-Sens!$F$5663)*4/4</f>
        <v>0.05</v>
      </c>
      <c r="L5663" s="13" t="n">
        <f aca="false">g_ot</f>
        <v>0.05</v>
      </c>
      <c r="M5663" s="13" t="n">
        <f aca="false">g_ot</f>
        <v>0.05</v>
      </c>
      <c r="P5663" s="8" t="s">
        <v>679</v>
      </c>
    </row>
    <row r="5664" customFormat="false" ht="17.15" hidden="false" customHeight="false" outlineLevel="0" collapsed="false">
      <c r="A5664" s="0" t="s">
        <v>680</v>
      </c>
      <c r="B5664" s="0" t="s">
        <v>57</v>
      </c>
      <c r="F5664" s="40" t="n">
        <f aca="false">(g26q3_mid*Q!$O$8/Q!$J$8-Thesis!$F$86-Thesis!$F$90)/(Sens!$O$5652*(1+Sens!$F$5653)+Sens!$O$5654*(1+Sens!$F$5655)+Sens!$O$5656*(1+Sens!$F$5657)+Sens!$O$5658*(1+Sens!$F$5659)+Sens!$O$5660*(1+Sens!$F$5661)+Sens!$O$5662*(1+Sens!$F$5663))</f>
        <v>0.958546670622329</v>
      </c>
      <c r="P5664" s="8" t="s">
        <v>681</v>
      </c>
    </row>
    <row r="5665" customFormat="false" ht="17.15" hidden="false" customHeight="false" outlineLevel="0" collapsed="false">
      <c r="A5665" s="3" t="s">
        <v>682</v>
      </c>
      <c r="B5665" s="8" t="s">
        <v>86</v>
      </c>
      <c r="C5665" s="38" t="n">
        <f aca="false">Sens!$C$5652+Sens!$C$5654+Sens!$C$5656+Sens!$C$5658+Sens!$C$5660+Sens!$C$5662</f>
        <v>530.403</v>
      </c>
      <c r="D5665" s="38" t="n">
        <f aca="false">Sens!$D$5652+Sens!$D$5654+Sens!$D$5656+Sens!$D$5658+Sens!$D$5660+Sens!$D$5662</f>
        <v>588.199</v>
      </c>
      <c r="E5665" s="38" t="n">
        <f aca="false">Sens!$E$5652+Sens!$E$5654+Sens!$E$5656+Sens!$E$5658+Sens!$E$5660+Sens!$E$5662</f>
        <v>302.306</v>
      </c>
      <c r="F5665" s="38" t="n">
        <f aca="false">Sens!$F$5652+Sens!$F$5654+Sens!$F$5656+Sens!$F$5658+Sens!$F$5660+Sens!$F$5662</f>
        <v>349.048241645537</v>
      </c>
      <c r="G5665" s="38" t="n">
        <f aca="false">Sens!$G$5652+Sens!$G$5654+Sens!$G$5656+Sens!$G$5658+Sens!$G$5660+Sens!$G$5662</f>
        <v>651.354241645537</v>
      </c>
      <c r="H5665" s="38" t="n">
        <f aca="false">Sens!$H$5652+Sens!$H$5654+Sens!$H$5656+Sens!$H$5658+Sens!$H$5660+Sens!$H$5662</f>
        <v>721.096889521386</v>
      </c>
      <c r="I5665" s="38" t="n">
        <f aca="false">Sens!$I$5652+Sens!$I$5654+Sens!$I$5656+Sens!$I$5658+Sens!$I$5660+Sens!$I$5662</f>
        <v>788.529391152531</v>
      </c>
      <c r="J5665" s="38" t="n">
        <f aca="false">Sens!$J$5652+Sens!$J$5654+Sens!$J$5656+Sens!$J$5658+Sens!$J$5660+Sens!$J$5662</f>
        <v>851.108405741443</v>
      </c>
      <c r="K5665" s="38" t="n">
        <f aca="false">Sens!$K$5652+Sens!$K$5654+Sens!$K$5656+Sens!$K$5658+Sens!$K$5660+Sens!$K$5662</f>
        <v>906.176455431088</v>
      </c>
      <c r="L5665" s="38" t="n">
        <f aca="false">Sens!$L$5652+Sens!$L$5654+Sens!$L$5656+Sens!$L$5658+Sens!$L$5660+Sens!$L$5662</f>
        <v>965.093106475589</v>
      </c>
      <c r="M5665" s="38" t="n">
        <f aca="false">Sens!$M$5652+Sens!$M$5654+Sens!$M$5656+Sens!$M$5658+Sens!$M$5660+Sens!$M$5662</f>
        <v>1028.14790794689</v>
      </c>
      <c r="N5665" s="38" t="n">
        <f aca="false">Sens!$N$5652+Sens!$N$5654+Sens!$N$5656+Sens!$N$5658+Sens!$N$5660+Sens!$N$5662</f>
        <v>263.229</v>
      </c>
      <c r="O5665" s="38" t="n">
        <f aca="false">Sens!$O$5652+Sens!$O$5654+Sens!$O$5656+Sens!$O$5658+Sens!$O$5660+Sens!$O$5662</f>
        <v>324.97</v>
      </c>
    </row>
    <row r="5666" customFormat="false" ht="17.15" hidden="false" customHeight="false" outlineLevel="0" collapsed="false">
      <c r="A5666" s="5" t="s">
        <v>683</v>
      </c>
      <c r="B5666" s="0" t="s">
        <v>52</v>
      </c>
      <c r="C5666" s="13" t="n">
        <f aca="false">Q!$D$5/(Q!$D$5+Q!$D$6)</f>
        <v>0.730570905519011</v>
      </c>
      <c r="D5666" s="13" t="n">
        <f aca="false">Q!$E$5/(Q!$E$5+Q!$E$6)</f>
        <v>0.724763217890544</v>
      </c>
      <c r="E5666" s="13" t="n">
        <f aca="false">Q!$P$5/(Q!$P$5+Q!$P$6)</f>
        <v>0.728797972914861</v>
      </c>
      <c r="F5666" s="13" t="n">
        <f aca="false">Sens!$O$5666</f>
        <v>0.718066283041511</v>
      </c>
      <c r="G5666" s="13" t="n">
        <f aca="false">Sens!$G$5667/Sens!$G$5665</f>
        <v>0.723047066202847</v>
      </c>
      <c r="H5666" s="13" t="n">
        <f aca="false">Sens!$G$5666</f>
        <v>0.723047066202847</v>
      </c>
      <c r="I5666" s="13" t="n">
        <f aca="false">Sens!$G$5666</f>
        <v>0.723047066202847</v>
      </c>
      <c r="J5666" s="13" t="n">
        <f aca="false">Sens!$G$5666</f>
        <v>0.723047066202847</v>
      </c>
      <c r="K5666" s="13" t="n">
        <f aca="false">Sens!$G$5666</f>
        <v>0.723047066202847</v>
      </c>
      <c r="L5666" s="13" t="n">
        <f aca="false">Sens!$G$5666</f>
        <v>0.723047066202847</v>
      </c>
      <c r="M5666" s="13" t="n">
        <f aca="false">Sens!$G$5666</f>
        <v>0.723047066202847</v>
      </c>
      <c r="N5666" s="13" t="n">
        <f aca="false">Q!$N$5/(Q!$N$5+Q!$N$6)</f>
        <v>0.733030935041352</v>
      </c>
      <c r="O5666" s="13" t="n">
        <f aca="false">Q!$O$5/(Q!$O$5+Q!$O$6)</f>
        <v>0.718066283041511</v>
      </c>
      <c r="P5666" s="8" t="s">
        <v>684</v>
      </c>
    </row>
    <row r="5667" customFormat="false" ht="17.15" hidden="false" customHeight="false" outlineLevel="0" collapsed="false">
      <c r="A5667" s="1" t="s">
        <v>512</v>
      </c>
      <c r="B5667" s="8" t="s">
        <v>86</v>
      </c>
      <c r="C5667" s="38" t="n">
        <f aca="false">Q!$D$5</f>
        <v>387.497</v>
      </c>
      <c r="D5667" s="38" t="n">
        <f aca="false">Q!$E$5</f>
        <v>426.305</v>
      </c>
      <c r="E5667" s="38" t="n">
        <f aca="false">Q!$P$5</f>
        <v>220.32</v>
      </c>
      <c r="F5667" s="38" t="n">
        <f aca="false">Sens!$F$5665*Sens!$F$5666</f>
        <v>250.639773480586</v>
      </c>
      <c r="G5667" s="38" t="n">
        <f aca="false">Sens!$E$5667+Sens!$F$5667</f>
        <v>470.959773480586</v>
      </c>
      <c r="H5667" s="38" t="n">
        <f aca="false">Sens!$H$5665*Sens!$H$5666</f>
        <v>521.386990416437</v>
      </c>
      <c r="I5667" s="38" t="n">
        <f aca="false">Sens!$I$5665*Sens!$I$5666</f>
        <v>570.143862887555</v>
      </c>
      <c r="J5667" s="38" t="n">
        <f aca="false">Sens!$J$5665*Sens!$J$5666</f>
        <v>615.391435791933</v>
      </c>
      <c r="K5667" s="38" t="n">
        <f aca="false">Sens!$K$5665*Sens!$K$5666</f>
        <v>655.208227561543</v>
      </c>
      <c r="L5667" s="38" t="n">
        <f aca="false">Sens!$L$5665*Sens!$L$5666</f>
        <v>697.807739249767</v>
      </c>
      <c r="M5667" s="38" t="n">
        <f aca="false">Sens!$M$5665*Sens!$M$5666</f>
        <v>743.399328463592</v>
      </c>
      <c r="N5667" s="38" t="n">
        <f aca="false">Q!$N$5</f>
        <v>192.955</v>
      </c>
      <c r="O5667" s="38" t="n">
        <f aca="false">Q!$O$5</f>
        <v>233.35</v>
      </c>
      <c r="P5667" s="5" t="s">
        <v>685</v>
      </c>
    </row>
    <row r="5668" customFormat="false" ht="17.15" hidden="false" customHeight="false" outlineLevel="0" collapsed="false">
      <c r="A5668" s="1" t="s">
        <v>515</v>
      </c>
      <c r="B5668" s="8" t="s">
        <v>86</v>
      </c>
      <c r="C5668" s="38" t="n">
        <f aca="false">Q!$D$6</f>
        <v>142.906</v>
      </c>
      <c r="D5668" s="38" t="n">
        <f aca="false">Q!$E$6</f>
        <v>161.894</v>
      </c>
      <c r="E5668" s="38" t="n">
        <f aca="false">Q!$P$6</f>
        <v>81.986</v>
      </c>
      <c r="F5668" s="38" t="n">
        <f aca="false">Sens!$F$5665*(1-Sens!$F$5666)</f>
        <v>98.408468164951</v>
      </c>
      <c r="G5668" s="38" t="n">
        <f aca="false">Sens!$E$5668+Sens!$F$5668</f>
        <v>180.394468164951</v>
      </c>
      <c r="H5668" s="38" t="n">
        <f aca="false">Sens!$H$5665*(1-Sens!$H$5666)</f>
        <v>199.709899104949</v>
      </c>
      <c r="I5668" s="38" t="n">
        <f aca="false">Sens!$I$5665*(1-Sens!$I$5666)</f>
        <v>218.385528264976</v>
      </c>
      <c r="J5668" s="38" t="n">
        <f aca="false">Sens!$J$5665*(1-Sens!$J$5666)</f>
        <v>235.71696994951</v>
      </c>
      <c r="K5668" s="38" t="n">
        <f aca="false">Sens!$K$5665*(1-Sens!$K$5666)</f>
        <v>250.968227869545</v>
      </c>
      <c r="L5668" s="38" t="n">
        <f aca="false">Sens!$L$5665*(1-Sens!$L$5666)</f>
        <v>267.285367225822</v>
      </c>
      <c r="M5668" s="38" t="n">
        <f aca="false">Sens!$M$5665*(1-Sens!$M$5666)</f>
        <v>284.748579483295</v>
      </c>
      <c r="N5668" s="38" t="n">
        <f aca="false">Q!$N$6</f>
        <v>70.274</v>
      </c>
      <c r="O5668" s="38" t="n">
        <f aca="false">Q!$O$6</f>
        <v>91.62</v>
      </c>
      <c r="P5668" s="5" t="s">
        <v>686</v>
      </c>
    </row>
    <row r="5669" customFormat="false" ht="17.15" hidden="false" customHeight="false" outlineLevel="0" collapsed="false">
      <c r="A5669" s="5" t="s">
        <v>687</v>
      </c>
      <c r="B5669" s="0" t="s">
        <v>86</v>
      </c>
      <c r="C5669" s="38" t="n">
        <f aca="false">Sens!$C$5658*Sens!$C$5666</f>
        <v>41.0683128828457</v>
      </c>
      <c r="D5669" s="38" t="n">
        <f aca="false">Sens!$D$5658*Sens!$D$5666</f>
        <v>49.7441234599175</v>
      </c>
      <c r="E5669" s="38" t="n">
        <f aca="false">Sens!$E$5658*Sens!$E$5666</f>
        <v>27.0034224924414</v>
      </c>
      <c r="F5669" s="38" t="n">
        <f aca="false">Sens!$F$5658*Sens!$F$5666</f>
        <v>33.1439448330513</v>
      </c>
      <c r="G5669" s="38" t="n">
        <f aca="false">Sens!$G$5658*Sens!$G$5666</f>
        <v>60.164183844083</v>
      </c>
      <c r="H5669" s="38" t="n">
        <f aca="false">Sens!$H$5658*Sens!$H$5666</f>
        <v>72.2301766552629</v>
      </c>
      <c r="I5669" s="38" t="n">
        <f aca="false">Sens!$I$5658*Sens!$I$5666</f>
        <v>84.2950764463991</v>
      </c>
      <c r="J5669" s="38" t="n">
        <f aca="false">Sens!$J$5658*Sens!$J$5666</f>
        <v>95.5499047729386</v>
      </c>
      <c r="K5669" s="38" t="n">
        <f aca="false">Sens!$K$5658*Sens!$K$5666</f>
        <v>105.104895250232</v>
      </c>
      <c r="L5669" s="38" t="n">
        <f aca="false">Sens!$L$5658*Sens!$L$5666</f>
        <v>115.615384775256</v>
      </c>
      <c r="M5669" s="38" t="n">
        <f aca="false">Sens!$M$5658*Sens!$M$5666</f>
        <v>127.176923252781</v>
      </c>
      <c r="N5669" s="38" t="n">
        <f aca="false">Sens!$N$5658*Sens!$N$5666</f>
        <v>21.7087111412496</v>
      </c>
      <c r="O5669" s="38" t="n">
        <f aca="false">Sens!$O$5658*Sens!$O$5666</f>
        <v>28.0189463642798</v>
      </c>
      <c r="P5669" s="5" t="s">
        <v>688</v>
      </c>
    </row>
    <row r="5670" customFormat="false" ht="15" hidden="false" customHeight="false" outlineLevel="0" collapsed="false">
      <c r="A5670" s="5" t="s">
        <v>689</v>
      </c>
      <c r="B5670" s="0" t="s">
        <v>86</v>
      </c>
      <c r="C5670" s="38" t="n">
        <f aca="false">Sens!$C$5658-Sens!$C$5669</f>
        <v>15.1456871171543</v>
      </c>
      <c r="D5670" s="38" t="n">
        <f aca="false">Sens!$D$5658-Sens!$D$5669</f>
        <v>18.8908765400825</v>
      </c>
      <c r="E5670" s="38" t="n">
        <f aca="false">Sens!$E$5658-Sens!$E$5669</f>
        <v>10.0485775075586</v>
      </c>
      <c r="F5670" s="38" t="n">
        <f aca="false">Sens!$F$5658-Sens!$F$5669</f>
        <v>13.0132771613635</v>
      </c>
      <c r="G5670" s="38" t="n">
        <f aca="false">Sens!$G$5658-Sens!$G$5669</f>
        <v>23.0450381503318</v>
      </c>
      <c r="H5670" s="38" t="n">
        <f aca="false">Sens!$H$5658-Sens!$H$5669</f>
        <v>27.6667457326347</v>
      </c>
      <c r="I5670" s="38" t="n">
        <f aca="false">Sens!$I$5658-Sens!$I$5669</f>
        <v>32.2880346490971</v>
      </c>
      <c r="J5670" s="38" t="n">
        <f aca="false">Sens!$J$5658-Sens!$J$5669</f>
        <v>36.5990371690132</v>
      </c>
      <c r="K5670" s="38" t="n">
        <f aca="false">Sens!$K$5658-Sens!$K$5669</f>
        <v>40.2589408859145</v>
      </c>
      <c r="L5670" s="38" t="n">
        <f aca="false">Sens!$L$5658-Sens!$L$5669</f>
        <v>44.2848349745059</v>
      </c>
      <c r="M5670" s="38" t="n">
        <f aca="false">Sens!$M$5658-Sens!$M$5669</f>
        <v>48.7133184719565</v>
      </c>
      <c r="N5670" s="38" t="n">
        <f aca="false">Sens!$N$5658-Sens!$N$5669</f>
        <v>7.90628885875037</v>
      </c>
      <c r="O5670" s="38" t="n">
        <f aca="false">Sens!$O$5658-Sens!$O$5669</f>
        <v>11.0010536357202</v>
      </c>
    </row>
    <row r="5671" customFormat="false" ht="19.4" hidden="false" customHeight="false" outlineLevel="0" collapsed="false">
      <c r="A5671" s="31" t="s">
        <v>1251</v>
      </c>
    </row>
    <row r="5672" customFormat="false" ht="17.15" hidden="false" customHeight="false" outlineLevel="0" collapsed="false">
      <c r="A5672" s="6" t="s">
        <v>16</v>
      </c>
      <c r="B5672" s="6" t="s">
        <v>17</v>
      </c>
      <c r="C5672" s="20" t="s">
        <v>497</v>
      </c>
      <c r="D5672" s="20" t="s">
        <v>498</v>
      </c>
      <c r="E5672" s="20" t="s">
        <v>580</v>
      </c>
      <c r="F5672" s="20" t="s">
        <v>581</v>
      </c>
      <c r="G5672" s="20" t="s">
        <v>582</v>
      </c>
      <c r="H5672" s="20" t="s">
        <v>583</v>
      </c>
      <c r="I5672" s="20" t="s">
        <v>584</v>
      </c>
      <c r="J5672" s="20" t="s">
        <v>585</v>
      </c>
      <c r="K5672" s="20" t="s">
        <v>586</v>
      </c>
      <c r="L5672" s="20" t="s">
        <v>587</v>
      </c>
      <c r="M5672" s="20" t="s">
        <v>588</v>
      </c>
      <c r="N5672" s="20" t="s">
        <v>589</v>
      </c>
      <c r="O5672" s="20" t="s">
        <v>590</v>
      </c>
      <c r="P5672" s="6" t="s">
        <v>23</v>
      </c>
      <c r="R5672" s="20" t="n">
        <v>2023</v>
      </c>
      <c r="S5672" s="20" t="n">
        <v>2024</v>
      </c>
      <c r="T5672" s="20" t="n">
        <v>2025</v>
      </c>
      <c r="U5672" s="20" t="n">
        <v>2026</v>
      </c>
      <c r="V5672" s="20" t="n">
        <v>2027</v>
      </c>
      <c r="W5672" s="20" t="n">
        <v>2028</v>
      </c>
      <c r="X5672" s="20" t="n">
        <v>2029</v>
      </c>
      <c r="Y5672" s="20" t="n">
        <v>2030</v>
      </c>
      <c r="Z5672" s="20" t="n">
        <v>2031</v>
      </c>
      <c r="AA5672" s="20" t="n">
        <v>2032</v>
      </c>
    </row>
    <row r="5673" customFormat="false" ht="17.15" hidden="false" customHeight="false" outlineLevel="0" collapsed="false">
      <c r="A5673" s="1" t="s">
        <v>591</v>
      </c>
    </row>
    <row r="5674" customFormat="false" ht="17.15" hidden="false" customHeight="false" outlineLevel="0" collapsed="false">
      <c r="A5674" s="5" t="s">
        <v>592</v>
      </c>
      <c r="B5674" s="0" t="s">
        <v>144</v>
      </c>
      <c r="H5674" s="32" t="n">
        <f aca="false">pace_B</f>
        <v>3634.3</v>
      </c>
      <c r="I5674" s="32" t="n">
        <f aca="false">pace_B</f>
        <v>3634.3</v>
      </c>
      <c r="J5674" s="32" t="n">
        <f aca="false">pace_B</f>
        <v>3634.3</v>
      </c>
      <c r="K5674" s="32" t="n">
        <f aca="false">pace_B+(Sens!$J$5675*tg_hi-pace_B)*1/3</f>
        <v>2620.20066666667</v>
      </c>
      <c r="L5674" s="32" t="n">
        <f aca="false">pace_B+(Sens!$J$5675*tg_hi-pace_B)*2/3</f>
        <v>1606.10133333333</v>
      </c>
      <c r="M5674" s="32" t="n">
        <f aca="false">pace_B+(Sens!$J$5675*tg_hi-pace_B)*3/3</f>
        <v>592.002</v>
      </c>
      <c r="P5674" s="5" t="s">
        <v>593</v>
      </c>
    </row>
    <row r="5675" customFormat="false" ht="17.15" hidden="false" customHeight="false" outlineLevel="0" collapsed="false">
      <c r="A5675" s="15" t="s">
        <v>594</v>
      </c>
      <c r="B5675" s="14" t="s">
        <v>129</v>
      </c>
      <c r="C5675" s="33" t="n">
        <f aca="false">mw_ye24</f>
        <v>360</v>
      </c>
      <c r="D5675" s="33" t="n">
        <f aca="false">mw_ye25</f>
        <v>1440</v>
      </c>
      <c r="E5675" s="33" t="n">
        <f aca="false">mw_open</f>
        <v>2080</v>
      </c>
      <c r="F5675" s="33" t="n">
        <f aca="false">Sens!$E$5675+pace_B*0.5</f>
        <v>3897.15</v>
      </c>
      <c r="G5675" s="33" t="n">
        <f aca="false">Sens!$F$5675</f>
        <v>3897.15</v>
      </c>
      <c r="H5675" s="33" t="n">
        <f aca="false">Sens!$G$5675+Sens!$H$5674</f>
        <v>7531.45</v>
      </c>
      <c r="I5675" s="33" t="n">
        <f aca="false">Sens!$H$5675+Sens!$I$5674</f>
        <v>11165.75</v>
      </c>
      <c r="J5675" s="33" t="n">
        <f aca="false">Sens!$I$5675+Sens!$J$5674</f>
        <v>14800.05</v>
      </c>
      <c r="K5675" s="33" t="n">
        <f aca="false">Sens!$J$5675+Sens!$K$5674</f>
        <v>17420.2506666667</v>
      </c>
      <c r="L5675" s="33" t="n">
        <f aca="false">Sens!$K$5675+Sens!$L$5674</f>
        <v>19026.352</v>
      </c>
      <c r="M5675" s="33" t="n">
        <f aca="false">Sens!$L$5675+Sens!$M$5674</f>
        <v>19618.354</v>
      </c>
      <c r="N5675" s="33" t="n">
        <f aca="false">(mw_ye24+mw_ye25)/2</f>
        <v>900</v>
      </c>
      <c r="O5675" s="33" t="n">
        <f aca="false">mw_ye25</f>
        <v>1440</v>
      </c>
      <c r="P5675" s="5" t="s">
        <v>595</v>
      </c>
    </row>
    <row r="5676" customFormat="false" ht="17.15" hidden="false" customHeight="false" outlineLevel="0" collapsed="false">
      <c r="A5676" s="5" t="s">
        <v>596</v>
      </c>
      <c r="B5676" s="0" t="s">
        <v>129</v>
      </c>
      <c r="C5676" s="32" t="n">
        <f aca="false">(mw_ye23+mw_ye24)/2</f>
        <v>240</v>
      </c>
      <c r="D5676" s="32" t="n">
        <f aca="false">(Sens!$C$5675+Sens!$D$5675)/2</f>
        <v>900</v>
      </c>
      <c r="E5676" s="32" t="n">
        <f aca="false">(Sens!$D$5675+Sens!$E$5675)/2</f>
        <v>1760</v>
      </c>
      <c r="F5676" s="32" t="n">
        <f aca="false">(Sens!$E$5675+Sens!$F$5675)/2</f>
        <v>2988.575</v>
      </c>
      <c r="G5676" s="32" t="n">
        <f aca="false">(Sens!$E$5676+Sens!$F$5676)/2</f>
        <v>2374.2875</v>
      </c>
      <c r="H5676" s="32" t="n">
        <f aca="false">(Sens!$G$5675+Sens!$H$5675)/2</f>
        <v>5714.3</v>
      </c>
      <c r="I5676" s="32" t="n">
        <f aca="false">(Sens!$H$5675+Sens!$I$5675)/2</f>
        <v>9348.6</v>
      </c>
      <c r="J5676" s="32" t="n">
        <f aca="false">(Sens!$I$5675+Sens!$J$5675)/2</f>
        <v>12982.9</v>
      </c>
      <c r="K5676" s="32" t="n">
        <f aca="false">(Sens!$J$5675+Sens!$K$5675)/2</f>
        <v>16110.1503333333</v>
      </c>
      <c r="L5676" s="32" t="n">
        <f aca="false">(Sens!$K$5675+Sens!$L$5675)/2</f>
        <v>18223.3013333333</v>
      </c>
      <c r="M5676" s="32" t="n">
        <f aca="false">(Sens!$L$5675+Sens!$M$5675)/2</f>
        <v>19322.353</v>
      </c>
      <c r="N5676" s="32" t="n">
        <f aca="false">(Sens!$C$5675+Sens!$N$5675)/2</f>
        <v>630</v>
      </c>
      <c r="O5676" s="32" t="n">
        <f aca="false">(Sens!$N$5675+Sens!$O$5675)/2</f>
        <v>1170</v>
      </c>
    </row>
    <row r="5677" customFormat="false" ht="15" hidden="false" customHeight="false" outlineLevel="0" collapsed="false">
      <c r="A5677" s="5" t="s">
        <v>597</v>
      </c>
      <c r="B5677" s="5" t="s">
        <v>123</v>
      </c>
      <c r="C5677" s="34" t="n">
        <v>1</v>
      </c>
      <c r="D5677" s="34" t="n">
        <v>1</v>
      </c>
      <c r="E5677" s="34" t="n">
        <v>0.5</v>
      </c>
      <c r="F5677" s="34" t="n">
        <v>0.5</v>
      </c>
      <c r="G5677" s="34" t="n">
        <v>1</v>
      </c>
      <c r="H5677" s="34" t="n">
        <v>1</v>
      </c>
      <c r="I5677" s="34" t="n">
        <v>1</v>
      </c>
      <c r="J5677" s="34" t="n">
        <v>1</v>
      </c>
      <c r="K5677" s="34" t="n">
        <v>1</v>
      </c>
      <c r="L5677" s="34" t="n">
        <v>1</v>
      </c>
      <c r="M5677" s="34" t="n">
        <v>1</v>
      </c>
      <c r="N5677" s="34" t="n">
        <v>0.5</v>
      </c>
      <c r="O5677" s="34" t="n">
        <v>0.5</v>
      </c>
    </row>
    <row r="5678" customFormat="false" ht="17.15" hidden="false" customHeight="false" outlineLevel="0" collapsed="false">
      <c r="A5678" s="5" t="s">
        <v>598</v>
      </c>
      <c r="B5678" s="0" t="s">
        <v>129</v>
      </c>
      <c r="C5678" s="32" t="n">
        <f aca="false">Sens!$C$5675-mw_ye23</f>
        <v>240</v>
      </c>
      <c r="D5678" s="32" t="n">
        <f aca="false">Sens!$D$5675-Sens!$C$5675</f>
        <v>1080</v>
      </c>
      <c r="E5678" s="32" t="n">
        <f aca="false">Sens!$E$5675-Sens!$D$5675</f>
        <v>640</v>
      </c>
      <c r="F5678" s="32" t="n">
        <f aca="false">Sens!$F$5675-Sens!$E$5675</f>
        <v>1817.15</v>
      </c>
      <c r="G5678" s="32" t="n">
        <f aca="false">Sens!$E$5678+Sens!$F$5678</f>
        <v>2457.15</v>
      </c>
      <c r="H5678" s="32" t="n">
        <f aca="false">Sens!$H$5675-Sens!$G$5675</f>
        <v>3634.3</v>
      </c>
      <c r="I5678" s="32" t="n">
        <f aca="false">Sens!$I$5675-Sens!$H$5675</f>
        <v>3634.3</v>
      </c>
      <c r="J5678" s="32" t="n">
        <f aca="false">Sens!$J$5675-Sens!$I$5675</f>
        <v>3634.3</v>
      </c>
      <c r="K5678" s="32" t="n">
        <f aca="false">Sens!$K$5675-Sens!$J$5675</f>
        <v>2620.20066666667</v>
      </c>
      <c r="L5678" s="32" t="n">
        <f aca="false">Sens!$L$5675-Sens!$K$5675</f>
        <v>1606.10133333333</v>
      </c>
      <c r="M5678" s="32" t="n">
        <f aca="false">Sens!$M$5675-Sens!$L$5675</f>
        <v>592.002</v>
      </c>
      <c r="N5678" s="32" t="n">
        <f aca="false">Sens!$N$5675-Sens!$C$5675</f>
        <v>540</v>
      </c>
      <c r="O5678" s="32" t="n">
        <f aca="false">Sens!$O$5675-Sens!$N$5675</f>
        <v>540</v>
      </c>
    </row>
    <row r="5679" customFormat="false" ht="17.15" hidden="false" customHeight="false" outlineLevel="0" collapsed="false">
      <c r="A5679" s="5" t="s">
        <v>599</v>
      </c>
      <c r="B5679" s="0" t="s">
        <v>129</v>
      </c>
      <c r="C5679" s="32" t="n">
        <f aca="false">Sens!$C$5678/ext_sh</f>
        <v>300</v>
      </c>
      <c r="D5679" s="32" t="n">
        <f aca="false">Sens!$D$5678/ext_sh</f>
        <v>1350</v>
      </c>
      <c r="E5679" s="32" t="n">
        <f aca="false">Sens!$E$5678/ext_sh</f>
        <v>800</v>
      </c>
      <c r="F5679" s="32" t="n">
        <f aca="false">Sens!$F$5678/ext_sh</f>
        <v>2271.4375</v>
      </c>
      <c r="G5679" s="32" t="n">
        <f aca="false">Sens!$G$5678/ext_sh</f>
        <v>3071.4375</v>
      </c>
      <c r="H5679" s="32" t="n">
        <f aca="false">Sens!$H$5678/ext_sh</f>
        <v>4542.875</v>
      </c>
      <c r="I5679" s="32" t="n">
        <f aca="false">Sens!$I$5678/ext_sh</f>
        <v>4542.875</v>
      </c>
      <c r="J5679" s="32" t="n">
        <f aca="false">Sens!$J$5678/ext_sh</f>
        <v>4542.875</v>
      </c>
      <c r="K5679" s="32" t="n">
        <f aca="false">Sens!$K$5678/ext_sh</f>
        <v>3275.25083333333</v>
      </c>
      <c r="L5679" s="32" t="n">
        <f aca="false">Sens!$L$5678/ext_sh</f>
        <v>2007.62666666667</v>
      </c>
      <c r="M5679" s="32" t="n">
        <f aca="false">Sens!$M$5678/ext_sh</f>
        <v>740.002500000001</v>
      </c>
      <c r="N5679" s="32" t="n">
        <f aca="false">Sens!$N$5678/ext_sh</f>
        <v>675</v>
      </c>
      <c r="O5679" s="32" t="n">
        <f aca="false">Sens!$O$5678/ext_sh</f>
        <v>675</v>
      </c>
      <c r="P5679" s="8" t="s">
        <v>600</v>
      </c>
      <c r="R5679" s="32" t="n">
        <f aca="false">mw_ye23/ext_sh</f>
        <v>150</v>
      </c>
      <c r="S5679" s="32" t="n">
        <f aca="false">Sens!$C$5679</f>
        <v>300</v>
      </c>
      <c r="T5679" s="32" t="n">
        <f aca="false">Sens!$D$5679</f>
        <v>1350</v>
      </c>
      <c r="U5679" s="32" t="n">
        <f aca="false">Sens!$G$5679</f>
        <v>3071.4375</v>
      </c>
      <c r="V5679" s="32" t="n">
        <f aca="false">Sens!$H$5679</f>
        <v>4542.875</v>
      </c>
      <c r="W5679" s="32" t="n">
        <f aca="false">Sens!$I$5679</f>
        <v>4542.875</v>
      </c>
      <c r="X5679" s="32" t="n">
        <f aca="false">Sens!$J$5679</f>
        <v>4542.875</v>
      </c>
      <c r="Y5679" s="32" t="n">
        <f aca="false">Sens!$K$5679</f>
        <v>3275.25083333333</v>
      </c>
      <c r="Z5679" s="32" t="n">
        <f aca="false">Sens!$L$5679</f>
        <v>2007.62666666667</v>
      </c>
      <c r="AA5679" s="32" t="n">
        <f aca="false">Sens!$M$5679</f>
        <v>740.002500000001</v>
      </c>
    </row>
    <row r="5680" customFormat="false" ht="17.15" hidden="false" customHeight="false" outlineLevel="0" collapsed="false">
      <c r="A5680" s="1" t="s">
        <v>601</v>
      </c>
    </row>
    <row r="5681" customFormat="false" ht="17.15" hidden="false" customHeight="false" outlineLevel="0" collapsed="false">
      <c r="A5681" s="0" t="s">
        <v>602</v>
      </c>
      <c r="B5681" s="0" t="s">
        <v>52</v>
      </c>
      <c r="F5681" s="35" t="n">
        <f aca="false">na_vr26</f>
        <v>0</v>
      </c>
      <c r="G5681" s="35" t="n">
        <f aca="false">na_vr26</f>
        <v>0</v>
      </c>
      <c r="H5681" s="35" t="n">
        <f aca="false">na_vr27</f>
        <v>0.5</v>
      </c>
      <c r="I5681" s="35" t="n">
        <f aca="false">na_vr28</f>
        <v>1</v>
      </c>
      <c r="J5681" s="35" t="n">
        <f aca="false">na_vr28</f>
        <v>1</v>
      </c>
      <c r="K5681" s="35" t="n">
        <f aca="false">na_vr28</f>
        <v>1</v>
      </c>
      <c r="L5681" s="35" t="n">
        <f aca="false">na_vr28</f>
        <v>1</v>
      </c>
      <c r="M5681" s="35" t="n">
        <f aca="false">na_vr28</f>
        <v>1</v>
      </c>
    </row>
    <row r="5682" customFormat="false" ht="17.15" hidden="false" customHeight="false" outlineLevel="0" collapsed="false">
      <c r="A5682" s="5" t="s">
        <v>603</v>
      </c>
      <c r="B5682" s="0" t="s">
        <v>173</v>
      </c>
      <c r="F5682" s="36" t="n">
        <f aca="false">cust_sh*tk_he_gb300*cf_chip+(1-cust_sh)*((1-Sens!$F$5681)*tk_he_gb300+Sens!$F$5681*tk_he_vr200)</f>
        <v>10.8864110021101</v>
      </c>
      <c r="G5682" s="36" t="n">
        <f aca="false">cust_sh*tk_he_gb300*cf_chip+(1-cust_sh)*((1-Sens!$G$5681)*tk_he_gb300+Sens!$G$5681*tk_he_vr200)</f>
        <v>10.8864110021101</v>
      </c>
      <c r="H5682" s="36" t="n">
        <f aca="false">cust_sh*tk_he_gb300*cf_chip+(1-cust_sh)*((1-Sens!$H$5681)*tk_he_gb300+Sens!$H$5681*tk_he_vr200)</f>
        <v>11.2211760027286</v>
      </c>
      <c r="I5682" s="36" t="n">
        <f aca="false">cust_sh*tk_he_gb300*cf_chip+(1-cust_sh)*((1-Sens!$I$5681)*tk_he_gb300+Sens!$I$5681*tk_he_vr200)</f>
        <v>11.5559410033471</v>
      </c>
      <c r="J5682" s="36" t="n">
        <f aca="false">cust_sh*tk_he_gb300*cf_chip+(1-cust_sh)*((1-Sens!$J$5681)*tk_he_gb300+Sens!$J$5681*tk_he_vr200)</f>
        <v>11.5559410033471</v>
      </c>
      <c r="K5682" s="36" t="n">
        <f aca="false">cust_sh*tk_he_gb300*cf_chip+(1-cust_sh)*((1-Sens!$K$5681)*tk_he_gb300+Sens!$K$5681*tk_he_vr200)</f>
        <v>11.5559410033471</v>
      </c>
      <c r="L5682" s="36" t="n">
        <f aca="false">cust_sh*tk_he_gb300*cf_chip+(1-cust_sh)*((1-Sens!$L$5681)*tk_he_gb300+Sens!$L$5681*tk_he_vr200)</f>
        <v>11.5559410033471</v>
      </c>
      <c r="M5682" s="36" t="n">
        <f aca="false">cust_sh*tk_he_gb300*cf_chip+(1-cust_sh)*((1-Sens!$M$5681)*tk_he_gb300+Sens!$M$5681*tk_he_vr200)</f>
        <v>11.5559410033471</v>
      </c>
    </row>
    <row r="5683" customFormat="false" ht="17.15" hidden="false" customHeight="false" outlineLevel="0" collapsed="false">
      <c r="A5683" s="5" t="s">
        <v>604</v>
      </c>
      <c r="B5683" s="0" t="s">
        <v>173</v>
      </c>
      <c r="F5683" s="36" t="n">
        <f aca="false">cust_sh*tk_ox_gb300+(1-cust_sh)*((1-Sens!$F$5681)*tk_ox_gb300+Sens!$F$5681*tk_ox_vr200)</f>
        <v>1.98263481314457</v>
      </c>
      <c r="G5683" s="36" t="n">
        <f aca="false">cust_sh*tk_ox_gb300+(1-cust_sh)*((1-Sens!$G$5681)*tk_ox_gb300+Sens!$G$5681*tk_ox_vr200)</f>
        <v>1.98263481314457</v>
      </c>
      <c r="H5683" s="36" t="n">
        <f aca="false">cust_sh*tk_ox_gb300+(1-cust_sh)*((1-Sens!$H$5681)*tk_ox_gb300+Sens!$H$5681*tk_ox_vr200)</f>
        <v>2.01034999693694</v>
      </c>
      <c r="I5683" s="36" t="n">
        <f aca="false">cust_sh*tk_ox_gb300+(1-cust_sh)*((1-Sens!$I$5681)*tk_ox_gb300+Sens!$I$5681*tk_ox_vr200)</f>
        <v>2.0380651807293</v>
      </c>
      <c r="J5683" s="36" t="n">
        <f aca="false">cust_sh*tk_ox_gb300+(1-cust_sh)*((1-Sens!$J$5681)*tk_ox_gb300+Sens!$J$5681*tk_ox_vr200)</f>
        <v>2.0380651807293</v>
      </c>
      <c r="K5683" s="36" t="n">
        <f aca="false">cust_sh*tk_ox_gb300+(1-cust_sh)*((1-Sens!$K$5681)*tk_ox_gb300+Sens!$K$5681*tk_ox_vr200)</f>
        <v>2.0380651807293</v>
      </c>
      <c r="L5683" s="36" t="n">
        <f aca="false">cust_sh*tk_ox_gb300+(1-cust_sh)*((1-Sens!$L$5681)*tk_ox_gb300+Sens!$L$5681*tk_ox_vr200)</f>
        <v>2.0380651807293</v>
      </c>
      <c r="M5683" s="36" t="n">
        <f aca="false">cust_sh*tk_ox_gb300+(1-cust_sh)*((1-Sens!$M$5681)*tk_ox_gb300+Sens!$M$5681*tk_ox_vr200)</f>
        <v>2.0380651807293</v>
      </c>
    </row>
    <row r="5684" customFormat="false" ht="17.15" hidden="false" customHeight="false" outlineLevel="0" collapsed="false">
      <c r="A5684" s="5" t="s">
        <v>605</v>
      </c>
      <c r="B5684" s="0" t="s">
        <v>192</v>
      </c>
      <c r="F5684" s="36" t="n">
        <f aca="false">cust_sh*tk_cx_gb300*cf_cx+(1-cust_sh)*((1-Sens!$F$5681)*tk_cx_gb300+Sens!$F$5681*tk_cx_vr200)</f>
        <v>32.237224</v>
      </c>
      <c r="G5684" s="36" t="n">
        <f aca="false">cust_sh*tk_cx_gb300*cf_cx+(1-cust_sh)*((1-Sens!$G$5681)*tk_cx_gb300+Sens!$G$5681*tk_cx_vr200)</f>
        <v>32.237224</v>
      </c>
      <c r="H5684" s="36" t="n">
        <f aca="false">cust_sh*tk_cx_gb300*cf_cx+(1-cust_sh)*((1-Sens!$H$5681)*tk_cx_gb300+Sens!$H$5681*tk_cx_vr200)</f>
        <v>33.574506</v>
      </c>
      <c r="I5684" s="36" t="n">
        <f aca="false">cust_sh*tk_cx_gb300*cf_cx+(1-cust_sh)*((1-Sens!$I$5681)*tk_cx_gb300+Sens!$I$5681*tk_cx_vr200)</f>
        <v>34.911788</v>
      </c>
      <c r="J5684" s="36" t="n">
        <f aca="false">cust_sh*tk_cx_gb300*cf_cx+(1-cust_sh)*((1-Sens!$J$5681)*tk_cx_gb300+Sens!$J$5681*tk_cx_vr200)</f>
        <v>34.911788</v>
      </c>
      <c r="K5684" s="36" t="n">
        <f aca="false">cust_sh*tk_cx_gb300*cf_cx+(1-cust_sh)*((1-Sens!$K$5681)*tk_cx_gb300+Sens!$K$5681*tk_cx_vr200)</f>
        <v>34.911788</v>
      </c>
      <c r="L5684" s="36" t="n">
        <f aca="false">cust_sh*tk_cx_gb300*cf_cx+(1-cust_sh)*((1-Sens!$L$5681)*tk_cx_gb300+Sens!$L$5681*tk_cx_vr200)</f>
        <v>34.911788</v>
      </c>
      <c r="M5684" s="36" t="n">
        <f aca="false">cust_sh*tk_cx_gb300*cf_cx+(1-cust_sh)*((1-Sens!$M$5681)*tk_cx_gb300+Sens!$M$5681*tk_cx_vr200)</f>
        <v>34.911788</v>
      </c>
    </row>
    <row r="5685" customFormat="false" ht="17.15" hidden="false" customHeight="false" outlineLevel="0" collapsed="false">
      <c r="A5685" s="5" t="s">
        <v>606</v>
      </c>
      <c r="B5685" s="0" t="s">
        <v>129</v>
      </c>
      <c r="F5685" s="32" t="n">
        <f aca="false">Sens!$F$5675-mw_open</f>
        <v>1817.15</v>
      </c>
      <c r="G5685" s="32" t="n">
        <f aca="false">Sens!$F$5685</f>
        <v>1817.15</v>
      </c>
      <c r="H5685" s="32" t="n">
        <f aca="false">Sens!$H$5675-mw_open</f>
        <v>5451.45</v>
      </c>
      <c r="I5685" s="32" t="n">
        <f aca="false">Sens!$I$5675-mw_open</f>
        <v>9085.75</v>
      </c>
      <c r="J5685" s="32" t="n">
        <f aca="false">Sens!$J$5675-mw_open</f>
        <v>12720.05</v>
      </c>
      <c r="K5685" s="32" t="n">
        <f aca="false">Sens!$K$5675-mw_open</f>
        <v>15340.2506666667</v>
      </c>
      <c r="L5685" s="32" t="n">
        <f aca="false">Sens!$L$5675-mw_open</f>
        <v>16946.352</v>
      </c>
      <c r="M5685" s="32" t="n">
        <f aca="false">Sens!$M$5675-mw_open</f>
        <v>17538.354</v>
      </c>
    </row>
    <row r="5686" customFormat="false" ht="17.15" hidden="false" customHeight="false" outlineLevel="0" collapsed="false">
      <c r="A5686" s="0" t="s">
        <v>607</v>
      </c>
      <c r="B5686" s="0" t="s">
        <v>608</v>
      </c>
      <c r="F5686" s="32" t="n">
        <f aca="false">Sens!$F$5678*Sens!$F$5682</f>
        <v>19782.2417524844</v>
      </c>
      <c r="G5686" s="32" t="n">
        <f aca="false">Sens!$F$5686</f>
        <v>19782.2417524844</v>
      </c>
      <c r="H5686" s="32" t="n">
        <f aca="false">Sens!$G$5686+Sens!$H$5678*Sens!$H$5682</f>
        <v>60563.3616992009</v>
      </c>
      <c r="I5686" s="32" t="n">
        <f aca="false">Sens!$H$5686+Sens!$I$5678*Sens!$I$5682</f>
        <v>102561.118087665</v>
      </c>
      <c r="J5686" s="32" t="n">
        <f aca="false">Sens!$I$5686+Sens!$J$5678*Sens!$J$5682</f>
        <v>144558.87447613</v>
      </c>
      <c r="K5686" s="32" t="n">
        <f aca="false">Sens!$J$5686+Sens!$K$5678*Sens!$K$5682</f>
        <v>174837.75879706</v>
      </c>
      <c r="L5686" s="32" t="n">
        <f aca="false">Sens!$K$5686+Sens!$L$5678*Sens!$L$5682</f>
        <v>193397.771050458</v>
      </c>
      <c r="M5686" s="32" t="n">
        <f aca="false">Sens!$L$5686+Sens!$M$5678*Sens!$M$5682</f>
        <v>200238.911236321</v>
      </c>
    </row>
    <row r="5687" customFormat="false" ht="17.15" hidden="false" customHeight="false" outlineLevel="0" collapsed="false">
      <c r="A5687" s="0" t="s">
        <v>609</v>
      </c>
      <c r="B5687" s="0" t="s">
        <v>608</v>
      </c>
      <c r="F5687" s="32" t="n">
        <f aca="false">Sens!$F$5678*Sens!$F$5683</f>
        <v>3602.74485070566</v>
      </c>
      <c r="G5687" s="32" t="n">
        <f aca="false">Sens!$F$5687</f>
        <v>3602.74485070566</v>
      </c>
      <c r="H5687" s="32" t="n">
        <f aca="false">Sens!$G$5687+Sens!$H$5678*Sens!$H$5683</f>
        <v>10908.9598445736</v>
      </c>
      <c r="I5687" s="32" t="n">
        <f aca="false">Sens!$H$5687+Sens!$I$5678*Sens!$I$5683</f>
        <v>18315.9001308981</v>
      </c>
      <c r="J5687" s="32" t="n">
        <f aca="false">Sens!$I$5687+Sens!$J$5678*Sens!$J$5683</f>
        <v>25722.8404172225</v>
      </c>
      <c r="K5687" s="32" t="n">
        <f aca="false">Sens!$J$5687+Sens!$K$5678*Sens!$K$5683</f>
        <v>31062.9801624796</v>
      </c>
      <c r="L5687" s="32" t="n">
        <f aca="false">Sens!$K$5687+Sens!$L$5678*Sens!$L$5683</f>
        <v>34336.3193666691</v>
      </c>
      <c r="M5687" s="32" t="n">
        <f aca="false">Sens!$L$5687+Sens!$M$5678*Sens!$M$5683</f>
        <v>35542.8580297913</v>
      </c>
    </row>
    <row r="5688" customFormat="false" ht="17.15" hidden="false" customHeight="false" outlineLevel="0" collapsed="false">
      <c r="A5688" s="5" t="s">
        <v>610</v>
      </c>
      <c r="B5688" s="0" t="s">
        <v>173</v>
      </c>
      <c r="F5688" s="36" t="n">
        <f aca="false">IF(Sens!$F$5685&gt;0,Sens!$F$5686/Sens!$F$5685,Sens!$F$5682)</f>
        <v>10.8864110021101</v>
      </c>
      <c r="G5688" s="36" t="n">
        <f aca="false">IF(Sens!$G$5685&gt;0,Sens!$G$5686/Sens!$G$5685,Sens!$G$5682)</f>
        <v>10.8864110021101</v>
      </c>
      <c r="H5688" s="36" t="n">
        <f aca="false">IF(Sens!$H$5685&gt;0,Sens!$H$5686/Sens!$H$5685,Sens!$H$5682)</f>
        <v>11.1095876691891</v>
      </c>
      <c r="I5688" s="36" t="n">
        <f aca="false">IF(Sens!$I$5685&gt;0,Sens!$I$5686/Sens!$I$5685,Sens!$I$5682)</f>
        <v>11.2881290028523</v>
      </c>
      <c r="J5688" s="36" t="n">
        <f aca="false">IF(Sens!$J$5685&gt;0,Sens!$J$5686/Sens!$J$5685,Sens!$J$5682)</f>
        <v>11.3646467172794</v>
      </c>
      <c r="K5688" s="36" t="n">
        <f aca="false">IF(Sens!$K$5685&gt;0,Sens!$K$5686/Sens!$K$5685,Sens!$K$5682)</f>
        <v>11.3973208519318</v>
      </c>
      <c r="L5688" s="36" t="n">
        <f aca="false">IF(Sens!$L$5685&gt;0,Sens!$L$5686/Sens!$L$5685,Sens!$L$5682)</f>
        <v>11.4123541780825</v>
      </c>
      <c r="M5688" s="36" t="n">
        <f aca="false">IF(Sens!$M$5685&gt;0,Sens!$M$5686/Sens!$M$5685,Sens!$M$5682)</f>
        <v>11.4172009092941</v>
      </c>
    </row>
    <row r="5689" customFormat="false" ht="17.15" hidden="false" customHeight="false" outlineLevel="0" collapsed="false">
      <c r="A5689" s="5" t="s">
        <v>611</v>
      </c>
      <c r="B5689" s="0" t="s">
        <v>173</v>
      </c>
      <c r="F5689" s="36" t="n">
        <f aca="false">IF(Sens!$F$5685&gt;0,Sens!$F$5687/Sens!$F$5685,Sens!$F$5683)</f>
        <v>1.98263481314457</v>
      </c>
      <c r="G5689" s="36" t="n">
        <f aca="false">IF(Sens!$G$5685&gt;0,Sens!$G$5687/Sens!$G$5685,Sens!$G$5683)</f>
        <v>1.98263481314457</v>
      </c>
      <c r="H5689" s="36" t="n">
        <f aca="false">IF(Sens!$H$5685&gt;0,Sens!$H$5687/Sens!$H$5685,Sens!$H$5683)</f>
        <v>2.00111160233948</v>
      </c>
      <c r="I5689" s="36" t="n">
        <f aca="false">IF(Sens!$I$5685&gt;0,Sens!$I$5687/Sens!$I$5685,Sens!$I$5683)</f>
        <v>2.01589303369541</v>
      </c>
      <c r="J5689" s="36" t="n">
        <f aca="false">IF(Sens!$J$5685&gt;0,Sens!$J$5687/Sens!$J$5685,Sens!$J$5683)</f>
        <v>2.02222793284795</v>
      </c>
      <c r="K5689" s="36" t="n">
        <f aca="false">IF(Sens!$K$5685&gt;0,Sens!$K$5687/Sens!$K$5685,Sens!$K$5683)</f>
        <v>2.02493302342036</v>
      </c>
      <c r="L5689" s="36" t="n">
        <f aca="false">IF(Sens!$L$5685&gt;0,Sens!$L$5687/Sens!$L$5685,Sens!$L$5683)</f>
        <v>2.02617763201597</v>
      </c>
      <c r="M5689" s="36" t="n">
        <f aca="false">IF(Sens!$M$5685&gt;0,Sens!$M$5687/Sens!$M$5685,Sens!$M$5683)</f>
        <v>2.02657889273938</v>
      </c>
    </row>
    <row r="5690" customFormat="false" ht="17.15" hidden="false" customHeight="false" outlineLevel="0" collapsed="false">
      <c r="A5690" s="15" t="s">
        <v>612</v>
      </c>
      <c r="B5690" s="14" t="s">
        <v>173</v>
      </c>
      <c r="C5690" s="14"/>
      <c r="D5690" s="14"/>
      <c r="E5690" s="14"/>
      <c r="F5690" s="37" t="n">
        <f aca="false">Sens!$F$5688*k_B</f>
        <v>10.7987645808025</v>
      </c>
      <c r="G5690" s="37" t="n">
        <f aca="false">Sens!$G$5688*k_B</f>
        <v>10.7987645808025</v>
      </c>
      <c r="H5690" s="37" t="n">
        <f aca="false">Sens!$H$5688*k_B</f>
        <v>11.0201444540452</v>
      </c>
      <c r="I5690" s="37" t="n">
        <f aca="false">Sens!$I$5688*k_B</f>
        <v>11.1972483526393</v>
      </c>
      <c r="J5690" s="37" t="n">
        <f aca="false">Sens!$J$5688*k_B</f>
        <v>11.2731500234653</v>
      </c>
      <c r="K5690" s="37" t="n">
        <f aca="false">Sens!$K$5688*k_B</f>
        <v>11.3055610988807</v>
      </c>
      <c r="L5690" s="37" t="n">
        <f aca="false">Sens!$L$5688*k_B</f>
        <v>11.3204733918244</v>
      </c>
      <c r="M5690" s="37" t="n">
        <f aca="false">Sens!$M$5688*k_B</f>
        <v>11.3252811020357</v>
      </c>
      <c r="N5690" s="14"/>
      <c r="O5690" s="14"/>
      <c r="P5690" s="5" t="s">
        <v>613</v>
      </c>
    </row>
    <row r="5691" customFormat="false" ht="17.15" hidden="false" customHeight="false" outlineLevel="0" collapsed="false">
      <c r="A5691" s="5" t="s">
        <v>614</v>
      </c>
      <c r="B5691" s="0" t="s">
        <v>129</v>
      </c>
      <c r="F5691" s="32" t="n">
        <f aca="false">Sens!$F$5685/2</f>
        <v>908.575</v>
      </c>
      <c r="H5691" s="32" t="n">
        <f aca="false">(Sens!$G$5685+Sens!$H$5685)/2</f>
        <v>3634.3</v>
      </c>
      <c r="I5691" s="32" t="n">
        <f aca="false">(Sens!$H$5685+Sens!$I$5685)/2</f>
        <v>7268.6</v>
      </c>
      <c r="J5691" s="32" t="n">
        <f aca="false">(Sens!$I$5685+Sens!$J$5685)/2</f>
        <v>10902.9</v>
      </c>
      <c r="K5691" s="32" t="n">
        <f aca="false">(Sens!$J$5685+Sens!$K$5685)/2</f>
        <v>14030.1503333333</v>
      </c>
      <c r="L5691" s="32" t="n">
        <f aca="false">(Sens!$K$5685+Sens!$L$5685)/2</f>
        <v>16143.3013333333</v>
      </c>
      <c r="M5691" s="32" t="n">
        <f aca="false">(Sens!$L$5685+Sens!$M$5685)/2</f>
        <v>17242.353</v>
      </c>
    </row>
    <row r="5692" customFormat="false" ht="17.15" hidden="false" customHeight="false" outlineLevel="0" collapsed="false">
      <c r="A5692" s="1" t="s">
        <v>615</v>
      </c>
    </row>
    <row r="5693" customFormat="false" ht="17.15" hidden="false" customHeight="false" outlineLevel="0" collapsed="false">
      <c r="A5693" s="1" t="s">
        <v>616</v>
      </c>
      <c r="B5693" s="8" t="s">
        <v>86</v>
      </c>
      <c r="C5693" s="38" t="n">
        <f aca="false">Sens!$C$5676*rpm_open*Sens!$C$5677/1000</f>
        <v>2.32100535697364</v>
      </c>
      <c r="D5693" s="38" t="n">
        <f aca="false">Sens!$D$5676*rpm_open*Sens!$D$5677/1000</f>
        <v>8.70377008865116</v>
      </c>
      <c r="E5693" s="38" t="n">
        <f aca="false">Sens!$E$5676*rpm_open*Sens!$E$5677/1000</f>
        <v>8.51035297557002</v>
      </c>
      <c r="F5693" s="38" t="n">
        <f aca="false">(mw_open*rpm_open+Sens!$F$5691*Sens!$F$5690)*Sens!$F$5677/1000</f>
        <v>14.9634336447205</v>
      </c>
      <c r="G5693" s="38" t="n">
        <f aca="false">Sens!$E$5693+Sens!$F$5693</f>
        <v>23.4737866202905</v>
      </c>
      <c r="H5693" s="38" t="n">
        <f aca="false">(mw_open*rpm_open+Sens!$H$5691*Sens!$H$5690)/1000</f>
        <v>60.1658907497746</v>
      </c>
      <c r="I5693" s="38" t="n">
        <f aca="false">(mw_open*rpm_open+Sens!$I$5691*Sens!$I$5690)/1000</f>
        <v>101.503699136432</v>
      </c>
      <c r="J5693" s="38" t="n">
        <f aca="false">(mw_open*rpm_open+Sens!$J$5691*Sens!$J$5690)/1000</f>
        <v>143.025407151278</v>
      </c>
      <c r="K5693" s="38" t="n">
        <f aca="false">(mw_open*rpm_open+Sens!$K$5691*Sens!$K$5690)/1000</f>
        <v>178.73410158042</v>
      </c>
      <c r="L5693" s="38" t="n">
        <f aca="false">(mw_open*rpm_open+Sens!$L$5691*Sens!$L$5690)/1000</f>
        <v>202.865192960641</v>
      </c>
      <c r="M5693" s="38" t="n">
        <f aca="false">(mw_open*rpm_open+Sens!$M$5691*Sens!$M$5690)/1000</f>
        <v>215.389874345967</v>
      </c>
      <c r="N5693" s="38" t="n">
        <f aca="false">Sens!$N$5676*rpm_open*Sens!$N$5677/1000</f>
        <v>3.04631953102791</v>
      </c>
      <c r="O5693" s="38" t="n">
        <f aca="false">Sens!$O$5676*rpm_open*Sens!$O$5677/1000</f>
        <v>5.65745055762326</v>
      </c>
      <c r="P5693" s="5" t="s">
        <v>617</v>
      </c>
    </row>
    <row r="5694" customFormat="false" ht="17.15" hidden="false" customHeight="false" outlineLevel="0" collapsed="false">
      <c r="A5694" s="5" t="s">
        <v>618</v>
      </c>
      <c r="B5694" s="0" t="s">
        <v>173</v>
      </c>
      <c r="C5694" s="36" t="n">
        <f aca="false">Sens!$C$5693*1000/(Sens!$C$5676*Sens!$C$5677)</f>
        <v>9.67085565405685</v>
      </c>
      <c r="D5694" s="36" t="n">
        <f aca="false">Sens!$D$5693*1000/(Sens!$D$5676*Sens!$D$5677)</f>
        <v>9.67085565405685</v>
      </c>
      <c r="E5694" s="36" t="n">
        <f aca="false">Sens!$E$5693*1000/(Sens!$E$5676*Sens!$E$5677)</f>
        <v>9.67085565405685</v>
      </c>
      <c r="F5694" s="36" t="n">
        <f aca="false">Sens!$F$5693*1000/(Sens!$F$5676*Sens!$F$5677)</f>
        <v>10.0137581588017</v>
      </c>
      <c r="G5694" s="36" t="n">
        <f aca="false">Sens!$G$5693*1000/(Sens!$G$5676*Sens!$G$5677)</f>
        <v>9.88666562928478</v>
      </c>
      <c r="H5694" s="36" t="n">
        <f aca="false">Sens!$H$5693*1000/(Sens!$H$5676*Sens!$H$5677)</f>
        <v>10.5290045586992</v>
      </c>
      <c r="I5694" s="36" t="n">
        <f aca="false">Sens!$I$5693*1000/(Sens!$I$5676*Sens!$I$5677)</f>
        <v>10.8576363451674</v>
      </c>
      <c r="J5694" s="36" t="n">
        <f aca="false">Sens!$J$5693*1000/(Sens!$J$5676*Sens!$J$5677)</f>
        <v>11.0164452588619</v>
      </c>
      <c r="K5694" s="36" t="n">
        <f aca="false">Sens!$K$5693*1000/(Sens!$K$5676*Sens!$K$5677)</f>
        <v>11.0945024026625</v>
      </c>
      <c r="L5694" s="36" t="n">
        <f aca="false">Sens!$L$5693*1000/(Sens!$L$5676*Sens!$L$5677)</f>
        <v>11.1321867124904</v>
      </c>
      <c r="M5694" s="36" t="n">
        <f aca="false">Sens!$M$5693*1000/(Sens!$M$5676*Sens!$M$5677)</f>
        <v>11.1471865950263</v>
      </c>
      <c r="N5694" s="36" t="n">
        <f aca="false">Sens!$N$5693*1000/(Sens!$N$5676*Sens!$N$5677)</f>
        <v>9.67085565405685</v>
      </c>
      <c r="O5694" s="36" t="n">
        <f aca="false">Sens!$O$5693*1000/(Sens!$O$5676*Sens!$O$5677)</f>
        <v>9.67085565405685</v>
      </c>
    </row>
    <row r="5695" customFormat="false" ht="17.15" hidden="false" customHeight="false" outlineLevel="0" collapsed="false">
      <c r="A5695" s="0" t="s">
        <v>619</v>
      </c>
      <c r="B5695" s="0" t="s">
        <v>86</v>
      </c>
      <c r="C5695" s="38" t="n">
        <f aca="false">Sens!$C$5676/ext_sh*(ox_open+rent_mw)*Sens!$C$5677/1000</f>
        <v>0.642569210675032</v>
      </c>
      <c r="D5695" s="38" t="n">
        <f aca="false">Sens!$D$5676/ext_sh*(ox_open+rent_mw)*Sens!$D$5677/1000</f>
        <v>2.40963454003137</v>
      </c>
      <c r="E5695" s="38" t="n">
        <f aca="false">Sens!$E$5676/ext_sh*(ox_open+rent_mw)*Sens!$E$5677/1000</f>
        <v>2.35608710580845</v>
      </c>
      <c r="F5695" s="38" t="n">
        <f aca="false">((mw_open*ox_open+Sens!$F$5691*Sens!$F$5689)/ext_sh+Sens!$F$5676/ext_sh*rent_mw)*Sens!$F$5677/1000</f>
        <v>4.05421991106232</v>
      </c>
      <c r="G5695" s="38" t="n">
        <f aca="false">Sens!$E$5695+Sens!$F$5695</f>
        <v>6.41030701687077</v>
      </c>
      <c r="H5695" s="38" t="n">
        <f aca="false">((mw_open*ox_open+Sens!$H$5691*Sens!$H$5689)/ext_sh+Sens!$H$5676/ext_sh*rent_mw)*Sens!$H$5677/1000</f>
        <v>15.8108975546616</v>
      </c>
      <c r="I5695" s="38" t="n">
        <f aca="false">((mw_open*ox_open+Sens!$I$5691*Sens!$I$5689)/ext_sh+Sens!$I$5676/ext_sh*rent_mw)*Sens!$I$5677/1000</f>
        <v>26.1871623400817</v>
      </c>
      <c r="J5695" s="38" t="n">
        <f aca="false">((mw_open*ox_open+Sens!$J$5691*Sens!$J$5689)/ext_sh+Sens!$J$5676/ext_sh*rent_mw)*Sens!$J$5677/1000</f>
        <v>36.5826128954935</v>
      </c>
      <c r="K5695" s="38" t="n">
        <f aca="false">((mw_open*ox_open+Sens!$K$5691*Sens!$K$5689)/ext_sh+Sens!$K$5676/ext_sh*rent_mw)*Sens!$K$5677/1000</f>
        <v>45.5256266941655</v>
      </c>
      <c r="L5695" s="38" t="n">
        <f aca="false">((mw_open*ox_open+Sens!$L$5691*Sens!$L$5689)/ext_sh+Sens!$L$5676/ext_sh*rent_mw)*Sens!$L$5677/1000</f>
        <v>51.568818942134</v>
      </c>
      <c r="M5695" s="38" t="n">
        <f aca="false">((mw_open*ox_open+Sens!$M$5691*Sens!$M$5689)/ext_sh+Sens!$M$5676/ext_sh*rent_mw)*Sens!$M$5677/1000</f>
        <v>54.7091842856355</v>
      </c>
      <c r="N5695" s="38" t="n">
        <f aca="false">Sens!$N$5676/ext_sh*(ox_open+rent_mw)*Sens!$N$5677/1000</f>
        <v>0.84337208901098</v>
      </c>
      <c r="O5695" s="38" t="n">
        <f aca="false">Sens!$O$5676/ext_sh*(ox_open+rent_mw)*Sens!$O$5677/1000</f>
        <v>1.56626245102039</v>
      </c>
    </row>
    <row r="5696" customFormat="false" ht="17.15" hidden="false" customHeight="false" outlineLevel="0" collapsed="false">
      <c r="A5696" s="0" t="s">
        <v>620</v>
      </c>
      <c r="B5696" s="0" t="s">
        <v>86</v>
      </c>
      <c r="C5696" s="38" t="n">
        <f aca="false">Q!$D$7</f>
        <v>107.556</v>
      </c>
      <c r="D5696" s="38" t="n">
        <f aca="false">Q!$E$7</f>
        <v>128.725</v>
      </c>
      <c r="E5696" s="38" t="n">
        <f aca="false">Q!$P$7</f>
        <v>79.819</v>
      </c>
      <c r="N5696" s="38" t="n">
        <f aca="false">Q!$N$7</f>
        <v>60.14</v>
      </c>
      <c r="O5696" s="38" t="n">
        <f aca="false">Q!$O$7</f>
        <v>68.585</v>
      </c>
    </row>
    <row r="5697" customFormat="false" ht="17.15" hidden="false" customHeight="false" outlineLevel="0" collapsed="false">
      <c r="A5697" s="1" t="s">
        <v>621</v>
      </c>
      <c r="B5697" s="8" t="s">
        <v>86</v>
      </c>
      <c r="C5697" s="38" t="n">
        <f aca="false">Sens!$C$5696-Sens!$C$5693</f>
        <v>105.234994643026</v>
      </c>
      <c r="D5697" s="38" t="n">
        <f aca="false">Sens!$D$5696-Sens!$D$5693</f>
        <v>120.021229911349</v>
      </c>
      <c r="E5697" s="38" t="n">
        <f aca="false">Sens!$E$5696-Sens!$E$5693</f>
        <v>71.30864702443</v>
      </c>
      <c r="F5697" s="38" t="n">
        <f aca="false">Sens!$O$5697*(1+Sens!$F$5698)</f>
        <v>71.7692997942464</v>
      </c>
      <c r="G5697" s="38" t="n">
        <f aca="false">Sens!$E$5697+Sens!$F$5697</f>
        <v>143.077946818676</v>
      </c>
      <c r="H5697" s="38" t="n">
        <f aca="false">Sens!$G$5697*(1+Sens!$H$5698)</f>
        <v>161.017077079203</v>
      </c>
      <c r="I5697" s="38" t="n">
        <f aca="false">Sens!$H$5697*(1+Sens!$I$5698)</f>
        <v>178.769759521457</v>
      </c>
      <c r="J5697" s="38" t="n">
        <f aca="false">Sens!$I$5697*(1+Sens!$J$5698)</f>
        <v>195.775538045907</v>
      </c>
      <c r="K5697" s="38" t="n">
        <f aca="false">Sens!$J$5697*(1+Sens!$K$5698)</f>
        <v>211.43758108958</v>
      </c>
      <c r="L5697" s="38" t="n">
        <f aca="false">Sens!$K$5697*(1+Sens!$L$5698)</f>
        <v>228.352587576746</v>
      </c>
      <c r="M5697" s="38" t="n">
        <f aca="false">Sens!$L$5697*(1+Sens!$M$5698)</f>
        <v>246.620794582886</v>
      </c>
      <c r="N5697" s="38" t="n">
        <f aca="false">Sens!$N$5696-Sens!$N$5693</f>
        <v>57.0936804689721</v>
      </c>
      <c r="O5697" s="38" t="n">
        <f aca="false">Sens!$O$5696-Sens!$O$5693</f>
        <v>62.9275494423768</v>
      </c>
      <c r="P5697" s="5" t="s">
        <v>622</v>
      </c>
    </row>
    <row r="5698" customFormat="false" ht="17.15" hidden="false" customHeight="false" outlineLevel="0" collapsed="false">
      <c r="A5698" s="0" t="s">
        <v>623</v>
      </c>
      <c r="B5698" s="0" t="s">
        <v>52</v>
      </c>
      <c r="D5698" s="13" t="n">
        <f aca="false">Sens!$D$5697/Sens!$C$5697-1</f>
        <v>0.140506827776062</v>
      </c>
      <c r="E5698" s="13" t="n">
        <f aca="false">Sens!$E$5697/Sens!$N$5697-1</f>
        <v>0.248976181579029</v>
      </c>
      <c r="F5698" s="13" t="n">
        <f aca="false">Sens!$D$5698</f>
        <v>0.140506827776062</v>
      </c>
      <c r="G5698" s="13" t="n">
        <f aca="false">Sens!$G$5697/Sens!$D$5697-1</f>
        <v>0.19210532106993</v>
      </c>
      <c r="H5698" s="13" t="n">
        <f aca="false">Sens!$F$5698+(g_awso_lt-Sens!$F$5698)*1/4</f>
        <v>0.125380120832046</v>
      </c>
      <c r="I5698" s="13" t="n">
        <f aca="false">Sens!$F$5698+(g_awso_lt-Sens!$F$5698)*2/4</f>
        <v>0.110253413888031</v>
      </c>
      <c r="J5698" s="13" t="n">
        <f aca="false">Sens!$F$5698+(g_awso_lt-Sens!$F$5698)*3/4</f>
        <v>0.0951267069440154</v>
      </c>
      <c r="K5698" s="13" t="n">
        <f aca="false">Sens!$F$5698+(g_awso_lt-Sens!$F$5698)*4/4</f>
        <v>0.08</v>
      </c>
      <c r="L5698" s="13" t="n">
        <f aca="false">g_awso_lt</f>
        <v>0.08</v>
      </c>
      <c r="M5698" s="13" t="n">
        <f aca="false">g_awso_lt</f>
        <v>0.08</v>
      </c>
      <c r="P5698" s="5" t="s">
        <v>624</v>
      </c>
    </row>
    <row r="5699" customFormat="false" ht="17.15" hidden="false" customHeight="false" outlineLevel="0" collapsed="false">
      <c r="A5699" s="1" t="s">
        <v>625</v>
      </c>
    </row>
    <row r="5700" customFormat="false" ht="17.15" hidden="false" customHeight="false" outlineLevel="0" collapsed="false">
      <c r="A5700" s="0" t="s">
        <v>626</v>
      </c>
      <c r="B5700" s="0" t="s">
        <v>86</v>
      </c>
      <c r="F5700" s="38" t="n">
        <f aca="false">cx_rt*Sens!$F$5665+cx_awso*Sens!$F$5697</f>
        <v>34.9734495387866</v>
      </c>
    </row>
    <row r="5701" customFormat="false" ht="17.15" hidden="false" customHeight="false" outlineLevel="0" collapsed="false">
      <c r="A5701" s="0" t="s">
        <v>627</v>
      </c>
      <c r="B5701" s="0" t="s">
        <v>52</v>
      </c>
      <c r="C5701" s="13" t="n">
        <f aca="false">tk_cx_h100/(tk_cx_h100+tk_fac*(1-colo_sh))</f>
        <v>0.730756458006641</v>
      </c>
      <c r="D5701" s="13" t="n">
        <f aca="false">tk_cx_h100/(tk_cx_h100+tk_fac*(1-colo_sh))</f>
        <v>0.730756458006641</v>
      </c>
      <c r="E5701" s="13" t="n">
        <f aca="false">Sens!$F$5701</f>
        <v>0.760792334328868</v>
      </c>
      <c r="F5701" s="13" t="n">
        <f aca="false">Sens!$F$5684/(Sens!$F$5684+tk_fac*(1-colo_sh))</f>
        <v>0.760792334328868</v>
      </c>
      <c r="G5701" s="13" t="n">
        <f aca="false">Sens!$G$5684/(Sens!$G$5684+tk_fac*(1-colo_sh))</f>
        <v>0.760792334328868</v>
      </c>
      <c r="H5701" s="13" t="n">
        <f aca="false">Sens!$H$5684/(Sens!$H$5684+tk_fac*(1-colo_sh))</f>
        <v>0.768110668862996</v>
      </c>
      <c r="I5701" s="13" t="n">
        <f aca="false">Sens!$I$5684/(Sens!$I$5684+tk_fac*(1-colo_sh))</f>
        <v>0.77499450139483</v>
      </c>
      <c r="J5701" s="13" t="n">
        <f aca="false">Sens!$J$5684/(Sens!$J$5684+tk_fac*(1-colo_sh))</f>
        <v>0.77499450139483</v>
      </c>
      <c r="K5701" s="13" t="n">
        <f aca="false">Sens!$K$5684/(Sens!$K$5684+tk_fac*(1-colo_sh))</f>
        <v>0.77499450139483</v>
      </c>
      <c r="L5701" s="13" t="n">
        <f aca="false">Sens!$L$5684/(Sens!$L$5684+tk_fac*(1-colo_sh))</f>
        <v>0.77499450139483</v>
      </c>
      <c r="M5701" s="13" t="n">
        <f aca="false">Sens!$M$5684/(Sens!$M$5684+tk_fac*(1-colo_sh))</f>
        <v>0.77499450139483</v>
      </c>
    </row>
    <row r="5702" customFormat="false" ht="17.15" hidden="false" customHeight="false" outlineLevel="0" collapsed="false">
      <c r="A5702" s="1" t="s">
        <v>628</v>
      </c>
      <c r="B5702" s="8" t="s">
        <v>86</v>
      </c>
      <c r="C5702" s="38" t="n">
        <f aca="false">Q!$D$46-cx_rt*Q!$D$16-cx_awso*Sens!$C$5697</f>
        <v>25.2781053077374</v>
      </c>
      <c r="D5702" s="38" t="n">
        <f aca="false">Q!$E$46-cx_rt*Q!$E$16-cx_awso*Sens!$D$5697</f>
        <v>69.5686316310026</v>
      </c>
      <c r="E5702" s="38" t="n">
        <f aca="false">Q!$P$46-cx_rt*Q!$P$16-cx_awso*Sens!$E$5697</f>
        <v>64.1899206485108</v>
      </c>
      <c r="F5702" s="38" t="n">
        <f aca="false">MAX(Sens!$F$5679*(Sens!$F$5684+tk_fac*(1-colo_sh))/1000,capex_g26-Q!$P$46-Sens!$F$5700)</f>
        <v>96.2481299895</v>
      </c>
      <c r="G5702" s="38" t="n">
        <f aca="false">Sens!$E$5702+Sens!$F$5702</f>
        <v>160.438050638011</v>
      </c>
      <c r="H5702" s="38" t="n">
        <f aca="false">Sens!$H$5679*(Sens!$H$5684+tk_fac*(1-colo_sh))/1000+Sens!$H$5703</f>
        <v>198.57136494475</v>
      </c>
      <c r="I5702" s="38" t="n">
        <f aca="false">Sens!$I$5679*(Sens!$I$5684+tk_fac*(1-colo_sh))/1000+Sens!$I$5703</f>
        <v>204.6464699105</v>
      </c>
      <c r="J5702" s="38" t="n">
        <f aca="false">Sens!$J$5679*(Sens!$J$5684+tk_fac*(1-colo_sh))/1000+Sens!$J$5703</f>
        <v>209.8832381105</v>
      </c>
      <c r="K5702" s="38" t="n">
        <f aca="false">Sens!$K$5679*(Sens!$K$5684+tk_fac*(1-colo_sh))/1000+Sens!$K$5703</f>
        <v>158.016341586823</v>
      </c>
      <c r="L5702" s="38" t="n">
        <f aca="false">Sens!$L$5679*(Sens!$L$5684+tk_fac*(1-colo_sh))/1000+Sens!$L$5703</f>
        <v>137.570054263147</v>
      </c>
      <c r="M5702" s="38" t="n">
        <f aca="false">Sens!$M$5679*(Sens!$M$5684+tk_fac*(1-colo_sh))/1000+Sens!$M$5703</f>
        <v>140.56485059472</v>
      </c>
      <c r="P5702" s="5" t="s">
        <v>629</v>
      </c>
      <c r="R5702" s="38" t="n">
        <f aca="false">Q!$C$46-cx_rt*Q!$C$16-cx_awso*(Q!$C$7-mw_ye23/2*rpm_open/1000)</f>
        <v>1.50429979529945</v>
      </c>
      <c r="S5702" s="38" t="n">
        <f aca="false">Sens!$C$5702</f>
        <v>25.2781053077374</v>
      </c>
      <c r="T5702" s="38" t="n">
        <f aca="false">Sens!$D$5702</f>
        <v>69.5686316310026</v>
      </c>
      <c r="U5702" s="38" t="n">
        <f aca="false">Sens!$G$5702</f>
        <v>160.438050638011</v>
      </c>
      <c r="V5702" s="38" t="n">
        <f aca="false">Sens!$H$5702</f>
        <v>198.57136494475</v>
      </c>
      <c r="W5702" s="38" t="n">
        <f aca="false">Sens!$I$5702</f>
        <v>204.6464699105</v>
      </c>
      <c r="X5702" s="38" t="n">
        <f aca="false">Sens!$J$5702</f>
        <v>209.8832381105</v>
      </c>
      <c r="Y5702" s="38" t="n">
        <f aca="false">Sens!$K$5702</f>
        <v>158.016341586823</v>
      </c>
      <c r="Z5702" s="38" t="n">
        <f aca="false">Sens!$L$5702</f>
        <v>137.570054263147</v>
      </c>
      <c r="AA5702" s="38" t="n">
        <f aca="false">Sens!$M$5702</f>
        <v>140.56485059472</v>
      </c>
    </row>
    <row r="5703" customFormat="false" ht="17.15" hidden="false" customHeight="false" outlineLevel="0" collapsed="false">
      <c r="A5703" s="0" t="s">
        <v>630</v>
      </c>
      <c r="B5703" s="0" t="s">
        <v>86</v>
      </c>
      <c r="H5703" s="38" t="n">
        <f aca="false">SUMPRODUCT(--(Sens!$R$5672:$AA$5672=2027-tk_life),Sens!$R$5679:$AA$5679)*Sens!$H$5684/1000</f>
        <v>0</v>
      </c>
      <c r="I5703" s="38" t="n">
        <f aca="false">SUMPRODUCT(--(Sens!$R$5672:$AA$5672=2028-tk_life),Sens!$R$5679:$AA$5679)*Sens!$I$5684/1000</f>
        <v>0</v>
      </c>
      <c r="J5703" s="38" t="n">
        <f aca="false">SUMPRODUCT(--(Sens!$R$5672:$AA$5672=2029-tk_life),Sens!$R$5679:$AA$5679)*Sens!$J$5684/1000</f>
        <v>5.2367682</v>
      </c>
      <c r="K5703" s="38" t="n">
        <f aca="false">SUMPRODUCT(--(Sens!$R$5672:$AA$5672=2030-tk_life),Sens!$R$5679:$AA$5679)*Sens!$K$5684/1000</f>
        <v>10.4735364</v>
      </c>
      <c r="L5703" s="38" t="n">
        <f aca="false">SUMPRODUCT(--(Sens!$R$5672:$AA$5672=2031-tk_life),Sens!$R$5679:$AA$5679)*Sens!$L$5684/1000</f>
        <v>47.1309138</v>
      </c>
      <c r="M5703" s="38" t="n">
        <f aca="false">SUMPRODUCT(--(Sens!$R$5672:$AA$5672=2032-tk_life),Sens!$R$5679:$AA$5679)*Sens!$M$5684/1000</f>
        <v>107.22937485525</v>
      </c>
    </row>
    <row r="5704" customFormat="false" ht="17.15" hidden="false" customHeight="false" outlineLevel="0" collapsed="false">
      <c r="A5704" s="0" t="s">
        <v>631</v>
      </c>
      <c r="B5704" s="0" t="s">
        <v>86</v>
      </c>
      <c r="C5704" s="38" t="n">
        <f aca="false">MIN(Sens!$C$5702,Sens!$C$5679*(tk_cx_h100+tk_fac*(1-colo_sh))/1000)</f>
        <v>11.2938642</v>
      </c>
      <c r="D5704" s="38" t="n">
        <f aca="false">MIN(Sens!$D$5702,Sens!$D$5679*(tk_cx_h100+tk_fac*(1-colo_sh))/1000)</f>
        <v>50.8223889</v>
      </c>
      <c r="E5704" s="38" t="n">
        <f aca="false">MIN(Sens!$E$5702,Sens!$E$5679*(Sens!$F$5684+tk_fac*(1-colo_sh))/1000)</f>
        <v>33.8985792</v>
      </c>
      <c r="F5704" s="38" t="n">
        <f aca="false">Sens!$F$5702</f>
        <v>96.2481299895</v>
      </c>
      <c r="G5704" s="38" t="n">
        <f aca="false">Sens!$E$5704+Sens!$F$5704</f>
        <v>130.1467091895</v>
      </c>
      <c r="H5704" s="38" t="n">
        <f aca="false">Sens!$H$5702</f>
        <v>198.57136494475</v>
      </c>
      <c r="I5704" s="38" t="n">
        <f aca="false">Sens!$I$5702</f>
        <v>204.6464699105</v>
      </c>
      <c r="J5704" s="38" t="n">
        <f aca="false">Sens!$J$5702</f>
        <v>209.8832381105</v>
      </c>
      <c r="K5704" s="38" t="n">
        <f aca="false">Sens!$K$5702</f>
        <v>158.016341586823</v>
      </c>
      <c r="L5704" s="38" t="n">
        <f aca="false">Sens!$L$5702</f>
        <v>137.570054263147</v>
      </c>
      <c r="M5704" s="38" t="n">
        <f aca="false">Sens!$M$5702</f>
        <v>140.56485059472</v>
      </c>
      <c r="P5704" s="5" t="s">
        <v>632</v>
      </c>
      <c r="R5704" s="38" t="n">
        <f aca="false">MIN(Sens!$R$5702,Sens!$R$5679*(tk_cx_h100+tk_fac*(1-colo_sh))/1000)</f>
        <v>1.50429979529945</v>
      </c>
      <c r="S5704" s="38" t="n">
        <f aca="false">Sens!$C$5704</f>
        <v>11.2938642</v>
      </c>
      <c r="T5704" s="38" t="n">
        <f aca="false">Sens!$D$5704</f>
        <v>50.8223889</v>
      </c>
      <c r="U5704" s="38" t="n">
        <f aca="false">Sens!$G$5704</f>
        <v>130.1467091895</v>
      </c>
      <c r="V5704" s="38" t="n">
        <f aca="false">Sens!$H$5704</f>
        <v>198.57136494475</v>
      </c>
      <c r="W5704" s="38" t="n">
        <f aca="false">Sens!$I$5704</f>
        <v>204.6464699105</v>
      </c>
      <c r="X5704" s="38" t="n">
        <f aca="false">Sens!$J$5704</f>
        <v>209.8832381105</v>
      </c>
      <c r="Y5704" s="38" t="n">
        <f aca="false">Sens!$K$5704</f>
        <v>158.016341586823</v>
      </c>
      <c r="Z5704" s="38" t="n">
        <f aca="false">Sens!$L$5704</f>
        <v>137.570054263147</v>
      </c>
      <c r="AA5704" s="38" t="n">
        <f aca="false">Sens!$M$5704</f>
        <v>140.56485059472</v>
      </c>
    </row>
    <row r="5705" customFormat="false" ht="17.15" hidden="false" customHeight="false" outlineLevel="0" collapsed="false">
      <c r="A5705" s="5" t="s">
        <v>633</v>
      </c>
      <c r="B5705" s="0" t="s">
        <v>86</v>
      </c>
      <c r="C5705" s="38" t="n">
        <f aca="false">Sens!$C$5702-Sens!$C$5704</f>
        <v>13.9842411077374</v>
      </c>
      <c r="D5705" s="38" t="n">
        <f aca="false">Sens!$D$5702-Sens!$D$5704</f>
        <v>18.7462427310026</v>
      </c>
      <c r="E5705" s="38" t="n">
        <f aca="false">Sens!$E$5702-Sens!$E$5704</f>
        <v>30.2913414485108</v>
      </c>
      <c r="F5705" s="38" t="n">
        <f aca="false">Sens!$F$5702-Sens!$F$5704</f>
        <v>0</v>
      </c>
      <c r="G5705" s="38" t="n">
        <f aca="false">Sens!$G$5702-Sens!$G$5704</f>
        <v>30.2913414485108</v>
      </c>
      <c r="H5705" s="38" t="n">
        <f aca="false">Sens!$H$5702-Sens!$H$5704</f>
        <v>0</v>
      </c>
      <c r="I5705" s="38" t="n">
        <f aca="false">Sens!$I$5702-Sens!$I$5704</f>
        <v>0</v>
      </c>
      <c r="J5705" s="38" t="n">
        <f aca="false">Sens!$J$5702-Sens!$J$5704</f>
        <v>0</v>
      </c>
      <c r="K5705" s="38" t="n">
        <f aca="false">Sens!$K$5702-Sens!$K$5704</f>
        <v>0</v>
      </c>
      <c r="L5705" s="38" t="n">
        <f aca="false">Sens!$L$5702-Sens!$L$5704</f>
        <v>0</v>
      </c>
      <c r="M5705" s="38" t="n">
        <f aca="false">Sens!$M$5702-Sens!$M$5704</f>
        <v>0</v>
      </c>
    </row>
    <row r="5706" customFormat="false" ht="17.15" hidden="false" customHeight="false" outlineLevel="0" collapsed="false">
      <c r="A5706" s="5" t="s">
        <v>634</v>
      </c>
      <c r="B5706" s="0" t="s">
        <v>86</v>
      </c>
      <c r="C5706" s="38" t="n">
        <f aca="false">Sens!$C$5704*Sens!$C$5701</f>
        <v>8.2530642</v>
      </c>
      <c r="D5706" s="38" t="n">
        <f aca="false">Sens!$D$5704*Sens!$D$5701</f>
        <v>37.1387889</v>
      </c>
      <c r="E5706" s="38" t="n">
        <f aca="false">Sens!$E$5704*Sens!$E$5701</f>
        <v>25.7897792</v>
      </c>
      <c r="F5706" s="38" t="n">
        <f aca="false">Sens!$F$5704*Sens!$F$5701</f>
        <v>73.2248394895</v>
      </c>
      <c r="G5706" s="38" t="n">
        <f aca="false">Sens!$E$5706+Sens!$F$5706</f>
        <v>99.0146186895</v>
      </c>
      <c r="H5706" s="38" t="n">
        <f aca="false">(Sens!$H$5704-Sens!$H$5703)*Sens!$H$5701+Sens!$H$5703</f>
        <v>152.52478394475</v>
      </c>
      <c r="I5706" s="38" t="n">
        <f aca="false">(Sens!$I$5704-Sens!$I$5703)*Sens!$I$5701+Sens!$I$5703</f>
        <v>158.5998889105</v>
      </c>
      <c r="J5706" s="38" t="n">
        <f aca="false">(Sens!$J$5704-Sens!$J$5703)*Sens!$J$5701+Sens!$J$5703</f>
        <v>163.8366571105</v>
      </c>
      <c r="K5706" s="38" t="n">
        <f aca="false">(Sens!$K$5704-Sens!$K$5703)*Sens!$K$5701+Sens!$K$5703</f>
        <v>124.818399140157</v>
      </c>
      <c r="L5706" s="38" t="n">
        <f aca="false">(Sens!$L$5704-Sens!$L$5703)*Sens!$L$5701+Sens!$L$5703</f>
        <v>117.220750369813</v>
      </c>
      <c r="M5706" s="38" t="n">
        <f aca="false">(Sens!$M$5704-Sens!$M$5703)*Sens!$M$5701+Sens!$M$5703</f>
        <v>133.06418525472</v>
      </c>
      <c r="R5706" s="38" t="n">
        <f aca="false">Sens!$R$5704*Sens!$C$5701</f>
        <v>1.09927679019314</v>
      </c>
      <c r="S5706" s="38" t="n">
        <f aca="false">Sens!$C$5706</f>
        <v>8.2530642</v>
      </c>
      <c r="T5706" s="38" t="n">
        <f aca="false">Sens!$D$5706</f>
        <v>37.1387889</v>
      </c>
      <c r="U5706" s="38" t="n">
        <f aca="false">Sens!$G$5706</f>
        <v>99.0146186895</v>
      </c>
      <c r="V5706" s="38" t="n">
        <f aca="false">Sens!$H$5706</f>
        <v>152.52478394475</v>
      </c>
      <c r="W5706" s="38" t="n">
        <f aca="false">Sens!$I$5706</f>
        <v>158.5998889105</v>
      </c>
      <c r="X5706" s="38" t="n">
        <f aca="false">Sens!$J$5706</f>
        <v>163.8366571105</v>
      </c>
      <c r="Y5706" s="38" t="n">
        <f aca="false">Sens!$K$5706</f>
        <v>124.818399140157</v>
      </c>
      <c r="Z5706" s="38" t="n">
        <f aca="false">Sens!$L$5706</f>
        <v>117.220750369813</v>
      </c>
      <c r="AA5706" s="38" t="n">
        <f aca="false">Sens!$M$5706</f>
        <v>133.06418525472</v>
      </c>
    </row>
    <row r="5707" customFormat="false" ht="15" hidden="false" customHeight="false" outlineLevel="0" collapsed="false">
      <c r="A5707" s="5" t="s">
        <v>635</v>
      </c>
      <c r="B5707" s="0" t="s">
        <v>86</v>
      </c>
      <c r="C5707" s="38" t="n">
        <f aca="false">Sens!$C$5704-Sens!$C$5706</f>
        <v>3.0408</v>
      </c>
      <c r="D5707" s="38" t="n">
        <f aca="false">Sens!$D$5704-Sens!$D$5706</f>
        <v>13.6836</v>
      </c>
      <c r="E5707" s="38" t="n">
        <f aca="false">Sens!$E$5704-Sens!$E$5706</f>
        <v>8.1088</v>
      </c>
      <c r="F5707" s="38" t="n">
        <f aca="false">Sens!$F$5704-Sens!$F$5706</f>
        <v>23.0232905</v>
      </c>
      <c r="G5707" s="38" t="n">
        <f aca="false">Sens!$G$5704-Sens!$G$5706</f>
        <v>31.1320905</v>
      </c>
      <c r="H5707" s="38" t="n">
        <f aca="false">Sens!$H$5704-Sens!$H$5706</f>
        <v>46.046581</v>
      </c>
      <c r="I5707" s="38" t="n">
        <f aca="false">Sens!$I$5704-Sens!$I$5706</f>
        <v>46.046581</v>
      </c>
      <c r="J5707" s="38" t="n">
        <f aca="false">Sens!$J$5704-Sens!$J$5706</f>
        <v>46.046581</v>
      </c>
      <c r="K5707" s="38" t="n">
        <f aca="false">Sens!$K$5704-Sens!$K$5706</f>
        <v>33.1979424466667</v>
      </c>
      <c r="L5707" s="38" t="n">
        <f aca="false">Sens!$L$5704-Sens!$L$5706</f>
        <v>20.3493038933333</v>
      </c>
      <c r="M5707" s="38" t="n">
        <f aca="false">Sens!$M$5704-Sens!$M$5706</f>
        <v>7.50066534000001</v>
      </c>
      <c r="R5707" s="38" t="n">
        <f aca="false">Sens!$R$5704-Sens!$R$5706</f>
        <v>0.405023005106309</v>
      </c>
      <c r="S5707" s="38" t="n">
        <f aca="false">Sens!$S$5704-Sens!$S$5706</f>
        <v>3.0408</v>
      </c>
      <c r="T5707" s="38" t="n">
        <f aca="false">Sens!$T$5704-Sens!$T$5706</f>
        <v>13.6836</v>
      </c>
      <c r="U5707" s="38" t="n">
        <f aca="false">Sens!$U$5704-Sens!$U$5706</f>
        <v>31.1320905</v>
      </c>
      <c r="V5707" s="38" t="n">
        <f aca="false">Sens!$V$5704-Sens!$V$5706</f>
        <v>46.046581</v>
      </c>
      <c r="W5707" s="38" t="n">
        <f aca="false">Sens!$W$5704-Sens!$W$5706</f>
        <v>46.046581</v>
      </c>
      <c r="X5707" s="38" t="n">
        <f aca="false">Sens!$X$5704-Sens!$X$5706</f>
        <v>46.046581</v>
      </c>
      <c r="Y5707" s="38" t="n">
        <f aca="false">Sens!$Y$5704-Sens!$Y$5706</f>
        <v>33.1979424466667</v>
      </c>
      <c r="Z5707" s="38" t="n">
        <f aca="false">Sens!$Z$5704-Sens!$Z$5706</f>
        <v>20.3493038933333</v>
      </c>
      <c r="AA5707" s="38" t="n">
        <f aca="false">Sens!$AA$5704-Sens!$AA$5706</f>
        <v>7.50066534000001</v>
      </c>
    </row>
    <row r="5708" customFormat="false" ht="17.15" hidden="false" customHeight="false" outlineLevel="0" collapsed="false">
      <c r="A5708" s="0" t="s">
        <v>636</v>
      </c>
      <c r="B5708" s="0" t="s">
        <v>52</v>
      </c>
      <c r="C5708" s="13" t="n">
        <f aca="false">Sens!$C$5702/Sens!$C$5824</f>
        <v>0.325505489553393</v>
      </c>
      <c r="D5708" s="13" t="n">
        <f aca="false">Sens!$D$5702/Sens!$D$5824</f>
        <v>0.54214956071542</v>
      </c>
      <c r="E5708" s="13" t="n">
        <f aca="false">Sens!$E$5702/Sens!$E$5824</f>
        <v>0.666492790452817</v>
      </c>
      <c r="F5708" s="13" t="n">
        <f aca="false">Sens!$F$5702/Sens!$F$5824</f>
        <v>0.733477910687338</v>
      </c>
      <c r="G5708" s="13" t="n">
        <f aca="false">Sens!$G$5702/Sens!$G$5824</f>
        <v>0.705124321514523</v>
      </c>
      <c r="H5708" s="13" t="n">
        <f aca="false">Sens!$H$5702/Sens!$H$5824</f>
        <v>0.726376041178204</v>
      </c>
      <c r="I5708" s="13" t="n">
        <f aca="false">Sens!$I$5702/Sens!$I$5824</f>
        <v>0.713099092661699</v>
      </c>
      <c r="J5708" s="13" t="n">
        <f aca="false">Sens!$J$5702/Sens!$J$5824</f>
        <v>0.701208348786245</v>
      </c>
      <c r="K5708" s="13" t="n">
        <f aca="false">Sens!$K$5702/Sens!$K$5824</f>
        <v>0.622515721629545</v>
      </c>
      <c r="L5708" s="13" t="n">
        <f aca="false">Sens!$L$5702/Sens!$L$5824</f>
        <v>0.572606741433048</v>
      </c>
      <c r="M5708" s="13" t="n">
        <f aca="false">Sens!$M$5702/Sens!$M$5824</f>
        <v>0.560855994905929</v>
      </c>
    </row>
    <row r="5709" customFormat="false" ht="17.15" hidden="false" customHeight="false" outlineLevel="0" collapsed="false">
      <c r="A5709" s="0" t="s">
        <v>637</v>
      </c>
      <c r="B5709" s="0" t="s">
        <v>86</v>
      </c>
      <c r="C5709" s="38" t="n">
        <f aca="false">Sens!$S$5709</f>
        <v>0.183212798365523</v>
      </c>
      <c r="D5709" s="38" t="n">
        <f aca="false">Sens!$T$5709</f>
        <v>1.55872349836552</v>
      </c>
      <c r="E5709" s="38" t="n">
        <f aca="false">Sens!$G$5709/2</f>
        <v>3.87426082418276</v>
      </c>
      <c r="F5709" s="38" t="n">
        <f aca="false">Sens!$G$5709/2</f>
        <v>3.87426082418276</v>
      </c>
      <c r="G5709" s="38" t="n">
        <f aca="false">Sens!$U$5709</f>
        <v>7.74852164836552</v>
      </c>
      <c r="H5709" s="38" t="n">
        <f aca="false">Sens!$V$5709</f>
        <v>24.2509580966155</v>
      </c>
      <c r="I5709" s="38" t="n">
        <f aca="false">Sens!$W$5709</f>
        <v>49.6717554207405</v>
      </c>
      <c r="J5709" s="38" t="n">
        <f aca="false">Sens!$X$5709</f>
        <v>76.1050702391572</v>
      </c>
      <c r="K5709" s="38" t="n">
        <f aca="false">Sens!$Y$5709</f>
        <v>103.227966959208</v>
      </c>
      <c r="L5709" s="38" t="n">
        <f aca="false">Sens!$Z$5709</f>
        <v>122.655522782568</v>
      </c>
      <c r="M5709" s="38" t="n">
        <f aca="false">Sens!$AA$5709</f>
        <v>136.00251636087</v>
      </c>
      <c r="N5709" s="38" t="n">
        <f aca="false">Sens!$D$5709/2</f>
        <v>0.779361749182762</v>
      </c>
      <c r="O5709" s="38" t="n">
        <f aca="false">Sens!$D$5709/2</f>
        <v>0.779361749182762</v>
      </c>
      <c r="R5709" s="38" t="n">
        <f aca="false">SUMPRODUCT(--(Sens!$R$5672:$AA$5672&lt;Sens!R$5672),--(Sens!$R$5672:$AA$5672&gt;=Sens!R$5672-tk_life),Sens!$R$5706:$AA$5706)/tk_life</f>
        <v>0</v>
      </c>
      <c r="S5709" s="38" t="n">
        <f aca="false">SUMPRODUCT(--(Sens!$R$5672:$AA$5672&lt;Sens!S$5672),--(Sens!$R$5672:$AA$5672&gt;=Sens!S$5672-tk_life),Sens!$R$5706:$AA$5706)/tk_life</f>
        <v>0.183212798365523</v>
      </c>
      <c r="T5709" s="38" t="n">
        <f aca="false">SUMPRODUCT(--(Sens!$R$5672:$AA$5672&lt;Sens!T$5672),--(Sens!$R$5672:$AA$5672&gt;=Sens!T$5672-tk_life),Sens!$R$5706:$AA$5706)/tk_life</f>
        <v>1.55872349836552</v>
      </c>
      <c r="U5709" s="38" t="n">
        <f aca="false">SUMPRODUCT(--(Sens!$R$5672:$AA$5672&lt;Sens!U$5672),--(Sens!$R$5672:$AA$5672&gt;=Sens!U$5672-tk_life),Sens!$R$5706:$AA$5706)/tk_life</f>
        <v>7.74852164836552</v>
      </c>
      <c r="V5709" s="38" t="n">
        <f aca="false">SUMPRODUCT(--(Sens!$R$5672:$AA$5672&lt;Sens!V$5672),--(Sens!$R$5672:$AA$5672&gt;=Sens!V$5672-tk_life),Sens!$R$5706:$AA$5706)/tk_life</f>
        <v>24.2509580966155</v>
      </c>
      <c r="W5709" s="38" t="n">
        <f aca="false">SUMPRODUCT(--(Sens!$R$5672:$AA$5672&lt;Sens!W$5672),--(Sens!$R$5672:$AA$5672&gt;=Sens!W$5672-tk_life),Sens!$R$5706:$AA$5706)/tk_life</f>
        <v>49.6717554207405</v>
      </c>
      <c r="X5709" s="38" t="n">
        <f aca="false">SUMPRODUCT(--(Sens!$R$5672:$AA$5672&lt;Sens!X$5672),--(Sens!$R$5672:$AA$5672&gt;=Sens!X$5672-tk_life),Sens!$R$5706:$AA$5706)/tk_life</f>
        <v>76.1050702391572</v>
      </c>
      <c r="Y5709" s="38" t="n">
        <f aca="false">SUMPRODUCT(--(Sens!$R$5672:$AA$5672&lt;Sens!Y$5672),--(Sens!$R$5672:$AA$5672&gt;=Sens!Y$5672-tk_life),Sens!$R$5706:$AA$5706)/tk_life</f>
        <v>103.227966959208</v>
      </c>
      <c r="Z5709" s="38" t="n">
        <f aca="false">SUMPRODUCT(--(Sens!$R$5672:$AA$5672&lt;Sens!Z$5672),--(Sens!$R$5672:$AA$5672&gt;=Sens!Z$5672-tk_life),Sens!$R$5706:$AA$5706)/tk_life</f>
        <v>122.655522782568</v>
      </c>
      <c r="AA5709" s="38" t="n">
        <f aca="false">SUMPRODUCT(--(Sens!$R$5672:$AA$5672&lt;Sens!AA$5672),--(Sens!$R$5672:$AA$5672&gt;=Sens!AA$5672-tk_life),Sens!$R$5706:$AA$5706)/tk_life</f>
        <v>136.00251636087</v>
      </c>
    </row>
    <row r="5710" customFormat="false" ht="17.15" hidden="false" customHeight="false" outlineLevel="0" collapsed="false">
      <c r="A5710" s="0" t="s">
        <v>638</v>
      </c>
      <c r="B5710" s="0" t="s">
        <v>86</v>
      </c>
      <c r="C5710" s="38" t="n">
        <f aca="false">Sens!$S$5710</f>
        <v>0.0202511502553155</v>
      </c>
      <c r="D5710" s="38" t="n">
        <f aca="false">Sens!$T$5710</f>
        <v>0.172291150255315</v>
      </c>
      <c r="E5710" s="38" t="n">
        <f aca="false">Sens!$G$5710/2</f>
        <v>0.428235575127658</v>
      </c>
      <c r="F5710" s="38" t="n">
        <f aca="false">Sens!$G$5710/2</f>
        <v>0.428235575127658</v>
      </c>
      <c r="G5710" s="38" t="n">
        <f aca="false">Sens!$U$5710</f>
        <v>0.856471150255315</v>
      </c>
      <c r="H5710" s="38" t="n">
        <f aca="false">Sens!$V$5710</f>
        <v>2.41307567525532</v>
      </c>
      <c r="I5710" s="38" t="n">
        <f aca="false">Sens!$W$5710</f>
        <v>4.71540472525532</v>
      </c>
      <c r="J5710" s="38" t="n">
        <f aca="false">Sens!$X$5710</f>
        <v>7.01773377525532</v>
      </c>
      <c r="K5710" s="38" t="n">
        <f aca="false">Sens!$Y$5710</f>
        <v>9.32006282525532</v>
      </c>
      <c r="L5710" s="38" t="n">
        <f aca="false">Sens!$Z$5710</f>
        <v>10.9799599475887</v>
      </c>
      <c r="M5710" s="38" t="n">
        <f aca="false">Sens!$AA$5710</f>
        <v>11.9974251422553</v>
      </c>
      <c r="N5710" s="38" t="n">
        <f aca="false">Sens!$D$5710/2</f>
        <v>0.0861455751276577</v>
      </c>
      <c r="O5710" s="38" t="n">
        <f aca="false">Sens!$D$5710/2</f>
        <v>0.0861455751276577</v>
      </c>
      <c r="R5710" s="38" t="n">
        <f aca="false">SUMPRODUCT(--(Sens!$R$5672:$AA$5672&lt;Sens!R$5672),Sens!$R$5707:$AA$5707)/fac_life</f>
        <v>0</v>
      </c>
      <c r="S5710" s="38" t="n">
        <f aca="false">SUMPRODUCT(--(Sens!$R$5672:$AA$5672&lt;Sens!S$5672),Sens!$R$5707:$AA$5707)/fac_life</f>
        <v>0.0202511502553155</v>
      </c>
      <c r="T5710" s="38" t="n">
        <f aca="false">SUMPRODUCT(--(Sens!$R$5672:$AA$5672&lt;Sens!T$5672),Sens!$R$5707:$AA$5707)/fac_life</f>
        <v>0.172291150255315</v>
      </c>
      <c r="U5710" s="38" t="n">
        <f aca="false">SUMPRODUCT(--(Sens!$R$5672:$AA$5672&lt;Sens!U$5672),Sens!$R$5707:$AA$5707)/fac_life</f>
        <v>0.856471150255315</v>
      </c>
      <c r="V5710" s="38" t="n">
        <f aca="false">SUMPRODUCT(--(Sens!$R$5672:$AA$5672&lt;Sens!V$5672),Sens!$R$5707:$AA$5707)/fac_life</f>
        <v>2.41307567525532</v>
      </c>
      <c r="W5710" s="38" t="n">
        <f aca="false">SUMPRODUCT(--(Sens!$R$5672:$AA$5672&lt;Sens!W$5672),Sens!$R$5707:$AA$5707)/fac_life</f>
        <v>4.71540472525532</v>
      </c>
      <c r="X5710" s="38" t="n">
        <f aca="false">SUMPRODUCT(--(Sens!$R$5672:$AA$5672&lt;Sens!X$5672),Sens!$R$5707:$AA$5707)/fac_life</f>
        <v>7.01773377525532</v>
      </c>
      <c r="Y5710" s="38" t="n">
        <f aca="false">SUMPRODUCT(--(Sens!$R$5672:$AA$5672&lt;Sens!Y$5672),Sens!$R$5707:$AA$5707)/fac_life</f>
        <v>9.32006282525532</v>
      </c>
      <c r="Z5710" s="38" t="n">
        <f aca="false">SUMPRODUCT(--(Sens!$R$5672:$AA$5672&lt;Sens!Z$5672),Sens!$R$5707:$AA$5707)/fac_life</f>
        <v>10.9799599475887</v>
      </c>
      <c r="AA5710" s="38" t="n">
        <f aca="false">SUMPRODUCT(--(Sens!$R$5672:$AA$5672&lt;Sens!AA$5672),Sens!$R$5707:$AA$5707)/fac_life</f>
        <v>11.9974251422553</v>
      </c>
    </row>
    <row r="5711" customFormat="false" ht="17.15" hidden="false" customHeight="false" outlineLevel="0" collapsed="false">
      <c r="A5711" s="1" t="s">
        <v>639</v>
      </c>
      <c r="B5711" s="8" t="s">
        <v>86</v>
      </c>
      <c r="C5711" s="38" t="n">
        <f aca="false">Sens!$C$5709+Sens!$C$5710</f>
        <v>0.203463948620839</v>
      </c>
      <c r="D5711" s="38" t="n">
        <f aca="false">Sens!$D$5709+Sens!$D$5710</f>
        <v>1.73101464862084</v>
      </c>
      <c r="E5711" s="38" t="n">
        <f aca="false">Sens!$E$5709+Sens!$E$5710</f>
        <v>4.30249639931042</v>
      </c>
      <c r="F5711" s="38" t="n">
        <f aca="false">Sens!$F$5709+Sens!$F$5710</f>
        <v>4.30249639931042</v>
      </c>
      <c r="G5711" s="38" t="n">
        <f aca="false">Sens!$G$5709+Sens!$G$5710</f>
        <v>8.60499279862084</v>
      </c>
      <c r="H5711" s="38" t="n">
        <f aca="false">Sens!$H$5709+Sens!$H$5710</f>
        <v>26.6640337718708</v>
      </c>
      <c r="I5711" s="38" t="n">
        <f aca="false">Sens!$I$5709+Sens!$I$5710</f>
        <v>54.3871601459959</v>
      </c>
      <c r="J5711" s="38" t="n">
        <f aca="false">Sens!$J$5709+Sens!$J$5710</f>
        <v>83.1228040144125</v>
      </c>
      <c r="K5711" s="38" t="n">
        <f aca="false">Sens!$K$5709+Sens!$K$5710</f>
        <v>112.548029784464</v>
      </c>
      <c r="L5711" s="38" t="n">
        <f aca="false">Sens!$L$5709+Sens!$L$5710</f>
        <v>133.635482730156</v>
      </c>
      <c r="M5711" s="38" t="n">
        <f aca="false">Sens!$M$5709+Sens!$M$5710</f>
        <v>147.999941503125</v>
      </c>
      <c r="N5711" s="38" t="n">
        <f aca="false">Sens!$N$5709+Sens!$N$5710</f>
        <v>0.865507324310419</v>
      </c>
      <c r="O5711" s="38" t="n">
        <f aca="false">Sens!$O$5709+Sens!$O$5710</f>
        <v>0.865507324310419</v>
      </c>
      <c r="R5711" s="38" t="n">
        <f aca="false">Sens!$R$5709+Sens!$R$5710</f>
        <v>0</v>
      </c>
      <c r="S5711" s="38" t="n">
        <f aca="false">Sens!$S$5709+Sens!$S$5710</f>
        <v>0.203463948620839</v>
      </c>
      <c r="T5711" s="38" t="n">
        <f aca="false">Sens!$T$5709+Sens!$T$5710</f>
        <v>1.73101464862084</v>
      </c>
      <c r="U5711" s="38" t="n">
        <f aca="false">Sens!$U$5709+Sens!$U$5710</f>
        <v>8.60499279862084</v>
      </c>
      <c r="V5711" s="38" t="n">
        <f aca="false">Sens!$V$5709+Sens!$V$5710</f>
        <v>26.6640337718708</v>
      </c>
      <c r="W5711" s="38" t="n">
        <f aca="false">Sens!$W$5709+Sens!$W$5710</f>
        <v>54.3871601459959</v>
      </c>
      <c r="X5711" s="38" t="n">
        <f aca="false">Sens!$X$5709+Sens!$X$5710</f>
        <v>83.1228040144125</v>
      </c>
      <c r="Y5711" s="38" t="n">
        <f aca="false">Sens!$Y$5709+Sens!$Y$5710</f>
        <v>112.548029784464</v>
      </c>
      <c r="Z5711" s="38" t="n">
        <f aca="false">Sens!$Z$5709+Sens!$Z$5710</f>
        <v>133.635482730156</v>
      </c>
      <c r="AA5711" s="38" t="n">
        <f aca="false">Sens!$AA$5709+Sens!$AA$5710</f>
        <v>147.999941503125</v>
      </c>
    </row>
    <row r="5712" customFormat="false" ht="17.15" hidden="false" customHeight="false" outlineLevel="0" collapsed="false">
      <c r="A5712" s="0" t="s">
        <v>640</v>
      </c>
      <c r="B5712" s="0" t="s">
        <v>86</v>
      </c>
      <c r="C5712" s="38" t="n">
        <f aca="false">Sens!$S$5712</f>
        <v>12.5947000466786</v>
      </c>
      <c r="D5712" s="38" t="n">
        <f aca="false">Sens!$T$5712</f>
        <v>61.6860742980578</v>
      </c>
      <c r="G5712" s="38" t="n">
        <f aca="false">Sens!$U$5712</f>
        <v>183.227790688937</v>
      </c>
      <c r="H5712" s="38" t="n">
        <f aca="false">Sens!$V$5712</f>
        <v>355.135121861816</v>
      </c>
      <c r="I5712" s="38" t="n">
        <f aca="false">Sens!$W$5712</f>
        <v>505.39443162632</v>
      </c>
      <c r="J5712" s="38" t="n">
        <f aca="false">Sens!$X$5712</f>
        <v>632.154865722408</v>
      </c>
      <c r="K5712" s="38" t="n">
        <f aca="false">Sens!$Y$5712</f>
        <v>677.623177524768</v>
      </c>
      <c r="L5712" s="38" t="n">
        <f aca="false">Sens!$Z$5712</f>
        <v>681.557749057758</v>
      </c>
      <c r="M5712" s="38" t="n">
        <f aca="false">Sens!$AA$5712</f>
        <v>674.122658149352</v>
      </c>
      <c r="R5712" s="38" t="n">
        <f aca="false">SUM(Sens!$R$5704:$R$5704)-SUM(Sens!$R$5711:$R$5711)</f>
        <v>1.50429979529945</v>
      </c>
      <c r="S5712" s="38" t="n">
        <f aca="false">SUM(Sens!$R$5704:$S$5704)-SUM(Sens!$R$5711:$S$5711)</f>
        <v>12.5947000466786</v>
      </c>
      <c r="T5712" s="38" t="n">
        <f aca="false">SUM(Sens!$R$5704:$T$5704)-SUM(Sens!$R$5711:$T$5711)</f>
        <v>61.6860742980578</v>
      </c>
      <c r="U5712" s="38" t="n">
        <f aca="false">SUM(Sens!$R$5704:$U$5704)-SUM(Sens!$R$5711:$U$5711)</f>
        <v>183.227790688937</v>
      </c>
      <c r="V5712" s="38" t="n">
        <f aca="false">SUM(Sens!$R$5704:$V$5704)-SUM(Sens!$R$5711:$V$5711)</f>
        <v>355.135121861816</v>
      </c>
      <c r="W5712" s="38" t="n">
        <f aca="false">SUM(Sens!$R$5704:$W$5704)-SUM(Sens!$R$5711:$W$5711)</f>
        <v>505.39443162632</v>
      </c>
      <c r="X5712" s="38" t="n">
        <f aca="false">SUM(Sens!$R$5704:$X$5704)-SUM(Sens!$R$5711:$X$5711)</f>
        <v>632.154865722408</v>
      </c>
      <c r="Y5712" s="38" t="n">
        <f aca="false">SUM(Sens!$R$5704:$Y$5704)-SUM(Sens!$R$5711:$Y$5711)</f>
        <v>677.623177524768</v>
      </c>
      <c r="Z5712" s="38" t="n">
        <f aca="false">SUM(Sens!$R$5704:$Z$5704)-SUM(Sens!$R$5711:$Z$5711)</f>
        <v>681.557749057758</v>
      </c>
      <c r="AA5712" s="38" t="n">
        <f aca="false">SUM(Sens!$R$5704:$AA$5704)-SUM(Sens!$R$5711:$AA$5711)</f>
        <v>674.122658149352</v>
      </c>
    </row>
    <row r="5713" customFormat="false" ht="17.15" hidden="false" customHeight="false" outlineLevel="0" collapsed="false">
      <c r="A5713" s="1" t="s">
        <v>641</v>
      </c>
    </row>
    <row r="5714" customFormat="false" ht="17.15" hidden="false" customHeight="false" outlineLevel="0" collapsed="false">
      <c r="A5714" s="0" t="s">
        <v>642</v>
      </c>
      <c r="B5714" s="0" t="s">
        <v>86</v>
      </c>
      <c r="C5714" s="38" t="n">
        <f aca="false">Sens!$C$5693-ext_sh*Sens!$C$5695</f>
        <v>1.80694998843362</v>
      </c>
      <c r="D5714" s="38" t="n">
        <f aca="false">Sens!$D$5693-ext_sh*Sens!$D$5695</f>
        <v>6.77606245662607</v>
      </c>
      <c r="E5714" s="38" t="n">
        <f aca="false">Sens!$E$5693-ext_sh*Sens!$E$5695</f>
        <v>6.62548329092326</v>
      </c>
      <c r="F5714" s="38" t="n">
        <f aca="false">Sens!$F$5693-ext_sh*Sens!$F$5695</f>
        <v>11.7200577158706</v>
      </c>
      <c r="G5714" s="38" t="n">
        <f aca="false">Sens!$G$5693-ext_sh*Sens!$G$5695</f>
        <v>18.3455410067939</v>
      </c>
      <c r="H5714" s="38" t="n">
        <f aca="false">Sens!$H$5693-ext_sh*Sens!$H$5695</f>
        <v>47.5171727060453</v>
      </c>
      <c r="I5714" s="38" t="n">
        <f aca="false">Sens!$I$5693-ext_sh*Sens!$I$5695</f>
        <v>80.5539692643667</v>
      </c>
      <c r="J5714" s="38" t="n">
        <f aca="false">Sens!$J$5693-ext_sh*Sens!$J$5695</f>
        <v>113.759316834883</v>
      </c>
      <c r="K5714" s="38" t="n">
        <f aca="false">Sens!$K$5693-ext_sh*Sens!$K$5695</f>
        <v>142.313600225088</v>
      </c>
      <c r="L5714" s="38" t="n">
        <f aca="false">Sens!$L$5693-ext_sh*Sens!$L$5695</f>
        <v>161.610137806934</v>
      </c>
      <c r="M5714" s="38" t="n">
        <f aca="false">Sens!$M$5693-ext_sh*Sens!$M$5695</f>
        <v>171.622526917459</v>
      </c>
      <c r="N5714" s="38" t="n">
        <f aca="false">Sens!$N$5693-ext_sh*Sens!$N$5695</f>
        <v>2.37162185981912</v>
      </c>
      <c r="O5714" s="38" t="n">
        <f aca="false">Sens!$O$5693-ext_sh*Sens!$O$5695</f>
        <v>4.40444059680694</v>
      </c>
    </row>
    <row r="5715" customFormat="false" ht="17.15" hidden="false" customHeight="false" outlineLevel="0" collapsed="false">
      <c r="A5715" s="1" t="s">
        <v>643</v>
      </c>
      <c r="B5715" s="8" t="s">
        <v>86</v>
      </c>
      <c r="C5715" s="38" t="n">
        <f aca="false">Sens!$C$5714-ext_sh*Sens!$C$5711</f>
        <v>1.64417882953695</v>
      </c>
      <c r="D5715" s="38" t="n">
        <f aca="false">Sens!$D$5714-ext_sh*Sens!$D$5711</f>
        <v>5.39125073772939</v>
      </c>
      <c r="E5715" s="38" t="n">
        <f aca="false">Sens!$E$5714-ext_sh*Sens!$E$5711</f>
        <v>3.18348617147493</v>
      </c>
      <c r="F5715" s="38" t="n">
        <f aca="false">Sens!$F$5714-ext_sh*Sens!$F$5711</f>
        <v>8.27806059642226</v>
      </c>
      <c r="G5715" s="38" t="n">
        <f aca="false">Sens!$G$5714-ext_sh*Sens!$G$5711</f>
        <v>11.4615467678972</v>
      </c>
      <c r="H5715" s="38" t="n">
        <f aca="false">Sens!$H$5714-ext_sh*Sens!$H$5711</f>
        <v>26.1859456885487</v>
      </c>
      <c r="I5715" s="38" t="n">
        <f aca="false">Sens!$I$5714-ext_sh*Sens!$I$5711</f>
        <v>37.04424114757</v>
      </c>
      <c r="J5715" s="38" t="n">
        <f aca="false">Sens!$J$5714-ext_sh*Sens!$J$5711</f>
        <v>47.2610736233534</v>
      </c>
      <c r="K5715" s="38" t="n">
        <f aca="false">Sens!$K$5714-ext_sh*Sens!$K$5711</f>
        <v>52.2751763975167</v>
      </c>
      <c r="L5715" s="38" t="n">
        <f aca="false">Sens!$L$5714-ext_sh*Sens!$L$5711</f>
        <v>54.701751622809</v>
      </c>
      <c r="M5715" s="38" t="n">
        <f aca="false">Sens!$M$5714-ext_sh*Sens!$M$5711</f>
        <v>53.2225737149584</v>
      </c>
      <c r="N5715" s="38" t="n">
        <f aca="false">Sens!$N$5714-ext_sh*Sens!$N$5711</f>
        <v>1.67921600037079</v>
      </c>
      <c r="O5715" s="38" t="n">
        <f aca="false">Sens!$O$5714-ext_sh*Sens!$O$5711</f>
        <v>3.71203473735861</v>
      </c>
    </row>
    <row r="5716" customFormat="false" ht="17.15" hidden="false" customHeight="false" outlineLevel="0" collapsed="false">
      <c r="A5716" s="0" t="s">
        <v>644</v>
      </c>
      <c r="B5716" s="0" t="s">
        <v>52</v>
      </c>
      <c r="C5716" s="13" t="n">
        <f aca="false">Sens!$C$5715/Sens!$C$5693</f>
        <v>0.708390794789371</v>
      </c>
      <c r="D5716" s="13" t="n">
        <f aca="false">Sens!$D$5715/Sens!$D$5693</f>
        <v>0.619415573115729</v>
      </c>
      <c r="E5716" s="13" t="n">
        <f aca="false">Sens!$E$5715/Sens!$E$5693</f>
        <v>0.374072166056273</v>
      </c>
      <c r="F5716" s="13" t="n">
        <f aca="false">Sens!$F$5715/Sens!$F$5693</f>
        <v>0.553219320710057</v>
      </c>
      <c r="G5716" s="13" t="n">
        <f aca="false">Sens!$G$5715/Sens!$G$5693</f>
        <v>0.488270041527512</v>
      </c>
      <c r="H5716" s="13" t="n">
        <f aca="false">Sens!$H$5715/Sens!$H$5693</f>
        <v>0.435229086816882</v>
      </c>
      <c r="I5716" s="13" t="n">
        <f aca="false">Sens!$I$5715/Sens!$I$5693</f>
        <v>0.364954592421095</v>
      </c>
      <c r="J5716" s="13" t="n">
        <f aca="false">Sens!$J$5715/Sens!$J$5693</f>
        <v>0.330438308582232</v>
      </c>
      <c r="K5716" s="13" t="n">
        <f aca="false">Sens!$K$5715/Sens!$K$5693</f>
        <v>0.292474552619137</v>
      </c>
      <c r="L5716" s="13" t="n">
        <f aca="false">Sens!$L$5715/Sens!$L$5693</f>
        <v>0.269645821564974</v>
      </c>
      <c r="M5716" s="13" t="n">
        <f aca="false">Sens!$M$5715/Sens!$M$5693</f>
        <v>0.247098773220278</v>
      </c>
      <c r="N5716" s="13" t="n">
        <f aca="false">Sens!$N$5715/Sens!$N$5693</f>
        <v>0.551227795793364</v>
      </c>
      <c r="O5716" s="13" t="n">
        <f aca="false">Sens!$O$5715/Sens!$O$5693</f>
        <v>0.656132068597002</v>
      </c>
    </row>
    <row r="5717" customFormat="false" ht="17.15" hidden="false" customHeight="false" outlineLevel="0" collapsed="false">
      <c r="A5717" s="5" t="s">
        <v>645</v>
      </c>
      <c r="B5717" s="0" t="s">
        <v>86</v>
      </c>
      <c r="C5717" s="39" t="n">
        <v>0</v>
      </c>
      <c r="D5717" s="39" t="n">
        <v>0</v>
      </c>
      <c r="E5717" s="39" t="n">
        <v>0</v>
      </c>
      <c r="F5717" s="38" t="n">
        <f aca="false">IF(internal_ai_reading=2,1,0)*(1-ext_sh)/ext_sh*(mw_open*he_open+Sens!$F$5691*Sens!$F$5688)*Sens!$F$5677/1000</f>
        <v>3.77122048175818</v>
      </c>
      <c r="G5717" s="38" t="n">
        <f aca="false">Sens!$E$5717+Sens!$F$5717</f>
        <v>3.77122048175818</v>
      </c>
      <c r="H5717" s="38" t="n">
        <f aca="false">IF(internal_ai_reading=2,1,0)*(1-ext_sh)/ext_sh*(mw_open*he_open+Sens!$H$5691*Sens!$H$5688)*Sens!$H$5677/1000</f>
        <v>15.1635543609893</v>
      </c>
      <c r="I5717" s="38" t="n">
        <f aca="false">IF(internal_ai_reading=2,1,0)*(1-ext_sh)/ext_sh*(mw_open*he_open+Sens!$I$5691*Sens!$I$5688)*Sens!$I$5677/1000</f>
        <v>25.5818843619889</v>
      </c>
      <c r="J5717" s="38" t="n">
        <f aca="false">IF(internal_ai_reading=2,1,0)*(1-ext_sh)/ext_sh*(mw_open*he_open+Sens!$J$5691*Sens!$J$5688)*Sens!$J$5677/1000</f>
        <v>36.0465624179122</v>
      </c>
      <c r="K5717" s="38" t="n">
        <f aca="false">IF(internal_ai_reading=2,1,0)*(1-ext_sh)/ext_sh*(mw_open*he_open+Sens!$K$5691*Sens!$K$5688)*Sens!$K$5677/1000</f>
        <v>45.0461919819152</v>
      </c>
      <c r="L5717" s="38" t="n">
        <f aca="false">IF(internal_ai_reading=2,1,0)*(1-ext_sh)/ext_sh*(mw_open*he_open+Sens!$L$5691*Sens!$L$5688)*Sens!$L$5677/1000</f>
        <v>51.1279288493339</v>
      </c>
      <c r="M5717" s="38" t="n">
        <f aca="false">IF(internal_ai_reading=2,1,0)*(1-ext_sh)/ext_sh*(mw_open*he_open+Sens!$M$5691*Sens!$M$5688)*Sens!$M$5677/1000</f>
        <v>54.2845128319481</v>
      </c>
      <c r="N5717" s="39" t="n">
        <v>0</v>
      </c>
      <c r="O5717" s="39" t="n">
        <v>0</v>
      </c>
      <c r="P5717" s="8" t="s">
        <v>646</v>
      </c>
    </row>
    <row r="5718" customFormat="false" ht="17.15" hidden="false" customHeight="false" outlineLevel="0" collapsed="false">
      <c r="A5718" s="5" t="s">
        <v>647</v>
      </c>
      <c r="B5718" s="0" t="s">
        <v>86</v>
      </c>
      <c r="C5718" s="38" t="n">
        <f aca="false">(1-ext_sh)*(Sens!$C$5695+Sens!$C$5711)</f>
        <v>0.169206631859174</v>
      </c>
      <c r="D5718" s="38" t="n">
        <f aca="false">(1-ext_sh)*(Sens!$D$5695+Sens!$D$5711)</f>
        <v>0.828129837730442</v>
      </c>
      <c r="E5718" s="38" t="n">
        <f aca="false">(1-ext_sh)*(Sens!$E$5695+Sens!$E$5711)</f>
        <v>1.33171670102377</v>
      </c>
      <c r="F5718" s="38" t="n">
        <f aca="false">(1-ext_sh)*(Sens!$F$5695+Sens!$F$5711)</f>
        <v>1.67134326207455</v>
      </c>
      <c r="G5718" s="38" t="n">
        <f aca="false">(1-ext_sh)*(Sens!$G$5695+Sens!$G$5711)</f>
        <v>3.00305996309832</v>
      </c>
      <c r="H5718" s="38" t="n">
        <f aca="false">(1-ext_sh)*(Sens!$H$5695+Sens!$H$5711)</f>
        <v>8.49498626530648</v>
      </c>
      <c r="I5718" s="38" t="n">
        <f aca="false">(1-ext_sh)*(Sens!$I$5695+Sens!$I$5711)</f>
        <v>16.1148644972155</v>
      </c>
      <c r="J5718" s="38" t="n">
        <f aca="false">(1-ext_sh)*(Sens!$J$5695+Sens!$J$5711)</f>
        <v>23.9410833819812</v>
      </c>
      <c r="K5718" s="38" t="n">
        <f aca="false">(1-ext_sh)*(Sens!$K$5695+Sens!$K$5711)</f>
        <v>31.6147312957258</v>
      </c>
      <c r="L5718" s="38" t="n">
        <f aca="false">(1-ext_sh)*(Sens!$L$5695+Sens!$L$5711)</f>
        <v>37.0408603344581</v>
      </c>
      <c r="M5718" s="38" t="n">
        <f aca="false">(1-ext_sh)*(Sens!$M$5695+Sens!$M$5711)</f>
        <v>40.5418251577522</v>
      </c>
      <c r="N5718" s="38" t="n">
        <f aca="false">(1-ext_sh)*(Sens!$N$5695+Sens!$N$5711)</f>
        <v>0.34177588266428</v>
      </c>
      <c r="O5718" s="38" t="n">
        <f aca="false">(1-ext_sh)*(Sens!$O$5695+Sens!$O$5711)</f>
        <v>0.486353955066162</v>
      </c>
    </row>
    <row r="5719" customFormat="false" ht="17.15" hidden="false" customHeight="false" outlineLevel="0" collapsed="false">
      <c r="A5719" s="0" t="s">
        <v>648</v>
      </c>
      <c r="B5719" s="0" t="s">
        <v>86</v>
      </c>
      <c r="C5719" s="38" t="n">
        <f aca="false">Q!$D$24</f>
        <v>39.834</v>
      </c>
      <c r="D5719" s="38" t="n">
        <f aca="false">Q!$E$24</f>
        <v>45.606</v>
      </c>
      <c r="E5719" s="38" t="n">
        <f aca="false">Q!$P$24</f>
        <v>30.782</v>
      </c>
      <c r="N5719" s="38" t="n">
        <f aca="false">Q!$N$24</f>
        <v>21.707</v>
      </c>
      <c r="O5719" s="38" t="n">
        <f aca="false">Q!$O$24</f>
        <v>23.899</v>
      </c>
    </row>
    <row r="5720" customFormat="false" ht="17.15" hidden="false" customHeight="false" outlineLevel="0" collapsed="false">
      <c r="A5720" s="0" t="s">
        <v>649</v>
      </c>
      <c r="B5720" s="0" t="s">
        <v>86</v>
      </c>
      <c r="C5720" s="38" t="n">
        <f aca="false">Sens!$C$5719-Sens!$C$5715</f>
        <v>38.1898211704631</v>
      </c>
      <c r="D5720" s="38" t="n">
        <f aca="false">Sens!$D$5719-Sens!$D$5715</f>
        <v>40.2147492622706</v>
      </c>
      <c r="E5720" s="38" t="n">
        <f aca="false">Sens!$E$5719-Sens!$E$5715</f>
        <v>27.5985138285251</v>
      </c>
      <c r="F5720" s="38" t="n">
        <f aca="false">Sens!$F$5697*Sens!$F$5721</f>
        <v>25.5484769754606</v>
      </c>
      <c r="G5720" s="38" t="n">
        <f aca="false">Sens!$E$5720+Sens!$F$5720</f>
        <v>53.1469908039857</v>
      </c>
      <c r="H5720" s="38" t="n">
        <f aca="false">Sens!$H$5697*Sens!$H$5721</f>
        <v>57.3189525076539</v>
      </c>
      <c r="I5720" s="38" t="n">
        <f aca="false">Sens!$I$5697*Sens!$I$5721</f>
        <v>63.6385627021087</v>
      </c>
      <c r="J5720" s="38" t="n">
        <f aca="false">Sens!$J$5697*Sens!$J$5721</f>
        <v>69.6922896066105</v>
      </c>
      <c r="K5720" s="38" t="n">
        <f aca="false">Sens!$K$5697*Sens!$K$5721</f>
        <v>75.2676727751394</v>
      </c>
      <c r="L5720" s="38" t="n">
        <f aca="false">Sens!$L$5697*Sens!$L$5721</f>
        <v>81.2890865971505</v>
      </c>
      <c r="M5720" s="38" t="n">
        <f aca="false">Sens!$M$5697*Sens!$M$5721</f>
        <v>87.7922135249226</v>
      </c>
      <c r="N5720" s="38" t="n">
        <f aca="false">Sens!$N$5719-Sens!$N$5715</f>
        <v>20.0277839996292</v>
      </c>
      <c r="O5720" s="38" t="n">
        <f aca="false">Sens!$O$5719-Sens!$O$5715</f>
        <v>20.1869652626414</v>
      </c>
      <c r="P5720" s="5" t="s">
        <v>650</v>
      </c>
    </row>
    <row r="5721" customFormat="false" ht="17.15" hidden="false" customHeight="false" outlineLevel="0" collapsed="false">
      <c r="A5721" s="0" t="s">
        <v>651</v>
      </c>
      <c r="B5721" s="0" t="s">
        <v>52</v>
      </c>
      <c r="C5721" s="13" t="n">
        <f aca="false">Sens!$C$5720/Sens!$C$5697</f>
        <v>0.362900395443635</v>
      </c>
      <c r="D5721" s="13" t="n">
        <f aca="false">Sens!$D$5720/Sens!$D$5697</f>
        <v>0.335063632425483</v>
      </c>
      <c r="E5721" s="13" t="n">
        <f aca="false">Sens!$E$5720/Sens!$E$5697</f>
        <v>0.387028992698038</v>
      </c>
      <c r="F5721" s="13" t="n">
        <f aca="false">(Sens!$O$5720+Sens!$E$5720)/(Sens!$O$5697+Sens!$E$5697)</f>
        <v>0.355980580118587</v>
      </c>
      <c r="G5721" s="13" t="n">
        <f aca="false">Sens!$G$5720/Sens!$G$5697</f>
        <v>0.371454804780916</v>
      </c>
      <c r="H5721" s="13" t="n">
        <f aca="false">Sens!$F$5721</f>
        <v>0.355980580118587</v>
      </c>
      <c r="I5721" s="13" t="n">
        <f aca="false">Sens!$F$5721</f>
        <v>0.355980580118587</v>
      </c>
      <c r="J5721" s="13" t="n">
        <f aca="false">Sens!$F$5721</f>
        <v>0.355980580118587</v>
      </c>
      <c r="K5721" s="13" t="n">
        <f aca="false">Sens!$F$5721</f>
        <v>0.355980580118587</v>
      </c>
      <c r="L5721" s="13" t="n">
        <f aca="false">Sens!$F$5721</f>
        <v>0.355980580118587</v>
      </c>
      <c r="M5721" s="13" t="n">
        <f aca="false">Sens!$F$5721</f>
        <v>0.355980580118587</v>
      </c>
      <c r="N5721" s="13" t="n">
        <f aca="false">Sens!$N$5720/Sens!$N$5697</f>
        <v>0.35078810535806</v>
      </c>
      <c r="O5721" s="13" t="n">
        <f aca="false">Sens!$O$5720/Sens!$O$5697</f>
        <v>0.320796939361619</v>
      </c>
      <c r="P5721" s="8" t="s">
        <v>652</v>
      </c>
    </row>
    <row r="5722" customFormat="false" ht="17.15" hidden="false" customHeight="false" outlineLevel="0" collapsed="false">
      <c r="A5722" s="0" t="s">
        <v>653</v>
      </c>
      <c r="B5722" s="0" t="s">
        <v>52</v>
      </c>
      <c r="D5722" s="13" t="n">
        <f aca="false">(Q!$E$31-ext_sh*Sens!$D$5711)/Sens!$D$5697</f>
        <v>0.167180325480118</v>
      </c>
    </row>
    <row r="5723" customFormat="false" ht="17.15" hidden="false" customHeight="false" outlineLevel="0" collapsed="false">
      <c r="A5723" s="0" t="s">
        <v>654</v>
      </c>
      <c r="B5723" s="0" t="s">
        <v>86</v>
      </c>
      <c r="C5723" s="38" t="n">
        <f aca="false">Q!$D$31</f>
        <v>13.32</v>
      </c>
      <c r="D5723" s="38" t="n">
        <f aca="false">Q!$E$31</f>
        <v>21.45</v>
      </c>
      <c r="E5723" s="38" t="n">
        <f aca="false">Q!$P$31</f>
        <v>15.353</v>
      </c>
      <c r="F5723" s="38" t="n">
        <f aca="false">ext_sh*Sens!$F$5711+Sens!$D$5722*Sens!$F$5697</f>
        <v>15.4404120185306</v>
      </c>
      <c r="G5723" s="38" t="n">
        <f aca="false">Sens!$E$5723+Sens!$F$5723</f>
        <v>30.7934120185306</v>
      </c>
      <c r="H5723" s="38" t="n">
        <f aca="false">ext_sh*Sens!$H$5711+Sens!$D$5722*Sens!$H$5697</f>
        <v>48.250114371455</v>
      </c>
      <c r="I5723" s="38" t="n">
        <f aca="false">ext_sh*Sens!$I$5711+Sens!$D$5722*Sens!$I$5697</f>
        <v>73.3965146995963</v>
      </c>
      <c r="J5723" s="38" t="n">
        <f aca="false">ext_sh*Sens!$J$5711+Sens!$D$5722*Sens!$J$5697</f>
        <v>99.22806138309</v>
      </c>
      <c r="K5723" s="38" t="n">
        <f aca="false">ext_sh*Sens!$K$5711+Sens!$D$5722*Sens!$K$5697</f>
        <v>125.386627452856</v>
      </c>
      <c r="L5723" s="38" t="n">
        <f aca="false">ext_sh*Sens!$L$5711+Sens!$D$5722*Sens!$L$5697</f>
        <v>145.084446099433</v>
      </c>
      <c r="M5723" s="38" t="n">
        <f aca="false">ext_sh*Sens!$M$5711+Sens!$D$5722*Sens!$M$5697</f>
        <v>159.630097911032</v>
      </c>
      <c r="N5723" s="38" t="n">
        <f aca="false">Q!$N$31</f>
        <v>9.234</v>
      </c>
      <c r="O5723" s="38" t="n">
        <f aca="false">Q!$O$31</f>
        <v>12.216</v>
      </c>
    </row>
    <row r="5724" customFormat="false" ht="17.15" hidden="false" customHeight="false" outlineLevel="0" collapsed="false">
      <c r="A5724" s="1" t="s">
        <v>655</v>
      </c>
    </row>
    <row r="5725" customFormat="false" ht="17.15" hidden="false" customHeight="false" outlineLevel="0" collapsed="false">
      <c r="A5725" s="15" t="s">
        <v>656</v>
      </c>
      <c r="B5725" s="14" t="s">
        <v>52</v>
      </c>
      <c r="C5725" s="14"/>
      <c r="D5725" s="14"/>
      <c r="E5725" s="14"/>
      <c r="F5725" s="14"/>
      <c r="G5725" s="17" t="n">
        <f aca="false">Sens!$G$5715*(1-tax)/(ext_sh*(Sens!$D$5712+Sens!$G$5712)/2)</f>
        <v>0.0966870495301478</v>
      </c>
      <c r="H5725" s="17" t="n">
        <f aca="false">Sens!$H$5715*(1-tax)/(ext_sh*(Sens!$G$5712+Sens!$H$5712)/2)</f>
        <v>0.100492020334136</v>
      </c>
      <c r="I5725" s="17" t="n">
        <f aca="false">Sens!$I$5715*(1-tax)/(ext_sh*(Sens!$H$5712+Sens!$I$5712)/2)</f>
        <v>0.0889392292218236</v>
      </c>
      <c r="J5725" s="17" t="n">
        <f aca="false">Sens!$J$5715*(1-tax)/(ext_sh*(Sens!$I$5712+Sens!$J$5712)/2)</f>
        <v>0.0858364613777012</v>
      </c>
      <c r="K5725" s="17" t="n">
        <f aca="false">Sens!$K$5715*(1-tax)/(ext_sh*(Sens!$J$5712+Sens!$K$5712)/2)</f>
        <v>0.0824586556311099</v>
      </c>
      <c r="L5725" s="17" t="n">
        <f aca="false">Sens!$L$5715*(1-tax)/(ext_sh*(Sens!$K$5712+Sens!$L$5712)/2)</f>
        <v>0.083150030062017</v>
      </c>
      <c r="M5725" s="17" t="n">
        <f aca="false">Sens!$M$5715*(1-tax)/(ext_sh*(Sens!$L$5712+Sens!$M$5712)/2)</f>
        <v>0.0811104855858095</v>
      </c>
      <c r="N5725" s="14"/>
      <c r="O5725" s="14"/>
      <c r="P5725" s="8" t="s">
        <v>657</v>
      </c>
    </row>
    <row r="5726" customFormat="false" ht="17.15" hidden="false" customHeight="false" outlineLevel="0" collapsed="false">
      <c r="A5726" s="5" t="s">
        <v>658</v>
      </c>
      <c r="B5726" s="0" t="s">
        <v>57</v>
      </c>
      <c r="H5726" s="36" t="n">
        <f aca="false">Sens!$H$5693*1000/(mw_open*he_open+Sens!$H$5691*Sens!$H$5688)</f>
        <v>0.991949006767191</v>
      </c>
      <c r="I5726" s="36" t="n">
        <f aca="false">Sens!$I$5693*1000/(mw_open*he_open+Sens!$I$5691*Sens!$I$5688)</f>
        <v>0.991949006767191</v>
      </c>
      <c r="J5726" s="36" t="n">
        <f aca="false">Sens!$J$5693*1000/(mw_open*he_open+Sens!$J$5691*Sens!$J$5688)</f>
        <v>0.991949006767191</v>
      </c>
      <c r="K5726" s="36" t="n">
        <f aca="false">Sens!$K$5693*1000/(mw_open*he_open+Sens!$K$5691*Sens!$K$5688)</f>
        <v>0.991949006767191</v>
      </c>
      <c r="L5726" s="36" t="n">
        <f aca="false">Sens!$L$5693*1000/(mw_open*he_open+Sens!$L$5691*Sens!$L$5688)</f>
        <v>0.991949006767191</v>
      </c>
      <c r="M5726" s="36" t="n">
        <f aca="false">Sens!$M$5693*1000/(mw_open*he_open+Sens!$M$5691*Sens!$M$5688)</f>
        <v>0.991949006767191</v>
      </c>
    </row>
    <row r="5727" customFormat="false" ht="17.15" hidden="false" customHeight="false" outlineLevel="0" collapsed="false">
      <c r="A5727" s="5" t="s">
        <v>659</v>
      </c>
      <c r="B5727" s="0" t="s">
        <v>57</v>
      </c>
      <c r="H5727" s="36" t="n">
        <f aca="false">Sens!$H$5726*(Sens!$H$5693+wacc*ext_sh*(Sens!$G$5712+Sens!$H$5712)/2/(1-tax)-Sens!$H$5715)/Sens!$H$5693</f>
        <v>1.04696246089529</v>
      </c>
      <c r="I5727" s="36" t="n">
        <f aca="false">Sens!$I$5726*(Sens!$I$5693+wacc*ext_sh*(Sens!$H$5712+Sens!$I$5712)/2/(1-tax)-Sens!$I$5715)/Sens!$I$5693</f>
        <v>1.09109607940198</v>
      </c>
      <c r="J5727" s="36" t="n">
        <f aca="false">Sens!$J$5726*(Sens!$J$5693+wacc*ext_sh*(Sens!$I$5712+Sens!$J$5712)/2/(1-tax)-Sens!$J$5715)/Sens!$J$5693</f>
        <v>1.09681234280071</v>
      </c>
      <c r="K5727" s="36" t="n">
        <f aca="false">Sens!$K$5726*(Sens!$K$5693+wacc*ext_sh*(Sens!$J$5712+Sens!$K$5712)/2/(1-tax)-Sens!$K$5715)/Sens!$K$5693</f>
        <v>1.10045111837667</v>
      </c>
      <c r="L5727" s="36" t="n">
        <f aca="false">Sens!$L$5726*(Sens!$L$5693+wacc*ext_sh*(Sens!$K$5712+Sens!$L$5712)/2/(1-tax)-Sens!$L$5715)/Sens!$L$5693</f>
        <v>1.0889263740366</v>
      </c>
      <c r="M5727" s="36" t="n">
        <f aca="false">Sens!$M$5726*(Sens!$M$5693+wacc*ext_sh*(Sens!$L$5712+Sens!$M$5712)/2/(1-tax)-Sens!$M$5715)/Sens!$M$5693</f>
        <v>1.08921534973765</v>
      </c>
    </row>
    <row r="5728" customFormat="false" ht="17.15" hidden="false" customHeight="false" outlineLevel="0" collapsed="false">
      <c r="A5728" s="5" t="s">
        <v>660</v>
      </c>
      <c r="B5728" s="0" t="s">
        <v>52</v>
      </c>
      <c r="C5728" s="13" t="n">
        <f aca="false">Sens!$C$5694/tk_pq</f>
        <v>0.195316432429398</v>
      </c>
      <c r="D5728" s="13" t="n">
        <f aca="false">Sens!$D$5694/tk_pq</f>
        <v>0.195316432429398</v>
      </c>
      <c r="E5728" s="13" t="n">
        <f aca="false">Sens!$E$5694/tk_pq</f>
        <v>0.195316432429398</v>
      </c>
      <c r="F5728" s="13" t="n">
        <f aca="false">Sens!$F$5694/tk_pq</f>
        <v>0.202241827274866</v>
      </c>
      <c r="G5728" s="13" t="n">
        <f aca="false">Sens!$G$5694/tk_pq</f>
        <v>0.199675016194063</v>
      </c>
      <c r="H5728" s="13" t="n">
        <f aca="false">Sens!$H$5694/tk_pq</f>
        <v>0.212647947710325</v>
      </c>
      <c r="I5728" s="13" t="n">
        <f aca="false">Sens!$I$5694/tk_pq</f>
        <v>0.219285125475351</v>
      </c>
      <c r="J5728" s="13" t="n">
        <f aca="false">Sens!$J$5694/tk_pq</f>
        <v>0.222492493217189</v>
      </c>
      <c r="K5728" s="13" t="n">
        <f aca="false">Sens!$K$5694/tk_pq</f>
        <v>0.224068966220005</v>
      </c>
      <c r="L5728" s="13" t="n">
        <f aca="false">Sens!$L$5694/tk_pq</f>
        <v>0.224830053471997</v>
      </c>
      <c r="M5728" s="13" t="n">
        <f aca="false">Sens!$M$5694/tk_pq</f>
        <v>0.22513299704272</v>
      </c>
      <c r="N5728" s="13" t="n">
        <f aca="false">Sens!$N$5694/tk_pq</f>
        <v>0.195316432429398</v>
      </c>
      <c r="O5728" s="13" t="n">
        <f aca="false">Sens!$O$5694/tk_pq</f>
        <v>0.195316432429398</v>
      </c>
      <c r="P5728" s="5" t="s">
        <v>661</v>
      </c>
    </row>
    <row r="5731" customFormat="false" ht="17.15" hidden="false" customHeight="false" outlineLevel="0" collapsed="false">
      <c r="A5731" s="1" t="s">
        <v>690</v>
      </c>
    </row>
    <row r="5732" customFormat="false" ht="17.15" hidden="false" customHeight="false" outlineLevel="0" collapsed="false">
      <c r="A5732" s="0" t="s">
        <v>691</v>
      </c>
      <c r="B5732" s="0" t="s">
        <v>86</v>
      </c>
      <c r="C5732" s="38" t="n">
        <f aca="false">Sens!$C$5693</f>
        <v>2.32100535697364</v>
      </c>
      <c r="D5732" s="38" t="n">
        <f aca="false">Sens!$D$5693</f>
        <v>8.70377008865116</v>
      </c>
      <c r="E5732" s="38" t="n">
        <f aca="false">Sens!$E$5693</f>
        <v>8.51035297557002</v>
      </c>
      <c r="F5732" s="38" t="n">
        <f aca="false">Sens!$F$5693</f>
        <v>14.9634336447205</v>
      </c>
      <c r="G5732" s="38" t="n">
        <f aca="false">Sens!$G$5693</f>
        <v>23.4737866202905</v>
      </c>
      <c r="H5732" s="38" t="n">
        <f aca="false">Sens!$H$5693</f>
        <v>60.1658907497746</v>
      </c>
      <c r="I5732" s="38" t="n">
        <f aca="false">Sens!$I$5693</f>
        <v>101.503699136432</v>
      </c>
      <c r="J5732" s="38" t="n">
        <f aca="false">Sens!$J$5693</f>
        <v>143.025407151278</v>
      </c>
      <c r="K5732" s="38" t="n">
        <f aca="false">Sens!$K$5693</f>
        <v>178.73410158042</v>
      </c>
      <c r="L5732" s="38" t="n">
        <f aca="false">Sens!$L$5693</f>
        <v>202.865192960641</v>
      </c>
      <c r="M5732" s="38" t="n">
        <f aca="false">Sens!$M$5693</f>
        <v>215.389874345967</v>
      </c>
      <c r="N5732" s="38" t="n">
        <f aca="false">Sens!$N$5693</f>
        <v>3.04631953102791</v>
      </c>
      <c r="O5732" s="38" t="n">
        <f aca="false">Sens!$O$5693</f>
        <v>5.65745055762326</v>
      </c>
      <c r="P5732" s="8" t="s">
        <v>692</v>
      </c>
    </row>
    <row r="5733" customFormat="false" ht="17.15" hidden="false" customHeight="false" outlineLevel="0" collapsed="false">
      <c r="A5733" s="0" t="s">
        <v>693</v>
      </c>
      <c r="B5733" s="0" t="s">
        <v>86</v>
      </c>
      <c r="C5733" s="38" t="n">
        <f aca="false">Sens!$C$5697</f>
        <v>105.234994643026</v>
      </c>
      <c r="D5733" s="38" t="n">
        <f aca="false">Sens!$D$5697</f>
        <v>120.021229911349</v>
      </c>
      <c r="E5733" s="38" t="n">
        <f aca="false">Sens!$E$5697</f>
        <v>71.30864702443</v>
      </c>
      <c r="F5733" s="38" t="n">
        <f aca="false">Sens!$F$5697</f>
        <v>71.7692997942464</v>
      </c>
      <c r="G5733" s="38" t="n">
        <f aca="false">Sens!$G$5697</f>
        <v>143.077946818676</v>
      </c>
      <c r="H5733" s="38" t="n">
        <f aca="false">Sens!$H$5697</f>
        <v>161.017077079203</v>
      </c>
      <c r="I5733" s="38" t="n">
        <f aca="false">Sens!$I$5697</f>
        <v>178.769759521457</v>
      </c>
      <c r="J5733" s="38" t="n">
        <f aca="false">Sens!$J$5697</f>
        <v>195.775538045907</v>
      </c>
      <c r="K5733" s="38" t="n">
        <f aca="false">Sens!$K$5697</f>
        <v>211.43758108958</v>
      </c>
      <c r="L5733" s="38" t="n">
        <f aca="false">Sens!$L$5697</f>
        <v>228.352587576746</v>
      </c>
      <c r="M5733" s="38" t="n">
        <f aca="false">Sens!$M$5697</f>
        <v>246.620794582886</v>
      </c>
      <c r="N5733" s="38" t="n">
        <f aca="false">Sens!$N$5697</f>
        <v>57.0936804689721</v>
      </c>
      <c r="O5733" s="38" t="n">
        <f aca="false">Sens!$O$5697</f>
        <v>62.9275494423768</v>
      </c>
      <c r="P5733" s="8" t="s">
        <v>692</v>
      </c>
    </row>
    <row r="5734" customFormat="false" ht="17.15" hidden="false" customHeight="false" outlineLevel="0" collapsed="false">
      <c r="A5734" s="1" t="s">
        <v>516</v>
      </c>
      <c r="B5734" s="8" t="s">
        <v>86</v>
      </c>
      <c r="C5734" s="38" t="n">
        <f aca="false">Q!$D$7</f>
        <v>107.556</v>
      </c>
      <c r="D5734" s="38" t="n">
        <f aca="false">Q!$E$7</f>
        <v>128.725</v>
      </c>
      <c r="E5734" s="38" t="n">
        <f aca="false">Q!$P$7</f>
        <v>79.819</v>
      </c>
      <c r="F5734" s="38" t="n">
        <f aca="false">Sens!$F$5732+Sens!$F$5733</f>
        <v>86.7327334389669</v>
      </c>
      <c r="G5734" s="38" t="n">
        <f aca="false">Sens!$G$5732+Sens!$G$5733</f>
        <v>166.551733438967</v>
      </c>
      <c r="H5734" s="38" t="n">
        <f aca="false">Sens!$H$5732+Sens!$H$5733</f>
        <v>221.182967828978</v>
      </c>
      <c r="I5734" s="38" t="n">
        <f aca="false">Sens!$I$5732+Sens!$I$5733</f>
        <v>280.27345865789</v>
      </c>
      <c r="J5734" s="38" t="n">
        <f aca="false">Sens!$J$5732+Sens!$J$5733</f>
        <v>338.800945197185</v>
      </c>
      <c r="K5734" s="38" t="n">
        <f aca="false">Sens!$K$5732+Sens!$K$5733</f>
        <v>390.17168267</v>
      </c>
      <c r="L5734" s="38" t="n">
        <f aca="false">Sens!$L$5732+Sens!$L$5733</f>
        <v>431.217780537388</v>
      </c>
      <c r="M5734" s="38" t="n">
        <f aca="false">Sens!$M$5732+Sens!$M$5733</f>
        <v>462.010668928853</v>
      </c>
      <c r="N5734" s="38" t="n">
        <f aca="false">Q!$N$7</f>
        <v>60.14</v>
      </c>
      <c r="O5734" s="38" t="n">
        <f aca="false">Q!$O$7</f>
        <v>68.585</v>
      </c>
      <c r="P5734" s="5" t="s">
        <v>694</v>
      </c>
    </row>
    <row r="5735" customFormat="false" ht="15" hidden="false" customHeight="false" outlineLevel="0" collapsed="false">
      <c r="A5735" s="3" t="s">
        <v>695</v>
      </c>
      <c r="B5735" s="8" t="s">
        <v>86</v>
      </c>
      <c r="C5735" s="38" t="n">
        <f aca="false">Q!$D$8</f>
        <v>637.959</v>
      </c>
      <c r="D5735" s="38" t="n">
        <f aca="false">Q!$E$8</f>
        <v>716.924</v>
      </c>
      <c r="E5735" s="38" t="n">
        <f aca="false">Q!$P$8</f>
        <v>382.125</v>
      </c>
      <c r="F5735" s="38" t="n">
        <f aca="false">Sens!$F$5665+Sens!$F$5734</f>
        <v>435.780975084504</v>
      </c>
      <c r="G5735" s="38" t="n">
        <f aca="false">Sens!$G$5665+Sens!$G$5734</f>
        <v>817.905975084504</v>
      </c>
      <c r="H5735" s="38" t="n">
        <f aca="false">Sens!$H$5665+Sens!$H$5734</f>
        <v>942.279857350364</v>
      </c>
      <c r="I5735" s="38" t="n">
        <f aca="false">Sens!$I$5665+Sens!$I$5734</f>
        <v>1068.80284981042</v>
      </c>
      <c r="J5735" s="38" t="n">
        <f aca="false">Sens!$J$5665+Sens!$J$5734</f>
        <v>1189.90935093863</v>
      </c>
      <c r="K5735" s="38" t="n">
        <f aca="false">Sens!$K$5665+Sens!$K$5734</f>
        <v>1296.34813810109</v>
      </c>
      <c r="L5735" s="38" t="n">
        <f aca="false">Sens!$L$5665+Sens!$L$5734</f>
        <v>1396.31088701298</v>
      </c>
      <c r="M5735" s="38" t="n">
        <f aca="false">Sens!$M$5665+Sens!$M$5734</f>
        <v>1490.15857687574</v>
      </c>
      <c r="N5735" s="38" t="n">
        <f aca="false">Q!$N$8</f>
        <v>323.369</v>
      </c>
      <c r="O5735" s="38" t="n">
        <f aca="false">Q!$O$8</f>
        <v>393.555</v>
      </c>
    </row>
    <row r="5736" customFormat="false" ht="17.15" hidden="false" customHeight="false" outlineLevel="0" collapsed="false">
      <c r="A5736" s="24" t="s">
        <v>703</v>
      </c>
      <c r="B5736" s="25" t="s">
        <v>86</v>
      </c>
      <c r="C5736" s="41" t="n">
        <f aca="false">Sens!$C$5665-(Sens!$C$5667+Sens!$C$5668)</f>
        <v>0</v>
      </c>
      <c r="D5736" s="41" t="n">
        <f aca="false">Sens!$D$5665-(Sens!$D$5667+Sens!$D$5668)</f>
        <v>0</v>
      </c>
      <c r="E5736" s="41" t="n">
        <f aca="false">Sens!$E$5665-(Sens!$E$5667+Sens!$E$5668)</f>
        <v>0</v>
      </c>
      <c r="F5736" s="41" t="n">
        <f aca="false">Sens!$F$5665-(Sens!$F$5667+Sens!$F$5668)</f>
        <v>0</v>
      </c>
      <c r="G5736" s="41" t="n">
        <f aca="false">Sens!$G$5665-(Sens!$G$5667+Sens!$G$5668)</f>
        <v>0</v>
      </c>
      <c r="H5736" s="41" t="n">
        <f aca="false">Sens!$H$5665-(Sens!$H$5667+Sens!$H$5668)</f>
        <v>0</v>
      </c>
      <c r="I5736" s="41" t="n">
        <f aca="false">Sens!$I$5665-(Sens!$I$5667+Sens!$I$5668)</f>
        <v>0</v>
      </c>
      <c r="J5736" s="41" t="n">
        <f aca="false">Sens!$J$5665-(Sens!$J$5667+Sens!$J$5668)</f>
        <v>0</v>
      </c>
      <c r="K5736" s="41" t="n">
        <f aca="false">Sens!$K$5665-(Sens!$K$5667+Sens!$K$5668)</f>
        <v>0</v>
      </c>
      <c r="L5736" s="41" t="n">
        <f aca="false">Sens!$L$5665-(Sens!$L$5667+Sens!$L$5668)</f>
        <v>0</v>
      </c>
      <c r="M5736" s="41" t="n">
        <f aca="false">Sens!$M$5665-(Sens!$M$5667+Sens!$M$5668)</f>
        <v>0</v>
      </c>
      <c r="N5736" s="41" t="n">
        <f aca="false">Sens!$N$5665-(Sens!$N$5667+Sens!$N$5668)</f>
        <v>0</v>
      </c>
      <c r="O5736" s="41" t="n">
        <f aca="false">Sens!$O$5665-(Sens!$O$5667+Sens!$O$5668)</f>
        <v>0</v>
      </c>
    </row>
    <row r="5737" customFormat="false" ht="17.15" hidden="false" customHeight="false" outlineLevel="0" collapsed="false">
      <c r="A5737" s="24" t="s">
        <v>704</v>
      </c>
      <c r="B5737" s="25" t="s">
        <v>86</v>
      </c>
      <c r="C5737" s="41" t="n">
        <f aca="false">Sens!$C$5732+Sens!$C$5733-Sens!$C$5734</f>
        <v>0</v>
      </c>
      <c r="D5737" s="41" t="n">
        <f aca="false">Sens!$D$5732+Sens!$D$5733-Sens!$D$5734</f>
        <v>0</v>
      </c>
      <c r="E5737" s="41" t="n">
        <f aca="false">Sens!$E$5732+Sens!$E$5733-Sens!$E$5734</f>
        <v>0</v>
      </c>
      <c r="F5737" s="41" t="n">
        <f aca="false">Sens!$F$5732+Sens!$F$5733-Sens!$F$5734</f>
        <v>0</v>
      </c>
      <c r="G5737" s="41" t="n">
        <f aca="false">Sens!$G$5732+Sens!$G$5733-Sens!$G$5734</f>
        <v>0</v>
      </c>
      <c r="H5737" s="41" t="n">
        <f aca="false">Sens!$H$5732+Sens!$H$5733-Sens!$H$5734</f>
        <v>0</v>
      </c>
      <c r="I5737" s="41" t="n">
        <f aca="false">Sens!$I$5732+Sens!$I$5733-Sens!$I$5734</f>
        <v>0</v>
      </c>
      <c r="J5737" s="41" t="n">
        <f aca="false">Sens!$J$5732+Sens!$J$5733-Sens!$J$5734</f>
        <v>0</v>
      </c>
      <c r="K5737" s="41" t="n">
        <f aca="false">Sens!$K$5732+Sens!$K$5733-Sens!$K$5734</f>
        <v>0</v>
      </c>
      <c r="L5737" s="41" t="n">
        <f aca="false">Sens!$L$5732+Sens!$L$5733-Sens!$L$5734</f>
        <v>0</v>
      </c>
      <c r="M5737" s="41" t="n">
        <f aca="false">Sens!$M$5732+Sens!$M$5733-Sens!$M$5734</f>
        <v>0</v>
      </c>
      <c r="N5737" s="41" t="n">
        <f aca="false">Sens!$N$5732+Sens!$N$5733-Sens!$N$5734</f>
        <v>0</v>
      </c>
      <c r="O5737" s="41" t="n">
        <f aca="false">Sens!$O$5732+Sens!$O$5733-Sens!$O$5734</f>
        <v>0</v>
      </c>
    </row>
    <row r="5738" customFormat="false" ht="17.15" hidden="false" customHeight="false" outlineLevel="0" collapsed="false">
      <c r="A5738" s="24" t="s">
        <v>705</v>
      </c>
      <c r="B5738" s="25" t="s">
        <v>86</v>
      </c>
      <c r="C5738" s="41" t="n">
        <f aca="false">Sens!$C$5667+Sens!$C$5668+Sens!$C$5734-Sens!$C$5735</f>
        <v>0</v>
      </c>
      <c r="D5738" s="41" t="n">
        <f aca="false">Sens!$D$5667+Sens!$D$5668+Sens!$D$5734-Sens!$D$5735</f>
        <v>0</v>
      </c>
      <c r="E5738" s="41" t="n">
        <f aca="false">Sens!$E$5667+Sens!$E$5668+Sens!$E$5734-Sens!$E$5735</f>
        <v>0</v>
      </c>
      <c r="F5738" s="41" t="n">
        <f aca="false">Sens!$F$5667+Sens!$F$5668+Sens!$F$5734-Sens!$F$5735</f>
        <v>0</v>
      </c>
      <c r="G5738" s="41" t="n">
        <f aca="false">Sens!$G$5667+Sens!$G$5668+Sens!$G$5734-Sens!$G$5735</f>
        <v>0</v>
      </c>
      <c r="H5738" s="41" t="n">
        <f aca="false">Sens!$H$5667+Sens!$H$5668+Sens!$H$5734-Sens!$H$5735</f>
        <v>0</v>
      </c>
      <c r="I5738" s="41" t="n">
        <f aca="false">Sens!$I$5667+Sens!$I$5668+Sens!$I$5734-Sens!$I$5735</f>
        <v>0</v>
      </c>
      <c r="J5738" s="41" t="n">
        <f aca="false">Sens!$J$5667+Sens!$J$5668+Sens!$J$5734-Sens!$J$5735</f>
        <v>0</v>
      </c>
      <c r="K5738" s="41" t="n">
        <f aca="false">Sens!$K$5667+Sens!$K$5668+Sens!$K$5734-Sens!$K$5735</f>
        <v>0</v>
      </c>
      <c r="L5738" s="41" t="n">
        <f aca="false">Sens!$L$5667+Sens!$L$5668+Sens!$L$5734-Sens!$L$5735</f>
        <v>0</v>
      </c>
      <c r="M5738" s="41" t="n">
        <f aca="false">Sens!$M$5667+Sens!$M$5668+Sens!$M$5734-Sens!$M$5735</f>
        <v>0</v>
      </c>
      <c r="N5738" s="41" t="n">
        <f aca="false">Sens!$N$5667+Sens!$N$5668+Sens!$N$5734-Sens!$N$5735</f>
        <v>0</v>
      </c>
      <c r="O5738" s="41" t="n">
        <f aca="false">Sens!$O$5667+Sens!$O$5668+Sens!$O$5734-Sens!$O$5735</f>
        <v>0</v>
      </c>
    </row>
    <row r="5739" customFormat="false" ht="15" hidden="false" customHeight="false" outlineLevel="0" collapsed="false">
      <c r="A5739" s="5" t="s">
        <v>699</v>
      </c>
      <c r="B5739" s="0" t="s">
        <v>52</v>
      </c>
      <c r="G5739" s="13" t="n">
        <f aca="false">Sens!$G$5735/Sens!$D$5735-1</f>
        <v>0.140854504918937</v>
      </c>
      <c r="H5739" s="13" t="n">
        <f aca="false">Sens!$H$5735/Sens!$G$5735-1</f>
        <v>0.152063789793209</v>
      </c>
      <c r="I5739" s="13" t="n">
        <f aca="false">Sens!$I$5735/Sens!$H$5735-1</f>
        <v>0.134273264437417</v>
      </c>
      <c r="J5739" s="13" t="n">
        <f aca="false">Sens!$J$5735/Sens!$I$5735-1</f>
        <v>0.113310421234083</v>
      </c>
      <c r="K5739" s="13" t="n">
        <f aca="false">Sens!$K$5735/Sens!$J$5735-1</f>
        <v>0.0894511729641407</v>
      </c>
      <c r="L5739" s="13" t="n">
        <f aca="false">Sens!$L$5735/Sens!$K$5735-1</f>
        <v>0.077111036745358</v>
      </c>
      <c r="M5739" s="13" t="n">
        <f aca="false">Sens!$M$5735/Sens!$L$5735-1</f>
        <v>0.067211171047677</v>
      </c>
    </row>
    <row r="5740" customFormat="false" ht="17.15" hidden="false" customHeight="false" outlineLevel="0" collapsed="false">
      <c r="A5740" s="0" t="s">
        <v>700</v>
      </c>
      <c r="B5740" s="0" t="s">
        <v>52</v>
      </c>
      <c r="C5740" s="13" t="n">
        <f aca="false">Sens!$C$5734/Sens!$C$5735</f>
        <v>0.168593906504964</v>
      </c>
      <c r="D5740" s="13" t="n">
        <f aca="false">Sens!$D$5734/Sens!$D$5735</f>
        <v>0.179551807444025</v>
      </c>
      <c r="E5740" s="13" t="n">
        <f aca="false">Sens!$E$5734/Sens!$E$5735</f>
        <v>0.208881910369643</v>
      </c>
      <c r="F5740" s="13" t="n">
        <f aca="false">Sens!$F$5734/Sens!$F$5735</f>
        <v>0.199028269699356</v>
      </c>
      <c r="G5740" s="13" t="n">
        <f aca="false">Sens!$G$5734/Sens!$G$5735</f>
        <v>0.203631882529968</v>
      </c>
      <c r="H5740" s="13" t="n">
        <f aca="false">Sens!$H$5734/Sens!$H$5735</f>
        <v>0.234731715958496</v>
      </c>
      <c r="I5740" s="13" t="n">
        <f aca="false">Sens!$I$5734/Sens!$I$5735</f>
        <v>0.262231204480418</v>
      </c>
      <c r="J5740" s="13" t="n">
        <f aca="false">Sens!$J$5734/Sens!$J$5735</f>
        <v>0.284728366013706</v>
      </c>
      <c r="K5740" s="13" t="n">
        <f aca="false">Sens!$K$5734/Sens!$K$5735</f>
        <v>0.300977547004873</v>
      </c>
      <c r="L5740" s="13" t="n">
        <f aca="false">Sens!$L$5734/Sens!$L$5735</f>
        <v>0.308826483090639</v>
      </c>
      <c r="M5740" s="13" t="n">
        <f aca="false">Sens!$M$5734/Sens!$M$5735</f>
        <v>0.310041277551482</v>
      </c>
      <c r="N5740" s="13" t="n">
        <f aca="false">Sens!$N$5734/Sens!$N$5735</f>
        <v>0.185979484737251</v>
      </c>
      <c r="O5740" s="13" t="n">
        <f aca="false">Sens!$O$5734/Sens!$O$5735</f>
        <v>0.174270432341096</v>
      </c>
    </row>
    <row r="5741" customFormat="false" ht="17.15" hidden="false" customHeight="false" outlineLevel="0" collapsed="false">
      <c r="A5741" s="0" t="s">
        <v>701</v>
      </c>
      <c r="B5741" s="0" t="s">
        <v>52</v>
      </c>
      <c r="C5741" s="13" t="n">
        <f aca="false">Sens!$C$5732/Sens!$C$5734</f>
        <v>0.0215795060896058</v>
      </c>
      <c r="D5741" s="13" t="n">
        <f aca="false">Sens!$D$5732/Sens!$D$5734</f>
        <v>0.0676152269462122</v>
      </c>
      <c r="E5741" s="13" t="n">
        <f aca="false">Sens!$E$5732/Sens!$E$5734</f>
        <v>0.106620641395783</v>
      </c>
      <c r="F5741" s="13" t="n">
        <f aca="false">Sens!$F$5732/Sens!$F$5734</f>
        <v>0.172523487401099</v>
      </c>
      <c r="G5741" s="13" t="n">
        <f aca="false">Sens!$G$5732/Sens!$G$5734</f>
        <v>0.140939911795589</v>
      </c>
      <c r="H5741" s="13" t="n">
        <f aca="false">Sens!$H$5732/Sens!$H$5734</f>
        <v>0.272018642937714</v>
      </c>
      <c r="I5741" s="13" t="n">
        <f aca="false">Sens!$I$5732/Sens!$I$5734</f>
        <v>0.362159512436497</v>
      </c>
      <c r="J5741" s="13" t="n">
        <f aca="false">Sens!$J$5732/Sens!$J$5734</f>
        <v>0.422151735934609</v>
      </c>
      <c r="K5741" s="13" t="n">
        <f aca="false">Sens!$K$5732/Sens!$K$5734</f>
        <v>0.458090911050534</v>
      </c>
      <c r="L5741" s="13" t="n">
        <f aca="false">Sens!$L$5732/Sens!$L$5734</f>
        <v>0.470447189602963</v>
      </c>
      <c r="M5741" s="13" t="n">
        <f aca="false">Sens!$M$5732/Sens!$M$5734</f>
        <v>0.466201083289563</v>
      </c>
      <c r="N5741" s="13" t="n">
        <f aca="false">Sens!$N$5732/Sens!$N$5734</f>
        <v>0.0506537999838362</v>
      </c>
      <c r="O5741" s="13" t="n">
        <f aca="false">Sens!$O$5732/Sens!$O$5734</f>
        <v>0.0824881615167056</v>
      </c>
    </row>
    <row r="5744" customFormat="false" ht="19.4" hidden="false" customHeight="false" outlineLevel="0" collapsed="false">
      <c r="A5744" s="31" t="s">
        <v>1252</v>
      </c>
    </row>
    <row r="5745" customFormat="false" ht="17.15" hidden="false" customHeight="false" outlineLevel="0" collapsed="false">
      <c r="A5745" s="6" t="s">
        <v>16</v>
      </c>
      <c r="B5745" s="6" t="s">
        <v>17</v>
      </c>
      <c r="C5745" s="20" t="s">
        <v>497</v>
      </c>
      <c r="D5745" s="20" t="s">
        <v>498</v>
      </c>
      <c r="E5745" s="20" t="s">
        <v>580</v>
      </c>
      <c r="F5745" s="20" t="s">
        <v>581</v>
      </c>
      <c r="G5745" s="20" t="s">
        <v>582</v>
      </c>
      <c r="H5745" s="20" t="s">
        <v>583</v>
      </c>
      <c r="I5745" s="20" t="s">
        <v>584</v>
      </c>
      <c r="J5745" s="20" t="s">
        <v>585</v>
      </c>
      <c r="K5745" s="20" t="s">
        <v>586</v>
      </c>
      <c r="L5745" s="20" t="s">
        <v>587</v>
      </c>
      <c r="M5745" s="20" t="s">
        <v>588</v>
      </c>
      <c r="N5745" s="20" t="s">
        <v>589</v>
      </c>
      <c r="O5745" s="20" t="s">
        <v>590</v>
      </c>
      <c r="P5745" s="6" t="s">
        <v>23</v>
      </c>
      <c r="R5745" s="20" t="n">
        <v>2023</v>
      </c>
      <c r="S5745" s="20" t="n">
        <v>2024</v>
      </c>
      <c r="T5745" s="20" t="n">
        <v>2025</v>
      </c>
      <c r="U5745" s="20" t="n">
        <v>2026</v>
      </c>
      <c r="V5745" s="20" t="n">
        <v>2027</v>
      </c>
      <c r="W5745" s="20" t="n">
        <v>2028</v>
      </c>
      <c r="X5745" s="20" t="n">
        <v>2029</v>
      </c>
      <c r="Y5745" s="20" t="n">
        <v>2030</v>
      </c>
      <c r="Z5745" s="20" t="n">
        <v>2031</v>
      </c>
      <c r="AA5745" s="20" t="n">
        <v>2032</v>
      </c>
    </row>
    <row r="5746" customFormat="false" ht="17.15" hidden="false" customHeight="false" outlineLevel="0" collapsed="false">
      <c r="A5746" s="1" t="s">
        <v>716</v>
      </c>
    </row>
    <row r="5747" customFormat="false" ht="15" hidden="false" customHeight="false" outlineLevel="0" collapsed="false">
      <c r="A5747" s="0" t="s">
        <v>519</v>
      </c>
      <c r="B5747" s="0" t="s">
        <v>86</v>
      </c>
      <c r="C5747" s="38" t="n">
        <f aca="false">Sens!$C$5652</f>
        <v>247.029</v>
      </c>
      <c r="D5747" s="38" t="n">
        <f aca="false">Sens!$D$5652</f>
        <v>269.287</v>
      </c>
      <c r="E5747" s="38" t="n">
        <f aca="false">Sens!$E$5652</f>
        <v>134.686</v>
      </c>
      <c r="F5747" s="38" t="n">
        <f aca="false">Sens!$F$5652</f>
        <v>158.293876822267</v>
      </c>
      <c r="G5747" s="38" t="n">
        <f aca="false">Sens!$G$5652</f>
        <v>292.979876822267</v>
      </c>
      <c r="H5747" s="38" t="n">
        <f aca="false">Sens!$H$5652</f>
        <v>318.184543087396</v>
      </c>
      <c r="I5747" s="38" t="n">
        <f aca="false">Sens!$I$5652</f>
        <v>341.736278761793</v>
      </c>
      <c r="J5747" s="38" t="n">
        <f aca="false">Sens!$J$5652</f>
        <v>362.927192787048</v>
      </c>
      <c r="K5747" s="38" t="n">
        <f aca="false">Sens!$K$5652</f>
        <v>381.0735524264</v>
      </c>
      <c r="L5747" s="38" t="n">
        <f aca="false">Sens!$L$5652</f>
        <v>400.12723004772</v>
      </c>
      <c r="M5747" s="38" t="n">
        <f aca="false">Sens!$M$5652</f>
        <v>420.133591550106</v>
      </c>
      <c r="N5747" s="38" t="n">
        <f aca="false">Sens!$N$5652</f>
        <v>118.892</v>
      </c>
      <c r="O5747" s="38" t="n">
        <f aca="false">Sens!$O$5652</f>
        <v>150.395</v>
      </c>
    </row>
    <row r="5748" customFormat="false" ht="15" hidden="false" customHeight="false" outlineLevel="0" collapsed="false">
      <c r="A5748" s="0" t="s">
        <v>520</v>
      </c>
      <c r="B5748" s="0" t="s">
        <v>86</v>
      </c>
      <c r="C5748" s="38" t="n">
        <f aca="false">Sens!$C$5654</f>
        <v>21.215</v>
      </c>
      <c r="D5748" s="38" t="n">
        <f aca="false">Sens!$D$5654</f>
        <v>22.561</v>
      </c>
      <c r="E5748" s="38" t="n">
        <f aca="false">Sens!$E$5654</f>
        <v>11.579</v>
      </c>
      <c r="F5748" s="38" t="n">
        <f aca="false">Sens!$F$5654</f>
        <v>11.5938724610325</v>
      </c>
      <c r="G5748" s="38" t="n">
        <f aca="false">Sens!$G$5654</f>
        <v>23.1728724610325</v>
      </c>
      <c r="H5748" s="38" t="n">
        <f aca="false">Sens!$H$5654</f>
        <v>24.353392759506</v>
      </c>
      <c r="I5748" s="38" t="n">
        <f aca="false">Sens!$I$5654</f>
        <v>25.4240338872015</v>
      </c>
      <c r="J5748" s="38" t="n">
        <f aca="false">Sens!$J$5654</f>
        <v>26.3642491017174</v>
      </c>
      <c r="K5748" s="38" t="n">
        <f aca="false">Sens!$K$5654</f>
        <v>27.155176574769</v>
      </c>
      <c r="L5748" s="38" t="n">
        <f aca="false">Sens!$L$5654</f>
        <v>27.969831872012</v>
      </c>
      <c r="M5748" s="38" t="n">
        <f aca="false">Sens!$M$5654</f>
        <v>28.8089268281724</v>
      </c>
      <c r="N5748" s="38" t="n">
        <f aca="false">Sens!$N$5654</f>
        <v>11.128</v>
      </c>
      <c r="O5748" s="38" t="n">
        <f aca="false">Sens!$O$5654</f>
        <v>11.433</v>
      </c>
    </row>
    <row r="5749" customFormat="false" ht="15" hidden="false" customHeight="false" outlineLevel="0" collapsed="false">
      <c r="A5749" s="0" t="s">
        <v>521</v>
      </c>
      <c r="B5749" s="0" t="s">
        <v>86</v>
      </c>
      <c r="C5749" s="38" t="n">
        <f aca="false">Sens!$C$5656</f>
        <v>156.146</v>
      </c>
      <c r="D5749" s="38" t="n">
        <f aca="false">Sens!$D$5656</f>
        <v>172.162</v>
      </c>
      <c r="E5749" s="38" t="n">
        <f aca="false">Sens!$E$5656</f>
        <v>88.358</v>
      </c>
      <c r="F5749" s="38" t="n">
        <f aca="false">Sens!$F$5656</f>
        <v>102.004388260171</v>
      </c>
      <c r="G5749" s="38" t="n">
        <f aca="false">Sens!$G$5656</f>
        <v>190.362388260171</v>
      </c>
      <c r="H5749" s="38" t="n">
        <f aca="false">Sens!$H$5656</f>
        <v>210.343106588311</v>
      </c>
      <c r="I5749" s="38" t="n">
        <f aca="false">Sens!$I$5656</f>
        <v>229.969728494648</v>
      </c>
      <c r="J5749" s="38" t="n">
        <f aca="false">Sens!$J$5656</f>
        <v>248.747636972598</v>
      </c>
      <c r="K5749" s="38" t="n">
        <f aca="false">Sens!$K$5656</f>
        <v>266.15997156068</v>
      </c>
      <c r="L5749" s="38" t="n">
        <f aca="false">Sens!$L$5656</f>
        <v>284.791169569927</v>
      </c>
      <c r="M5749" s="38" t="n">
        <f aca="false">Sens!$M$5656</f>
        <v>304.726551439822</v>
      </c>
      <c r="N5749" s="38" t="n">
        <f aca="false">Sens!$N$5656</f>
        <v>76.86</v>
      </c>
      <c r="O5749" s="38" t="n">
        <f aca="false">Sens!$O$5656</f>
        <v>95.302</v>
      </c>
    </row>
    <row r="5750" customFormat="false" ht="15" hidden="false" customHeight="false" outlineLevel="0" collapsed="false">
      <c r="A5750" s="0" t="s">
        <v>522</v>
      </c>
      <c r="B5750" s="0" t="s">
        <v>86</v>
      </c>
      <c r="C5750" s="38" t="n">
        <f aca="false">Sens!$C$5658</f>
        <v>56.214</v>
      </c>
      <c r="D5750" s="38" t="n">
        <f aca="false">Sens!$D$5658</f>
        <v>68.635</v>
      </c>
      <c r="E5750" s="38" t="n">
        <f aca="false">Sens!$E$5658</f>
        <v>37.052</v>
      </c>
      <c r="F5750" s="38" t="n">
        <f aca="false">Sens!$F$5658</f>
        <v>46.1572219944148</v>
      </c>
      <c r="G5750" s="38" t="n">
        <f aca="false">Sens!$G$5658</f>
        <v>83.2092219944148</v>
      </c>
      <c r="H5750" s="38" t="n">
        <f aca="false">Sens!$H$5658</f>
        <v>99.8969223878976</v>
      </c>
      <c r="I5750" s="38" t="n">
        <f aca="false">Sens!$I$5658</f>
        <v>116.583111095496</v>
      </c>
      <c r="J5750" s="38" t="n">
        <f aca="false">Sens!$J$5658</f>
        <v>132.148941941952</v>
      </c>
      <c r="K5750" s="38" t="n">
        <f aca="false">Sens!$K$5658</f>
        <v>145.363836136147</v>
      </c>
      <c r="L5750" s="38" t="n">
        <f aca="false">Sens!$L$5658</f>
        <v>159.900219749762</v>
      </c>
      <c r="M5750" s="38" t="n">
        <f aca="false">Sens!$M$5658</f>
        <v>175.890241724738</v>
      </c>
      <c r="N5750" s="38" t="n">
        <f aca="false">Sens!$N$5658</f>
        <v>29.615</v>
      </c>
      <c r="O5750" s="38" t="n">
        <f aca="false">Sens!$O$5658</f>
        <v>39.02</v>
      </c>
    </row>
    <row r="5751" customFormat="false" ht="15" hidden="false" customHeight="false" outlineLevel="0" collapsed="false">
      <c r="A5751" s="0" t="s">
        <v>523</v>
      </c>
      <c r="B5751" s="0" t="s">
        <v>86</v>
      </c>
      <c r="C5751" s="38" t="n">
        <f aca="false">Sens!$C$5660</f>
        <v>44.374</v>
      </c>
      <c r="D5751" s="38" t="n">
        <f aca="false">Sens!$D$5660</f>
        <v>49.619</v>
      </c>
      <c r="E5751" s="38" t="n">
        <f aca="false">Sens!$E$5660</f>
        <v>27.157</v>
      </c>
      <c r="F5751" s="38" t="n">
        <f aca="false">Sens!$F$5660</f>
        <v>27.7764165988154</v>
      </c>
      <c r="G5751" s="38" t="n">
        <f aca="false">Sens!$G$5660</f>
        <v>54.9334165988154</v>
      </c>
      <c r="H5751" s="38" t="n">
        <f aca="false">Sens!$H$5660</f>
        <v>61.1564112561829</v>
      </c>
      <c r="I5751" s="38" t="n">
        <f aca="false">Sens!$I$5660</f>
        <v>67.2020282103945</v>
      </c>
      <c r="J5751" s="38" t="n">
        <f aca="false">Sens!$J$5660</f>
        <v>72.8757274028885</v>
      </c>
      <c r="K5751" s="38" t="n">
        <f aca="false">Sens!$K$5660</f>
        <v>77.9770283210907</v>
      </c>
      <c r="L5751" s="38" t="n">
        <f aca="false">Sens!$L$5660</f>
        <v>83.4354203035671</v>
      </c>
      <c r="M5751" s="38" t="n">
        <f aca="false">Sens!$M$5660</f>
        <v>89.2758997248168</v>
      </c>
      <c r="N5751" s="38" t="n">
        <f aca="false">Sens!$N$5660</f>
        <v>23.923</v>
      </c>
      <c r="O5751" s="38" t="n">
        <f aca="false">Sens!$O$5660</f>
        <v>25.696</v>
      </c>
    </row>
    <row r="5752" customFormat="false" ht="15" hidden="false" customHeight="false" outlineLevel="0" collapsed="false">
      <c r="A5752" s="0" t="s">
        <v>524</v>
      </c>
      <c r="B5752" s="0" t="s">
        <v>86</v>
      </c>
      <c r="C5752" s="38" t="n">
        <f aca="false">Sens!$C$5662</f>
        <v>5.425</v>
      </c>
      <c r="D5752" s="38" t="n">
        <f aca="false">Sens!$D$5662</f>
        <v>5.935</v>
      </c>
      <c r="E5752" s="38" t="n">
        <f aca="false">Sens!$E$5662</f>
        <v>3.474</v>
      </c>
      <c r="F5752" s="38" t="n">
        <f aca="false">Sens!$F$5662</f>
        <v>3.22246550883619</v>
      </c>
      <c r="G5752" s="38" t="n">
        <f aca="false">Sens!$G$5662</f>
        <v>6.69646550883619</v>
      </c>
      <c r="H5752" s="38" t="n">
        <f aca="false">Sens!$H$5662</f>
        <v>7.16251344209196</v>
      </c>
      <c r="I5752" s="38" t="n">
        <f aca="false">Sens!$I$5662</f>
        <v>7.61421070299826</v>
      </c>
      <c r="J5752" s="38" t="n">
        <f aca="false">Sens!$J$5662</f>
        <v>8.04465753523932</v>
      </c>
      <c r="K5752" s="38" t="n">
        <f aca="false">Sens!$K$5662</f>
        <v>8.44689041200128</v>
      </c>
      <c r="L5752" s="38" t="n">
        <f aca="false">Sens!$L$5662</f>
        <v>8.86923493260135</v>
      </c>
      <c r="M5752" s="38" t="n">
        <f aca="false">Sens!$M$5662</f>
        <v>9.31269667923142</v>
      </c>
      <c r="N5752" s="38" t="n">
        <f aca="false">Sens!$N$5662</f>
        <v>2.811</v>
      </c>
      <c r="O5752" s="38" t="n">
        <f aca="false">Sens!$O$5662</f>
        <v>3.124</v>
      </c>
    </row>
    <row r="5753" customFormat="false" ht="17.15" hidden="false" customHeight="false" outlineLevel="0" collapsed="false">
      <c r="A5753" s="0" t="s">
        <v>717</v>
      </c>
      <c r="B5753" s="0" t="s">
        <v>86</v>
      </c>
      <c r="C5753" s="38" t="n">
        <f aca="false">Sens!$C$5734</f>
        <v>107.556</v>
      </c>
      <c r="D5753" s="38" t="n">
        <f aca="false">Sens!$D$5734</f>
        <v>128.725</v>
      </c>
      <c r="E5753" s="38" t="n">
        <f aca="false">Sens!$E$5734</f>
        <v>79.819</v>
      </c>
      <c r="F5753" s="38" t="n">
        <f aca="false">Sens!$F$5734</f>
        <v>86.7327334389669</v>
      </c>
      <c r="G5753" s="38" t="n">
        <f aca="false">Sens!$G$5734</f>
        <v>166.551733438967</v>
      </c>
      <c r="H5753" s="38" t="n">
        <f aca="false">Sens!$H$5734</f>
        <v>221.182967828978</v>
      </c>
      <c r="I5753" s="38" t="n">
        <f aca="false">Sens!$I$5734</f>
        <v>280.27345865789</v>
      </c>
      <c r="J5753" s="38" t="n">
        <f aca="false">Sens!$J$5734</f>
        <v>338.800945197185</v>
      </c>
      <c r="K5753" s="38" t="n">
        <f aca="false">Sens!$K$5734</f>
        <v>390.17168267</v>
      </c>
      <c r="L5753" s="38" t="n">
        <f aca="false">Sens!$L$5734</f>
        <v>431.217780537388</v>
      </c>
      <c r="M5753" s="38" t="n">
        <f aca="false">Sens!$M$5734</f>
        <v>462.010668928853</v>
      </c>
      <c r="N5753" s="38" t="n">
        <f aca="false">Sens!$N$5734</f>
        <v>60.14</v>
      </c>
      <c r="O5753" s="38" t="n">
        <f aca="false">Sens!$O$5734</f>
        <v>68.585</v>
      </c>
    </row>
    <row r="5754" customFormat="false" ht="15" hidden="false" customHeight="false" outlineLevel="0" collapsed="false">
      <c r="A5754" s="1" t="s">
        <v>512</v>
      </c>
      <c r="B5754" s="8" t="s">
        <v>86</v>
      </c>
      <c r="C5754" s="38" t="n">
        <f aca="false">Sens!$C$5667</f>
        <v>387.497</v>
      </c>
      <c r="D5754" s="38" t="n">
        <f aca="false">Sens!$D$5667</f>
        <v>426.305</v>
      </c>
      <c r="E5754" s="38" t="n">
        <f aca="false">Sens!$E$5667</f>
        <v>220.32</v>
      </c>
      <c r="F5754" s="38" t="n">
        <f aca="false">Sens!$F$5667</f>
        <v>250.639773480586</v>
      </c>
      <c r="G5754" s="38" t="n">
        <f aca="false">Sens!$G$5667</f>
        <v>470.959773480586</v>
      </c>
      <c r="H5754" s="38" t="n">
        <f aca="false">Sens!$H$5667</f>
        <v>521.386990416437</v>
      </c>
      <c r="I5754" s="38" t="n">
        <f aca="false">Sens!$I$5667</f>
        <v>570.143862887555</v>
      </c>
      <c r="J5754" s="38" t="n">
        <f aca="false">Sens!$J$5667</f>
        <v>615.391435791933</v>
      </c>
      <c r="K5754" s="38" t="n">
        <f aca="false">Sens!$K$5667</f>
        <v>655.208227561543</v>
      </c>
      <c r="L5754" s="38" t="n">
        <f aca="false">Sens!$L$5667</f>
        <v>697.807739249767</v>
      </c>
      <c r="M5754" s="38" t="n">
        <f aca="false">Sens!$M$5667</f>
        <v>743.399328463592</v>
      </c>
      <c r="N5754" s="38" t="n">
        <f aca="false">Sens!$N$5667</f>
        <v>192.955</v>
      </c>
      <c r="O5754" s="38" t="n">
        <f aca="false">Sens!$O$5667</f>
        <v>233.35</v>
      </c>
    </row>
    <row r="5755" customFormat="false" ht="15" hidden="false" customHeight="false" outlineLevel="0" collapsed="false">
      <c r="A5755" s="1" t="s">
        <v>515</v>
      </c>
      <c r="B5755" s="8" t="s">
        <v>86</v>
      </c>
      <c r="C5755" s="38" t="n">
        <f aca="false">Sens!$C$5668</f>
        <v>142.906</v>
      </c>
      <c r="D5755" s="38" t="n">
        <f aca="false">Sens!$D$5668</f>
        <v>161.894</v>
      </c>
      <c r="E5755" s="38" t="n">
        <f aca="false">Sens!$E$5668</f>
        <v>81.986</v>
      </c>
      <c r="F5755" s="38" t="n">
        <f aca="false">Sens!$F$5668</f>
        <v>98.408468164951</v>
      </c>
      <c r="G5755" s="38" t="n">
        <f aca="false">Sens!$G$5668</f>
        <v>180.394468164951</v>
      </c>
      <c r="H5755" s="38" t="n">
        <f aca="false">Sens!$H$5668</f>
        <v>199.709899104949</v>
      </c>
      <c r="I5755" s="38" t="n">
        <f aca="false">Sens!$I$5668</f>
        <v>218.385528264976</v>
      </c>
      <c r="J5755" s="38" t="n">
        <f aca="false">Sens!$J$5668</f>
        <v>235.71696994951</v>
      </c>
      <c r="K5755" s="38" t="n">
        <f aca="false">Sens!$K$5668</f>
        <v>250.968227869545</v>
      </c>
      <c r="L5755" s="38" t="n">
        <f aca="false">Sens!$L$5668</f>
        <v>267.285367225822</v>
      </c>
      <c r="M5755" s="38" t="n">
        <f aca="false">Sens!$M$5668</f>
        <v>284.748579483295</v>
      </c>
      <c r="N5755" s="38" t="n">
        <f aca="false">Sens!$N$5668</f>
        <v>70.274</v>
      </c>
      <c r="O5755" s="38" t="n">
        <f aca="false">Sens!$O$5668</f>
        <v>91.62</v>
      </c>
    </row>
    <row r="5756" customFormat="false" ht="15" hidden="false" customHeight="false" outlineLevel="0" collapsed="false">
      <c r="A5756" s="1" t="s">
        <v>516</v>
      </c>
      <c r="B5756" s="8" t="s">
        <v>86</v>
      </c>
      <c r="C5756" s="38" t="n">
        <f aca="false">Sens!$C$5734</f>
        <v>107.556</v>
      </c>
      <c r="D5756" s="38" t="n">
        <f aca="false">Sens!$D$5734</f>
        <v>128.725</v>
      </c>
      <c r="E5756" s="38" t="n">
        <f aca="false">Sens!$E$5734</f>
        <v>79.819</v>
      </c>
      <c r="F5756" s="38" t="n">
        <f aca="false">Sens!$F$5734</f>
        <v>86.7327334389669</v>
      </c>
      <c r="G5756" s="38" t="n">
        <f aca="false">Sens!$G$5734</f>
        <v>166.551733438967</v>
      </c>
      <c r="H5756" s="38" t="n">
        <f aca="false">Sens!$H$5734</f>
        <v>221.182967828978</v>
      </c>
      <c r="I5756" s="38" t="n">
        <f aca="false">Sens!$I$5734</f>
        <v>280.27345865789</v>
      </c>
      <c r="J5756" s="38" t="n">
        <f aca="false">Sens!$J$5734</f>
        <v>338.800945197185</v>
      </c>
      <c r="K5756" s="38" t="n">
        <f aca="false">Sens!$K$5734</f>
        <v>390.17168267</v>
      </c>
      <c r="L5756" s="38" t="n">
        <f aca="false">Sens!$L$5734</f>
        <v>431.217780537388</v>
      </c>
      <c r="M5756" s="38" t="n">
        <f aca="false">Sens!$M$5734</f>
        <v>462.010668928853</v>
      </c>
      <c r="N5756" s="38" t="n">
        <f aca="false">Sens!$N$5734</f>
        <v>60.14</v>
      </c>
      <c r="O5756" s="38" t="n">
        <f aca="false">Sens!$O$5734</f>
        <v>68.585</v>
      </c>
    </row>
    <row r="5757" customFormat="false" ht="17.15" hidden="false" customHeight="false" outlineLevel="0" collapsed="false">
      <c r="A5757" s="0" t="s">
        <v>691</v>
      </c>
      <c r="B5757" s="0" t="s">
        <v>86</v>
      </c>
      <c r="C5757" s="38" t="n">
        <f aca="false">Sens!$C$5732</f>
        <v>2.32100535697364</v>
      </c>
      <c r="D5757" s="38" t="n">
        <f aca="false">Sens!$D$5732</f>
        <v>8.70377008865116</v>
      </c>
      <c r="E5757" s="38" t="n">
        <f aca="false">Sens!$E$5732</f>
        <v>8.51035297557002</v>
      </c>
      <c r="F5757" s="38" t="n">
        <f aca="false">Sens!$F$5732</f>
        <v>14.9634336447205</v>
      </c>
      <c r="G5757" s="38" t="n">
        <f aca="false">Sens!$G$5732</f>
        <v>23.4737866202905</v>
      </c>
      <c r="H5757" s="38" t="n">
        <f aca="false">Sens!$H$5732</f>
        <v>60.1658907497746</v>
      </c>
      <c r="I5757" s="38" t="n">
        <f aca="false">Sens!$I$5732</f>
        <v>101.503699136432</v>
      </c>
      <c r="J5757" s="38" t="n">
        <f aca="false">Sens!$J$5732</f>
        <v>143.025407151278</v>
      </c>
      <c r="K5757" s="38" t="n">
        <f aca="false">Sens!$K$5732</f>
        <v>178.73410158042</v>
      </c>
      <c r="L5757" s="38" t="n">
        <f aca="false">Sens!$L$5732</f>
        <v>202.865192960641</v>
      </c>
      <c r="M5757" s="38" t="n">
        <f aca="false">Sens!$M$5732</f>
        <v>215.389874345967</v>
      </c>
      <c r="N5757" s="38" t="n">
        <f aca="false">Sens!$N$5732</f>
        <v>3.04631953102791</v>
      </c>
      <c r="O5757" s="38" t="n">
        <f aca="false">Sens!$O$5732</f>
        <v>5.65745055762326</v>
      </c>
    </row>
    <row r="5758" customFormat="false" ht="17.15" hidden="false" customHeight="false" outlineLevel="0" collapsed="false">
      <c r="A5758" s="0" t="s">
        <v>693</v>
      </c>
      <c r="B5758" s="0" t="s">
        <v>86</v>
      </c>
      <c r="C5758" s="38" t="n">
        <f aca="false">Sens!$C$5733</f>
        <v>105.234994643026</v>
      </c>
      <c r="D5758" s="38" t="n">
        <f aca="false">Sens!$D$5733</f>
        <v>120.021229911349</v>
      </c>
      <c r="E5758" s="38" t="n">
        <f aca="false">Sens!$E$5733</f>
        <v>71.30864702443</v>
      </c>
      <c r="F5758" s="38" t="n">
        <f aca="false">Sens!$F$5733</f>
        <v>71.7692997942464</v>
      </c>
      <c r="G5758" s="38" t="n">
        <f aca="false">Sens!$G$5733</f>
        <v>143.077946818676</v>
      </c>
      <c r="H5758" s="38" t="n">
        <f aca="false">Sens!$H$5733</f>
        <v>161.017077079203</v>
      </c>
      <c r="I5758" s="38" t="n">
        <f aca="false">Sens!$I$5733</f>
        <v>178.769759521457</v>
      </c>
      <c r="J5758" s="38" t="n">
        <f aca="false">Sens!$J$5733</f>
        <v>195.775538045907</v>
      </c>
      <c r="K5758" s="38" t="n">
        <f aca="false">Sens!$K$5733</f>
        <v>211.43758108958</v>
      </c>
      <c r="L5758" s="38" t="n">
        <f aca="false">Sens!$L$5733</f>
        <v>228.352587576746</v>
      </c>
      <c r="M5758" s="38" t="n">
        <f aca="false">Sens!$M$5733</f>
        <v>246.620794582886</v>
      </c>
      <c r="N5758" s="38" t="n">
        <f aca="false">Sens!$N$5733</f>
        <v>57.0936804689721</v>
      </c>
      <c r="O5758" s="38" t="n">
        <f aca="false">Sens!$O$5733</f>
        <v>62.9275494423768</v>
      </c>
    </row>
    <row r="5759" customFormat="false" ht="15" hidden="false" customHeight="false" outlineLevel="0" collapsed="false">
      <c r="A5759" s="3" t="s">
        <v>517</v>
      </c>
      <c r="B5759" s="8" t="s">
        <v>86</v>
      </c>
      <c r="C5759" s="38" t="n">
        <f aca="false">Sens!$C$5735</f>
        <v>637.959</v>
      </c>
      <c r="D5759" s="38" t="n">
        <f aca="false">Sens!$D$5735</f>
        <v>716.924</v>
      </c>
      <c r="E5759" s="38" t="n">
        <f aca="false">Sens!$E$5735</f>
        <v>382.125</v>
      </c>
      <c r="F5759" s="38" t="n">
        <f aca="false">Sens!$F$5735</f>
        <v>435.780975084504</v>
      </c>
      <c r="G5759" s="38" t="n">
        <f aca="false">Sens!$G$5735</f>
        <v>817.905975084504</v>
      </c>
      <c r="H5759" s="38" t="n">
        <f aca="false">Sens!$H$5735</f>
        <v>942.279857350364</v>
      </c>
      <c r="I5759" s="38" t="n">
        <f aca="false">Sens!$I$5735</f>
        <v>1068.80284981042</v>
      </c>
      <c r="J5759" s="38" t="n">
        <f aca="false">Sens!$J$5735</f>
        <v>1189.90935093863</v>
      </c>
      <c r="K5759" s="38" t="n">
        <f aca="false">Sens!$K$5735</f>
        <v>1296.34813810109</v>
      </c>
      <c r="L5759" s="38" t="n">
        <f aca="false">Sens!$L$5735</f>
        <v>1396.31088701298</v>
      </c>
      <c r="M5759" s="38" t="n">
        <f aca="false">Sens!$M$5735</f>
        <v>1490.15857687574</v>
      </c>
      <c r="N5759" s="38" t="n">
        <f aca="false">Sens!$N$5735</f>
        <v>323.369</v>
      </c>
      <c r="O5759" s="38" t="n">
        <f aca="false">Sens!$O$5735</f>
        <v>393.555</v>
      </c>
    </row>
    <row r="5760" customFormat="false" ht="17.15" hidden="false" customHeight="false" outlineLevel="0" collapsed="false">
      <c r="A5760" s="24" t="s">
        <v>703</v>
      </c>
      <c r="B5760" s="25" t="s">
        <v>86</v>
      </c>
      <c r="C5760" s="41" t="n">
        <f aca="false">Sens!$C$5747+Sens!$C$5748+Sens!$C$5749+Sens!$C$5750+Sens!$C$5751+Sens!$C$5752-(Sens!$C$5754+Sens!$C$5755)</f>
        <v>0</v>
      </c>
      <c r="D5760" s="41" t="n">
        <f aca="false">Sens!$D$5747+Sens!$D$5748+Sens!$D$5749+Sens!$D$5750+Sens!$D$5751+Sens!$D$5752-(Sens!$D$5754+Sens!$D$5755)</f>
        <v>0</v>
      </c>
      <c r="E5760" s="41" t="n">
        <f aca="false">Sens!$E$5747+Sens!$E$5748+Sens!$E$5749+Sens!$E$5750+Sens!$E$5751+Sens!$E$5752-(Sens!$E$5754+Sens!$E$5755)</f>
        <v>0</v>
      </c>
      <c r="F5760" s="41" t="n">
        <f aca="false">Sens!$F$5747+Sens!$F$5748+Sens!$F$5749+Sens!$F$5750+Sens!$F$5751+Sens!$F$5752-(Sens!$F$5754+Sens!$F$5755)</f>
        <v>0</v>
      </c>
      <c r="G5760" s="41" t="n">
        <f aca="false">Sens!$G$5747+Sens!$G$5748+Sens!$G$5749+Sens!$G$5750+Sens!$G$5751+Sens!$G$5752-(Sens!$G$5754+Sens!$G$5755)</f>
        <v>0</v>
      </c>
      <c r="H5760" s="41" t="n">
        <f aca="false">Sens!$H$5747+Sens!$H$5748+Sens!$H$5749+Sens!$H$5750+Sens!$H$5751+Sens!$H$5752-(Sens!$H$5754+Sens!$H$5755)</f>
        <v>0</v>
      </c>
      <c r="I5760" s="41" t="n">
        <f aca="false">Sens!$I$5747+Sens!$I$5748+Sens!$I$5749+Sens!$I$5750+Sens!$I$5751+Sens!$I$5752-(Sens!$I$5754+Sens!$I$5755)</f>
        <v>0</v>
      </c>
      <c r="J5760" s="41" t="n">
        <f aca="false">Sens!$J$5747+Sens!$J$5748+Sens!$J$5749+Sens!$J$5750+Sens!$J$5751+Sens!$J$5752-(Sens!$J$5754+Sens!$J$5755)</f>
        <v>0</v>
      </c>
      <c r="K5760" s="41" t="n">
        <f aca="false">Sens!$K$5747+Sens!$K$5748+Sens!$K$5749+Sens!$K$5750+Sens!$K$5751+Sens!$K$5752-(Sens!$K$5754+Sens!$K$5755)</f>
        <v>0</v>
      </c>
      <c r="L5760" s="41" t="n">
        <f aca="false">Sens!$L$5747+Sens!$L$5748+Sens!$L$5749+Sens!$L$5750+Sens!$L$5751+Sens!$L$5752-(Sens!$L$5754+Sens!$L$5755)</f>
        <v>0</v>
      </c>
      <c r="M5760" s="41" t="n">
        <f aca="false">Sens!$M$5747+Sens!$M$5748+Sens!$M$5749+Sens!$M$5750+Sens!$M$5751+Sens!$M$5752-(Sens!$M$5754+Sens!$M$5755)</f>
        <v>0</v>
      </c>
      <c r="N5760" s="41" t="n">
        <f aca="false">Sens!$N$5747+Sens!$N$5748+Sens!$N$5749+Sens!$N$5750+Sens!$N$5751+Sens!$N$5752-(Sens!$N$5754+Sens!$N$5755)</f>
        <v>0</v>
      </c>
      <c r="O5760" s="41" t="n">
        <f aca="false">Sens!$O$5747+Sens!$O$5748+Sens!$O$5749+Sens!$O$5750+Sens!$O$5751+Sens!$O$5752-(Sens!$O$5754+Sens!$O$5755)</f>
        <v>0</v>
      </c>
    </row>
    <row r="5761" customFormat="false" ht="17.15" hidden="false" customHeight="false" outlineLevel="0" collapsed="false">
      <c r="A5761" s="24" t="s">
        <v>704</v>
      </c>
      <c r="B5761" s="25" t="s">
        <v>86</v>
      </c>
      <c r="C5761" s="41" t="n">
        <f aca="false">Sens!$C$5757+Sens!$C$5758-Sens!$C$5756</f>
        <v>0</v>
      </c>
      <c r="D5761" s="41" t="n">
        <f aca="false">Sens!$D$5757+Sens!$D$5758-Sens!$D$5756</f>
        <v>0</v>
      </c>
      <c r="E5761" s="41" t="n">
        <f aca="false">Sens!$E$5757+Sens!$E$5758-Sens!$E$5756</f>
        <v>0</v>
      </c>
      <c r="F5761" s="41" t="n">
        <f aca="false">Sens!$F$5757+Sens!$F$5758-Sens!$F$5756</f>
        <v>0</v>
      </c>
      <c r="G5761" s="41" t="n">
        <f aca="false">Sens!$G$5757+Sens!$G$5758-Sens!$G$5756</f>
        <v>0</v>
      </c>
      <c r="H5761" s="41" t="n">
        <f aca="false">Sens!$H$5757+Sens!$H$5758-Sens!$H$5756</f>
        <v>0</v>
      </c>
      <c r="I5761" s="41" t="n">
        <f aca="false">Sens!$I$5757+Sens!$I$5758-Sens!$I$5756</f>
        <v>0</v>
      </c>
      <c r="J5761" s="41" t="n">
        <f aca="false">Sens!$J$5757+Sens!$J$5758-Sens!$J$5756</f>
        <v>0</v>
      </c>
      <c r="K5761" s="41" t="n">
        <f aca="false">Sens!$K$5757+Sens!$K$5758-Sens!$K$5756</f>
        <v>0</v>
      </c>
      <c r="L5761" s="41" t="n">
        <f aca="false">Sens!$L$5757+Sens!$L$5758-Sens!$L$5756</f>
        <v>0</v>
      </c>
      <c r="M5761" s="41" t="n">
        <f aca="false">Sens!$M$5757+Sens!$M$5758-Sens!$M$5756</f>
        <v>0</v>
      </c>
      <c r="N5761" s="41" t="n">
        <f aca="false">Sens!$N$5757+Sens!$N$5758-Sens!$N$5756</f>
        <v>0</v>
      </c>
      <c r="O5761" s="41" t="n">
        <f aca="false">Sens!$O$5757+Sens!$O$5758-Sens!$O$5756</f>
        <v>0</v>
      </c>
    </row>
    <row r="5762" customFormat="false" ht="17.15" hidden="false" customHeight="false" outlineLevel="0" collapsed="false">
      <c r="A5762" s="24" t="s">
        <v>763</v>
      </c>
      <c r="B5762" s="25" t="s">
        <v>86</v>
      </c>
      <c r="C5762" s="41" t="n">
        <f aca="false">Sens!$C$5747+Sens!$C$5748+Sens!$C$5749+Sens!$C$5750+Sens!$C$5751+Sens!$C$5752+Sens!$C$5753-Sens!$C$5759</f>
        <v>0</v>
      </c>
      <c r="D5762" s="41" t="n">
        <f aca="false">Sens!$D$5747+Sens!$D$5748+Sens!$D$5749+Sens!$D$5750+Sens!$D$5751+Sens!$D$5752+Sens!$D$5753-Sens!$D$5759</f>
        <v>0</v>
      </c>
      <c r="E5762" s="41" t="n">
        <f aca="false">Sens!$E$5747+Sens!$E$5748+Sens!$E$5749+Sens!$E$5750+Sens!$E$5751+Sens!$E$5752+Sens!$E$5753-Sens!$E$5759</f>
        <v>0</v>
      </c>
      <c r="F5762" s="41" t="n">
        <f aca="false">Sens!$F$5747+Sens!$F$5748+Sens!$F$5749+Sens!$F$5750+Sens!$F$5751+Sens!$F$5752+Sens!$F$5753-Sens!$F$5759</f>
        <v>0</v>
      </c>
      <c r="G5762" s="41" t="n">
        <f aca="false">Sens!$G$5747+Sens!$G$5748+Sens!$G$5749+Sens!$G$5750+Sens!$G$5751+Sens!$G$5752+Sens!$G$5753-Sens!$G$5759</f>
        <v>0</v>
      </c>
      <c r="H5762" s="41" t="n">
        <f aca="false">Sens!$H$5747+Sens!$H$5748+Sens!$H$5749+Sens!$H$5750+Sens!$H$5751+Sens!$H$5752+Sens!$H$5753-Sens!$H$5759</f>
        <v>0</v>
      </c>
      <c r="I5762" s="41" t="n">
        <f aca="false">Sens!$I$5747+Sens!$I$5748+Sens!$I$5749+Sens!$I$5750+Sens!$I$5751+Sens!$I$5752+Sens!$I$5753-Sens!$I$5759</f>
        <v>0</v>
      </c>
      <c r="J5762" s="41" t="n">
        <f aca="false">Sens!$J$5747+Sens!$J$5748+Sens!$J$5749+Sens!$J$5750+Sens!$J$5751+Sens!$J$5752+Sens!$J$5753-Sens!$J$5759</f>
        <v>0</v>
      </c>
      <c r="K5762" s="41" t="n">
        <f aca="false">Sens!$K$5747+Sens!$K$5748+Sens!$K$5749+Sens!$K$5750+Sens!$K$5751+Sens!$K$5752+Sens!$K$5753-Sens!$K$5759</f>
        <v>0</v>
      </c>
      <c r="L5762" s="41" t="n">
        <f aca="false">Sens!$L$5747+Sens!$L$5748+Sens!$L$5749+Sens!$L$5750+Sens!$L$5751+Sens!$L$5752+Sens!$L$5753-Sens!$L$5759</f>
        <v>0</v>
      </c>
      <c r="M5762" s="41" t="n">
        <f aca="false">Sens!$M$5747+Sens!$M$5748+Sens!$M$5749+Sens!$M$5750+Sens!$M$5751+Sens!$M$5752+Sens!$M$5753-Sens!$M$5759</f>
        <v>0</v>
      </c>
      <c r="N5762" s="41" t="n">
        <f aca="false">Sens!$N$5747+Sens!$N$5748+Sens!$N$5749+Sens!$N$5750+Sens!$N$5751+Sens!$N$5752+Sens!$N$5753-Sens!$N$5759</f>
        <v>0</v>
      </c>
      <c r="O5762" s="41" t="n">
        <f aca="false">Sens!$O$5747+Sens!$O$5748+Sens!$O$5749+Sens!$O$5750+Sens!$O$5751+Sens!$O$5752+Sens!$O$5753-Sens!$O$5759</f>
        <v>0</v>
      </c>
    </row>
    <row r="5763" customFormat="false" ht="17.15" hidden="false" customHeight="false" outlineLevel="0" collapsed="false">
      <c r="A5763" s="24" t="s">
        <v>705</v>
      </c>
      <c r="B5763" s="25" t="s">
        <v>86</v>
      </c>
      <c r="C5763" s="41" t="n">
        <f aca="false">Sens!$C$5754+Sens!$C$5755+Sens!$C$5756-Sens!$C$5759</f>
        <v>0</v>
      </c>
      <c r="D5763" s="41" t="n">
        <f aca="false">Sens!$D$5754+Sens!$D$5755+Sens!$D$5756-Sens!$D$5759</f>
        <v>0</v>
      </c>
      <c r="E5763" s="41" t="n">
        <f aca="false">Sens!$E$5754+Sens!$E$5755+Sens!$E$5756-Sens!$E$5759</f>
        <v>0</v>
      </c>
      <c r="F5763" s="41" t="n">
        <f aca="false">Sens!$F$5754+Sens!$F$5755+Sens!$F$5756-Sens!$F$5759</f>
        <v>0</v>
      </c>
      <c r="G5763" s="41" t="n">
        <f aca="false">Sens!$G$5754+Sens!$G$5755+Sens!$G$5756-Sens!$G$5759</f>
        <v>0</v>
      </c>
      <c r="H5763" s="41" t="n">
        <f aca="false">Sens!$H$5754+Sens!$H$5755+Sens!$H$5756-Sens!$H$5759</f>
        <v>0</v>
      </c>
      <c r="I5763" s="41" t="n">
        <f aca="false">Sens!$I$5754+Sens!$I$5755+Sens!$I$5756-Sens!$I$5759</f>
        <v>0</v>
      </c>
      <c r="J5763" s="41" t="n">
        <f aca="false">Sens!$J$5754+Sens!$J$5755+Sens!$J$5756-Sens!$J$5759</f>
        <v>0</v>
      </c>
      <c r="K5763" s="41" t="n">
        <f aca="false">Sens!$K$5754+Sens!$K$5755+Sens!$K$5756-Sens!$K$5759</f>
        <v>0</v>
      </c>
      <c r="L5763" s="41" t="n">
        <f aca="false">Sens!$L$5754+Sens!$L$5755+Sens!$L$5756-Sens!$L$5759</f>
        <v>0</v>
      </c>
      <c r="M5763" s="41" t="n">
        <f aca="false">Sens!$M$5754+Sens!$M$5755+Sens!$M$5756-Sens!$M$5759</f>
        <v>0</v>
      </c>
      <c r="N5763" s="41" t="n">
        <f aca="false">Sens!$N$5754+Sens!$N$5755+Sens!$N$5756-Sens!$N$5759</f>
        <v>0</v>
      </c>
      <c r="O5763" s="41" t="n">
        <f aca="false">Sens!$O$5754+Sens!$O$5755+Sens!$O$5756-Sens!$O$5759</f>
        <v>0</v>
      </c>
    </row>
    <row r="5764" customFormat="false" ht="17.15" hidden="false" customHeight="false" outlineLevel="0" collapsed="false">
      <c r="A5764" s="1" t="s">
        <v>719</v>
      </c>
    </row>
    <row r="5765" customFormat="false" ht="17.15" hidden="false" customHeight="false" outlineLevel="0" collapsed="false">
      <c r="A5765" s="0" t="s">
        <v>720</v>
      </c>
      <c r="B5765" s="0" t="s">
        <v>86</v>
      </c>
      <c r="C5765" s="38" t="n">
        <f aca="false">Sens!$C$5669*m_ad</f>
        <v>20.5341564414228</v>
      </c>
      <c r="D5765" s="38" t="n">
        <f aca="false">Sens!$D$5669*m_ad</f>
        <v>24.8720617299587</v>
      </c>
      <c r="E5765" s="38" t="n">
        <f aca="false">Sens!$E$5669*m_ad</f>
        <v>13.5017112462207</v>
      </c>
      <c r="F5765" s="38" t="n">
        <f aca="false">Sens!$F$5669*m_ad</f>
        <v>16.5719724165257</v>
      </c>
      <c r="G5765" s="38" t="n">
        <f aca="false">Sens!$G$5669*m_ad</f>
        <v>30.0820919220415</v>
      </c>
      <c r="H5765" s="38" t="n">
        <f aca="false">Sens!$H$5669*m_ad</f>
        <v>36.1150883276314</v>
      </c>
      <c r="I5765" s="38" t="n">
        <f aca="false">Sens!$I$5669*m_ad</f>
        <v>42.1475382231996</v>
      </c>
      <c r="J5765" s="38" t="n">
        <f aca="false">Sens!$J$5669*m_ad</f>
        <v>47.7749523864693</v>
      </c>
      <c r="K5765" s="38" t="n">
        <f aca="false">Sens!$K$5669*m_ad</f>
        <v>52.5524476251162</v>
      </c>
      <c r="L5765" s="38" t="n">
        <f aca="false">Sens!$L$5669*m_ad</f>
        <v>57.8076923876279</v>
      </c>
      <c r="M5765" s="38" t="n">
        <f aca="false">Sens!$M$5669*m_ad</f>
        <v>63.5884616263907</v>
      </c>
      <c r="N5765" s="38" t="n">
        <f aca="false">Sens!$N$5669*m_ad</f>
        <v>10.8543555706248</v>
      </c>
      <c r="O5765" s="38" t="n">
        <f aca="false">Sens!$O$5669*m_ad</f>
        <v>14.0094731821399</v>
      </c>
    </row>
    <row r="5766" customFormat="false" ht="17.15" hidden="false" customHeight="false" outlineLevel="0" collapsed="false">
      <c r="A5766" s="0" t="s">
        <v>721</v>
      </c>
      <c r="B5766" s="0" t="s">
        <v>86</v>
      </c>
      <c r="C5766" s="38" t="n">
        <f aca="false">Sens!$C$5667-Sens!$C$5669</f>
        <v>346.428687117154</v>
      </c>
      <c r="D5766" s="38" t="n">
        <f aca="false">Sens!$D$5667-Sens!$D$5669</f>
        <v>376.560876540083</v>
      </c>
      <c r="E5766" s="38" t="n">
        <f aca="false">Sens!$E$5667-Sens!$E$5669</f>
        <v>193.316577507559</v>
      </c>
      <c r="F5766" s="38" t="n">
        <f aca="false">Sens!$F$5667-Sens!$F$5669</f>
        <v>217.495828647535</v>
      </c>
      <c r="G5766" s="38" t="n">
        <f aca="false">Sens!$G$5667-Sens!$G$5669</f>
        <v>410.795589636503</v>
      </c>
      <c r="H5766" s="38" t="n">
        <f aca="false">Sens!$H$5667-Sens!$H$5669</f>
        <v>449.156813761174</v>
      </c>
      <c r="I5766" s="38" t="n">
        <f aca="false">Sens!$I$5667-Sens!$I$5669</f>
        <v>485.848786441156</v>
      </c>
      <c r="J5766" s="38" t="n">
        <f aca="false">Sens!$J$5667-Sens!$J$5669</f>
        <v>519.841531018994</v>
      </c>
      <c r="K5766" s="38" t="n">
        <f aca="false">Sens!$K$5667-Sens!$K$5669</f>
        <v>550.103332311311</v>
      </c>
      <c r="L5766" s="38" t="n">
        <f aca="false">Sens!$L$5667-Sens!$L$5669</f>
        <v>582.192354474511</v>
      </c>
      <c r="M5766" s="38" t="n">
        <f aca="false">Sens!$M$5667-Sens!$M$5669</f>
        <v>616.22240521081</v>
      </c>
      <c r="N5766" s="38" t="n">
        <f aca="false">Sens!$N$5667-Sens!$N$5669</f>
        <v>171.24628885875</v>
      </c>
      <c r="O5766" s="38" t="n">
        <f aca="false">Sens!$O$5667-Sens!$O$5669</f>
        <v>205.33105363572</v>
      </c>
    </row>
    <row r="5767" customFormat="false" ht="17.15" hidden="false" customHeight="false" outlineLevel="0" collapsed="false">
      <c r="A5767" s="0" t="s">
        <v>722</v>
      </c>
      <c r="B5767" s="0" t="s">
        <v>86</v>
      </c>
      <c r="C5767" s="38" t="n">
        <f aca="false">Sens!$C$5718*Sens!$C$5666</f>
        <v>0.123617442257179</v>
      </c>
      <c r="D5767" s="38" t="n">
        <f aca="false">Sens!$D$5718*Sens!$D$5666</f>
        <v>0.600198046024689</v>
      </c>
      <c r="E5767" s="38" t="n">
        <f aca="false">Sens!$E$5718*Sens!$E$5666</f>
        <v>0.970552432202993</v>
      </c>
      <c r="F5767" s="38" t="n">
        <f aca="false">Sens!$F$5718*Sens!$F$5666</f>
        <v>1.20013524388435</v>
      </c>
      <c r="G5767" s="38" t="n">
        <f aca="false">Sens!$G$5718*Sens!$G$5666</f>
        <v>2.17135369594947</v>
      </c>
      <c r="H5767" s="38" t="n">
        <f aca="false">Sens!$H$5718*Sens!$H$5666</f>
        <v>6.14227489656333</v>
      </c>
      <c r="I5767" s="38" t="n">
        <f aca="false">Sens!$I$5718*Sens!$I$5666</f>
        <v>11.6518054969681</v>
      </c>
      <c r="J5767" s="38" t="n">
        <f aca="false">Sens!$J$5718*Sens!$J$5666</f>
        <v>17.3105301010592</v>
      </c>
      <c r="K5767" s="38" t="n">
        <f aca="false">Sens!$K$5718*Sens!$K$5666</f>
        <v>22.8589387121659</v>
      </c>
      <c r="L5767" s="38" t="n">
        <f aca="false">Sens!$L$5718*Sens!$L$5666</f>
        <v>26.7822853944593</v>
      </c>
      <c r="M5767" s="38" t="n">
        <f aca="false">Sens!$M$5718*Sens!$M$5666</f>
        <v>29.3136477388215</v>
      </c>
      <c r="N5767" s="38" t="n">
        <f aca="false">Sens!$N$5718*Sens!$N$5666</f>
        <v>0.25053229484398</v>
      </c>
      <c r="O5767" s="38" t="n">
        <f aca="false">Sens!$O$5718*Sens!$O$5666</f>
        <v>0.349234376756897</v>
      </c>
    </row>
    <row r="5768" customFormat="false" ht="17.15" hidden="false" customHeight="false" outlineLevel="0" collapsed="false">
      <c r="A5768" s="0" t="s">
        <v>723</v>
      </c>
      <c r="B5768" s="0" t="s">
        <v>52</v>
      </c>
      <c r="C5768" s="28" t="n">
        <f aca="false">(Sens!$C$5769-Sens!$C$5765+Sens!$C$5767)/Sens!$C$5766</f>
        <v>0.0131526665379575</v>
      </c>
      <c r="D5768" s="28" t="n">
        <f aca="false">(Sens!$D$5769-Sens!$D$5765+Sens!$D$5767)/Sens!$D$5766</f>
        <v>0.0141999252954702</v>
      </c>
      <c r="E5768" s="28" t="n">
        <f aca="false">(Sens!$E$5769-Sens!$E$5765+Sens!$E$5767)/Sens!$E$5766</f>
        <v>0.0251341154940129</v>
      </c>
      <c r="F5768" s="28" t="n">
        <f aca="false">Sens!$O$5768+(Sens!$E$5768-Sens!$N$5768)</f>
        <v>0.0217171685713677</v>
      </c>
      <c r="G5768" s="28" t="n">
        <f aca="false">(Sens!$G$5769-Sens!$G$5765+Sens!$G$5767)/Sens!$G$5766</f>
        <v>0.0233071940458981</v>
      </c>
      <c r="H5768" s="28" t="n">
        <f aca="false">Sens!$G$5768+step_na</f>
        <v>0.0263071940458981</v>
      </c>
      <c r="I5768" s="28" t="n">
        <f aca="false">Sens!$H$5768+step_na</f>
        <v>0.0293071940458981</v>
      </c>
      <c r="J5768" s="28" t="n">
        <f aca="false">Sens!$I$5768+step_na</f>
        <v>0.0323071940458981</v>
      </c>
      <c r="K5768" s="28" t="n">
        <f aca="false">Sens!$J$5768+step_na</f>
        <v>0.0353071940458981</v>
      </c>
      <c r="L5768" s="28" t="n">
        <f aca="false">Sens!$K$5768</f>
        <v>0.0353071940458981</v>
      </c>
      <c r="M5768" s="28" t="n">
        <f aca="false">Sens!$L$5768</f>
        <v>0.0353071940458981</v>
      </c>
      <c r="N5768" s="28" t="n">
        <f aca="false">(Sens!$N$5769-Sens!$N$5765+Sens!$N$5767)/Sens!$N$5766</f>
        <v>0.0160831323269779</v>
      </c>
      <c r="O5768" s="28" t="n">
        <f aca="false">(Sens!$O$5769-Sens!$O$5765+Sens!$O$5767)/Sens!$O$5766</f>
        <v>0.0126661854043327</v>
      </c>
      <c r="P5768" s="8" t="s">
        <v>724</v>
      </c>
    </row>
    <row r="5769" customFormat="false" ht="17.15" hidden="false" customHeight="false" outlineLevel="0" collapsed="false">
      <c r="A5769" s="1" t="s">
        <v>725</v>
      </c>
      <c r="B5769" s="8" t="s">
        <v>86</v>
      </c>
      <c r="C5769" s="38" t="n">
        <f aca="false">Q!$D$22</f>
        <v>24.967</v>
      </c>
      <c r="D5769" s="38" t="n">
        <f aca="false">Q!$E$22</f>
        <v>29.619</v>
      </c>
      <c r="E5769" s="38" t="n">
        <f aca="false">Q!$P$22</f>
        <v>17.39</v>
      </c>
      <c r="F5769" s="38" t="n">
        <f aca="false">Sens!$F$5765+Sens!$F$5766*Sens!$F$5768-Sens!$F$5767</f>
        <v>20.0952307469491</v>
      </c>
      <c r="G5769" s="38" t="n">
        <f aca="false">Sens!$E$5769+Sens!$F$5769</f>
        <v>37.4852307469491</v>
      </c>
      <c r="H5769" s="38" t="n">
        <f aca="false">Sens!$H$5765+Sens!$H$5766*Sens!$H$5768-Sens!$H$5767</f>
        <v>41.7888688877206</v>
      </c>
      <c r="I5769" s="38" t="n">
        <f aca="false">Sens!$I$5765+Sens!$I$5766*Sens!$I$5768-Sens!$I$5767</f>
        <v>44.7345973874265</v>
      </c>
      <c r="J5769" s="38" t="n">
        <f aca="false">Sens!$J$5765+Sens!$J$5766*Sens!$J$5768-Sens!$J$5767</f>
        <v>47.2590435011574</v>
      </c>
      <c r="K5769" s="38" t="n">
        <f aca="false">Sens!$K$5765+Sens!$K$5766*Sens!$K$5768-Sens!$K$5767</f>
        <v>49.1161140121609</v>
      </c>
      <c r="L5769" s="38" t="n">
        <f aca="false">Sens!$L$5765+Sens!$L$5766*Sens!$L$5768-Sens!$L$5767</f>
        <v>51.5809854246384</v>
      </c>
      <c r="M5769" s="38" t="n">
        <f aca="false">Sens!$M$5765+Sens!$M$5766*Sens!$M$5768-Sens!$M$5767</f>
        <v>56.0318979237773</v>
      </c>
      <c r="N5769" s="38" t="n">
        <f aca="false">Q!$N$22</f>
        <v>13.358</v>
      </c>
      <c r="O5769" s="38" t="n">
        <f aca="false">Q!$O$22</f>
        <v>16.261</v>
      </c>
    </row>
    <row r="5770" customFormat="false" ht="17.15" hidden="false" customHeight="false" outlineLevel="0" collapsed="false">
      <c r="A5770" s="0" t="s">
        <v>726</v>
      </c>
      <c r="B5770" s="0" t="s">
        <v>86</v>
      </c>
      <c r="C5770" s="38" t="n">
        <f aca="false">Sens!$C$5670*m_ad</f>
        <v>7.57284355857716</v>
      </c>
      <c r="D5770" s="38" t="n">
        <f aca="false">Sens!$D$5670*m_ad</f>
        <v>9.44543827004127</v>
      </c>
      <c r="E5770" s="38" t="n">
        <f aca="false">Sens!$E$5670*m_ad</f>
        <v>5.02428875377928</v>
      </c>
      <c r="F5770" s="38" t="n">
        <f aca="false">Sens!$F$5670*m_ad</f>
        <v>6.50663858068173</v>
      </c>
      <c r="G5770" s="38" t="n">
        <f aca="false">Sens!$G$5670*m_ad</f>
        <v>11.5225190751659</v>
      </c>
      <c r="H5770" s="38" t="n">
        <f aca="false">Sens!$H$5670*m_ad</f>
        <v>13.8333728663174</v>
      </c>
      <c r="I5770" s="38" t="n">
        <f aca="false">Sens!$I$5670*m_ad</f>
        <v>16.1440173245485</v>
      </c>
      <c r="J5770" s="38" t="n">
        <f aca="false">Sens!$J$5670*m_ad</f>
        <v>18.2995185845066</v>
      </c>
      <c r="K5770" s="38" t="n">
        <f aca="false">Sens!$K$5670*m_ad</f>
        <v>20.1294704429572</v>
      </c>
      <c r="L5770" s="38" t="n">
        <f aca="false">Sens!$L$5670*m_ad</f>
        <v>22.142417487253</v>
      </c>
      <c r="M5770" s="38" t="n">
        <f aca="false">Sens!$M$5670*m_ad</f>
        <v>24.3566592359783</v>
      </c>
      <c r="N5770" s="38" t="n">
        <f aca="false">Sens!$N$5670*m_ad</f>
        <v>3.95314442937518</v>
      </c>
      <c r="O5770" s="38" t="n">
        <f aca="false">Sens!$O$5670*m_ad</f>
        <v>5.50052681786011</v>
      </c>
    </row>
    <row r="5771" customFormat="false" ht="17.15" hidden="false" customHeight="false" outlineLevel="0" collapsed="false">
      <c r="A5771" s="0" t="s">
        <v>727</v>
      </c>
      <c r="B5771" s="0" t="s">
        <v>86</v>
      </c>
      <c r="C5771" s="38" t="n">
        <f aca="false">Sens!$C$5668-Sens!$C$5670</f>
        <v>127.760312882846</v>
      </c>
      <c r="D5771" s="38" t="n">
        <f aca="false">Sens!$D$5668-Sens!$D$5670</f>
        <v>143.003123459917</v>
      </c>
      <c r="E5771" s="38" t="n">
        <f aca="false">Sens!$E$5668-Sens!$E$5670</f>
        <v>71.9374224924414</v>
      </c>
      <c r="F5771" s="38" t="n">
        <f aca="false">Sens!$F$5668-Sens!$F$5670</f>
        <v>85.3951910035875</v>
      </c>
      <c r="G5771" s="38" t="n">
        <f aca="false">Sens!$G$5668-Sens!$G$5670</f>
        <v>157.349430014619</v>
      </c>
      <c r="H5771" s="38" t="n">
        <f aca="false">Sens!$H$5668-Sens!$H$5670</f>
        <v>172.043153372315</v>
      </c>
      <c r="I5771" s="38" t="n">
        <f aca="false">Sens!$I$5668-Sens!$I$5670</f>
        <v>186.097493615879</v>
      </c>
      <c r="J5771" s="38" t="n">
        <f aca="false">Sens!$J$5668-Sens!$J$5670</f>
        <v>199.117932780497</v>
      </c>
      <c r="K5771" s="38" t="n">
        <f aca="false">Sens!$K$5668-Sens!$K$5670</f>
        <v>210.70928698363</v>
      </c>
      <c r="L5771" s="38" t="n">
        <f aca="false">Sens!$L$5668-Sens!$L$5670</f>
        <v>223.000532251316</v>
      </c>
      <c r="M5771" s="38" t="n">
        <f aca="false">Sens!$M$5668-Sens!$M$5670</f>
        <v>236.035261011339</v>
      </c>
      <c r="N5771" s="38" t="n">
        <f aca="false">Sens!$N$5668-Sens!$N$5670</f>
        <v>62.3677111412496</v>
      </c>
      <c r="O5771" s="38" t="n">
        <f aca="false">Sens!$O$5668-Sens!$O$5670</f>
        <v>80.6189463642798</v>
      </c>
    </row>
    <row r="5772" customFormat="false" ht="17.15" hidden="false" customHeight="false" outlineLevel="0" collapsed="false">
      <c r="A5772" s="0" t="s">
        <v>728</v>
      </c>
      <c r="B5772" s="0" t="s">
        <v>86</v>
      </c>
      <c r="C5772" s="38" t="n">
        <f aca="false">Sens!$C$5718*(1-Sens!$C$5666)</f>
        <v>0.0455891896019953</v>
      </c>
      <c r="D5772" s="38" t="n">
        <f aca="false">Sens!$D$5718*(1-Sens!$D$5666)</f>
        <v>0.227931791705753</v>
      </c>
      <c r="E5772" s="38" t="n">
        <f aca="false">Sens!$E$5718*(1-Sens!$E$5666)</f>
        <v>0.361164268820781</v>
      </c>
      <c r="F5772" s="38" t="n">
        <f aca="false">Sens!$F$5718*(1-Sens!$F$5666)</f>
        <v>0.471208018190203</v>
      </c>
      <c r="G5772" s="38" t="n">
        <f aca="false">Sens!$G$5718*(1-Sens!$G$5666)</f>
        <v>0.83170626714885</v>
      </c>
      <c r="H5772" s="38" t="n">
        <f aca="false">Sens!$H$5718*(1-Sens!$H$5666)</f>
        <v>2.35271136874315</v>
      </c>
      <c r="I5772" s="38" t="n">
        <f aca="false">Sens!$I$5718*(1-Sens!$I$5666)</f>
        <v>4.46305900024741</v>
      </c>
      <c r="J5772" s="38" t="n">
        <f aca="false">Sens!$J$5718*(1-Sens!$J$5666)</f>
        <v>6.63055328092195</v>
      </c>
      <c r="K5772" s="38" t="n">
        <f aca="false">Sens!$K$5718*(1-Sens!$K$5666)</f>
        <v>8.75579258355993</v>
      </c>
      <c r="L5772" s="38" t="n">
        <f aca="false">Sens!$L$5718*(1-Sens!$L$5666)</f>
        <v>10.2585749399988</v>
      </c>
      <c r="M5772" s="38" t="n">
        <f aca="false">Sens!$M$5718*(1-Sens!$M$5666)</f>
        <v>11.2281774189307</v>
      </c>
      <c r="N5772" s="38" t="n">
        <f aca="false">Sens!$N$5718*(1-Sens!$N$5666)</f>
        <v>0.0912435878202994</v>
      </c>
      <c r="O5772" s="38" t="n">
        <f aca="false">Sens!$O$5718*(1-Sens!$O$5666)</f>
        <v>0.137119578309265</v>
      </c>
    </row>
    <row r="5773" customFormat="false" ht="17.15" hidden="false" customHeight="false" outlineLevel="0" collapsed="false">
      <c r="A5773" s="0" t="s">
        <v>729</v>
      </c>
      <c r="B5773" s="0" t="s">
        <v>52</v>
      </c>
      <c r="C5773" s="28" t="n">
        <f aca="false">(Sens!$C$5774-Sens!$C$5770+Sens!$C$5772)/Sens!$C$5771</f>
        <v>-0.0292364215826579</v>
      </c>
      <c r="D5773" s="28" t="n">
        <f aca="false">(Sens!$D$5774-Sens!$D$5770+Sens!$D$5772)/Sens!$D$5771</f>
        <v>-0.0312406216748665</v>
      </c>
      <c r="E5773" s="28" t="n">
        <f aca="false">(Sens!$E$5774-Sens!$E$5770+Sens!$E$5772)/Sens!$E$5771</f>
        <v>-0.0211590078184749</v>
      </c>
      <c r="F5773" s="28" t="n">
        <f aca="false">Sens!$O$5773+(Sens!$E$5773-Sens!$N$5773)</f>
        <v>-0.0382539955245511</v>
      </c>
      <c r="G5773" s="28" t="n">
        <f aca="false">(Sens!$G$5774-Sens!$G$5770+Sens!$G$5772)/Sens!$G$5771</f>
        <v>-0.030385172031133</v>
      </c>
      <c r="H5773" s="28" t="n">
        <f aca="false">Sens!$G$5773+step_in</f>
        <v>-0.030385172031133</v>
      </c>
      <c r="I5773" s="28" t="n">
        <f aca="false">Sens!$H$5773+step_in</f>
        <v>-0.030385172031133</v>
      </c>
      <c r="J5773" s="28" t="n">
        <f aca="false">Sens!$I$5773+step_in</f>
        <v>-0.030385172031133</v>
      </c>
      <c r="K5773" s="28" t="n">
        <f aca="false">Sens!$J$5773+step_in</f>
        <v>-0.030385172031133</v>
      </c>
      <c r="L5773" s="28" t="n">
        <f aca="false">Sens!$K$5773</f>
        <v>-0.030385172031133</v>
      </c>
      <c r="M5773" s="28" t="n">
        <f aca="false">Sens!$L$5773</f>
        <v>-0.030385172031133</v>
      </c>
      <c r="N5773" s="28" t="n">
        <f aca="false">(Sens!$N$5774-Sens!$N$5770+Sens!$N$5772)/Sens!$N$5771</f>
        <v>-0.0216602600421776</v>
      </c>
      <c r="O5773" s="28" t="n">
        <f aca="false">(Sens!$O$5774-Sens!$O$5770+Sens!$O$5772)/Sens!$O$5771</f>
        <v>-0.0387552477482538</v>
      </c>
      <c r="P5773" s="8" t="s">
        <v>724</v>
      </c>
    </row>
    <row r="5774" customFormat="false" ht="17.15" hidden="false" customHeight="false" outlineLevel="0" collapsed="false">
      <c r="A5774" s="1" t="s">
        <v>730</v>
      </c>
      <c r="B5774" s="8" t="s">
        <v>86</v>
      </c>
      <c r="C5774" s="38" t="n">
        <f aca="false">Q!$D$23</f>
        <v>3.792</v>
      </c>
      <c r="D5774" s="38" t="n">
        <f aca="false">Q!$E$23</f>
        <v>4.75</v>
      </c>
      <c r="E5774" s="38" t="n">
        <f aca="false">Q!$P$23</f>
        <v>3.141</v>
      </c>
      <c r="F5774" s="38" t="n">
        <f aca="false">Sens!$F$5770+Sens!$F$5771*Sens!$F$5773-Sens!$F$5772</f>
        <v>2.7687233080221</v>
      </c>
      <c r="G5774" s="38" t="n">
        <f aca="false">Sens!$E$5774+Sens!$F$5774</f>
        <v>5.9097233080221</v>
      </c>
      <c r="H5774" s="38" t="n">
        <f aca="false">Sens!$H$5770+Sens!$H$5771*Sens!$H$5773-Sens!$H$5772</f>
        <v>6.25310068557783</v>
      </c>
      <c r="I5774" s="38" t="n">
        <f aca="false">Sens!$I$5770+Sens!$I$5771*Sens!$I$5773-Sens!$I$5772</f>
        <v>6.02635396621997</v>
      </c>
      <c r="J5774" s="38" t="n">
        <f aca="false">Sens!$J$5770+Sens!$J$5771*Sens!$J$5773-Sens!$J$5772</f>
        <v>5.61873266156566</v>
      </c>
      <c r="K5774" s="38" t="n">
        <f aca="false">Sens!$K$5770+Sens!$K$5771*Sens!$K$5773-Sens!$K$5772</f>
        <v>4.97123992584234</v>
      </c>
      <c r="L5774" s="38" t="n">
        <f aca="false">Sens!$L$5770+Sens!$L$5771*Sens!$L$5773-Sens!$L$5772</f>
        <v>5.10793301176375</v>
      </c>
      <c r="M5774" s="38" t="n">
        <f aca="false">Sens!$M$5770+Sens!$M$5771*Sens!$M$5773-Sens!$M$5772</f>
        <v>5.95650980580469</v>
      </c>
      <c r="N5774" s="38" t="n">
        <f aca="false">Q!$N$23</f>
        <v>2.511</v>
      </c>
      <c r="O5774" s="38" t="n">
        <f aca="false">Q!$O$23</f>
        <v>2.239</v>
      </c>
    </row>
    <row r="5775" customFormat="false" ht="17.15" hidden="false" customHeight="false" outlineLevel="0" collapsed="false">
      <c r="A5775" s="0" t="s">
        <v>731</v>
      </c>
      <c r="B5775" s="0" t="s">
        <v>86</v>
      </c>
      <c r="C5775" s="38" t="n">
        <f aca="false">Sens!$C$5715</f>
        <v>1.64417882953695</v>
      </c>
      <c r="D5775" s="38" t="n">
        <f aca="false">Sens!$D$5715</f>
        <v>5.39125073772939</v>
      </c>
      <c r="E5775" s="38" t="n">
        <f aca="false">Sens!$E$5715</f>
        <v>3.18348617147493</v>
      </c>
      <c r="F5775" s="38" t="n">
        <f aca="false">Sens!$F$5715</f>
        <v>8.27806059642226</v>
      </c>
      <c r="G5775" s="38" t="n">
        <f aca="false">Sens!$G$5715</f>
        <v>11.4615467678972</v>
      </c>
      <c r="H5775" s="38" t="n">
        <f aca="false">Sens!$H$5715</f>
        <v>26.1859456885487</v>
      </c>
      <c r="I5775" s="38" t="n">
        <f aca="false">Sens!$I$5715</f>
        <v>37.04424114757</v>
      </c>
      <c r="J5775" s="38" t="n">
        <f aca="false">Sens!$J$5715</f>
        <v>47.2610736233534</v>
      </c>
      <c r="K5775" s="38" t="n">
        <f aca="false">Sens!$K$5715</f>
        <v>52.2751763975167</v>
      </c>
      <c r="L5775" s="38" t="n">
        <f aca="false">Sens!$L$5715</f>
        <v>54.701751622809</v>
      </c>
      <c r="M5775" s="38" t="n">
        <f aca="false">Sens!$M$5715</f>
        <v>53.2225737149584</v>
      </c>
      <c r="N5775" s="38" t="n">
        <f aca="false">Sens!$N$5715</f>
        <v>1.67921600037079</v>
      </c>
      <c r="O5775" s="38" t="n">
        <f aca="false">Sens!$O$5715</f>
        <v>3.71203473735861</v>
      </c>
    </row>
    <row r="5776" customFormat="false" ht="17.15" hidden="false" customHeight="false" outlineLevel="0" collapsed="false">
      <c r="A5776" s="0" t="s">
        <v>649</v>
      </c>
      <c r="B5776" s="0" t="s">
        <v>86</v>
      </c>
      <c r="C5776" s="38" t="n">
        <f aca="false">Sens!$C$5720</f>
        <v>38.1898211704631</v>
      </c>
      <c r="D5776" s="38" t="n">
        <f aca="false">Sens!$D$5720</f>
        <v>40.2147492622706</v>
      </c>
      <c r="E5776" s="38" t="n">
        <f aca="false">Sens!$E$5720</f>
        <v>27.5985138285251</v>
      </c>
      <c r="F5776" s="38" t="n">
        <f aca="false">Sens!$F$5720</f>
        <v>25.5484769754606</v>
      </c>
      <c r="G5776" s="38" t="n">
        <f aca="false">Sens!$G$5720</f>
        <v>53.1469908039857</v>
      </c>
      <c r="H5776" s="38" t="n">
        <f aca="false">Sens!$H$5720</f>
        <v>57.3189525076539</v>
      </c>
      <c r="I5776" s="38" t="n">
        <f aca="false">Sens!$I$5720</f>
        <v>63.6385627021087</v>
      </c>
      <c r="J5776" s="38" t="n">
        <f aca="false">Sens!$J$5720</f>
        <v>69.6922896066105</v>
      </c>
      <c r="K5776" s="38" t="n">
        <f aca="false">Sens!$K$5720</f>
        <v>75.2676727751394</v>
      </c>
      <c r="L5776" s="38" t="n">
        <f aca="false">Sens!$L$5720</f>
        <v>81.2890865971505</v>
      </c>
      <c r="M5776" s="38" t="n">
        <f aca="false">Sens!$M$5720</f>
        <v>87.7922135249226</v>
      </c>
      <c r="N5776" s="38" t="n">
        <f aca="false">Sens!$N$5720</f>
        <v>20.0277839996292</v>
      </c>
      <c r="O5776" s="38" t="n">
        <f aca="false">Sens!$O$5720</f>
        <v>20.1869652626414</v>
      </c>
    </row>
    <row r="5777" customFormat="false" ht="17.15" hidden="false" customHeight="false" outlineLevel="0" collapsed="false">
      <c r="A5777" s="1" t="s">
        <v>732</v>
      </c>
      <c r="B5777" s="8" t="s">
        <v>86</v>
      </c>
      <c r="C5777" s="38" t="n">
        <f aca="false">Q!$D$24</f>
        <v>39.834</v>
      </c>
      <c r="D5777" s="38" t="n">
        <f aca="false">Q!$E$24</f>
        <v>45.606</v>
      </c>
      <c r="E5777" s="38" t="n">
        <f aca="false">Q!$P$24</f>
        <v>30.782</v>
      </c>
      <c r="F5777" s="38" t="n">
        <f aca="false">Sens!$F$5775+Sens!$F$5776</f>
        <v>33.8265375718829</v>
      </c>
      <c r="G5777" s="38" t="n">
        <f aca="false">Sens!$G$5775+Sens!$G$5776</f>
        <v>64.6085375718829</v>
      </c>
      <c r="H5777" s="38" t="n">
        <f aca="false">Sens!$H$5775+Sens!$H$5776</f>
        <v>83.5048981962026</v>
      </c>
      <c r="I5777" s="38" t="n">
        <f aca="false">Sens!$I$5775+Sens!$I$5776</f>
        <v>100.682803849679</v>
      </c>
      <c r="J5777" s="38" t="n">
        <f aca="false">Sens!$J$5775+Sens!$J$5776</f>
        <v>116.953363229964</v>
      </c>
      <c r="K5777" s="38" t="n">
        <f aca="false">Sens!$K$5775+Sens!$K$5776</f>
        <v>127.542849172656</v>
      </c>
      <c r="L5777" s="38" t="n">
        <f aca="false">Sens!$L$5775+Sens!$L$5776</f>
        <v>135.99083821996</v>
      </c>
      <c r="M5777" s="38" t="n">
        <f aca="false">Sens!$M$5775+Sens!$M$5776</f>
        <v>141.014787239881</v>
      </c>
      <c r="N5777" s="38" t="n">
        <f aca="false">Q!$N$24</f>
        <v>21.707</v>
      </c>
      <c r="O5777" s="38" t="n">
        <f aca="false">Q!$O$24</f>
        <v>23.899</v>
      </c>
    </row>
    <row r="5778" customFormat="false" ht="17.15" hidden="false" customHeight="false" outlineLevel="0" collapsed="false">
      <c r="A5778" s="5" t="s">
        <v>733</v>
      </c>
      <c r="B5778" s="0" t="s">
        <v>86</v>
      </c>
      <c r="C5778" s="38" t="n">
        <f aca="false">Q!$D$26</f>
        <v>0</v>
      </c>
      <c r="D5778" s="38" t="n">
        <f aca="false">Q!$E$26</f>
        <v>0</v>
      </c>
      <c r="E5778" s="38" t="n">
        <f aca="false">Q!$P$26</f>
        <v>0</v>
      </c>
      <c r="F5778" s="39" t="n">
        <v>0</v>
      </c>
      <c r="G5778" s="38" t="n">
        <f aca="false">Sens!$E$5778+Sens!$F$5778</f>
        <v>0</v>
      </c>
      <c r="H5778" s="39" t="n">
        <v>0</v>
      </c>
      <c r="I5778" s="39" t="n">
        <v>0</v>
      </c>
      <c r="J5778" s="39" t="n">
        <v>0</v>
      </c>
      <c r="K5778" s="39" t="n">
        <v>0</v>
      </c>
      <c r="L5778" s="39" t="n">
        <v>0</v>
      </c>
      <c r="M5778" s="39" t="n">
        <v>0</v>
      </c>
      <c r="N5778" s="38" t="n">
        <f aca="false">Q!$N$26</f>
        <v>0</v>
      </c>
      <c r="O5778" s="38" t="n">
        <f aca="false">Q!$O$26</f>
        <v>0</v>
      </c>
    </row>
    <row r="5779" customFormat="false" ht="15" hidden="false" customHeight="false" outlineLevel="0" collapsed="false">
      <c r="A5779" s="3" t="s">
        <v>534</v>
      </c>
      <c r="B5779" s="8" t="s">
        <v>86</v>
      </c>
      <c r="C5779" s="38" t="n">
        <f aca="false">Q!$D$25</f>
        <v>68.593</v>
      </c>
      <c r="D5779" s="38" t="n">
        <f aca="false">Q!$E$25</f>
        <v>79.975</v>
      </c>
      <c r="E5779" s="38" t="n">
        <f aca="false">Q!$P$25</f>
        <v>51.313</v>
      </c>
      <c r="F5779" s="38" t="n">
        <f aca="false">Sens!$F$5769+Sens!$F$5774+Sens!$F$5777+Sens!$F$5778</f>
        <v>56.6904916268541</v>
      </c>
      <c r="G5779" s="38" t="n">
        <f aca="false">Sens!$G$5769+Sens!$G$5774+Sens!$G$5777+Sens!$G$5778</f>
        <v>108.003491626854</v>
      </c>
      <c r="H5779" s="38" t="n">
        <f aca="false">Sens!$H$5769+Sens!$H$5774+Sens!$H$5777+Sens!$H$5778</f>
        <v>131.546867769501</v>
      </c>
      <c r="I5779" s="38" t="n">
        <f aca="false">Sens!$I$5769+Sens!$I$5774+Sens!$I$5777+Sens!$I$5778</f>
        <v>151.443755203325</v>
      </c>
      <c r="J5779" s="38" t="n">
        <f aca="false">Sens!$J$5769+Sens!$J$5774+Sens!$J$5777+Sens!$J$5778</f>
        <v>169.831139392687</v>
      </c>
      <c r="K5779" s="38" t="n">
        <f aca="false">Sens!$K$5769+Sens!$K$5774+Sens!$K$5777+Sens!$K$5778</f>
        <v>181.630203110659</v>
      </c>
      <c r="L5779" s="38" t="n">
        <f aca="false">Sens!$L$5769+Sens!$L$5774+Sens!$L$5777+Sens!$L$5778</f>
        <v>192.679756656362</v>
      </c>
      <c r="M5779" s="38" t="n">
        <f aca="false">Sens!$M$5769+Sens!$M$5774+Sens!$M$5777+Sens!$M$5778</f>
        <v>203.003194969463</v>
      </c>
      <c r="N5779" s="38" t="n">
        <f aca="false">Q!$N$25</f>
        <v>37.576</v>
      </c>
      <c r="O5779" s="38" t="n">
        <f aca="false">Q!$O$25</f>
        <v>42.399</v>
      </c>
    </row>
    <row r="5780" customFormat="false" ht="17.15" hidden="false" customHeight="false" outlineLevel="0" collapsed="false">
      <c r="A5780" s="24" t="s">
        <v>764</v>
      </c>
      <c r="B5780" s="25" t="s">
        <v>86</v>
      </c>
      <c r="C5780" s="41" t="n">
        <f aca="false">Sens!$C$5769+Sens!$C$5774+Sens!$C$5777+Sens!$C$5778-Sens!$C$5779</f>
        <v>0</v>
      </c>
      <c r="D5780" s="41" t="n">
        <f aca="false">Sens!$D$5769+Sens!$D$5774+Sens!$D$5777+Sens!$D$5778-Sens!$D$5779</f>
        <v>0</v>
      </c>
      <c r="E5780" s="41" t="n">
        <f aca="false">Sens!$E$5769+Sens!$E$5774+Sens!$E$5777+Sens!$E$5778-Sens!$E$5779</f>
        <v>0</v>
      </c>
      <c r="F5780" s="41" t="n">
        <f aca="false">Sens!$F$5769+Sens!$F$5774+Sens!$F$5777+Sens!$F$5778-Sens!$F$5779</f>
        <v>0</v>
      </c>
      <c r="G5780" s="41" t="n">
        <f aca="false">Sens!$G$5769+Sens!$G$5774+Sens!$G$5777+Sens!$G$5778-Sens!$G$5779</f>
        <v>0</v>
      </c>
      <c r="H5780" s="41" t="n">
        <f aca="false">Sens!$H$5769+Sens!$H$5774+Sens!$H$5777+Sens!$H$5778-Sens!$H$5779</f>
        <v>0</v>
      </c>
      <c r="I5780" s="41" t="n">
        <f aca="false">Sens!$I$5769+Sens!$I$5774+Sens!$I$5777+Sens!$I$5778-Sens!$I$5779</f>
        <v>0</v>
      </c>
      <c r="J5780" s="41" t="n">
        <f aca="false">Sens!$J$5769+Sens!$J$5774+Sens!$J$5777+Sens!$J$5778-Sens!$J$5779</f>
        <v>0</v>
      </c>
      <c r="K5780" s="41" t="n">
        <f aca="false">Sens!$K$5769+Sens!$K$5774+Sens!$K$5777+Sens!$K$5778-Sens!$K$5779</f>
        <v>0</v>
      </c>
      <c r="L5780" s="41" t="n">
        <f aca="false">Sens!$L$5769+Sens!$L$5774+Sens!$L$5777+Sens!$L$5778-Sens!$L$5779</f>
        <v>0</v>
      </c>
      <c r="M5780" s="41" t="n">
        <f aca="false">Sens!$M$5769+Sens!$M$5774+Sens!$M$5777+Sens!$M$5778-Sens!$M$5779</f>
        <v>0</v>
      </c>
      <c r="N5780" s="41" t="n">
        <f aca="false">Sens!$N$5769+Sens!$N$5774+Sens!$N$5777+Sens!$N$5778-Sens!$N$5779</f>
        <v>0</v>
      </c>
      <c r="O5780" s="41" t="n">
        <f aca="false">Sens!$O$5769+Sens!$O$5774+Sens!$O$5777+Sens!$O$5778-Sens!$O$5779</f>
        <v>0</v>
      </c>
    </row>
    <row r="5781" customFormat="false" ht="17.15" hidden="false" customHeight="false" outlineLevel="0" collapsed="false">
      <c r="A5781" s="5" t="s">
        <v>735</v>
      </c>
      <c r="B5781" s="0" t="s">
        <v>86</v>
      </c>
      <c r="C5781" s="38" t="n">
        <f aca="false">Sens!$C$5717</f>
        <v>0</v>
      </c>
      <c r="D5781" s="38" t="n">
        <f aca="false">Sens!$D$5717</f>
        <v>0</v>
      </c>
      <c r="E5781" s="38" t="n">
        <f aca="false">Sens!$E$5717</f>
        <v>0</v>
      </c>
      <c r="F5781" s="38" t="n">
        <f aca="false">Sens!$F$5717</f>
        <v>3.77122048175818</v>
      </c>
      <c r="G5781" s="38" t="n">
        <f aca="false">Sens!$G$5717</f>
        <v>3.77122048175818</v>
      </c>
      <c r="H5781" s="38" t="n">
        <f aca="false">Sens!$H$5717</f>
        <v>15.1635543609893</v>
      </c>
      <c r="I5781" s="38" t="n">
        <f aca="false">Sens!$I$5717</f>
        <v>25.5818843619889</v>
      </c>
      <c r="J5781" s="38" t="n">
        <f aca="false">Sens!$J$5717</f>
        <v>36.0465624179122</v>
      </c>
      <c r="K5781" s="38" t="n">
        <f aca="false">Sens!$K$5717</f>
        <v>45.0461919819152</v>
      </c>
      <c r="L5781" s="38" t="n">
        <f aca="false">Sens!$L$5717</f>
        <v>51.1279288493339</v>
      </c>
      <c r="M5781" s="38" t="n">
        <f aca="false">Sens!$M$5717</f>
        <v>54.2845128319481</v>
      </c>
      <c r="N5781" s="38" t="n">
        <f aca="false">Sens!$N$5717</f>
        <v>0</v>
      </c>
      <c r="O5781" s="38" t="n">
        <f aca="false">Sens!$O$5717</f>
        <v>0</v>
      </c>
      <c r="P5781" s="5" t="s">
        <v>736</v>
      </c>
    </row>
    <row r="5782" customFormat="false" ht="17.15" hidden="false" customHeight="false" outlineLevel="0" collapsed="false">
      <c r="A5782" s="5" t="s">
        <v>737</v>
      </c>
      <c r="B5782" s="0" t="s">
        <v>86</v>
      </c>
      <c r="C5782" s="38" t="n">
        <f aca="false">Sens!$C$5779+Sens!$C$5781</f>
        <v>68.593</v>
      </c>
      <c r="D5782" s="38" t="n">
        <f aca="false">Sens!$D$5779+Sens!$D$5781</f>
        <v>79.975</v>
      </c>
      <c r="E5782" s="38" t="n">
        <f aca="false">Sens!$E$5779+Sens!$E$5781</f>
        <v>51.313</v>
      </c>
      <c r="F5782" s="38" t="n">
        <f aca="false">Sens!$F$5779+Sens!$F$5781</f>
        <v>60.4617121086123</v>
      </c>
      <c r="G5782" s="38" t="n">
        <f aca="false">Sens!$G$5779+Sens!$G$5781</f>
        <v>111.774712108612</v>
      </c>
      <c r="H5782" s="38" t="n">
        <f aca="false">Sens!$H$5779+Sens!$H$5781</f>
        <v>146.71042213049</v>
      </c>
      <c r="I5782" s="38" t="n">
        <f aca="false">Sens!$I$5779+Sens!$I$5781</f>
        <v>177.025639565314</v>
      </c>
      <c r="J5782" s="38" t="n">
        <f aca="false">Sens!$J$5779+Sens!$J$5781</f>
        <v>205.877701810599</v>
      </c>
      <c r="K5782" s="38" t="n">
        <f aca="false">Sens!$K$5779+Sens!$K$5781</f>
        <v>226.676395092575</v>
      </c>
      <c r="L5782" s="38" t="n">
        <f aca="false">Sens!$L$5779+Sens!$L$5781</f>
        <v>243.807685505696</v>
      </c>
      <c r="M5782" s="38" t="n">
        <f aca="false">Sens!$M$5779+Sens!$M$5781</f>
        <v>257.287707801411</v>
      </c>
      <c r="N5782" s="38" t="n">
        <f aca="false">Sens!$N$5779+Sens!$N$5781</f>
        <v>37.576</v>
      </c>
      <c r="O5782" s="38" t="n">
        <f aca="false">Sens!$O$5779+Sens!$O$5781</f>
        <v>42.399</v>
      </c>
    </row>
    <row r="5783" customFormat="false" ht="17.15" hidden="false" customHeight="false" outlineLevel="0" collapsed="false">
      <c r="A5783" s="0" t="s">
        <v>738</v>
      </c>
      <c r="B5783" s="0" t="s">
        <v>52</v>
      </c>
      <c r="C5783" s="13" t="n">
        <f aca="false">Sens!$C$5769/Sens!$C$5754</f>
        <v>0.0644314665661928</v>
      </c>
      <c r="D5783" s="13" t="n">
        <f aca="false">Sens!$D$5769/Sens!$D$5754</f>
        <v>0.0694784250712518</v>
      </c>
      <c r="E5783" s="13" t="n">
        <f aca="false">Sens!$E$5769/Sens!$E$5754</f>
        <v>0.0789306463326071</v>
      </c>
      <c r="F5783" s="13" t="n">
        <f aca="false">Sens!$F$5769/Sens!$F$5754</f>
        <v>0.0801757457241943</v>
      </c>
      <c r="G5783" s="13" t="n">
        <f aca="false">Sens!$G$5769/Sens!$G$5754</f>
        <v>0.0795932749625682</v>
      </c>
      <c r="H5783" s="13" t="n">
        <f aca="false">Sens!$H$5769/Sens!$H$5754</f>
        <v>0.0801494276915951</v>
      </c>
      <c r="I5783" s="13" t="n">
        <f aca="false">Sens!$I$5769/Sens!$I$5754</f>
        <v>0.0784619467108939</v>
      </c>
      <c r="J5783" s="13" t="n">
        <f aca="false">Sens!$J$5769/Sens!$J$5754</f>
        <v>0.0767950945569155</v>
      </c>
      <c r="K5783" s="13" t="n">
        <f aca="false">Sens!$K$5769/Sens!$K$5754</f>
        <v>0.0749626026445883</v>
      </c>
      <c r="L5783" s="13" t="n">
        <f aca="false">Sens!$L$5769/Sens!$L$5754</f>
        <v>0.073918620449946</v>
      </c>
      <c r="M5783" s="13" t="n">
        <f aca="false">Sens!$M$5769/Sens!$M$5754</f>
        <v>0.0753725430981762</v>
      </c>
      <c r="N5783" s="13" t="n">
        <f aca="false">Sens!$N$5769/Sens!$N$5754</f>
        <v>0.069228576611127</v>
      </c>
      <c r="O5783" s="13" t="n">
        <f aca="false">Sens!$O$5769/Sens!$O$5754</f>
        <v>0.069685022498393</v>
      </c>
    </row>
    <row r="5784" customFormat="false" ht="17.15" hidden="false" customHeight="false" outlineLevel="0" collapsed="false">
      <c r="A5784" s="0" t="s">
        <v>739</v>
      </c>
      <c r="B5784" s="0" t="s">
        <v>52</v>
      </c>
      <c r="C5784" s="13" t="n">
        <f aca="false">Sens!$C$5774/Sens!$C$5755</f>
        <v>0.026534925055631</v>
      </c>
      <c r="D5784" s="13" t="n">
        <f aca="false">Sens!$D$5774/Sens!$D$5755</f>
        <v>0.0293401855535103</v>
      </c>
      <c r="E5784" s="13" t="n">
        <f aca="false">Sens!$E$5774/Sens!$E$5755</f>
        <v>0.03831141902276</v>
      </c>
      <c r="F5784" s="13" t="n">
        <f aca="false">Sens!$F$5774/Sens!$F$5755</f>
        <v>0.0281350107328284</v>
      </c>
      <c r="G5784" s="13" t="n">
        <f aca="false">Sens!$G$5774/Sens!$G$5755</f>
        <v>0.0327600029432073</v>
      </c>
      <c r="H5784" s="13" t="n">
        <f aca="false">Sens!$H$5774/Sens!$H$5755</f>
        <v>0.031310920057557</v>
      </c>
      <c r="I5784" s="13" t="n">
        <f aca="false">Sens!$I$5774/Sens!$I$5755</f>
        <v>0.0275950243319601</v>
      </c>
      <c r="J5784" s="13" t="n">
        <f aca="false">Sens!$J$5774/Sens!$J$5755</f>
        <v>0.0238367762099147</v>
      </c>
      <c r="K5784" s="13" t="n">
        <f aca="false">Sens!$K$5774/Sens!$K$5755</f>
        <v>0.0198082441273261</v>
      </c>
      <c r="L5784" s="13" t="n">
        <f aca="false">Sens!$L$5774/Sens!$L$5755</f>
        <v>0.019110410213546</v>
      </c>
      <c r="M5784" s="13" t="n">
        <f aca="false">Sens!$M$5774/Sens!$M$5755</f>
        <v>0.0209184882207784</v>
      </c>
      <c r="N5784" s="13" t="n">
        <f aca="false">Sens!$N$5774/Sens!$N$5755</f>
        <v>0.0357315650169337</v>
      </c>
      <c r="O5784" s="13" t="n">
        <f aca="false">Sens!$O$5774/Sens!$O$5755</f>
        <v>0.0244378956559703</v>
      </c>
    </row>
    <row r="5785" customFormat="false" ht="17.15" hidden="false" customHeight="false" outlineLevel="0" collapsed="false">
      <c r="A5785" s="14" t="s">
        <v>740</v>
      </c>
      <c r="B5785" s="14" t="s">
        <v>52</v>
      </c>
      <c r="C5785" s="17" t="n">
        <f aca="false">Sens!$C$5777/Sens!$C$5756</f>
        <v>0.370355907620217</v>
      </c>
      <c r="D5785" s="17" t="n">
        <f aca="false">Sens!$D$5777/Sens!$D$5756</f>
        <v>0.35429015342785</v>
      </c>
      <c r="E5785" s="17" t="n">
        <f aca="false">Sens!$E$5777/Sens!$E$5756</f>
        <v>0.385647527531039</v>
      </c>
      <c r="F5785" s="17" t="n">
        <f aca="false">Sens!$F$5777/Sens!$F$5756</f>
        <v>0.390008895496028</v>
      </c>
      <c r="G5785" s="17" t="n">
        <f aca="false">Sens!$G$5777/Sens!$G$5756</f>
        <v>0.387918733944362</v>
      </c>
      <c r="H5785" s="17" t="n">
        <f aca="false">Sens!$H$5777/Sens!$H$5756</f>
        <v>0.377537651365497</v>
      </c>
      <c r="I5785" s="17" t="n">
        <f aca="false">Sens!$I$5777/Sens!$I$5756</f>
        <v>0.359230604038662</v>
      </c>
      <c r="J5785" s="17" t="n">
        <f aca="false">Sens!$J$5777/Sens!$J$5756</f>
        <v>0.345197865849801</v>
      </c>
      <c r="K5785" s="17" t="n">
        <f aca="false">Sens!$K$5777/Sens!$K$5756</f>
        <v>0.326889046124164</v>
      </c>
      <c r="L5785" s="17" t="n">
        <f aca="false">Sens!$L$5777/Sens!$L$5756</f>
        <v>0.315364635591989</v>
      </c>
      <c r="M5785" s="17" t="n">
        <f aca="false">Sens!$M$5777/Sens!$M$5756</f>
        <v>0.30521976379207</v>
      </c>
      <c r="N5785" s="17" t="n">
        <f aca="false">Sens!$N$5777/Sens!$N$5756</f>
        <v>0.360941137346192</v>
      </c>
      <c r="O5785" s="17" t="n">
        <f aca="false">Sens!$O$5777/Sens!$O$5756</f>
        <v>0.348458117664212</v>
      </c>
    </row>
    <row r="5786" customFormat="false" ht="17.15" hidden="false" customHeight="false" outlineLevel="0" collapsed="false">
      <c r="A5786" s="0" t="s">
        <v>741</v>
      </c>
      <c r="B5786" s="0" t="s">
        <v>52</v>
      </c>
      <c r="C5786" s="13" t="n">
        <f aca="false">Sens!$C$5775/Sens!$C$5757</f>
        <v>0.708390794789371</v>
      </c>
      <c r="D5786" s="13" t="n">
        <f aca="false">Sens!$D$5775/Sens!$D$5757</f>
        <v>0.619415573115729</v>
      </c>
      <c r="E5786" s="13" t="n">
        <f aca="false">Sens!$E$5775/Sens!$E$5757</f>
        <v>0.374072166056273</v>
      </c>
      <c r="F5786" s="13" t="n">
        <f aca="false">Sens!$F$5775/Sens!$F$5757</f>
        <v>0.553219320710057</v>
      </c>
      <c r="G5786" s="13" t="n">
        <f aca="false">Sens!$G$5775/Sens!$G$5757</f>
        <v>0.488270041527512</v>
      </c>
      <c r="H5786" s="13" t="n">
        <f aca="false">Sens!$H$5775/Sens!$H$5757</f>
        <v>0.435229086816882</v>
      </c>
      <c r="I5786" s="13" t="n">
        <f aca="false">Sens!$I$5775/Sens!$I$5757</f>
        <v>0.364954592421095</v>
      </c>
      <c r="J5786" s="13" t="n">
        <f aca="false">Sens!$J$5775/Sens!$J$5757</f>
        <v>0.330438308582232</v>
      </c>
      <c r="K5786" s="13" t="n">
        <f aca="false">Sens!$K$5775/Sens!$K$5757</f>
        <v>0.292474552619137</v>
      </c>
      <c r="L5786" s="13" t="n">
        <f aca="false">Sens!$L$5775/Sens!$L$5757</f>
        <v>0.269645821564974</v>
      </c>
      <c r="M5786" s="13" t="n">
        <f aca="false">Sens!$M$5775/Sens!$M$5757</f>
        <v>0.247098773220278</v>
      </c>
      <c r="N5786" s="13" t="n">
        <f aca="false">Sens!$N$5775/Sens!$N$5757</f>
        <v>0.551227795793364</v>
      </c>
      <c r="O5786" s="13" t="n">
        <f aca="false">Sens!$O$5775/Sens!$O$5757</f>
        <v>0.656132068597002</v>
      </c>
    </row>
    <row r="5787" customFormat="false" ht="15" hidden="false" customHeight="false" outlineLevel="0" collapsed="false">
      <c r="A5787" s="5" t="s">
        <v>742</v>
      </c>
      <c r="B5787" s="0" t="s">
        <v>52</v>
      </c>
      <c r="C5787" s="13" t="n">
        <f aca="false">Sens!$C$5779/Sens!$C$5759</f>
        <v>0.107519448742004</v>
      </c>
      <c r="D5787" s="13" t="n">
        <f aca="false">Sens!$D$5779/Sens!$D$5759</f>
        <v>0.111552967957552</v>
      </c>
      <c r="E5787" s="13" t="n">
        <f aca="false">Sens!$E$5779/Sens!$E$5759</f>
        <v>0.13428328426562</v>
      </c>
      <c r="F5787" s="13" t="n">
        <f aca="false">Sens!$F$5779/Sens!$F$5759</f>
        <v>0.130089413875539</v>
      </c>
      <c r="G5787" s="13" t="n">
        <f aca="false">Sens!$G$5779/Sens!$G$5759</f>
        <v>0.132048786678316</v>
      </c>
      <c r="H5787" s="13" t="n">
        <f aca="false">Sens!$H$5779/Sens!$H$5759</f>
        <v>0.139604881440853</v>
      </c>
      <c r="I5787" s="13" t="n">
        <f aca="false">Sens!$I$5779/Sens!$I$5759</f>
        <v>0.141694752432769</v>
      </c>
      <c r="J5787" s="13" t="n">
        <f aca="false">Sens!$J$5779/Sens!$J$5759</f>
        <v>0.14272611544629</v>
      </c>
      <c r="K5787" s="13" t="n">
        <f aca="false">Sens!$K$5779/Sens!$K$5759</f>
        <v>0.140109124834872</v>
      </c>
      <c r="L5787" s="13" t="n">
        <f aca="false">Sens!$L$5779/Sens!$L$5759</f>
        <v>0.137992017715014</v>
      </c>
      <c r="M5787" s="13" t="n">
        <f aca="false">Sens!$M$5779/Sens!$M$5759</f>
        <v>0.136229256482943</v>
      </c>
      <c r="N5787" s="13" t="n">
        <f aca="false">Sens!$N$5779/Sens!$N$5759</f>
        <v>0.116201614873411</v>
      </c>
      <c r="O5787" s="13" t="n">
        <f aca="false">Sens!$O$5779/Sens!$O$5759</f>
        <v>0.107733353660861</v>
      </c>
    </row>
    <row r="5788" customFormat="false" ht="17.15" hidden="false" customHeight="false" outlineLevel="0" collapsed="false">
      <c r="A5788" s="1" t="s">
        <v>743</v>
      </c>
    </row>
    <row r="5789" customFormat="false" ht="17.15" hidden="false" customHeight="false" outlineLevel="0" collapsed="false">
      <c r="A5789" s="5" t="s">
        <v>744</v>
      </c>
      <c r="B5789" s="0" t="s">
        <v>52</v>
      </c>
      <c r="D5789" s="28" t="n">
        <f aca="false">(Q!$E$29+Q!$E$30-(1-ext_sh)*Sens!$D$5711)/Sens!$D$5665</f>
        <v>0.0341105596409988</v>
      </c>
    </row>
    <row r="5790" customFormat="false" ht="17.15" hidden="false" customHeight="false" outlineLevel="0" collapsed="false">
      <c r="A5790" s="0" t="s">
        <v>538</v>
      </c>
      <c r="B5790" s="0" t="s">
        <v>86</v>
      </c>
      <c r="C5790" s="38" t="n">
        <f aca="false">Q!$D$29</f>
        <v>14.285</v>
      </c>
      <c r="D5790" s="38" t="n">
        <f aca="false">Q!$E$29</f>
        <v>15.503</v>
      </c>
      <c r="E5790" s="38" t="n">
        <f aca="false">Q!$P$29</f>
        <v>8.78</v>
      </c>
      <c r="F5790" s="38" t="n">
        <f aca="false">(Sens!$D$5789*Sens!$F$5665+(1-ext_sh)*Sens!$F$5711)*Sens!$F$5666</f>
        <v>9.16735846116642</v>
      </c>
      <c r="G5790" s="38" t="n">
        <f aca="false">Sens!$E$5790+Sens!$F$5790</f>
        <v>17.9473584611664</v>
      </c>
      <c r="H5790" s="38" t="n">
        <f aca="false">(Sens!$D$5789*Sens!$H$5665+(1-ext_sh)*Sens!$H$5711)*Sens!$H$5666</f>
        <v>21.6406723110177</v>
      </c>
      <c r="I5790" s="38" t="n">
        <f aca="false">(Sens!$D$5789*Sens!$I$5665+(1-ext_sh)*Sens!$I$5711)*Sens!$I$5666</f>
        <v>27.3128215555087</v>
      </c>
      <c r="J5790" s="38" t="n">
        <f aca="false">(Sens!$D$5789*Sens!$J$5665+(1-ext_sh)*Sens!$J$5711)*Sens!$J$5666</f>
        <v>33.0116861885756</v>
      </c>
      <c r="K5790" s="38" t="n">
        <f aca="false">(Sens!$D$5789*Sens!$K$5665+(1-ext_sh)*Sens!$K$5711)*Sens!$K$5666</f>
        <v>38.6250238720245</v>
      </c>
      <c r="L5790" s="38" t="n">
        <f aca="false">(Sens!$D$5789*Sens!$L$5665+(1-ext_sh)*Sens!$L$5711)*Sens!$L$5666</f>
        <v>43.1275612533579</v>
      </c>
      <c r="M5790" s="38" t="n">
        <f aca="false">(Sens!$D$5789*Sens!$M$5665+(1-ext_sh)*Sens!$M$5711)*Sens!$M$5666</f>
        <v>46.7599518310413</v>
      </c>
      <c r="N5790" s="38" t="n">
        <f aca="false">Q!$N$29</f>
        <v>7.272</v>
      </c>
      <c r="O5790" s="38" t="n">
        <f aca="false">Q!$O$29</f>
        <v>8.231</v>
      </c>
    </row>
    <row r="5791" customFormat="false" ht="17.15" hidden="false" customHeight="false" outlineLevel="0" collapsed="false">
      <c r="A5791" s="0" t="s">
        <v>540</v>
      </c>
      <c r="B5791" s="0" t="s">
        <v>86</v>
      </c>
      <c r="C5791" s="38" t="n">
        <f aca="false">Q!$D$30</f>
        <v>4.462</v>
      </c>
      <c r="D5791" s="38" t="n">
        <f aca="false">Q!$E$30</f>
        <v>4.907</v>
      </c>
      <c r="E5791" s="38" t="n">
        <f aca="false">Q!$P$30</f>
        <v>2.57</v>
      </c>
      <c r="F5791" s="38" t="n">
        <f aca="false">(Sens!$D$5789*Sens!$F$5665+(1-ext_sh)*Sens!$F$5711)*(1-Sens!$F$5666)</f>
        <v>3.59937168293151</v>
      </c>
      <c r="G5791" s="38" t="n">
        <f aca="false">Sens!$E$5791+Sens!$F$5791</f>
        <v>6.16937168293151</v>
      </c>
      <c r="H5791" s="38" t="n">
        <f aca="false">(Sens!$D$5789*Sens!$H$5665+(1-ext_sh)*Sens!$H$5711)*(1-Sens!$H$5666)</f>
        <v>8.28915290031442</v>
      </c>
      <c r="I5791" s="38" t="n">
        <f aca="false">(Sens!$D$5789*Sens!$I$5665+(1-ext_sh)*Sens!$I$5711)*(1-Sens!$I$5666)</f>
        <v>10.4617892992793</v>
      </c>
      <c r="J5791" s="38" t="n">
        <f aca="false">(Sens!$D$5789*Sens!$J$5665+(1-ext_sh)*Sens!$J$5711)*(1-Sens!$J$5666)</f>
        <v>12.6446586493057</v>
      </c>
      <c r="K5791" s="38" t="n">
        <f aca="false">(Sens!$D$5789*Sens!$K$5665+(1-ext_sh)*Sens!$K$5711)*(1-Sens!$K$5666)</f>
        <v>14.7947681131192</v>
      </c>
      <c r="L5791" s="38" t="n">
        <f aca="false">(Sens!$D$5789*Sens!$L$5665+(1-ext_sh)*Sens!$L$5711)*(1-Sens!$L$5666)</f>
        <v>16.5194012602258</v>
      </c>
      <c r="M5791" s="38" t="n">
        <f aca="false">(Sens!$D$5789*Sens!$M$5665+(1-ext_sh)*Sens!$M$5711)*(1-Sens!$M$5666)</f>
        <v>17.9107370033741</v>
      </c>
      <c r="N5791" s="38" t="n">
        <f aca="false">Q!$N$30</f>
        <v>2.316</v>
      </c>
      <c r="O5791" s="38" t="n">
        <f aca="false">Q!$O$30</f>
        <v>2.591</v>
      </c>
    </row>
    <row r="5792" customFormat="false" ht="17.15" hidden="false" customHeight="false" outlineLevel="0" collapsed="false">
      <c r="A5792" s="0" t="s">
        <v>541</v>
      </c>
      <c r="B5792" s="0" t="s">
        <v>86</v>
      </c>
      <c r="C5792" s="38" t="n">
        <f aca="false">Sens!$C$5723</f>
        <v>13.32</v>
      </c>
      <c r="D5792" s="38" t="n">
        <f aca="false">Sens!$D$5723</f>
        <v>21.45</v>
      </c>
      <c r="E5792" s="38" t="n">
        <f aca="false">Sens!$E$5723</f>
        <v>15.353</v>
      </c>
      <c r="F5792" s="38" t="n">
        <f aca="false">Sens!$F$5723</f>
        <v>15.4404120185306</v>
      </c>
      <c r="G5792" s="38" t="n">
        <f aca="false">Sens!$G$5723</f>
        <v>30.7934120185306</v>
      </c>
      <c r="H5792" s="38" t="n">
        <f aca="false">Sens!$H$5723</f>
        <v>48.250114371455</v>
      </c>
      <c r="I5792" s="38" t="n">
        <f aca="false">Sens!$I$5723</f>
        <v>73.3965146995963</v>
      </c>
      <c r="J5792" s="38" t="n">
        <f aca="false">Sens!$J$5723</f>
        <v>99.22806138309</v>
      </c>
      <c r="K5792" s="38" t="n">
        <f aca="false">Sens!$K$5723</f>
        <v>125.386627452856</v>
      </c>
      <c r="L5792" s="38" t="n">
        <f aca="false">Sens!$L$5723</f>
        <v>145.084446099433</v>
      </c>
      <c r="M5792" s="38" t="n">
        <f aca="false">Sens!$M$5723</f>
        <v>159.630097911032</v>
      </c>
      <c r="N5792" s="38" t="n">
        <f aca="false">Sens!$N$5723</f>
        <v>9.234</v>
      </c>
      <c r="O5792" s="38" t="n">
        <f aca="false">Sens!$O$5723</f>
        <v>12.216</v>
      </c>
    </row>
    <row r="5793" customFormat="false" ht="17.15" hidden="false" customHeight="false" outlineLevel="0" collapsed="false">
      <c r="A5793" s="5" t="s">
        <v>745</v>
      </c>
      <c r="B5793" s="0" t="s">
        <v>86</v>
      </c>
      <c r="C5793" s="38" t="n">
        <f aca="false">Sens!$C$5790+Sens!$C$5791+Sens!$C$5792</f>
        <v>32.067</v>
      </c>
      <c r="D5793" s="38" t="n">
        <f aca="false">Sens!$D$5790+Sens!$D$5791+Sens!$D$5792</f>
        <v>41.86</v>
      </c>
      <c r="E5793" s="38" t="n">
        <f aca="false">Sens!$E$5790+Sens!$E$5791+Sens!$E$5792</f>
        <v>26.703</v>
      </c>
      <c r="F5793" s="38" t="n">
        <f aca="false">Sens!$F$5790+Sens!$F$5791+Sens!$F$5792</f>
        <v>28.2071421626285</v>
      </c>
      <c r="G5793" s="38" t="n">
        <f aca="false">Sens!$G$5790+Sens!$G$5791+Sens!$G$5792</f>
        <v>54.9101421626285</v>
      </c>
      <c r="H5793" s="38" t="n">
        <f aca="false">Sens!$H$5790+Sens!$H$5791+Sens!$H$5792</f>
        <v>78.1799395827871</v>
      </c>
      <c r="I5793" s="38" t="n">
        <f aca="false">Sens!$I$5790+Sens!$I$5791+Sens!$I$5792</f>
        <v>111.171125554384</v>
      </c>
      <c r="J5793" s="38" t="n">
        <f aca="false">Sens!$J$5790+Sens!$J$5791+Sens!$J$5792</f>
        <v>144.884406220971</v>
      </c>
      <c r="K5793" s="38" t="n">
        <f aca="false">Sens!$K$5790+Sens!$K$5791+Sens!$K$5792</f>
        <v>178.806419437999</v>
      </c>
      <c r="L5793" s="38" t="n">
        <f aca="false">Sens!$L$5790+Sens!$L$5791+Sens!$L$5792</f>
        <v>204.731408613016</v>
      </c>
      <c r="M5793" s="38" t="n">
        <f aca="false">Sens!$M$5790+Sens!$M$5791+Sens!$M$5792</f>
        <v>224.300786745448</v>
      </c>
      <c r="N5793" s="38" t="n">
        <f aca="false">Sens!$N$5790+Sens!$N$5791+Sens!$N$5792</f>
        <v>18.822</v>
      </c>
      <c r="O5793" s="38" t="n">
        <f aca="false">Sens!$O$5790+Sens!$O$5791+Sens!$O$5792</f>
        <v>23.038</v>
      </c>
    </row>
    <row r="5794" customFormat="false" ht="17.15" hidden="false" customHeight="false" outlineLevel="0" collapsed="false">
      <c r="A5794" s="0" t="s">
        <v>746</v>
      </c>
      <c r="B5794" s="0" t="s">
        <v>86</v>
      </c>
      <c r="C5794" s="38" t="n">
        <f aca="false">Sens!$C$5765+Sens!$C$5770</f>
        <v>28.107</v>
      </c>
      <c r="D5794" s="38" t="n">
        <f aca="false">Sens!$D$5765+Sens!$D$5770</f>
        <v>34.3175</v>
      </c>
      <c r="E5794" s="38" t="n">
        <f aca="false">Sens!$E$5765+Sens!$E$5770</f>
        <v>18.526</v>
      </c>
      <c r="F5794" s="38" t="n">
        <f aca="false">Sens!$F$5765+Sens!$F$5770</f>
        <v>23.0786109972074</v>
      </c>
      <c r="G5794" s="38" t="n">
        <f aca="false">Sens!$G$5765+Sens!$G$5770</f>
        <v>41.6046109972074</v>
      </c>
      <c r="H5794" s="38" t="n">
        <f aca="false">Sens!$H$5765+Sens!$H$5770</f>
        <v>49.9484611939488</v>
      </c>
      <c r="I5794" s="38" t="n">
        <f aca="false">Sens!$I$5765+Sens!$I$5770</f>
        <v>58.2915555477481</v>
      </c>
      <c r="J5794" s="38" t="n">
        <f aca="false">Sens!$J$5765+Sens!$J$5770</f>
        <v>66.0744709709759</v>
      </c>
      <c r="K5794" s="38" t="n">
        <f aca="false">Sens!$K$5765+Sens!$K$5770</f>
        <v>72.6819180680735</v>
      </c>
      <c r="L5794" s="38" t="n">
        <f aca="false">Sens!$L$5765+Sens!$L$5770</f>
        <v>79.9501098748808</v>
      </c>
      <c r="M5794" s="38" t="n">
        <f aca="false">Sens!$M$5765+Sens!$M$5770</f>
        <v>87.9451208623689</v>
      </c>
      <c r="N5794" s="38" t="n">
        <f aca="false">Sens!$N$5765+Sens!$N$5770</f>
        <v>14.8075</v>
      </c>
      <c r="O5794" s="38" t="n">
        <f aca="false">Sens!$O$5765+Sens!$O$5770</f>
        <v>19.51</v>
      </c>
    </row>
    <row r="5795" customFormat="false" ht="17.15" hidden="false" customHeight="false" outlineLevel="0" collapsed="false">
      <c r="A5795" s="0" t="s">
        <v>747</v>
      </c>
      <c r="B5795" s="0" t="s">
        <v>86</v>
      </c>
      <c r="C5795" s="38" t="n">
        <f aca="false">Sens!$C$5769+Sens!$C$5774+Sens!$C$5790+Sens!$C$5791-Sens!$C$5794</f>
        <v>19.399</v>
      </c>
      <c r="D5795" s="38" t="n">
        <f aca="false">Sens!$D$5769+Sens!$D$5774+Sens!$D$5790+Sens!$D$5791-Sens!$D$5794</f>
        <v>20.4615</v>
      </c>
      <c r="E5795" s="38" t="n">
        <f aca="false">Sens!$E$5769+Sens!$E$5774+Sens!$E$5790+Sens!$E$5791-Sens!$E$5794</f>
        <v>13.355</v>
      </c>
      <c r="F5795" s="38" t="n">
        <f aca="false">Sens!$F$5769+Sens!$F$5774+Sens!$F$5790+Sens!$F$5791-Sens!$F$5794</f>
        <v>12.5520732018618</v>
      </c>
      <c r="G5795" s="38" t="n">
        <f aca="false">Sens!$G$5769+Sens!$G$5774+Sens!$G$5790+Sens!$G$5791-Sens!$G$5794</f>
        <v>25.9070732018618</v>
      </c>
      <c r="H5795" s="38" t="n">
        <f aca="false">Sens!$H$5769+Sens!$H$5774+Sens!$H$5790+Sens!$H$5791-Sens!$H$5794</f>
        <v>28.0233335906818</v>
      </c>
      <c r="I5795" s="38" t="n">
        <f aca="false">Sens!$I$5769+Sens!$I$5774+Sens!$I$5790+Sens!$I$5791-Sens!$I$5794</f>
        <v>30.2440066606864</v>
      </c>
      <c r="J5795" s="38" t="n">
        <f aca="false">Sens!$J$5769+Sens!$J$5774+Sens!$J$5790+Sens!$J$5791-Sens!$J$5794</f>
        <v>32.4596500296286</v>
      </c>
      <c r="K5795" s="38" t="n">
        <f aca="false">Sens!$K$5769+Sens!$K$5774+Sens!$K$5790+Sens!$K$5791-Sens!$K$5794</f>
        <v>34.8252278550735</v>
      </c>
      <c r="L5795" s="38" t="n">
        <f aca="false">Sens!$L$5769+Sens!$L$5774+Sens!$L$5790+Sens!$L$5791-Sens!$L$5794</f>
        <v>36.385771075105</v>
      </c>
      <c r="M5795" s="38" t="n">
        <f aca="false">Sens!$M$5769+Sens!$M$5774+Sens!$M$5790+Sens!$M$5791-Sens!$M$5794</f>
        <v>38.7139757016285</v>
      </c>
      <c r="N5795" s="38" t="n">
        <f aca="false">Sens!$N$5769+Sens!$N$5774+Sens!$N$5790+Sens!$N$5791-Sens!$N$5794</f>
        <v>10.6495</v>
      </c>
      <c r="O5795" s="38" t="n">
        <f aca="false">Sens!$O$5769+Sens!$O$5774+Sens!$O$5790+Sens!$O$5791-Sens!$O$5794</f>
        <v>9.81200000000001</v>
      </c>
    </row>
    <row r="5796" customFormat="false" ht="17.15" hidden="false" customHeight="false" outlineLevel="0" collapsed="false">
      <c r="A5796" s="0" t="s">
        <v>748</v>
      </c>
      <c r="B5796" s="0" t="s">
        <v>86</v>
      </c>
      <c r="C5796" s="38" t="n">
        <f aca="false">Sens!$C$5776+Sens!$C$5792-ext_sh*Sens!$C$5711</f>
        <v>51.3470500115664</v>
      </c>
      <c r="D5796" s="38" t="n">
        <f aca="false">Sens!$D$5776+Sens!$D$5792-ext_sh*Sens!$D$5711</f>
        <v>60.2799375433739</v>
      </c>
      <c r="E5796" s="38" t="n">
        <f aca="false">Sens!$E$5776+Sens!$E$5792-ext_sh*Sens!$E$5711</f>
        <v>39.5095167090767</v>
      </c>
      <c r="F5796" s="38" t="n">
        <f aca="false">Sens!$F$5776+Sens!$F$5792-ext_sh*Sens!$F$5711</f>
        <v>37.5468918745429</v>
      </c>
      <c r="G5796" s="38" t="n">
        <f aca="false">Sens!$G$5776+Sens!$G$5792-ext_sh*Sens!$G$5711</f>
        <v>77.0564085836196</v>
      </c>
      <c r="H5796" s="38" t="n">
        <f aca="false">Sens!$H$5776+Sens!$H$5792-ext_sh*Sens!$H$5711</f>
        <v>84.2378398616123</v>
      </c>
      <c r="I5796" s="38" t="n">
        <f aca="false">Sens!$I$5776+Sens!$I$5792-ext_sh*Sens!$I$5711</f>
        <v>93.5253492849083</v>
      </c>
      <c r="J5796" s="38" t="n">
        <f aca="false">Sens!$J$5776+Sens!$J$5792-ext_sh*Sens!$J$5711</f>
        <v>102.42210777817</v>
      </c>
      <c r="K5796" s="38" t="n">
        <f aca="false">Sens!$K$5776+Sens!$K$5792-ext_sh*Sens!$K$5711</f>
        <v>110.615876400424</v>
      </c>
      <c r="L5796" s="38" t="n">
        <f aca="false">Sens!$L$5776+Sens!$L$5792-ext_sh*Sens!$L$5711</f>
        <v>119.465146512458</v>
      </c>
      <c r="M5796" s="38" t="n">
        <f aca="false">Sens!$M$5776+Sens!$M$5792-ext_sh*Sens!$M$5711</f>
        <v>129.022358233455</v>
      </c>
      <c r="N5796" s="38" t="n">
        <f aca="false">Sens!$N$5776+Sens!$N$5792-ext_sh*Sens!$N$5711</f>
        <v>28.5693781401809</v>
      </c>
      <c r="O5796" s="38" t="n">
        <f aca="false">Sens!$O$5776+Sens!$O$5792-ext_sh*Sens!$O$5711</f>
        <v>31.7105594031931</v>
      </c>
    </row>
    <row r="5797" customFormat="false" ht="17.15" hidden="false" customHeight="false" outlineLevel="0" collapsed="false">
      <c r="A5797" s="0" t="s">
        <v>749</v>
      </c>
      <c r="B5797" s="0" t="s">
        <v>86</v>
      </c>
      <c r="C5797" s="38" t="n">
        <f aca="false">Sens!$C$5714</f>
        <v>1.80694998843362</v>
      </c>
      <c r="D5797" s="38" t="n">
        <f aca="false">Sens!$D$5714</f>
        <v>6.77606245662607</v>
      </c>
      <c r="E5797" s="38" t="n">
        <f aca="false">Sens!$E$5714</f>
        <v>6.62548329092326</v>
      </c>
      <c r="F5797" s="38" t="n">
        <f aca="false">Sens!$F$5714</f>
        <v>11.7200577158706</v>
      </c>
      <c r="G5797" s="38" t="n">
        <f aca="false">Sens!$G$5714</f>
        <v>18.3455410067939</v>
      </c>
      <c r="H5797" s="38" t="n">
        <f aca="false">Sens!$H$5714</f>
        <v>47.5171727060453</v>
      </c>
      <c r="I5797" s="38" t="n">
        <f aca="false">Sens!$I$5714</f>
        <v>80.5539692643667</v>
      </c>
      <c r="J5797" s="38" t="n">
        <f aca="false">Sens!$J$5714</f>
        <v>113.759316834883</v>
      </c>
      <c r="K5797" s="38" t="n">
        <f aca="false">Sens!$K$5714</f>
        <v>142.313600225088</v>
      </c>
      <c r="L5797" s="38" t="n">
        <f aca="false">Sens!$L$5714</f>
        <v>161.610137806934</v>
      </c>
      <c r="M5797" s="38" t="n">
        <f aca="false">Sens!$M$5714</f>
        <v>171.622526917459</v>
      </c>
      <c r="N5797" s="38" t="n">
        <f aca="false">Sens!$N$5714</f>
        <v>2.37162185981912</v>
      </c>
      <c r="O5797" s="38" t="n">
        <f aca="false">Sens!$O$5714</f>
        <v>4.40444059680694</v>
      </c>
    </row>
    <row r="5798" customFormat="false" ht="17.15" hidden="false" customHeight="false" outlineLevel="0" collapsed="false">
      <c r="A5798" s="0" t="s">
        <v>750</v>
      </c>
      <c r="B5798" s="0" t="s">
        <v>86</v>
      </c>
      <c r="C5798" s="38" t="n">
        <f aca="false">Sens!$C$5779+Sens!$C$5793</f>
        <v>100.66</v>
      </c>
      <c r="D5798" s="38" t="n">
        <f aca="false">Sens!$D$5779+Sens!$D$5793</f>
        <v>121.835</v>
      </c>
      <c r="E5798" s="38" t="n">
        <f aca="false">Sens!$E$5779+Sens!$E$5793</f>
        <v>78.016</v>
      </c>
      <c r="F5798" s="38" t="n">
        <f aca="false">Sens!$F$5779+Sens!$F$5793</f>
        <v>84.8976337894826</v>
      </c>
      <c r="G5798" s="38" t="n">
        <f aca="false">Sens!$G$5779+Sens!$G$5793</f>
        <v>162.913633789483</v>
      </c>
      <c r="H5798" s="38" t="n">
        <f aca="false">Sens!$H$5779+Sens!$H$5793</f>
        <v>209.726807352288</v>
      </c>
      <c r="I5798" s="38" t="n">
        <f aca="false">Sens!$I$5779+Sens!$I$5793</f>
        <v>262.61488075771</v>
      </c>
      <c r="J5798" s="38" t="n">
        <f aca="false">Sens!$J$5779+Sens!$J$5793</f>
        <v>314.715545613658</v>
      </c>
      <c r="K5798" s="38" t="n">
        <f aca="false">Sens!$K$5779+Sens!$K$5793</f>
        <v>360.436622548659</v>
      </c>
      <c r="L5798" s="38" t="n">
        <f aca="false">Sens!$L$5779+Sens!$L$5793</f>
        <v>397.411165269378</v>
      </c>
      <c r="M5798" s="38" t="n">
        <f aca="false">Sens!$M$5779+Sens!$M$5793</f>
        <v>427.303981714911</v>
      </c>
      <c r="N5798" s="38" t="n">
        <f aca="false">Sens!$N$5779+Sens!$N$5793</f>
        <v>56.398</v>
      </c>
      <c r="O5798" s="38" t="n">
        <f aca="false">Sens!$O$5779+Sens!$O$5793</f>
        <v>65.437</v>
      </c>
    </row>
    <row r="5799" customFormat="false" ht="17.15" hidden="false" customHeight="false" outlineLevel="0" collapsed="false">
      <c r="A5799" s="1" t="s">
        <v>751</v>
      </c>
    </row>
    <row r="5800" customFormat="false" ht="15" hidden="false" customHeight="false" outlineLevel="0" collapsed="false">
      <c r="A5800" s="5" t="s">
        <v>544</v>
      </c>
      <c r="B5800" s="0" t="s">
        <v>86</v>
      </c>
      <c r="C5800" s="38" t="n">
        <f aca="false">Q!$D$34</f>
        <v>2.406</v>
      </c>
      <c r="D5800" s="38" t="n">
        <f aca="false">Q!$E$34</f>
        <v>2.274</v>
      </c>
      <c r="E5800" s="38" t="n">
        <f aca="false">Q!$P$34</f>
        <v>2.114</v>
      </c>
      <c r="F5800" s="38" t="n">
        <f aca="false">Sens!$F$5838</f>
        <v>3.24888962733561</v>
      </c>
      <c r="G5800" s="38" t="n">
        <f aca="false">Sens!$E$5800+Sens!$F$5800</f>
        <v>5.36288962733561</v>
      </c>
      <c r="H5800" s="38" t="n">
        <f aca="false">Sens!$H$5838</f>
        <v>7.42354172302123</v>
      </c>
      <c r="I5800" s="38" t="n">
        <f aca="false">Sens!$I$5838</f>
        <v>8.48968024898619</v>
      </c>
      <c r="J5800" s="38" t="n">
        <f aca="false">Sens!$J$5838</f>
        <v>9.63598826439483</v>
      </c>
      <c r="K5800" s="38" t="n">
        <f aca="false">Sens!$K$5838</f>
        <v>9.63598826439483</v>
      </c>
      <c r="L5800" s="38" t="n">
        <f aca="false">Sens!$L$5838</f>
        <v>9.63598826439483</v>
      </c>
      <c r="M5800" s="38" t="n">
        <f aca="false">Sens!$M$5838</f>
        <v>9.63598826439483</v>
      </c>
      <c r="N5800" s="38" t="n">
        <f aca="false">Q!$N$34</f>
        <v>1.057</v>
      </c>
      <c r="O5800" s="38" t="n">
        <f aca="false">Q!$O$34</f>
        <v>1.217</v>
      </c>
    </row>
    <row r="5801" customFormat="false" ht="15" hidden="false" customHeight="false" outlineLevel="0" collapsed="false">
      <c r="A5801" s="5" t="s">
        <v>752</v>
      </c>
      <c r="B5801" s="0" t="s">
        <v>86</v>
      </c>
      <c r="F5801" s="38" t="n">
        <f aca="false">Sens!$F$5839</f>
        <v>2.59</v>
      </c>
      <c r="H5801" s="38" t="n">
        <f aca="false">Sens!$H$5839</f>
        <v>3.76965165045626</v>
      </c>
      <c r="I5801" s="38" t="n">
        <f aca="false">Sens!$I$5839</f>
        <v>2.10589651022864</v>
      </c>
      <c r="J5801" s="38" t="n">
        <f aca="false">Sens!$J$5839</f>
        <v>2.10589651022864</v>
      </c>
      <c r="K5801" s="38" t="n">
        <f aca="false">Sens!$K$5839</f>
        <v>3.03184385018094</v>
      </c>
      <c r="L5801" s="38" t="n">
        <f aca="false">Sens!$L$5839</f>
        <v>7.91036779285643</v>
      </c>
      <c r="M5801" s="38" t="n">
        <f aca="false">Sens!$M$5839</f>
        <v>15.1625776545148</v>
      </c>
    </row>
    <row r="5802" customFormat="false" ht="17.15" hidden="false" customHeight="false" outlineLevel="0" collapsed="false">
      <c r="A5802" s="5" t="s">
        <v>753</v>
      </c>
      <c r="B5802" s="0" t="s">
        <v>86</v>
      </c>
      <c r="C5802" s="38" t="n">
        <f aca="false">Q!$D$39</f>
        <v>2.427</v>
      </c>
      <c r="D5802" s="38" t="n">
        <f aca="false">Q!$E$39</f>
        <v>19.61</v>
      </c>
      <c r="E5802" s="38" t="n">
        <f aca="false">Q!$P$39</f>
        <v>71.492</v>
      </c>
      <c r="F5802" s="39" t="n">
        <v>0</v>
      </c>
      <c r="G5802" s="38" t="n">
        <f aca="false">Sens!$E$5802+Sens!$F$5802</f>
        <v>71.492</v>
      </c>
      <c r="H5802" s="39" t="n">
        <v>0</v>
      </c>
      <c r="I5802" s="39" t="n">
        <v>0</v>
      </c>
      <c r="J5802" s="39" t="n">
        <v>0</v>
      </c>
      <c r="K5802" s="39" t="n">
        <v>0</v>
      </c>
      <c r="L5802" s="39" t="n">
        <v>0</v>
      </c>
      <c r="M5802" s="39" t="n">
        <v>0</v>
      </c>
      <c r="N5802" s="38" t="n">
        <f aca="false">Q!$N$39</f>
        <v>6.017</v>
      </c>
      <c r="O5802" s="38" t="n">
        <f aca="false">Q!$O$39</f>
        <v>13.593</v>
      </c>
      <c r="P5802" s="5" t="s">
        <v>754</v>
      </c>
    </row>
    <row r="5803" customFormat="false" ht="15" hidden="false" customHeight="false" outlineLevel="0" collapsed="false">
      <c r="A5803" s="5" t="s">
        <v>547</v>
      </c>
      <c r="B5803" s="0" t="s">
        <v>86</v>
      </c>
      <c r="C5803" s="38" t="n">
        <f aca="false">Q!$D$36</f>
        <v>68.614</v>
      </c>
      <c r="D5803" s="38" t="n">
        <f aca="false">Q!$E$36</f>
        <v>97.311</v>
      </c>
      <c r="E5803" s="38" t="n">
        <f aca="false">Q!$P$36</f>
        <v>120.691</v>
      </c>
      <c r="F5803" s="38" t="n">
        <f aca="false">Sens!$F$5779-Sens!$F$5800+Sens!$F$5801+Sens!$F$5802</f>
        <v>56.0316019995185</v>
      </c>
      <c r="G5803" s="38" t="n">
        <f aca="false">Sens!$E$5803+Sens!$F$5803</f>
        <v>176.722601999518</v>
      </c>
      <c r="H5803" s="38" t="n">
        <f aca="false">Sens!$H$5779-Sens!$H$5800+Sens!$H$5801+Sens!$H$5802</f>
        <v>127.892977696936</v>
      </c>
      <c r="I5803" s="38" t="n">
        <f aca="false">Sens!$I$5779-Sens!$I$5800+Sens!$I$5801+Sens!$I$5802</f>
        <v>145.059971464568</v>
      </c>
      <c r="J5803" s="38" t="n">
        <f aca="false">Sens!$J$5779-Sens!$J$5800+Sens!$J$5801+Sens!$J$5802</f>
        <v>162.301047638521</v>
      </c>
      <c r="K5803" s="38" t="n">
        <f aca="false">Sens!$K$5779-Sens!$K$5800+Sens!$K$5801+Sens!$K$5802</f>
        <v>175.026058696445</v>
      </c>
      <c r="L5803" s="38" t="n">
        <f aca="false">Sens!$L$5779-Sens!$L$5800+Sens!$L$5801+Sens!$L$5802</f>
        <v>190.954136184823</v>
      </c>
      <c r="M5803" s="38" t="n">
        <f aca="false">Sens!$M$5779-Sens!$M$5800+Sens!$M$5801+Sens!$M$5802</f>
        <v>208.529784359583</v>
      </c>
      <c r="N5803" s="38" t="n">
        <f aca="false">Q!$N$36</f>
        <v>42.536</v>
      </c>
      <c r="O5803" s="38" t="n">
        <f aca="false">Q!$O$36</f>
        <v>54.775</v>
      </c>
    </row>
    <row r="5804" customFormat="false" ht="15" hidden="false" customHeight="false" outlineLevel="0" collapsed="false">
      <c r="A5804" s="5" t="s">
        <v>548</v>
      </c>
      <c r="B5804" s="0" t="s">
        <v>86</v>
      </c>
      <c r="C5804" s="38" t="n">
        <f aca="false">Q!$D$37</f>
        <v>9.265</v>
      </c>
      <c r="D5804" s="38" t="n">
        <f aca="false">Q!$E$37</f>
        <v>19.087</v>
      </c>
      <c r="E5804" s="38" t="n">
        <f aca="false">Q!$P$37</f>
        <v>27.759</v>
      </c>
      <c r="F5804" s="38" t="n">
        <f aca="false">Sens!$F$5803*tax</f>
        <v>9.72621910890414</v>
      </c>
      <c r="G5804" s="38" t="n">
        <f aca="false">Sens!$E$5804+Sens!$F$5804</f>
        <v>37.4852191089041</v>
      </c>
      <c r="H5804" s="38" t="n">
        <f aca="false">Sens!$H$5803*tax</f>
        <v>22.2002419916761</v>
      </c>
      <c r="I5804" s="38" t="n">
        <f aca="false">Sens!$I$5803*tax</f>
        <v>25.1801664783365</v>
      </c>
      <c r="J5804" s="38" t="n">
        <f aca="false">Sens!$J$5803*tax</f>
        <v>28.1729505244292</v>
      </c>
      <c r="K5804" s="38" t="n">
        <f aca="false">Sens!$K$5803*tax</f>
        <v>30.3818155451664</v>
      </c>
      <c r="L5804" s="38" t="n">
        <f aca="false">Sens!$L$5803*tax</f>
        <v>33.1466833359695</v>
      </c>
      <c r="M5804" s="38" t="n">
        <f aca="false">Sens!$M$5803*tax</f>
        <v>36.1975439044428</v>
      </c>
      <c r="N5804" s="38" t="n">
        <f aca="false">Q!$N$37</f>
        <v>7.231</v>
      </c>
      <c r="O5804" s="38" t="n">
        <f aca="false">Q!$O$37</f>
        <v>11.856</v>
      </c>
    </row>
    <row r="5805" customFormat="false" ht="15" hidden="false" customHeight="false" outlineLevel="0" collapsed="false">
      <c r="A5805" s="3" t="s">
        <v>549</v>
      </c>
      <c r="B5805" s="8" t="s">
        <v>86</v>
      </c>
      <c r="C5805" s="38" t="n">
        <f aca="false">Q!$D$38</f>
        <v>59.248</v>
      </c>
      <c r="D5805" s="38" t="n">
        <f aca="false">Q!$E$38</f>
        <v>77.67</v>
      </c>
      <c r="E5805" s="38" t="n">
        <f aca="false">Q!$P$38</f>
        <v>92.902</v>
      </c>
      <c r="F5805" s="38" t="n">
        <f aca="false">Sens!$F$5803-Sens!$F$5804</f>
        <v>46.3053828906144</v>
      </c>
      <c r="G5805" s="38" t="n">
        <f aca="false">Sens!$E$5805+Sens!$F$5805</f>
        <v>139.207382890614</v>
      </c>
      <c r="H5805" s="38" t="n">
        <f aca="false">Sens!$H$5803-Sens!$H$5804</f>
        <v>105.69273570526</v>
      </c>
      <c r="I5805" s="38" t="n">
        <f aca="false">Sens!$I$5803-Sens!$I$5804</f>
        <v>119.879804986231</v>
      </c>
      <c r="J5805" s="38" t="n">
        <f aca="false">Sens!$J$5803-Sens!$J$5804</f>
        <v>134.128097114092</v>
      </c>
      <c r="K5805" s="38" t="n">
        <f aca="false">Sens!$K$5803-Sens!$K$5804</f>
        <v>144.644243151279</v>
      </c>
      <c r="L5805" s="38" t="n">
        <f aca="false">Sens!$L$5803-Sens!$L$5804</f>
        <v>157.807452848854</v>
      </c>
      <c r="M5805" s="38" t="n">
        <f aca="false">Sens!$M$5803-Sens!$M$5804</f>
        <v>172.33224045514</v>
      </c>
      <c r="N5805" s="38" t="n">
        <f aca="false">Q!$N$38</f>
        <v>35.291</v>
      </c>
      <c r="O5805" s="38" t="n">
        <f aca="false">Q!$O$38</f>
        <v>42.379</v>
      </c>
    </row>
    <row r="5806" customFormat="false" ht="17.15" hidden="false" customHeight="false" outlineLevel="0" collapsed="false">
      <c r="A5806" s="5" t="s">
        <v>552</v>
      </c>
      <c r="B5806" s="5" t="s">
        <v>33</v>
      </c>
      <c r="C5806" s="22" t="n">
        <f aca="false">Q!$D$41</f>
        <v>10.721</v>
      </c>
      <c r="D5806" s="22" t="n">
        <f aca="false">Q!$E$41</f>
        <v>10.827</v>
      </c>
      <c r="E5806" s="22" t="n">
        <f aca="false">(Q!$L$41+Q!$M$41)/2</f>
        <v>10.8885</v>
      </c>
      <c r="F5806" s="22" t="n">
        <f aca="false">Sens!$G$5806</f>
        <v>10.924806</v>
      </c>
      <c r="G5806" s="22" t="n">
        <f aca="false">Q!$M$41*(1+sh_g*0.25)</f>
        <v>10.924806</v>
      </c>
      <c r="H5806" s="22" t="n">
        <f aca="false">Sens!$G$5806*(1+sh_g)</f>
        <v>11.012204448</v>
      </c>
      <c r="I5806" s="22" t="n">
        <f aca="false">Sens!$H$5806*(1+sh_g)</f>
        <v>11.100302083584</v>
      </c>
      <c r="J5806" s="22" t="n">
        <f aca="false">Sens!$I$5806*(1+sh_g)</f>
        <v>11.1891045002527</v>
      </c>
      <c r="K5806" s="22" t="n">
        <f aca="false">Sens!$J$5806*(1+sh_g)</f>
        <v>11.2786173362547</v>
      </c>
      <c r="L5806" s="22" t="n">
        <f aca="false">Sens!$K$5806*(1+sh_g)</f>
        <v>11.3688462749447</v>
      </c>
      <c r="M5806" s="22" t="n">
        <f aca="false">Sens!$L$5806*(1+sh_g)</f>
        <v>11.4597970451443</v>
      </c>
      <c r="P5806" s="5" t="s">
        <v>755</v>
      </c>
    </row>
    <row r="5807" customFormat="false" ht="17.15" hidden="false" customHeight="false" outlineLevel="0" collapsed="false">
      <c r="A5807" s="5" t="s">
        <v>756</v>
      </c>
      <c r="B5807" s="0" t="s">
        <v>86</v>
      </c>
      <c r="C5807" s="38" t="n">
        <f aca="false">Sens!$C$5805+Sens!$C$5781*(1-tax)</f>
        <v>59.248</v>
      </c>
      <c r="D5807" s="38" t="n">
        <f aca="false">Sens!$D$5805+Sens!$D$5781*(1-tax)</f>
        <v>77.67</v>
      </c>
      <c r="E5807" s="38" t="n">
        <f aca="false">Sens!$E$5805+Sens!$E$5781*(1-tax)</f>
        <v>92.902</v>
      </c>
      <c r="F5807" s="38" t="n">
        <f aca="false">Sens!$F$5805+Sens!$F$5781*(1-tax)</f>
        <v>49.421977850263</v>
      </c>
      <c r="G5807" s="38" t="n">
        <f aca="false">Sens!$G$5805+Sens!$G$5781*(1-tax)</f>
        <v>142.323977850263</v>
      </c>
      <c r="H5807" s="38" t="n">
        <f aca="false">Sens!$H$5805+Sens!$H$5781*(1-tax)</f>
        <v>118.224131660605</v>
      </c>
      <c r="I5807" s="38" t="n">
        <f aca="false">Sens!$I$5805+Sens!$I$5781*(1-tax)</f>
        <v>141.02107006117</v>
      </c>
      <c r="J5807" s="38" t="n">
        <f aca="false">Sens!$J$5805+Sens!$J$5781*(1-tax)</f>
        <v>163.917534058375</v>
      </c>
      <c r="K5807" s="38" t="n">
        <f aca="false">Sens!$K$5805+Sens!$K$5781*(1-tax)</f>
        <v>181.871113221934</v>
      </c>
      <c r="L5807" s="38" t="n">
        <f aca="false">Sens!$L$5805+Sens!$L$5781*(1-tax)</f>
        <v>200.060364371763</v>
      </c>
      <c r="M5807" s="38" t="n">
        <f aca="false">Sens!$M$5805+Sens!$M$5781*(1-tax)</f>
        <v>217.193801824301</v>
      </c>
      <c r="N5807" s="38" t="n">
        <f aca="false">Sens!$N$5805+Sens!$N$5781*(1-tax)</f>
        <v>35.291</v>
      </c>
      <c r="O5807" s="38" t="n">
        <f aca="false">Sens!$O$5805+Sens!$O$5781*(1-tax)</f>
        <v>42.379</v>
      </c>
    </row>
    <row r="5808" customFormat="false" ht="17.15" hidden="false" customHeight="false" outlineLevel="0" collapsed="false">
      <c r="A5808" s="43" t="s">
        <v>757</v>
      </c>
      <c r="B5808" s="14" t="s">
        <v>27</v>
      </c>
      <c r="C5808" s="44" t="n">
        <f aca="false">Sens!$C$5807/Sens!$C$5806</f>
        <v>5.52635015390355</v>
      </c>
      <c r="D5808" s="44" t="n">
        <f aca="false">Sens!$D$5807/Sens!$D$5806</f>
        <v>7.1737323358271</v>
      </c>
      <c r="E5808" s="44" t="n">
        <f aca="false">Sens!$E$5807/Sens!$E$5806</f>
        <v>8.53212104513937</v>
      </c>
      <c r="F5808" s="14"/>
      <c r="G5808" s="44" t="n">
        <f aca="false">Sens!$G$5807/Sens!$G$5806</f>
        <v>13.0275977303636</v>
      </c>
      <c r="H5808" s="44" t="n">
        <f aca="false">Sens!$H$5807/Sens!$H$5806</f>
        <v>10.7357370832392</v>
      </c>
      <c r="I5808" s="44" t="n">
        <f aca="false">Sens!$I$5807/Sens!$I$5806</f>
        <v>12.7042551634449</v>
      </c>
      <c r="J5808" s="44" t="n">
        <f aca="false">Sens!$J$5807/Sens!$J$5806</f>
        <v>14.6497455676344</v>
      </c>
      <c r="K5808" s="44" t="n">
        <f aca="false">Sens!$K$5807/Sens!$K$5806</f>
        <v>16.1253022245303</v>
      </c>
      <c r="L5808" s="44" t="n">
        <f aca="false">Sens!$L$5807/Sens!$L$5806</f>
        <v>17.5972442175303</v>
      </c>
      <c r="M5808" s="44" t="n">
        <f aca="false">Sens!$M$5807/Sens!$M$5806</f>
        <v>18.9526743771025</v>
      </c>
      <c r="N5808" s="14"/>
      <c r="O5808" s="14"/>
    </row>
    <row r="5809" customFormat="false" ht="17.15" hidden="false" customHeight="false" outlineLevel="0" collapsed="false">
      <c r="A5809" s="0" t="s">
        <v>758</v>
      </c>
      <c r="B5809" s="0" t="s">
        <v>27</v>
      </c>
      <c r="C5809" s="30" t="n">
        <f aca="false">Sens!$C$5805/Sens!$C$5806</f>
        <v>5.52635015390355</v>
      </c>
      <c r="D5809" s="30" t="n">
        <f aca="false">Sens!$D$5805/Sens!$D$5806</f>
        <v>7.1737323358271</v>
      </c>
      <c r="E5809" s="30" t="n">
        <f aca="false">Sens!$E$5805/Sens!$E$5806</f>
        <v>8.53212104513937</v>
      </c>
      <c r="G5809" s="30" t="n">
        <f aca="false">Sens!$G$5805/Sens!$G$5806</f>
        <v>12.7423208147233</v>
      </c>
      <c r="H5809" s="30" t="n">
        <f aca="false">Sens!$H$5805/Sens!$H$5806</f>
        <v>9.59778182509639</v>
      </c>
      <c r="I5809" s="30" t="n">
        <f aca="false">Sens!$I$5805/Sens!$I$5806</f>
        <v>10.799688520506</v>
      </c>
      <c r="J5809" s="30" t="n">
        <f aca="false">Sens!$J$5805/Sens!$J$5806</f>
        <v>11.9873844337644</v>
      </c>
      <c r="K5809" s="30" t="n">
        <f aca="false">Sens!$K$5805/Sens!$K$5806</f>
        <v>12.8246432021703</v>
      </c>
      <c r="L5809" s="30" t="n">
        <f aca="false">Sens!$L$5805/Sens!$L$5806</f>
        <v>13.8806919393957</v>
      </c>
      <c r="M5809" s="30" t="n">
        <f aca="false">Sens!$M$5805/Sens!$M$5806</f>
        <v>15.0379836376038</v>
      </c>
    </row>
    <row r="5810" customFormat="false" ht="17.15" hidden="false" customHeight="false" outlineLevel="0" collapsed="false">
      <c r="A5810" s="0" t="s">
        <v>759</v>
      </c>
      <c r="B5810" s="0" t="s">
        <v>27</v>
      </c>
      <c r="C5810" s="30" t="n">
        <f aca="false">(Sens!$C$5805-Sens!$C$5802*(1-tax))/Sens!$C$5806</f>
        <v>5.33926775917445</v>
      </c>
      <c r="D5810" s="30" t="n">
        <f aca="false">(Sens!$D$5805-Sens!$D$5802*(1-tax))/Sens!$D$5806</f>
        <v>5.67691812755503</v>
      </c>
      <c r="E5810" s="30" t="n">
        <f aca="false">(Sens!$E$5805-Sens!$E$5802*(1-tax))/Sens!$E$5806</f>
        <v>3.10602057006846</v>
      </c>
      <c r="G5810" s="30" t="n">
        <f aca="false">(Sens!$G$5805-Sens!$G$5802*(1-tax))/Sens!$G$5806</f>
        <v>7.33425269682635</v>
      </c>
      <c r="H5810" s="30" t="n">
        <f aca="false">(Sens!$H$5805-Sens!$H$5802*(1-tax))/Sens!$H$5806</f>
        <v>9.59778182509639</v>
      </c>
      <c r="I5810" s="30" t="n">
        <f aca="false">(Sens!$I$5805-Sens!$I$5802*(1-tax))/Sens!$I$5806</f>
        <v>10.799688520506</v>
      </c>
      <c r="J5810" s="30" t="n">
        <f aca="false">(Sens!$J$5805-Sens!$J$5802*(1-tax))/Sens!$J$5806</f>
        <v>11.9873844337644</v>
      </c>
      <c r="K5810" s="30" t="n">
        <f aca="false">(Sens!$K$5805-Sens!$K$5802*(1-tax))/Sens!$K$5806</f>
        <v>12.8246432021703</v>
      </c>
      <c r="L5810" s="30" t="n">
        <f aca="false">(Sens!$L$5805-Sens!$L$5802*(1-tax))/Sens!$L$5806</f>
        <v>13.8806919393957</v>
      </c>
      <c r="M5810" s="30" t="n">
        <f aca="false">(Sens!$M$5805-Sens!$M$5802*(1-tax))/Sens!$M$5806</f>
        <v>15.0379836376038</v>
      </c>
      <c r="P5810" s="5" t="s">
        <v>760</v>
      </c>
    </row>
    <row r="5811" customFormat="false" ht="17.15" hidden="false" customHeight="false" outlineLevel="0" collapsed="false">
      <c r="A5811" s="0" t="s">
        <v>761</v>
      </c>
      <c r="B5811" s="0" t="s">
        <v>52</v>
      </c>
      <c r="H5811" s="13" t="n">
        <f aca="false">Sens!$H$5808/Sens!$G$5808-1</f>
        <v>-0.175923504437261</v>
      </c>
      <c r="I5811" s="13" t="n">
        <f aca="false">Sens!$I$5808/Sens!$H$5808-1</f>
        <v>0.183361241519136</v>
      </c>
      <c r="J5811" s="13" t="n">
        <f aca="false">Sens!$J$5808/Sens!$I$5808-1</f>
        <v>0.153136911936991</v>
      </c>
      <c r="K5811" s="13" t="n">
        <f aca="false">Sens!$K$5808/Sens!$J$5808-1</f>
        <v>0.100722340199257</v>
      </c>
      <c r="L5811" s="13" t="n">
        <f aca="false">Sens!$L$5808/Sens!$K$5808-1</f>
        <v>0.0912815135186056</v>
      </c>
      <c r="M5811" s="13" t="n">
        <f aca="false">Sens!$M$5808/Sens!$L$5808-1</f>
        <v>0.0770251377327536</v>
      </c>
    </row>
    <row r="5814" customFormat="false" ht="19.4" hidden="false" customHeight="false" outlineLevel="0" collapsed="false">
      <c r="A5814" s="31" t="s">
        <v>1253</v>
      </c>
    </row>
    <row r="5815" customFormat="false" ht="17.15" hidden="false" customHeight="false" outlineLevel="0" collapsed="false">
      <c r="A5815" s="6" t="s">
        <v>16</v>
      </c>
      <c r="B5815" s="6" t="s">
        <v>17</v>
      </c>
      <c r="C5815" s="20" t="s">
        <v>497</v>
      </c>
      <c r="D5815" s="20" t="s">
        <v>498</v>
      </c>
      <c r="E5815" s="20" t="s">
        <v>580</v>
      </c>
      <c r="F5815" s="20" t="s">
        <v>581</v>
      </c>
      <c r="G5815" s="20" t="s">
        <v>582</v>
      </c>
      <c r="H5815" s="20" t="s">
        <v>583</v>
      </c>
      <c r="I5815" s="20" t="s">
        <v>584</v>
      </c>
      <c r="J5815" s="20" t="s">
        <v>585</v>
      </c>
      <c r="K5815" s="20" t="s">
        <v>586</v>
      </c>
      <c r="L5815" s="20" t="s">
        <v>587</v>
      </c>
      <c r="M5815" s="20" t="s">
        <v>588</v>
      </c>
      <c r="N5815" s="20" t="s">
        <v>589</v>
      </c>
      <c r="O5815" s="20" t="s">
        <v>590</v>
      </c>
      <c r="P5815" s="6" t="s">
        <v>23</v>
      </c>
      <c r="R5815" s="20" t="n">
        <v>2023</v>
      </c>
      <c r="S5815" s="20" t="n">
        <v>2024</v>
      </c>
      <c r="T5815" s="20" t="n">
        <v>2025</v>
      </c>
      <c r="U5815" s="20" t="n">
        <v>2026</v>
      </c>
      <c r="V5815" s="20" t="n">
        <v>2027</v>
      </c>
      <c r="W5815" s="20" t="n">
        <v>2028</v>
      </c>
      <c r="X5815" s="20" t="n">
        <v>2029</v>
      </c>
      <c r="Y5815" s="20" t="n">
        <v>2030</v>
      </c>
      <c r="Z5815" s="20" t="n">
        <v>2031</v>
      </c>
      <c r="AA5815" s="20" t="n">
        <v>2032</v>
      </c>
    </row>
    <row r="5816" customFormat="false" ht="15" hidden="false" customHeight="false" outlineLevel="0" collapsed="false">
      <c r="A5816" s="5" t="s">
        <v>549</v>
      </c>
      <c r="B5816" s="0" t="s">
        <v>86</v>
      </c>
      <c r="C5816" s="38" t="n">
        <f aca="false">Sens!$C$5805</f>
        <v>59.248</v>
      </c>
      <c r="D5816" s="38" t="n">
        <f aca="false">Sens!$D$5805</f>
        <v>77.67</v>
      </c>
      <c r="E5816" s="38" t="n">
        <f aca="false">Sens!$E$5805</f>
        <v>92.902</v>
      </c>
      <c r="F5816" s="38" t="n">
        <f aca="false">Sens!$F$5805</f>
        <v>46.3053828906144</v>
      </c>
      <c r="G5816" s="38" t="n">
        <f aca="false">Sens!$G$5805</f>
        <v>139.207382890614</v>
      </c>
      <c r="H5816" s="38" t="n">
        <f aca="false">Sens!$H$5805</f>
        <v>105.69273570526</v>
      </c>
      <c r="I5816" s="38" t="n">
        <f aca="false">Sens!$I$5805</f>
        <v>119.879804986231</v>
      </c>
      <c r="J5816" s="38" t="n">
        <f aca="false">Sens!$J$5805</f>
        <v>134.128097114092</v>
      </c>
      <c r="K5816" s="38" t="n">
        <f aca="false">Sens!$K$5805</f>
        <v>144.644243151279</v>
      </c>
      <c r="L5816" s="38" t="n">
        <f aca="false">Sens!$L$5805</f>
        <v>157.807452848854</v>
      </c>
      <c r="M5816" s="38" t="n">
        <f aca="false">Sens!$M$5805</f>
        <v>172.33224045514</v>
      </c>
    </row>
    <row r="5817" customFormat="false" ht="17.15" hidden="false" customHeight="false" outlineLevel="0" collapsed="false">
      <c r="A5817" s="5" t="s">
        <v>784</v>
      </c>
      <c r="B5817" s="0" t="s">
        <v>86</v>
      </c>
      <c r="C5817" s="38" t="n">
        <f aca="false">Sens!$C$5793</f>
        <v>32.067</v>
      </c>
      <c r="D5817" s="38" t="n">
        <f aca="false">Sens!$D$5793</f>
        <v>41.86</v>
      </c>
      <c r="E5817" s="38" t="n">
        <f aca="false">Sens!$E$5793</f>
        <v>26.703</v>
      </c>
      <c r="F5817" s="38" t="n">
        <f aca="false">Sens!$F$5793</f>
        <v>28.2071421626285</v>
      </c>
      <c r="G5817" s="38" t="n">
        <f aca="false">Sens!$G$5793</f>
        <v>54.9101421626285</v>
      </c>
      <c r="H5817" s="38" t="n">
        <f aca="false">Sens!$H$5793</f>
        <v>78.1799395827871</v>
      </c>
      <c r="I5817" s="38" t="n">
        <f aca="false">Sens!$I$5793</f>
        <v>111.171125554384</v>
      </c>
      <c r="J5817" s="38" t="n">
        <f aca="false">Sens!$J$5793</f>
        <v>144.884406220971</v>
      </c>
      <c r="K5817" s="38" t="n">
        <f aca="false">Sens!$K$5793</f>
        <v>178.806419437999</v>
      </c>
      <c r="L5817" s="38" t="n">
        <f aca="false">Sens!$L$5793</f>
        <v>204.731408613016</v>
      </c>
      <c r="M5817" s="38" t="n">
        <f aca="false">Sens!$M$5793</f>
        <v>224.300786745448</v>
      </c>
    </row>
    <row r="5818" customFormat="false" ht="15" hidden="false" customHeight="false" outlineLevel="0" collapsed="false">
      <c r="A5818" s="5" t="s">
        <v>785</v>
      </c>
      <c r="B5818" s="0" t="s">
        <v>86</v>
      </c>
      <c r="C5818" s="38" t="n">
        <f aca="false">Q!$D$48</f>
        <v>22.011</v>
      </c>
      <c r="D5818" s="38" t="n">
        <f aca="false">Q!$E$48</f>
        <v>19.467</v>
      </c>
      <c r="E5818" s="38" t="n">
        <f aca="false">Q!$P$48</f>
        <v>10.07</v>
      </c>
      <c r="F5818" s="38" t="n">
        <f aca="false">sbc_r*Sens!$F$5735</f>
        <v>10.8507035798037</v>
      </c>
      <c r="G5818" s="38" t="n">
        <f aca="false">Sens!$E$5818+Sens!$F$5818</f>
        <v>20.9207035798037</v>
      </c>
      <c r="H5818" s="38" t="n">
        <f aca="false">sbc_r*Sens!$H$5735</f>
        <v>23.46224366345</v>
      </c>
      <c r="I5818" s="38" t="n">
        <f aca="false">sbc_r*Sens!$I$5735</f>
        <v>26.6125957111676</v>
      </c>
      <c r="J5818" s="38" t="n">
        <f aca="false">sbc_r*Sens!$J$5735</f>
        <v>29.6280801413323</v>
      </c>
      <c r="K5818" s="38" t="n">
        <f aca="false">sbc_r*Sens!$K$5735</f>
        <v>32.2783466626501</v>
      </c>
      <c r="L5818" s="38" t="n">
        <f aca="false">sbc_r*Sens!$L$5735</f>
        <v>34.7673634382331</v>
      </c>
      <c r="M5818" s="38" t="n">
        <f aca="false">sbc_r*Sens!$M$5735</f>
        <v>37.1041186491569</v>
      </c>
    </row>
    <row r="5819" customFormat="false" ht="17.15" hidden="false" customHeight="false" outlineLevel="0" collapsed="false">
      <c r="A5819" s="5" t="s">
        <v>786</v>
      </c>
      <c r="B5819" s="0" t="s">
        <v>86</v>
      </c>
      <c r="C5819" s="38" t="n">
        <f aca="false">Q!$D$44-Sens!$C$5816-Sens!$C$5817-Sens!$C$5818</f>
        <v>2.551</v>
      </c>
      <c r="D5819" s="38" t="n">
        <f aca="false">Q!$E$44-Sens!$D$5816-Sens!$D$5817-Sens!$D$5818</f>
        <v>0.51700000000001</v>
      </c>
      <c r="E5819" s="38" t="n">
        <f aca="false">Q!$P$44-Sens!$E$5816-Sens!$E$5817-Sens!$E$5818</f>
        <v>-58.256</v>
      </c>
      <c r="F5819" s="38" t="n">
        <f aca="false">oth_r*Sens!$F$5735</f>
        <v>5.22265251035878</v>
      </c>
      <c r="G5819" s="38" t="n">
        <f aca="false">Sens!$E$5819+Sens!$F$5819</f>
        <v>-53.0333474896412</v>
      </c>
      <c r="H5819" s="38" t="n">
        <f aca="false">oth_r*Sens!$H$5735</f>
        <v>11.2928295263397</v>
      </c>
      <c r="I5819" s="38" t="n">
        <f aca="false">oth_r*Sens!$I$5735</f>
        <v>12.8091546115766</v>
      </c>
      <c r="J5819" s="38" t="n">
        <f aca="false">oth_r*Sens!$J$5735</f>
        <v>14.2605653162668</v>
      </c>
      <c r="K5819" s="38" t="n">
        <f aca="false">oth_r*Sens!$K$5735</f>
        <v>15.5361896109386</v>
      </c>
      <c r="L5819" s="38" t="n">
        <f aca="false">oth_r*Sens!$L$5735</f>
        <v>16.7342012989106</v>
      </c>
      <c r="M5819" s="38" t="n">
        <f aca="false">oth_r*Sens!$M$5735</f>
        <v>17.8589265647579</v>
      </c>
      <c r="P5819" s="8" t="s">
        <v>787</v>
      </c>
    </row>
    <row r="5820" customFormat="false" ht="15" hidden="false" customHeight="false" outlineLevel="0" collapsed="false">
      <c r="A5820" s="3" t="s">
        <v>555</v>
      </c>
      <c r="B5820" s="8" t="s">
        <v>86</v>
      </c>
      <c r="C5820" s="38" t="n">
        <f aca="false">Q!$D$44</f>
        <v>115.877</v>
      </c>
      <c r="D5820" s="38" t="n">
        <f aca="false">Q!$E$44</f>
        <v>139.514</v>
      </c>
      <c r="E5820" s="38" t="n">
        <f aca="false">Q!$P$44</f>
        <v>71.419</v>
      </c>
      <c r="F5820" s="38" t="n">
        <f aca="false">Sens!$F$5816+Sens!$F$5817+Sens!$F$5818+Sens!$F$5819</f>
        <v>90.5858811434053</v>
      </c>
      <c r="G5820" s="38" t="n">
        <f aca="false">Sens!$E$5820+Sens!$F$5820</f>
        <v>162.004881143405</v>
      </c>
      <c r="H5820" s="38" t="n">
        <f aca="false">Sens!$H$5816+Sens!$H$5817+Sens!$H$5818+Sens!$H$5819</f>
        <v>218.627748477837</v>
      </c>
      <c r="I5820" s="38" t="n">
        <f aca="false">Sens!$I$5816+Sens!$I$5817+Sens!$I$5818+Sens!$I$5819</f>
        <v>270.47268086336</v>
      </c>
      <c r="J5820" s="38" t="n">
        <f aca="false">Sens!$J$5816+Sens!$J$5817+Sens!$J$5818+Sens!$J$5819</f>
        <v>322.901148792662</v>
      </c>
      <c r="K5820" s="38" t="n">
        <f aca="false">Sens!$K$5816+Sens!$K$5817+Sens!$K$5818+Sens!$K$5819</f>
        <v>371.265198862867</v>
      </c>
      <c r="L5820" s="38" t="n">
        <f aca="false">Sens!$L$5816+Sens!$L$5817+Sens!$L$5818+Sens!$L$5819</f>
        <v>414.040426199014</v>
      </c>
      <c r="M5820" s="38" t="n">
        <f aca="false">Sens!$M$5816+Sens!$M$5817+Sens!$M$5818+Sens!$M$5819</f>
        <v>451.596072414503</v>
      </c>
    </row>
    <row r="5821" customFormat="false" ht="17.15" hidden="false" customHeight="false" outlineLevel="0" collapsed="false">
      <c r="A5821" s="5" t="s">
        <v>788</v>
      </c>
      <c r="B5821" s="0" t="s">
        <v>86</v>
      </c>
      <c r="C5821" s="38" t="n">
        <f aca="false">Sens!$C$5702</f>
        <v>25.2781053077374</v>
      </c>
      <c r="D5821" s="38" t="n">
        <f aca="false">Sens!$D$5702</f>
        <v>69.5686316310026</v>
      </c>
      <c r="E5821" s="38" t="n">
        <f aca="false">Sens!$E$5702</f>
        <v>64.1899206485108</v>
      </c>
      <c r="F5821" s="38" t="n">
        <f aca="false">Sens!$F$5702</f>
        <v>96.2481299895</v>
      </c>
      <c r="G5821" s="38" t="n">
        <f aca="false">Sens!$G$5702</f>
        <v>160.438050638011</v>
      </c>
      <c r="H5821" s="38" t="n">
        <f aca="false">Sens!$H$5702</f>
        <v>198.57136494475</v>
      </c>
      <c r="I5821" s="38" t="n">
        <f aca="false">Sens!$I$5702</f>
        <v>204.6464699105</v>
      </c>
      <c r="J5821" s="38" t="n">
        <f aca="false">Sens!$J$5702</f>
        <v>209.8832381105</v>
      </c>
      <c r="K5821" s="38" t="n">
        <f aca="false">Sens!$K$5702</f>
        <v>158.016341586823</v>
      </c>
      <c r="L5821" s="38" t="n">
        <f aca="false">Sens!$L$5702</f>
        <v>137.570054263147</v>
      </c>
      <c r="M5821" s="38" t="n">
        <f aca="false">Sens!$M$5702</f>
        <v>140.56485059472</v>
      </c>
    </row>
    <row r="5822" customFormat="false" ht="17.15" hidden="false" customHeight="false" outlineLevel="0" collapsed="false">
      <c r="A5822" s="5" t="s">
        <v>789</v>
      </c>
      <c r="B5822" s="0" t="s">
        <v>86</v>
      </c>
      <c r="C5822" s="38" t="n">
        <f aca="false">cx_awso*Sens!$C$5733</f>
        <v>21.0469989286053</v>
      </c>
      <c r="D5822" s="38" t="n">
        <f aca="false">cx_awso*Sens!$D$5733</f>
        <v>24.0042459822698</v>
      </c>
      <c r="E5822" s="38" t="n">
        <f aca="false">cx_awso*Sens!$E$5733</f>
        <v>14.261729404886</v>
      </c>
      <c r="F5822" s="38" t="n">
        <f aca="false">cx_awso*Sens!$F$5733</f>
        <v>14.3538599588493</v>
      </c>
      <c r="G5822" s="38" t="n">
        <f aca="false">Sens!$E$5822+Sens!$F$5822</f>
        <v>28.6155893637353</v>
      </c>
      <c r="H5822" s="38" t="n">
        <f aca="false">cx_awso*Sens!$H$5733</f>
        <v>32.2034154158406</v>
      </c>
      <c r="I5822" s="38" t="n">
        <f aca="false">cx_awso*Sens!$I$5733</f>
        <v>35.7539519042915</v>
      </c>
      <c r="J5822" s="38" t="n">
        <f aca="false">cx_awso*Sens!$J$5733</f>
        <v>39.1551076091815</v>
      </c>
      <c r="K5822" s="38" t="n">
        <f aca="false">cx_awso*Sens!$K$5733</f>
        <v>42.287516217916</v>
      </c>
      <c r="L5822" s="38" t="n">
        <f aca="false">cx_awso*Sens!$L$5733</f>
        <v>45.6705175153492</v>
      </c>
      <c r="M5822" s="38" t="n">
        <f aca="false">cx_awso*Sens!$M$5733</f>
        <v>49.3241589165772</v>
      </c>
    </row>
    <row r="5823" customFormat="false" ht="17.15" hidden="false" customHeight="false" outlineLevel="0" collapsed="false">
      <c r="A5823" s="5" t="s">
        <v>790</v>
      </c>
      <c r="B5823" s="0" t="s">
        <v>86</v>
      </c>
      <c r="C5823" s="38" t="n">
        <f aca="false">Q!$D$46-Sens!$C$5821-Sens!$C$5822</f>
        <v>31.3328957636573</v>
      </c>
      <c r="D5823" s="38" t="n">
        <f aca="false">Q!$E$46-Sens!$D$5821-Sens!$D$5822</f>
        <v>34.7471223867276</v>
      </c>
      <c r="E5823" s="38" t="n">
        <f aca="false">Q!$P$46-Sens!$E$5821-Sens!$E$5822</f>
        <v>17.8583499466032</v>
      </c>
      <c r="F5823" s="38" t="n">
        <f aca="false">cx_rt*Sens!$F$5665</f>
        <v>20.6195895799373</v>
      </c>
      <c r="G5823" s="38" t="n">
        <f aca="false">Sens!$E$5823+Sens!$F$5823</f>
        <v>38.4779395265405</v>
      </c>
      <c r="H5823" s="38" t="n">
        <f aca="false">cx_rt*Sens!$H$5665</f>
        <v>42.5978994743075</v>
      </c>
      <c r="I5823" s="38" t="n">
        <f aca="false">cx_rt*Sens!$I$5665</f>
        <v>46.5813904136335</v>
      </c>
      <c r="J5823" s="38" t="n">
        <f aca="false">cx_rt*Sens!$J$5665</f>
        <v>50.2781676586844</v>
      </c>
      <c r="K5823" s="38" t="n">
        <f aca="false">cx_rt*Sens!$K$5665</f>
        <v>53.5312440191755</v>
      </c>
      <c r="L5823" s="38" t="n">
        <f aca="false">cx_rt*Sens!$L$5665</f>
        <v>57.0116717051447</v>
      </c>
      <c r="M5823" s="38" t="n">
        <f aca="false">cx_rt*Sens!$M$5665</f>
        <v>60.7365554669226</v>
      </c>
    </row>
    <row r="5824" customFormat="false" ht="15" hidden="false" customHeight="false" outlineLevel="0" collapsed="false">
      <c r="A5824" s="3" t="s">
        <v>791</v>
      </c>
      <c r="B5824" s="8" t="s">
        <v>86</v>
      </c>
      <c r="C5824" s="38" t="n">
        <f aca="false">Q!$D$46</f>
        <v>77.658</v>
      </c>
      <c r="D5824" s="38" t="n">
        <f aca="false">Q!$E$46</f>
        <v>128.32</v>
      </c>
      <c r="E5824" s="38" t="n">
        <f aca="false">Q!$P$46</f>
        <v>96.31</v>
      </c>
      <c r="F5824" s="38" t="n">
        <f aca="false">Sens!$F$5821+Sens!$F$5822+Sens!$F$5823</f>
        <v>131.221579528287</v>
      </c>
      <c r="G5824" s="38" t="n">
        <f aca="false">Sens!$E$5824+Sens!$F$5824</f>
        <v>227.531579528287</v>
      </c>
      <c r="H5824" s="38" t="n">
        <f aca="false">Sens!$H$5821+Sens!$H$5822+Sens!$H$5823</f>
        <v>273.372679834898</v>
      </c>
      <c r="I5824" s="38" t="n">
        <f aca="false">Sens!$I$5821+Sens!$I$5822+Sens!$I$5823</f>
        <v>286.981812228425</v>
      </c>
      <c r="J5824" s="38" t="n">
        <f aca="false">Sens!$J$5821+Sens!$J$5822+Sens!$J$5823</f>
        <v>299.316513378366</v>
      </c>
      <c r="K5824" s="38" t="n">
        <f aca="false">Sens!$K$5821+Sens!$K$5822+Sens!$K$5823</f>
        <v>253.835101823915</v>
      </c>
      <c r="L5824" s="38" t="n">
        <f aca="false">Sens!$L$5821+Sens!$L$5822+Sens!$L$5823</f>
        <v>240.252243483641</v>
      </c>
      <c r="M5824" s="38" t="n">
        <f aca="false">Sens!$M$5821+Sens!$M$5822+Sens!$M$5823</f>
        <v>250.62556497822</v>
      </c>
    </row>
    <row r="5825" customFormat="false" ht="17.15" hidden="false" customHeight="false" outlineLevel="0" collapsed="false">
      <c r="A5825" s="5" t="s">
        <v>563</v>
      </c>
      <c r="B5825" s="0" t="s">
        <v>86</v>
      </c>
      <c r="C5825" s="38" t="n">
        <f aca="false">Q!$D$50</f>
        <v>2.043</v>
      </c>
      <c r="D5825" s="38" t="n">
        <f aca="false">Q!$E$50</f>
        <v>1.557</v>
      </c>
      <c r="E5825" s="38" t="n">
        <f aca="false">lease_pr/2</f>
        <v>0.8</v>
      </c>
      <c r="F5825" s="38" t="n">
        <f aca="false">lease_pr/2</f>
        <v>0.8</v>
      </c>
      <c r="G5825" s="38" t="n">
        <f aca="false">Sens!$E$5825+Sens!$F$5825</f>
        <v>1.6</v>
      </c>
      <c r="H5825" s="38" t="n">
        <f aca="false">lease_pr</f>
        <v>1.6</v>
      </c>
      <c r="I5825" s="38" t="n">
        <f aca="false">lease_pr</f>
        <v>1.6</v>
      </c>
      <c r="J5825" s="38" t="n">
        <f aca="false">lease_pr</f>
        <v>1.6</v>
      </c>
      <c r="K5825" s="38" t="n">
        <f aca="false">lease_pr</f>
        <v>1.6</v>
      </c>
      <c r="L5825" s="38" t="n">
        <f aca="false">lease_pr</f>
        <v>1.6</v>
      </c>
      <c r="M5825" s="38" t="n">
        <f aca="false">lease_pr</f>
        <v>1.6</v>
      </c>
      <c r="P5825" s="8" t="s">
        <v>792</v>
      </c>
    </row>
    <row r="5826" customFormat="false" ht="15" hidden="false" customHeight="false" outlineLevel="0" collapsed="false">
      <c r="A5826" s="47" t="s">
        <v>793</v>
      </c>
      <c r="B5826" s="14" t="s">
        <v>86</v>
      </c>
      <c r="C5826" s="48" t="n">
        <f aca="false">Sens!$C$5820-Sens!$C$5824-Sens!$C$5825</f>
        <v>36.176</v>
      </c>
      <c r="D5826" s="48" t="n">
        <f aca="false">Sens!$D$5820-Sens!$D$5824-Sens!$D$5825</f>
        <v>9.63700000000002</v>
      </c>
      <c r="E5826" s="48" t="n">
        <f aca="false">Sens!$E$5820-Sens!$E$5824-Sens!$E$5825</f>
        <v>-25.691</v>
      </c>
      <c r="F5826" s="48" t="n">
        <f aca="false">Sens!$F$5820-Sens!$F$5824-Sens!$F$5825</f>
        <v>-41.4356983848813</v>
      </c>
      <c r="G5826" s="48" t="n">
        <f aca="false">Sens!$G$5820-Sens!$G$5824-Sens!$G$5825</f>
        <v>-67.1266983848813</v>
      </c>
      <c r="H5826" s="48" t="n">
        <f aca="false">Sens!$H$5820-Sens!$H$5824-Sens!$H$5825</f>
        <v>-56.3449313570613</v>
      </c>
      <c r="I5826" s="48" t="n">
        <f aca="false">Sens!$I$5820-Sens!$I$5824-Sens!$I$5825</f>
        <v>-18.1091313650653</v>
      </c>
      <c r="J5826" s="48" t="n">
        <f aca="false">Sens!$J$5820-Sens!$J$5824-Sens!$J$5825</f>
        <v>21.9846354142961</v>
      </c>
      <c r="K5826" s="48" t="n">
        <f aca="false">Sens!$K$5820-Sens!$K$5824-Sens!$K$5825</f>
        <v>115.830097038952</v>
      </c>
      <c r="L5826" s="48" t="n">
        <f aca="false">Sens!$L$5820-Sens!$L$5824-Sens!$L$5825</f>
        <v>172.188182715373</v>
      </c>
      <c r="M5826" s="48" t="n">
        <f aca="false">Sens!$M$5820-Sens!$M$5824-Sens!$M$5825</f>
        <v>199.370507436283</v>
      </c>
      <c r="N5826" s="14"/>
      <c r="O5826" s="14"/>
    </row>
    <row r="5827" customFormat="false" ht="17.15" hidden="false" customHeight="false" outlineLevel="0" collapsed="false">
      <c r="A5827" s="5" t="s">
        <v>794</v>
      </c>
      <c r="B5827" s="0" t="s">
        <v>86</v>
      </c>
      <c r="C5827" s="38" t="n">
        <f aca="false">dps*Sens!$C$5806</f>
        <v>0</v>
      </c>
      <c r="D5827" s="38" t="n">
        <f aca="false">dps*Sens!$D$5806</f>
        <v>0</v>
      </c>
      <c r="E5827" s="38" t="n">
        <f aca="false">dps*Sens!$E$5806</f>
        <v>0</v>
      </c>
      <c r="F5827" s="38" t="n">
        <f aca="false">0</f>
        <v>0</v>
      </c>
      <c r="G5827" s="38" t="n">
        <f aca="false">dps*Sens!$G$5806</f>
        <v>0</v>
      </c>
      <c r="H5827" s="38" t="n">
        <f aca="false">dps*Sens!$H$5806</f>
        <v>0</v>
      </c>
      <c r="I5827" s="38" t="n">
        <f aca="false">dps*Sens!$I$5806</f>
        <v>0</v>
      </c>
      <c r="J5827" s="38" t="n">
        <f aca="false">dps*Sens!$J$5806</f>
        <v>0</v>
      </c>
      <c r="K5827" s="38" t="n">
        <f aca="false">dps*Sens!$K$5806</f>
        <v>0</v>
      </c>
      <c r="L5827" s="38" t="n">
        <f aca="false">dps*Sens!$L$5806</f>
        <v>0</v>
      </c>
      <c r="M5827" s="38" t="n">
        <f aca="false">dps*Sens!$M$5806</f>
        <v>0</v>
      </c>
      <c r="P5827" s="8" t="s">
        <v>795</v>
      </c>
    </row>
    <row r="5828" customFormat="false" ht="17.15" hidden="false" customHeight="false" outlineLevel="0" collapsed="false">
      <c r="A5828" s="5" t="s">
        <v>796</v>
      </c>
      <c r="B5828" s="0" t="s">
        <v>86</v>
      </c>
      <c r="C5828" s="38" t="n">
        <f aca="false">0</f>
        <v>0</v>
      </c>
      <c r="D5828" s="38" t="n">
        <f aca="false">0</f>
        <v>0</v>
      </c>
      <c r="E5828" s="38" t="n">
        <f aca="false">0</f>
        <v>0</v>
      </c>
      <c r="F5828" s="38" t="n">
        <f aca="false">0</f>
        <v>0</v>
      </c>
      <c r="G5828" s="38" t="n">
        <f aca="false">0</f>
        <v>0</v>
      </c>
      <c r="H5828" s="38" t="n">
        <f aca="false">0</f>
        <v>0</v>
      </c>
      <c r="I5828" s="38" t="n">
        <f aca="false">0</f>
        <v>0</v>
      </c>
      <c r="J5828" s="38" t="n">
        <f aca="false">0</f>
        <v>0</v>
      </c>
      <c r="K5828" s="38" t="n">
        <f aca="false">0</f>
        <v>0</v>
      </c>
      <c r="L5828" s="38" t="n">
        <f aca="false">0</f>
        <v>0</v>
      </c>
      <c r="M5828" s="38" t="n">
        <f aca="false">0</f>
        <v>0</v>
      </c>
      <c r="P5828" s="8" t="s">
        <v>797</v>
      </c>
    </row>
    <row r="5829" customFormat="false" ht="15" hidden="false" customHeight="false" outlineLevel="0" collapsed="false">
      <c r="A5829" s="3" t="s">
        <v>798</v>
      </c>
      <c r="B5829" s="8" t="s">
        <v>86</v>
      </c>
      <c r="C5829" s="38" t="n">
        <f aca="false">Sens!$C$5826-Sens!$C$5827</f>
        <v>36.176</v>
      </c>
      <c r="D5829" s="38" t="n">
        <f aca="false">Sens!$D$5826-Sens!$D$5827</f>
        <v>9.63700000000002</v>
      </c>
      <c r="E5829" s="38" t="n">
        <f aca="false">Sens!$E$5826-Sens!$E$5827</f>
        <v>-25.691</v>
      </c>
      <c r="F5829" s="38" t="n">
        <f aca="false">Sens!$F$5826-Sens!$F$5827</f>
        <v>-41.4356983848813</v>
      </c>
      <c r="G5829" s="38" t="n">
        <f aca="false">Sens!$G$5826-Sens!$G$5827</f>
        <v>-67.1266983848813</v>
      </c>
      <c r="H5829" s="38" t="n">
        <f aca="false">Sens!$H$5826-Sens!$H$5827</f>
        <v>-56.3449313570613</v>
      </c>
      <c r="I5829" s="38" t="n">
        <f aca="false">Sens!$I$5826-Sens!$I$5827</f>
        <v>-18.1091313650653</v>
      </c>
      <c r="J5829" s="38" t="n">
        <f aca="false">Sens!$J$5826-Sens!$J$5827</f>
        <v>21.9846354142961</v>
      </c>
      <c r="K5829" s="38" t="n">
        <f aca="false">Sens!$K$5826-Sens!$K$5827</f>
        <v>115.830097038952</v>
      </c>
      <c r="L5829" s="38" t="n">
        <f aca="false">Sens!$L$5826-Sens!$L$5827</f>
        <v>172.188182715373</v>
      </c>
      <c r="M5829" s="38" t="n">
        <f aca="false">Sens!$M$5826-Sens!$M$5827</f>
        <v>199.370507436283</v>
      </c>
    </row>
    <row r="5830" customFormat="false" ht="17.15" hidden="false" customHeight="false" outlineLevel="0" collapsed="false">
      <c r="A5830" s="5" t="s">
        <v>799</v>
      </c>
      <c r="B5830" s="0" t="s">
        <v>86</v>
      </c>
      <c r="E5830" s="38" t="n">
        <f aca="false">Q!$P$53</f>
        <v>39.767</v>
      </c>
      <c r="F5830" s="38" t="n">
        <f aca="false">inv_2h26</f>
        <v>21.3</v>
      </c>
      <c r="G5830" s="38" t="n">
        <f aca="false">Sens!$E$5830+Sens!$F$5830</f>
        <v>61.067</v>
      </c>
      <c r="H5830" s="39" t="n">
        <v>0</v>
      </c>
      <c r="I5830" s="39" t="n">
        <v>0</v>
      </c>
      <c r="J5830" s="39" t="n">
        <v>0</v>
      </c>
      <c r="K5830" s="39" t="n">
        <v>0</v>
      </c>
      <c r="L5830" s="39" t="n">
        <v>0</v>
      </c>
      <c r="M5830" s="39" t="n">
        <v>0</v>
      </c>
    </row>
    <row r="5831" customFormat="false" ht="17.15" hidden="false" customHeight="false" outlineLevel="0" collapsed="false">
      <c r="A5831" s="5" t="s">
        <v>800</v>
      </c>
      <c r="B5831" s="0" t="s">
        <v>86</v>
      </c>
      <c r="F5831" s="38" t="n">
        <f aca="false">iss_2h26</f>
        <v>29.249999</v>
      </c>
      <c r="G5831" s="38" t="n">
        <f aca="false">Sens!$F$5831</f>
        <v>29.249999</v>
      </c>
      <c r="H5831" s="39" t="n">
        <v>0</v>
      </c>
      <c r="I5831" s="39" t="n">
        <v>0</v>
      </c>
      <c r="J5831" s="39" t="n">
        <v>0</v>
      </c>
      <c r="K5831" s="39" t="n">
        <v>0</v>
      </c>
      <c r="L5831" s="39" t="n">
        <v>0</v>
      </c>
      <c r="M5831" s="39" t="n">
        <v>0</v>
      </c>
    </row>
    <row r="5832" customFormat="false" ht="17.15" hidden="false" customHeight="false" outlineLevel="0" collapsed="false">
      <c r="A5832" s="5" t="s">
        <v>801</v>
      </c>
      <c r="B5832" s="0" t="s">
        <v>86</v>
      </c>
      <c r="F5832" s="38" t="n">
        <f aca="false">cash_q2</f>
        <v>122.988</v>
      </c>
      <c r="G5832" s="38" t="n">
        <f aca="false">cash_q2</f>
        <v>122.988</v>
      </c>
      <c r="H5832" s="38" t="n">
        <f aca="false">Sens!$G$5835</f>
        <v>89.5023006151187</v>
      </c>
      <c r="I5832" s="38" t="n">
        <f aca="false">Sens!$H$5835</f>
        <v>50</v>
      </c>
      <c r="J5832" s="38" t="n">
        <f aca="false">Sens!$I$5835</f>
        <v>50</v>
      </c>
      <c r="K5832" s="38" t="n">
        <f aca="false">Sens!$J$5835</f>
        <v>71.9846354142962</v>
      </c>
      <c r="L5832" s="38" t="n">
        <f aca="false">Sens!$K$5835</f>
        <v>187.814732453248</v>
      </c>
      <c r="M5832" s="38" t="n">
        <f aca="false">Sens!$L$5835</f>
        <v>360.002915168622</v>
      </c>
    </row>
    <row r="5833" customFormat="false" ht="15" hidden="false" customHeight="false" outlineLevel="0" collapsed="false">
      <c r="A5833" s="5" t="s">
        <v>802</v>
      </c>
      <c r="B5833" s="0" t="s">
        <v>86</v>
      </c>
      <c r="F5833" s="38" t="n">
        <f aca="false">Sens!$F$5832+Sens!$F$5829-Sens!$F$5828-Sens!$F$5830+Sens!$F$5831</f>
        <v>89.5023006151187</v>
      </c>
      <c r="H5833" s="38" t="n">
        <f aca="false">Sens!$H$5832+Sens!$H$5829-Sens!$H$5828-Sens!$H$5830+Sens!$H$5831</f>
        <v>33.1573692580575</v>
      </c>
      <c r="I5833" s="38" t="n">
        <f aca="false">Sens!$I$5832+Sens!$I$5829-Sens!$I$5828-Sens!$I$5830+Sens!$I$5831</f>
        <v>31.8908686349347</v>
      </c>
      <c r="J5833" s="38" t="n">
        <f aca="false">Sens!$J$5832+Sens!$J$5829-Sens!$J$5828-Sens!$J$5830+Sens!$J$5831</f>
        <v>71.9846354142962</v>
      </c>
      <c r="K5833" s="38" t="n">
        <f aca="false">Sens!$K$5832+Sens!$K$5829-Sens!$K$5828-Sens!$K$5830+Sens!$K$5831</f>
        <v>187.814732453248</v>
      </c>
      <c r="L5833" s="38" t="n">
        <f aca="false">Sens!$L$5832+Sens!$L$5829-Sens!$L$5828-Sens!$L$5830+Sens!$L$5831</f>
        <v>360.002915168622</v>
      </c>
      <c r="M5833" s="38" t="n">
        <f aca="false">Sens!$M$5832+Sens!$M$5829-Sens!$M$5828-Sens!$M$5830+Sens!$M$5831</f>
        <v>559.373422604905</v>
      </c>
    </row>
    <row r="5834" customFormat="false" ht="17.15" hidden="false" customHeight="false" outlineLevel="0" collapsed="false">
      <c r="A5834" s="5" t="s">
        <v>803</v>
      </c>
      <c r="B5834" s="0" t="s">
        <v>86</v>
      </c>
      <c r="F5834" s="38" t="n">
        <f aca="false">MAX(0,min_cash-Sens!$F$5833)</f>
        <v>0</v>
      </c>
      <c r="G5834" s="38" t="n">
        <f aca="false">Sens!$F$5834</f>
        <v>0</v>
      </c>
      <c r="H5834" s="38" t="n">
        <f aca="false">MAX(0,min_cash-Sens!$H$5833)</f>
        <v>16.8426307419426</v>
      </c>
      <c r="I5834" s="38" t="n">
        <f aca="false">MAX(0,min_cash-Sens!$I$5833)</f>
        <v>18.1091313650653</v>
      </c>
      <c r="J5834" s="38" t="n">
        <f aca="false">MAX(0,min_cash-Sens!$J$5833)</f>
        <v>0</v>
      </c>
      <c r="K5834" s="38" t="n">
        <f aca="false">MAX(0,min_cash-Sens!$K$5833)</f>
        <v>0</v>
      </c>
      <c r="L5834" s="38" t="n">
        <f aca="false">MAX(0,min_cash-Sens!$L$5833)</f>
        <v>0</v>
      </c>
      <c r="M5834" s="38" t="n">
        <f aca="false">MAX(0,min_cash-Sens!$M$5833)</f>
        <v>0</v>
      </c>
      <c r="P5834" s="5" t="s">
        <v>804</v>
      </c>
    </row>
    <row r="5835" customFormat="false" ht="15" hidden="false" customHeight="false" outlineLevel="0" collapsed="false">
      <c r="A5835" s="5" t="s">
        <v>805</v>
      </c>
      <c r="B5835" s="0" t="s">
        <v>86</v>
      </c>
      <c r="D5835" s="38" t="n">
        <f aca="false">Q!$E$61</f>
        <v>123.029</v>
      </c>
      <c r="E5835" s="38" t="n">
        <f aca="false">Q!$M$61</f>
        <v>122.988</v>
      </c>
      <c r="F5835" s="38" t="n">
        <f aca="false">Sens!$F$5833+Sens!$F$5834</f>
        <v>89.5023006151187</v>
      </c>
      <c r="G5835" s="38" t="n">
        <f aca="false">Sens!$F$5835</f>
        <v>89.5023006151187</v>
      </c>
      <c r="H5835" s="38" t="n">
        <f aca="false">Sens!$H$5833+Sens!$H$5834</f>
        <v>50</v>
      </c>
      <c r="I5835" s="38" t="n">
        <f aca="false">Sens!$I$5833+Sens!$I$5834</f>
        <v>50</v>
      </c>
      <c r="J5835" s="38" t="n">
        <f aca="false">Sens!$J$5833+Sens!$J$5834</f>
        <v>71.9846354142962</v>
      </c>
      <c r="K5835" s="38" t="n">
        <f aca="false">Sens!$K$5833+Sens!$K$5834</f>
        <v>187.814732453248</v>
      </c>
      <c r="L5835" s="38" t="n">
        <f aca="false">Sens!$L$5833+Sens!$L$5834</f>
        <v>360.002915168622</v>
      </c>
      <c r="M5835" s="38" t="n">
        <f aca="false">Sens!$M$5833+Sens!$M$5834</f>
        <v>559.373422604905</v>
      </c>
    </row>
    <row r="5836" customFormat="false" ht="15" hidden="false" customHeight="false" outlineLevel="0" collapsed="false">
      <c r="A5836" s="5" t="s">
        <v>806</v>
      </c>
      <c r="B5836" s="0" t="s">
        <v>86</v>
      </c>
      <c r="D5836" s="38" t="n">
        <f aca="false">Q!$E$62</f>
        <v>68.836</v>
      </c>
      <c r="E5836" s="38" t="n">
        <f aca="false">Q!$M$62</f>
        <v>132.995</v>
      </c>
      <c r="F5836" s="38" t="n">
        <f aca="false">debt_q2+Sens!$F$5831+Sens!$F$5834</f>
        <v>162.244999</v>
      </c>
      <c r="G5836" s="38" t="n">
        <f aca="false">Sens!$F$5836</f>
        <v>162.244999</v>
      </c>
      <c r="H5836" s="38" t="n">
        <f aca="false">Sens!$G$5836+Sens!$H$5834</f>
        <v>179.087629741943</v>
      </c>
      <c r="I5836" s="38" t="n">
        <f aca="false">Sens!$H$5836+Sens!$I$5834</f>
        <v>197.196761107008</v>
      </c>
      <c r="J5836" s="38" t="n">
        <f aca="false">Sens!$I$5836+Sens!$J$5834</f>
        <v>197.196761107008</v>
      </c>
      <c r="K5836" s="38" t="n">
        <f aca="false">Sens!$J$5836+Sens!$K$5834</f>
        <v>197.196761107008</v>
      </c>
      <c r="L5836" s="38" t="n">
        <f aca="false">Sens!$K$5836+Sens!$L$5834</f>
        <v>197.196761107008</v>
      </c>
      <c r="M5836" s="38" t="n">
        <f aca="false">Sens!$L$5836+Sens!$M$5834</f>
        <v>197.196761107008</v>
      </c>
    </row>
    <row r="5837" customFormat="false" ht="15" hidden="false" customHeight="false" outlineLevel="0" collapsed="false">
      <c r="A5837" s="5" t="s">
        <v>807</v>
      </c>
      <c r="B5837" s="0" t="s">
        <v>86</v>
      </c>
      <c r="D5837" s="38" t="n">
        <f aca="false">Sens!$D$5836-Sens!$D$5835</f>
        <v>-54.193</v>
      </c>
      <c r="E5837" s="38" t="n">
        <f aca="false">Sens!$E$5836-Sens!$E$5835</f>
        <v>10.007</v>
      </c>
      <c r="F5837" s="38" t="n">
        <f aca="false">Sens!$F$5836-Sens!$F$5835</f>
        <v>72.7426983848813</v>
      </c>
      <c r="G5837" s="38" t="n">
        <f aca="false">Sens!$G$5836-Sens!$G$5835</f>
        <v>72.7426983848813</v>
      </c>
      <c r="H5837" s="38" t="n">
        <f aca="false">Sens!$H$5836-Sens!$H$5835</f>
        <v>129.087629741943</v>
      </c>
      <c r="I5837" s="38" t="n">
        <f aca="false">Sens!$I$5836-Sens!$I$5835</f>
        <v>147.196761107008</v>
      </c>
      <c r="J5837" s="38" t="n">
        <f aca="false">Sens!$J$5836-Sens!$J$5835</f>
        <v>125.212125692712</v>
      </c>
      <c r="K5837" s="38" t="n">
        <f aca="false">Sens!$K$5836-Sens!$K$5835</f>
        <v>9.38202865375945</v>
      </c>
      <c r="L5837" s="38" t="n">
        <f aca="false">Sens!$L$5836-Sens!$L$5835</f>
        <v>-162.806154061614</v>
      </c>
      <c r="M5837" s="38" t="n">
        <f aca="false">Sens!$M$5836-Sens!$M$5835</f>
        <v>-362.176661497897</v>
      </c>
    </row>
    <row r="5838" customFormat="false" ht="17.15" hidden="false" customHeight="false" outlineLevel="0" collapsed="false">
      <c r="A5838" s="5" t="s">
        <v>808</v>
      </c>
      <c r="B5838" s="0" t="s">
        <v>86</v>
      </c>
      <c r="F5838" s="38" t="n">
        <f aca="false">debt_q2*kd_book*0.5+iss_2h26*kd_new*iss_t</f>
        <v>3.24888962733561</v>
      </c>
      <c r="H5838" s="38" t="n">
        <f aca="false">debt_q2*kd_book+(Sens!$G$5836-debt_q2)*kd_new</f>
        <v>7.42354172302123</v>
      </c>
      <c r="I5838" s="38" t="n">
        <f aca="false">debt_q2*kd_book+(Sens!$H$5836-debt_q2)*kd_new</f>
        <v>8.48968024898619</v>
      </c>
      <c r="J5838" s="38" t="n">
        <f aca="false">debt_q2*kd_book+(Sens!$I$5836-debt_q2)*kd_new</f>
        <v>9.63598826439483</v>
      </c>
      <c r="K5838" s="38" t="n">
        <f aca="false">debt_q2*kd_book+(Sens!$J$5836-debt_q2)*kd_new</f>
        <v>9.63598826439483</v>
      </c>
      <c r="L5838" s="38" t="n">
        <f aca="false">debt_q2*kd_book+(Sens!$K$5836-debt_q2)*kd_new</f>
        <v>9.63598826439483</v>
      </c>
      <c r="M5838" s="38" t="n">
        <f aca="false">debt_q2*kd_book+(Sens!$L$5836-debt_q2)*kd_new</f>
        <v>9.63598826439483</v>
      </c>
    </row>
    <row r="5839" customFormat="false" ht="17.15" hidden="false" customHeight="false" outlineLevel="0" collapsed="false">
      <c r="A5839" s="5" t="s">
        <v>809</v>
      </c>
      <c r="B5839" s="0" t="s">
        <v>86</v>
      </c>
      <c r="F5839" s="38" t="n">
        <f aca="false">cash_q2*y_cash*0.5</f>
        <v>2.59</v>
      </c>
      <c r="H5839" s="38" t="n">
        <f aca="false">Sens!$G$5835*y_cash</f>
        <v>3.76965165045626</v>
      </c>
      <c r="I5839" s="38" t="n">
        <f aca="false">Sens!$H$5835*y_cash</f>
        <v>2.10589651022864</v>
      </c>
      <c r="J5839" s="38" t="n">
        <f aca="false">Sens!$I$5835*y_cash</f>
        <v>2.10589651022864</v>
      </c>
      <c r="K5839" s="38" t="n">
        <f aca="false">Sens!$J$5835*y_cash</f>
        <v>3.03184385018094</v>
      </c>
      <c r="L5839" s="38" t="n">
        <f aca="false">Sens!$K$5835*y_cash</f>
        <v>7.91036779285643</v>
      </c>
      <c r="M5839" s="38" t="n">
        <f aca="false">Sens!$L$5835*y_cash</f>
        <v>15.1625776545148</v>
      </c>
    </row>
    <row r="5840" customFormat="false" ht="17.15" hidden="false" customHeight="false" outlineLevel="0" collapsed="false">
      <c r="A5840" s="47" t="s">
        <v>810</v>
      </c>
      <c r="B5840" s="14" t="s">
        <v>86</v>
      </c>
      <c r="C5840" s="14"/>
      <c r="D5840" s="14"/>
      <c r="E5840" s="14"/>
      <c r="F5840" s="14"/>
      <c r="G5840" s="48" t="n">
        <f aca="false">SUM(Sens!$G$5829:$K$5829)</f>
        <v>-3.76602865375946</v>
      </c>
      <c r="H5840" s="14"/>
      <c r="I5840" s="14"/>
      <c r="J5840" s="14"/>
      <c r="K5840" s="14"/>
      <c r="L5840" s="14"/>
      <c r="M5840" s="14"/>
      <c r="N5840" s="14"/>
      <c r="O5840" s="14"/>
    </row>
    <row r="5841" customFormat="false" ht="17.15" hidden="false" customHeight="false" outlineLevel="0" collapsed="false">
      <c r="A5841" s="0" t="s">
        <v>776</v>
      </c>
      <c r="B5841" s="0" t="s">
        <v>86</v>
      </c>
      <c r="G5841" s="38" t="n">
        <f aca="false">SUM(Sens!$G$5834:$K$5834)</f>
        <v>34.9517621070079</v>
      </c>
    </row>
    <row r="5842" customFormat="false" ht="17.15" hidden="false" customHeight="false" outlineLevel="0" collapsed="false">
      <c r="A5842" s="24" t="s">
        <v>813</v>
      </c>
      <c r="B5842" s="25" t="s">
        <v>86</v>
      </c>
      <c r="C5842" s="25"/>
      <c r="D5842" s="25"/>
      <c r="E5842" s="25"/>
      <c r="F5842" s="25"/>
      <c r="G5842" s="41" t="n">
        <f aca="false">Sens!$G$5840-(Sens!$G$5829+Sens!$H$5829+Sens!$I$5829+Sens!$J$5829+Sens!$K$5829)</f>
        <v>-2.8421709430404E-014</v>
      </c>
      <c r="H5842" s="25"/>
      <c r="I5842" s="25"/>
      <c r="J5842" s="25"/>
      <c r="K5842" s="25"/>
      <c r="L5842" s="25"/>
      <c r="M5842" s="25"/>
      <c r="N5842" s="25"/>
      <c r="O5842" s="25"/>
    </row>
    <row r="5845" customFormat="false" ht="19.4" hidden="false" customHeight="false" outlineLevel="0" collapsed="false">
      <c r="A5845" s="31" t="s">
        <v>1254</v>
      </c>
    </row>
    <row r="5846" customFormat="false" ht="17.15" hidden="false" customHeight="false" outlineLevel="0" collapsed="false">
      <c r="A5846" s="6" t="s">
        <v>16</v>
      </c>
      <c r="B5846" s="6" t="s">
        <v>17</v>
      </c>
      <c r="C5846" s="20" t="s">
        <v>497</v>
      </c>
      <c r="D5846" s="20" t="s">
        <v>498</v>
      </c>
      <c r="E5846" s="20" t="s">
        <v>580</v>
      </c>
      <c r="F5846" s="20" t="s">
        <v>581</v>
      </c>
      <c r="G5846" s="20" t="s">
        <v>582</v>
      </c>
      <c r="H5846" s="20" t="s">
        <v>583</v>
      </c>
      <c r="I5846" s="20" t="s">
        <v>584</v>
      </c>
      <c r="J5846" s="20" t="s">
        <v>585</v>
      </c>
      <c r="K5846" s="20" t="s">
        <v>586</v>
      </c>
      <c r="L5846" s="20" t="s">
        <v>587</v>
      </c>
      <c r="M5846" s="20" t="s">
        <v>588</v>
      </c>
      <c r="N5846" s="20" t="s">
        <v>589</v>
      </c>
      <c r="O5846" s="20" t="s">
        <v>590</v>
      </c>
      <c r="P5846" s="6" t="s">
        <v>23</v>
      </c>
      <c r="R5846" s="20" t="n">
        <v>2023</v>
      </c>
      <c r="S5846" s="20" t="n">
        <v>2024</v>
      </c>
      <c r="T5846" s="20" t="n">
        <v>2025</v>
      </c>
      <c r="U5846" s="20" t="n">
        <v>2026</v>
      </c>
      <c r="V5846" s="20" t="n">
        <v>2027</v>
      </c>
      <c r="W5846" s="20" t="n">
        <v>2028</v>
      </c>
      <c r="X5846" s="20" t="n">
        <v>2029</v>
      </c>
      <c r="Y5846" s="20" t="n">
        <v>2030</v>
      </c>
      <c r="Z5846" s="20" t="n">
        <v>2031</v>
      </c>
      <c r="AA5846" s="20" t="n">
        <v>2032</v>
      </c>
    </row>
    <row r="5847" customFormat="false" ht="17.15" hidden="false" customHeight="false" outlineLevel="0" collapsed="false">
      <c r="A5847" s="1" t="s">
        <v>915</v>
      </c>
    </row>
    <row r="5848" customFormat="false" ht="17.15" hidden="false" customHeight="false" outlineLevel="0" collapsed="false">
      <c r="A5848" s="0" t="s">
        <v>916</v>
      </c>
      <c r="B5848" s="0" t="s">
        <v>86</v>
      </c>
      <c r="H5848" s="38" t="n">
        <f aca="false">Sens!$H$5782*(1-tax)</f>
        <v>121.243762954598</v>
      </c>
      <c r="I5848" s="38" t="n">
        <f aca="false">Sens!$I$5782*(1-tax)</f>
        <v>146.296727721585</v>
      </c>
      <c r="J5848" s="38" t="n">
        <f aca="false">Sens!$J$5782*(1-tax)</f>
        <v>170.140518399982</v>
      </c>
      <c r="K5848" s="38" t="n">
        <f aca="false">Sens!$K$5782*(1-tax)</f>
        <v>187.328880354269</v>
      </c>
      <c r="L5848" s="38" t="n">
        <f aca="false">Sens!$L$5782*(1-tax)</f>
        <v>201.486443830621</v>
      </c>
      <c r="M5848" s="38" t="n">
        <f aca="false">Sens!$M$5782*(1-tax)</f>
        <v>212.626542837294</v>
      </c>
    </row>
    <row r="5849" customFormat="false" ht="15" hidden="false" customHeight="false" outlineLevel="0" collapsed="false">
      <c r="A5849" s="5" t="s">
        <v>917</v>
      </c>
      <c r="B5849" s="0" t="s">
        <v>86</v>
      </c>
      <c r="H5849" s="38" t="n">
        <f aca="false">Sens!$H$5793</f>
        <v>78.1799395827871</v>
      </c>
      <c r="I5849" s="38" t="n">
        <f aca="false">Sens!$I$5793</f>
        <v>111.171125554384</v>
      </c>
      <c r="J5849" s="38" t="n">
        <f aca="false">Sens!$J$5793</f>
        <v>144.884406220971</v>
      </c>
      <c r="K5849" s="38" t="n">
        <f aca="false">Sens!$K$5793</f>
        <v>178.806419437999</v>
      </c>
      <c r="L5849" s="38" t="n">
        <f aca="false">Sens!$L$5793</f>
        <v>204.731408613016</v>
      </c>
      <c r="M5849" s="38" t="n">
        <f aca="false">Sens!$M$5793</f>
        <v>224.300786745448</v>
      </c>
    </row>
    <row r="5850" customFormat="false" ht="15" hidden="false" customHeight="false" outlineLevel="0" collapsed="false">
      <c r="A5850" s="5" t="s">
        <v>918</v>
      </c>
      <c r="B5850" s="0" t="s">
        <v>86</v>
      </c>
      <c r="H5850" s="38" t="n">
        <f aca="false">Sens!$H$5824</f>
        <v>273.372679834898</v>
      </c>
      <c r="I5850" s="38" t="n">
        <f aca="false">Sens!$I$5824</f>
        <v>286.981812228425</v>
      </c>
      <c r="J5850" s="38" t="n">
        <f aca="false">Sens!$J$5824</f>
        <v>299.316513378366</v>
      </c>
      <c r="K5850" s="38" t="n">
        <f aca="false">Sens!$K$5824</f>
        <v>253.835101823915</v>
      </c>
      <c r="L5850" s="38" t="n">
        <f aca="false">Sens!$L$5824</f>
        <v>240.252243483641</v>
      </c>
      <c r="M5850" s="38" t="n">
        <f aca="false">Sens!$M$5824</f>
        <v>250.62556497822</v>
      </c>
    </row>
    <row r="5851" customFormat="false" ht="15" hidden="false" customHeight="false" outlineLevel="0" collapsed="false">
      <c r="A5851" s="5" t="s">
        <v>919</v>
      </c>
      <c r="B5851" s="0" t="s">
        <v>86</v>
      </c>
      <c r="H5851" s="38" t="n">
        <f aca="false">Sens!$H$5825</f>
        <v>1.6</v>
      </c>
      <c r="I5851" s="38" t="n">
        <f aca="false">Sens!$I$5825</f>
        <v>1.6</v>
      </c>
      <c r="J5851" s="38" t="n">
        <f aca="false">Sens!$J$5825</f>
        <v>1.6</v>
      </c>
      <c r="K5851" s="38" t="n">
        <f aca="false">Sens!$K$5825</f>
        <v>1.6</v>
      </c>
      <c r="L5851" s="38" t="n">
        <f aca="false">Sens!$L$5825</f>
        <v>1.6</v>
      </c>
      <c r="M5851" s="38" t="n">
        <f aca="false">Sens!$M$5825</f>
        <v>1.6</v>
      </c>
    </row>
    <row r="5852" customFormat="false" ht="15" hidden="false" customHeight="false" outlineLevel="0" collapsed="false">
      <c r="A5852" s="5" t="s">
        <v>920</v>
      </c>
      <c r="B5852" s="0" t="s">
        <v>86</v>
      </c>
      <c r="H5852" s="38" t="n">
        <f aca="false">Sens!$H$5819</f>
        <v>11.2928295263397</v>
      </c>
      <c r="I5852" s="38" t="n">
        <f aca="false">Sens!$I$5819</f>
        <v>12.8091546115766</v>
      </c>
      <c r="J5852" s="38" t="n">
        <f aca="false">Sens!$J$5819</f>
        <v>14.2605653162668</v>
      </c>
      <c r="K5852" s="38" t="n">
        <f aca="false">Sens!$K$5819</f>
        <v>15.5361896109386</v>
      </c>
      <c r="L5852" s="38" t="n">
        <f aca="false">Sens!$L$5819</f>
        <v>16.7342012989106</v>
      </c>
      <c r="M5852" s="38" t="n">
        <f aca="false">Sens!$M$5819</f>
        <v>17.8589265647579</v>
      </c>
    </row>
    <row r="5853" customFormat="false" ht="17.15" hidden="false" customHeight="false" outlineLevel="0" collapsed="false">
      <c r="A5853" s="1" t="s">
        <v>921</v>
      </c>
      <c r="B5853" s="8" t="s">
        <v>86</v>
      </c>
      <c r="H5853" s="38" t="n">
        <f aca="false">Sens!$H$5848+Sens!$H$5849-Sens!$H$5850+Sens!$H$5852</f>
        <v>-62.6561477711731</v>
      </c>
      <c r="I5853" s="38" t="n">
        <f aca="false">Sens!$I$5848+Sens!$I$5849-Sens!$I$5850+Sens!$I$5852</f>
        <v>-16.7048043408794</v>
      </c>
      <c r="J5853" s="38" t="n">
        <f aca="false">Sens!$J$5848+Sens!$J$5849-Sens!$J$5850+Sens!$J$5852</f>
        <v>29.9689765588539</v>
      </c>
      <c r="K5853" s="38" t="n">
        <f aca="false">Sens!$K$5848+Sens!$K$5849-Sens!$K$5850+Sens!$K$5852</f>
        <v>127.836387579293</v>
      </c>
      <c r="L5853" s="38" t="n">
        <f aca="false">Sens!$L$5848+Sens!$L$5849-Sens!$L$5850+Sens!$L$5852</f>
        <v>182.699810258908</v>
      </c>
      <c r="M5853" s="38" t="n">
        <f aca="false">Sens!$M$5848+Sens!$M$5849-Sens!$M$5850+Sens!$M$5852</f>
        <v>204.16069116928</v>
      </c>
    </row>
    <row r="5854" customFormat="false" ht="15" hidden="false" customHeight="false" outlineLevel="0" collapsed="false">
      <c r="A5854" s="5" t="s">
        <v>922</v>
      </c>
      <c r="B5854" s="0" t="s">
        <v>57</v>
      </c>
      <c r="H5854" s="40" t="n">
        <f aca="false">1/(1+wacc)^(2027-2026-0.5)</f>
        <v>0.947751320380232</v>
      </c>
      <c r="I5854" s="40" t="n">
        <f aca="false">1/(1+wacc)^(2028-2026-0.5)</f>
        <v>0.851301099754987</v>
      </c>
      <c r="J5854" s="40" t="n">
        <f aca="false">1/(1+wacc)^(2029-2026-0.5)</f>
        <v>0.764666370660713</v>
      </c>
      <c r="K5854" s="40" t="n">
        <f aca="false">1/(1+wacc)^(2030-2026-0.5)</f>
        <v>0.686848235703811</v>
      </c>
      <c r="L5854" s="40" t="n">
        <f aca="false">1/(1+wacc)^(2031-2026-0.5)</f>
        <v>0.616949452715975</v>
      </c>
      <c r="M5854" s="40" t="n">
        <f aca="false">1/(1+wacc)^(2032-2026-0.5)</f>
        <v>0.554164089562688</v>
      </c>
    </row>
    <row r="5855" customFormat="false" ht="15" hidden="false" customHeight="false" outlineLevel="0" collapsed="false">
      <c r="A5855" s="5" t="s">
        <v>923</v>
      </c>
      <c r="B5855" s="0" t="s">
        <v>86</v>
      </c>
      <c r="H5855" s="38" t="n">
        <f aca="false">Sens!$H$5853*Sens!$H$5854</f>
        <v>-59.3824467800682</v>
      </c>
      <c r="I5855" s="38" t="n">
        <f aca="false">Sens!$I$5853*Sens!$I$5854</f>
        <v>-14.2208183065825</v>
      </c>
      <c r="J5855" s="38" t="n">
        <f aca="false">Sens!$J$5853*Sens!$J$5854</f>
        <v>22.9162685376748</v>
      </c>
      <c r="K5855" s="38" t="n">
        <f aca="false">Sens!$K$5853*Sens!$K$5854</f>
        <v>87.8041972675856</v>
      </c>
      <c r="L5855" s="38" t="n">
        <f aca="false">Sens!$L$5853*Sens!$L$5854</f>
        <v>112.716547950546</v>
      </c>
      <c r="M5855" s="38" t="n">
        <f aca="false">Sens!$M$5853*Sens!$M$5854</f>
        <v>113.138523546313</v>
      </c>
    </row>
    <row r="5856" customFormat="false" ht="15" hidden="false" customHeight="false" outlineLevel="0" collapsed="false">
      <c r="A5856" s="5" t="s">
        <v>924</v>
      </c>
      <c r="B5856" s="0" t="s">
        <v>86</v>
      </c>
      <c r="C5856" s="38" t="n">
        <f aca="false">SUM(Sens!$H$5855:$M$5855)</f>
        <v>262.972272215469</v>
      </c>
    </row>
    <row r="5857" customFormat="false" ht="17.15" hidden="false" customHeight="false" outlineLevel="0" collapsed="false">
      <c r="A5857" s="5" t="s">
        <v>925</v>
      </c>
      <c r="B5857" s="0" t="s">
        <v>86</v>
      </c>
      <c r="C5857" s="38" t="n">
        <f aca="false">Sens!$M$5848*(1+tg_hi)*(1-tg_hi/ronic)/(wacc-tg_hi)</f>
        <v>1951.7796530099</v>
      </c>
    </row>
    <row r="5858" customFormat="false" ht="15" hidden="false" customHeight="false" outlineLevel="0" collapsed="false">
      <c r="A5858" s="5" t="s">
        <v>926</v>
      </c>
      <c r="B5858" s="0" t="s">
        <v>86</v>
      </c>
      <c r="C5858" s="38" t="n">
        <f aca="false">Sens!$C$5857/(1+wacc)^6</f>
        <v>1025.09369890931</v>
      </c>
    </row>
    <row r="5859" customFormat="false" ht="17.15" hidden="false" customHeight="false" outlineLevel="0" collapsed="false">
      <c r="A5859" s="5" t="s">
        <v>927</v>
      </c>
      <c r="B5859" s="0" t="s">
        <v>86</v>
      </c>
      <c r="C5859" s="38" t="n">
        <f aca="false">Sens!$C$5856+Sens!$C$5858</f>
        <v>1288.06597112477</v>
      </c>
    </row>
    <row r="5860" customFormat="false" ht="17.15" hidden="false" customHeight="false" outlineLevel="0" collapsed="false">
      <c r="A5860" s="5" t="s">
        <v>928</v>
      </c>
      <c r="B5860" s="0" t="s">
        <v>52</v>
      </c>
      <c r="C5860" s="13" t="n">
        <f aca="false">Sens!$C$5858/Sens!$C$5859</f>
        <v>0.795839438265857</v>
      </c>
    </row>
    <row r="5861" customFormat="false" ht="17.15" hidden="false" customHeight="false" outlineLevel="0" collapsed="false">
      <c r="A5861" s="5" t="s">
        <v>929</v>
      </c>
      <c r="B5861" s="0" t="s">
        <v>86</v>
      </c>
      <c r="C5861" s="38" t="n">
        <f aca="false">Sens!$G$5837+fin_debt</f>
        <v>97.2636983848813</v>
      </c>
    </row>
    <row r="5862" customFormat="false" ht="17.15" hidden="false" customHeight="false" outlineLevel="0" collapsed="false">
      <c r="A5862" s="5" t="s">
        <v>930</v>
      </c>
      <c r="B5862" s="0" t="s">
        <v>86</v>
      </c>
      <c r="C5862" s="38" t="n">
        <f aca="false">(ant_val*ant_sh+oai_val*oai_sh)*(1-liq_disc)</f>
        <v>178.944</v>
      </c>
    </row>
    <row r="5863" customFormat="false" ht="15" hidden="false" customHeight="false" outlineLevel="0" collapsed="false">
      <c r="A5863" s="5" t="s">
        <v>931</v>
      </c>
      <c r="B5863" s="0" t="s">
        <v>86</v>
      </c>
      <c r="C5863" s="38" t="n">
        <f aca="false">Sens!$C$5859-Sens!$C$5861+Sens!$C$5862</f>
        <v>1369.74627273989</v>
      </c>
    </row>
    <row r="5864" customFormat="false" ht="17.15" hidden="false" customHeight="false" outlineLevel="0" collapsed="false">
      <c r="A5864" s="5" t="s">
        <v>932</v>
      </c>
      <c r="B5864" s="0" t="s">
        <v>27</v>
      </c>
      <c r="C5864" s="30" t="n">
        <f aca="false">Sens!$C$5863/sh_out</f>
        <v>126.98928222745</v>
      </c>
    </row>
    <row r="5865" customFormat="false" ht="17.15" hidden="false" customHeight="false" outlineLevel="0" collapsed="false">
      <c r="A5865" s="1" t="s">
        <v>933</v>
      </c>
      <c r="B5865" s="8" t="s">
        <v>27</v>
      </c>
      <c r="C5865" s="30" t="n">
        <f aca="false">Sens!$C$5864*(1+ke)^tp_yf-dps*tp_yf</f>
        <v>139.100103588124</v>
      </c>
    </row>
    <row r="5866" customFormat="false" ht="17.15" hidden="false" customHeight="false" outlineLevel="0" collapsed="false">
      <c r="A5866" s="3" t="s">
        <v>934</v>
      </c>
    </row>
    <row r="5867" customFormat="false" ht="17.15" hidden="false" customHeight="false" outlineLevel="0" collapsed="false">
      <c r="A5867" s="5" t="s">
        <v>935</v>
      </c>
      <c r="B5867" s="0" t="s">
        <v>86</v>
      </c>
      <c r="C5867" s="38" t="n">
        <f aca="false">(1-tp_yf)*(Sens!$H$5794+sbc_ab*Sens!$H$5818*Sens!$H$5658/Sens!$H$5735)+tp_yf*(Sens!$I$5794+sbc_ab*Sens!$I$5818*Sens!$I$5658/Sens!$I$5735)</f>
        <v>59.634664536349</v>
      </c>
    </row>
    <row r="5868" customFormat="false" ht="15" hidden="false" customHeight="false" outlineLevel="0" collapsed="false">
      <c r="A5868" s="5" t="s">
        <v>936</v>
      </c>
      <c r="B5868" s="0" t="s">
        <v>57</v>
      </c>
      <c r="C5868" s="30" t="n">
        <f aca="false">m_ads*m_x</f>
        <v>9.11</v>
      </c>
    </row>
    <row r="5869" customFormat="false" ht="17.15" hidden="false" customHeight="false" outlineLevel="0" collapsed="false">
      <c r="A5869" s="5" t="s">
        <v>937</v>
      </c>
      <c r="B5869" s="0" t="s">
        <v>86</v>
      </c>
      <c r="C5869" s="38" t="n">
        <f aca="false">Sens!$C$5867*Sens!$C$5868</f>
        <v>543.271793926139</v>
      </c>
    </row>
    <row r="5870" customFormat="false" ht="17.15" hidden="false" customHeight="false" outlineLevel="0" collapsed="false">
      <c r="A5870" s="5" t="s">
        <v>938</v>
      </c>
      <c r="B5870" s="0" t="s">
        <v>86</v>
      </c>
      <c r="C5870" s="38" t="n">
        <f aca="false">(1-tp_yf)*(Sens!$H$5795+sbc_ab*Sens!$H$5818*(Sens!$H$5665-Sens!$H$5658)/Sens!$H$5735+IF(internal_ai_reading=2,1,0)*(1-ext_sh)*Sens!$H$5695)+tp_yf*(Sens!$I$5795+sbc_ab*Sens!$I$5818*(Sens!$I$5665-Sens!$I$5658)/Sens!$I$5735+IF(internal_ai_reading=2,1,0)*(1-ext_sh)*Sens!$I$5695)</f>
        <v>51.2224827206816</v>
      </c>
    </row>
    <row r="5871" customFormat="false" ht="17.15" hidden="false" customHeight="false" outlineLevel="0" collapsed="false">
      <c r="A5871" s="5" t="s">
        <v>939</v>
      </c>
      <c r="B5871" s="0" t="s">
        <v>57</v>
      </c>
      <c r="C5871" s="30" t="n">
        <f aca="false">m_retail*m_x</f>
        <v>17.72</v>
      </c>
    </row>
    <row r="5872" customFormat="false" ht="17.15" hidden="false" customHeight="false" outlineLevel="0" collapsed="false">
      <c r="A5872" s="5" t="s">
        <v>940</v>
      </c>
      <c r="B5872" s="0" t="s">
        <v>86</v>
      </c>
      <c r="C5872" s="38" t="n">
        <f aca="false">Sens!$C$5870*Sens!$C$5871</f>
        <v>907.662393810478</v>
      </c>
    </row>
    <row r="5873" customFormat="false" ht="17.15" hidden="false" customHeight="false" outlineLevel="0" collapsed="false">
      <c r="A5873" s="0" t="s">
        <v>941</v>
      </c>
      <c r="B5873" s="0" t="s">
        <v>86</v>
      </c>
      <c r="C5873" s="38" t="n">
        <f aca="false">(1-tp_yf)*(Sens!$H$5796+sbc_ab*Sens!$H$5818*Sens!$H$5733/Sens!$H$5735)+tp_yf*(Sens!$I$5796+sbc_ab*Sens!$I$5818*Sens!$I$5733/Sens!$I$5735)</f>
        <v>96.2439586897193</v>
      </c>
    </row>
    <row r="5874" customFormat="false" ht="17.15" hidden="false" customHeight="false" outlineLevel="0" collapsed="false">
      <c r="A5874" s="0" t="s">
        <v>942</v>
      </c>
      <c r="B5874" s="0" t="s">
        <v>57</v>
      </c>
      <c r="C5874" s="30" t="n">
        <f aca="false">m_cloud*m_x</f>
        <v>13.82</v>
      </c>
    </row>
    <row r="5875" customFormat="false" ht="17.15" hidden="false" customHeight="false" outlineLevel="0" collapsed="false">
      <c r="A5875" s="0" t="s">
        <v>943</v>
      </c>
      <c r="B5875" s="0" t="s">
        <v>86</v>
      </c>
      <c r="C5875" s="38" t="n">
        <f aca="false">Sens!$C$5873*Sens!$C$5874</f>
        <v>1330.09150909192</v>
      </c>
    </row>
    <row r="5876" customFormat="false" ht="17.15" hidden="false" customHeight="false" outlineLevel="0" collapsed="false">
      <c r="A5876" s="0" t="s">
        <v>944</v>
      </c>
      <c r="B5876" s="0" t="s">
        <v>86</v>
      </c>
      <c r="H5876" s="38" t="n">
        <f aca="false">Sens!$H$5714-tax*Sens!$H$5715-ext_sh*Sens!$H$5702</f>
        <v>-115.885394236225</v>
      </c>
      <c r="I5876" s="38" t="n">
        <f aca="false">Sens!$I$5714-tax*Sens!$I$5715-ext_sh*Sens!$I$5702</f>
        <v>-89.5935137276694</v>
      </c>
      <c r="J5876" s="38" t="n">
        <f aca="false">Sens!$J$5714-tax*Sens!$J$5715-ext_sh*Sens!$J$5702</f>
        <v>-62.3510647460279</v>
      </c>
      <c r="K5876" s="38" t="n">
        <f aca="false">Sens!$K$5714-tax*Sens!$K$5715-ext_sh*Sens!$K$5702</f>
        <v>6.82636520663533</v>
      </c>
      <c r="L5876" s="38" t="n">
        <f aca="false">Sens!$L$5714-tax*Sens!$L$5715-ext_sh*Sens!$L$5702</f>
        <v>42.0587167356307</v>
      </c>
      <c r="M5876" s="38" t="n">
        <f aca="false">Sens!$M$5714-tax*Sens!$M$5715-ext_sh*Sens!$M$5702</f>
        <v>49.9320311778189</v>
      </c>
    </row>
    <row r="5877" customFormat="false" ht="17.15" hidden="false" customHeight="false" outlineLevel="0" collapsed="false">
      <c r="A5877" s="5" t="s">
        <v>945</v>
      </c>
      <c r="B5877" s="0" t="s">
        <v>86</v>
      </c>
      <c r="H5877" s="38" t="n">
        <f aca="false">Sens!$H$5876*Sens!$H$5854</f>
        <v>-109.830535400166</v>
      </c>
      <c r="I5877" s="38" t="n">
        <f aca="false">Sens!$I$5876*Sens!$I$5854</f>
        <v>-76.2710567672785</v>
      </c>
      <c r="J5877" s="38" t="n">
        <f aca="false">Sens!$J$5876*Sens!$J$5854</f>
        <v>-47.6777623861763</v>
      </c>
      <c r="K5877" s="38" t="n">
        <f aca="false">Sens!$K$5876*Sens!$K$5854</f>
        <v>4.68867689844736</v>
      </c>
      <c r="L5877" s="38" t="n">
        <f aca="false">Sens!$L$5876*Sens!$L$5854</f>
        <v>25.9481022719836</v>
      </c>
      <c r="M5877" s="38" t="n">
        <f aca="false">Sens!$M$5876*Sens!$M$5854</f>
        <v>27.6705385976718</v>
      </c>
    </row>
    <row r="5878" customFormat="false" ht="17.15" hidden="false" customHeight="false" outlineLevel="0" collapsed="false">
      <c r="A5878" s="5" t="s">
        <v>946</v>
      </c>
      <c r="B5878" s="0" t="s">
        <v>86</v>
      </c>
      <c r="C5878" s="38" t="n">
        <f aca="false">Sens!$M$5715*(1-tax)*(1+tg_hi)*(1-tg_hi/ronic)/(wacc-tg_hi)</f>
        <v>403.745430923792</v>
      </c>
    </row>
    <row r="5879" customFormat="false" ht="17.15" hidden="false" customHeight="false" outlineLevel="0" collapsed="false">
      <c r="A5879" s="0" t="s">
        <v>947</v>
      </c>
      <c r="B5879" s="0" t="s">
        <v>86</v>
      </c>
      <c r="C5879" s="38" t="n">
        <f aca="false">(SUM(Sens!$I$5877:$M$5877)+Sens!$C$5878/(1+wacc)^6)*(1+wacc)^tp_yf</f>
        <v>159.911588774077</v>
      </c>
    </row>
    <row r="5880" customFormat="false" ht="17.15" hidden="false" customHeight="false" outlineLevel="0" collapsed="false">
      <c r="A5880" s="5" t="s">
        <v>948</v>
      </c>
      <c r="B5880" s="0" t="s">
        <v>86</v>
      </c>
      <c r="C5880" s="38" t="n">
        <f aca="false">(1-tp_yf)*(Sens!$H$5797)+tp_yf*(Sens!$I$5797)</f>
        <v>74.6707041238437</v>
      </c>
    </row>
    <row r="5881" customFormat="false" ht="17.15" hidden="false" customHeight="false" outlineLevel="0" collapsed="false">
      <c r="A5881" s="5" t="s">
        <v>949</v>
      </c>
      <c r="B5881" s="0" t="s">
        <v>86</v>
      </c>
      <c r="C5881" s="38" t="n">
        <f aca="false">Sens!$C$5880*m_ai</f>
        <v>448.024224743062</v>
      </c>
    </row>
    <row r="5882" customFormat="false" ht="17.15" hidden="false" customHeight="false" outlineLevel="0" collapsed="false">
      <c r="A5882" s="0" t="s">
        <v>950</v>
      </c>
      <c r="B5882" s="0" t="s">
        <v>86</v>
      </c>
      <c r="C5882" s="38" t="n">
        <f aca="false">IF(ai_leg=1,Sens!$C$5879,Sens!$C$5881)</f>
        <v>159.911588774077</v>
      </c>
    </row>
    <row r="5883" customFormat="false" ht="17.15" hidden="false" customHeight="false" outlineLevel="0" collapsed="false">
      <c r="A5883" s="5" t="s">
        <v>951</v>
      </c>
      <c r="B5883" s="0" t="s">
        <v>86</v>
      </c>
      <c r="C5883" s="38" t="n">
        <f aca="false">Sens!$C$5869+Sens!$C$5872+Sens!$C$5875+Sens!$C$5882</f>
        <v>2940.93728560262</v>
      </c>
    </row>
    <row r="5884" customFormat="false" ht="17.15" hidden="false" customHeight="false" outlineLevel="0" collapsed="false">
      <c r="A5884" s="5" t="s">
        <v>952</v>
      </c>
      <c r="B5884" s="0" t="s">
        <v>86</v>
      </c>
      <c r="C5884" s="38" t="n">
        <f aca="false">Sens!$H$5837+fin_debt</f>
        <v>153.608629741943</v>
      </c>
    </row>
    <row r="5885" customFormat="false" ht="15" hidden="false" customHeight="false" outlineLevel="0" collapsed="false">
      <c r="A5885" s="5" t="s">
        <v>953</v>
      </c>
      <c r="B5885" s="0" t="s">
        <v>86</v>
      </c>
      <c r="C5885" s="38" t="n">
        <f aca="false">Sens!$C$5883-Sens!$C$5884+Sens!$C$5862</f>
        <v>2966.27265586067</v>
      </c>
    </row>
    <row r="5886" customFormat="false" ht="15" hidden="false" customHeight="false" outlineLevel="0" collapsed="false">
      <c r="A5886" s="3" t="s">
        <v>954</v>
      </c>
      <c r="B5886" s="8" t="s">
        <v>27</v>
      </c>
      <c r="C5886" s="30" t="n">
        <f aca="false">Sens!$C$5885/sh_val</f>
        <v>268.920055753687</v>
      </c>
    </row>
    <row r="5887" customFormat="false" ht="17.15" hidden="false" customHeight="false" outlineLevel="0" collapsed="false">
      <c r="A5887" s="47" t="s">
        <v>955</v>
      </c>
      <c r="B5887" s="14" t="s">
        <v>27</v>
      </c>
      <c r="C5887" s="44" t="n">
        <f aca="false">w_dcf*Sens!$C$5865+(1-w_dcf)*Sens!$C$5886</f>
        <v>204.010079670905</v>
      </c>
      <c r="D5887" s="14"/>
      <c r="E5887" s="14"/>
      <c r="F5887" s="14"/>
      <c r="G5887" s="14"/>
      <c r="H5887" s="14"/>
      <c r="I5887" s="14"/>
      <c r="J5887" s="14"/>
      <c r="K5887" s="14"/>
      <c r="L5887" s="14"/>
      <c r="M5887" s="14"/>
      <c r="N5887" s="14"/>
      <c r="O5887" s="14"/>
    </row>
    <row r="5888" customFormat="false" ht="17.15" hidden="false" customHeight="false" outlineLevel="0" collapsed="false">
      <c r="A5888" s="5" t="s">
        <v>956</v>
      </c>
      <c r="B5888" s="0" t="s">
        <v>27</v>
      </c>
      <c r="C5888" s="30" t="n">
        <f aca="false">v022_wdcf*Sens!$C$5865+(1-v022_wdcf)*Sens!$C$5886</f>
        <v>210.501077279183</v>
      </c>
    </row>
    <row r="5889" customFormat="false" ht="17.15" hidden="false" customHeight="false" outlineLevel="0" collapsed="false">
      <c r="A5889" s="5" t="s">
        <v>957</v>
      </c>
      <c r="B5889" s="0" t="s">
        <v>27</v>
      </c>
      <c r="C5889" s="30" t="n">
        <f aca="false">(Sens!$C$5885-Sens!$C$5882+Sens!$C$5881)/sh_val</f>
        <v>295.040131389701</v>
      </c>
    </row>
    <row r="5892" customFormat="false" ht="19.4" hidden="false" customHeight="false" outlineLevel="0" collapsed="false">
      <c r="A5892" s="31" t="s">
        <v>1255</v>
      </c>
    </row>
    <row r="5893" customFormat="false" ht="17.15" hidden="false" customHeight="false" outlineLevel="0" collapsed="false">
      <c r="A5893" s="6" t="s">
        <v>16</v>
      </c>
      <c r="B5893" s="6" t="s">
        <v>17</v>
      </c>
      <c r="C5893" s="20" t="s">
        <v>497</v>
      </c>
      <c r="D5893" s="20" t="s">
        <v>498</v>
      </c>
      <c r="E5893" s="20" t="s">
        <v>580</v>
      </c>
      <c r="F5893" s="20" t="s">
        <v>581</v>
      </c>
      <c r="G5893" s="20" t="s">
        <v>582</v>
      </c>
      <c r="H5893" s="20" t="s">
        <v>583</v>
      </c>
      <c r="I5893" s="20" t="s">
        <v>584</v>
      </c>
      <c r="J5893" s="20" t="s">
        <v>585</v>
      </c>
      <c r="K5893" s="20" t="s">
        <v>586</v>
      </c>
      <c r="L5893" s="20" t="s">
        <v>587</v>
      </c>
      <c r="M5893" s="20" t="s">
        <v>588</v>
      </c>
      <c r="N5893" s="20" t="s">
        <v>589</v>
      </c>
      <c r="O5893" s="20" t="s">
        <v>590</v>
      </c>
      <c r="P5893" s="6" t="s">
        <v>23</v>
      </c>
      <c r="R5893" s="20" t="n">
        <v>2023</v>
      </c>
      <c r="S5893" s="20" t="n">
        <v>2024</v>
      </c>
      <c r="T5893" s="20" t="n">
        <v>2025</v>
      </c>
      <c r="U5893" s="20" t="n">
        <v>2026</v>
      </c>
      <c r="V5893" s="20" t="n">
        <v>2027</v>
      </c>
      <c r="W5893" s="20" t="n">
        <v>2028</v>
      </c>
      <c r="X5893" s="20" t="n">
        <v>2029</v>
      </c>
      <c r="Y5893" s="20" t="n">
        <v>2030</v>
      </c>
      <c r="Z5893" s="20" t="n">
        <v>2031</v>
      </c>
      <c r="AA5893" s="20" t="n">
        <v>2032</v>
      </c>
    </row>
    <row r="5894" customFormat="false" ht="17.15" hidden="false" customHeight="false" outlineLevel="0" collapsed="false">
      <c r="A5894" s="1" t="s">
        <v>666</v>
      </c>
    </row>
    <row r="5895" customFormat="false" ht="17.15" hidden="false" customHeight="false" outlineLevel="0" collapsed="false">
      <c r="A5895" s="0" t="s">
        <v>519</v>
      </c>
      <c r="B5895" s="0" t="s">
        <v>86</v>
      </c>
      <c r="C5895" s="38" t="n">
        <f aca="false">Q!$D$10</f>
        <v>247.029</v>
      </c>
      <c r="D5895" s="38" t="n">
        <f aca="false">Q!$E$10</f>
        <v>269.287</v>
      </c>
      <c r="E5895" s="38" t="n">
        <f aca="false">Q!$P$10</f>
        <v>134.686</v>
      </c>
      <c r="F5895" s="38" t="n">
        <f aca="false">Sens!$O$5895*(1+Sens!$F$5896)*Sens!$F$5907</f>
        <v>158.293876822267</v>
      </c>
      <c r="G5895" s="38" t="n">
        <f aca="false">Sens!$E$5895+Sens!$F$5895</f>
        <v>292.979876822267</v>
      </c>
      <c r="H5895" s="38" t="n">
        <f aca="false">Sens!$G$5895*(1+Sens!$H$5896)</f>
        <v>318.184543087396</v>
      </c>
      <c r="I5895" s="38" t="n">
        <f aca="false">Sens!$H$5895*(1+Sens!$I$5896)</f>
        <v>341.736278761793</v>
      </c>
      <c r="J5895" s="38" t="n">
        <f aca="false">Sens!$I$5895*(1+Sens!$J$5896)</f>
        <v>362.927192787048</v>
      </c>
      <c r="K5895" s="38" t="n">
        <f aca="false">Sens!$J$5895*(1+Sens!$K$5896)</f>
        <v>381.0735524264</v>
      </c>
      <c r="L5895" s="38" t="n">
        <f aca="false">Sens!$K$5895*(1+Sens!$L$5896)</f>
        <v>400.12723004772</v>
      </c>
      <c r="M5895" s="38" t="n">
        <f aca="false">Sens!$L$5895*(1+Sens!$M$5896)</f>
        <v>420.133591550106</v>
      </c>
      <c r="N5895" s="38" t="n">
        <f aca="false">Q!$N$10</f>
        <v>118.892</v>
      </c>
      <c r="O5895" s="38" t="n">
        <f aca="false">Q!$O$10</f>
        <v>150.395</v>
      </c>
      <c r="P5895" s="8" t="s">
        <v>667</v>
      </c>
    </row>
    <row r="5896" customFormat="false" ht="17.15" hidden="false" customHeight="false" outlineLevel="0" collapsed="false">
      <c r="A5896" s="0" t="s">
        <v>668</v>
      </c>
      <c r="B5896" s="0" t="s">
        <v>52</v>
      </c>
      <c r="E5896" s="13" t="n">
        <f aca="false">Sens!$E$5895/Sens!$N$5895-1</f>
        <v>0.132843252699929</v>
      </c>
      <c r="F5896" s="13" t="n">
        <f aca="false">Sens!$O$5895/(Q!$F$10+Q!$G$10)-1</f>
        <v>0.0980382135842941</v>
      </c>
      <c r="G5896" s="13" t="n">
        <f aca="false">Sens!$G$5895/Sens!$D$5895-1</f>
        <v>0.0879837378791657</v>
      </c>
      <c r="H5896" s="13" t="n">
        <f aca="false">Sens!$F$5896+(g_os-Sens!$F$5896)*1/4</f>
        <v>0.0860286601882206</v>
      </c>
      <c r="I5896" s="13" t="n">
        <f aca="false">Sens!$F$5896+(g_os-Sens!$F$5896)*2/4</f>
        <v>0.074019106792147</v>
      </c>
      <c r="J5896" s="13" t="n">
        <f aca="false">Sens!$F$5896+(g_os-Sens!$F$5896)*3/4</f>
        <v>0.0620095533960735</v>
      </c>
      <c r="K5896" s="13" t="n">
        <f aca="false">Sens!$F$5896+(g_os-Sens!$F$5896)*4/4</f>
        <v>0.05</v>
      </c>
      <c r="L5896" s="13" t="n">
        <f aca="false">g_os</f>
        <v>0.05</v>
      </c>
      <c r="M5896" s="13" t="n">
        <f aca="false">g_os</f>
        <v>0.05</v>
      </c>
      <c r="P5896" s="8" t="s">
        <v>669</v>
      </c>
    </row>
    <row r="5897" customFormat="false" ht="17.15" hidden="false" customHeight="false" outlineLevel="0" collapsed="false">
      <c r="A5897" s="0" t="s">
        <v>520</v>
      </c>
      <c r="B5897" s="0" t="s">
        <v>86</v>
      </c>
      <c r="C5897" s="38" t="n">
        <f aca="false">Q!$D$11</f>
        <v>21.215</v>
      </c>
      <c r="D5897" s="38" t="n">
        <f aca="false">Q!$E$11</f>
        <v>22.561</v>
      </c>
      <c r="E5897" s="38" t="n">
        <f aca="false">Q!$P$11</f>
        <v>11.579</v>
      </c>
      <c r="F5897" s="38" t="n">
        <f aca="false">Sens!$O$5897*(1+Sens!$F$5898)*Sens!$F$5907</f>
        <v>11.5938724610325</v>
      </c>
      <c r="G5897" s="38" t="n">
        <f aca="false">Sens!$E$5897+Sens!$F$5897</f>
        <v>23.1728724610325</v>
      </c>
      <c r="H5897" s="38" t="n">
        <f aca="false">Sens!$G$5897*(1+Sens!$H$5898)</f>
        <v>24.353392759506</v>
      </c>
      <c r="I5897" s="38" t="n">
        <f aca="false">Sens!$H$5897*(1+Sens!$I$5898)</f>
        <v>25.4240338872015</v>
      </c>
      <c r="J5897" s="38" t="n">
        <f aca="false">Sens!$I$5897*(1+Sens!$J$5898)</f>
        <v>26.3642491017174</v>
      </c>
      <c r="K5897" s="38" t="n">
        <f aca="false">Sens!$J$5897*(1+Sens!$K$5898)</f>
        <v>27.155176574769</v>
      </c>
      <c r="L5897" s="38" t="n">
        <f aca="false">Sens!$K$5897*(1+Sens!$L$5898)</f>
        <v>27.969831872012</v>
      </c>
      <c r="M5897" s="38" t="n">
        <f aca="false">Sens!$L$5897*(1+Sens!$M$5898)</f>
        <v>28.8089268281724</v>
      </c>
      <c r="N5897" s="38" t="n">
        <f aca="false">Q!$N$11</f>
        <v>11.128</v>
      </c>
      <c r="O5897" s="38" t="n">
        <f aca="false">Q!$O$11</f>
        <v>11.433</v>
      </c>
      <c r="P5897" s="8" t="s">
        <v>667</v>
      </c>
    </row>
    <row r="5898" customFormat="false" ht="17.15" hidden="false" customHeight="false" outlineLevel="0" collapsed="false">
      <c r="A5898" s="0" t="s">
        <v>670</v>
      </c>
      <c r="B5898" s="0" t="s">
        <v>52</v>
      </c>
      <c r="E5898" s="13" t="n">
        <f aca="false">Sens!$E$5897/Sens!$N$5897-1</f>
        <v>0.0405283968368082</v>
      </c>
      <c r="F5898" s="13" t="n">
        <f aca="false">Sens!$O$5897/(Q!$F$11+Q!$G$11)-1</f>
        <v>0.0579254187100955</v>
      </c>
      <c r="G5898" s="13" t="n">
        <f aca="false">Sens!$G$5897/Sens!$D$5897-1</f>
        <v>0.0271208040881397</v>
      </c>
      <c r="H5898" s="13" t="n">
        <f aca="false">Sens!$F$5898+(g_ps-Sens!$F$5898)*1/4</f>
        <v>0.0509440640325716</v>
      </c>
      <c r="I5898" s="13" t="n">
        <f aca="false">Sens!$F$5898+(g_ps-Sens!$F$5898)*2/4</f>
        <v>0.0439627093550477</v>
      </c>
      <c r="J5898" s="13" t="n">
        <f aca="false">Sens!$F$5898+(g_ps-Sens!$F$5898)*3/4</f>
        <v>0.0369813546775239</v>
      </c>
      <c r="K5898" s="13" t="n">
        <f aca="false">Sens!$F$5898+(g_ps-Sens!$F$5898)*4/4</f>
        <v>0.03</v>
      </c>
      <c r="L5898" s="13" t="n">
        <f aca="false">g_ps</f>
        <v>0.03</v>
      </c>
      <c r="M5898" s="13" t="n">
        <f aca="false">g_ps</f>
        <v>0.03</v>
      </c>
      <c r="P5898" s="8" t="s">
        <v>671</v>
      </c>
    </row>
    <row r="5899" customFormat="false" ht="17.15" hidden="false" customHeight="false" outlineLevel="0" collapsed="false">
      <c r="A5899" s="0" t="s">
        <v>521</v>
      </c>
      <c r="B5899" s="0" t="s">
        <v>86</v>
      </c>
      <c r="C5899" s="38" t="n">
        <f aca="false">Q!$D$12</f>
        <v>156.146</v>
      </c>
      <c r="D5899" s="38" t="n">
        <f aca="false">Q!$E$12</f>
        <v>172.162</v>
      </c>
      <c r="E5899" s="38" t="n">
        <f aca="false">Q!$P$12</f>
        <v>88.358</v>
      </c>
      <c r="F5899" s="38" t="n">
        <f aca="false">Sens!$O$5899*(1+Sens!$F$5900)*Sens!$F$5907</f>
        <v>102.004388260171</v>
      </c>
      <c r="G5899" s="38" t="n">
        <f aca="false">Sens!$E$5899+Sens!$F$5899</f>
        <v>190.362388260171</v>
      </c>
      <c r="H5899" s="38" t="n">
        <f aca="false">Sens!$G$5899*(1+Sens!$H$5900)</f>
        <v>210.343106588311</v>
      </c>
      <c r="I5899" s="38" t="n">
        <f aca="false">Sens!$H$5899*(1+Sens!$I$5900)</f>
        <v>229.969728494648</v>
      </c>
      <c r="J5899" s="38" t="n">
        <f aca="false">Sens!$I$5899*(1+Sens!$J$5900)</f>
        <v>248.747636972598</v>
      </c>
      <c r="K5899" s="38" t="n">
        <f aca="false">Sens!$J$5899*(1+Sens!$K$5900)</f>
        <v>266.15997156068</v>
      </c>
      <c r="L5899" s="38" t="n">
        <f aca="false">Sens!$K$5899*(1+Sens!$L$5900)</f>
        <v>284.791169569927</v>
      </c>
      <c r="M5899" s="38" t="n">
        <f aca="false">Sens!$L$5899*(1+Sens!$M$5900)</f>
        <v>304.726551439822</v>
      </c>
      <c r="N5899" s="38" t="n">
        <f aca="false">Q!$N$12</f>
        <v>76.86</v>
      </c>
      <c r="O5899" s="38" t="n">
        <f aca="false">Q!$O$12</f>
        <v>95.302</v>
      </c>
      <c r="P5899" s="8" t="s">
        <v>667</v>
      </c>
    </row>
    <row r="5900" customFormat="false" ht="17.15" hidden="false" customHeight="false" outlineLevel="0" collapsed="false">
      <c r="A5900" s="0" t="s">
        <v>672</v>
      </c>
      <c r="B5900" s="0" t="s">
        <v>52</v>
      </c>
      <c r="E5900" s="13" t="n">
        <f aca="false">Sens!$E$5899/Sens!$N$5899-1</f>
        <v>0.1495966692688</v>
      </c>
      <c r="F5900" s="13" t="n">
        <f aca="false">Sens!$O$5899/(Q!$F$12+Q!$G$12)-1</f>
        <v>0.11661530890813</v>
      </c>
      <c r="G5900" s="13" t="n">
        <f aca="false">Sens!$G$5899/Sens!$D$5899-1</f>
        <v>0.105716640490767</v>
      </c>
      <c r="H5900" s="13" t="n">
        <f aca="false">Sens!$F$5900+(g_sp-Sens!$F$5900)*1/4</f>
        <v>0.104961481681098</v>
      </c>
      <c r="I5900" s="13" t="n">
        <f aca="false">Sens!$F$5900+(g_sp-Sens!$F$5900)*2/4</f>
        <v>0.0933076544540651</v>
      </c>
      <c r="J5900" s="13" t="n">
        <f aca="false">Sens!$F$5900+(g_sp-Sens!$F$5900)*3/4</f>
        <v>0.0816538272270325</v>
      </c>
      <c r="K5900" s="13" t="n">
        <f aca="false">Sens!$F$5900+(g_sp-Sens!$F$5900)*4/4</f>
        <v>0.07</v>
      </c>
      <c r="L5900" s="13" t="n">
        <f aca="false">g_sp</f>
        <v>0.07</v>
      </c>
      <c r="M5900" s="13" t="n">
        <f aca="false">g_sp</f>
        <v>0.07</v>
      </c>
      <c r="P5900" s="8" t="s">
        <v>673</v>
      </c>
    </row>
    <row r="5901" customFormat="false" ht="17.15" hidden="false" customHeight="false" outlineLevel="0" collapsed="false">
      <c r="A5901" s="0" t="s">
        <v>522</v>
      </c>
      <c r="B5901" s="0" t="s">
        <v>86</v>
      </c>
      <c r="C5901" s="38" t="n">
        <f aca="false">Q!$D$13</f>
        <v>56.214</v>
      </c>
      <c r="D5901" s="38" t="n">
        <f aca="false">Q!$E$13</f>
        <v>68.635</v>
      </c>
      <c r="E5901" s="38" t="n">
        <f aca="false">Q!$P$13</f>
        <v>37.052</v>
      </c>
      <c r="F5901" s="38" t="n">
        <f aca="false">Sens!$O$5901*(1+Sens!$F$5902)*Sens!$F$5907</f>
        <v>46.1572219944148</v>
      </c>
      <c r="G5901" s="38" t="n">
        <f aca="false">Sens!$E$5901+Sens!$F$5901</f>
        <v>83.2092219944148</v>
      </c>
      <c r="H5901" s="38" t="n">
        <f aca="false">Sens!$G$5901*(1+Sens!$H$5902)</f>
        <v>99.8969223878976</v>
      </c>
      <c r="I5901" s="38" t="n">
        <f aca="false">Sens!$H$5901*(1+Sens!$I$5902)</f>
        <v>116.583111095496</v>
      </c>
      <c r="J5901" s="38" t="n">
        <f aca="false">Sens!$I$5901*(1+Sens!$J$5902)</f>
        <v>132.148941941952</v>
      </c>
      <c r="K5901" s="38" t="n">
        <f aca="false">Sens!$J$5901*(1+Sens!$K$5902)</f>
        <v>145.363836136147</v>
      </c>
      <c r="L5901" s="38" t="n">
        <f aca="false">Sens!$K$5901*(1+Sens!$L$5902)</f>
        <v>159.900219749762</v>
      </c>
      <c r="M5901" s="38" t="n">
        <f aca="false">Sens!$L$5901*(1+Sens!$M$5902)</f>
        <v>175.890241724738</v>
      </c>
      <c r="N5901" s="38" t="n">
        <f aca="false">Q!$N$13</f>
        <v>29.615</v>
      </c>
      <c r="O5901" s="38" t="n">
        <f aca="false">Q!$O$13</f>
        <v>39.02</v>
      </c>
      <c r="P5901" s="8" t="s">
        <v>667</v>
      </c>
    </row>
    <row r="5902" customFormat="false" ht="17.15" hidden="false" customHeight="false" outlineLevel="0" collapsed="false">
      <c r="A5902" s="0" t="s">
        <v>674</v>
      </c>
      <c r="B5902" s="0" t="s">
        <v>52</v>
      </c>
      <c r="E5902" s="13" t="n">
        <f aca="false">Sens!$E$5901/Sens!$N$5901-1</f>
        <v>0.25112274185379</v>
      </c>
      <c r="F5902" s="13" t="n">
        <f aca="false">Sens!$O$5901/(Q!$F$13+Q!$G$13)-1</f>
        <v>0.234068123596572</v>
      </c>
      <c r="G5902" s="13" t="n">
        <f aca="false">Sens!$G$5901/Sens!$D$5901-1</f>
        <v>0.212343876949294</v>
      </c>
      <c r="H5902" s="13" t="n">
        <f aca="false">Sens!$F$5902+(g_ad-Sens!$F$5902)*1/4</f>
        <v>0.200551092697429</v>
      </c>
      <c r="I5902" s="13" t="n">
        <f aca="false">Sens!$F$5902+(g_ad-Sens!$F$5902)*2/4</f>
        <v>0.167034061798286</v>
      </c>
      <c r="J5902" s="13" t="n">
        <f aca="false">Sens!$F$5902+(g_ad-Sens!$F$5902)*3/4</f>
        <v>0.133517030899143</v>
      </c>
      <c r="K5902" s="13" t="n">
        <f aca="false">Sens!$F$5902+(g_ad-Sens!$F$5902)*4/4</f>
        <v>0.1</v>
      </c>
      <c r="L5902" s="13" t="n">
        <f aca="false">g_ad</f>
        <v>0.1</v>
      </c>
      <c r="M5902" s="13" t="n">
        <f aca="false">g_ad</f>
        <v>0.1</v>
      </c>
      <c r="P5902" s="8" t="s">
        <v>675</v>
      </c>
    </row>
    <row r="5903" customFormat="false" ht="17.15" hidden="false" customHeight="false" outlineLevel="0" collapsed="false">
      <c r="A5903" s="0" t="s">
        <v>523</v>
      </c>
      <c r="B5903" s="0" t="s">
        <v>86</v>
      </c>
      <c r="C5903" s="38" t="n">
        <f aca="false">Q!$D$14</f>
        <v>44.374</v>
      </c>
      <c r="D5903" s="38" t="n">
        <f aca="false">Q!$E$14</f>
        <v>49.619</v>
      </c>
      <c r="E5903" s="38" t="n">
        <f aca="false">Q!$P$14</f>
        <v>27.157</v>
      </c>
      <c r="F5903" s="38" t="n">
        <f aca="false">Sens!$O$5903*(1+Sens!$F$5904)*Sens!$F$5907</f>
        <v>27.7764165988154</v>
      </c>
      <c r="G5903" s="38" t="n">
        <f aca="false">Sens!$E$5903+Sens!$F$5903</f>
        <v>54.9334165988154</v>
      </c>
      <c r="H5903" s="38" t="n">
        <f aca="false">Sens!$G$5903*(1+Sens!$H$5904)</f>
        <v>61.1564112561829</v>
      </c>
      <c r="I5903" s="38" t="n">
        <f aca="false">Sens!$H$5903*(1+Sens!$I$5904)</f>
        <v>67.2020282103945</v>
      </c>
      <c r="J5903" s="38" t="n">
        <f aca="false">Sens!$I$5903*(1+Sens!$J$5904)</f>
        <v>72.8757274028885</v>
      </c>
      <c r="K5903" s="38" t="n">
        <f aca="false">Sens!$J$5903*(1+Sens!$K$5904)</f>
        <v>77.9770283210907</v>
      </c>
      <c r="L5903" s="38" t="n">
        <f aca="false">Sens!$K$5903*(1+Sens!$L$5904)</f>
        <v>83.4354203035671</v>
      </c>
      <c r="M5903" s="38" t="n">
        <f aca="false">Sens!$L$5903*(1+Sens!$M$5904)</f>
        <v>89.2758997248168</v>
      </c>
      <c r="N5903" s="38" t="n">
        <f aca="false">Q!$N$14</f>
        <v>23.923</v>
      </c>
      <c r="O5903" s="38" t="n">
        <f aca="false">Q!$O$14</f>
        <v>25.696</v>
      </c>
      <c r="P5903" s="8" t="s">
        <v>667</v>
      </c>
    </row>
    <row r="5904" customFormat="false" ht="17.15" hidden="false" customHeight="false" outlineLevel="0" collapsed="false">
      <c r="A5904" s="0" t="s">
        <v>676</v>
      </c>
      <c r="B5904" s="0" t="s">
        <v>52</v>
      </c>
      <c r="E5904" s="13" t="n">
        <f aca="false">Sens!$E$5903/Sens!$N$5903-1</f>
        <v>0.135183714417088</v>
      </c>
      <c r="F5904" s="13" t="n">
        <f aca="false">Sens!$O$5903/(Q!$F$14+Q!$G$14)-1</f>
        <v>0.127709997366804</v>
      </c>
      <c r="G5904" s="13" t="n">
        <f aca="false">Sens!$G$5903/Sens!$D$5903-1</f>
        <v>0.107104468022641</v>
      </c>
      <c r="H5904" s="13" t="n">
        <f aca="false">Sens!$F$5904+(g_sub-Sens!$F$5904)*1/4</f>
        <v>0.113282498025103</v>
      </c>
      <c r="I5904" s="13" t="n">
        <f aca="false">Sens!$F$5904+(g_sub-Sens!$F$5904)*2/4</f>
        <v>0.0988549986834021</v>
      </c>
      <c r="J5904" s="13" t="n">
        <f aca="false">Sens!$F$5904+(g_sub-Sens!$F$5904)*3/4</f>
        <v>0.084427499341701</v>
      </c>
      <c r="K5904" s="13" t="n">
        <f aca="false">Sens!$F$5904+(g_sub-Sens!$F$5904)*4/4</f>
        <v>0.07</v>
      </c>
      <c r="L5904" s="13" t="n">
        <f aca="false">g_sub</f>
        <v>0.07</v>
      </c>
      <c r="M5904" s="13" t="n">
        <f aca="false">g_sub</f>
        <v>0.07</v>
      </c>
      <c r="P5904" s="8" t="s">
        <v>677</v>
      </c>
    </row>
    <row r="5905" customFormat="false" ht="17.15" hidden="false" customHeight="false" outlineLevel="0" collapsed="false">
      <c r="A5905" s="0" t="s">
        <v>524</v>
      </c>
      <c r="B5905" s="0" t="s">
        <v>86</v>
      </c>
      <c r="C5905" s="38" t="n">
        <f aca="false">Q!$D$15</f>
        <v>5.425</v>
      </c>
      <c r="D5905" s="38" t="n">
        <f aca="false">Q!$E$15</f>
        <v>5.935</v>
      </c>
      <c r="E5905" s="38" t="n">
        <f aca="false">Q!$P$15</f>
        <v>3.474</v>
      </c>
      <c r="F5905" s="38" t="n">
        <f aca="false">Sens!$O$5905*(1+Sens!$F$5906)*Sens!$F$5907</f>
        <v>3.22246550883619</v>
      </c>
      <c r="G5905" s="38" t="n">
        <f aca="false">Sens!$E$5905+Sens!$F$5905</f>
        <v>6.69646550883619</v>
      </c>
      <c r="H5905" s="38" t="n">
        <f aca="false">Sens!$G$5905*(1+Sens!$H$5906)</f>
        <v>7.16251344209196</v>
      </c>
      <c r="I5905" s="38" t="n">
        <f aca="false">Sens!$H$5905*(1+Sens!$I$5906)</f>
        <v>7.61421070299826</v>
      </c>
      <c r="J5905" s="38" t="n">
        <f aca="false">Sens!$I$5905*(1+Sens!$J$5906)</f>
        <v>8.04465753523932</v>
      </c>
      <c r="K5905" s="38" t="n">
        <f aca="false">Sens!$J$5905*(1+Sens!$K$5906)</f>
        <v>8.44689041200128</v>
      </c>
      <c r="L5905" s="38" t="n">
        <f aca="false">Sens!$K$5905*(1+Sens!$L$5906)</f>
        <v>8.86923493260135</v>
      </c>
      <c r="M5905" s="38" t="n">
        <f aca="false">Sens!$L$5905*(1+Sens!$M$5906)</f>
        <v>9.31269667923142</v>
      </c>
      <c r="N5905" s="38" t="n">
        <f aca="false">Q!$N$15</f>
        <v>2.811</v>
      </c>
      <c r="O5905" s="38" t="n">
        <f aca="false">Q!$O$15</f>
        <v>3.124</v>
      </c>
      <c r="P5905" s="8" t="s">
        <v>667</v>
      </c>
    </row>
    <row r="5906" customFormat="false" ht="17.15" hidden="false" customHeight="false" outlineLevel="0" collapsed="false">
      <c r="A5906" s="0" t="s">
        <v>678</v>
      </c>
      <c r="B5906" s="0" t="s">
        <v>52</v>
      </c>
      <c r="E5906" s="13" t="n">
        <f aca="false">Sens!$E$5905/Sens!$N$5905-1</f>
        <v>0.235859124866596</v>
      </c>
      <c r="F5906" s="13" t="n">
        <f aca="false">Sens!$O$5905/(Q!$F$15+Q!$G$15)-1</f>
        <v>0.0761281433000345</v>
      </c>
      <c r="G5906" s="13" t="n">
        <f aca="false">Sens!$G$5905/Sens!$D$5905-1</f>
        <v>0.128300843948811</v>
      </c>
      <c r="H5906" s="13" t="n">
        <f aca="false">Sens!$F$5906+(g_ot-Sens!$F$5906)*1/4</f>
        <v>0.0695961074750259</v>
      </c>
      <c r="I5906" s="13" t="n">
        <f aca="false">Sens!$F$5906+(g_ot-Sens!$F$5906)*2/4</f>
        <v>0.0630640716500172</v>
      </c>
      <c r="J5906" s="13" t="n">
        <f aca="false">Sens!$F$5906+(g_ot-Sens!$F$5906)*3/4</f>
        <v>0.0565320358250086</v>
      </c>
      <c r="K5906" s="13" t="n">
        <f aca="false">Sens!$F$5906+(g_ot-Sens!$F$5906)*4/4</f>
        <v>0.05</v>
      </c>
      <c r="L5906" s="13" t="n">
        <f aca="false">g_ot</f>
        <v>0.05</v>
      </c>
      <c r="M5906" s="13" t="n">
        <f aca="false">g_ot</f>
        <v>0.05</v>
      </c>
      <c r="P5906" s="8" t="s">
        <v>679</v>
      </c>
    </row>
    <row r="5907" customFormat="false" ht="17.15" hidden="false" customHeight="false" outlineLevel="0" collapsed="false">
      <c r="A5907" s="0" t="s">
        <v>680</v>
      </c>
      <c r="B5907" s="0" t="s">
        <v>57</v>
      </c>
      <c r="F5907" s="40" t="n">
        <f aca="false">(g26q3_mid*Q!$O$8/Q!$J$8-Thesis!$F$86-Thesis!$F$90)/(Sens!$O$5895*(1+Sens!$F$5896)+Sens!$O$5897*(1+Sens!$F$5898)+Sens!$O$5899*(1+Sens!$F$5900)+Sens!$O$5901*(1+Sens!$F$5902)+Sens!$O$5903*(1+Sens!$F$5904)+Sens!$O$5905*(1+Sens!$F$5906))</f>
        <v>0.958546670622329</v>
      </c>
      <c r="P5907" s="8" t="s">
        <v>681</v>
      </c>
    </row>
    <row r="5908" customFormat="false" ht="17.15" hidden="false" customHeight="false" outlineLevel="0" collapsed="false">
      <c r="A5908" s="3" t="s">
        <v>682</v>
      </c>
      <c r="B5908" s="8" t="s">
        <v>86</v>
      </c>
      <c r="C5908" s="38" t="n">
        <f aca="false">Sens!$C$5895+Sens!$C$5897+Sens!$C$5899+Sens!$C$5901+Sens!$C$5903+Sens!$C$5905</f>
        <v>530.403</v>
      </c>
      <c r="D5908" s="38" t="n">
        <f aca="false">Sens!$D$5895+Sens!$D$5897+Sens!$D$5899+Sens!$D$5901+Sens!$D$5903+Sens!$D$5905</f>
        <v>588.199</v>
      </c>
      <c r="E5908" s="38" t="n">
        <f aca="false">Sens!$E$5895+Sens!$E$5897+Sens!$E$5899+Sens!$E$5901+Sens!$E$5903+Sens!$E$5905</f>
        <v>302.306</v>
      </c>
      <c r="F5908" s="38" t="n">
        <f aca="false">Sens!$F$5895+Sens!$F$5897+Sens!$F$5899+Sens!$F$5901+Sens!$F$5903+Sens!$F$5905</f>
        <v>349.048241645537</v>
      </c>
      <c r="G5908" s="38" t="n">
        <f aca="false">Sens!$G$5895+Sens!$G$5897+Sens!$G$5899+Sens!$G$5901+Sens!$G$5903+Sens!$G$5905</f>
        <v>651.354241645537</v>
      </c>
      <c r="H5908" s="38" t="n">
        <f aca="false">Sens!$H$5895+Sens!$H$5897+Sens!$H$5899+Sens!$H$5901+Sens!$H$5903+Sens!$H$5905</f>
        <v>721.096889521386</v>
      </c>
      <c r="I5908" s="38" t="n">
        <f aca="false">Sens!$I$5895+Sens!$I$5897+Sens!$I$5899+Sens!$I$5901+Sens!$I$5903+Sens!$I$5905</f>
        <v>788.529391152531</v>
      </c>
      <c r="J5908" s="38" t="n">
        <f aca="false">Sens!$J$5895+Sens!$J$5897+Sens!$J$5899+Sens!$J$5901+Sens!$J$5903+Sens!$J$5905</f>
        <v>851.108405741443</v>
      </c>
      <c r="K5908" s="38" t="n">
        <f aca="false">Sens!$K$5895+Sens!$K$5897+Sens!$K$5899+Sens!$K$5901+Sens!$K$5903+Sens!$K$5905</f>
        <v>906.176455431088</v>
      </c>
      <c r="L5908" s="38" t="n">
        <f aca="false">Sens!$L$5895+Sens!$L$5897+Sens!$L$5899+Sens!$L$5901+Sens!$L$5903+Sens!$L$5905</f>
        <v>965.093106475589</v>
      </c>
      <c r="M5908" s="38" t="n">
        <f aca="false">Sens!$M$5895+Sens!$M$5897+Sens!$M$5899+Sens!$M$5901+Sens!$M$5903+Sens!$M$5905</f>
        <v>1028.14790794689</v>
      </c>
      <c r="N5908" s="38" t="n">
        <f aca="false">Sens!$N$5895+Sens!$N$5897+Sens!$N$5899+Sens!$N$5901+Sens!$N$5903+Sens!$N$5905</f>
        <v>263.229</v>
      </c>
      <c r="O5908" s="38" t="n">
        <f aca="false">Sens!$O$5895+Sens!$O$5897+Sens!$O$5899+Sens!$O$5901+Sens!$O$5903+Sens!$O$5905</f>
        <v>324.97</v>
      </c>
    </row>
    <row r="5909" customFormat="false" ht="17.15" hidden="false" customHeight="false" outlineLevel="0" collapsed="false">
      <c r="A5909" s="5" t="s">
        <v>683</v>
      </c>
      <c r="B5909" s="0" t="s">
        <v>52</v>
      </c>
      <c r="C5909" s="13" t="n">
        <f aca="false">Q!$D$5/(Q!$D$5+Q!$D$6)</f>
        <v>0.730570905519011</v>
      </c>
      <c r="D5909" s="13" t="n">
        <f aca="false">Q!$E$5/(Q!$E$5+Q!$E$6)</f>
        <v>0.724763217890544</v>
      </c>
      <c r="E5909" s="13" t="n">
        <f aca="false">Q!$P$5/(Q!$P$5+Q!$P$6)</f>
        <v>0.728797972914861</v>
      </c>
      <c r="F5909" s="13" t="n">
        <f aca="false">Sens!$O$5909</f>
        <v>0.718066283041511</v>
      </c>
      <c r="G5909" s="13" t="n">
        <f aca="false">Sens!$G$5910/Sens!$G$5908</f>
        <v>0.723047066202847</v>
      </c>
      <c r="H5909" s="13" t="n">
        <f aca="false">Sens!$G$5909</f>
        <v>0.723047066202847</v>
      </c>
      <c r="I5909" s="13" t="n">
        <f aca="false">Sens!$G$5909</f>
        <v>0.723047066202847</v>
      </c>
      <c r="J5909" s="13" t="n">
        <f aca="false">Sens!$G$5909</f>
        <v>0.723047066202847</v>
      </c>
      <c r="K5909" s="13" t="n">
        <f aca="false">Sens!$G$5909</f>
        <v>0.723047066202847</v>
      </c>
      <c r="L5909" s="13" t="n">
        <f aca="false">Sens!$G$5909</f>
        <v>0.723047066202847</v>
      </c>
      <c r="M5909" s="13" t="n">
        <f aca="false">Sens!$G$5909</f>
        <v>0.723047066202847</v>
      </c>
      <c r="N5909" s="13" t="n">
        <f aca="false">Q!$N$5/(Q!$N$5+Q!$N$6)</f>
        <v>0.733030935041352</v>
      </c>
      <c r="O5909" s="13" t="n">
        <f aca="false">Q!$O$5/(Q!$O$5+Q!$O$6)</f>
        <v>0.718066283041511</v>
      </c>
      <c r="P5909" s="8" t="s">
        <v>684</v>
      </c>
    </row>
    <row r="5910" customFormat="false" ht="17.15" hidden="false" customHeight="false" outlineLevel="0" collapsed="false">
      <c r="A5910" s="1" t="s">
        <v>512</v>
      </c>
      <c r="B5910" s="8" t="s">
        <v>86</v>
      </c>
      <c r="C5910" s="38" t="n">
        <f aca="false">Q!$D$5</f>
        <v>387.497</v>
      </c>
      <c r="D5910" s="38" t="n">
        <f aca="false">Q!$E$5</f>
        <v>426.305</v>
      </c>
      <c r="E5910" s="38" t="n">
        <f aca="false">Q!$P$5</f>
        <v>220.32</v>
      </c>
      <c r="F5910" s="38" t="n">
        <f aca="false">Sens!$F$5908*Sens!$F$5909</f>
        <v>250.639773480586</v>
      </c>
      <c r="G5910" s="38" t="n">
        <f aca="false">Sens!$E$5910+Sens!$F$5910</f>
        <v>470.959773480586</v>
      </c>
      <c r="H5910" s="38" t="n">
        <f aca="false">Sens!$H$5908*Sens!$H$5909</f>
        <v>521.386990416437</v>
      </c>
      <c r="I5910" s="38" t="n">
        <f aca="false">Sens!$I$5908*Sens!$I$5909</f>
        <v>570.143862887555</v>
      </c>
      <c r="J5910" s="38" t="n">
        <f aca="false">Sens!$J$5908*Sens!$J$5909</f>
        <v>615.391435791933</v>
      </c>
      <c r="K5910" s="38" t="n">
        <f aca="false">Sens!$K$5908*Sens!$K$5909</f>
        <v>655.208227561543</v>
      </c>
      <c r="L5910" s="38" t="n">
        <f aca="false">Sens!$L$5908*Sens!$L$5909</f>
        <v>697.807739249767</v>
      </c>
      <c r="M5910" s="38" t="n">
        <f aca="false">Sens!$M$5908*Sens!$M$5909</f>
        <v>743.399328463592</v>
      </c>
      <c r="N5910" s="38" t="n">
        <f aca="false">Q!$N$5</f>
        <v>192.955</v>
      </c>
      <c r="O5910" s="38" t="n">
        <f aca="false">Q!$O$5</f>
        <v>233.35</v>
      </c>
      <c r="P5910" s="5" t="s">
        <v>685</v>
      </c>
    </row>
    <row r="5911" customFormat="false" ht="17.15" hidden="false" customHeight="false" outlineLevel="0" collapsed="false">
      <c r="A5911" s="1" t="s">
        <v>515</v>
      </c>
      <c r="B5911" s="8" t="s">
        <v>86</v>
      </c>
      <c r="C5911" s="38" t="n">
        <f aca="false">Q!$D$6</f>
        <v>142.906</v>
      </c>
      <c r="D5911" s="38" t="n">
        <f aca="false">Q!$E$6</f>
        <v>161.894</v>
      </c>
      <c r="E5911" s="38" t="n">
        <f aca="false">Q!$P$6</f>
        <v>81.986</v>
      </c>
      <c r="F5911" s="38" t="n">
        <f aca="false">Sens!$F$5908*(1-Sens!$F$5909)</f>
        <v>98.408468164951</v>
      </c>
      <c r="G5911" s="38" t="n">
        <f aca="false">Sens!$E$5911+Sens!$F$5911</f>
        <v>180.394468164951</v>
      </c>
      <c r="H5911" s="38" t="n">
        <f aca="false">Sens!$H$5908*(1-Sens!$H$5909)</f>
        <v>199.709899104949</v>
      </c>
      <c r="I5911" s="38" t="n">
        <f aca="false">Sens!$I$5908*(1-Sens!$I$5909)</f>
        <v>218.385528264976</v>
      </c>
      <c r="J5911" s="38" t="n">
        <f aca="false">Sens!$J$5908*(1-Sens!$J$5909)</f>
        <v>235.71696994951</v>
      </c>
      <c r="K5911" s="38" t="n">
        <f aca="false">Sens!$K$5908*(1-Sens!$K$5909)</f>
        <v>250.968227869545</v>
      </c>
      <c r="L5911" s="38" t="n">
        <f aca="false">Sens!$L$5908*(1-Sens!$L$5909)</f>
        <v>267.285367225822</v>
      </c>
      <c r="M5911" s="38" t="n">
        <f aca="false">Sens!$M$5908*(1-Sens!$M$5909)</f>
        <v>284.748579483295</v>
      </c>
      <c r="N5911" s="38" t="n">
        <f aca="false">Q!$N$6</f>
        <v>70.274</v>
      </c>
      <c r="O5911" s="38" t="n">
        <f aca="false">Q!$O$6</f>
        <v>91.62</v>
      </c>
      <c r="P5911" s="5" t="s">
        <v>686</v>
      </c>
    </row>
    <row r="5912" customFormat="false" ht="17.15" hidden="false" customHeight="false" outlineLevel="0" collapsed="false">
      <c r="A5912" s="5" t="s">
        <v>687</v>
      </c>
      <c r="B5912" s="0" t="s">
        <v>86</v>
      </c>
      <c r="C5912" s="38" t="n">
        <f aca="false">Sens!$C$5901*Sens!$C$5909</f>
        <v>41.0683128828457</v>
      </c>
      <c r="D5912" s="38" t="n">
        <f aca="false">Sens!$D$5901*Sens!$D$5909</f>
        <v>49.7441234599175</v>
      </c>
      <c r="E5912" s="38" t="n">
        <f aca="false">Sens!$E$5901*Sens!$E$5909</f>
        <v>27.0034224924414</v>
      </c>
      <c r="F5912" s="38" t="n">
        <f aca="false">Sens!$F$5901*Sens!$F$5909</f>
        <v>33.1439448330513</v>
      </c>
      <c r="G5912" s="38" t="n">
        <f aca="false">Sens!$G$5901*Sens!$G$5909</f>
        <v>60.164183844083</v>
      </c>
      <c r="H5912" s="38" t="n">
        <f aca="false">Sens!$H$5901*Sens!$H$5909</f>
        <v>72.2301766552629</v>
      </c>
      <c r="I5912" s="38" t="n">
        <f aca="false">Sens!$I$5901*Sens!$I$5909</f>
        <v>84.2950764463991</v>
      </c>
      <c r="J5912" s="38" t="n">
        <f aca="false">Sens!$J$5901*Sens!$J$5909</f>
        <v>95.5499047729386</v>
      </c>
      <c r="K5912" s="38" t="n">
        <f aca="false">Sens!$K$5901*Sens!$K$5909</f>
        <v>105.104895250232</v>
      </c>
      <c r="L5912" s="38" t="n">
        <f aca="false">Sens!$L$5901*Sens!$L$5909</f>
        <v>115.615384775256</v>
      </c>
      <c r="M5912" s="38" t="n">
        <f aca="false">Sens!$M$5901*Sens!$M$5909</f>
        <v>127.176923252781</v>
      </c>
      <c r="N5912" s="38" t="n">
        <f aca="false">Sens!$N$5901*Sens!$N$5909</f>
        <v>21.7087111412496</v>
      </c>
      <c r="O5912" s="38" t="n">
        <f aca="false">Sens!$O$5901*Sens!$O$5909</f>
        <v>28.0189463642798</v>
      </c>
      <c r="P5912" s="5" t="s">
        <v>688</v>
      </c>
    </row>
    <row r="5913" customFormat="false" ht="15" hidden="false" customHeight="false" outlineLevel="0" collapsed="false">
      <c r="A5913" s="5" t="s">
        <v>689</v>
      </c>
      <c r="B5913" s="0" t="s">
        <v>86</v>
      </c>
      <c r="C5913" s="38" t="n">
        <f aca="false">Sens!$C$5901-Sens!$C$5912</f>
        <v>15.1456871171543</v>
      </c>
      <c r="D5913" s="38" t="n">
        <f aca="false">Sens!$D$5901-Sens!$D$5912</f>
        <v>18.8908765400825</v>
      </c>
      <c r="E5913" s="38" t="n">
        <f aca="false">Sens!$E$5901-Sens!$E$5912</f>
        <v>10.0485775075586</v>
      </c>
      <c r="F5913" s="38" t="n">
        <f aca="false">Sens!$F$5901-Sens!$F$5912</f>
        <v>13.0132771613635</v>
      </c>
      <c r="G5913" s="38" t="n">
        <f aca="false">Sens!$G$5901-Sens!$G$5912</f>
        <v>23.0450381503318</v>
      </c>
      <c r="H5913" s="38" t="n">
        <f aca="false">Sens!$H$5901-Sens!$H$5912</f>
        <v>27.6667457326347</v>
      </c>
      <c r="I5913" s="38" t="n">
        <f aca="false">Sens!$I$5901-Sens!$I$5912</f>
        <v>32.2880346490971</v>
      </c>
      <c r="J5913" s="38" t="n">
        <f aca="false">Sens!$J$5901-Sens!$J$5912</f>
        <v>36.5990371690132</v>
      </c>
      <c r="K5913" s="38" t="n">
        <f aca="false">Sens!$K$5901-Sens!$K$5912</f>
        <v>40.2589408859145</v>
      </c>
      <c r="L5913" s="38" t="n">
        <f aca="false">Sens!$L$5901-Sens!$L$5912</f>
        <v>44.2848349745059</v>
      </c>
      <c r="M5913" s="38" t="n">
        <f aca="false">Sens!$M$5901-Sens!$M$5912</f>
        <v>48.7133184719565</v>
      </c>
      <c r="N5913" s="38" t="n">
        <f aca="false">Sens!$N$5901-Sens!$N$5912</f>
        <v>7.90628885875037</v>
      </c>
      <c r="O5913" s="38" t="n">
        <f aca="false">Sens!$O$5901-Sens!$O$5912</f>
        <v>11.0010536357202</v>
      </c>
    </row>
    <row r="5914" customFormat="false" ht="19.4" hidden="false" customHeight="false" outlineLevel="0" collapsed="false">
      <c r="A5914" s="31" t="s">
        <v>1256</v>
      </c>
    </row>
    <row r="5915" customFormat="false" ht="17.15" hidden="false" customHeight="false" outlineLevel="0" collapsed="false">
      <c r="A5915" s="6" t="s">
        <v>16</v>
      </c>
      <c r="B5915" s="6" t="s">
        <v>17</v>
      </c>
      <c r="C5915" s="20" t="s">
        <v>497</v>
      </c>
      <c r="D5915" s="20" t="s">
        <v>498</v>
      </c>
      <c r="E5915" s="20" t="s">
        <v>580</v>
      </c>
      <c r="F5915" s="20" t="s">
        <v>581</v>
      </c>
      <c r="G5915" s="20" t="s">
        <v>582</v>
      </c>
      <c r="H5915" s="20" t="s">
        <v>583</v>
      </c>
      <c r="I5915" s="20" t="s">
        <v>584</v>
      </c>
      <c r="J5915" s="20" t="s">
        <v>585</v>
      </c>
      <c r="K5915" s="20" t="s">
        <v>586</v>
      </c>
      <c r="L5915" s="20" t="s">
        <v>587</v>
      </c>
      <c r="M5915" s="20" t="s">
        <v>588</v>
      </c>
      <c r="N5915" s="20" t="s">
        <v>589</v>
      </c>
      <c r="O5915" s="20" t="s">
        <v>590</v>
      </c>
      <c r="P5915" s="6" t="s">
        <v>23</v>
      </c>
      <c r="R5915" s="20" t="n">
        <v>2023</v>
      </c>
      <c r="S5915" s="20" t="n">
        <v>2024</v>
      </c>
      <c r="T5915" s="20" t="n">
        <v>2025</v>
      </c>
      <c r="U5915" s="20" t="n">
        <v>2026</v>
      </c>
      <c r="V5915" s="20" t="n">
        <v>2027</v>
      </c>
      <c r="W5915" s="20" t="n">
        <v>2028</v>
      </c>
      <c r="X5915" s="20" t="n">
        <v>2029</v>
      </c>
      <c r="Y5915" s="20" t="n">
        <v>2030</v>
      </c>
      <c r="Z5915" s="20" t="n">
        <v>2031</v>
      </c>
      <c r="AA5915" s="20" t="n">
        <v>2032</v>
      </c>
    </row>
    <row r="5916" customFormat="false" ht="17.15" hidden="false" customHeight="false" outlineLevel="0" collapsed="false">
      <c r="A5916" s="1" t="s">
        <v>591</v>
      </c>
    </row>
    <row r="5917" customFormat="false" ht="17.15" hidden="false" customHeight="false" outlineLevel="0" collapsed="false">
      <c r="A5917" s="5" t="s">
        <v>592</v>
      </c>
      <c r="B5917" s="0" t="s">
        <v>144</v>
      </c>
      <c r="H5917" s="32" t="n">
        <f aca="false">pace_B</f>
        <v>3634.3</v>
      </c>
      <c r="I5917" s="32" t="n">
        <f aca="false">pace_B</f>
        <v>3634.3</v>
      </c>
      <c r="J5917" s="32" t="n">
        <f aca="false">pace_B</f>
        <v>3634.3</v>
      </c>
      <c r="K5917" s="32" t="n">
        <f aca="false">pace_B+(Sens!$J$5918*tg-pace_B)*1/3</f>
        <v>2570.86716666667</v>
      </c>
      <c r="L5917" s="32" t="n">
        <f aca="false">pace_B+(Sens!$J$5918*tg-pace_B)*2/3</f>
        <v>1507.43433333333</v>
      </c>
      <c r="M5917" s="32" t="n">
        <f aca="false">pace_B+(Sens!$J$5918*tg-pace_B)*3/3</f>
        <v>444.0015</v>
      </c>
      <c r="P5917" s="5" t="s">
        <v>593</v>
      </c>
    </row>
    <row r="5918" customFormat="false" ht="17.15" hidden="false" customHeight="false" outlineLevel="0" collapsed="false">
      <c r="A5918" s="15" t="s">
        <v>594</v>
      </c>
      <c r="B5918" s="14" t="s">
        <v>129</v>
      </c>
      <c r="C5918" s="33" t="n">
        <f aca="false">mw_ye24</f>
        <v>360</v>
      </c>
      <c r="D5918" s="33" t="n">
        <f aca="false">mw_ye25</f>
        <v>1440</v>
      </c>
      <c r="E5918" s="33" t="n">
        <f aca="false">mw_open</f>
        <v>2080</v>
      </c>
      <c r="F5918" s="33" t="n">
        <f aca="false">Sens!$E$5918+pace_B*0.5</f>
        <v>3897.15</v>
      </c>
      <c r="G5918" s="33" t="n">
        <f aca="false">Sens!$F$5918</f>
        <v>3897.15</v>
      </c>
      <c r="H5918" s="33" t="n">
        <f aca="false">Sens!$G$5918+Sens!$H$5917</f>
        <v>7531.45</v>
      </c>
      <c r="I5918" s="33" t="n">
        <f aca="false">Sens!$H$5918+Sens!$I$5917</f>
        <v>11165.75</v>
      </c>
      <c r="J5918" s="33" t="n">
        <f aca="false">Sens!$I$5918+Sens!$J$5917</f>
        <v>14800.05</v>
      </c>
      <c r="K5918" s="33" t="n">
        <f aca="false">Sens!$J$5918+Sens!$K$5917</f>
        <v>17370.9171666667</v>
      </c>
      <c r="L5918" s="33" t="n">
        <f aca="false">Sens!$K$5918+Sens!$L$5917</f>
        <v>18878.3515</v>
      </c>
      <c r="M5918" s="33" t="n">
        <f aca="false">Sens!$L$5918+Sens!$M$5917</f>
        <v>19322.353</v>
      </c>
      <c r="N5918" s="33" t="n">
        <f aca="false">(mw_ye24+mw_ye25)/2</f>
        <v>900</v>
      </c>
      <c r="O5918" s="33" t="n">
        <f aca="false">mw_ye25</f>
        <v>1440</v>
      </c>
      <c r="P5918" s="5" t="s">
        <v>595</v>
      </c>
    </row>
    <row r="5919" customFormat="false" ht="17.15" hidden="false" customHeight="false" outlineLevel="0" collapsed="false">
      <c r="A5919" s="5" t="s">
        <v>596</v>
      </c>
      <c r="B5919" s="0" t="s">
        <v>129</v>
      </c>
      <c r="C5919" s="32" t="n">
        <f aca="false">(mw_ye23+mw_ye24)/2</f>
        <v>240</v>
      </c>
      <c r="D5919" s="32" t="n">
        <f aca="false">(Sens!$C$5918+Sens!$D$5918)/2</f>
        <v>900</v>
      </c>
      <c r="E5919" s="32" t="n">
        <f aca="false">(Sens!$D$5918+Sens!$E$5918)/2</f>
        <v>1760</v>
      </c>
      <c r="F5919" s="32" t="n">
        <f aca="false">(Sens!$E$5918+Sens!$F$5918)/2</f>
        <v>2988.575</v>
      </c>
      <c r="G5919" s="32" t="n">
        <f aca="false">(Sens!$E$5919+Sens!$F$5919)/2</f>
        <v>2374.2875</v>
      </c>
      <c r="H5919" s="32" t="n">
        <f aca="false">(Sens!$G$5918+Sens!$H$5918)/2</f>
        <v>5714.3</v>
      </c>
      <c r="I5919" s="32" t="n">
        <f aca="false">(Sens!$H$5918+Sens!$I$5918)/2</f>
        <v>9348.6</v>
      </c>
      <c r="J5919" s="32" t="n">
        <f aca="false">(Sens!$I$5918+Sens!$J$5918)/2</f>
        <v>12982.9</v>
      </c>
      <c r="K5919" s="32" t="n">
        <f aca="false">(Sens!$J$5918+Sens!$K$5918)/2</f>
        <v>16085.4835833333</v>
      </c>
      <c r="L5919" s="32" t="n">
        <f aca="false">(Sens!$K$5918+Sens!$L$5918)/2</f>
        <v>18124.6343333333</v>
      </c>
      <c r="M5919" s="32" t="n">
        <f aca="false">(Sens!$L$5918+Sens!$M$5918)/2</f>
        <v>19100.35225</v>
      </c>
      <c r="N5919" s="32" t="n">
        <f aca="false">(Sens!$C$5918+Sens!$N$5918)/2</f>
        <v>630</v>
      </c>
      <c r="O5919" s="32" t="n">
        <f aca="false">(Sens!$N$5918+Sens!$O$5918)/2</f>
        <v>1170</v>
      </c>
    </row>
    <row r="5920" customFormat="false" ht="15" hidden="false" customHeight="false" outlineLevel="0" collapsed="false">
      <c r="A5920" s="5" t="s">
        <v>597</v>
      </c>
      <c r="B5920" s="5" t="s">
        <v>123</v>
      </c>
      <c r="C5920" s="34" t="n">
        <v>1</v>
      </c>
      <c r="D5920" s="34" t="n">
        <v>1</v>
      </c>
      <c r="E5920" s="34" t="n">
        <v>0.5</v>
      </c>
      <c r="F5920" s="34" t="n">
        <v>0.5</v>
      </c>
      <c r="G5920" s="34" t="n">
        <v>1</v>
      </c>
      <c r="H5920" s="34" t="n">
        <v>1</v>
      </c>
      <c r="I5920" s="34" t="n">
        <v>1</v>
      </c>
      <c r="J5920" s="34" t="n">
        <v>1</v>
      </c>
      <c r="K5920" s="34" t="n">
        <v>1</v>
      </c>
      <c r="L5920" s="34" t="n">
        <v>1</v>
      </c>
      <c r="M5920" s="34" t="n">
        <v>1</v>
      </c>
      <c r="N5920" s="34" t="n">
        <v>0.5</v>
      </c>
      <c r="O5920" s="34" t="n">
        <v>0.5</v>
      </c>
    </row>
    <row r="5921" customFormat="false" ht="17.15" hidden="false" customHeight="false" outlineLevel="0" collapsed="false">
      <c r="A5921" s="5" t="s">
        <v>598</v>
      </c>
      <c r="B5921" s="0" t="s">
        <v>129</v>
      </c>
      <c r="C5921" s="32" t="n">
        <f aca="false">Sens!$C$5918-mw_ye23</f>
        <v>240</v>
      </c>
      <c r="D5921" s="32" t="n">
        <f aca="false">Sens!$D$5918-Sens!$C$5918</f>
        <v>1080</v>
      </c>
      <c r="E5921" s="32" t="n">
        <f aca="false">Sens!$E$5918-Sens!$D$5918</f>
        <v>640</v>
      </c>
      <c r="F5921" s="32" t="n">
        <f aca="false">Sens!$F$5918-Sens!$E$5918</f>
        <v>1817.15</v>
      </c>
      <c r="G5921" s="32" t="n">
        <f aca="false">Sens!$E$5921+Sens!$F$5921</f>
        <v>2457.15</v>
      </c>
      <c r="H5921" s="32" t="n">
        <f aca="false">Sens!$H$5918-Sens!$G$5918</f>
        <v>3634.3</v>
      </c>
      <c r="I5921" s="32" t="n">
        <f aca="false">Sens!$I$5918-Sens!$H$5918</f>
        <v>3634.3</v>
      </c>
      <c r="J5921" s="32" t="n">
        <f aca="false">Sens!$J$5918-Sens!$I$5918</f>
        <v>3634.3</v>
      </c>
      <c r="K5921" s="32" t="n">
        <f aca="false">Sens!$K$5918-Sens!$J$5918</f>
        <v>2570.86716666667</v>
      </c>
      <c r="L5921" s="32" t="n">
        <f aca="false">Sens!$L$5918-Sens!$K$5918</f>
        <v>1507.43433333333</v>
      </c>
      <c r="M5921" s="32" t="n">
        <f aca="false">Sens!$M$5918-Sens!$L$5918</f>
        <v>444.001499999999</v>
      </c>
      <c r="N5921" s="32" t="n">
        <f aca="false">Sens!$N$5918-Sens!$C$5918</f>
        <v>540</v>
      </c>
      <c r="O5921" s="32" t="n">
        <f aca="false">Sens!$O$5918-Sens!$N$5918</f>
        <v>540</v>
      </c>
    </row>
    <row r="5922" customFormat="false" ht="17.15" hidden="false" customHeight="false" outlineLevel="0" collapsed="false">
      <c r="A5922" s="5" t="s">
        <v>599</v>
      </c>
      <c r="B5922" s="0" t="s">
        <v>129</v>
      </c>
      <c r="C5922" s="32" t="n">
        <f aca="false">Sens!$C$5921/ext_sh</f>
        <v>300</v>
      </c>
      <c r="D5922" s="32" t="n">
        <f aca="false">Sens!$D$5921/ext_sh</f>
        <v>1350</v>
      </c>
      <c r="E5922" s="32" t="n">
        <f aca="false">Sens!$E$5921/ext_sh</f>
        <v>800</v>
      </c>
      <c r="F5922" s="32" t="n">
        <f aca="false">Sens!$F$5921/ext_sh</f>
        <v>2271.4375</v>
      </c>
      <c r="G5922" s="32" t="n">
        <f aca="false">Sens!$G$5921/ext_sh</f>
        <v>3071.4375</v>
      </c>
      <c r="H5922" s="32" t="n">
        <f aca="false">Sens!$H$5921/ext_sh</f>
        <v>4542.875</v>
      </c>
      <c r="I5922" s="32" t="n">
        <f aca="false">Sens!$I$5921/ext_sh</f>
        <v>4542.875</v>
      </c>
      <c r="J5922" s="32" t="n">
        <f aca="false">Sens!$J$5921/ext_sh</f>
        <v>4542.875</v>
      </c>
      <c r="K5922" s="32" t="n">
        <f aca="false">Sens!$K$5921/ext_sh</f>
        <v>3213.58395833333</v>
      </c>
      <c r="L5922" s="32" t="n">
        <f aca="false">Sens!$L$5921/ext_sh</f>
        <v>1884.29291666667</v>
      </c>
      <c r="M5922" s="32" t="n">
        <f aca="false">Sens!$M$5921/ext_sh</f>
        <v>555.001874999998</v>
      </c>
      <c r="N5922" s="32" t="n">
        <f aca="false">Sens!$N$5921/ext_sh</f>
        <v>675</v>
      </c>
      <c r="O5922" s="32" t="n">
        <f aca="false">Sens!$O$5921/ext_sh</f>
        <v>675</v>
      </c>
      <c r="P5922" s="8" t="s">
        <v>600</v>
      </c>
      <c r="R5922" s="32" t="n">
        <f aca="false">mw_ye23/ext_sh</f>
        <v>150</v>
      </c>
      <c r="S5922" s="32" t="n">
        <f aca="false">Sens!$C$5922</f>
        <v>300</v>
      </c>
      <c r="T5922" s="32" t="n">
        <f aca="false">Sens!$D$5922</f>
        <v>1350</v>
      </c>
      <c r="U5922" s="32" t="n">
        <f aca="false">Sens!$G$5922</f>
        <v>3071.4375</v>
      </c>
      <c r="V5922" s="32" t="n">
        <f aca="false">Sens!$H$5922</f>
        <v>4542.875</v>
      </c>
      <c r="W5922" s="32" t="n">
        <f aca="false">Sens!$I$5922</f>
        <v>4542.875</v>
      </c>
      <c r="X5922" s="32" t="n">
        <f aca="false">Sens!$J$5922</f>
        <v>4542.875</v>
      </c>
      <c r="Y5922" s="32" t="n">
        <f aca="false">Sens!$K$5922</f>
        <v>3213.58395833333</v>
      </c>
      <c r="Z5922" s="32" t="n">
        <f aca="false">Sens!$L$5922</f>
        <v>1884.29291666667</v>
      </c>
      <c r="AA5922" s="32" t="n">
        <f aca="false">Sens!$M$5922</f>
        <v>555.001874999998</v>
      </c>
    </row>
    <row r="5923" customFormat="false" ht="17.15" hidden="false" customHeight="false" outlineLevel="0" collapsed="false">
      <c r="A5923" s="1" t="s">
        <v>601</v>
      </c>
    </row>
    <row r="5924" customFormat="false" ht="17.15" hidden="false" customHeight="false" outlineLevel="0" collapsed="false">
      <c r="A5924" s="0" t="s">
        <v>602</v>
      </c>
      <c r="B5924" s="0" t="s">
        <v>52</v>
      </c>
      <c r="F5924" s="35" t="n">
        <f aca="false">na_vr26</f>
        <v>0</v>
      </c>
      <c r="G5924" s="35" t="n">
        <f aca="false">na_vr26</f>
        <v>0</v>
      </c>
      <c r="H5924" s="35" t="n">
        <f aca="false">na_vr27</f>
        <v>0.5</v>
      </c>
      <c r="I5924" s="35" t="n">
        <f aca="false">na_vr28</f>
        <v>1</v>
      </c>
      <c r="J5924" s="35" t="n">
        <f aca="false">na_vr28</f>
        <v>1</v>
      </c>
      <c r="K5924" s="35" t="n">
        <f aca="false">na_vr28</f>
        <v>1</v>
      </c>
      <c r="L5924" s="35" t="n">
        <f aca="false">na_vr28</f>
        <v>1</v>
      </c>
      <c r="M5924" s="35" t="n">
        <f aca="false">na_vr28</f>
        <v>1</v>
      </c>
    </row>
    <row r="5925" customFormat="false" ht="17.15" hidden="false" customHeight="false" outlineLevel="0" collapsed="false">
      <c r="A5925" s="5" t="s">
        <v>603</v>
      </c>
      <c r="B5925" s="0" t="s">
        <v>173</v>
      </c>
      <c r="F5925" s="36" t="n">
        <f aca="false">cust_sh*tk_he_gb300*cf_chip+(1-cust_sh)*((1-Sens!$F$5924)*tk_he_gb300+Sens!$F$5924*tk_he_vr200)</f>
        <v>10.8864110021101</v>
      </c>
      <c r="G5925" s="36" t="n">
        <f aca="false">cust_sh*tk_he_gb300*cf_chip+(1-cust_sh)*((1-Sens!$G$5924)*tk_he_gb300+Sens!$G$5924*tk_he_vr200)</f>
        <v>10.8864110021101</v>
      </c>
      <c r="H5925" s="36" t="n">
        <f aca="false">cust_sh*tk_he_gb300*cf_chip+(1-cust_sh)*((1-Sens!$H$5924)*tk_he_gb300+Sens!$H$5924*tk_he_vr200)</f>
        <v>11.2211760027286</v>
      </c>
      <c r="I5925" s="36" t="n">
        <f aca="false">cust_sh*tk_he_gb300*cf_chip+(1-cust_sh)*((1-Sens!$I$5924)*tk_he_gb300+Sens!$I$5924*tk_he_vr200)</f>
        <v>11.5559410033471</v>
      </c>
      <c r="J5925" s="36" t="n">
        <f aca="false">cust_sh*tk_he_gb300*cf_chip+(1-cust_sh)*((1-Sens!$J$5924)*tk_he_gb300+Sens!$J$5924*tk_he_vr200)</f>
        <v>11.5559410033471</v>
      </c>
      <c r="K5925" s="36" t="n">
        <f aca="false">cust_sh*tk_he_gb300*cf_chip+(1-cust_sh)*((1-Sens!$K$5924)*tk_he_gb300+Sens!$K$5924*tk_he_vr200)</f>
        <v>11.5559410033471</v>
      </c>
      <c r="L5925" s="36" t="n">
        <f aca="false">cust_sh*tk_he_gb300*cf_chip+(1-cust_sh)*((1-Sens!$L$5924)*tk_he_gb300+Sens!$L$5924*tk_he_vr200)</f>
        <v>11.5559410033471</v>
      </c>
      <c r="M5925" s="36" t="n">
        <f aca="false">cust_sh*tk_he_gb300*cf_chip+(1-cust_sh)*((1-Sens!$M$5924)*tk_he_gb300+Sens!$M$5924*tk_he_vr200)</f>
        <v>11.5559410033471</v>
      </c>
    </row>
    <row r="5926" customFormat="false" ht="17.15" hidden="false" customHeight="false" outlineLevel="0" collapsed="false">
      <c r="A5926" s="5" t="s">
        <v>604</v>
      </c>
      <c r="B5926" s="0" t="s">
        <v>173</v>
      </c>
      <c r="F5926" s="36" t="n">
        <f aca="false">cust_sh*tk_ox_gb300+(1-cust_sh)*((1-Sens!$F$5924)*tk_ox_gb300+Sens!$F$5924*tk_ox_vr200)</f>
        <v>1.98263481314457</v>
      </c>
      <c r="G5926" s="36" t="n">
        <f aca="false">cust_sh*tk_ox_gb300+(1-cust_sh)*((1-Sens!$G$5924)*tk_ox_gb300+Sens!$G$5924*tk_ox_vr200)</f>
        <v>1.98263481314457</v>
      </c>
      <c r="H5926" s="36" t="n">
        <f aca="false">cust_sh*tk_ox_gb300+(1-cust_sh)*((1-Sens!$H$5924)*tk_ox_gb300+Sens!$H$5924*tk_ox_vr200)</f>
        <v>2.01034999693694</v>
      </c>
      <c r="I5926" s="36" t="n">
        <f aca="false">cust_sh*tk_ox_gb300+(1-cust_sh)*((1-Sens!$I$5924)*tk_ox_gb300+Sens!$I$5924*tk_ox_vr200)</f>
        <v>2.0380651807293</v>
      </c>
      <c r="J5926" s="36" t="n">
        <f aca="false">cust_sh*tk_ox_gb300+(1-cust_sh)*((1-Sens!$J$5924)*tk_ox_gb300+Sens!$J$5924*tk_ox_vr200)</f>
        <v>2.0380651807293</v>
      </c>
      <c r="K5926" s="36" t="n">
        <f aca="false">cust_sh*tk_ox_gb300+(1-cust_sh)*((1-Sens!$K$5924)*tk_ox_gb300+Sens!$K$5924*tk_ox_vr200)</f>
        <v>2.0380651807293</v>
      </c>
      <c r="L5926" s="36" t="n">
        <f aca="false">cust_sh*tk_ox_gb300+(1-cust_sh)*((1-Sens!$L$5924)*tk_ox_gb300+Sens!$L$5924*tk_ox_vr200)</f>
        <v>2.0380651807293</v>
      </c>
      <c r="M5926" s="36" t="n">
        <f aca="false">cust_sh*tk_ox_gb300+(1-cust_sh)*((1-Sens!$M$5924)*tk_ox_gb300+Sens!$M$5924*tk_ox_vr200)</f>
        <v>2.0380651807293</v>
      </c>
    </row>
    <row r="5927" customFormat="false" ht="17.15" hidden="false" customHeight="false" outlineLevel="0" collapsed="false">
      <c r="A5927" s="5" t="s">
        <v>605</v>
      </c>
      <c r="B5927" s="0" t="s">
        <v>192</v>
      </c>
      <c r="F5927" s="36" t="n">
        <f aca="false">cust_sh*tk_cx_gb300*cf_cx+(1-cust_sh)*((1-Sens!$F$5924)*tk_cx_gb300+Sens!$F$5924*tk_cx_vr200)</f>
        <v>32.237224</v>
      </c>
      <c r="G5927" s="36" t="n">
        <f aca="false">cust_sh*tk_cx_gb300*cf_cx+(1-cust_sh)*((1-Sens!$G$5924)*tk_cx_gb300+Sens!$G$5924*tk_cx_vr200)</f>
        <v>32.237224</v>
      </c>
      <c r="H5927" s="36" t="n">
        <f aca="false">cust_sh*tk_cx_gb300*cf_cx+(1-cust_sh)*((1-Sens!$H$5924)*tk_cx_gb300+Sens!$H$5924*tk_cx_vr200)</f>
        <v>33.574506</v>
      </c>
      <c r="I5927" s="36" t="n">
        <f aca="false">cust_sh*tk_cx_gb300*cf_cx+(1-cust_sh)*((1-Sens!$I$5924)*tk_cx_gb300+Sens!$I$5924*tk_cx_vr200)</f>
        <v>34.911788</v>
      </c>
      <c r="J5927" s="36" t="n">
        <f aca="false">cust_sh*tk_cx_gb300*cf_cx+(1-cust_sh)*((1-Sens!$J$5924)*tk_cx_gb300+Sens!$J$5924*tk_cx_vr200)</f>
        <v>34.911788</v>
      </c>
      <c r="K5927" s="36" t="n">
        <f aca="false">cust_sh*tk_cx_gb300*cf_cx+(1-cust_sh)*((1-Sens!$K$5924)*tk_cx_gb300+Sens!$K$5924*tk_cx_vr200)</f>
        <v>34.911788</v>
      </c>
      <c r="L5927" s="36" t="n">
        <f aca="false">cust_sh*tk_cx_gb300*cf_cx+(1-cust_sh)*((1-Sens!$L$5924)*tk_cx_gb300+Sens!$L$5924*tk_cx_vr200)</f>
        <v>34.911788</v>
      </c>
      <c r="M5927" s="36" t="n">
        <f aca="false">cust_sh*tk_cx_gb300*cf_cx+(1-cust_sh)*((1-Sens!$M$5924)*tk_cx_gb300+Sens!$M$5924*tk_cx_vr200)</f>
        <v>34.911788</v>
      </c>
    </row>
    <row r="5928" customFormat="false" ht="17.15" hidden="false" customHeight="false" outlineLevel="0" collapsed="false">
      <c r="A5928" s="5" t="s">
        <v>606</v>
      </c>
      <c r="B5928" s="0" t="s">
        <v>129</v>
      </c>
      <c r="F5928" s="32" t="n">
        <f aca="false">Sens!$F$5918-mw_open</f>
        <v>1817.15</v>
      </c>
      <c r="G5928" s="32" t="n">
        <f aca="false">Sens!$F$5928</f>
        <v>1817.15</v>
      </c>
      <c r="H5928" s="32" t="n">
        <f aca="false">Sens!$H$5918-mw_open</f>
        <v>5451.45</v>
      </c>
      <c r="I5928" s="32" t="n">
        <f aca="false">Sens!$I$5918-mw_open</f>
        <v>9085.75</v>
      </c>
      <c r="J5928" s="32" t="n">
        <f aca="false">Sens!$J$5918-mw_open</f>
        <v>12720.05</v>
      </c>
      <c r="K5928" s="32" t="n">
        <f aca="false">Sens!$K$5918-mw_open</f>
        <v>15290.9171666667</v>
      </c>
      <c r="L5928" s="32" t="n">
        <f aca="false">Sens!$L$5918-mw_open</f>
        <v>16798.3515</v>
      </c>
      <c r="M5928" s="32" t="n">
        <f aca="false">Sens!$M$5918-mw_open</f>
        <v>17242.353</v>
      </c>
    </row>
    <row r="5929" customFormat="false" ht="17.15" hidden="false" customHeight="false" outlineLevel="0" collapsed="false">
      <c r="A5929" s="0" t="s">
        <v>607</v>
      </c>
      <c r="B5929" s="0" t="s">
        <v>608</v>
      </c>
      <c r="F5929" s="32" t="n">
        <f aca="false">Sens!$F$5921*Sens!$F$5925</f>
        <v>19782.2417524844</v>
      </c>
      <c r="G5929" s="32" t="n">
        <f aca="false">Sens!$F$5929</f>
        <v>19782.2417524844</v>
      </c>
      <c r="H5929" s="32" t="n">
        <f aca="false">Sens!$G$5929+Sens!$H$5921*Sens!$H$5925</f>
        <v>60563.3616992009</v>
      </c>
      <c r="I5929" s="32" t="n">
        <f aca="false">Sens!$H$5929+Sens!$I$5921*Sens!$I$5925</f>
        <v>102561.118087665</v>
      </c>
      <c r="J5929" s="32" t="n">
        <f aca="false">Sens!$I$5929+Sens!$J$5921*Sens!$J$5925</f>
        <v>144558.87447613</v>
      </c>
      <c r="K5929" s="32" t="n">
        <f aca="false">Sens!$J$5929+Sens!$K$5921*Sens!$K$5925</f>
        <v>174267.663781572</v>
      </c>
      <c r="L5929" s="32" t="n">
        <f aca="false">Sens!$K$5929+Sens!$L$5921*Sens!$L$5925</f>
        <v>191687.486003992</v>
      </c>
      <c r="M5929" s="32" t="n">
        <f aca="false">Sens!$L$5929+Sens!$M$5921*Sens!$M$5925</f>
        <v>196818.341143389</v>
      </c>
    </row>
    <row r="5930" customFormat="false" ht="17.15" hidden="false" customHeight="false" outlineLevel="0" collapsed="false">
      <c r="A5930" s="0" t="s">
        <v>609</v>
      </c>
      <c r="B5930" s="0" t="s">
        <v>608</v>
      </c>
      <c r="F5930" s="32" t="n">
        <f aca="false">Sens!$F$5921*Sens!$F$5926</f>
        <v>3602.74485070566</v>
      </c>
      <c r="G5930" s="32" t="n">
        <f aca="false">Sens!$F$5930</f>
        <v>3602.74485070566</v>
      </c>
      <c r="H5930" s="32" t="n">
        <f aca="false">Sens!$G$5930+Sens!$H$5921*Sens!$H$5926</f>
        <v>10908.9598445736</v>
      </c>
      <c r="I5930" s="32" t="n">
        <f aca="false">Sens!$H$5930+Sens!$I$5921*Sens!$I$5926</f>
        <v>18315.9001308981</v>
      </c>
      <c r="J5930" s="32" t="n">
        <f aca="false">Sens!$I$5930+Sens!$J$5921*Sens!$J$5926</f>
        <v>25722.8404172225</v>
      </c>
      <c r="K5930" s="32" t="n">
        <f aca="false">Sens!$J$5930+Sens!$K$5921*Sens!$K$5926</f>
        <v>30962.4352738861</v>
      </c>
      <c r="L5930" s="32" t="n">
        <f aca="false">Sens!$K$5930+Sens!$L$5921*Sens!$L$5926</f>
        <v>34034.6847008886</v>
      </c>
      <c r="M5930" s="32" t="n">
        <f aca="false">Sens!$L$5930+Sens!$M$5921*Sens!$M$5926</f>
        <v>34939.5886982302</v>
      </c>
    </row>
    <row r="5931" customFormat="false" ht="17.15" hidden="false" customHeight="false" outlineLevel="0" collapsed="false">
      <c r="A5931" s="5" t="s">
        <v>610</v>
      </c>
      <c r="B5931" s="0" t="s">
        <v>173</v>
      </c>
      <c r="F5931" s="36" t="n">
        <f aca="false">IF(Sens!$F$5928&gt;0,Sens!$F$5929/Sens!$F$5928,Sens!$F$5925)</f>
        <v>10.8864110021101</v>
      </c>
      <c r="G5931" s="36" t="n">
        <f aca="false">IF(Sens!$G$5928&gt;0,Sens!$G$5929/Sens!$G$5928,Sens!$G$5925)</f>
        <v>10.8864110021101</v>
      </c>
      <c r="H5931" s="36" t="n">
        <f aca="false">IF(Sens!$H$5928&gt;0,Sens!$H$5929/Sens!$H$5928,Sens!$H$5925)</f>
        <v>11.1095876691891</v>
      </c>
      <c r="I5931" s="36" t="n">
        <f aca="false">IF(Sens!$I$5928&gt;0,Sens!$I$5929/Sens!$I$5928,Sens!$I$5925)</f>
        <v>11.2881290028523</v>
      </c>
      <c r="J5931" s="36" t="n">
        <f aca="false">IF(Sens!$J$5928&gt;0,Sens!$J$5929/Sens!$J$5928,Sens!$J$5925)</f>
        <v>11.3646467172794</v>
      </c>
      <c r="K5931" s="36" t="n">
        <f aca="false">IF(Sens!$K$5928&gt;0,Sens!$K$5929/Sens!$K$5928,Sens!$K$5925)</f>
        <v>11.3968090914432</v>
      </c>
      <c r="L5931" s="36" t="n">
        <f aca="false">IF(Sens!$L$5928&gt;0,Sens!$L$5929/Sens!$L$5928,Sens!$L$5925)</f>
        <v>11.4110891181192</v>
      </c>
      <c r="M5931" s="36" t="n">
        <f aca="false">IF(Sens!$M$5928&gt;0,Sens!$M$5929/Sens!$M$5928,Sens!$M$5925)</f>
        <v>11.4148191458201</v>
      </c>
    </row>
    <row r="5932" customFormat="false" ht="17.15" hidden="false" customHeight="false" outlineLevel="0" collapsed="false">
      <c r="A5932" s="5" t="s">
        <v>611</v>
      </c>
      <c r="B5932" s="0" t="s">
        <v>173</v>
      </c>
      <c r="F5932" s="36" t="n">
        <f aca="false">IF(Sens!$F$5928&gt;0,Sens!$F$5930/Sens!$F$5928,Sens!$F$5926)</f>
        <v>1.98263481314457</v>
      </c>
      <c r="G5932" s="36" t="n">
        <f aca="false">IF(Sens!$G$5928&gt;0,Sens!$G$5930/Sens!$G$5928,Sens!$G$5926)</f>
        <v>1.98263481314457</v>
      </c>
      <c r="H5932" s="36" t="n">
        <f aca="false">IF(Sens!$H$5928&gt;0,Sens!$H$5930/Sens!$H$5928,Sens!$H$5926)</f>
        <v>2.00111160233948</v>
      </c>
      <c r="I5932" s="36" t="n">
        <f aca="false">IF(Sens!$I$5928&gt;0,Sens!$I$5930/Sens!$I$5928,Sens!$I$5926)</f>
        <v>2.01589303369541</v>
      </c>
      <c r="J5932" s="36" t="n">
        <f aca="false">IF(Sens!$J$5928&gt;0,Sens!$J$5930/Sens!$J$5928,Sens!$J$5926)</f>
        <v>2.02222793284795</v>
      </c>
      <c r="K5932" s="36" t="n">
        <f aca="false">IF(Sens!$K$5928&gt;0,Sens!$K$5930/Sens!$K$5928,Sens!$K$5926)</f>
        <v>2.02489065478573</v>
      </c>
      <c r="L5932" s="36" t="n">
        <f aca="false">IF(Sens!$L$5928&gt;0,Sens!$L$5930/Sens!$L$5928,Sens!$L$5926)</f>
        <v>2.0260728977417</v>
      </c>
      <c r="M5932" s="36" t="n">
        <f aca="false">IF(Sens!$M$5928&gt;0,Sens!$M$5930/Sens!$M$5928,Sens!$M$5926)</f>
        <v>2.02638170661685</v>
      </c>
    </row>
    <row r="5933" customFormat="false" ht="17.15" hidden="false" customHeight="false" outlineLevel="0" collapsed="false">
      <c r="A5933" s="15" t="s">
        <v>612</v>
      </c>
      <c r="B5933" s="14" t="s">
        <v>173</v>
      </c>
      <c r="C5933" s="14"/>
      <c r="D5933" s="14"/>
      <c r="E5933" s="14"/>
      <c r="F5933" s="37" t="n">
        <f aca="false">Sens!$F$5931*k_B</f>
        <v>10.7987645808025</v>
      </c>
      <c r="G5933" s="37" t="n">
        <f aca="false">Sens!$G$5931*k_B</f>
        <v>10.7987645808025</v>
      </c>
      <c r="H5933" s="37" t="n">
        <f aca="false">Sens!$H$5931*k_B</f>
        <v>11.0201444540452</v>
      </c>
      <c r="I5933" s="37" t="n">
        <f aca="false">Sens!$I$5931*k_B</f>
        <v>11.1972483526393</v>
      </c>
      <c r="J5933" s="37" t="n">
        <f aca="false">Sens!$J$5931*k_B</f>
        <v>11.2731500234653</v>
      </c>
      <c r="K5933" s="37" t="n">
        <f aca="false">Sens!$K$5931*k_B</f>
        <v>11.3050534585724</v>
      </c>
      <c r="L5933" s="37" t="n">
        <f aca="false">Sens!$L$5931*k_B</f>
        <v>11.3192185168503</v>
      </c>
      <c r="M5933" s="37" t="n">
        <f aca="false">Sens!$M$5931*k_B</f>
        <v>11.3229185141234</v>
      </c>
      <c r="N5933" s="14"/>
      <c r="O5933" s="14"/>
      <c r="P5933" s="5" t="s">
        <v>613</v>
      </c>
    </row>
    <row r="5934" customFormat="false" ht="17.15" hidden="false" customHeight="false" outlineLevel="0" collapsed="false">
      <c r="A5934" s="5" t="s">
        <v>614</v>
      </c>
      <c r="B5934" s="0" t="s">
        <v>129</v>
      </c>
      <c r="F5934" s="32" t="n">
        <f aca="false">Sens!$F$5928/2</f>
        <v>908.575</v>
      </c>
      <c r="H5934" s="32" t="n">
        <f aca="false">(Sens!$G$5928+Sens!$H$5928)/2</f>
        <v>3634.3</v>
      </c>
      <c r="I5934" s="32" t="n">
        <f aca="false">(Sens!$H$5928+Sens!$I$5928)/2</f>
        <v>7268.6</v>
      </c>
      <c r="J5934" s="32" t="n">
        <f aca="false">(Sens!$I$5928+Sens!$J$5928)/2</f>
        <v>10902.9</v>
      </c>
      <c r="K5934" s="32" t="n">
        <f aca="false">(Sens!$J$5928+Sens!$K$5928)/2</f>
        <v>14005.4835833333</v>
      </c>
      <c r="L5934" s="32" t="n">
        <f aca="false">(Sens!$K$5928+Sens!$L$5928)/2</f>
        <v>16044.6343333333</v>
      </c>
      <c r="M5934" s="32" t="n">
        <f aca="false">(Sens!$L$5928+Sens!$M$5928)/2</f>
        <v>17020.35225</v>
      </c>
    </row>
    <row r="5935" customFormat="false" ht="17.15" hidden="false" customHeight="false" outlineLevel="0" collapsed="false">
      <c r="A5935" s="1" t="s">
        <v>615</v>
      </c>
    </row>
    <row r="5936" customFormat="false" ht="17.15" hidden="false" customHeight="false" outlineLevel="0" collapsed="false">
      <c r="A5936" s="1" t="s">
        <v>616</v>
      </c>
      <c r="B5936" s="8" t="s">
        <v>86</v>
      </c>
      <c r="C5936" s="38" t="n">
        <f aca="false">Sens!$C$5919*rpm_open*Sens!$C$5920/1000</f>
        <v>2.32100535697364</v>
      </c>
      <c r="D5936" s="38" t="n">
        <f aca="false">Sens!$D$5919*rpm_open*Sens!$D$5920/1000</f>
        <v>8.70377008865116</v>
      </c>
      <c r="E5936" s="38" t="n">
        <f aca="false">Sens!$E$5919*rpm_open*Sens!$E$5920/1000</f>
        <v>8.51035297557002</v>
      </c>
      <c r="F5936" s="38" t="n">
        <f aca="false">(mw_open*rpm_open+Sens!$F$5934*Sens!$F$5933)*Sens!$F$5920/1000</f>
        <v>14.9634336447205</v>
      </c>
      <c r="G5936" s="38" t="n">
        <f aca="false">Sens!$E$5936+Sens!$F$5936</f>
        <v>23.4737866202905</v>
      </c>
      <c r="H5936" s="38" t="n">
        <f aca="false">(mw_open*rpm_open+Sens!$H$5934*Sens!$H$5933)/1000</f>
        <v>60.1658907497746</v>
      </c>
      <c r="I5936" s="38" t="n">
        <f aca="false">(mw_open*rpm_open+Sens!$I$5934*Sens!$I$5933)/1000</f>
        <v>101.503699136432</v>
      </c>
      <c r="J5936" s="38" t="n">
        <f aca="false">(mw_open*rpm_open+Sens!$J$5934*Sens!$J$5933)/1000</f>
        <v>143.025407151278</v>
      </c>
      <c r="K5936" s="38" t="n">
        <f aca="false">(mw_open*rpm_open+Sens!$K$5934*Sens!$K$5933)/1000</f>
        <v>178.44812038318</v>
      </c>
      <c r="L5936" s="38" t="n">
        <f aca="false">(mw_open*rpm_open+Sens!$L$5934*Sens!$L$5933)/1000</f>
        <v>201.728101802396</v>
      </c>
      <c r="M5936" s="38" t="n">
        <f aca="false">(mw_open*rpm_open+Sens!$M$5934*Sens!$M$5933)/1000</f>
        <v>212.835441368865</v>
      </c>
      <c r="N5936" s="38" t="n">
        <f aca="false">Sens!$N$5919*rpm_open*Sens!$N$5920/1000</f>
        <v>3.04631953102791</v>
      </c>
      <c r="O5936" s="38" t="n">
        <f aca="false">Sens!$O$5919*rpm_open*Sens!$O$5920/1000</f>
        <v>5.65745055762326</v>
      </c>
      <c r="P5936" s="5" t="s">
        <v>617</v>
      </c>
    </row>
    <row r="5937" customFormat="false" ht="17.15" hidden="false" customHeight="false" outlineLevel="0" collapsed="false">
      <c r="A5937" s="5" t="s">
        <v>618</v>
      </c>
      <c r="B5937" s="0" t="s">
        <v>173</v>
      </c>
      <c r="C5937" s="36" t="n">
        <f aca="false">Sens!$C$5936*1000/(Sens!$C$5919*Sens!$C$5920)</f>
        <v>9.67085565405685</v>
      </c>
      <c r="D5937" s="36" t="n">
        <f aca="false">Sens!$D$5936*1000/(Sens!$D$5919*Sens!$D$5920)</f>
        <v>9.67085565405685</v>
      </c>
      <c r="E5937" s="36" t="n">
        <f aca="false">Sens!$E$5936*1000/(Sens!$E$5919*Sens!$E$5920)</f>
        <v>9.67085565405685</v>
      </c>
      <c r="F5937" s="36" t="n">
        <f aca="false">Sens!$F$5936*1000/(Sens!$F$5919*Sens!$F$5920)</f>
        <v>10.0137581588017</v>
      </c>
      <c r="G5937" s="36" t="n">
        <f aca="false">Sens!$G$5936*1000/(Sens!$G$5919*Sens!$G$5920)</f>
        <v>9.88666562928478</v>
      </c>
      <c r="H5937" s="36" t="n">
        <f aca="false">Sens!$H$5936*1000/(Sens!$H$5919*Sens!$H$5920)</f>
        <v>10.5290045586992</v>
      </c>
      <c r="I5937" s="36" t="n">
        <f aca="false">Sens!$I$5936*1000/(Sens!$I$5919*Sens!$I$5920)</f>
        <v>10.8576363451674</v>
      </c>
      <c r="J5937" s="36" t="n">
        <f aca="false">Sens!$J$5936*1000/(Sens!$J$5919*Sens!$J$5920)</f>
        <v>11.0164452588619</v>
      </c>
      <c r="K5937" s="36" t="n">
        <f aca="false">Sens!$K$5936*1000/(Sens!$K$5919*Sens!$K$5920)</f>
        <v>11.0937367508227</v>
      </c>
      <c r="L5937" s="36" t="n">
        <f aca="false">Sens!$L$5936*1000/(Sens!$L$5919*Sens!$L$5920)</f>
        <v>11.1300508519168</v>
      </c>
      <c r="M5937" s="36" t="n">
        <f aca="false">Sens!$M$5936*1000/(Sens!$M$5919*Sens!$M$5920)</f>
        <v>11.1430113216297</v>
      </c>
      <c r="N5937" s="36" t="n">
        <f aca="false">Sens!$N$5936*1000/(Sens!$N$5919*Sens!$N$5920)</f>
        <v>9.67085565405685</v>
      </c>
      <c r="O5937" s="36" t="n">
        <f aca="false">Sens!$O$5936*1000/(Sens!$O$5919*Sens!$O$5920)</f>
        <v>9.67085565405685</v>
      </c>
    </row>
    <row r="5938" customFormat="false" ht="17.15" hidden="false" customHeight="false" outlineLevel="0" collapsed="false">
      <c r="A5938" s="0" t="s">
        <v>619</v>
      </c>
      <c r="B5938" s="0" t="s">
        <v>86</v>
      </c>
      <c r="C5938" s="38" t="n">
        <f aca="false">Sens!$C$5919/ext_sh*(ox_open+rent_mw)*Sens!$C$5920/1000</f>
        <v>0.642569210675032</v>
      </c>
      <c r="D5938" s="38" t="n">
        <f aca="false">Sens!$D$5919/ext_sh*(ox_open+rent_mw)*Sens!$D$5920/1000</f>
        <v>2.40963454003137</v>
      </c>
      <c r="E5938" s="38" t="n">
        <f aca="false">Sens!$E$5919/ext_sh*(ox_open+rent_mw)*Sens!$E$5920/1000</f>
        <v>2.35608710580845</v>
      </c>
      <c r="F5938" s="38" t="n">
        <f aca="false">((mw_open*ox_open+Sens!$F$5934*Sens!$F$5932)/ext_sh+Sens!$F$5919/ext_sh*rent_mw)*Sens!$F$5920/1000</f>
        <v>4.05421991106232</v>
      </c>
      <c r="G5938" s="38" t="n">
        <f aca="false">Sens!$E$5938+Sens!$F$5938</f>
        <v>6.41030701687077</v>
      </c>
      <c r="H5938" s="38" t="n">
        <f aca="false">((mw_open*ox_open+Sens!$H$5934*Sens!$H$5932)/ext_sh+Sens!$H$5919/ext_sh*rent_mw)*Sens!$H$5920/1000</f>
        <v>15.8108975546616</v>
      </c>
      <c r="I5938" s="38" t="n">
        <f aca="false">((mw_open*ox_open+Sens!$I$5934*Sens!$I$5932)/ext_sh+Sens!$I$5919/ext_sh*rent_mw)*Sens!$I$5920/1000</f>
        <v>26.1871623400817</v>
      </c>
      <c r="J5938" s="38" t="n">
        <f aca="false">((mw_open*ox_open+Sens!$J$5934*Sens!$J$5932)/ext_sh+Sens!$J$5919/ext_sh*rent_mw)*Sens!$J$5920/1000</f>
        <v>36.5826128954935</v>
      </c>
      <c r="K5938" s="38" t="n">
        <f aca="false">((mw_open*ox_open+Sens!$K$5934*Sens!$K$5932)/ext_sh+Sens!$K$5919/ext_sh*rent_mw)*Sens!$K$5920/1000</f>
        <v>45.4546361137628</v>
      </c>
      <c r="L5938" s="38" t="n">
        <f aca="false">((mw_open*ox_open+Sens!$L$5934*Sens!$L$5932)/ext_sh+Sens!$L$5919/ext_sh*rent_mw)*Sens!$L$5920/1000</f>
        <v>51.2855695554452</v>
      </c>
      <c r="M5938" s="38" t="n">
        <f aca="false">((mw_open*ox_open+Sens!$M$5934*Sens!$M$5932)/ext_sh+Sens!$M$5919/ext_sh*rent_mw)*Sens!$M$5920/1000</f>
        <v>54.0722927838398</v>
      </c>
      <c r="N5938" s="38" t="n">
        <f aca="false">Sens!$N$5919/ext_sh*(ox_open+rent_mw)*Sens!$N$5920/1000</f>
        <v>0.84337208901098</v>
      </c>
      <c r="O5938" s="38" t="n">
        <f aca="false">Sens!$O$5919/ext_sh*(ox_open+rent_mw)*Sens!$O$5920/1000</f>
        <v>1.56626245102039</v>
      </c>
    </row>
    <row r="5939" customFormat="false" ht="17.15" hidden="false" customHeight="false" outlineLevel="0" collapsed="false">
      <c r="A5939" s="0" t="s">
        <v>620</v>
      </c>
      <c r="B5939" s="0" t="s">
        <v>86</v>
      </c>
      <c r="C5939" s="38" t="n">
        <f aca="false">Q!$D$7</f>
        <v>107.556</v>
      </c>
      <c r="D5939" s="38" t="n">
        <f aca="false">Q!$E$7</f>
        <v>128.725</v>
      </c>
      <c r="E5939" s="38" t="n">
        <f aca="false">Q!$P$7</f>
        <v>79.819</v>
      </c>
      <c r="N5939" s="38" t="n">
        <f aca="false">Q!$N$7</f>
        <v>60.14</v>
      </c>
      <c r="O5939" s="38" t="n">
        <f aca="false">Q!$O$7</f>
        <v>68.585</v>
      </c>
    </row>
    <row r="5940" customFormat="false" ht="17.15" hidden="false" customHeight="false" outlineLevel="0" collapsed="false">
      <c r="A5940" s="1" t="s">
        <v>621</v>
      </c>
      <c r="B5940" s="8" t="s">
        <v>86</v>
      </c>
      <c r="C5940" s="38" t="n">
        <f aca="false">Sens!$C$5939-Sens!$C$5936</f>
        <v>105.234994643026</v>
      </c>
      <c r="D5940" s="38" t="n">
        <f aca="false">Sens!$D$5939-Sens!$D$5936</f>
        <v>120.021229911349</v>
      </c>
      <c r="E5940" s="38" t="n">
        <f aca="false">Sens!$E$5939-Sens!$E$5936</f>
        <v>71.30864702443</v>
      </c>
      <c r="F5940" s="38" t="n">
        <f aca="false">Sens!$O$5940*(1+Sens!$F$5941)</f>
        <v>71.7692997942464</v>
      </c>
      <c r="G5940" s="38" t="n">
        <f aca="false">Sens!$E$5940+Sens!$F$5940</f>
        <v>143.077946818676</v>
      </c>
      <c r="H5940" s="38" t="n">
        <f aca="false">Sens!$G$5940*(1+Sens!$H$5941)</f>
        <v>161.017077079203</v>
      </c>
      <c r="I5940" s="38" t="n">
        <f aca="false">Sens!$H$5940*(1+Sens!$I$5941)</f>
        <v>178.769759521457</v>
      </c>
      <c r="J5940" s="38" t="n">
        <f aca="false">Sens!$I$5940*(1+Sens!$J$5941)</f>
        <v>195.775538045907</v>
      </c>
      <c r="K5940" s="38" t="n">
        <f aca="false">Sens!$J$5940*(1+Sens!$K$5941)</f>
        <v>211.43758108958</v>
      </c>
      <c r="L5940" s="38" t="n">
        <f aca="false">Sens!$K$5940*(1+Sens!$L$5941)</f>
        <v>228.352587576746</v>
      </c>
      <c r="M5940" s="38" t="n">
        <f aca="false">Sens!$L$5940*(1+Sens!$M$5941)</f>
        <v>246.620794582886</v>
      </c>
      <c r="N5940" s="38" t="n">
        <f aca="false">Sens!$N$5939-Sens!$N$5936</f>
        <v>57.0936804689721</v>
      </c>
      <c r="O5940" s="38" t="n">
        <f aca="false">Sens!$O$5939-Sens!$O$5936</f>
        <v>62.9275494423768</v>
      </c>
      <c r="P5940" s="5" t="s">
        <v>622</v>
      </c>
    </row>
    <row r="5941" customFormat="false" ht="17.15" hidden="false" customHeight="false" outlineLevel="0" collapsed="false">
      <c r="A5941" s="0" t="s">
        <v>623</v>
      </c>
      <c r="B5941" s="0" t="s">
        <v>52</v>
      </c>
      <c r="D5941" s="13" t="n">
        <f aca="false">Sens!$D$5940/Sens!$C$5940-1</f>
        <v>0.140506827776062</v>
      </c>
      <c r="E5941" s="13" t="n">
        <f aca="false">Sens!$E$5940/Sens!$N$5940-1</f>
        <v>0.248976181579029</v>
      </c>
      <c r="F5941" s="13" t="n">
        <f aca="false">Sens!$D$5941</f>
        <v>0.140506827776062</v>
      </c>
      <c r="G5941" s="13" t="n">
        <f aca="false">Sens!$G$5940/Sens!$D$5940-1</f>
        <v>0.19210532106993</v>
      </c>
      <c r="H5941" s="13" t="n">
        <f aca="false">Sens!$F$5941+(g_awso_lt-Sens!$F$5941)*1/4</f>
        <v>0.125380120832046</v>
      </c>
      <c r="I5941" s="13" t="n">
        <f aca="false">Sens!$F$5941+(g_awso_lt-Sens!$F$5941)*2/4</f>
        <v>0.110253413888031</v>
      </c>
      <c r="J5941" s="13" t="n">
        <f aca="false">Sens!$F$5941+(g_awso_lt-Sens!$F$5941)*3/4</f>
        <v>0.0951267069440154</v>
      </c>
      <c r="K5941" s="13" t="n">
        <f aca="false">Sens!$F$5941+(g_awso_lt-Sens!$F$5941)*4/4</f>
        <v>0.08</v>
      </c>
      <c r="L5941" s="13" t="n">
        <f aca="false">g_awso_lt</f>
        <v>0.08</v>
      </c>
      <c r="M5941" s="13" t="n">
        <f aca="false">g_awso_lt</f>
        <v>0.08</v>
      </c>
      <c r="P5941" s="5" t="s">
        <v>624</v>
      </c>
    </row>
    <row r="5942" customFormat="false" ht="17.15" hidden="false" customHeight="false" outlineLevel="0" collapsed="false">
      <c r="A5942" s="1" t="s">
        <v>625</v>
      </c>
    </row>
    <row r="5943" customFormat="false" ht="17.15" hidden="false" customHeight="false" outlineLevel="0" collapsed="false">
      <c r="A5943" s="0" t="s">
        <v>626</v>
      </c>
      <c r="B5943" s="0" t="s">
        <v>86</v>
      </c>
      <c r="F5943" s="38" t="n">
        <f aca="false">cx_rt*Sens!$F$5908+cx_awso*Sens!$F$5940</f>
        <v>34.9734495387866</v>
      </c>
    </row>
    <row r="5944" customFormat="false" ht="17.15" hidden="false" customHeight="false" outlineLevel="0" collapsed="false">
      <c r="A5944" s="0" t="s">
        <v>627</v>
      </c>
      <c r="B5944" s="0" t="s">
        <v>52</v>
      </c>
      <c r="C5944" s="13" t="n">
        <f aca="false">tk_cx_h100/(tk_cx_h100+tk_fac*(1-colo_sh))</f>
        <v>0.730756458006641</v>
      </c>
      <c r="D5944" s="13" t="n">
        <f aca="false">tk_cx_h100/(tk_cx_h100+tk_fac*(1-colo_sh))</f>
        <v>0.730756458006641</v>
      </c>
      <c r="E5944" s="13" t="n">
        <f aca="false">Sens!$F$5944</f>
        <v>0.760792334328868</v>
      </c>
      <c r="F5944" s="13" t="n">
        <f aca="false">Sens!$F$5927/(Sens!$F$5927+tk_fac*(1-colo_sh))</f>
        <v>0.760792334328868</v>
      </c>
      <c r="G5944" s="13" t="n">
        <f aca="false">Sens!$G$5927/(Sens!$G$5927+tk_fac*(1-colo_sh))</f>
        <v>0.760792334328868</v>
      </c>
      <c r="H5944" s="13" t="n">
        <f aca="false">Sens!$H$5927/(Sens!$H$5927+tk_fac*(1-colo_sh))</f>
        <v>0.768110668862996</v>
      </c>
      <c r="I5944" s="13" t="n">
        <f aca="false">Sens!$I$5927/(Sens!$I$5927+tk_fac*(1-colo_sh))</f>
        <v>0.77499450139483</v>
      </c>
      <c r="J5944" s="13" t="n">
        <f aca="false">Sens!$J$5927/(Sens!$J$5927+tk_fac*(1-colo_sh))</f>
        <v>0.77499450139483</v>
      </c>
      <c r="K5944" s="13" t="n">
        <f aca="false">Sens!$K$5927/(Sens!$K$5927+tk_fac*(1-colo_sh))</f>
        <v>0.77499450139483</v>
      </c>
      <c r="L5944" s="13" t="n">
        <f aca="false">Sens!$L$5927/(Sens!$L$5927+tk_fac*(1-colo_sh))</f>
        <v>0.77499450139483</v>
      </c>
      <c r="M5944" s="13" t="n">
        <f aca="false">Sens!$M$5927/(Sens!$M$5927+tk_fac*(1-colo_sh))</f>
        <v>0.77499450139483</v>
      </c>
    </row>
    <row r="5945" customFormat="false" ht="17.15" hidden="false" customHeight="false" outlineLevel="0" collapsed="false">
      <c r="A5945" s="1" t="s">
        <v>628</v>
      </c>
      <c r="B5945" s="8" t="s">
        <v>86</v>
      </c>
      <c r="C5945" s="38" t="n">
        <f aca="false">Q!$D$46-cx_rt*Q!$D$16-cx_awso*Sens!$C$5940</f>
        <v>25.2781053077374</v>
      </c>
      <c r="D5945" s="38" t="n">
        <f aca="false">Q!$E$46-cx_rt*Q!$E$16-cx_awso*Sens!$D$5940</f>
        <v>69.5686316310026</v>
      </c>
      <c r="E5945" s="38" t="n">
        <f aca="false">Q!$P$46-cx_rt*Q!$P$16-cx_awso*Sens!$E$5940</f>
        <v>64.1899206485108</v>
      </c>
      <c r="F5945" s="38" t="n">
        <f aca="false">MAX(Sens!$F$5922*(Sens!$F$5927+tk_fac*(1-colo_sh))/1000,capex_g26-Q!$P$46-Sens!$F$5943)</f>
        <v>96.2481299895</v>
      </c>
      <c r="G5945" s="38" t="n">
        <f aca="false">Sens!$E$5945+Sens!$F$5945</f>
        <v>160.438050638011</v>
      </c>
      <c r="H5945" s="38" t="n">
        <f aca="false">Sens!$H$5922*(Sens!$H$5927+tk_fac*(1-colo_sh))/1000+Sens!$H$5946</f>
        <v>198.57136494475</v>
      </c>
      <c r="I5945" s="38" t="n">
        <f aca="false">Sens!$I$5922*(Sens!$I$5927+tk_fac*(1-colo_sh))/1000+Sens!$I$5946</f>
        <v>204.6464699105</v>
      </c>
      <c r="J5945" s="38" t="n">
        <f aca="false">Sens!$J$5922*(Sens!$J$5927+tk_fac*(1-colo_sh))/1000+Sens!$J$5946</f>
        <v>209.8832381105</v>
      </c>
      <c r="K5945" s="38" t="n">
        <f aca="false">Sens!$K$5922*(Sens!$K$5927+tk_fac*(1-colo_sh))/1000+Sens!$K$5946</f>
        <v>155.238385275201</v>
      </c>
      <c r="L5945" s="38" t="n">
        <f aca="false">Sens!$L$5922*(Sens!$L$5927+tk_fac*(1-colo_sh))/1000+Sens!$L$5946</f>
        <v>132.014141639902</v>
      </c>
      <c r="M5945" s="38" t="n">
        <f aca="false">Sens!$M$5922*(Sens!$M$5927+tk_fac*(1-colo_sh))/1000+Sens!$M$5946</f>
        <v>132.230981659852</v>
      </c>
      <c r="P5945" s="5" t="s">
        <v>629</v>
      </c>
      <c r="R5945" s="38" t="n">
        <f aca="false">Q!$C$46-cx_rt*Q!$C$16-cx_awso*(Q!$C$7-mw_ye23/2*rpm_open/1000)</f>
        <v>1.50429979529945</v>
      </c>
      <c r="S5945" s="38" t="n">
        <f aca="false">Sens!$C$5945</f>
        <v>25.2781053077374</v>
      </c>
      <c r="T5945" s="38" t="n">
        <f aca="false">Sens!$D$5945</f>
        <v>69.5686316310026</v>
      </c>
      <c r="U5945" s="38" t="n">
        <f aca="false">Sens!$G$5945</f>
        <v>160.438050638011</v>
      </c>
      <c r="V5945" s="38" t="n">
        <f aca="false">Sens!$H$5945</f>
        <v>198.57136494475</v>
      </c>
      <c r="W5945" s="38" t="n">
        <f aca="false">Sens!$I$5945</f>
        <v>204.6464699105</v>
      </c>
      <c r="X5945" s="38" t="n">
        <f aca="false">Sens!$J$5945</f>
        <v>209.8832381105</v>
      </c>
      <c r="Y5945" s="38" t="n">
        <f aca="false">Sens!$K$5945</f>
        <v>155.238385275201</v>
      </c>
      <c r="Z5945" s="38" t="n">
        <f aca="false">Sens!$L$5945</f>
        <v>132.014141639902</v>
      </c>
      <c r="AA5945" s="38" t="n">
        <f aca="false">Sens!$M$5945</f>
        <v>132.230981659852</v>
      </c>
    </row>
    <row r="5946" customFormat="false" ht="17.15" hidden="false" customHeight="false" outlineLevel="0" collapsed="false">
      <c r="A5946" s="0" t="s">
        <v>630</v>
      </c>
      <c r="B5946" s="0" t="s">
        <v>86</v>
      </c>
      <c r="H5946" s="38" t="n">
        <f aca="false">SUMPRODUCT(--(Sens!$R$5915:$AA$5915=2027-tk_life),Sens!$R$5922:$AA$5922)*Sens!$H$5927/1000</f>
        <v>0</v>
      </c>
      <c r="I5946" s="38" t="n">
        <f aca="false">SUMPRODUCT(--(Sens!$R$5915:$AA$5915=2028-tk_life),Sens!$R$5922:$AA$5922)*Sens!$I$5927/1000</f>
        <v>0</v>
      </c>
      <c r="J5946" s="38" t="n">
        <f aca="false">SUMPRODUCT(--(Sens!$R$5915:$AA$5915=2029-tk_life),Sens!$R$5922:$AA$5922)*Sens!$J$5927/1000</f>
        <v>5.2367682</v>
      </c>
      <c r="K5946" s="38" t="n">
        <f aca="false">SUMPRODUCT(--(Sens!$R$5915:$AA$5915=2030-tk_life),Sens!$R$5922:$AA$5922)*Sens!$K$5927/1000</f>
        <v>10.4735364</v>
      </c>
      <c r="L5946" s="38" t="n">
        <f aca="false">SUMPRODUCT(--(Sens!$R$5915:$AA$5915=2031-tk_life),Sens!$R$5922:$AA$5922)*Sens!$L$5927/1000</f>
        <v>47.1309138</v>
      </c>
      <c r="M5946" s="38" t="n">
        <f aca="false">SUMPRODUCT(--(Sens!$R$5915:$AA$5915=2032-tk_life),Sens!$R$5922:$AA$5922)*Sens!$M$5927/1000</f>
        <v>107.22937485525</v>
      </c>
    </row>
    <row r="5947" customFormat="false" ht="17.15" hidden="false" customHeight="false" outlineLevel="0" collapsed="false">
      <c r="A5947" s="0" t="s">
        <v>631</v>
      </c>
      <c r="B5947" s="0" t="s">
        <v>86</v>
      </c>
      <c r="C5947" s="38" t="n">
        <f aca="false">MIN(Sens!$C$5945,Sens!$C$5922*(tk_cx_h100+tk_fac*(1-colo_sh))/1000)</f>
        <v>11.2938642</v>
      </c>
      <c r="D5947" s="38" t="n">
        <f aca="false">MIN(Sens!$D$5945,Sens!$D$5922*(tk_cx_h100+tk_fac*(1-colo_sh))/1000)</f>
        <v>50.8223889</v>
      </c>
      <c r="E5947" s="38" t="n">
        <f aca="false">MIN(Sens!$E$5945,Sens!$E$5922*(Sens!$F$5927+tk_fac*(1-colo_sh))/1000)</f>
        <v>33.8985792</v>
      </c>
      <c r="F5947" s="38" t="n">
        <f aca="false">Sens!$F$5945</f>
        <v>96.2481299895</v>
      </c>
      <c r="G5947" s="38" t="n">
        <f aca="false">Sens!$E$5947+Sens!$F$5947</f>
        <v>130.1467091895</v>
      </c>
      <c r="H5947" s="38" t="n">
        <f aca="false">Sens!$H$5945</f>
        <v>198.57136494475</v>
      </c>
      <c r="I5947" s="38" t="n">
        <f aca="false">Sens!$I$5945</f>
        <v>204.6464699105</v>
      </c>
      <c r="J5947" s="38" t="n">
        <f aca="false">Sens!$J$5945</f>
        <v>209.8832381105</v>
      </c>
      <c r="K5947" s="38" t="n">
        <f aca="false">Sens!$K$5945</f>
        <v>155.238385275201</v>
      </c>
      <c r="L5947" s="38" t="n">
        <f aca="false">Sens!$L$5945</f>
        <v>132.014141639902</v>
      </c>
      <c r="M5947" s="38" t="n">
        <f aca="false">Sens!$M$5945</f>
        <v>132.230981659852</v>
      </c>
      <c r="P5947" s="5" t="s">
        <v>632</v>
      </c>
      <c r="R5947" s="38" t="n">
        <f aca="false">MIN(Sens!$R$5945,Sens!$R$5922*(tk_cx_h100+tk_fac*(1-colo_sh))/1000)</f>
        <v>1.50429979529945</v>
      </c>
      <c r="S5947" s="38" t="n">
        <f aca="false">Sens!$C$5947</f>
        <v>11.2938642</v>
      </c>
      <c r="T5947" s="38" t="n">
        <f aca="false">Sens!$D$5947</f>
        <v>50.8223889</v>
      </c>
      <c r="U5947" s="38" t="n">
        <f aca="false">Sens!$G$5947</f>
        <v>130.1467091895</v>
      </c>
      <c r="V5947" s="38" t="n">
        <f aca="false">Sens!$H$5947</f>
        <v>198.57136494475</v>
      </c>
      <c r="W5947" s="38" t="n">
        <f aca="false">Sens!$I$5947</f>
        <v>204.6464699105</v>
      </c>
      <c r="X5947" s="38" t="n">
        <f aca="false">Sens!$J$5947</f>
        <v>209.8832381105</v>
      </c>
      <c r="Y5947" s="38" t="n">
        <f aca="false">Sens!$K$5947</f>
        <v>155.238385275201</v>
      </c>
      <c r="Z5947" s="38" t="n">
        <f aca="false">Sens!$L$5947</f>
        <v>132.014141639902</v>
      </c>
      <c r="AA5947" s="38" t="n">
        <f aca="false">Sens!$M$5947</f>
        <v>132.230981659852</v>
      </c>
    </row>
    <row r="5948" customFormat="false" ht="17.15" hidden="false" customHeight="false" outlineLevel="0" collapsed="false">
      <c r="A5948" s="5" t="s">
        <v>633</v>
      </c>
      <c r="B5948" s="0" t="s">
        <v>86</v>
      </c>
      <c r="C5948" s="38" t="n">
        <f aca="false">Sens!$C$5945-Sens!$C$5947</f>
        <v>13.9842411077374</v>
      </c>
      <c r="D5948" s="38" t="n">
        <f aca="false">Sens!$D$5945-Sens!$D$5947</f>
        <v>18.7462427310026</v>
      </c>
      <c r="E5948" s="38" t="n">
        <f aca="false">Sens!$E$5945-Sens!$E$5947</f>
        <v>30.2913414485108</v>
      </c>
      <c r="F5948" s="38" t="n">
        <f aca="false">Sens!$F$5945-Sens!$F$5947</f>
        <v>0</v>
      </c>
      <c r="G5948" s="38" t="n">
        <f aca="false">Sens!$G$5945-Sens!$G$5947</f>
        <v>30.2913414485108</v>
      </c>
      <c r="H5948" s="38" t="n">
        <f aca="false">Sens!$H$5945-Sens!$H$5947</f>
        <v>0</v>
      </c>
      <c r="I5948" s="38" t="n">
        <f aca="false">Sens!$I$5945-Sens!$I$5947</f>
        <v>0</v>
      </c>
      <c r="J5948" s="38" t="n">
        <f aca="false">Sens!$J$5945-Sens!$J$5947</f>
        <v>0</v>
      </c>
      <c r="K5948" s="38" t="n">
        <f aca="false">Sens!$K$5945-Sens!$K$5947</f>
        <v>0</v>
      </c>
      <c r="L5948" s="38" t="n">
        <f aca="false">Sens!$L$5945-Sens!$L$5947</f>
        <v>0</v>
      </c>
      <c r="M5948" s="38" t="n">
        <f aca="false">Sens!$M$5945-Sens!$M$5947</f>
        <v>0</v>
      </c>
    </row>
    <row r="5949" customFormat="false" ht="17.15" hidden="false" customHeight="false" outlineLevel="0" collapsed="false">
      <c r="A5949" s="5" t="s">
        <v>634</v>
      </c>
      <c r="B5949" s="0" t="s">
        <v>86</v>
      </c>
      <c r="C5949" s="38" t="n">
        <f aca="false">Sens!$C$5947*Sens!$C$5944</f>
        <v>8.2530642</v>
      </c>
      <c r="D5949" s="38" t="n">
        <f aca="false">Sens!$D$5947*Sens!$D$5944</f>
        <v>37.1387889</v>
      </c>
      <c r="E5949" s="38" t="n">
        <f aca="false">Sens!$E$5947*Sens!$E$5944</f>
        <v>25.7897792</v>
      </c>
      <c r="F5949" s="38" t="n">
        <f aca="false">Sens!$F$5947*Sens!$F$5944</f>
        <v>73.2248394895</v>
      </c>
      <c r="G5949" s="38" t="n">
        <f aca="false">Sens!$E$5949+Sens!$F$5949</f>
        <v>99.0146186895</v>
      </c>
      <c r="H5949" s="38" t="n">
        <f aca="false">(Sens!$H$5947-Sens!$H$5946)*Sens!$H$5944+Sens!$H$5946</f>
        <v>152.52478394475</v>
      </c>
      <c r="I5949" s="38" t="n">
        <f aca="false">(Sens!$I$5947-Sens!$I$5946)*Sens!$I$5944+Sens!$I$5946</f>
        <v>158.5998889105</v>
      </c>
      <c r="J5949" s="38" t="n">
        <f aca="false">(Sens!$J$5947-Sens!$J$5946)*Sens!$J$5944+Sens!$J$5946</f>
        <v>163.8366571105</v>
      </c>
      <c r="K5949" s="38" t="n">
        <f aca="false">(Sens!$K$5947-Sens!$K$5946)*Sens!$K$5944+Sens!$K$5946</f>
        <v>122.665498273534</v>
      </c>
      <c r="L5949" s="38" t="n">
        <f aca="false">(Sens!$L$5947-Sens!$L$5946)*Sens!$L$5944+Sens!$L$5946</f>
        <v>112.914948636568</v>
      </c>
      <c r="M5949" s="38" t="n">
        <f aca="false">(Sens!$M$5947-Sens!$M$5946)*Sens!$M$5944+Sens!$M$5946</f>
        <v>126.605482654852</v>
      </c>
      <c r="R5949" s="38" t="n">
        <f aca="false">Sens!$R$5947*Sens!$C$5944</f>
        <v>1.09927679019314</v>
      </c>
      <c r="S5949" s="38" t="n">
        <f aca="false">Sens!$C$5949</f>
        <v>8.2530642</v>
      </c>
      <c r="T5949" s="38" t="n">
        <f aca="false">Sens!$D$5949</f>
        <v>37.1387889</v>
      </c>
      <c r="U5949" s="38" t="n">
        <f aca="false">Sens!$G$5949</f>
        <v>99.0146186895</v>
      </c>
      <c r="V5949" s="38" t="n">
        <f aca="false">Sens!$H$5949</f>
        <v>152.52478394475</v>
      </c>
      <c r="W5949" s="38" t="n">
        <f aca="false">Sens!$I$5949</f>
        <v>158.5998889105</v>
      </c>
      <c r="X5949" s="38" t="n">
        <f aca="false">Sens!$J$5949</f>
        <v>163.8366571105</v>
      </c>
      <c r="Y5949" s="38" t="n">
        <f aca="false">Sens!$K$5949</f>
        <v>122.665498273534</v>
      </c>
      <c r="Z5949" s="38" t="n">
        <f aca="false">Sens!$L$5949</f>
        <v>112.914948636568</v>
      </c>
      <c r="AA5949" s="38" t="n">
        <f aca="false">Sens!$M$5949</f>
        <v>126.605482654852</v>
      </c>
    </row>
    <row r="5950" customFormat="false" ht="15" hidden="false" customHeight="false" outlineLevel="0" collapsed="false">
      <c r="A5950" s="5" t="s">
        <v>635</v>
      </c>
      <c r="B5950" s="0" t="s">
        <v>86</v>
      </c>
      <c r="C5950" s="38" t="n">
        <f aca="false">Sens!$C$5947-Sens!$C$5949</f>
        <v>3.0408</v>
      </c>
      <c r="D5950" s="38" t="n">
        <f aca="false">Sens!$D$5947-Sens!$D$5949</f>
        <v>13.6836</v>
      </c>
      <c r="E5950" s="38" t="n">
        <f aca="false">Sens!$E$5947-Sens!$E$5949</f>
        <v>8.1088</v>
      </c>
      <c r="F5950" s="38" t="n">
        <f aca="false">Sens!$F$5947-Sens!$F$5949</f>
        <v>23.0232905</v>
      </c>
      <c r="G5950" s="38" t="n">
        <f aca="false">Sens!$G$5947-Sens!$G$5949</f>
        <v>31.1320905</v>
      </c>
      <c r="H5950" s="38" t="n">
        <f aca="false">Sens!$H$5947-Sens!$H$5949</f>
        <v>46.046581</v>
      </c>
      <c r="I5950" s="38" t="n">
        <f aca="false">Sens!$I$5947-Sens!$I$5949</f>
        <v>46.046581</v>
      </c>
      <c r="J5950" s="38" t="n">
        <f aca="false">Sens!$J$5947-Sens!$J$5949</f>
        <v>46.046581</v>
      </c>
      <c r="K5950" s="38" t="n">
        <f aca="false">Sens!$K$5947-Sens!$K$5949</f>
        <v>32.5728870016667</v>
      </c>
      <c r="L5950" s="38" t="n">
        <f aca="false">Sens!$L$5947-Sens!$L$5949</f>
        <v>19.0991930033334</v>
      </c>
      <c r="M5950" s="38" t="n">
        <f aca="false">Sens!$M$5947-Sens!$M$5949</f>
        <v>5.62549900499998</v>
      </c>
      <c r="R5950" s="38" t="n">
        <f aca="false">Sens!$R$5947-Sens!$R$5949</f>
        <v>0.405023005106309</v>
      </c>
      <c r="S5950" s="38" t="n">
        <f aca="false">Sens!$S$5947-Sens!$S$5949</f>
        <v>3.0408</v>
      </c>
      <c r="T5950" s="38" t="n">
        <f aca="false">Sens!$T$5947-Sens!$T$5949</f>
        <v>13.6836</v>
      </c>
      <c r="U5950" s="38" t="n">
        <f aca="false">Sens!$U$5947-Sens!$U$5949</f>
        <v>31.1320905</v>
      </c>
      <c r="V5950" s="38" t="n">
        <f aca="false">Sens!$V$5947-Sens!$V$5949</f>
        <v>46.046581</v>
      </c>
      <c r="W5950" s="38" t="n">
        <f aca="false">Sens!$W$5947-Sens!$W$5949</f>
        <v>46.046581</v>
      </c>
      <c r="X5950" s="38" t="n">
        <f aca="false">Sens!$X$5947-Sens!$X$5949</f>
        <v>46.046581</v>
      </c>
      <c r="Y5950" s="38" t="n">
        <f aca="false">Sens!$Y$5947-Sens!$Y$5949</f>
        <v>32.5728870016667</v>
      </c>
      <c r="Z5950" s="38" t="n">
        <f aca="false">Sens!$Z$5947-Sens!$Z$5949</f>
        <v>19.0991930033334</v>
      </c>
      <c r="AA5950" s="38" t="n">
        <f aca="false">Sens!$AA$5947-Sens!$AA$5949</f>
        <v>5.62549900499998</v>
      </c>
    </row>
    <row r="5951" customFormat="false" ht="17.15" hidden="false" customHeight="false" outlineLevel="0" collapsed="false">
      <c r="A5951" s="0" t="s">
        <v>636</v>
      </c>
      <c r="B5951" s="0" t="s">
        <v>52</v>
      </c>
      <c r="C5951" s="13" t="n">
        <f aca="false">Sens!$C$5945/Sens!$C$6067</f>
        <v>0.325505489553393</v>
      </c>
      <c r="D5951" s="13" t="n">
        <f aca="false">Sens!$D$5945/Sens!$D$6067</f>
        <v>0.54214956071542</v>
      </c>
      <c r="E5951" s="13" t="n">
        <f aca="false">Sens!$E$5945/Sens!$E$6067</f>
        <v>0.666492790452817</v>
      </c>
      <c r="F5951" s="13" t="n">
        <f aca="false">Sens!$F$5945/Sens!$F$6067</f>
        <v>0.733477910687338</v>
      </c>
      <c r="G5951" s="13" t="n">
        <f aca="false">Sens!$G$5945/Sens!$G$6067</f>
        <v>0.705124321514523</v>
      </c>
      <c r="H5951" s="13" t="n">
        <f aca="false">Sens!$H$5945/Sens!$H$6067</f>
        <v>0.726376041178204</v>
      </c>
      <c r="I5951" s="13" t="n">
        <f aca="false">Sens!$I$5945/Sens!$I$6067</f>
        <v>0.713099092661699</v>
      </c>
      <c r="J5951" s="13" t="n">
        <f aca="false">Sens!$J$5945/Sens!$J$6067</f>
        <v>0.701208348786245</v>
      </c>
      <c r="K5951" s="13" t="n">
        <f aca="false">Sens!$K$5945/Sens!$K$6067</f>
        <v>0.618338844562383</v>
      </c>
      <c r="L5951" s="13" t="n">
        <f aca="false">Sens!$L$5945/Sens!$L$6067</f>
        <v>0.562489158462506</v>
      </c>
      <c r="M5951" s="13" t="n">
        <f aca="false">Sens!$M$5945/Sens!$M$6067</f>
        <v>0.545751190895923</v>
      </c>
    </row>
    <row r="5952" customFormat="false" ht="17.15" hidden="false" customHeight="false" outlineLevel="0" collapsed="false">
      <c r="A5952" s="0" t="s">
        <v>637</v>
      </c>
      <c r="B5952" s="0" t="s">
        <v>86</v>
      </c>
      <c r="C5952" s="38" t="n">
        <f aca="false">Sens!$S$5952</f>
        <v>0.183212798365523</v>
      </c>
      <c r="D5952" s="38" t="n">
        <f aca="false">Sens!$T$5952</f>
        <v>1.55872349836552</v>
      </c>
      <c r="E5952" s="38" t="n">
        <f aca="false">Sens!$G$5952/2</f>
        <v>3.87426082418276</v>
      </c>
      <c r="F5952" s="38" t="n">
        <f aca="false">Sens!$G$5952/2</f>
        <v>3.87426082418276</v>
      </c>
      <c r="G5952" s="38" t="n">
        <f aca="false">Sens!$U$5952</f>
        <v>7.74852164836552</v>
      </c>
      <c r="H5952" s="38" t="n">
        <f aca="false">Sens!$V$5952</f>
        <v>24.2509580966155</v>
      </c>
      <c r="I5952" s="38" t="n">
        <f aca="false">Sens!$W$5952</f>
        <v>49.6717554207405</v>
      </c>
      <c r="J5952" s="38" t="n">
        <f aca="false">Sens!$X$5952</f>
        <v>76.1050702391572</v>
      </c>
      <c r="K5952" s="38" t="n">
        <f aca="false">Sens!$Y$5952</f>
        <v>103.227966959208</v>
      </c>
      <c r="L5952" s="38" t="n">
        <f aca="false">Sens!$Z$5952</f>
        <v>122.296705971464</v>
      </c>
      <c r="M5952" s="38" t="n">
        <f aca="false">Sens!$AA$5952</f>
        <v>134.926065927559</v>
      </c>
      <c r="N5952" s="38" t="n">
        <f aca="false">Sens!$D$5952/2</f>
        <v>0.779361749182762</v>
      </c>
      <c r="O5952" s="38" t="n">
        <f aca="false">Sens!$D$5952/2</f>
        <v>0.779361749182762</v>
      </c>
      <c r="R5952" s="38" t="n">
        <f aca="false">SUMPRODUCT(--(Sens!$R$5915:$AA$5915&lt;Sens!R$5915),--(Sens!$R$5915:$AA$5915&gt;=Sens!R$5915-tk_life),Sens!$R$5949:$AA$5949)/tk_life</f>
        <v>0</v>
      </c>
      <c r="S5952" s="38" t="n">
        <f aca="false">SUMPRODUCT(--(Sens!$R$5915:$AA$5915&lt;Sens!S$5915),--(Sens!$R$5915:$AA$5915&gt;=Sens!S$5915-tk_life),Sens!$R$5949:$AA$5949)/tk_life</f>
        <v>0.183212798365523</v>
      </c>
      <c r="T5952" s="38" t="n">
        <f aca="false">SUMPRODUCT(--(Sens!$R$5915:$AA$5915&lt;Sens!T$5915),--(Sens!$R$5915:$AA$5915&gt;=Sens!T$5915-tk_life),Sens!$R$5949:$AA$5949)/tk_life</f>
        <v>1.55872349836552</v>
      </c>
      <c r="U5952" s="38" t="n">
        <f aca="false">SUMPRODUCT(--(Sens!$R$5915:$AA$5915&lt;Sens!U$5915),--(Sens!$R$5915:$AA$5915&gt;=Sens!U$5915-tk_life),Sens!$R$5949:$AA$5949)/tk_life</f>
        <v>7.74852164836552</v>
      </c>
      <c r="V5952" s="38" t="n">
        <f aca="false">SUMPRODUCT(--(Sens!$R$5915:$AA$5915&lt;Sens!V$5915),--(Sens!$R$5915:$AA$5915&gt;=Sens!V$5915-tk_life),Sens!$R$5949:$AA$5949)/tk_life</f>
        <v>24.2509580966155</v>
      </c>
      <c r="W5952" s="38" t="n">
        <f aca="false">SUMPRODUCT(--(Sens!$R$5915:$AA$5915&lt;Sens!W$5915),--(Sens!$R$5915:$AA$5915&gt;=Sens!W$5915-tk_life),Sens!$R$5949:$AA$5949)/tk_life</f>
        <v>49.6717554207405</v>
      </c>
      <c r="X5952" s="38" t="n">
        <f aca="false">SUMPRODUCT(--(Sens!$R$5915:$AA$5915&lt;Sens!X$5915),--(Sens!$R$5915:$AA$5915&gt;=Sens!X$5915-tk_life),Sens!$R$5949:$AA$5949)/tk_life</f>
        <v>76.1050702391572</v>
      </c>
      <c r="Y5952" s="38" t="n">
        <f aca="false">SUMPRODUCT(--(Sens!$R$5915:$AA$5915&lt;Sens!Y$5915),--(Sens!$R$5915:$AA$5915&gt;=Sens!Y$5915-tk_life),Sens!$R$5949:$AA$5949)/tk_life</f>
        <v>103.227966959208</v>
      </c>
      <c r="Z5952" s="38" t="n">
        <f aca="false">SUMPRODUCT(--(Sens!$R$5915:$AA$5915&lt;Sens!Z$5915),--(Sens!$R$5915:$AA$5915&gt;=Sens!Z$5915-tk_life),Sens!$R$5949:$AA$5949)/tk_life</f>
        <v>122.296705971464</v>
      </c>
      <c r="AA5952" s="38" t="n">
        <f aca="false">SUMPRODUCT(--(Sens!$R$5915:$AA$5915&lt;Sens!AA$5915),--(Sens!$R$5915:$AA$5915&gt;=Sens!AA$5915-tk_life),Sens!$R$5949:$AA$5949)/tk_life</f>
        <v>134.926065927559</v>
      </c>
    </row>
    <row r="5953" customFormat="false" ht="17.15" hidden="false" customHeight="false" outlineLevel="0" collapsed="false">
      <c r="A5953" s="0" t="s">
        <v>638</v>
      </c>
      <c r="B5953" s="0" t="s">
        <v>86</v>
      </c>
      <c r="C5953" s="38" t="n">
        <f aca="false">Sens!$S$5953</f>
        <v>0.0202511502553155</v>
      </c>
      <c r="D5953" s="38" t="n">
        <f aca="false">Sens!$T$5953</f>
        <v>0.172291150255315</v>
      </c>
      <c r="E5953" s="38" t="n">
        <f aca="false">Sens!$G$5953/2</f>
        <v>0.428235575127658</v>
      </c>
      <c r="F5953" s="38" t="n">
        <f aca="false">Sens!$G$5953/2</f>
        <v>0.428235575127658</v>
      </c>
      <c r="G5953" s="38" t="n">
        <f aca="false">Sens!$U$5953</f>
        <v>0.856471150255315</v>
      </c>
      <c r="H5953" s="38" t="n">
        <f aca="false">Sens!$V$5953</f>
        <v>2.41307567525532</v>
      </c>
      <c r="I5953" s="38" t="n">
        <f aca="false">Sens!$W$5953</f>
        <v>4.71540472525532</v>
      </c>
      <c r="J5953" s="38" t="n">
        <f aca="false">Sens!$X$5953</f>
        <v>7.01773377525532</v>
      </c>
      <c r="K5953" s="38" t="n">
        <f aca="false">Sens!$Y$5953</f>
        <v>9.32006282525532</v>
      </c>
      <c r="L5953" s="38" t="n">
        <f aca="false">Sens!$Z$5953</f>
        <v>10.9487071753387</v>
      </c>
      <c r="M5953" s="38" t="n">
        <f aca="false">Sens!$AA$5953</f>
        <v>11.9036668255053</v>
      </c>
      <c r="N5953" s="38" t="n">
        <f aca="false">Sens!$D$5953/2</f>
        <v>0.0861455751276577</v>
      </c>
      <c r="O5953" s="38" t="n">
        <f aca="false">Sens!$D$5953/2</f>
        <v>0.0861455751276577</v>
      </c>
      <c r="R5953" s="38" t="n">
        <f aca="false">SUMPRODUCT(--(Sens!$R$5915:$AA$5915&lt;Sens!R$5915),Sens!$R$5950:$AA$5950)/fac_life</f>
        <v>0</v>
      </c>
      <c r="S5953" s="38" t="n">
        <f aca="false">SUMPRODUCT(--(Sens!$R$5915:$AA$5915&lt;Sens!S$5915),Sens!$R$5950:$AA$5950)/fac_life</f>
        <v>0.0202511502553155</v>
      </c>
      <c r="T5953" s="38" t="n">
        <f aca="false">SUMPRODUCT(--(Sens!$R$5915:$AA$5915&lt;Sens!T$5915),Sens!$R$5950:$AA$5950)/fac_life</f>
        <v>0.172291150255315</v>
      </c>
      <c r="U5953" s="38" t="n">
        <f aca="false">SUMPRODUCT(--(Sens!$R$5915:$AA$5915&lt;Sens!U$5915),Sens!$R$5950:$AA$5950)/fac_life</f>
        <v>0.856471150255315</v>
      </c>
      <c r="V5953" s="38" t="n">
        <f aca="false">SUMPRODUCT(--(Sens!$R$5915:$AA$5915&lt;Sens!V$5915),Sens!$R$5950:$AA$5950)/fac_life</f>
        <v>2.41307567525532</v>
      </c>
      <c r="W5953" s="38" t="n">
        <f aca="false">SUMPRODUCT(--(Sens!$R$5915:$AA$5915&lt;Sens!W$5915),Sens!$R$5950:$AA$5950)/fac_life</f>
        <v>4.71540472525532</v>
      </c>
      <c r="X5953" s="38" t="n">
        <f aca="false">SUMPRODUCT(--(Sens!$R$5915:$AA$5915&lt;Sens!X$5915),Sens!$R$5950:$AA$5950)/fac_life</f>
        <v>7.01773377525532</v>
      </c>
      <c r="Y5953" s="38" t="n">
        <f aca="false">SUMPRODUCT(--(Sens!$R$5915:$AA$5915&lt;Sens!Y$5915),Sens!$R$5950:$AA$5950)/fac_life</f>
        <v>9.32006282525532</v>
      </c>
      <c r="Z5953" s="38" t="n">
        <f aca="false">SUMPRODUCT(--(Sens!$R$5915:$AA$5915&lt;Sens!Z$5915),Sens!$R$5950:$AA$5950)/fac_life</f>
        <v>10.9487071753387</v>
      </c>
      <c r="AA5953" s="38" t="n">
        <f aca="false">SUMPRODUCT(--(Sens!$R$5915:$AA$5915&lt;Sens!AA$5915),Sens!$R$5950:$AA$5950)/fac_life</f>
        <v>11.9036668255053</v>
      </c>
    </row>
    <row r="5954" customFormat="false" ht="17.15" hidden="false" customHeight="false" outlineLevel="0" collapsed="false">
      <c r="A5954" s="1" t="s">
        <v>639</v>
      </c>
      <c r="B5954" s="8" t="s">
        <v>86</v>
      </c>
      <c r="C5954" s="38" t="n">
        <f aca="false">Sens!$C$5952+Sens!$C$5953</f>
        <v>0.203463948620839</v>
      </c>
      <c r="D5954" s="38" t="n">
        <f aca="false">Sens!$D$5952+Sens!$D$5953</f>
        <v>1.73101464862084</v>
      </c>
      <c r="E5954" s="38" t="n">
        <f aca="false">Sens!$E$5952+Sens!$E$5953</f>
        <v>4.30249639931042</v>
      </c>
      <c r="F5954" s="38" t="n">
        <f aca="false">Sens!$F$5952+Sens!$F$5953</f>
        <v>4.30249639931042</v>
      </c>
      <c r="G5954" s="38" t="n">
        <f aca="false">Sens!$G$5952+Sens!$G$5953</f>
        <v>8.60499279862084</v>
      </c>
      <c r="H5954" s="38" t="n">
        <f aca="false">Sens!$H$5952+Sens!$H$5953</f>
        <v>26.6640337718708</v>
      </c>
      <c r="I5954" s="38" t="n">
        <f aca="false">Sens!$I$5952+Sens!$I$5953</f>
        <v>54.3871601459959</v>
      </c>
      <c r="J5954" s="38" t="n">
        <f aca="false">Sens!$J$5952+Sens!$J$5953</f>
        <v>83.1228040144125</v>
      </c>
      <c r="K5954" s="38" t="n">
        <f aca="false">Sens!$K$5952+Sens!$K$5953</f>
        <v>112.548029784464</v>
      </c>
      <c r="L5954" s="38" t="n">
        <f aca="false">Sens!$L$5952+Sens!$L$5953</f>
        <v>133.245413146803</v>
      </c>
      <c r="M5954" s="38" t="n">
        <f aca="false">Sens!$M$5952+Sens!$M$5953</f>
        <v>146.829732753064</v>
      </c>
      <c r="N5954" s="38" t="n">
        <f aca="false">Sens!$N$5952+Sens!$N$5953</f>
        <v>0.865507324310419</v>
      </c>
      <c r="O5954" s="38" t="n">
        <f aca="false">Sens!$O$5952+Sens!$O$5953</f>
        <v>0.865507324310419</v>
      </c>
      <c r="R5954" s="38" t="n">
        <f aca="false">Sens!$R$5952+Sens!$R$5953</f>
        <v>0</v>
      </c>
      <c r="S5954" s="38" t="n">
        <f aca="false">Sens!$S$5952+Sens!$S$5953</f>
        <v>0.203463948620839</v>
      </c>
      <c r="T5954" s="38" t="n">
        <f aca="false">Sens!$T$5952+Sens!$T$5953</f>
        <v>1.73101464862084</v>
      </c>
      <c r="U5954" s="38" t="n">
        <f aca="false">Sens!$U$5952+Sens!$U$5953</f>
        <v>8.60499279862084</v>
      </c>
      <c r="V5954" s="38" t="n">
        <f aca="false">Sens!$V$5952+Sens!$V$5953</f>
        <v>26.6640337718708</v>
      </c>
      <c r="W5954" s="38" t="n">
        <f aca="false">Sens!$W$5952+Sens!$W$5953</f>
        <v>54.3871601459959</v>
      </c>
      <c r="X5954" s="38" t="n">
        <f aca="false">Sens!$X$5952+Sens!$X$5953</f>
        <v>83.1228040144125</v>
      </c>
      <c r="Y5954" s="38" t="n">
        <f aca="false">Sens!$Y$5952+Sens!$Y$5953</f>
        <v>112.548029784464</v>
      </c>
      <c r="Z5954" s="38" t="n">
        <f aca="false">Sens!$Z$5952+Sens!$Z$5953</f>
        <v>133.245413146803</v>
      </c>
      <c r="AA5954" s="38" t="n">
        <f aca="false">Sens!$AA$5952+Sens!$AA$5953</f>
        <v>146.829732753064</v>
      </c>
    </row>
    <row r="5955" customFormat="false" ht="17.15" hidden="false" customHeight="false" outlineLevel="0" collapsed="false">
      <c r="A5955" s="0" t="s">
        <v>640</v>
      </c>
      <c r="B5955" s="0" t="s">
        <v>86</v>
      </c>
      <c r="C5955" s="38" t="n">
        <f aca="false">Sens!$S$5955</f>
        <v>12.5947000466786</v>
      </c>
      <c r="D5955" s="38" t="n">
        <f aca="false">Sens!$T$5955</f>
        <v>61.6860742980578</v>
      </c>
      <c r="G5955" s="38" t="n">
        <f aca="false">Sens!$U$5955</f>
        <v>183.227790688937</v>
      </c>
      <c r="H5955" s="38" t="n">
        <f aca="false">Sens!$V$5955</f>
        <v>355.135121861816</v>
      </c>
      <c r="I5955" s="38" t="n">
        <f aca="false">Sens!$W$5955</f>
        <v>505.39443162632</v>
      </c>
      <c r="J5955" s="38" t="n">
        <f aca="false">Sens!$X$5955</f>
        <v>632.154865722408</v>
      </c>
      <c r="K5955" s="38" t="n">
        <f aca="false">Sens!$Y$5955</f>
        <v>674.845221213145</v>
      </c>
      <c r="L5955" s="38" t="n">
        <f aca="false">Sens!$Z$5955</f>
        <v>673.613949706244</v>
      </c>
      <c r="M5955" s="38" t="n">
        <f aca="false">Sens!$AA$5955</f>
        <v>659.015198613032</v>
      </c>
      <c r="R5955" s="38" t="n">
        <f aca="false">SUM(Sens!$R$5947:$R$5947)-SUM(Sens!$R$5954:$R$5954)</f>
        <v>1.50429979529945</v>
      </c>
      <c r="S5955" s="38" t="n">
        <f aca="false">SUM(Sens!$R$5947:$S$5947)-SUM(Sens!$R$5954:$S$5954)</f>
        <v>12.5947000466786</v>
      </c>
      <c r="T5955" s="38" t="n">
        <f aca="false">SUM(Sens!$R$5947:$T$5947)-SUM(Sens!$R$5954:$T$5954)</f>
        <v>61.6860742980578</v>
      </c>
      <c r="U5955" s="38" t="n">
        <f aca="false">SUM(Sens!$R$5947:$U$5947)-SUM(Sens!$R$5954:$U$5954)</f>
        <v>183.227790688937</v>
      </c>
      <c r="V5955" s="38" t="n">
        <f aca="false">SUM(Sens!$R$5947:$V$5947)-SUM(Sens!$R$5954:$V$5954)</f>
        <v>355.135121861816</v>
      </c>
      <c r="W5955" s="38" t="n">
        <f aca="false">SUM(Sens!$R$5947:$W$5947)-SUM(Sens!$R$5954:$W$5954)</f>
        <v>505.39443162632</v>
      </c>
      <c r="X5955" s="38" t="n">
        <f aca="false">SUM(Sens!$R$5947:$X$5947)-SUM(Sens!$R$5954:$X$5954)</f>
        <v>632.154865722408</v>
      </c>
      <c r="Y5955" s="38" t="n">
        <f aca="false">SUM(Sens!$R$5947:$Y$5947)-SUM(Sens!$R$5954:$Y$5954)</f>
        <v>674.845221213145</v>
      </c>
      <c r="Z5955" s="38" t="n">
        <f aca="false">SUM(Sens!$R$5947:$Z$5947)-SUM(Sens!$R$5954:$Z$5954)</f>
        <v>673.613949706244</v>
      </c>
      <c r="AA5955" s="38" t="n">
        <f aca="false">SUM(Sens!$R$5947:$AA$5947)-SUM(Sens!$R$5954:$AA$5954)</f>
        <v>659.015198613032</v>
      </c>
    </row>
    <row r="5956" customFormat="false" ht="17.15" hidden="false" customHeight="false" outlineLevel="0" collapsed="false">
      <c r="A5956" s="1" t="s">
        <v>641</v>
      </c>
    </row>
    <row r="5957" customFormat="false" ht="17.15" hidden="false" customHeight="false" outlineLevel="0" collapsed="false">
      <c r="A5957" s="0" t="s">
        <v>642</v>
      </c>
      <c r="B5957" s="0" t="s">
        <v>86</v>
      </c>
      <c r="C5957" s="38" t="n">
        <f aca="false">Sens!$C$5936-ext_sh*Sens!$C$5938</f>
        <v>1.80694998843362</v>
      </c>
      <c r="D5957" s="38" t="n">
        <f aca="false">Sens!$D$5936-ext_sh*Sens!$D$5938</f>
        <v>6.77606245662607</v>
      </c>
      <c r="E5957" s="38" t="n">
        <f aca="false">Sens!$E$5936-ext_sh*Sens!$E$5938</f>
        <v>6.62548329092326</v>
      </c>
      <c r="F5957" s="38" t="n">
        <f aca="false">Sens!$F$5936-ext_sh*Sens!$F$5938</f>
        <v>11.7200577158706</v>
      </c>
      <c r="G5957" s="38" t="n">
        <f aca="false">Sens!$G$5936-ext_sh*Sens!$G$5938</f>
        <v>18.3455410067939</v>
      </c>
      <c r="H5957" s="38" t="n">
        <f aca="false">Sens!$H$5936-ext_sh*Sens!$H$5938</f>
        <v>47.5171727060453</v>
      </c>
      <c r="I5957" s="38" t="n">
        <f aca="false">Sens!$I$5936-ext_sh*Sens!$I$5938</f>
        <v>80.5539692643667</v>
      </c>
      <c r="J5957" s="38" t="n">
        <f aca="false">Sens!$J$5936-ext_sh*Sens!$J$5938</f>
        <v>113.759316834883</v>
      </c>
      <c r="K5957" s="38" t="n">
        <f aca="false">Sens!$K$5936-ext_sh*Sens!$K$5938</f>
        <v>142.084411492169</v>
      </c>
      <c r="L5957" s="38" t="n">
        <f aca="false">Sens!$L$5936-ext_sh*Sens!$L$5938</f>
        <v>160.69964615804</v>
      </c>
      <c r="M5957" s="38" t="n">
        <f aca="false">Sens!$M$5936-ext_sh*Sens!$M$5938</f>
        <v>169.577607141793</v>
      </c>
      <c r="N5957" s="38" t="n">
        <f aca="false">Sens!$N$5936-ext_sh*Sens!$N$5938</f>
        <v>2.37162185981912</v>
      </c>
      <c r="O5957" s="38" t="n">
        <f aca="false">Sens!$O$5936-ext_sh*Sens!$O$5938</f>
        <v>4.40444059680694</v>
      </c>
    </row>
    <row r="5958" customFormat="false" ht="17.15" hidden="false" customHeight="false" outlineLevel="0" collapsed="false">
      <c r="A5958" s="1" t="s">
        <v>643</v>
      </c>
      <c r="B5958" s="8" t="s">
        <v>86</v>
      </c>
      <c r="C5958" s="38" t="n">
        <f aca="false">Sens!$C$5957-ext_sh*Sens!$C$5954</f>
        <v>1.64417882953695</v>
      </c>
      <c r="D5958" s="38" t="n">
        <f aca="false">Sens!$D$5957-ext_sh*Sens!$D$5954</f>
        <v>5.39125073772939</v>
      </c>
      <c r="E5958" s="38" t="n">
        <f aca="false">Sens!$E$5957-ext_sh*Sens!$E$5954</f>
        <v>3.18348617147493</v>
      </c>
      <c r="F5958" s="38" t="n">
        <f aca="false">Sens!$F$5957-ext_sh*Sens!$F$5954</f>
        <v>8.27806059642226</v>
      </c>
      <c r="G5958" s="38" t="n">
        <f aca="false">Sens!$G$5957-ext_sh*Sens!$G$5954</f>
        <v>11.4615467678972</v>
      </c>
      <c r="H5958" s="38" t="n">
        <f aca="false">Sens!$H$5957-ext_sh*Sens!$H$5954</f>
        <v>26.1859456885487</v>
      </c>
      <c r="I5958" s="38" t="n">
        <f aca="false">Sens!$I$5957-ext_sh*Sens!$I$5954</f>
        <v>37.04424114757</v>
      </c>
      <c r="J5958" s="38" t="n">
        <f aca="false">Sens!$J$5957-ext_sh*Sens!$J$5954</f>
        <v>47.2610736233534</v>
      </c>
      <c r="K5958" s="38" t="n">
        <f aca="false">Sens!$K$5957-ext_sh*Sens!$K$5954</f>
        <v>52.0459876645985</v>
      </c>
      <c r="L5958" s="38" t="n">
        <f aca="false">Sens!$L$5957-ext_sh*Sens!$L$5954</f>
        <v>54.1033156405981</v>
      </c>
      <c r="M5958" s="38" t="n">
        <f aca="false">Sens!$M$5957-ext_sh*Sens!$M$5954</f>
        <v>52.1138209393421</v>
      </c>
      <c r="N5958" s="38" t="n">
        <f aca="false">Sens!$N$5957-ext_sh*Sens!$N$5954</f>
        <v>1.67921600037079</v>
      </c>
      <c r="O5958" s="38" t="n">
        <f aca="false">Sens!$O$5957-ext_sh*Sens!$O$5954</f>
        <v>3.71203473735861</v>
      </c>
    </row>
    <row r="5959" customFormat="false" ht="17.15" hidden="false" customHeight="false" outlineLevel="0" collapsed="false">
      <c r="A5959" s="0" t="s">
        <v>644</v>
      </c>
      <c r="B5959" s="0" t="s">
        <v>52</v>
      </c>
      <c r="C5959" s="13" t="n">
        <f aca="false">Sens!$C$5958/Sens!$C$5936</f>
        <v>0.708390794789371</v>
      </c>
      <c r="D5959" s="13" t="n">
        <f aca="false">Sens!$D$5958/Sens!$D$5936</f>
        <v>0.619415573115729</v>
      </c>
      <c r="E5959" s="13" t="n">
        <f aca="false">Sens!$E$5958/Sens!$E$5936</f>
        <v>0.374072166056273</v>
      </c>
      <c r="F5959" s="13" t="n">
        <f aca="false">Sens!$F$5958/Sens!$F$5936</f>
        <v>0.553219320710057</v>
      </c>
      <c r="G5959" s="13" t="n">
        <f aca="false">Sens!$G$5958/Sens!$G$5936</f>
        <v>0.488270041527512</v>
      </c>
      <c r="H5959" s="13" t="n">
        <f aca="false">Sens!$H$5958/Sens!$H$5936</f>
        <v>0.435229086816882</v>
      </c>
      <c r="I5959" s="13" t="n">
        <f aca="false">Sens!$I$5958/Sens!$I$5936</f>
        <v>0.364954592421095</v>
      </c>
      <c r="J5959" s="13" t="n">
        <f aca="false">Sens!$J$5958/Sens!$J$5936</f>
        <v>0.330438308582232</v>
      </c>
      <c r="K5959" s="13" t="n">
        <f aca="false">Sens!$K$5958/Sens!$K$5936</f>
        <v>0.2916589289528</v>
      </c>
      <c r="L5959" s="13" t="n">
        <f aca="false">Sens!$L$5958/Sens!$L$5936</f>
        <v>0.268199200593258</v>
      </c>
      <c r="M5959" s="13" t="n">
        <f aca="false">Sens!$M$5958/Sens!$M$5936</f>
        <v>0.244854995033574</v>
      </c>
      <c r="N5959" s="13" t="n">
        <f aca="false">Sens!$N$5958/Sens!$N$5936</f>
        <v>0.551227795793364</v>
      </c>
      <c r="O5959" s="13" t="n">
        <f aca="false">Sens!$O$5958/Sens!$O$5936</f>
        <v>0.656132068597002</v>
      </c>
    </row>
    <row r="5960" customFormat="false" ht="17.15" hidden="false" customHeight="false" outlineLevel="0" collapsed="false">
      <c r="A5960" s="5" t="s">
        <v>645</v>
      </c>
      <c r="B5960" s="0" t="s">
        <v>86</v>
      </c>
      <c r="C5960" s="39" t="n">
        <v>0</v>
      </c>
      <c r="D5960" s="39" t="n">
        <v>0</v>
      </c>
      <c r="E5960" s="39" t="n">
        <v>0</v>
      </c>
      <c r="F5960" s="38" t="n">
        <f aca="false">IF(internal_ai_reading=2,1,0)*(1-ext_sh)/ext_sh*(mw_open*he_open+Sens!$F$5934*Sens!$F$5931)*Sens!$F$5920/1000</f>
        <v>3.77122048175818</v>
      </c>
      <c r="G5960" s="38" t="n">
        <f aca="false">Sens!$E$5960+Sens!$F$5960</f>
        <v>3.77122048175818</v>
      </c>
      <c r="H5960" s="38" t="n">
        <f aca="false">IF(internal_ai_reading=2,1,0)*(1-ext_sh)/ext_sh*(mw_open*he_open+Sens!$H$5934*Sens!$H$5931)*Sens!$H$5920/1000</f>
        <v>15.1635543609893</v>
      </c>
      <c r="I5960" s="38" t="n">
        <f aca="false">IF(internal_ai_reading=2,1,0)*(1-ext_sh)/ext_sh*(mw_open*he_open+Sens!$I$5934*Sens!$I$5931)*Sens!$I$5920/1000</f>
        <v>25.5818843619889</v>
      </c>
      <c r="J5960" s="38" t="n">
        <f aca="false">IF(internal_ai_reading=2,1,0)*(1-ext_sh)/ext_sh*(mw_open*he_open+Sens!$J$5934*Sens!$J$5931)*Sens!$J$5920/1000</f>
        <v>36.0465624179122</v>
      </c>
      <c r="K5960" s="38" t="n">
        <f aca="false">IF(internal_ai_reading=2,1,0)*(1-ext_sh)/ext_sh*(mw_open*he_open+Sens!$K$5934*Sens!$K$5931)*Sens!$K$5920/1000</f>
        <v>44.9741164026038</v>
      </c>
      <c r="L5960" s="38" t="n">
        <f aca="false">IF(internal_ai_reading=2,1,0)*(1-ext_sh)/ext_sh*(mw_open*he_open+Sens!$L$5934*Sens!$L$5931)*Sens!$L$5920/1000</f>
        <v>50.8413488057813</v>
      </c>
      <c r="M5960" s="38" t="n">
        <f aca="false">IF(internal_ai_reading=2,1,0)*(1-ext_sh)/ext_sh*(mw_open*he_open+Sens!$M$5934*Sens!$M$5931)*Sens!$M$5920/1000</f>
        <v>53.6407214274315</v>
      </c>
      <c r="N5960" s="39" t="n">
        <v>0</v>
      </c>
      <c r="O5960" s="39" t="n">
        <v>0</v>
      </c>
      <c r="P5960" s="8" t="s">
        <v>646</v>
      </c>
    </row>
    <row r="5961" customFormat="false" ht="17.15" hidden="false" customHeight="false" outlineLevel="0" collapsed="false">
      <c r="A5961" s="5" t="s">
        <v>647</v>
      </c>
      <c r="B5961" s="0" t="s">
        <v>86</v>
      </c>
      <c r="C5961" s="38" t="n">
        <f aca="false">(1-ext_sh)*(Sens!$C$5938+Sens!$C$5954)</f>
        <v>0.169206631859174</v>
      </c>
      <c r="D5961" s="38" t="n">
        <f aca="false">(1-ext_sh)*(Sens!$D$5938+Sens!$D$5954)</f>
        <v>0.828129837730442</v>
      </c>
      <c r="E5961" s="38" t="n">
        <f aca="false">(1-ext_sh)*(Sens!$E$5938+Sens!$E$5954)</f>
        <v>1.33171670102377</v>
      </c>
      <c r="F5961" s="38" t="n">
        <f aca="false">(1-ext_sh)*(Sens!$F$5938+Sens!$F$5954)</f>
        <v>1.67134326207455</v>
      </c>
      <c r="G5961" s="38" t="n">
        <f aca="false">(1-ext_sh)*(Sens!$G$5938+Sens!$G$5954)</f>
        <v>3.00305996309832</v>
      </c>
      <c r="H5961" s="38" t="n">
        <f aca="false">(1-ext_sh)*(Sens!$H$5938+Sens!$H$5954)</f>
        <v>8.49498626530648</v>
      </c>
      <c r="I5961" s="38" t="n">
        <f aca="false">(1-ext_sh)*(Sens!$I$5938+Sens!$I$5954)</f>
        <v>16.1148644972155</v>
      </c>
      <c r="J5961" s="38" t="n">
        <f aca="false">(1-ext_sh)*(Sens!$J$5938+Sens!$J$5954)</f>
        <v>23.9410833819812</v>
      </c>
      <c r="K5961" s="38" t="n">
        <f aca="false">(1-ext_sh)*(Sens!$K$5938+Sens!$K$5954)</f>
        <v>31.6005331796453</v>
      </c>
      <c r="L5961" s="38" t="n">
        <f aca="false">(1-ext_sh)*(Sens!$L$5938+Sens!$L$5954)</f>
        <v>36.9061965404496</v>
      </c>
      <c r="M5961" s="38" t="n">
        <f aca="false">(1-ext_sh)*(Sens!$M$5938+Sens!$M$5954)</f>
        <v>40.1804051073808</v>
      </c>
      <c r="N5961" s="38" t="n">
        <f aca="false">(1-ext_sh)*(Sens!$N$5938+Sens!$N$5954)</f>
        <v>0.34177588266428</v>
      </c>
      <c r="O5961" s="38" t="n">
        <f aca="false">(1-ext_sh)*(Sens!$O$5938+Sens!$O$5954)</f>
        <v>0.486353955066162</v>
      </c>
    </row>
    <row r="5962" customFormat="false" ht="17.15" hidden="false" customHeight="false" outlineLevel="0" collapsed="false">
      <c r="A5962" s="0" t="s">
        <v>648</v>
      </c>
      <c r="B5962" s="0" t="s">
        <v>86</v>
      </c>
      <c r="C5962" s="38" t="n">
        <f aca="false">Q!$D$24</f>
        <v>39.834</v>
      </c>
      <c r="D5962" s="38" t="n">
        <f aca="false">Q!$E$24</f>
        <v>45.606</v>
      </c>
      <c r="E5962" s="38" t="n">
        <f aca="false">Q!$P$24</f>
        <v>30.782</v>
      </c>
      <c r="N5962" s="38" t="n">
        <f aca="false">Q!$N$24</f>
        <v>21.707</v>
      </c>
      <c r="O5962" s="38" t="n">
        <f aca="false">Q!$O$24</f>
        <v>23.899</v>
      </c>
    </row>
    <row r="5963" customFormat="false" ht="17.15" hidden="false" customHeight="false" outlineLevel="0" collapsed="false">
      <c r="A5963" s="0" t="s">
        <v>649</v>
      </c>
      <c r="B5963" s="0" t="s">
        <v>86</v>
      </c>
      <c r="C5963" s="38" t="n">
        <f aca="false">Sens!$C$5962-Sens!$C$5958</f>
        <v>38.1898211704631</v>
      </c>
      <c r="D5963" s="38" t="n">
        <f aca="false">Sens!$D$5962-Sens!$D$5958</f>
        <v>40.2147492622706</v>
      </c>
      <c r="E5963" s="38" t="n">
        <f aca="false">Sens!$E$5962-Sens!$E$5958</f>
        <v>27.5985138285251</v>
      </c>
      <c r="F5963" s="38" t="n">
        <f aca="false">Sens!$F$5940*Sens!$F$5964</f>
        <v>25.5484769754606</v>
      </c>
      <c r="G5963" s="38" t="n">
        <f aca="false">Sens!$E$5963+Sens!$F$5963</f>
        <v>53.1469908039857</v>
      </c>
      <c r="H5963" s="38" t="n">
        <f aca="false">Sens!$H$5940*Sens!$H$5964</f>
        <v>57.3189525076539</v>
      </c>
      <c r="I5963" s="38" t="n">
        <f aca="false">Sens!$I$5940*Sens!$I$5964</f>
        <v>63.6385627021087</v>
      </c>
      <c r="J5963" s="38" t="n">
        <f aca="false">Sens!$J$5940*Sens!$J$5964</f>
        <v>69.6922896066105</v>
      </c>
      <c r="K5963" s="38" t="n">
        <f aca="false">Sens!$K$5940*Sens!$K$5964</f>
        <v>75.2676727751394</v>
      </c>
      <c r="L5963" s="38" t="n">
        <f aca="false">Sens!$L$5940*Sens!$L$5964</f>
        <v>81.2890865971505</v>
      </c>
      <c r="M5963" s="38" t="n">
        <f aca="false">Sens!$M$5940*Sens!$M$5964</f>
        <v>87.7922135249226</v>
      </c>
      <c r="N5963" s="38" t="n">
        <f aca="false">Sens!$N$5962-Sens!$N$5958</f>
        <v>20.0277839996292</v>
      </c>
      <c r="O5963" s="38" t="n">
        <f aca="false">Sens!$O$5962-Sens!$O$5958</f>
        <v>20.1869652626414</v>
      </c>
      <c r="P5963" s="5" t="s">
        <v>650</v>
      </c>
    </row>
    <row r="5964" customFormat="false" ht="17.15" hidden="false" customHeight="false" outlineLevel="0" collapsed="false">
      <c r="A5964" s="0" t="s">
        <v>651</v>
      </c>
      <c r="B5964" s="0" t="s">
        <v>52</v>
      </c>
      <c r="C5964" s="13" t="n">
        <f aca="false">Sens!$C$5963/Sens!$C$5940</f>
        <v>0.362900395443635</v>
      </c>
      <c r="D5964" s="13" t="n">
        <f aca="false">Sens!$D$5963/Sens!$D$5940</f>
        <v>0.335063632425483</v>
      </c>
      <c r="E5964" s="13" t="n">
        <f aca="false">Sens!$E$5963/Sens!$E$5940</f>
        <v>0.387028992698038</v>
      </c>
      <c r="F5964" s="13" t="n">
        <f aca="false">(Sens!$O$5963+Sens!$E$5963)/(Sens!$O$5940+Sens!$E$5940)</f>
        <v>0.355980580118587</v>
      </c>
      <c r="G5964" s="13" t="n">
        <f aca="false">Sens!$G$5963/Sens!$G$5940</f>
        <v>0.371454804780916</v>
      </c>
      <c r="H5964" s="13" t="n">
        <f aca="false">Sens!$F$5964</f>
        <v>0.355980580118587</v>
      </c>
      <c r="I5964" s="13" t="n">
        <f aca="false">Sens!$F$5964</f>
        <v>0.355980580118587</v>
      </c>
      <c r="J5964" s="13" t="n">
        <f aca="false">Sens!$F$5964</f>
        <v>0.355980580118587</v>
      </c>
      <c r="K5964" s="13" t="n">
        <f aca="false">Sens!$F$5964</f>
        <v>0.355980580118587</v>
      </c>
      <c r="L5964" s="13" t="n">
        <f aca="false">Sens!$F$5964</f>
        <v>0.355980580118587</v>
      </c>
      <c r="M5964" s="13" t="n">
        <f aca="false">Sens!$F$5964</f>
        <v>0.355980580118587</v>
      </c>
      <c r="N5964" s="13" t="n">
        <f aca="false">Sens!$N$5963/Sens!$N$5940</f>
        <v>0.35078810535806</v>
      </c>
      <c r="O5964" s="13" t="n">
        <f aca="false">Sens!$O$5963/Sens!$O$5940</f>
        <v>0.320796939361619</v>
      </c>
      <c r="P5964" s="8" t="s">
        <v>652</v>
      </c>
    </row>
    <row r="5965" customFormat="false" ht="17.15" hidden="false" customHeight="false" outlineLevel="0" collapsed="false">
      <c r="A5965" s="0" t="s">
        <v>653</v>
      </c>
      <c r="B5965" s="0" t="s">
        <v>52</v>
      </c>
      <c r="D5965" s="13" t="n">
        <f aca="false">(Q!$E$31-ext_sh*Sens!$D$5954)/Sens!$D$5940</f>
        <v>0.167180325480118</v>
      </c>
    </row>
    <row r="5966" customFormat="false" ht="17.15" hidden="false" customHeight="false" outlineLevel="0" collapsed="false">
      <c r="A5966" s="0" t="s">
        <v>654</v>
      </c>
      <c r="B5966" s="0" t="s">
        <v>86</v>
      </c>
      <c r="C5966" s="38" t="n">
        <f aca="false">Q!$D$31</f>
        <v>13.32</v>
      </c>
      <c r="D5966" s="38" t="n">
        <f aca="false">Q!$E$31</f>
        <v>21.45</v>
      </c>
      <c r="E5966" s="38" t="n">
        <f aca="false">Q!$P$31</f>
        <v>15.353</v>
      </c>
      <c r="F5966" s="38" t="n">
        <f aca="false">ext_sh*Sens!$F$5954+Sens!$D$5965*Sens!$F$5940</f>
        <v>15.4404120185306</v>
      </c>
      <c r="G5966" s="38" t="n">
        <f aca="false">Sens!$E$5966+Sens!$F$5966</f>
        <v>30.7934120185306</v>
      </c>
      <c r="H5966" s="38" t="n">
        <f aca="false">ext_sh*Sens!$H$5954+Sens!$D$5965*Sens!$H$5940</f>
        <v>48.250114371455</v>
      </c>
      <c r="I5966" s="38" t="n">
        <f aca="false">ext_sh*Sens!$I$5954+Sens!$D$5965*Sens!$I$5940</f>
        <v>73.3965146995963</v>
      </c>
      <c r="J5966" s="38" t="n">
        <f aca="false">ext_sh*Sens!$J$5954+Sens!$D$5965*Sens!$J$5940</f>
        <v>99.22806138309</v>
      </c>
      <c r="K5966" s="38" t="n">
        <f aca="false">ext_sh*Sens!$K$5954+Sens!$D$5965*Sens!$K$5940</f>
        <v>125.386627452856</v>
      </c>
      <c r="L5966" s="38" t="n">
        <f aca="false">ext_sh*Sens!$L$5954+Sens!$D$5965*Sens!$L$5940</f>
        <v>144.77239043275</v>
      </c>
      <c r="M5966" s="38" t="n">
        <f aca="false">ext_sh*Sens!$M$5954+Sens!$D$5965*Sens!$M$5940</f>
        <v>158.693930910983</v>
      </c>
      <c r="N5966" s="38" t="n">
        <f aca="false">Q!$N$31</f>
        <v>9.234</v>
      </c>
      <c r="O5966" s="38" t="n">
        <f aca="false">Q!$O$31</f>
        <v>12.216</v>
      </c>
    </row>
    <row r="5967" customFormat="false" ht="17.15" hidden="false" customHeight="false" outlineLevel="0" collapsed="false">
      <c r="A5967" s="1" t="s">
        <v>655</v>
      </c>
    </row>
    <row r="5968" customFormat="false" ht="17.15" hidden="false" customHeight="false" outlineLevel="0" collapsed="false">
      <c r="A5968" s="15" t="s">
        <v>656</v>
      </c>
      <c r="B5968" s="14" t="s">
        <v>52</v>
      </c>
      <c r="C5968" s="14"/>
      <c r="D5968" s="14"/>
      <c r="E5968" s="14"/>
      <c r="F5968" s="14"/>
      <c r="G5968" s="17" t="n">
        <f aca="false">Sens!$G$5958*(1-tax)/(ext_sh*(Sens!$D$5955+Sens!$G$5955)/2)</f>
        <v>0.0966870495301478</v>
      </c>
      <c r="H5968" s="17" t="n">
        <f aca="false">Sens!$H$5958*(1-tax)/(ext_sh*(Sens!$G$5955+Sens!$H$5955)/2)</f>
        <v>0.100492020334136</v>
      </c>
      <c r="I5968" s="17" t="n">
        <f aca="false">Sens!$I$5958*(1-tax)/(ext_sh*(Sens!$H$5955+Sens!$I$5955)/2)</f>
        <v>0.0889392292218236</v>
      </c>
      <c r="J5968" s="17" t="n">
        <f aca="false">Sens!$J$5958*(1-tax)/(ext_sh*(Sens!$I$5955+Sens!$J$5955)/2)</f>
        <v>0.0858364613777012</v>
      </c>
      <c r="K5968" s="17" t="n">
        <f aca="false">Sens!$K$5958*(1-tax)/(ext_sh*(Sens!$J$5955+Sens!$K$5955)/2)</f>
        <v>0.08227162714687</v>
      </c>
      <c r="L5968" s="17" t="n">
        <f aca="false">Sens!$L$5958*(1-tax)/(ext_sh*(Sens!$K$5955+Sens!$L$5955)/2)</f>
        <v>0.0828942732763872</v>
      </c>
      <c r="M5968" s="17" t="n">
        <f aca="false">Sens!$M$5958*(1-tax)/(ext_sh*(Sens!$L$5955+Sens!$M$5955)/2)</f>
        <v>0.0807945482347635</v>
      </c>
      <c r="N5968" s="14"/>
      <c r="O5968" s="14"/>
      <c r="P5968" s="8" t="s">
        <v>657</v>
      </c>
    </row>
    <row r="5969" customFormat="false" ht="17.15" hidden="false" customHeight="false" outlineLevel="0" collapsed="false">
      <c r="A5969" s="5" t="s">
        <v>658</v>
      </c>
      <c r="B5969" s="0" t="s">
        <v>57</v>
      </c>
      <c r="H5969" s="36" t="n">
        <f aca="false">Sens!$H$5936*1000/(mw_open*he_open+Sens!$H$5934*Sens!$H$5931)</f>
        <v>0.991949006767191</v>
      </c>
      <c r="I5969" s="36" t="n">
        <f aca="false">Sens!$I$5936*1000/(mw_open*he_open+Sens!$I$5934*Sens!$I$5931)</f>
        <v>0.991949006767191</v>
      </c>
      <c r="J5969" s="36" t="n">
        <f aca="false">Sens!$J$5936*1000/(mw_open*he_open+Sens!$J$5934*Sens!$J$5931)</f>
        <v>0.991949006767191</v>
      </c>
      <c r="K5969" s="36" t="n">
        <f aca="false">Sens!$K$5936*1000/(mw_open*he_open+Sens!$K$5934*Sens!$K$5931)</f>
        <v>0.991949006767191</v>
      </c>
      <c r="L5969" s="36" t="n">
        <f aca="false">Sens!$L$5936*1000/(mw_open*he_open+Sens!$L$5934*Sens!$L$5931)</f>
        <v>0.991949006767191</v>
      </c>
      <c r="M5969" s="36" t="n">
        <f aca="false">Sens!$M$5936*1000/(mw_open*he_open+Sens!$M$5934*Sens!$M$5931)</f>
        <v>0.991949006767191</v>
      </c>
    </row>
    <row r="5970" customFormat="false" ht="17.15" hidden="false" customHeight="false" outlineLevel="0" collapsed="false">
      <c r="A5970" s="5" t="s">
        <v>659</v>
      </c>
      <c r="B5970" s="0" t="s">
        <v>57</v>
      </c>
      <c r="H5970" s="36" t="n">
        <f aca="false">Sens!$H$5969*(Sens!$H$5936+wacc*ext_sh*(Sens!$G$5955+Sens!$H$5955)/2/(1-tax)-Sens!$H$5958)/Sens!$H$5936</f>
        <v>1.04696246089529</v>
      </c>
      <c r="I5970" s="36" t="n">
        <f aca="false">Sens!$I$5969*(Sens!$I$5936+wacc*ext_sh*(Sens!$H$5955+Sens!$I$5955)/2/(1-tax)-Sens!$I$5958)/Sens!$I$5936</f>
        <v>1.09109607940198</v>
      </c>
      <c r="J5970" s="36" t="n">
        <f aca="false">Sens!$J$5969*(Sens!$J$5936+wacc*ext_sh*(Sens!$I$5955+Sens!$J$5955)/2/(1-tax)-Sens!$J$5958)/Sens!$J$5936</f>
        <v>1.09681234280071</v>
      </c>
      <c r="K5970" s="36" t="n">
        <f aca="false">Sens!$K$5969*(Sens!$K$5936+wacc*ext_sh*(Sens!$J$5955+Sens!$K$5955)/2/(1-tax)-Sens!$K$5958)/Sens!$K$5936</f>
        <v>1.10105220068984</v>
      </c>
      <c r="L5970" s="36" t="n">
        <f aca="false">Sens!$L$5969*(Sens!$L$5936+wacc*ext_sh*(Sens!$K$5955+Sens!$L$5955)/2/(1-tax)-Sens!$L$5958)/Sens!$L$5936</f>
        <v>1.08952452639895</v>
      </c>
      <c r="M5970" s="36" t="n">
        <f aca="false">Sens!$M$5969*(Sens!$M$5936+wacc*ext_sh*(Sens!$L$5955+Sens!$M$5955)/2/(1-tax)-Sens!$M$5958)/Sens!$M$5936</f>
        <v>1.08965878549519</v>
      </c>
    </row>
    <row r="5971" customFormat="false" ht="17.15" hidden="false" customHeight="false" outlineLevel="0" collapsed="false">
      <c r="A5971" s="5" t="s">
        <v>660</v>
      </c>
      <c r="B5971" s="0" t="s">
        <v>52</v>
      </c>
      <c r="C5971" s="13" t="n">
        <f aca="false">Sens!$C$5937/tk_pq</f>
        <v>0.195316432429398</v>
      </c>
      <c r="D5971" s="13" t="n">
        <f aca="false">Sens!$D$5937/tk_pq</f>
        <v>0.195316432429398</v>
      </c>
      <c r="E5971" s="13" t="n">
        <f aca="false">Sens!$E$5937/tk_pq</f>
        <v>0.195316432429398</v>
      </c>
      <c r="F5971" s="13" t="n">
        <f aca="false">Sens!$F$5937/tk_pq</f>
        <v>0.202241827274866</v>
      </c>
      <c r="G5971" s="13" t="n">
        <f aca="false">Sens!$G$5937/tk_pq</f>
        <v>0.199675016194063</v>
      </c>
      <c r="H5971" s="13" t="n">
        <f aca="false">Sens!$H$5937/tk_pq</f>
        <v>0.212647947710325</v>
      </c>
      <c r="I5971" s="13" t="n">
        <f aca="false">Sens!$I$5937/tk_pq</f>
        <v>0.219285125475351</v>
      </c>
      <c r="J5971" s="13" t="n">
        <f aca="false">Sens!$J$5937/tk_pq</f>
        <v>0.222492493217189</v>
      </c>
      <c r="K5971" s="13" t="n">
        <f aca="false">Sens!$K$5937/tk_pq</f>
        <v>0.224053502812094</v>
      </c>
      <c r="L5971" s="13" t="n">
        <f aca="false">Sens!$L$5937/tk_pq</f>
        <v>0.224786916785614</v>
      </c>
      <c r="M5971" s="13" t="n">
        <f aca="false">Sens!$M$5937/tk_pq</f>
        <v>0.225048671566937</v>
      </c>
      <c r="N5971" s="13" t="n">
        <f aca="false">Sens!$N$5937/tk_pq</f>
        <v>0.195316432429398</v>
      </c>
      <c r="O5971" s="13" t="n">
        <f aca="false">Sens!$O$5937/tk_pq</f>
        <v>0.195316432429398</v>
      </c>
      <c r="P5971" s="5" t="s">
        <v>661</v>
      </c>
    </row>
    <row r="5974" customFormat="false" ht="17.15" hidden="false" customHeight="false" outlineLevel="0" collapsed="false">
      <c r="A5974" s="1" t="s">
        <v>690</v>
      </c>
    </row>
    <row r="5975" customFormat="false" ht="17.15" hidden="false" customHeight="false" outlineLevel="0" collapsed="false">
      <c r="A5975" s="0" t="s">
        <v>691</v>
      </c>
      <c r="B5975" s="0" t="s">
        <v>86</v>
      </c>
      <c r="C5975" s="38" t="n">
        <f aca="false">Sens!$C$5936</f>
        <v>2.32100535697364</v>
      </c>
      <c r="D5975" s="38" t="n">
        <f aca="false">Sens!$D$5936</f>
        <v>8.70377008865116</v>
      </c>
      <c r="E5975" s="38" t="n">
        <f aca="false">Sens!$E$5936</f>
        <v>8.51035297557002</v>
      </c>
      <c r="F5975" s="38" t="n">
        <f aca="false">Sens!$F$5936</f>
        <v>14.9634336447205</v>
      </c>
      <c r="G5975" s="38" t="n">
        <f aca="false">Sens!$G$5936</f>
        <v>23.4737866202905</v>
      </c>
      <c r="H5975" s="38" t="n">
        <f aca="false">Sens!$H$5936</f>
        <v>60.1658907497746</v>
      </c>
      <c r="I5975" s="38" t="n">
        <f aca="false">Sens!$I$5936</f>
        <v>101.503699136432</v>
      </c>
      <c r="J5975" s="38" t="n">
        <f aca="false">Sens!$J$5936</f>
        <v>143.025407151278</v>
      </c>
      <c r="K5975" s="38" t="n">
        <f aca="false">Sens!$K$5936</f>
        <v>178.44812038318</v>
      </c>
      <c r="L5975" s="38" t="n">
        <f aca="false">Sens!$L$5936</f>
        <v>201.728101802396</v>
      </c>
      <c r="M5975" s="38" t="n">
        <f aca="false">Sens!$M$5936</f>
        <v>212.835441368865</v>
      </c>
      <c r="N5975" s="38" t="n">
        <f aca="false">Sens!$N$5936</f>
        <v>3.04631953102791</v>
      </c>
      <c r="O5975" s="38" t="n">
        <f aca="false">Sens!$O$5936</f>
        <v>5.65745055762326</v>
      </c>
      <c r="P5975" s="8" t="s">
        <v>692</v>
      </c>
    </row>
    <row r="5976" customFormat="false" ht="17.15" hidden="false" customHeight="false" outlineLevel="0" collapsed="false">
      <c r="A5976" s="0" t="s">
        <v>693</v>
      </c>
      <c r="B5976" s="0" t="s">
        <v>86</v>
      </c>
      <c r="C5976" s="38" t="n">
        <f aca="false">Sens!$C$5940</f>
        <v>105.234994643026</v>
      </c>
      <c r="D5976" s="38" t="n">
        <f aca="false">Sens!$D$5940</f>
        <v>120.021229911349</v>
      </c>
      <c r="E5976" s="38" t="n">
        <f aca="false">Sens!$E$5940</f>
        <v>71.30864702443</v>
      </c>
      <c r="F5976" s="38" t="n">
        <f aca="false">Sens!$F$5940</f>
        <v>71.7692997942464</v>
      </c>
      <c r="G5976" s="38" t="n">
        <f aca="false">Sens!$G$5940</f>
        <v>143.077946818676</v>
      </c>
      <c r="H5976" s="38" t="n">
        <f aca="false">Sens!$H$5940</f>
        <v>161.017077079203</v>
      </c>
      <c r="I5976" s="38" t="n">
        <f aca="false">Sens!$I$5940</f>
        <v>178.769759521457</v>
      </c>
      <c r="J5976" s="38" t="n">
        <f aca="false">Sens!$J$5940</f>
        <v>195.775538045907</v>
      </c>
      <c r="K5976" s="38" t="n">
        <f aca="false">Sens!$K$5940</f>
        <v>211.43758108958</v>
      </c>
      <c r="L5976" s="38" t="n">
        <f aca="false">Sens!$L$5940</f>
        <v>228.352587576746</v>
      </c>
      <c r="M5976" s="38" t="n">
        <f aca="false">Sens!$M$5940</f>
        <v>246.620794582886</v>
      </c>
      <c r="N5976" s="38" t="n">
        <f aca="false">Sens!$N$5940</f>
        <v>57.0936804689721</v>
      </c>
      <c r="O5976" s="38" t="n">
        <f aca="false">Sens!$O$5940</f>
        <v>62.9275494423768</v>
      </c>
      <c r="P5976" s="8" t="s">
        <v>692</v>
      </c>
    </row>
    <row r="5977" customFormat="false" ht="17.15" hidden="false" customHeight="false" outlineLevel="0" collapsed="false">
      <c r="A5977" s="1" t="s">
        <v>516</v>
      </c>
      <c r="B5977" s="8" t="s">
        <v>86</v>
      </c>
      <c r="C5977" s="38" t="n">
        <f aca="false">Q!$D$7</f>
        <v>107.556</v>
      </c>
      <c r="D5977" s="38" t="n">
        <f aca="false">Q!$E$7</f>
        <v>128.725</v>
      </c>
      <c r="E5977" s="38" t="n">
        <f aca="false">Q!$P$7</f>
        <v>79.819</v>
      </c>
      <c r="F5977" s="38" t="n">
        <f aca="false">Sens!$F$5975+Sens!$F$5976</f>
        <v>86.7327334389669</v>
      </c>
      <c r="G5977" s="38" t="n">
        <f aca="false">Sens!$G$5975+Sens!$G$5976</f>
        <v>166.551733438967</v>
      </c>
      <c r="H5977" s="38" t="n">
        <f aca="false">Sens!$H$5975+Sens!$H$5976</f>
        <v>221.182967828978</v>
      </c>
      <c r="I5977" s="38" t="n">
        <f aca="false">Sens!$I$5975+Sens!$I$5976</f>
        <v>280.27345865789</v>
      </c>
      <c r="J5977" s="38" t="n">
        <f aca="false">Sens!$J$5975+Sens!$J$5976</f>
        <v>338.800945197185</v>
      </c>
      <c r="K5977" s="38" t="n">
        <f aca="false">Sens!$K$5975+Sens!$K$5976</f>
        <v>389.88570147276</v>
      </c>
      <c r="L5977" s="38" t="n">
        <f aca="false">Sens!$L$5975+Sens!$L$5976</f>
        <v>430.080689379143</v>
      </c>
      <c r="M5977" s="38" t="n">
        <f aca="false">Sens!$M$5975+Sens!$M$5976</f>
        <v>459.456235951751</v>
      </c>
      <c r="N5977" s="38" t="n">
        <f aca="false">Q!$N$7</f>
        <v>60.14</v>
      </c>
      <c r="O5977" s="38" t="n">
        <f aca="false">Q!$O$7</f>
        <v>68.585</v>
      </c>
      <c r="P5977" s="5" t="s">
        <v>694</v>
      </c>
    </row>
    <row r="5978" customFormat="false" ht="15" hidden="false" customHeight="false" outlineLevel="0" collapsed="false">
      <c r="A5978" s="3" t="s">
        <v>695</v>
      </c>
      <c r="B5978" s="8" t="s">
        <v>86</v>
      </c>
      <c r="C5978" s="38" t="n">
        <f aca="false">Q!$D$8</f>
        <v>637.959</v>
      </c>
      <c r="D5978" s="38" t="n">
        <f aca="false">Q!$E$8</f>
        <v>716.924</v>
      </c>
      <c r="E5978" s="38" t="n">
        <f aca="false">Q!$P$8</f>
        <v>382.125</v>
      </c>
      <c r="F5978" s="38" t="n">
        <f aca="false">Sens!$F$5908+Sens!$F$5977</f>
        <v>435.780975084504</v>
      </c>
      <c r="G5978" s="38" t="n">
        <f aca="false">Sens!$G$5908+Sens!$G$5977</f>
        <v>817.905975084504</v>
      </c>
      <c r="H5978" s="38" t="n">
        <f aca="false">Sens!$H$5908+Sens!$H$5977</f>
        <v>942.279857350364</v>
      </c>
      <c r="I5978" s="38" t="n">
        <f aca="false">Sens!$I$5908+Sens!$I$5977</f>
        <v>1068.80284981042</v>
      </c>
      <c r="J5978" s="38" t="n">
        <f aca="false">Sens!$J$5908+Sens!$J$5977</f>
        <v>1189.90935093863</v>
      </c>
      <c r="K5978" s="38" t="n">
        <f aca="false">Sens!$K$5908+Sens!$K$5977</f>
        <v>1296.06215690385</v>
      </c>
      <c r="L5978" s="38" t="n">
        <f aca="false">Sens!$L$5908+Sens!$L$5977</f>
        <v>1395.17379585473</v>
      </c>
      <c r="M5978" s="38" t="n">
        <f aca="false">Sens!$M$5908+Sens!$M$5977</f>
        <v>1487.60414389864</v>
      </c>
      <c r="N5978" s="38" t="n">
        <f aca="false">Q!$N$8</f>
        <v>323.369</v>
      </c>
      <c r="O5978" s="38" t="n">
        <f aca="false">Q!$O$8</f>
        <v>393.555</v>
      </c>
    </row>
    <row r="5979" customFormat="false" ht="17.15" hidden="false" customHeight="false" outlineLevel="0" collapsed="false">
      <c r="A5979" s="24" t="s">
        <v>703</v>
      </c>
      <c r="B5979" s="25" t="s">
        <v>86</v>
      </c>
      <c r="C5979" s="41" t="n">
        <f aca="false">Sens!$C$5908-(Sens!$C$5910+Sens!$C$5911)</f>
        <v>0</v>
      </c>
      <c r="D5979" s="41" t="n">
        <f aca="false">Sens!$D$5908-(Sens!$D$5910+Sens!$D$5911)</f>
        <v>0</v>
      </c>
      <c r="E5979" s="41" t="n">
        <f aca="false">Sens!$E$5908-(Sens!$E$5910+Sens!$E$5911)</f>
        <v>0</v>
      </c>
      <c r="F5979" s="41" t="n">
        <f aca="false">Sens!$F$5908-(Sens!$F$5910+Sens!$F$5911)</f>
        <v>0</v>
      </c>
      <c r="G5979" s="41" t="n">
        <f aca="false">Sens!$G$5908-(Sens!$G$5910+Sens!$G$5911)</f>
        <v>0</v>
      </c>
      <c r="H5979" s="41" t="n">
        <f aca="false">Sens!$H$5908-(Sens!$H$5910+Sens!$H$5911)</f>
        <v>0</v>
      </c>
      <c r="I5979" s="41" t="n">
        <f aca="false">Sens!$I$5908-(Sens!$I$5910+Sens!$I$5911)</f>
        <v>0</v>
      </c>
      <c r="J5979" s="41" t="n">
        <f aca="false">Sens!$J$5908-(Sens!$J$5910+Sens!$J$5911)</f>
        <v>0</v>
      </c>
      <c r="K5979" s="41" t="n">
        <f aca="false">Sens!$K$5908-(Sens!$K$5910+Sens!$K$5911)</f>
        <v>0</v>
      </c>
      <c r="L5979" s="41" t="n">
        <f aca="false">Sens!$L$5908-(Sens!$L$5910+Sens!$L$5911)</f>
        <v>0</v>
      </c>
      <c r="M5979" s="41" t="n">
        <f aca="false">Sens!$M$5908-(Sens!$M$5910+Sens!$M$5911)</f>
        <v>0</v>
      </c>
      <c r="N5979" s="41" t="n">
        <f aca="false">Sens!$N$5908-(Sens!$N$5910+Sens!$N$5911)</f>
        <v>0</v>
      </c>
      <c r="O5979" s="41" t="n">
        <f aca="false">Sens!$O$5908-(Sens!$O$5910+Sens!$O$5911)</f>
        <v>0</v>
      </c>
    </row>
    <row r="5980" customFormat="false" ht="17.15" hidden="false" customHeight="false" outlineLevel="0" collapsed="false">
      <c r="A5980" s="24" t="s">
        <v>704</v>
      </c>
      <c r="B5980" s="25" t="s">
        <v>86</v>
      </c>
      <c r="C5980" s="41" t="n">
        <f aca="false">Sens!$C$5975+Sens!$C$5976-Sens!$C$5977</f>
        <v>0</v>
      </c>
      <c r="D5980" s="41" t="n">
        <f aca="false">Sens!$D$5975+Sens!$D$5976-Sens!$D$5977</f>
        <v>0</v>
      </c>
      <c r="E5980" s="41" t="n">
        <f aca="false">Sens!$E$5975+Sens!$E$5976-Sens!$E$5977</f>
        <v>0</v>
      </c>
      <c r="F5980" s="41" t="n">
        <f aca="false">Sens!$F$5975+Sens!$F$5976-Sens!$F$5977</f>
        <v>0</v>
      </c>
      <c r="G5980" s="41" t="n">
        <f aca="false">Sens!$G$5975+Sens!$G$5976-Sens!$G$5977</f>
        <v>0</v>
      </c>
      <c r="H5980" s="41" t="n">
        <f aca="false">Sens!$H$5975+Sens!$H$5976-Sens!$H$5977</f>
        <v>0</v>
      </c>
      <c r="I5980" s="41" t="n">
        <f aca="false">Sens!$I$5975+Sens!$I$5976-Sens!$I$5977</f>
        <v>0</v>
      </c>
      <c r="J5980" s="41" t="n">
        <f aca="false">Sens!$J$5975+Sens!$J$5976-Sens!$J$5977</f>
        <v>0</v>
      </c>
      <c r="K5980" s="41" t="n">
        <f aca="false">Sens!$K$5975+Sens!$K$5976-Sens!$K$5977</f>
        <v>0</v>
      </c>
      <c r="L5980" s="41" t="n">
        <f aca="false">Sens!$L$5975+Sens!$L$5976-Sens!$L$5977</f>
        <v>0</v>
      </c>
      <c r="M5980" s="41" t="n">
        <f aca="false">Sens!$M$5975+Sens!$M$5976-Sens!$M$5977</f>
        <v>0</v>
      </c>
      <c r="N5980" s="41" t="n">
        <f aca="false">Sens!$N$5975+Sens!$N$5976-Sens!$N$5977</f>
        <v>0</v>
      </c>
      <c r="O5980" s="41" t="n">
        <f aca="false">Sens!$O$5975+Sens!$O$5976-Sens!$O$5977</f>
        <v>0</v>
      </c>
    </row>
    <row r="5981" customFormat="false" ht="17.15" hidden="false" customHeight="false" outlineLevel="0" collapsed="false">
      <c r="A5981" s="24" t="s">
        <v>705</v>
      </c>
      <c r="B5981" s="25" t="s">
        <v>86</v>
      </c>
      <c r="C5981" s="41" t="n">
        <f aca="false">Sens!$C$5910+Sens!$C$5911+Sens!$C$5977-Sens!$C$5978</f>
        <v>0</v>
      </c>
      <c r="D5981" s="41" t="n">
        <f aca="false">Sens!$D$5910+Sens!$D$5911+Sens!$D$5977-Sens!$D$5978</f>
        <v>0</v>
      </c>
      <c r="E5981" s="41" t="n">
        <f aca="false">Sens!$E$5910+Sens!$E$5911+Sens!$E$5977-Sens!$E$5978</f>
        <v>0</v>
      </c>
      <c r="F5981" s="41" t="n">
        <f aca="false">Sens!$F$5910+Sens!$F$5911+Sens!$F$5977-Sens!$F$5978</f>
        <v>0</v>
      </c>
      <c r="G5981" s="41" t="n">
        <f aca="false">Sens!$G$5910+Sens!$G$5911+Sens!$G$5977-Sens!$G$5978</f>
        <v>0</v>
      </c>
      <c r="H5981" s="41" t="n">
        <f aca="false">Sens!$H$5910+Sens!$H$5911+Sens!$H$5977-Sens!$H$5978</f>
        <v>0</v>
      </c>
      <c r="I5981" s="41" t="n">
        <f aca="false">Sens!$I$5910+Sens!$I$5911+Sens!$I$5977-Sens!$I$5978</f>
        <v>0</v>
      </c>
      <c r="J5981" s="41" t="n">
        <f aca="false">Sens!$J$5910+Sens!$J$5911+Sens!$J$5977-Sens!$J$5978</f>
        <v>0</v>
      </c>
      <c r="K5981" s="41" t="n">
        <f aca="false">Sens!$K$5910+Sens!$K$5911+Sens!$K$5977-Sens!$K$5978</f>
        <v>0</v>
      </c>
      <c r="L5981" s="41" t="n">
        <f aca="false">Sens!$L$5910+Sens!$L$5911+Sens!$L$5977-Sens!$L$5978</f>
        <v>0</v>
      </c>
      <c r="M5981" s="41" t="n">
        <f aca="false">Sens!$M$5910+Sens!$M$5911+Sens!$M$5977-Sens!$M$5978</f>
        <v>0</v>
      </c>
      <c r="N5981" s="41" t="n">
        <f aca="false">Sens!$N$5910+Sens!$N$5911+Sens!$N$5977-Sens!$N$5978</f>
        <v>0</v>
      </c>
      <c r="O5981" s="41" t="n">
        <f aca="false">Sens!$O$5910+Sens!$O$5911+Sens!$O$5977-Sens!$O$5978</f>
        <v>0</v>
      </c>
    </row>
    <row r="5982" customFormat="false" ht="15" hidden="false" customHeight="false" outlineLevel="0" collapsed="false">
      <c r="A5982" s="5" t="s">
        <v>699</v>
      </c>
      <c r="B5982" s="0" t="s">
        <v>52</v>
      </c>
      <c r="G5982" s="13" t="n">
        <f aca="false">Sens!$G$5978/Sens!$D$5978-1</f>
        <v>0.140854504918937</v>
      </c>
      <c r="H5982" s="13" t="n">
        <f aca="false">Sens!$H$5978/Sens!$G$5978-1</f>
        <v>0.152063789793209</v>
      </c>
      <c r="I5982" s="13" t="n">
        <f aca="false">Sens!$I$5978/Sens!$H$5978-1</f>
        <v>0.134273264437417</v>
      </c>
      <c r="J5982" s="13" t="n">
        <f aca="false">Sens!$J$5978/Sens!$I$5978-1</f>
        <v>0.113310421234083</v>
      </c>
      <c r="K5982" s="13" t="n">
        <f aca="false">Sens!$K$5978/Sens!$J$5978-1</f>
        <v>0.0892108343223652</v>
      </c>
      <c r="L5982" s="13" t="n">
        <f aca="false">Sens!$L$5978/Sens!$K$5978-1</f>
        <v>0.076471362444261</v>
      </c>
      <c r="M5982" s="13" t="n">
        <f aca="false">Sens!$M$5978/Sens!$L$5978-1</f>
        <v>0.066250060256672</v>
      </c>
    </row>
    <row r="5983" customFormat="false" ht="17.15" hidden="false" customHeight="false" outlineLevel="0" collapsed="false">
      <c r="A5983" s="0" t="s">
        <v>700</v>
      </c>
      <c r="B5983" s="0" t="s">
        <v>52</v>
      </c>
      <c r="C5983" s="13" t="n">
        <f aca="false">Sens!$C$5977/Sens!$C$5978</f>
        <v>0.168593906504964</v>
      </c>
      <c r="D5983" s="13" t="n">
        <f aca="false">Sens!$D$5977/Sens!$D$5978</f>
        <v>0.179551807444025</v>
      </c>
      <c r="E5983" s="13" t="n">
        <f aca="false">Sens!$E$5977/Sens!$E$5978</f>
        <v>0.208881910369643</v>
      </c>
      <c r="F5983" s="13" t="n">
        <f aca="false">Sens!$F$5977/Sens!$F$5978</f>
        <v>0.199028269699356</v>
      </c>
      <c r="G5983" s="13" t="n">
        <f aca="false">Sens!$G$5977/Sens!$G$5978</f>
        <v>0.203631882529968</v>
      </c>
      <c r="H5983" s="13" t="n">
        <f aca="false">Sens!$H$5977/Sens!$H$5978</f>
        <v>0.234731715958496</v>
      </c>
      <c r="I5983" s="13" t="n">
        <f aca="false">Sens!$I$5977/Sens!$I$5978</f>
        <v>0.262231204480418</v>
      </c>
      <c r="J5983" s="13" t="n">
        <f aca="false">Sens!$J$5977/Sens!$J$5978</f>
        <v>0.284728366013706</v>
      </c>
      <c r="K5983" s="13" t="n">
        <f aca="false">Sens!$K$5977/Sens!$K$5978</f>
        <v>0.300823304959505</v>
      </c>
      <c r="L5983" s="13" t="n">
        <f aca="false">Sens!$L$5977/Sens!$L$5978</f>
        <v>0.308263164529735</v>
      </c>
      <c r="M5983" s="13" t="n">
        <f aca="false">Sens!$M$5977/Sens!$M$5978</f>
        <v>0.308856517936036</v>
      </c>
      <c r="N5983" s="13" t="n">
        <f aca="false">Sens!$N$5977/Sens!$N$5978</f>
        <v>0.185979484737251</v>
      </c>
      <c r="O5983" s="13" t="n">
        <f aca="false">Sens!$O$5977/Sens!$O$5978</f>
        <v>0.174270432341096</v>
      </c>
    </row>
    <row r="5984" customFormat="false" ht="17.15" hidden="false" customHeight="false" outlineLevel="0" collapsed="false">
      <c r="A5984" s="0" t="s">
        <v>701</v>
      </c>
      <c r="B5984" s="0" t="s">
        <v>52</v>
      </c>
      <c r="C5984" s="13" t="n">
        <f aca="false">Sens!$C$5975/Sens!$C$5977</f>
        <v>0.0215795060896058</v>
      </c>
      <c r="D5984" s="13" t="n">
        <f aca="false">Sens!$D$5975/Sens!$D$5977</f>
        <v>0.0676152269462122</v>
      </c>
      <c r="E5984" s="13" t="n">
        <f aca="false">Sens!$E$5975/Sens!$E$5977</f>
        <v>0.106620641395783</v>
      </c>
      <c r="F5984" s="13" t="n">
        <f aca="false">Sens!$F$5975/Sens!$F$5977</f>
        <v>0.172523487401099</v>
      </c>
      <c r="G5984" s="13" t="n">
        <f aca="false">Sens!$G$5975/Sens!$G$5977</f>
        <v>0.140939911795589</v>
      </c>
      <c r="H5984" s="13" t="n">
        <f aca="false">Sens!$H$5975/Sens!$H$5977</f>
        <v>0.272018642937714</v>
      </c>
      <c r="I5984" s="13" t="n">
        <f aca="false">Sens!$I$5975/Sens!$I$5977</f>
        <v>0.362159512436497</v>
      </c>
      <c r="J5984" s="13" t="n">
        <f aca="false">Sens!$J$5975/Sens!$J$5977</f>
        <v>0.422151735934609</v>
      </c>
      <c r="K5984" s="13" t="n">
        <f aca="false">Sens!$K$5975/Sens!$K$5977</f>
        <v>0.45769342068485</v>
      </c>
      <c r="L5984" s="13" t="n">
        <f aca="false">Sens!$L$5975/Sens!$L$5977</f>
        <v>0.469047103913472</v>
      </c>
      <c r="M5984" s="13" t="n">
        <f aca="false">Sens!$M$5975/Sens!$M$5977</f>
        <v>0.463233328258093</v>
      </c>
      <c r="N5984" s="13" t="n">
        <f aca="false">Sens!$N$5975/Sens!$N$5977</f>
        <v>0.0506537999838362</v>
      </c>
      <c r="O5984" s="13" t="n">
        <f aca="false">Sens!$O$5975/Sens!$O$5977</f>
        <v>0.0824881615167056</v>
      </c>
    </row>
    <row r="5987" customFormat="false" ht="19.4" hidden="false" customHeight="false" outlineLevel="0" collapsed="false">
      <c r="A5987" s="31" t="s">
        <v>1257</v>
      </c>
    </row>
    <row r="5988" customFormat="false" ht="17.15" hidden="false" customHeight="false" outlineLevel="0" collapsed="false">
      <c r="A5988" s="6" t="s">
        <v>16</v>
      </c>
      <c r="B5988" s="6" t="s">
        <v>17</v>
      </c>
      <c r="C5988" s="20" t="s">
        <v>497</v>
      </c>
      <c r="D5988" s="20" t="s">
        <v>498</v>
      </c>
      <c r="E5988" s="20" t="s">
        <v>580</v>
      </c>
      <c r="F5988" s="20" t="s">
        <v>581</v>
      </c>
      <c r="G5988" s="20" t="s">
        <v>582</v>
      </c>
      <c r="H5988" s="20" t="s">
        <v>583</v>
      </c>
      <c r="I5988" s="20" t="s">
        <v>584</v>
      </c>
      <c r="J5988" s="20" t="s">
        <v>585</v>
      </c>
      <c r="K5988" s="20" t="s">
        <v>586</v>
      </c>
      <c r="L5988" s="20" t="s">
        <v>587</v>
      </c>
      <c r="M5988" s="20" t="s">
        <v>588</v>
      </c>
      <c r="N5988" s="20" t="s">
        <v>589</v>
      </c>
      <c r="O5988" s="20" t="s">
        <v>590</v>
      </c>
      <c r="P5988" s="6" t="s">
        <v>23</v>
      </c>
      <c r="R5988" s="20" t="n">
        <v>2023</v>
      </c>
      <c r="S5988" s="20" t="n">
        <v>2024</v>
      </c>
      <c r="T5988" s="20" t="n">
        <v>2025</v>
      </c>
      <c r="U5988" s="20" t="n">
        <v>2026</v>
      </c>
      <c r="V5988" s="20" t="n">
        <v>2027</v>
      </c>
      <c r="W5988" s="20" t="n">
        <v>2028</v>
      </c>
      <c r="X5988" s="20" t="n">
        <v>2029</v>
      </c>
      <c r="Y5988" s="20" t="n">
        <v>2030</v>
      </c>
      <c r="Z5988" s="20" t="n">
        <v>2031</v>
      </c>
      <c r="AA5988" s="20" t="n">
        <v>2032</v>
      </c>
    </row>
    <row r="5989" customFormat="false" ht="17.15" hidden="false" customHeight="false" outlineLevel="0" collapsed="false">
      <c r="A5989" s="1" t="s">
        <v>716</v>
      </c>
    </row>
    <row r="5990" customFormat="false" ht="15" hidden="false" customHeight="false" outlineLevel="0" collapsed="false">
      <c r="A5990" s="0" t="s">
        <v>519</v>
      </c>
      <c r="B5990" s="0" t="s">
        <v>86</v>
      </c>
      <c r="C5990" s="38" t="n">
        <f aca="false">Sens!$C$5895</f>
        <v>247.029</v>
      </c>
      <c r="D5990" s="38" t="n">
        <f aca="false">Sens!$D$5895</f>
        <v>269.287</v>
      </c>
      <c r="E5990" s="38" t="n">
        <f aca="false">Sens!$E$5895</f>
        <v>134.686</v>
      </c>
      <c r="F5990" s="38" t="n">
        <f aca="false">Sens!$F$5895</f>
        <v>158.293876822267</v>
      </c>
      <c r="G5990" s="38" t="n">
        <f aca="false">Sens!$G$5895</f>
        <v>292.979876822267</v>
      </c>
      <c r="H5990" s="38" t="n">
        <f aca="false">Sens!$H$5895</f>
        <v>318.184543087396</v>
      </c>
      <c r="I5990" s="38" t="n">
        <f aca="false">Sens!$I$5895</f>
        <v>341.736278761793</v>
      </c>
      <c r="J5990" s="38" t="n">
        <f aca="false">Sens!$J$5895</f>
        <v>362.927192787048</v>
      </c>
      <c r="K5990" s="38" t="n">
        <f aca="false">Sens!$K$5895</f>
        <v>381.0735524264</v>
      </c>
      <c r="L5990" s="38" t="n">
        <f aca="false">Sens!$L$5895</f>
        <v>400.12723004772</v>
      </c>
      <c r="M5990" s="38" t="n">
        <f aca="false">Sens!$M$5895</f>
        <v>420.133591550106</v>
      </c>
      <c r="N5990" s="38" t="n">
        <f aca="false">Sens!$N$5895</f>
        <v>118.892</v>
      </c>
      <c r="O5990" s="38" t="n">
        <f aca="false">Sens!$O$5895</f>
        <v>150.395</v>
      </c>
    </row>
    <row r="5991" customFormat="false" ht="15" hidden="false" customHeight="false" outlineLevel="0" collapsed="false">
      <c r="A5991" s="0" t="s">
        <v>520</v>
      </c>
      <c r="B5991" s="0" t="s">
        <v>86</v>
      </c>
      <c r="C5991" s="38" t="n">
        <f aca="false">Sens!$C$5897</f>
        <v>21.215</v>
      </c>
      <c r="D5991" s="38" t="n">
        <f aca="false">Sens!$D$5897</f>
        <v>22.561</v>
      </c>
      <c r="E5991" s="38" t="n">
        <f aca="false">Sens!$E$5897</f>
        <v>11.579</v>
      </c>
      <c r="F5991" s="38" t="n">
        <f aca="false">Sens!$F$5897</f>
        <v>11.5938724610325</v>
      </c>
      <c r="G5991" s="38" t="n">
        <f aca="false">Sens!$G$5897</f>
        <v>23.1728724610325</v>
      </c>
      <c r="H5991" s="38" t="n">
        <f aca="false">Sens!$H$5897</f>
        <v>24.353392759506</v>
      </c>
      <c r="I5991" s="38" t="n">
        <f aca="false">Sens!$I$5897</f>
        <v>25.4240338872015</v>
      </c>
      <c r="J5991" s="38" t="n">
        <f aca="false">Sens!$J$5897</f>
        <v>26.3642491017174</v>
      </c>
      <c r="K5991" s="38" t="n">
        <f aca="false">Sens!$K$5897</f>
        <v>27.155176574769</v>
      </c>
      <c r="L5991" s="38" t="n">
        <f aca="false">Sens!$L$5897</f>
        <v>27.969831872012</v>
      </c>
      <c r="M5991" s="38" t="n">
        <f aca="false">Sens!$M$5897</f>
        <v>28.8089268281724</v>
      </c>
      <c r="N5991" s="38" t="n">
        <f aca="false">Sens!$N$5897</f>
        <v>11.128</v>
      </c>
      <c r="O5991" s="38" t="n">
        <f aca="false">Sens!$O$5897</f>
        <v>11.433</v>
      </c>
    </row>
    <row r="5992" customFormat="false" ht="15" hidden="false" customHeight="false" outlineLevel="0" collapsed="false">
      <c r="A5992" s="0" t="s">
        <v>521</v>
      </c>
      <c r="B5992" s="0" t="s">
        <v>86</v>
      </c>
      <c r="C5992" s="38" t="n">
        <f aca="false">Sens!$C$5899</f>
        <v>156.146</v>
      </c>
      <c r="D5992" s="38" t="n">
        <f aca="false">Sens!$D$5899</f>
        <v>172.162</v>
      </c>
      <c r="E5992" s="38" t="n">
        <f aca="false">Sens!$E$5899</f>
        <v>88.358</v>
      </c>
      <c r="F5992" s="38" t="n">
        <f aca="false">Sens!$F$5899</f>
        <v>102.004388260171</v>
      </c>
      <c r="G5992" s="38" t="n">
        <f aca="false">Sens!$G$5899</f>
        <v>190.362388260171</v>
      </c>
      <c r="H5992" s="38" t="n">
        <f aca="false">Sens!$H$5899</f>
        <v>210.343106588311</v>
      </c>
      <c r="I5992" s="38" t="n">
        <f aca="false">Sens!$I$5899</f>
        <v>229.969728494648</v>
      </c>
      <c r="J5992" s="38" t="n">
        <f aca="false">Sens!$J$5899</f>
        <v>248.747636972598</v>
      </c>
      <c r="K5992" s="38" t="n">
        <f aca="false">Sens!$K$5899</f>
        <v>266.15997156068</v>
      </c>
      <c r="L5992" s="38" t="n">
        <f aca="false">Sens!$L$5899</f>
        <v>284.791169569927</v>
      </c>
      <c r="M5992" s="38" t="n">
        <f aca="false">Sens!$M$5899</f>
        <v>304.726551439822</v>
      </c>
      <c r="N5992" s="38" t="n">
        <f aca="false">Sens!$N$5899</f>
        <v>76.86</v>
      </c>
      <c r="O5992" s="38" t="n">
        <f aca="false">Sens!$O$5899</f>
        <v>95.302</v>
      </c>
    </row>
    <row r="5993" customFormat="false" ht="15" hidden="false" customHeight="false" outlineLevel="0" collapsed="false">
      <c r="A5993" s="0" t="s">
        <v>522</v>
      </c>
      <c r="B5993" s="0" t="s">
        <v>86</v>
      </c>
      <c r="C5993" s="38" t="n">
        <f aca="false">Sens!$C$5901</f>
        <v>56.214</v>
      </c>
      <c r="D5993" s="38" t="n">
        <f aca="false">Sens!$D$5901</f>
        <v>68.635</v>
      </c>
      <c r="E5993" s="38" t="n">
        <f aca="false">Sens!$E$5901</f>
        <v>37.052</v>
      </c>
      <c r="F5993" s="38" t="n">
        <f aca="false">Sens!$F$5901</f>
        <v>46.1572219944148</v>
      </c>
      <c r="G5993" s="38" t="n">
        <f aca="false">Sens!$G$5901</f>
        <v>83.2092219944148</v>
      </c>
      <c r="H5993" s="38" t="n">
        <f aca="false">Sens!$H$5901</f>
        <v>99.8969223878976</v>
      </c>
      <c r="I5993" s="38" t="n">
        <f aca="false">Sens!$I$5901</f>
        <v>116.583111095496</v>
      </c>
      <c r="J5993" s="38" t="n">
        <f aca="false">Sens!$J$5901</f>
        <v>132.148941941952</v>
      </c>
      <c r="K5993" s="38" t="n">
        <f aca="false">Sens!$K$5901</f>
        <v>145.363836136147</v>
      </c>
      <c r="L5993" s="38" t="n">
        <f aca="false">Sens!$L$5901</f>
        <v>159.900219749762</v>
      </c>
      <c r="M5993" s="38" t="n">
        <f aca="false">Sens!$M$5901</f>
        <v>175.890241724738</v>
      </c>
      <c r="N5993" s="38" t="n">
        <f aca="false">Sens!$N$5901</f>
        <v>29.615</v>
      </c>
      <c r="O5993" s="38" t="n">
        <f aca="false">Sens!$O$5901</f>
        <v>39.02</v>
      </c>
    </row>
    <row r="5994" customFormat="false" ht="15" hidden="false" customHeight="false" outlineLevel="0" collapsed="false">
      <c r="A5994" s="0" t="s">
        <v>523</v>
      </c>
      <c r="B5994" s="0" t="s">
        <v>86</v>
      </c>
      <c r="C5994" s="38" t="n">
        <f aca="false">Sens!$C$5903</f>
        <v>44.374</v>
      </c>
      <c r="D5994" s="38" t="n">
        <f aca="false">Sens!$D$5903</f>
        <v>49.619</v>
      </c>
      <c r="E5994" s="38" t="n">
        <f aca="false">Sens!$E$5903</f>
        <v>27.157</v>
      </c>
      <c r="F5994" s="38" t="n">
        <f aca="false">Sens!$F$5903</f>
        <v>27.7764165988154</v>
      </c>
      <c r="G5994" s="38" t="n">
        <f aca="false">Sens!$G$5903</f>
        <v>54.9334165988154</v>
      </c>
      <c r="H5994" s="38" t="n">
        <f aca="false">Sens!$H$5903</f>
        <v>61.1564112561829</v>
      </c>
      <c r="I5994" s="38" t="n">
        <f aca="false">Sens!$I$5903</f>
        <v>67.2020282103945</v>
      </c>
      <c r="J5994" s="38" t="n">
        <f aca="false">Sens!$J$5903</f>
        <v>72.8757274028885</v>
      </c>
      <c r="K5994" s="38" t="n">
        <f aca="false">Sens!$K$5903</f>
        <v>77.9770283210907</v>
      </c>
      <c r="L5994" s="38" t="n">
        <f aca="false">Sens!$L$5903</f>
        <v>83.4354203035671</v>
      </c>
      <c r="M5994" s="38" t="n">
        <f aca="false">Sens!$M$5903</f>
        <v>89.2758997248168</v>
      </c>
      <c r="N5994" s="38" t="n">
        <f aca="false">Sens!$N$5903</f>
        <v>23.923</v>
      </c>
      <c r="O5994" s="38" t="n">
        <f aca="false">Sens!$O$5903</f>
        <v>25.696</v>
      </c>
    </row>
    <row r="5995" customFormat="false" ht="15" hidden="false" customHeight="false" outlineLevel="0" collapsed="false">
      <c r="A5995" s="0" t="s">
        <v>524</v>
      </c>
      <c r="B5995" s="0" t="s">
        <v>86</v>
      </c>
      <c r="C5995" s="38" t="n">
        <f aca="false">Sens!$C$5905</f>
        <v>5.425</v>
      </c>
      <c r="D5995" s="38" t="n">
        <f aca="false">Sens!$D$5905</f>
        <v>5.935</v>
      </c>
      <c r="E5995" s="38" t="n">
        <f aca="false">Sens!$E$5905</f>
        <v>3.474</v>
      </c>
      <c r="F5995" s="38" t="n">
        <f aca="false">Sens!$F$5905</f>
        <v>3.22246550883619</v>
      </c>
      <c r="G5995" s="38" t="n">
        <f aca="false">Sens!$G$5905</f>
        <v>6.69646550883619</v>
      </c>
      <c r="H5995" s="38" t="n">
        <f aca="false">Sens!$H$5905</f>
        <v>7.16251344209196</v>
      </c>
      <c r="I5995" s="38" t="n">
        <f aca="false">Sens!$I$5905</f>
        <v>7.61421070299826</v>
      </c>
      <c r="J5995" s="38" t="n">
        <f aca="false">Sens!$J$5905</f>
        <v>8.04465753523932</v>
      </c>
      <c r="K5995" s="38" t="n">
        <f aca="false">Sens!$K$5905</f>
        <v>8.44689041200128</v>
      </c>
      <c r="L5995" s="38" t="n">
        <f aca="false">Sens!$L$5905</f>
        <v>8.86923493260135</v>
      </c>
      <c r="M5995" s="38" t="n">
        <f aca="false">Sens!$M$5905</f>
        <v>9.31269667923142</v>
      </c>
      <c r="N5995" s="38" t="n">
        <f aca="false">Sens!$N$5905</f>
        <v>2.811</v>
      </c>
      <c r="O5995" s="38" t="n">
        <f aca="false">Sens!$O$5905</f>
        <v>3.124</v>
      </c>
    </row>
    <row r="5996" customFormat="false" ht="17.15" hidden="false" customHeight="false" outlineLevel="0" collapsed="false">
      <c r="A5996" s="0" t="s">
        <v>717</v>
      </c>
      <c r="B5996" s="0" t="s">
        <v>86</v>
      </c>
      <c r="C5996" s="38" t="n">
        <f aca="false">Sens!$C$5977</f>
        <v>107.556</v>
      </c>
      <c r="D5996" s="38" t="n">
        <f aca="false">Sens!$D$5977</f>
        <v>128.725</v>
      </c>
      <c r="E5996" s="38" t="n">
        <f aca="false">Sens!$E$5977</f>
        <v>79.819</v>
      </c>
      <c r="F5996" s="38" t="n">
        <f aca="false">Sens!$F$5977</f>
        <v>86.7327334389669</v>
      </c>
      <c r="G5996" s="38" t="n">
        <f aca="false">Sens!$G$5977</f>
        <v>166.551733438967</v>
      </c>
      <c r="H5996" s="38" t="n">
        <f aca="false">Sens!$H$5977</f>
        <v>221.182967828978</v>
      </c>
      <c r="I5996" s="38" t="n">
        <f aca="false">Sens!$I$5977</f>
        <v>280.27345865789</v>
      </c>
      <c r="J5996" s="38" t="n">
        <f aca="false">Sens!$J$5977</f>
        <v>338.800945197185</v>
      </c>
      <c r="K5996" s="38" t="n">
        <f aca="false">Sens!$K$5977</f>
        <v>389.88570147276</v>
      </c>
      <c r="L5996" s="38" t="n">
        <f aca="false">Sens!$L$5977</f>
        <v>430.080689379143</v>
      </c>
      <c r="M5996" s="38" t="n">
        <f aca="false">Sens!$M$5977</f>
        <v>459.456235951751</v>
      </c>
      <c r="N5996" s="38" t="n">
        <f aca="false">Sens!$N$5977</f>
        <v>60.14</v>
      </c>
      <c r="O5996" s="38" t="n">
        <f aca="false">Sens!$O$5977</f>
        <v>68.585</v>
      </c>
    </row>
    <row r="5997" customFormat="false" ht="15" hidden="false" customHeight="false" outlineLevel="0" collapsed="false">
      <c r="A5997" s="1" t="s">
        <v>512</v>
      </c>
      <c r="B5997" s="8" t="s">
        <v>86</v>
      </c>
      <c r="C5997" s="38" t="n">
        <f aca="false">Sens!$C$5910</f>
        <v>387.497</v>
      </c>
      <c r="D5997" s="38" t="n">
        <f aca="false">Sens!$D$5910</f>
        <v>426.305</v>
      </c>
      <c r="E5997" s="38" t="n">
        <f aca="false">Sens!$E$5910</f>
        <v>220.32</v>
      </c>
      <c r="F5997" s="38" t="n">
        <f aca="false">Sens!$F$5910</f>
        <v>250.639773480586</v>
      </c>
      <c r="G5997" s="38" t="n">
        <f aca="false">Sens!$G$5910</f>
        <v>470.959773480586</v>
      </c>
      <c r="H5997" s="38" t="n">
        <f aca="false">Sens!$H$5910</f>
        <v>521.386990416437</v>
      </c>
      <c r="I5997" s="38" t="n">
        <f aca="false">Sens!$I$5910</f>
        <v>570.143862887555</v>
      </c>
      <c r="J5997" s="38" t="n">
        <f aca="false">Sens!$J$5910</f>
        <v>615.391435791933</v>
      </c>
      <c r="K5997" s="38" t="n">
        <f aca="false">Sens!$K$5910</f>
        <v>655.208227561543</v>
      </c>
      <c r="L5997" s="38" t="n">
        <f aca="false">Sens!$L$5910</f>
        <v>697.807739249767</v>
      </c>
      <c r="M5997" s="38" t="n">
        <f aca="false">Sens!$M$5910</f>
        <v>743.399328463592</v>
      </c>
      <c r="N5997" s="38" t="n">
        <f aca="false">Sens!$N$5910</f>
        <v>192.955</v>
      </c>
      <c r="O5997" s="38" t="n">
        <f aca="false">Sens!$O$5910</f>
        <v>233.35</v>
      </c>
    </row>
    <row r="5998" customFormat="false" ht="15" hidden="false" customHeight="false" outlineLevel="0" collapsed="false">
      <c r="A5998" s="1" t="s">
        <v>515</v>
      </c>
      <c r="B5998" s="8" t="s">
        <v>86</v>
      </c>
      <c r="C5998" s="38" t="n">
        <f aca="false">Sens!$C$5911</f>
        <v>142.906</v>
      </c>
      <c r="D5998" s="38" t="n">
        <f aca="false">Sens!$D$5911</f>
        <v>161.894</v>
      </c>
      <c r="E5998" s="38" t="n">
        <f aca="false">Sens!$E$5911</f>
        <v>81.986</v>
      </c>
      <c r="F5998" s="38" t="n">
        <f aca="false">Sens!$F$5911</f>
        <v>98.408468164951</v>
      </c>
      <c r="G5998" s="38" t="n">
        <f aca="false">Sens!$G$5911</f>
        <v>180.394468164951</v>
      </c>
      <c r="H5998" s="38" t="n">
        <f aca="false">Sens!$H$5911</f>
        <v>199.709899104949</v>
      </c>
      <c r="I5998" s="38" t="n">
        <f aca="false">Sens!$I$5911</f>
        <v>218.385528264976</v>
      </c>
      <c r="J5998" s="38" t="n">
        <f aca="false">Sens!$J$5911</f>
        <v>235.71696994951</v>
      </c>
      <c r="K5998" s="38" t="n">
        <f aca="false">Sens!$K$5911</f>
        <v>250.968227869545</v>
      </c>
      <c r="L5998" s="38" t="n">
        <f aca="false">Sens!$L$5911</f>
        <v>267.285367225822</v>
      </c>
      <c r="M5998" s="38" t="n">
        <f aca="false">Sens!$M$5911</f>
        <v>284.748579483295</v>
      </c>
      <c r="N5998" s="38" t="n">
        <f aca="false">Sens!$N$5911</f>
        <v>70.274</v>
      </c>
      <c r="O5998" s="38" t="n">
        <f aca="false">Sens!$O$5911</f>
        <v>91.62</v>
      </c>
    </row>
    <row r="5999" customFormat="false" ht="15" hidden="false" customHeight="false" outlineLevel="0" collapsed="false">
      <c r="A5999" s="1" t="s">
        <v>516</v>
      </c>
      <c r="B5999" s="8" t="s">
        <v>86</v>
      </c>
      <c r="C5999" s="38" t="n">
        <f aca="false">Sens!$C$5977</f>
        <v>107.556</v>
      </c>
      <c r="D5999" s="38" t="n">
        <f aca="false">Sens!$D$5977</f>
        <v>128.725</v>
      </c>
      <c r="E5999" s="38" t="n">
        <f aca="false">Sens!$E$5977</f>
        <v>79.819</v>
      </c>
      <c r="F5999" s="38" t="n">
        <f aca="false">Sens!$F$5977</f>
        <v>86.7327334389669</v>
      </c>
      <c r="G5999" s="38" t="n">
        <f aca="false">Sens!$G$5977</f>
        <v>166.551733438967</v>
      </c>
      <c r="H5999" s="38" t="n">
        <f aca="false">Sens!$H$5977</f>
        <v>221.182967828978</v>
      </c>
      <c r="I5999" s="38" t="n">
        <f aca="false">Sens!$I$5977</f>
        <v>280.27345865789</v>
      </c>
      <c r="J5999" s="38" t="n">
        <f aca="false">Sens!$J$5977</f>
        <v>338.800945197185</v>
      </c>
      <c r="K5999" s="38" t="n">
        <f aca="false">Sens!$K$5977</f>
        <v>389.88570147276</v>
      </c>
      <c r="L5999" s="38" t="n">
        <f aca="false">Sens!$L$5977</f>
        <v>430.080689379143</v>
      </c>
      <c r="M5999" s="38" t="n">
        <f aca="false">Sens!$M$5977</f>
        <v>459.456235951751</v>
      </c>
      <c r="N5999" s="38" t="n">
        <f aca="false">Sens!$N$5977</f>
        <v>60.14</v>
      </c>
      <c r="O5999" s="38" t="n">
        <f aca="false">Sens!$O$5977</f>
        <v>68.585</v>
      </c>
    </row>
    <row r="6000" customFormat="false" ht="17.15" hidden="false" customHeight="false" outlineLevel="0" collapsed="false">
      <c r="A6000" s="0" t="s">
        <v>691</v>
      </c>
      <c r="B6000" s="0" t="s">
        <v>86</v>
      </c>
      <c r="C6000" s="38" t="n">
        <f aca="false">Sens!$C$5975</f>
        <v>2.32100535697364</v>
      </c>
      <c r="D6000" s="38" t="n">
        <f aca="false">Sens!$D$5975</f>
        <v>8.70377008865116</v>
      </c>
      <c r="E6000" s="38" t="n">
        <f aca="false">Sens!$E$5975</f>
        <v>8.51035297557002</v>
      </c>
      <c r="F6000" s="38" t="n">
        <f aca="false">Sens!$F$5975</f>
        <v>14.9634336447205</v>
      </c>
      <c r="G6000" s="38" t="n">
        <f aca="false">Sens!$G$5975</f>
        <v>23.4737866202905</v>
      </c>
      <c r="H6000" s="38" t="n">
        <f aca="false">Sens!$H$5975</f>
        <v>60.1658907497746</v>
      </c>
      <c r="I6000" s="38" t="n">
        <f aca="false">Sens!$I$5975</f>
        <v>101.503699136432</v>
      </c>
      <c r="J6000" s="38" t="n">
        <f aca="false">Sens!$J$5975</f>
        <v>143.025407151278</v>
      </c>
      <c r="K6000" s="38" t="n">
        <f aca="false">Sens!$K$5975</f>
        <v>178.44812038318</v>
      </c>
      <c r="L6000" s="38" t="n">
        <f aca="false">Sens!$L$5975</f>
        <v>201.728101802396</v>
      </c>
      <c r="M6000" s="38" t="n">
        <f aca="false">Sens!$M$5975</f>
        <v>212.835441368865</v>
      </c>
      <c r="N6000" s="38" t="n">
        <f aca="false">Sens!$N$5975</f>
        <v>3.04631953102791</v>
      </c>
      <c r="O6000" s="38" t="n">
        <f aca="false">Sens!$O$5975</f>
        <v>5.65745055762326</v>
      </c>
    </row>
    <row r="6001" customFormat="false" ht="17.15" hidden="false" customHeight="false" outlineLevel="0" collapsed="false">
      <c r="A6001" s="0" t="s">
        <v>693</v>
      </c>
      <c r="B6001" s="0" t="s">
        <v>86</v>
      </c>
      <c r="C6001" s="38" t="n">
        <f aca="false">Sens!$C$5976</f>
        <v>105.234994643026</v>
      </c>
      <c r="D6001" s="38" t="n">
        <f aca="false">Sens!$D$5976</f>
        <v>120.021229911349</v>
      </c>
      <c r="E6001" s="38" t="n">
        <f aca="false">Sens!$E$5976</f>
        <v>71.30864702443</v>
      </c>
      <c r="F6001" s="38" t="n">
        <f aca="false">Sens!$F$5976</f>
        <v>71.7692997942464</v>
      </c>
      <c r="G6001" s="38" t="n">
        <f aca="false">Sens!$G$5976</f>
        <v>143.077946818676</v>
      </c>
      <c r="H6001" s="38" t="n">
        <f aca="false">Sens!$H$5976</f>
        <v>161.017077079203</v>
      </c>
      <c r="I6001" s="38" t="n">
        <f aca="false">Sens!$I$5976</f>
        <v>178.769759521457</v>
      </c>
      <c r="J6001" s="38" t="n">
        <f aca="false">Sens!$J$5976</f>
        <v>195.775538045907</v>
      </c>
      <c r="K6001" s="38" t="n">
        <f aca="false">Sens!$K$5976</f>
        <v>211.43758108958</v>
      </c>
      <c r="L6001" s="38" t="n">
        <f aca="false">Sens!$L$5976</f>
        <v>228.352587576746</v>
      </c>
      <c r="M6001" s="38" t="n">
        <f aca="false">Sens!$M$5976</f>
        <v>246.620794582886</v>
      </c>
      <c r="N6001" s="38" t="n">
        <f aca="false">Sens!$N$5976</f>
        <v>57.0936804689721</v>
      </c>
      <c r="O6001" s="38" t="n">
        <f aca="false">Sens!$O$5976</f>
        <v>62.9275494423768</v>
      </c>
    </row>
    <row r="6002" customFormat="false" ht="15" hidden="false" customHeight="false" outlineLevel="0" collapsed="false">
      <c r="A6002" s="3" t="s">
        <v>517</v>
      </c>
      <c r="B6002" s="8" t="s">
        <v>86</v>
      </c>
      <c r="C6002" s="38" t="n">
        <f aca="false">Sens!$C$5978</f>
        <v>637.959</v>
      </c>
      <c r="D6002" s="38" t="n">
        <f aca="false">Sens!$D$5978</f>
        <v>716.924</v>
      </c>
      <c r="E6002" s="38" t="n">
        <f aca="false">Sens!$E$5978</f>
        <v>382.125</v>
      </c>
      <c r="F6002" s="38" t="n">
        <f aca="false">Sens!$F$5978</f>
        <v>435.780975084504</v>
      </c>
      <c r="G6002" s="38" t="n">
        <f aca="false">Sens!$G$5978</f>
        <v>817.905975084504</v>
      </c>
      <c r="H6002" s="38" t="n">
        <f aca="false">Sens!$H$5978</f>
        <v>942.279857350364</v>
      </c>
      <c r="I6002" s="38" t="n">
        <f aca="false">Sens!$I$5978</f>
        <v>1068.80284981042</v>
      </c>
      <c r="J6002" s="38" t="n">
        <f aca="false">Sens!$J$5978</f>
        <v>1189.90935093863</v>
      </c>
      <c r="K6002" s="38" t="n">
        <f aca="false">Sens!$K$5978</f>
        <v>1296.06215690385</v>
      </c>
      <c r="L6002" s="38" t="n">
        <f aca="false">Sens!$L$5978</f>
        <v>1395.17379585473</v>
      </c>
      <c r="M6002" s="38" t="n">
        <f aca="false">Sens!$M$5978</f>
        <v>1487.60414389864</v>
      </c>
      <c r="N6002" s="38" t="n">
        <f aca="false">Sens!$N$5978</f>
        <v>323.369</v>
      </c>
      <c r="O6002" s="38" t="n">
        <f aca="false">Sens!$O$5978</f>
        <v>393.555</v>
      </c>
    </row>
    <row r="6003" customFormat="false" ht="17.15" hidden="false" customHeight="false" outlineLevel="0" collapsed="false">
      <c r="A6003" s="24" t="s">
        <v>703</v>
      </c>
      <c r="B6003" s="25" t="s">
        <v>86</v>
      </c>
      <c r="C6003" s="41" t="n">
        <f aca="false">Sens!$C$5990+Sens!$C$5991+Sens!$C$5992+Sens!$C$5993+Sens!$C$5994+Sens!$C$5995-(Sens!$C$5997+Sens!$C$5998)</f>
        <v>0</v>
      </c>
      <c r="D6003" s="41" t="n">
        <f aca="false">Sens!$D$5990+Sens!$D$5991+Sens!$D$5992+Sens!$D$5993+Sens!$D$5994+Sens!$D$5995-(Sens!$D$5997+Sens!$D$5998)</f>
        <v>0</v>
      </c>
      <c r="E6003" s="41" t="n">
        <f aca="false">Sens!$E$5990+Sens!$E$5991+Sens!$E$5992+Sens!$E$5993+Sens!$E$5994+Sens!$E$5995-(Sens!$E$5997+Sens!$E$5998)</f>
        <v>0</v>
      </c>
      <c r="F6003" s="41" t="n">
        <f aca="false">Sens!$F$5990+Sens!$F$5991+Sens!$F$5992+Sens!$F$5993+Sens!$F$5994+Sens!$F$5995-(Sens!$F$5997+Sens!$F$5998)</f>
        <v>0</v>
      </c>
      <c r="G6003" s="41" t="n">
        <f aca="false">Sens!$G$5990+Sens!$G$5991+Sens!$G$5992+Sens!$G$5993+Sens!$G$5994+Sens!$G$5995-(Sens!$G$5997+Sens!$G$5998)</f>
        <v>0</v>
      </c>
      <c r="H6003" s="41" t="n">
        <f aca="false">Sens!$H$5990+Sens!$H$5991+Sens!$H$5992+Sens!$H$5993+Sens!$H$5994+Sens!$H$5995-(Sens!$H$5997+Sens!$H$5998)</f>
        <v>0</v>
      </c>
      <c r="I6003" s="41" t="n">
        <f aca="false">Sens!$I$5990+Sens!$I$5991+Sens!$I$5992+Sens!$I$5993+Sens!$I$5994+Sens!$I$5995-(Sens!$I$5997+Sens!$I$5998)</f>
        <v>0</v>
      </c>
      <c r="J6003" s="41" t="n">
        <f aca="false">Sens!$J$5990+Sens!$J$5991+Sens!$J$5992+Sens!$J$5993+Sens!$J$5994+Sens!$J$5995-(Sens!$J$5997+Sens!$J$5998)</f>
        <v>0</v>
      </c>
      <c r="K6003" s="41" t="n">
        <f aca="false">Sens!$K$5990+Sens!$K$5991+Sens!$K$5992+Sens!$K$5993+Sens!$K$5994+Sens!$K$5995-(Sens!$K$5997+Sens!$K$5998)</f>
        <v>0</v>
      </c>
      <c r="L6003" s="41" t="n">
        <f aca="false">Sens!$L$5990+Sens!$L$5991+Sens!$L$5992+Sens!$L$5993+Sens!$L$5994+Sens!$L$5995-(Sens!$L$5997+Sens!$L$5998)</f>
        <v>0</v>
      </c>
      <c r="M6003" s="41" t="n">
        <f aca="false">Sens!$M$5990+Sens!$M$5991+Sens!$M$5992+Sens!$M$5993+Sens!$M$5994+Sens!$M$5995-(Sens!$M$5997+Sens!$M$5998)</f>
        <v>0</v>
      </c>
      <c r="N6003" s="41" t="n">
        <f aca="false">Sens!$N$5990+Sens!$N$5991+Sens!$N$5992+Sens!$N$5993+Sens!$N$5994+Sens!$N$5995-(Sens!$N$5997+Sens!$N$5998)</f>
        <v>0</v>
      </c>
      <c r="O6003" s="41" t="n">
        <f aca="false">Sens!$O$5990+Sens!$O$5991+Sens!$O$5992+Sens!$O$5993+Sens!$O$5994+Sens!$O$5995-(Sens!$O$5997+Sens!$O$5998)</f>
        <v>0</v>
      </c>
    </row>
    <row r="6004" customFormat="false" ht="17.15" hidden="false" customHeight="false" outlineLevel="0" collapsed="false">
      <c r="A6004" s="24" t="s">
        <v>704</v>
      </c>
      <c r="B6004" s="25" t="s">
        <v>86</v>
      </c>
      <c r="C6004" s="41" t="n">
        <f aca="false">Sens!$C$6000+Sens!$C$6001-Sens!$C$5999</f>
        <v>0</v>
      </c>
      <c r="D6004" s="41" t="n">
        <f aca="false">Sens!$D$6000+Sens!$D$6001-Sens!$D$5999</f>
        <v>0</v>
      </c>
      <c r="E6004" s="41" t="n">
        <f aca="false">Sens!$E$6000+Sens!$E$6001-Sens!$E$5999</f>
        <v>0</v>
      </c>
      <c r="F6004" s="41" t="n">
        <f aca="false">Sens!$F$6000+Sens!$F$6001-Sens!$F$5999</f>
        <v>0</v>
      </c>
      <c r="G6004" s="41" t="n">
        <f aca="false">Sens!$G$6000+Sens!$G$6001-Sens!$G$5999</f>
        <v>0</v>
      </c>
      <c r="H6004" s="41" t="n">
        <f aca="false">Sens!$H$6000+Sens!$H$6001-Sens!$H$5999</f>
        <v>0</v>
      </c>
      <c r="I6004" s="41" t="n">
        <f aca="false">Sens!$I$6000+Sens!$I$6001-Sens!$I$5999</f>
        <v>0</v>
      </c>
      <c r="J6004" s="41" t="n">
        <f aca="false">Sens!$J$6000+Sens!$J$6001-Sens!$J$5999</f>
        <v>0</v>
      </c>
      <c r="K6004" s="41" t="n">
        <f aca="false">Sens!$K$6000+Sens!$K$6001-Sens!$K$5999</f>
        <v>0</v>
      </c>
      <c r="L6004" s="41" t="n">
        <f aca="false">Sens!$L$6000+Sens!$L$6001-Sens!$L$5999</f>
        <v>0</v>
      </c>
      <c r="M6004" s="41" t="n">
        <f aca="false">Sens!$M$6000+Sens!$M$6001-Sens!$M$5999</f>
        <v>0</v>
      </c>
      <c r="N6004" s="41" t="n">
        <f aca="false">Sens!$N$6000+Sens!$N$6001-Sens!$N$5999</f>
        <v>0</v>
      </c>
      <c r="O6004" s="41" t="n">
        <f aca="false">Sens!$O$6000+Sens!$O$6001-Sens!$O$5999</f>
        <v>0</v>
      </c>
    </row>
    <row r="6005" customFormat="false" ht="17.15" hidden="false" customHeight="false" outlineLevel="0" collapsed="false">
      <c r="A6005" s="24" t="s">
        <v>763</v>
      </c>
      <c r="B6005" s="25" t="s">
        <v>86</v>
      </c>
      <c r="C6005" s="41" t="n">
        <f aca="false">Sens!$C$5990+Sens!$C$5991+Sens!$C$5992+Sens!$C$5993+Sens!$C$5994+Sens!$C$5995+Sens!$C$5996-Sens!$C$6002</f>
        <v>0</v>
      </c>
      <c r="D6005" s="41" t="n">
        <f aca="false">Sens!$D$5990+Sens!$D$5991+Sens!$D$5992+Sens!$D$5993+Sens!$D$5994+Sens!$D$5995+Sens!$D$5996-Sens!$D$6002</f>
        <v>0</v>
      </c>
      <c r="E6005" s="41" t="n">
        <f aca="false">Sens!$E$5990+Sens!$E$5991+Sens!$E$5992+Sens!$E$5993+Sens!$E$5994+Sens!$E$5995+Sens!$E$5996-Sens!$E$6002</f>
        <v>0</v>
      </c>
      <c r="F6005" s="41" t="n">
        <f aca="false">Sens!$F$5990+Sens!$F$5991+Sens!$F$5992+Sens!$F$5993+Sens!$F$5994+Sens!$F$5995+Sens!$F$5996-Sens!$F$6002</f>
        <v>0</v>
      </c>
      <c r="G6005" s="41" t="n">
        <f aca="false">Sens!$G$5990+Sens!$G$5991+Sens!$G$5992+Sens!$G$5993+Sens!$G$5994+Sens!$G$5995+Sens!$G$5996-Sens!$G$6002</f>
        <v>0</v>
      </c>
      <c r="H6005" s="41" t="n">
        <f aca="false">Sens!$H$5990+Sens!$H$5991+Sens!$H$5992+Sens!$H$5993+Sens!$H$5994+Sens!$H$5995+Sens!$H$5996-Sens!$H$6002</f>
        <v>0</v>
      </c>
      <c r="I6005" s="41" t="n">
        <f aca="false">Sens!$I$5990+Sens!$I$5991+Sens!$I$5992+Sens!$I$5993+Sens!$I$5994+Sens!$I$5995+Sens!$I$5996-Sens!$I$6002</f>
        <v>0</v>
      </c>
      <c r="J6005" s="41" t="n">
        <f aca="false">Sens!$J$5990+Sens!$J$5991+Sens!$J$5992+Sens!$J$5993+Sens!$J$5994+Sens!$J$5995+Sens!$J$5996-Sens!$J$6002</f>
        <v>0</v>
      </c>
      <c r="K6005" s="41" t="n">
        <f aca="false">Sens!$K$5990+Sens!$K$5991+Sens!$K$5992+Sens!$K$5993+Sens!$K$5994+Sens!$K$5995+Sens!$K$5996-Sens!$K$6002</f>
        <v>0</v>
      </c>
      <c r="L6005" s="41" t="n">
        <f aca="false">Sens!$L$5990+Sens!$L$5991+Sens!$L$5992+Sens!$L$5993+Sens!$L$5994+Sens!$L$5995+Sens!$L$5996-Sens!$L$6002</f>
        <v>0</v>
      </c>
      <c r="M6005" s="41" t="n">
        <f aca="false">Sens!$M$5990+Sens!$M$5991+Sens!$M$5992+Sens!$M$5993+Sens!$M$5994+Sens!$M$5995+Sens!$M$5996-Sens!$M$6002</f>
        <v>0</v>
      </c>
      <c r="N6005" s="41" t="n">
        <f aca="false">Sens!$N$5990+Sens!$N$5991+Sens!$N$5992+Sens!$N$5993+Sens!$N$5994+Sens!$N$5995+Sens!$N$5996-Sens!$N$6002</f>
        <v>0</v>
      </c>
      <c r="O6005" s="41" t="n">
        <f aca="false">Sens!$O$5990+Sens!$O$5991+Sens!$O$5992+Sens!$O$5993+Sens!$O$5994+Sens!$O$5995+Sens!$O$5996-Sens!$O$6002</f>
        <v>0</v>
      </c>
    </row>
    <row r="6006" customFormat="false" ht="17.15" hidden="false" customHeight="false" outlineLevel="0" collapsed="false">
      <c r="A6006" s="24" t="s">
        <v>705</v>
      </c>
      <c r="B6006" s="25" t="s">
        <v>86</v>
      </c>
      <c r="C6006" s="41" t="n">
        <f aca="false">Sens!$C$5997+Sens!$C$5998+Sens!$C$5999-Sens!$C$6002</f>
        <v>0</v>
      </c>
      <c r="D6006" s="41" t="n">
        <f aca="false">Sens!$D$5997+Sens!$D$5998+Sens!$D$5999-Sens!$D$6002</f>
        <v>0</v>
      </c>
      <c r="E6006" s="41" t="n">
        <f aca="false">Sens!$E$5997+Sens!$E$5998+Sens!$E$5999-Sens!$E$6002</f>
        <v>0</v>
      </c>
      <c r="F6006" s="41" t="n">
        <f aca="false">Sens!$F$5997+Sens!$F$5998+Sens!$F$5999-Sens!$F$6002</f>
        <v>0</v>
      </c>
      <c r="G6006" s="41" t="n">
        <f aca="false">Sens!$G$5997+Sens!$G$5998+Sens!$G$5999-Sens!$G$6002</f>
        <v>0</v>
      </c>
      <c r="H6006" s="41" t="n">
        <f aca="false">Sens!$H$5997+Sens!$H$5998+Sens!$H$5999-Sens!$H$6002</f>
        <v>0</v>
      </c>
      <c r="I6006" s="41" t="n">
        <f aca="false">Sens!$I$5997+Sens!$I$5998+Sens!$I$5999-Sens!$I$6002</f>
        <v>0</v>
      </c>
      <c r="J6006" s="41" t="n">
        <f aca="false">Sens!$J$5997+Sens!$J$5998+Sens!$J$5999-Sens!$J$6002</f>
        <v>0</v>
      </c>
      <c r="K6006" s="41" t="n">
        <f aca="false">Sens!$K$5997+Sens!$K$5998+Sens!$K$5999-Sens!$K$6002</f>
        <v>0</v>
      </c>
      <c r="L6006" s="41" t="n">
        <f aca="false">Sens!$L$5997+Sens!$L$5998+Sens!$L$5999-Sens!$L$6002</f>
        <v>0</v>
      </c>
      <c r="M6006" s="41" t="n">
        <f aca="false">Sens!$M$5997+Sens!$M$5998+Sens!$M$5999-Sens!$M$6002</f>
        <v>0</v>
      </c>
      <c r="N6006" s="41" t="n">
        <f aca="false">Sens!$N$5997+Sens!$N$5998+Sens!$N$5999-Sens!$N$6002</f>
        <v>0</v>
      </c>
      <c r="O6006" s="41" t="n">
        <f aca="false">Sens!$O$5997+Sens!$O$5998+Sens!$O$5999-Sens!$O$6002</f>
        <v>0</v>
      </c>
    </row>
    <row r="6007" customFormat="false" ht="17.15" hidden="false" customHeight="false" outlineLevel="0" collapsed="false">
      <c r="A6007" s="1" t="s">
        <v>719</v>
      </c>
    </row>
    <row r="6008" customFormat="false" ht="17.15" hidden="false" customHeight="false" outlineLevel="0" collapsed="false">
      <c r="A6008" s="0" t="s">
        <v>720</v>
      </c>
      <c r="B6008" s="0" t="s">
        <v>86</v>
      </c>
      <c r="C6008" s="38" t="n">
        <f aca="false">Sens!$C$5912*m_ad</f>
        <v>20.5341564414228</v>
      </c>
      <c r="D6008" s="38" t="n">
        <f aca="false">Sens!$D$5912*m_ad</f>
        <v>24.8720617299587</v>
      </c>
      <c r="E6008" s="38" t="n">
        <f aca="false">Sens!$E$5912*m_ad</f>
        <v>13.5017112462207</v>
      </c>
      <c r="F6008" s="38" t="n">
        <f aca="false">Sens!$F$5912*m_ad</f>
        <v>16.5719724165257</v>
      </c>
      <c r="G6008" s="38" t="n">
        <f aca="false">Sens!$G$5912*m_ad</f>
        <v>30.0820919220415</v>
      </c>
      <c r="H6008" s="38" t="n">
        <f aca="false">Sens!$H$5912*m_ad</f>
        <v>36.1150883276314</v>
      </c>
      <c r="I6008" s="38" t="n">
        <f aca="false">Sens!$I$5912*m_ad</f>
        <v>42.1475382231996</v>
      </c>
      <c r="J6008" s="38" t="n">
        <f aca="false">Sens!$J$5912*m_ad</f>
        <v>47.7749523864693</v>
      </c>
      <c r="K6008" s="38" t="n">
        <f aca="false">Sens!$K$5912*m_ad</f>
        <v>52.5524476251162</v>
      </c>
      <c r="L6008" s="38" t="n">
        <f aca="false">Sens!$L$5912*m_ad</f>
        <v>57.8076923876279</v>
      </c>
      <c r="M6008" s="38" t="n">
        <f aca="false">Sens!$M$5912*m_ad</f>
        <v>63.5884616263907</v>
      </c>
      <c r="N6008" s="38" t="n">
        <f aca="false">Sens!$N$5912*m_ad</f>
        <v>10.8543555706248</v>
      </c>
      <c r="O6008" s="38" t="n">
        <f aca="false">Sens!$O$5912*m_ad</f>
        <v>14.0094731821399</v>
      </c>
    </row>
    <row r="6009" customFormat="false" ht="17.15" hidden="false" customHeight="false" outlineLevel="0" collapsed="false">
      <c r="A6009" s="0" t="s">
        <v>721</v>
      </c>
      <c r="B6009" s="0" t="s">
        <v>86</v>
      </c>
      <c r="C6009" s="38" t="n">
        <f aca="false">Sens!$C$5910-Sens!$C$5912</f>
        <v>346.428687117154</v>
      </c>
      <c r="D6009" s="38" t="n">
        <f aca="false">Sens!$D$5910-Sens!$D$5912</f>
        <v>376.560876540083</v>
      </c>
      <c r="E6009" s="38" t="n">
        <f aca="false">Sens!$E$5910-Sens!$E$5912</f>
        <v>193.316577507559</v>
      </c>
      <c r="F6009" s="38" t="n">
        <f aca="false">Sens!$F$5910-Sens!$F$5912</f>
        <v>217.495828647535</v>
      </c>
      <c r="G6009" s="38" t="n">
        <f aca="false">Sens!$G$5910-Sens!$G$5912</f>
        <v>410.795589636503</v>
      </c>
      <c r="H6009" s="38" t="n">
        <f aca="false">Sens!$H$5910-Sens!$H$5912</f>
        <v>449.156813761174</v>
      </c>
      <c r="I6009" s="38" t="n">
        <f aca="false">Sens!$I$5910-Sens!$I$5912</f>
        <v>485.848786441156</v>
      </c>
      <c r="J6009" s="38" t="n">
        <f aca="false">Sens!$J$5910-Sens!$J$5912</f>
        <v>519.841531018994</v>
      </c>
      <c r="K6009" s="38" t="n">
        <f aca="false">Sens!$K$5910-Sens!$K$5912</f>
        <v>550.103332311311</v>
      </c>
      <c r="L6009" s="38" t="n">
        <f aca="false">Sens!$L$5910-Sens!$L$5912</f>
        <v>582.192354474511</v>
      </c>
      <c r="M6009" s="38" t="n">
        <f aca="false">Sens!$M$5910-Sens!$M$5912</f>
        <v>616.22240521081</v>
      </c>
      <c r="N6009" s="38" t="n">
        <f aca="false">Sens!$N$5910-Sens!$N$5912</f>
        <v>171.24628885875</v>
      </c>
      <c r="O6009" s="38" t="n">
        <f aca="false">Sens!$O$5910-Sens!$O$5912</f>
        <v>205.33105363572</v>
      </c>
    </row>
    <row r="6010" customFormat="false" ht="17.15" hidden="false" customHeight="false" outlineLevel="0" collapsed="false">
      <c r="A6010" s="0" t="s">
        <v>722</v>
      </c>
      <c r="B6010" s="0" t="s">
        <v>86</v>
      </c>
      <c r="C6010" s="38" t="n">
        <f aca="false">Sens!$C$5961*Sens!$C$5909</f>
        <v>0.123617442257179</v>
      </c>
      <c r="D6010" s="38" t="n">
        <f aca="false">Sens!$D$5961*Sens!$D$5909</f>
        <v>0.600198046024689</v>
      </c>
      <c r="E6010" s="38" t="n">
        <f aca="false">Sens!$E$5961*Sens!$E$5909</f>
        <v>0.970552432202993</v>
      </c>
      <c r="F6010" s="38" t="n">
        <f aca="false">Sens!$F$5961*Sens!$F$5909</f>
        <v>1.20013524388435</v>
      </c>
      <c r="G6010" s="38" t="n">
        <f aca="false">Sens!$G$5961*Sens!$G$5909</f>
        <v>2.17135369594947</v>
      </c>
      <c r="H6010" s="38" t="n">
        <f aca="false">Sens!$H$5961*Sens!$H$5909</f>
        <v>6.14227489656333</v>
      </c>
      <c r="I6010" s="38" t="n">
        <f aca="false">Sens!$I$5961*Sens!$I$5909</f>
        <v>11.6518054969681</v>
      </c>
      <c r="J6010" s="38" t="n">
        <f aca="false">Sens!$J$5961*Sens!$J$5909</f>
        <v>17.3105301010592</v>
      </c>
      <c r="K6010" s="38" t="n">
        <f aca="false">Sens!$K$5961*Sens!$K$5909</f>
        <v>22.8486728059883</v>
      </c>
      <c r="L6010" s="38" t="n">
        <f aca="false">Sens!$L$5961*Sens!$L$5909</f>
        <v>26.6849171332777</v>
      </c>
      <c r="M6010" s="38" t="n">
        <f aca="false">Sens!$M$5961*Sens!$M$5909</f>
        <v>29.0523240317336</v>
      </c>
      <c r="N6010" s="38" t="n">
        <f aca="false">Sens!$N$5961*Sens!$N$5909</f>
        <v>0.25053229484398</v>
      </c>
      <c r="O6010" s="38" t="n">
        <f aca="false">Sens!$O$5961*Sens!$O$5909</f>
        <v>0.349234376756897</v>
      </c>
    </row>
    <row r="6011" customFormat="false" ht="17.15" hidden="false" customHeight="false" outlineLevel="0" collapsed="false">
      <c r="A6011" s="0" t="s">
        <v>723</v>
      </c>
      <c r="B6011" s="0" t="s">
        <v>52</v>
      </c>
      <c r="C6011" s="28" t="n">
        <f aca="false">(Sens!$C$6012-Sens!$C$6008+Sens!$C$6010)/Sens!$C$6009</f>
        <v>0.0131526665379575</v>
      </c>
      <c r="D6011" s="28" t="n">
        <f aca="false">(Sens!$D$6012-Sens!$D$6008+Sens!$D$6010)/Sens!$D$6009</f>
        <v>0.0141999252954702</v>
      </c>
      <c r="E6011" s="28" t="n">
        <f aca="false">(Sens!$E$6012-Sens!$E$6008+Sens!$E$6010)/Sens!$E$6009</f>
        <v>0.0251341154940129</v>
      </c>
      <c r="F6011" s="28" t="n">
        <f aca="false">Sens!$O$6011+(Sens!$E$6011-Sens!$N$6011)</f>
        <v>0.0217171685713677</v>
      </c>
      <c r="G6011" s="28" t="n">
        <f aca="false">(Sens!$G$6012-Sens!$G$6008+Sens!$G$6010)/Sens!$G$6009</f>
        <v>0.0233071940458981</v>
      </c>
      <c r="H6011" s="28" t="n">
        <f aca="false">Sens!$G$6011+step_na</f>
        <v>0.0263071940458981</v>
      </c>
      <c r="I6011" s="28" t="n">
        <f aca="false">Sens!$H$6011+step_na</f>
        <v>0.0293071940458981</v>
      </c>
      <c r="J6011" s="28" t="n">
        <f aca="false">Sens!$I$6011+step_na</f>
        <v>0.0323071940458981</v>
      </c>
      <c r="K6011" s="28" t="n">
        <f aca="false">Sens!$J$6011+step_na</f>
        <v>0.0353071940458981</v>
      </c>
      <c r="L6011" s="28" t="n">
        <f aca="false">Sens!$K$6011</f>
        <v>0.0353071940458981</v>
      </c>
      <c r="M6011" s="28" t="n">
        <f aca="false">Sens!$L$6011</f>
        <v>0.0353071940458981</v>
      </c>
      <c r="N6011" s="28" t="n">
        <f aca="false">(Sens!$N$6012-Sens!$N$6008+Sens!$N$6010)/Sens!$N$6009</f>
        <v>0.0160831323269779</v>
      </c>
      <c r="O6011" s="28" t="n">
        <f aca="false">(Sens!$O$6012-Sens!$O$6008+Sens!$O$6010)/Sens!$O$6009</f>
        <v>0.0126661854043327</v>
      </c>
      <c r="P6011" s="8" t="s">
        <v>724</v>
      </c>
    </row>
    <row r="6012" customFormat="false" ht="17.15" hidden="false" customHeight="false" outlineLevel="0" collapsed="false">
      <c r="A6012" s="1" t="s">
        <v>725</v>
      </c>
      <c r="B6012" s="8" t="s">
        <v>86</v>
      </c>
      <c r="C6012" s="38" t="n">
        <f aca="false">Q!$D$22</f>
        <v>24.967</v>
      </c>
      <c r="D6012" s="38" t="n">
        <f aca="false">Q!$E$22</f>
        <v>29.619</v>
      </c>
      <c r="E6012" s="38" t="n">
        <f aca="false">Q!$P$22</f>
        <v>17.39</v>
      </c>
      <c r="F6012" s="38" t="n">
        <f aca="false">Sens!$F$6008+Sens!$F$6009*Sens!$F$6011-Sens!$F$6010</f>
        <v>20.0952307469491</v>
      </c>
      <c r="G6012" s="38" t="n">
        <f aca="false">Sens!$E$6012+Sens!$F$6012</f>
        <v>37.4852307469491</v>
      </c>
      <c r="H6012" s="38" t="n">
        <f aca="false">Sens!$H$6008+Sens!$H$6009*Sens!$H$6011-Sens!$H$6010</f>
        <v>41.7888688877206</v>
      </c>
      <c r="I6012" s="38" t="n">
        <f aca="false">Sens!$I$6008+Sens!$I$6009*Sens!$I$6011-Sens!$I$6010</f>
        <v>44.7345973874265</v>
      </c>
      <c r="J6012" s="38" t="n">
        <f aca="false">Sens!$J$6008+Sens!$J$6009*Sens!$J$6011-Sens!$J$6010</f>
        <v>47.2590435011574</v>
      </c>
      <c r="K6012" s="38" t="n">
        <f aca="false">Sens!$K$6008+Sens!$K$6009*Sens!$K$6011-Sens!$K$6010</f>
        <v>49.1263799183386</v>
      </c>
      <c r="L6012" s="38" t="n">
        <f aca="false">Sens!$L$6008+Sens!$L$6009*Sens!$L$6011-Sens!$L$6010</f>
        <v>51.67835368582</v>
      </c>
      <c r="M6012" s="38" t="n">
        <f aca="false">Sens!$M$6008+Sens!$M$6009*Sens!$M$6011-Sens!$M$6010</f>
        <v>56.2932216308652</v>
      </c>
      <c r="N6012" s="38" t="n">
        <f aca="false">Q!$N$22</f>
        <v>13.358</v>
      </c>
      <c r="O6012" s="38" t="n">
        <f aca="false">Q!$O$22</f>
        <v>16.261</v>
      </c>
    </row>
    <row r="6013" customFormat="false" ht="17.15" hidden="false" customHeight="false" outlineLevel="0" collapsed="false">
      <c r="A6013" s="0" t="s">
        <v>726</v>
      </c>
      <c r="B6013" s="0" t="s">
        <v>86</v>
      </c>
      <c r="C6013" s="38" t="n">
        <f aca="false">Sens!$C$5913*m_ad</f>
        <v>7.57284355857716</v>
      </c>
      <c r="D6013" s="38" t="n">
        <f aca="false">Sens!$D$5913*m_ad</f>
        <v>9.44543827004127</v>
      </c>
      <c r="E6013" s="38" t="n">
        <f aca="false">Sens!$E$5913*m_ad</f>
        <v>5.02428875377928</v>
      </c>
      <c r="F6013" s="38" t="n">
        <f aca="false">Sens!$F$5913*m_ad</f>
        <v>6.50663858068173</v>
      </c>
      <c r="G6013" s="38" t="n">
        <f aca="false">Sens!$G$5913*m_ad</f>
        <v>11.5225190751659</v>
      </c>
      <c r="H6013" s="38" t="n">
        <f aca="false">Sens!$H$5913*m_ad</f>
        <v>13.8333728663174</v>
      </c>
      <c r="I6013" s="38" t="n">
        <f aca="false">Sens!$I$5913*m_ad</f>
        <v>16.1440173245485</v>
      </c>
      <c r="J6013" s="38" t="n">
        <f aca="false">Sens!$J$5913*m_ad</f>
        <v>18.2995185845066</v>
      </c>
      <c r="K6013" s="38" t="n">
        <f aca="false">Sens!$K$5913*m_ad</f>
        <v>20.1294704429572</v>
      </c>
      <c r="L6013" s="38" t="n">
        <f aca="false">Sens!$L$5913*m_ad</f>
        <v>22.142417487253</v>
      </c>
      <c r="M6013" s="38" t="n">
        <f aca="false">Sens!$M$5913*m_ad</f>
        <v>24.3566592359783</v>
      </c>
      <c r="N6013" s="38" t="n">
        <f aca="false">Sens!$N$5913*m_ad</f>
        <v>3.95314442937518</v>
      </c>
      <c r="O6013" s="38" t="n">
        <f aca="false">Sens!$O$5913*m_ad</f>
        <v>5.50052681786011</v>
      </c>
    </row>
    <row r="6014" customFormat="false" ht="17.15" hidden="false" customHeight="false" outlineLevel="0" collapsed="false">
      <c r="A6014" s="0" t="s">
        <v>727</v>
      </c>
      <c r="B6014" s="0" t="s">
        <v>86</v>
      </c>
      <c r="C6014" s="38" t="n">
        <f aca="false">Sens!$C$5911-Sens!$C$5913</f>
        <v>127.760312882846</v>
      </c>
      <c r="D6014" s="38" t="n">
        <f aca="false">Sens!$D$5911-Sens!$D$5913</f>
        <v>143.003123459917</v>
      </c>
      <c r="E6014" s="38" t="n">
        <f aca="false">Sens!$E$5911-Sens!$E$5913</f>
        <v>71.9374224924414</v>
      </c>
      <c r="F6014" s="38" t="n">
        <f aca="false">Sens!$F$5911-Sens!$F$5913</f>
        <v>85.3951910035875</v>
      </c>
      <c r="G6014" s="38" t="n">
        <f aca="false">Sens!$G$5911-Sens!$G$5913</f>
        <v>157.349430014619</v>
      </c>
      <c r="H6014" s="38" t="n">
        <f aca="false">Sens!$H$5911-Sens!$H$5913</f>
        <v>172.043153372315</v>
      </c>
      <c r="I6014" s="38" t="n">
        <f aca="false">Sens!$I$5911-Sens!$I$5913</f>
        <v>186.097493615879</v>
      </c>
      <c r="J6014" s="38" t="n">
        <f aca="false">Sens!$J$5911-Sens!$J$5913</f>
        <v>199.117932780497</v>
      </c>
      <c r="K6014" s="38" t="n">
        <f aca="false">Sens!$K$5911-Sens!$K$5913</f>
        <v>210.70928698363</v>
      </c>
      <c r="L6014" s="38" t="n">
        <f aca="false">Sens!$L$5911-Sens!$L$5913</f>
        <v>223.000532251316</v>
      </c>
      <c r="M6014" s="38" t="n">
        <f aca="false">Sens!$M$5911-Sens!$M$5913</f>
        <v>236.035261011339</v>
      </c>
      <c r="N6014" s="38" t="n">
        <f aca="false">Sens!$N$5911-Sens!$N$5913</f>
        <v>62.3677111412496</v>
      </c>
      <c r="O6014" s="38" t="n">
        <f aca="false">Sens!$O$5911-Sens!$O$5913</f>
        <v>80.6189463642798</v>
      </c>
    </row>
    <row r="6015" customFormat="false" ht="17.15" hidden="false" customHeight="false" outlineLevel="0" collapsed="false">
      <c r="A6015" s="0" t="s">
        <v>728</v>
      </c>
      <c r="B6015" s="0" t="s">
        <v>86</v>
      </c>
      <c r="C6015" s="38" t="n">
        <f aca="false">Sens!$C$5961*(1-Sens!$C$5909)</f>
        <v>0.0455891896019953</v>
      </c>
      <c r="D6015" s="38" t="n">
        <f aca="false">Sens!$D$5961*(1-Sens!$D$5909)</f>
        <v>0.227931791705753</v>
      </c>
      <c r="E6015" s="38" t="n">
        <f aca="false">Sens!$E$5961*(1-Sens!$E$5909)</f>
        <v>0.361164268820781</v>
      </c>
      <c r="F6015" s="38" t="n">
        <f aca="false">Sens!$F$5961*(1-Sens!$F$5909)</f>
        <v>0.471208018190203</v>
      </c>
      <c r="G6015" s="38" t="n">
        <f aca="false">Sens!$G$5961*(1-Sens!$G$5909)</f>
        <v>0.83170626714885</v>
      </c>
      <c r="H6015" s="38" t="n">
        <f aca="false">Sens!$H$5961*(1-Sens!$H$5909)</f>
        <v>2.35271136874315</v>
      </c>
      <c r="I6015" s="38" t="n">
        <f aca="false">Sens!$I$5961*(1-Sens!$I$5909)</f>
        <v>4.46305900024741</v>
      </c>
      <c r="J6015" s="38" t="n">
        <f aca="false">Sens!$J$5961*(1-Sens!$J$5909)</f>
        <v>6.63055328092195</v>
      </c>
      <c r="K6015" s="38" t="n">
        <f aca="false">Sens!$K$5961*(1-Sens!$K$5909)</f>
        <v>8.75186037365703</v>
      </c>
      <c r="L6015" s="38" t="n">
        <f aca="false">Sens!$L$5961*(1-Sens!$L$5909)</f>
        <v>10.2212794071718</v>
      </c>
      <c r="M6015" s="38" t="n">
        <f aca="false">Sens!$M$5961*(1-Sens!$M$5909)</f>
        <v>11.1280810756472</v>
      </c>
      <c r="N6015" s="38" t="n">
        <f aca="false">Sens!$N$5961*(1-Sens!$N$5909)</f>
        <v>0.0912435878202994</v>
      </c>
      <c r="O6015" s="38" t="n">
        <f aca="false">Sens!$O$5961*(1-Sens!$O$5909)</f>
        <v>0.137119578309265</v>
      </c>
    </row>
    <row r="6016" customFormat="false" ht="17.15" hidden="false" customHeight="false" outlineLevel="0" collapsed="false">
      <c r="A6016" s="0" t="s">
        <v>729</v>
      </c>
      <c r="B6016" s="0" t="s">
        <v>52</v>
      </c>
      <c r="C6016" s="28" t="n">
        <f aca="false">(Sens!$C$6017-Sens!$C$6013+Sens!$C$6015)/Sens!$C$6014</f>
        <v>-0.0292364215826579</v>
      </c>
      <c r="D6016" s="28" t="n">
        <f aca="false">(Sens!$D$6017-Sens!$D$6013+Sens!$D$6015)/Sens!$D$6014</f>
        <v>-0.0312406216748665</v>
      </c>
      <c r="E6016" s="28" t="n">
        <f aca="false">(Sens!$E$6017-Sens!$E$6013+Sens!$E$6015)/Sens!$E$6014</f>
        <v>-0.0211590078184749</v>
      </c>
      <c r="F6016" s="28" t="n">
        <f aca="false">Sens!$O$6016+(Sens!$E$6016-Sens!$N$6016)</f>
        <v>-0.0382539955245511</v>
      </c>
      <c r="G6016" s="28" t="n">
        <f aca="false">(Sens!$G$6017-Sens!$G$6013+Sens!$G$6015)/Sens!$G$6014</f>
        <v>-0.030385172031133</v>
      </c>
      <c r="H6016" s="28" t="n">
        <f aca="false">Sens!$G$6016+step_in</f>
        <v>-0.030385172031133</v>
      </c>
      <c r="I6016" s="28" t="n">
        <f aca="false">Sens!$H$6016+step_in</f>
        <v>-0.030385172031133</v>
      </c>
      <c r="J6016" s="28" t="n">
        <f aca="false">Sens!$I$6016+step_in</f>
        <v>-0.030385172031133</v>
      </c>
      <c r="K6016" s="28" t="n">
        <f aca="false">Sens!$J$6016+step_in</f>
        <v>-0.030385172031133</v>
      </c>
      <c r="L6016" s="28" t="n">
        <f aca="false">Sens!$K$6016</f>
        <v>-0.030385172031133</v>
      </c>
      <c r="M6016" s="28" t="n">
        <f aca="false">Sens!$L$6016</f>
        <v>-0.030385172031133</v>
      </c>
      <c r="N6016" s="28" t="n">
        <f aca="false">(Sens!$N$6017-Sens!$N$6013+Sens!$N$6015)/Sens!$N$6014</f>
        <v>-0.0216602600421776</v>
      </c>
      <c r="O6016" s="28" t="n">
        <f aca="false">(Sens!$O$6017-Sens!$O$6013+Sens!$O$6015)/Sens!$O$6014</f>
        <v>-0.0387552477482538</v>
      </c>
      <c r="P6016" s="8" t="s">
        <v>724</v>
      </c>
    </row>
    <row r="6017" customFormat="false" ht="17.15" hidden="false" customHeight="false" outlineLevel="0" collapsed="false">
      <c r="A6017" s="1" t="s">
        <v>730</v>
      </c>
      <c r="B6017" s="8" t="s">
        <v>86</v>
      </c>
      <c r="C6017" s="38" t="n">
        <f aca="false">Q!$D$23</f>
        <v>3.792</v>
      </c>
      <c r="D6017" s="38" t="n">
        <f aca="false">Q!$E$23</f>
        <v>4.75</v>
      </c>
      <c r="E6017" s="38" t="n">
        <f aca="false">Q!$P$23</f>
        <v>3.141</v>
      </c>
      <c r="F6017" s="38" t="n">
        <f aca="false">Sens!$F$6013+Sens!$F$6014*Sens!$F$6016-Sens!$F$6015</f>
        <v>2.7687233080221</v>
      </c>
      <c r="G6017" s="38" t="n">
        <f aca="false">Sens!$E$6017+Sens!$F$6017</f>
        <v>5.9097233080221</v>
      </c>
      <c r="H6017" s="38" t="n">
        <f aca="false">Sens!$H$6013+Sens!$H$6014*Sens!$H$6016-Sens!$H$6015</f>
        <v>6.25310068557783</v>
      </c>
      <c r="I6017" s="38" t="n">
        <f aca="false">Sens!$I$6013+Sens!$I$6014*Sens!$I$6016-Sens!$I$6015</f>
        <v>6.02635396621997</v>
      </c>
      <c r="J6017" s="38" t="n">
        <f aca="false">Sens!$J$6013+Sens!$J$6014*Sens!$J$6016-Sens!$J$6015</f>
        <v>5.61873266156566</v>
      </c>
      <c r="K6017" s="38" t="n">
        <f aca="false">Sens!$K$6013+Sens!$K$6014*Sens!$K$6016-Sens!$K$6015</f>
        <v>4.97517213574524</v>
      </c>
      <c r="L6017" s="38" t="n">
        <f aca="false">Sens!$L$6013+Sens!$L$6014*Sens!$L$6016-Sens!$L$6015</f>
        <v>5.14522854459066</v>
      </c>
      <c r="M6017" s="38" t="n">
        <f aca="false">Sens!$M$6013+Sens!$M$6014*Sens!$M$6016-Sens!$M$6015</f>
        <v>6.05660614908815</v>
      </c>
      <c r="N6017" s="38" t="n">
        <f aca="false">Q!$N$23</f>
        <v>2.511</v>
      </c>
      <c r="O6017" s="38" t="n">
        <f aca="false">Q!$O$23</f>
        <v>2.239</v>
      </c>
    </row>
    <row r="6018" customFormat="false" ht="17.15" hidden="false" customHeight="false" outlineLevel="0" collapsed="false">
      <c r="A6018" s="0" t="s">
        <v>731</v>
      </c>
      <c r="B6018" s="0" t="s">
        <v>86</v>
      </c>
      <c r="C6018" s="38" t="n">
        <f aca="false">Sens!$C$5958</f>
        <v>1.64417882953695</v>
      </c>
      <c r="D6018" s="38" t="n">
        <f aca="false">Sens!$D$5958</f>
        <v>5.39125073772939</v>
      </c>
      <c r="E6018" s="38" t="n">
        <f aca="false">Sens!$E$5958</f>
        <v>3.18348617147493</v>
      </c>
      <c r="F6018" s="38" t="n">
        <f aca="false">Sens!$F$5958</f>
        <v>8.27806059642226</v>
      </c>
      <c r="G6018" s="38" t="n">
        <f aca="false">Sens!$G$5958</f>
        <v>11.4615467678972</v>
      </c>
      <c r="H6018" s="38" t="n">
        <f aca="false">Sens!$H$5958</f>
        <v>26.1859456885487</v>
      </c>
      <c r="I6018" s="38" t="n">
        <f aca="false">Sens!$I$5958</f>
        <v>37.04424114757</v>
      </c>
      <c r="J6018" s="38" t="n">
        <f aca="false">Sens!$J$5958</f>
        <v>47.2610736233534</v>
      </c>
      <c r="K6018" s="38" t="n">
        <f aca="false">Sens!$K$5958</f>
        <v>52.0459876645985</v>
      </c>
      <c r="L6018" s="38" t="n">
        <f aca="false">Sens!$L$5958</f>
        <v>54.1033156405981</v>
      </c>
      <c r="M6018" s="38" t="n">
        <f aca="false">Sens!$M$5958</f>
        <v>52.1138209393421</v>
      </c>
      <c r="N6018" s="38" t="n">
        <f aca="false">Sens!$N$5958</f>
        <v>1.67921600037079</v>
      </c>
      <c r="O6018" s="38" t="n">
        <f aca="false">Sens!$O$5958</f>
        <v>3.71203473735861</v>
      </c>
    </row>
    <row r="6019" customFormat="false" ht="17.15" hidden="false" customHeight="false" outlineLevel="0" collapsed="false">
      <c r="A6019" s="0" t="s">
        <v>649</v>
      </c>
      <c r="B6019" s="0" t="s">
        <v>86</v>
      </c>
      <c r="C6019" s="38" t="n">
        <f aca="false">Sens!$C$5963</f>
        <v>38.1898211704631</v>
      </c>
      <c r="D6019" s="38" t="n">
        <f aca="false">Sens!$D$5963</f>
        <v>40.2147492622706</v>
      </c>
      <c r="E6019" s="38" t="n">
        <f aca="false">Sens!$E$5963</f>
        <v>27.5985138285251</v>
      </c>
      <c r="F6019" s="38" t="n">
        <f aca="false">Sens!$F$5963</f>
        <v>25.5484769754606</v>
      </c>
      <c r="G6019" s="38" t="n">
        <f aca="false">Sens!$G$5963</f>
        <v>53.1469908039857</v>
      </c>
      <c r="H6019" s="38" t="n">
        <f aca="false">Sens!$H$5963</f>
        <v>57.3189525076539</v>
      </c>
      <c r="I6019" s="38" t="n">
        <f aca="false">Sens!$I$5963</f>
        <v>63.6385627021087</v>
      </c>
      <c r="J6019" s="38" t="n">
        <f aca="false">Sens!$J$5963</f>
        <v>69.6922896066105</v>
      </c>
      <c r="K6019" s="38" t="n">
        <f aca="false">Sens!$K$5963</f>
        <v>75.2676727751394</v>
      </c>
      <c r="L6019" s="38" t="n">
        <f aca="false">Sens!$L$5963</f>
        <v>81.2890865971505</v>
      </c>
      <c r="M6019" s="38" t="n">
        <f aca="false">Sens!$M$5963</f>
        <v>87.7922135249226</v>
      </c>
      <c r="N6019" s="38" t="n">
        <f aca="false">Sens!$N$5963</f>
        <v>20.0277839996292</v>
      </c>
      <c r="O6019" s="38" t="n">
        <f aca="false">Sens!$O$5963</f>
        <v>20.1869652626414</v>
      </c>
    </row>
    <row r="6020" customFormat="false" ht="17.15" hidden="false" customHeight="false" outlineLevel="0" collapsed="false">
      <c r="A6020" s="1" t="s">
        <v>732</v>
      </c>
      <c r="B6020" s="8" t="s">
        <v>86</v>
      </c>
      <c r="C6020" s="38" t="n">
        <f aca="false">Q!$D$24</f>
        <v>39.834</v>
      </c>
      <c r="D6020" s="38" t="n">
        <f aca="false">Q!$E$24</f>
        <v>45.606</v>
      </c>
      <c r="E6020" s="38" t="n">
        <f aca="false">Q!$P$24</f>
        <v>30.782</v>
      </c>
      <c r="F6020" s="38" t="n">
        <f aca="false">Sens!$F$6018+Sens!$F$6019</f>
        <v>33.8265375718829</v>
      </c>
      <c r="G6020" s="38" t="n">
        <f aca="false">Sens!$G$6018+Sens!$G$6019</f>
        <v>64.6085375718829</v>
      </c>
      <c r="H6020" s="38" t="n">
        <f aca="false">Sens!$H$6018+Sens!$H$6019</f>
        <v>83.5048981962026</v>
      </c>
      <c r="I6020" s="38" t="n">
        <f aca="false">Sens!$I$6018+Sens!$I$6019</f>
        <v>100.682803849679</v>
      </c>
      <c r="J6020" s="38" t="n">
        <f aca="false">Sens!$J$6018+Sens!$J$6019</f>
        <v>116.953363229964</v>
      </c>
      <c r="K6020" s="38" t="n">
        <f aca="false">Sens!$K$6018+Sens!$K$6019</f>
        <v>127.313660439738</v>
      </c>
      <c r="L6020" s="38" t="n">
        <f aca="false">Sens!$L$6018+Sens!$L$6019</f>
        <v>135.392402237749</v>
      </c>
      <c r="M6020" s="38" t="n">
        <f aca="false">Sens!$M$6018+Sens!$M$6019</f>
        <v>139.906034464265</v>
      </c>
      <c r="N6020" s="38" t="n">
        <f aca="false">Q!$N$24</f>
        <v>21.707</v>
      </c>
      <c r="O6020" s="38" t="n">
        <f aca="false">Q!$O$24</f>
        <v>23.899</v>
      </c>
    </row>
    <row r="6021" customFormat="false" ht="17.15" hidden="false" customHeight="false" outlineLevel="0" collapsed="false">
      <c r="A6021" s="5" t="s">
        <v>733</v>
      </c>
      <c r="B6021" s="0" t="s">
        <v>86</v>
      </c>
      <c r="C6021" s="38" t="n">
        <f aca="false">Q!$D$26</f>
        <v>0</v>
      </c>
      <c r="D6021" s="38" t="n">
        <f aca="false">Q!$E$26</f>
        <v>0</v>
      </c>
      <c r="E6021" s="38" t="n">
        <f aca="false">Q!$P$26</f>
        <v>0</v>
      </c>
      <c r="F6021" s="39" t="n">
        <v>0</v>
      </c>
      <c r="G6021" s="38" t="n">
        <f aca="false">Sens!$E$6021+Sens!$F$6021</f>
        <v>0</v>
      </c>
      <c r="H6021" s="39" t="n">
        <v>0</v>
      </c>
      <c r="I6021" s="39" t="n">
        <v>0</v>
      </c>
      <c r="J6021" s="39" t="n">
        <v>0</v>
      </c>
      <c r="K6021" s="39" t="n">
        <v>0</v>
      </c>
      <c r="L6021" s="39" t="n">
        <v>0</v>
      </c>
      <c r="M6021" s="39" t="n">
        <v>0</v>
      </c>
      <c r="N6021" s="38" t="n">
        <f aca="false">Q!$N$26</f>
        <v>0</v>
      </c>
      <c r="O6021" s="38" t="n">
        <f aca="false">Q!$O$26</f>
        <v>0</v>
      </c>
    </row>
    <row r="6022" customFormat="false" ht="15" hidden="false" customHeight="false" outlineLevel="0" collapsed="false">
      <c r="A6022" s="3" t="s">
        <v>534</v>
      </c>
      <c r="B6022" s="8" t="s">
        <v>86</v>
      </c>
      <c r="C6022" s="38" t="n">
        <f aca="false">Q!$D$25</f>
        <v>68.593</v>
      </c>
      <c r="D6022" s="38" t="n">
        <f aca="false">Q!$E$25</f>
        <v>79.975</v>
      </c>
      <c r="E6022" s="38" t="n">
        <f aca="false">Q!$P$25</f>
        <v>51.313</v>
      </c>
      <c r="F6022" s="38" t="n">
        <f aca="false">Sens!$F$6012+Sens!$F$6017+Sens!$F$6020+Sens!$F$6021</f>
        <v>56.6904916268541</v>
      </c>
      <c r="G6022" s="38" t="n">
        <f aca="false">Sens!$G$6012+Sens!$G$6017+Sens!$G$6020+Sens!$G$6021</f>
        <v>108.003491626854</v>
      </c>
      <c r="H6022" s="38" t="n">
        <f aca="false">Sens!$H$6012+Sens!$H$6017+Sens!$H$6020+Sens!$H$6021</f>
        <v>131.546867769501</v>
      </c>
      <c r="I6022" s="38" t="n">
        <f aca="false">Sens!$I$6012+Sens!$I$6017+Sens!$I$6020+Sens!$I$6021</f>
        <v>151.443755203325</v>
      </c>
      <c r="J6022" s="38" t="n">
        <f aca="false">Sens!$J$6012+Sens!$J$6017+Sens!$J$6020+Sens!$J$6021</f>
        <v>169.831139392687</v>
      </c>
      <c r="K6022" s="38" t="n">
        <f aca="false">Sens!$K$6012+Sens!$K$6017+Sens!$K$6020+Sens!$K$6021</f>
        <v>181.415212493822</v>
      </c>
      <c r="L6022" s="38" t="n">
        <f aca="false">Sens!$L$6012+Sens!$L$6017+Sens!$L$6020+Sens!$L$6021</f>
        <v>192.215984468159</v>
      </c>
      <c r="M6022" s="38" t="n">
        <f aca="false">Sens!$M$6012+Sens!$M$6017+Sens!$M$6020+Sens!$M$6021</f>
        <v>202.255862244218</v>
      </c>
      <c r="N6022" s="38" t="n">
        <f aca="false">Q!$N$25</f>
        <v>37.576</v>
      </c>
      <c r="O6022" s="38" t="n">
        <f aca="false">Q!$O$25</f>
        <v>42.399</v>
      </c>
    </row>
    <row r="6023" customFormat="false" ht="17.15" hidden="false" customHeight="false" outlineLevel="0" collapsed="false">
      <c r="A6023" s="24" t="s">
        <v>764</v>
      </c>
      <c r="B6023" s="25" t="s">
        <v>86</v>
      </c>
      <c r="C6023" s="41" t="n">
        <f aca="false">Sens!$C$6012+Sens!$C$6017+Sens!$C$6020+Sens!$C$6021-Sens!$C$6022</f>
        <v>0</v>
      </c>
      <c r="D6023" s="41" t="n">
        <f aca="false">Sens!$D$6012+Sens!$D$6017+Sens!$D$6020+Sens!$D$6021-Sens!$D$6022</f>
        <v>0</v>
      </c>
      <c r="E6023" s="41" t="n">
        <f aca="false">Sens!$E$6012+Sens!$E$6017+Sens!$E$6020+Sens!$E$6021-Sens!$E$6022</f>
        <v>0</v>
      </c>
      <c r="F6023" s="41" t="n">
        <f aca="false">Sens!$F$6012+Sens!$F$6017+Sens!$F$6020+Sens!$F$6021-Sens!$F$6022</f>
        <v>0</v>
      </c>
      <c r="G6023" s="41" t="n">
        <f aca="false">Sens!$G$6012+Sens!$G$6017+Sens!$G$6020+Sens!$G$6021-Sens!$G$6022</f>
        <v>0</v>
      </c>
      <c r="H6023" s="41" t="n">
        <f aca="false">Sens!$H$6012+Sens!$H$6017+Sens!$H$6020+Sens!$H$6021-Sens!$H$6022</f>
        <v>0</v>
      </c>
      <c r="I6023" s="41" t="n">
        <f aca="false">Sens!$I$6012+Sens!$I$6017+Sens!$I$6020+Sens!$I$6021-Sens!$I$6022</f>
        <v>0</v>
      </c>
      <c r="J6023" s="41" t="n">
        <f aca="false">Sens!$J$6012+Sens!$J$6017+Sens!$J$6020+Sens!$J$6021-Sens!$J$6022</f>
        <v>0</v>
      </c>
      <c r="K6023" s="41" t="n">
        <f aca="false">Sens!$K$6012+Sens!$K$6017+Sens!$K$6020+Sens!$K$6021-Sens!$K$6022</f>
        <v>0</v>
      </c>
      <c r="L6023" s="41" t="n">
        <f aca="false">Sens!$L$6012+Sens!$L$6017+Sens!$L$6020+Sens!$L$6021-Sens!$L$6022</f>
        <v>0</v>
      </c>
      <c r="M6023" s="41" t="n">
        <f aca="false">Sens!$M$6012+Sens!$M$6017+Sens!$M$6020+Sens!$M$6021-Sens!$M$6022</f>
        <v>0</v>
      </c>
      <c r="N6023" s="41" t="n">
        <f aca="false">Sens!$N$6012+Sens!$N$6017+Sens!$N$6020+Sens!$N$6021-Sens!$N$6022</f>
        <v>0</v>
      </c>
      <c r="O6023" s="41" t="n">
        <f aca="false">Sens!$O$6012+Sens!$O$6017+Sens!$O$6020+Sens!$O$6021-Sens!$O$6022</f>
        <v>0</v>
      </c>
    </row>
    <row r="6024" customFormat="false" ht="17.15" hidden="false" customHeight="false" outlineLevel="0" collapsed="false">
      <c r="A6024" s="5" t="s">
        <v>735</v>
      </c>
      <c r="B6024" s="0" t="s">
        <v>86</v>
      </c>
      <c r="C6024" s="38" t="n">
        <f aca="false">Sens!$C$5960</f>
        <v>0</v>
      </c>
      <c r="D6024" s="38" t="n">
        <f aca="false">Sens!$D$5960</f>
        <v>0</v>
      </c>
      <c r="E6024" s="38" t="n">
        <f aca="false">Sens!$E$5960</f>
        <v>0</v>
      </c>
      <c r="F6024" s="38" t="n">
        <f aca="false">Sens!$F$5960</f>
        <v>3.77122048175818</v>
      </c>
      <c r="G6024" s="38" t="n">
        <f aca="false">Sens!$G$5960</f>
        <v>3.77122048175818</v>
      </c>
      <c r="H6024" s="38" t="n">
        <f aca="false">Sens!$H$5960</f>
        <v>15.1635543609893</v>
      </c>
      <c r="I6024" s="38" t="n">
        <f aca="false">Sens!$I$5960</f>
        <v>25.5818843619889</v>
      </c>
      <c r="J6024" s="38" t="n">
        <f aca="false">Sens!$J$5960</f>
        <v>36.0465624179122</v>
      </c>
      <c r="K6024" s="38" t="n">
        <f aca="false">Sens!$K$5960</f>
        <v>44.9741164026038</v>
      </c>
      <c r="L6024" s="38" t="n">
        <f aca="false">Sens!$L$5960</f>
        <v>50.8413488057813</v>
      </c>
      <c r="M6024" s="38" t="n">
        <f aca="false">Sens!$M$5960</f>
        <v>53.6407214274315</v>
      </c>
      <c r="N6024" s="38" t="n">
        <f aca="false">Sens!$N$5960</f>
        <v>0</v>
      </c>
      <c r="O6024" s="38" t="n">
        <f aca="false">Sens!$O$5960</f>
        <v>0</v>
      </c>
      <c r="P6024" s="5" t="s">
        <v>736</v>
      </c>
    </row>
    <row r="6025" customFormat="false" ht="17.15" hidden="false" customHeight="false" outlineLevel="0" collapsed="false">
      <c r="A6025" s="5" t="s">
        <v>737</v>
      </c>
      <c r="B6025" s="0" t="s">
        <v>86</v>
      </c>
      <c r="C6025" s="38" t="n">
        <f aca="false">Sens!$C$6022+Sens!$C$6024</f>
        <v>68.593</v>
      </c>
      <c r="D6025" s="38" t="n">
        <f aca="false">Sens!$D$6022+Sens!$D$6024</f>
        <v>79.975</v>
      </c>
      <c r="E6025" s="38" t="n">
        <f aca="false">Sens!$E$6022+Sens!$E$6024</f>
        <v>51.313</v>
      </c>
      <c r="F6025" s="38" t="n">
        <f aca="false">Sens!$F$6022+Sens!$F$6024</f>
        <v>60.4617121086123</v>
      </c>
      <c r="G6025" s="38" t="n">
        <f aca="false">Sens!$G$6022+Sens!$G$6024</f>
        <v>111.774712108612</v>
      </c>
      <c r="H6025" s="38" t="n">
        <f aca="false">Sens!$H$6022+Sens!$H$6024</f>
        <v>146.71042213049</v>
      </c>
      <c r="I6025" s="38" t="n">
        <f aca="false">Sens!$I$6022+Sens!$I$6024</f>
        <v>177.025639565314</v>
      </c>
      <c r="J6025" s="38" t="n">
        <f aca="false">Sens!$J$6022+Sens!$J$6024</f>
        <v>205.877701810599</v>
      </c>
      <c r="K6025" s="38" t="n">
        <f aca="false">Sens!$K$6022+Sens!$K$6024</f>
        <v>226.389328896426</v>
      </c>
      <c r="L6025" s="38" t="n">
        <f aca="false">Sens!$L$6022+Sens!$L$6024</f>
        <v>243.057333273941</v>
      </c>
      <c r="M6025" s="38" t="n">
        <f aca="false">Sens!$M$6022+Sens!$M$6024</f>
        <v>255.896583671649</v>
      </c>
      <c r="N6025" s="38" t="n">
        <f aca="false">Sens!$N$6022+Sens!$N$6024</f>
        <v>37.576</v>
      </c>
      <c r="O6025" s="38" t="n">
        <f aca="false">Sens!$O$6022+Sens!$O$6024</f>
        <v>42.399</v>
      </c>
    </row>
    <row r="6026" customFormat="false" ht="17.15" hidden="false" customHeight="false" outlineLevel="0" collapsed="false">
      <c r="A6026" s="0" t="s">
        <v>738</v>
      </c>
      <c r="B6026" s="0" t="s">
        <v>52</v>
      </c>
      <c r="C6026" s="13" t="n">
        <f aca="false">Sens!$C$6012/Sens!$C$5997</f>
        <v>0.0644314665661928</v>
      </c>
      <c r="D6026" s="13" t="n">
        <f aca="false">Sens!$D$6012/Sens!$D$5997</f>
        <v>0.0694784250712518</v>
      </c>
      <c r="E6026" s="13" t="n">
        <f aca="false">Sens!$E$6012/Sens!$E$5997</f>
        <v>0.0789306463326071</v>
      </c>
      <c r="F6026" s="13" t="n">
        <f aca="false">Sens!$F$6012/Sens!$F$5997</f>
        <v>0.0801757457241943</v>
      </c>
      <c r="G6026" s="13" t="n">
        <f aca="false">Sens!$G$6012/Sens!$G$5997</f>
        <v>0.0795932749625682</v>
      </c>
      <c r="H6026" s="13" t="n">
        <f aca="false">Sens!$H$6012/Sens!$H$5997</f>
        <v>0.0801494276915951</v>
      </c>
      <c r="I6026" s="13" t="n">
        <f aca="false">Sens!$I$6012/Sens!$I$5997</f>
        <v>0.0784619467108939</v>
      </c>
      <c r="J6026" s="13" t="n">
        <f aca="false">Sens!$J$6012/Sens!$J$5997</f>
        <v>0.0767950945569155</v>
      </c>
      <c r="K6026" s="13" t="n">
        <f aca="false">Sens!$K$6012/Sens!$K$5997</f>
        <v>0.0749782708028101</v>
      </c>
      <c r="L6026" s="13" t="n">
        <f aca="false">Sens!$L$6012/Sens!$L$5997</f>
        <v>0.0740581549602486</v>
      </c>
      <c r="M6026" s="13" t="n">
        <f aca="false">Sens!$M$6012/Sens!$M$5997</f>
        <v>0.075724068445432</v>
      </c>
      <c r="N6026" s="13" t="n">
        <f aca="false">Sens!$N$6012/Sens!$N$5997</f>
        <v>0.069228576611127</v>
      </c>
      <c r="O6026" s="13" t="n">
        <f aca="false">Sens!$O$6012/Sens!$O$5997</f>
        <v>0.069685022498393</v>
      </c>
    </row>
    <row r="6027" customFormat="false" ht="17.15" hidden="false" customHeight="false" outlineLevel="0" collapsed="false">
      <c r="A6027" s="0" t="s">
        <v>739</v>
      </c>
      <c r="B6027" s="0" t="s">
        <v>52</v>
      </c>
      <c r="C6027" s="13" t="n">
        <f aca="false">Sens!$C$6017/Sens!$C$5998</f>
        <v>0.026534925055631</v>
      </c>
      <c r="D6027" s="13" t="n">
        <f aca="false">Sens!$D$6017/Sens!$D$5998</f>
        <v>0.0293401855535103</v>
      </c>
      <c r="E6027" s="13" t="n">
        <f aca="false">Sens!$E$6017/Sens!$E$5998</f>
        <v>0.03831141902276</v>
      </c>
      <c r="F6027" s="13" t="n">
        <f aca="false">Sens!$F$6017/Sens!$F$5998</f>
        <v>0.0281350107328284</v>
      </c>
      <c r="G6027" s="13" t="n">
        <f aca="false">Sens!$G$6017/Sens!$G$5998</f>
        <v>0.0327600029432073</v>
      </c>
      <c r="H6027" s="13" t="n">
        <f aca="false">Sens!$H$6017/Sens!$H$5998</f>
        <v>0.031310920057557</v>
      </c>
      <c r="I6027" s="13" t="n">
        <f aca="false">Sens!$I$6017/Sens!$I$5998</f>
        <v>0.0275950243319601</v>
      </c>
      <c r="J6027" s="13" t="n">
        <f aca="false">Sens!$J$6017/Sens!$J$5998</f>
        <v>0.0238367762099147</v>
      </c>
      <c r="K6027" s="13" t="n">
        <f aca="false">Sens!$K$6017/Sens!$K$5998</f>
        <v>0.0198239122855479</v>
      </c>
      <c r="L6027" s="13" t="n">
        <f aca="false">Sens!$L$6017/Sens!$L$5998</f>
        <v>0.0192499447238486</v>
      </c>
      <c r="M6027" s="13" t="n">
        <f aca="false">Sens!$M$6017/Sens!$M$5998</f>
        <v>0.0212700135680342</v>
      </c>
      <c r="N6027" s="13" t="n">
        <f aca="false">Sens!$N$6017/Sens!$N$5998</f>
        <v>0.0357315650169337</v>
      </c>
      <c r="O6027" s="13" t="n">
        <f aca="false">Sens!$O$6017/Sens!$O$5998</f>
        <v>0.0244378956559703</v>
      </c>
    </row>
    <row r="6028" customFormat="false" ht="17.15" hidden="false" customHeight="false" outlineLevel="0" collapsed="false">
      <c r="A6028" s="14" t="s">
        <v>740</v>
      </c>
      <c r="B6028" s="14" t="s">
        <v>52</v>
      </c>
      <c r="C6028" s="17" t="n">
        <f aca="false">Sens!$C$6020/Sens!$C$5999</f>
        <v>0.370355907620217</v>
      </c>
      <c r="D6028" s="17" t="n">
        <f aca="false">Sens!$D$6020/Sens!$D$5999</f>
        <v>0.35429015342785</v>
      </c>
      <c r="E6028" s="17" t="n">
        <f aca="false">Sens!$E$6020/Sens!$E$5999</f>
        <v>0.385647527531039</v>
      </c>
      <c r="F6028" s="17" t="n">
        <f aca="false">Sens!$F$6020/Sens!$F$5999</f>
        <v>0.390008895496028</v>
      </c>
      <c r="G6028" s="17" t="n">
        <f aca="false">Sens!$G$6020/Sens!$G$5999</f>
        <v>0.387918733944362</v>
      </c>
      <c r="H6028" s="17" t="n">
        <f aca="false">Sens!$H$6020/Sens!$H$5999</f>
        <v>0.377537651365497</v>
      </c>
      <c r="I6028" s="17" t="n">
        <f aca="false">Sens!$I$6020/Sens!$I$5999</f>
        <v>0.359230604038662</v>
      </c>
      <c r="J6028" s="17" t="n">
        <f aca="false">Sens!$J$6020/Sens!$J$5999</f>
        <v>0.345197865849801</v>
      </c>
      <c r="K6028" s="17" t="n">
        <f aca="false">Sens!$K$6020/Sens!$K$5999</f>
        <v>0.32654098357242</v>
      </c>
      <c r="L6028" s="17" t="n">
        <f aca="false">Sens!$L$6020/Sens!$L$5999</f>
        <v>0.314806978274702</v>
      </c>
      <c r="M6028" s="17" t="n">
        <f aca="false">Sens!$M$6020/Sens!$M$5999</f>
        <v>0.304503505485029</v>
      </c>
      <c r="N6028" s="17" t="n">
        <f aca="false">Sens!$N$6020/Sens!$N$5999</f>
        <v>0.360941137346192</v>
      </c>
      <c r="O6028" s="17" t="n">
        <f aca="false">Sens!$O$6020/Sens!$O$5999</f>
        <v>0.348458117664212</v>
      </c>
    </row>
    <row r="6029" customFormat="false" ht="17.15" hidden="false" customHeight="false" outlineLevel="0" collapsed="false">
      <c r="A6029" s="0" t="s">
        <v>741</v>
      </c>
      <c r="B6029" s="0" t="s">
        <v>52</v>
      </c>
      <c r="C6029" s="13" t="n">
        <f aca="false">Sens!$C$6018/Sens!$C$6000</f>
        <v>0.708390794789371</v>
      </c>
      <c r="D6029" s="13" t="n">
        <f aca="false">Sens!$D$6018/Sens!$D$6000</f>
        <v>0.619415573115729</v>
      </c>
      <c r="E6029" s="13" t="n">
        <f aca="false">Sens!$E$6018/Sens!$E$6000</f>
        <v>0.374072166056273</v>
      </c>
      <c r="F6029" s="13" t="n">
        <f aca="false">Sens!$F$6018/Sens!$F$6000</f>
        <v>0.553219320710057</v>
      </c>
      <c r="G6029" s="13" t="n">
        <f aca="false">Sens!$G$6018/Sens!$G$6000</f>
        <v>0.488270041527512</v>
      </c>
      <c r="H6029" s="13" t="n">
        <f aca="false">Sens!$H$6018/Sens!$H$6000</f>
        <v>0.435229086816882</v>
      </c>
      <c r="I6029" s="13" t="n">
        <f aca="false">Sens!$I$6018/Sens!$I$6000</f>
        <v>0.364954592421095</v>
      </c>
      <c r="J6029" s="13" t="n">
        <f aca="false">Sens!$J$6018/Sens!$J$6000</f>
        <v>0.330438308582232</v>
      </c>
      <c r="K6029" s="13" t="n">
        <f aca="false">Sens!$K$6018/Sens!$K$6000</f>
        <v>0.2916589289528</v>
      </c>
      <c r="L6029" s="13" t="n">
        <f aca="false">Sens!$L$6018/Sens!$L$6000</f>
        <v>0.268199200593258</v>
      </c>
      <c r="M6029" s="13" t="n">
        <f aca="false">Sens!$M$6018/Sens!$M$6000</f>
        <v>0.244854995033574</v>
      </c>
      <c r="N6029" s="13" t="n">
        <f aca="false">Sens!$N$6018/Sens!$N$6000</f>
        <v>0.551227795793364</v>
      </c>
      <c r="O6029" s="13" t="n">
        <f aca="false">Sens!$O$6018/Sens!$O$6000</f>
        <v>0.656132068597002</v>
      </c>
    </row>
    <row r="6030" customFormat="false" ht="15" hidden="false" customHeight="false" outlineLevel="0" collapsed="false">
      <c r="A6030" s="5" t="s">
        <v>742</v>
      </c>
      <c r="B6030" s="0" t="s">
        <v>52</v>
      </c>
      <c r="C6030" s="13" t="n">
        <f aca="false">Sens!$C$6022/Sens!$C$6002</f>
        <v>0.107519448742004</v>
      </c>
      <c r="D6030" s="13" t="n">
        <f aca="false">Sens!$D$6022/Sens!$D$6002</f>
        <v>0.111552967957552</v>
      </c>
      <c r="E6030" s="13" t="n">
        <f aca="false">Sens!$E$6022/Sens!$E$6002</f>
        <v>0.13428328426562</v>
      </c>
      <c r="F6030" s="13" t="n">
        <f aca="false">Sens!$F$6022/Sens!$F$6002</f>
        <v>0.130089413875539</v>
      </c>
      <c r="G6030" s="13" t="n">
        <f aca="false">Sens!$G$6022/Sens!$G$6002</f>
        <v>0.132048786678316</v>
      </c>
      <c r="H6030" s="13" t="n">
        <f aca="false">Sens!$H$6022/Sens!$H$6002</f>
        <v>0.139604881440853</v>
      </c>
      <c r="I6030" s="13" t="n">
        <f aca="false">Sens!$I$6022/Sens!$I$6002</f>
        <v>0.141694752432769</v>
      </c>
      <c r="J6030" s="13" t="n">
        <f aca="false">Sens!$J$6022/Sens!$J$6002</f>
        <v>0.14272611544629</v>
      </c>
      <c r="K6030" s="13" t="n">
        <f aca="false">Sens!$K$6022/Sens!$K$6002</f>
        <v>0.139974160596744</v>
      </c>
      <c r="L6030" s="13" t="n">
        <f aca="false">Sens!$L$6022/Sens!$L$6002</f>
        <v>0.137772071866073</v>
      </c>
      <c r="M6030" s="13" t="n">
        <f aca="false">Sens!$M$6022/Sens!$M$6002</f>
        <v>0.13596080857516</v>
      </c>
      <c r="N6030" s="13" t="n">
        <f aca="false">Sens!$N$6022/Sens!$N$6002</f>
        <v>0.116201614873411</v>
      </c>
      <c r="O6030" s="13" t="n">
        <f aca="false">Sens!$O$6022/Sens!$O$6002</f>
        <v>0.107733353660861</v>
      </c>
    </row>
    <row r="6031" customFormat="false" ht="17.15" hidden="false" customHeight="false" outlineLevel="0" collapsed="false">
      <c r="A6031" s="1" t="s">
        <v>743</v>
      </c>
    </row>
    <row r="6032" customFormat="false" ht="17.15" hidden="false" customHeight="false" outlineLevel="0" collapsed="false">
      <c r="A6032" s="5" t="s">
        <v>744</v>
      </c>
      <c r="B6032" s="0" t="s">
        <v>52</v>
      </c>
      <c r="D6032" s="28" t="n">
        <f aca="false">(Q!$E$29+Q!$E$30-(1-ext_sh)*Sens!$D$5954)/Sens!$D$5908</f>
        <v>0.0341105596409988</v>
      </c>
    </row>
    <row r="6033" customFormat="false" ht="17.15" hidden="false" customHeight="false" outlineLevel="0" collapsed="false">
      <c r="A6033" s="0" t="s">
        <v>538</v>
      </c>
      <c r="B6033" s="0" t="s">
        <v>86</v>
      </c>
      <c r="C6033" s="38" t="n">
        <f aca="false">Q!$D$29</f>
        <v>14.285</v>
      </c>
      <c r="D6033" s="38" t="n">
        <f aca="false">Q!$E$29</f>
        <v>15.503</v>
      </c>
      <c r="E6033" s="38" t="n">
        <f aca="false">Q!$P$29</f>
        <v>8.78</v>
      </c>
      <c r="F6033" s="38" t="n">
        <f aca="false">(Sens!$D$6032*Sens!$F$5908+(1-ext_sh)*Sens!$F$5954)*Sens!$F$5909</f>
        <v>9.16735846116642</v>
      </c>
      <c r="G6033" s="38" t="n">
        <f aca="false">Sens!$E$6033+Sens!$F$6033</f>
        <v>17.9473584611664</v>
      </c>
      <c r="H6033" s="38" t="n">
        <f aca="false">(Sens!$D$6032*Sens!$H$5908+(1-ext_sh)*Sens!$H$5954)*Sens!$H$5909</f>
        <v>21.6406723110177</v>
      </c>
      <c r="I6033" s="38" t="n">
        <f aca="false">(Sens!$D$6032*Sens!$I$5908+(1-ext_sh)*Sens!$I$5954)*Sens!$I$5909</f>
        <v>27.3128215555087</v>
      </c>
      <c r="J6033" s="38" t="n">
        <f aca="false">(Sens!$D$6032*Sens!$J$5908+(1-ext_sh)*Sens!$J$5954)*Sens!$J$5909</f>
        <v>33.0116861885756</v>
      </c>
      <c r="K6033" s="38" t="n">
        <f aca="false">(Sens!$D$6032*Sens!$K$5908+(1-ext_sh)*Sens!$K$5954)*Sens!$K$5909</f>
        <v>38.6250238720245</v>
      </c>
      <c r="L6033" s="38" t="n">
        <f aca="false">(Sens!$D$6032*Sens!$L$5908+(1-ext_sh)*Sens!$L$5954)*Sens!$L$5909</f>
        <v>43.0711535197861</v>
      </c>
      <c r="M6033" s="38" t="n">
        <f aca="false">(Sens!$D$6032*Sens!$M$5908+(1-ext_sh)*Sens!$M$5954)*Sens!$M$5909</f>
        <v>46.590728630326</v>
      </c>
      <c r="N6033" s="38" t="n">
        <f aca="false">Q!$N$29</f>
        <v>7.272</v>
      </c>
      <c r="O6033" s="38" t="n">
        <f aca="false">Q!$O$29</f>
        <v>8.231</v>
      </c>
    </row>
    <row r="6034" customFormat="false" ht="17.15" hidden="false" customHeight="false" outlineLevel="0" collapsed="false">
      <c r="A6034" s="0" t="s">
        <v>540</v>
      </c>
      <c r="B6034" s="0" t="s">
        <v>86</v>
      </c>
      <c r="C6034" s="38" t="n">
        <f aca="false">Q!$D$30</f>
        <v>4.462</v>
      </c>
      <c r="D6034" s="38" t="n">
        <f aca="false">Q!$E$30</f>
        <v>4.907</v>
      </c>
      <c r="E6034" s="38" t="n">
        <f aca="false">Q!$P$30</f>
        <v>2.57</v>
      </c>
      <c r="F6034" s="38" t="n">
        <f aca="false">(Sens!$D$6032*Sens!$F$5908+(1-ext_sh)*Sens!$F$5954)*(1-Sens!$F$5909)</f>
        <v>3.59937168293151</v>
      </c>
      <c r="G6034" s="38" t="n">
        <f aca="false">Sens!$E$6034+Sens!$F$6034</f>
        <v>6.16937168293151</v>
      </c>
      <c r="H6034" s="38" t="n">
        <f aca="false">(Sens!$D$6032*Sens!$H$5908+(1-ext_sh)*Sens!$H$5954)*(1-Sens!$H$5909)</f>
        <v>8.28915290031442</v>
      </c>
      <c r="I6034" s="38" t="n">
        <f aca="false">(Sens!$D$6032*Sens!$I$5908+(1-ext_sh)*Sens!$I$5954)*(1-Sens!$I$5909)</f>
        <v>10.4617892992793</v>
      </c>
      <c r="J6034" s="38" t="n">
        <f aca="false">(Sens!$D$6032*Sens!$J$5908+(1-ext_sh)*Sens!$J$5954)*(1-Sens!$J$5909)</f>
        <v>12.6446586493057</v>
      </c>
      <c r="K6034" s="38" t="n">
        <f aca="false">(Sens!$D$6032*Sens!$K$5908+(1-ext_sh)*Sens!$K$5954)*(1-Sens!$K$5909)</f>
        <v>14.7947681131192</v>
      </c>
      <c r="L6034" s="38" t="n">
        <f aca="false">(Sens!$D$6032*Sens!$L$5908+(1-ext_sh)*Sens!$L$5954)*(1-Sens!$L$5909)</f>
        <v>16.4977950771268</v>
      </c>
      <c r="M6034" s="38" t="n">
        <f aca="false">(Sens!$D$6032*Sens!$M$5908+(1-ext_sh)*Sens!$M$5954)*(1-Sens!$M$5909)</f>
        <v>17.8459184540772</v>
      </c>
      <c r="N6034" s="38" t="n">
        <f aca="false">Q!$N$30</f>
        <v>2.316</v>
      </c>
      <c r="O6034" s="38" t="n">
        <f aca="false">Q!$O$30</f>
        <v>2.591</v>
      </c>
    </row>
    <row r="6035" customFormat="false" ht="17.15" hidden="false" customHeight="false" outlineLevel="0" collapsed="false">
      <c r="A6035" s="0" t="s">
        <v>541</v>
      </c>
      <c r="B6035" s="0" t="s">
        <v>86</v>
      </c>
      <c r="C6035" s="38" t="n">
        <f aca="false">Sens!$C$5966</f>
        <v>13.32</v>
      </c>
      <c r="D6035" s="38" t="n">
        <f aca="false">Sens!$D$5966</f>
        <v>21.45</v>
      </c>
      <c r="E6035" s="38" t="n">
        <f aca="false">Sens!$E$5966</f>
        <v>15.353</v>
      </c>
      <c r="F6035" s="38" t="n">
        <f aca="false">Sens!$F$5966</f>
        <v>15.4404120185306</v>
      </c>
      <c r="G6035" s="38" t="n">
        <f aca="false">Sens!$G$5966</f>
        <v>30.7934120185306</v>
      </c>
      <c r="H6035" s="38" t="n">
        <f aca="false">Sens!$H$5966</f>
        <v>48.250114371455</v>
      </c>
      <c r="I6035" s="38" t="n">
        <f aca="false">Sens!$I$5966</f>
        <v>73.3965146995963</v>
      </c>
      <c r="J6035" s="38" t="n">
        <f aca="false">Sens!$J$5966</f>
        <v>99.22806138309</v>
      </c>
      <c r="K6035" s="38" t="n">
        <f aca="false">Sens!$K$5966</f>
        <v>125.386627452856</v>
      </c>
      <c r="L6035" s="38" t="n">
        <f aca="false">Sens!$L$5966</f>
        <v>144.77239043275</v>
      </c>
      <c r="M6035" s="38" t="n">
        <f aca="false">Sens!$M$5966</f>
        <v>158.693930910983</v>
      </c>
      <c r="N6035" s="38" t="n">
        <f aca="false">Sens!$N$5966</f>
        <v>9.234</v>
      </c>
      <c r="O6035" s="38" t="n">
        <f aca="false">Sens!$O$5966</f>
        <v>12.216</v>
      </c>
    </row>
    <row r="6036" customFormat="false" ht="17.15" hidden="false" customHeight="false" outlineLevel="0" collapsed="false">
      <c r="A6036" s="5" t="s">
        <v>745</v>
      </c>
      <c r="B6036" s="0" t="s">
        <v>86</v>
      </c>
      <c r="C6036" s="38" t="n">
        <f aca="false">Sens!$C$6033+Sens!$C$6034+Sens!$C$6035</f>
        <v>32.067</v>
      </c>
      <c r="D6036" s="38" t="n">
        <f aca="false">Sens!$D$6033+Sens!$D$6034+Sens!$D$6035</f>
        <v>41.86</v>
      </c>
      <c r="E6036" s="38" t="n">
        <f aca="false">Sens!$E$6033+Sens!$E$6034+Sens!$E$6035</f>
        <v>26.703</v>
      </c>
      <c r="F6036" s="38" t="n">
        <f aca="false">Sens!$F$6033+Sens!$F$6034+Sens!$F$6035</f>
        <v>28.2071421626285</v>
      </c>
      <c r="G6036" s="38" t="n">
        <f aca="false">Sens!$G$6033+Sens!$G$6034+Sens!$G$6035</f>
        <v>54.9101421626285</v>
      </c>
      <c r="H6036" s="38" t="n">
        <f aca="false">Sens!$H$6033+Sens!$H$6034+Sens!$H$6035</f>
        <v>78.1799395827871</v>
      </c>
      <c r="I6036" s="38" t="n">
        <f aca="false">Sens!$I$6033+Sens!$I$6034+Sens!$I$6035</f>
        <v>111.171125554384</v>
      </c>
      <c r="J6036" s="38" t="n">
        <f aca="false">Sens!$J$6033+Sens!$J$6034+Sens!$J$6035</f>
        <v>144.884406220971</v>
      </c>
      <c r="K6036" s="38" t="n">
        <f aca="false">Sens!$K$6033+Sens!$K$6034+Sens!$K$6035</f>
        <v>178.806419437999</v>
      </c>
      <c r="L6036" s="38" t="n">
        <f aca="false">Sens!$L$6033+Sens!$L$6034+Sens!$L$6035</f>
        <v>204.341339029663</v>
      </c>
      <c r="M6036" s="38" t="n">
        <f aca="false">Sens!$M$6033+Sens!$M$6034+Sens!$M$6035</f>
        <v>223.130577995387</v>
      </c>
      <c r="N6036" s="38" t="n">
        <f aca="false">Sens!$N$6033+Sens!$N$6034+Sens!$N$6035</f>
        <v>18.822</v>
      </c>
      <c r="O6036" s="38" t="n">
        <f aca="false">Sens!$O$6033+Sens!$O$6034+Sens!$O$6035</f>
        <v>23.038</v>
      </c>
    </row>
    <row r="6037" customFormat="false" ht="17.15" hidden="false" customHeight="false" outlineLevel="0" collapsed="false">
      <c r="A6037" s="0" t="s">
        <v>746</v>
      </c>
      <c r="B6037" s="0" t="s">
        <v>86</v>
      </c>
      <c r="C6037" s="38" t="n">
        <f aca="false">Sens!$C$6008+Sens!$C$6013</f>
        <v>28.107</v>
      </c>
      <c r="D6037" s="38" t="n">
        <f aca="false">Sens!$D$6008+Sens!$D$6013</f>
        <v>34.3175</v>
      </c>
      <c r="E6037" s="38" t="n">
        <f aca="false">Sens!$E$6008+Sens!$E$6013</f>
        <v>18.526</v>
      </c>
      <c r="F6037" s="38" t="n">
        <f aca="false">Sens!$F$6008+Sens!$F$6013</f>
        <v>23.0786109972074</v>
      </c>
      <c r="G6037" s="38" t="n">
        <f aca="false">Sens!$G$6008+Sens!$G$6013</f>
        <v>41.6046109972074</v>
      </c>
      <c r="H6037" s="38" t="n">
        <f aca="false">Sens!$H$6008+Sens!$H$6013</f>
        <v>49.9484611939488</v>
      </c>
      <c r="I6037" s="38" t="n">
        <f aca="false">Sens!$I$6008+Sens!$I$6013</f>
        <v>58.2915555477481</v>
      </c>
      <c r="J6037" s="38" t="n">
        <f aca="false">Sens!$J$6008+Sens!$J$6013</f>
        <v>66.0744709709759</v>
      </c>
      <c r="K6037" s="38" t="n">
        <f aca="false">Sens!$K$6008+Sens!$K$6013</f>
        <v>72.6819180680735</v>
      </c>
      <c r="L6037" s="38" t="n">
        <f aca="false">Sens!$L$6008+Sens!$L$6013</f>
        <v>79.9501098748808</v>
      </c>
      <c r="M6037" s="38" t="n">
        <f aca="false">Sens!$M$6008+Sens!$M$6013</f>
        <v>87.9451208623689</v>
      </c>
      <c r="N6037" s="38" t="n">
        <f aca="false">Sens!$N$6008+Sens!$N$6013</f>
        <v>14.8075</v>
      </c>
      <c r="O6037" s="38" t="n">
        <f aca="false">Sens!$O$6008+Sens!$O$6013</f>
        <v>19.51</v>
      </c>
    </row>
    <row r="6038" customFormat="false" ht="17.15" hidden="false" customHeight="false" outlineLevel="0" collapsed="false">
      <c r="A6038" s="0" t="s">
        <v>747</v>
      </c>
      <c r="B6038" s="0" t="s">
        <v>86</v>
      </c>
      <c r="C6038" s="38" t="n">
        <f aca="false">Sens!$C$6012+Sens!$C$6017+Sens!$C$6033+Sens!$C$6034-Sens!$C$6037</f>
        <v>19.399</v>
      </c>
      <c r="D6038" s="38" t="n">
        <f aca="false">Sens!$D$6012+Sens!$D$6017+Sens!$D$6033+Sens!$D$6034-Sens!$D$6037</f>
        <v>20.4615</v>
      </c>
      <c r="E6038" s="38" t="n">
        <f aca="false">Sens!$E$6012+Sens!$E$6017+Sens!$E$6033+Sens!$E$6034-Sens!$E$6037</f>
        <v>13.355</v>
      </c>
      <c r="F6038" s="38" t="n">
        <f aca="false">Sens!$F$6012+Sens!$F$6017+Sens!$F$6033+Sens!$F$6034-Sens!$F$6037</f>
        <v>12.5520732018618</v>
      </c>
      <c r="G6038" s="38" t="n">
        <f aca="false">Sens!$G$6012+Sens!$G$6017+Sens!$G$6033+Sens!$G$6034-Sens!$G$6037</f>
        <v>25.9070732018618</v>
      </c>
      <c r="H6038" s="38" t="n">
        <f aca="false">Sens!$H$6012+Sens!$H$6017+Sens!$H$6033+Sens!$H$6034-Sens!$H$6037</f>
        <v>28.0233335906818</v>
      </c>
      <c r="I6038" s="38" t="n">
        <f aca="false">Sens!$I$6012+Sens!$I$6017+Sens!$I$6033+Sens!$I$6034-Sens!$I$6037</f>
        <v>30.2440066606864</v>
      </c>
      <c r="J6038" s="38" t="n">
        <f aca="false">Sens!$J$6012+Sens!$J$6017+Sens!$J$6033+Sens!$J$6034-Sens!$J$6037</f>
        <v>32.4596500296286</v>
      </c>
      <c r="K6038" s="38" t="n">
        <f aca="false">Sens!$K$6012+Sens!$K$6017+Sens!$K$6033+Sens!$K$6034-Sens!$K$6037</f>
        <v>34.839425971154</v>
      </c>
      <c r="L6038" s="38" t="n">
        <f aca="false">Sens!$L$6012+Sens!$L$6017+Sens!$L$6033+Sens!$L$6034-Sens!$L$6037</f>
        <v>36.4424209524427</v>
      </c>
      <c r="M6038" s="38" t="n">
        <f aca="false">Sens!$M$6012+Sens!$M$6017+Sens!$M$6033+Sens!$M$6034-Sens!$M$6037</f>
        <v>38.8413540019876</v>
      </c>
      <c r="N6038" s="38" t="n">
        <f aca="false">Sens!$N$6012+Sens!$N$6017+Sens!$N$6033+Sens!$N$6034-Sens!$N$6037</f>
        <v>10.6495</v>
      </c>
      <c r="O6038" s="38" t="n">
        <f aca="false">Sens!$O$6012+Sens!$O$6017+Sens!$O$6033+Sens!$O$6034-Sens!$O$6037</f>
        <v>9.81200000000001</v>
      </c>
    </row>
    <row r="6039" customFormat="false" ht="17.15" hidden="false" customHeight="false" outlineLevel="0" collapsed="false">
      <c r="A6039" s="0" t="s">
        <v>748</v>
      </c>
      <c r="B6039" s="0" t="s">
        <v>86</v>
      </c>
      <c r="C6039" s="38" t="n">
        <f aca="false">Sens!$C$6019+Sens!$C$6035-ext_sh*Sens!$C$5954</f>
        <v>51.3470500115664</v>
      </c>
      <c r="D6039" s="38" t="n">
        <f aca="false">Sens!$D$6019+Sens!$D$6035-ext_sh*Sens!$D$5954</f>
        <v>60.2799375433739</v>
      </c>
      <c r="E6039" s="38" t="n">
        <f aca="false">Sens!$E$6019+Sens!$E$6035-ext_sh*Sens!$E$5954</f>
        <v>39.5095167090767</v>
      </c>
      <c r="F6039" s="38" t="n">
        <f aca="false">Sens!$F$6019+Sens!$F$6035-ext_sh*Sens!$F$5954</f>
        <v>37.5468918745429</v>
      </c>
      <c r="G6039" s="38" t="n">
        <f aca="false">Sens!$G$6019+Sens!$G$6035-ext_sh*Sens!$G$5954</f>
        <v>77.0564085836196</v>
      </c>
      <c r="H6039" s="38" t="n">
        <f aca="false">Sens!$H$6019+Sens!$H$6035-ext_sh*Sens!$H$5954</f>
        <v>84.2378398616123</v>
      </c>
      <c r="I6039" s="38" t="n">
        <f aca="false">Sens!$I$6019+Sens!$I$6035-ext_sh*Sens!$I$5954</f>
        <v>93.5253492849083</v>
      </c>
      <c r="J6039" s="38" t="n">
        <f aca="false">Sens!$J$6019+Sens!$J$6035-ext_sh*Sens!$J$5954</f>
        <v>102.42210777817</v>
      </c>
      <c r="K6039" s="38" t="n">
        <f aca="false">Sens!$K$6019+Sens!$K$6035-ext_sh*Sens!$K$5954</f>
        <v>110.615876400424</v>
      </c>
      <c r="L6039" s="38" t="n">
        <f aca="false">Sens!$L$6019+Sens!$L$6035-ext_sh*Sens!$L$5954</f>
        <v>119.465146512458</v>
      </c>
      <c r="M6039" s="38" t="n">
        <f aca="false">Sens!$M$6019+Sens!$M$6035-ext_sh*Sens!$M$5954</f>
        <v>129.022358233455</v>
      </c>
      <c r="N6039" s="38" t="n">
        <f aca="false">Sens!$N$6019+Sens!$N$6035-ext_sh*Sens!$N$5954</f>
        <v>28.5693781401809</v>
      </c>
      <c r="O6039" s="38" t="n">
        <f aca="false">Sens!$O$6019+Sens!$O$6035-ext_sh*Sens!$O$5954</f>
        <v>31.7105594031931</v>
      </c>
    </row>
    <row r="6040" customFormat="false" ht="17.15" hidden="false" customHeight="false" outlineLevel="0" collapsed="false">
      <c r="A6040" s="0" t="s">
        <v>749</v>
      </c>
      <c r="B6040" s="0" t="s">
        <v>86</v>
      </c>
      <c r="C6040" s="38" t="n">
        <f aca="false">Sens!$C$5957</f>
        <v>1.80694998843362</v>
      </c>
      <c r="D6040" s="38" t="n">
        <f aca="false">Sens!$D$5957</f>
        <v>6.77606245662607</v>
      </c>
      <c r="E6040" s="38" t="n">
        <f aca="false">Sens!$E$5957</f>
        <v>6.62548329092326</v>
      </c>
      <c r="F6040" s="38" t="n">
        <f aca="false">Sens!$F$5957</f>
        <v>11.7200577158706</v>
      </c>
      <c r="G6040" s="38" t="n">
        <f aca="false">Sens!$G$5957</f>
        <v>18.3455410067939</v>
      </c>
      <c r="H6040" s="38" t="n">
        <f aca="false">Sens!$H$5957</f>
        <v>47.5171727060453</v>
      </c>
      <c r="I6040" s="38" t="n">
        <f aca="false">Sens!$I$5957</f>
        <v>80.5539692643667</v>
      </c>
      <c r="J6040" s="38" t="n">
        <f aca="false">Sens!$J$5957</f>
        <v>113.759316834883</v>
      </c>
      <c r="K6040" s="38" t="n">
        <f aca="false">Sens!$K$5957</f>
        <v>142.084411492169</v>
      </c>
      <c r="L6040" s="38" t="n">
        <f aca="false">Sens!$L$5957</f>
        <v>160.69964615804</v>
      </c>
      <c r="M6040" s="38" t="n">
        <f aca="false">Sens!$M$5957</f>
        <v>169.577607141793</v>
      </c>
      <c r="N6040" s="38" t="n">
        <f aca="false">Sens!$N$5957</f>
        <v>2.37162185981912</v>
      </c>
      <c r="O6040" s="38" t="n">
        <f aca="false">Sens!$O$5957</f>
        <v>4.40444059680694</v>
      </c>
    </row>
    <row r="6041" customFormat="false" ht="17.15" hidden="false" customHeight="false" outlineLevel="0" collapsed="false">
      <c r="A6041" s="0" t="s">
        <v>750</v>
      </c>
      <c r="B6041" s="0" t="s">
        <v>86</v>
      </c>
      <c r="C6041" s="38" t="n">
        <f aca="false">Sens!$C$6022+Sens!$C$6036</f>
        <v>100.66</v>
      </c>
      <c r="D6041" s="38" t="n">
        <f aca="false">Sens!$D$6022+Sens!$D$6036</f>
        <v>121.835</v>
      </c>
      <c r="E6041" s="38" t="n">
        <f aca="false">Sens!$E$6022+Sens!$E$6036</f>
        <v>78.016</v>
      </c>
      <c r="F6041" s="38" t="n">
        <f aca="false">Sens!$F$6022+Sens!$F$6036</f>
        <v>84.8976337894826</v>
      </c>
      <c r="G6041" s="38" t="n">
        <f aca="false">Sens!$G$6022+Sens!$G$6036</f>
        <v>162.913633789483</v>
      </c>
      <c r="H6041" s="38" t="n">
        <f aca="false">Sens!$H$6022+Sens!$H$6036</f>
        <v>209.726807352288</v>
      </c>
      <c r="I6041" s="38" t="n">
        <f aca="false">Sens!$I$6022+Sens!$I$6036</f>
        <v>262.61488075771</v>
      </c>
      <c r="J6041" s="38" t="n">
        <f aca="false">Sens!$J$6022+Sens!$J$6036</f>
        <v>314.715545613658</v>
      </c>
      <c r="K6041" s="38" t="n">
        <f aca="false">Sens!$K$6022+Sens!$K$6036</f>
        <v>360.221631931821</v>
      </c>
      <c r="L6041" s="38" t="n">
        <f aca="false">Sens!$L$6022+Sens!$L$6036</f>
        <v>396.557323497822</v>
      </c>
      <c r="M6041" s="38" t="n">
        <f aca="false">Sens!$M$6022+Sens!$M$6036</f>
        <v>425.386440239605</v>
      </c>
      <c r="N6041" s="38" t="n">
        <f aca="false">Sens!$N$6022+Sens!$N$6036</f>
        <v>56.398</v>
      </c>
      <c r="O6041" s="38" t="n">
        <f aca="false">Sens!$O$6022+Sens!$O$6036</f>
        <v>65.437</v>
      </c>
    </row>
    <row r="6042" customFormat="false" ht="17.15" hidden="false" customHeight="false" outlineLevel="0" collapsed="false">
      <c r="A6042" s="1" t="s">
        <v>751</v>
      </c>
    </row>
    <row r="6043" customFormat="false" ht="15" hidden="false" customHeight="false" outlineLevel="0" collapsed="false">
      <c r="A6043" s="5" t="s">
        <v>544</v>
      </c>
      <c r="B6043" s="0" t="s">
        <v>86</v>
      </c>
      <c r="C6043" s="38" t="n">
        <f aca="false">Q!$D$34</f>
        <v>2.406</v>
      </c>
      <c r="D6043" s="38" t="n">
        <f aca="false">Q!$E$34</f>
        <v>2.274</v>
      </c>
      <c r="E6043" s="38" t="n">
        <f aca="false">Q!$P$34</f>
        <v>2.114</v>
      </c>
      <c r="F6043" s="38" t="n">
        <f aca="false">Sens!$F$6081</f>
        <v>3.24888962733561</v>
      </c>
      <c r="G6043" s="38" t="n">
        <f aca="false">Sens!$E$6043+Sens!$F$6043</f>
        <v>5.36288962733561</v>
      </c>
      <c r="H6043" s="38" t="n">
        <f aca="false">Sens!$H$6081</f>
        <v>7.42354172302123</v>
      </c>
      <c r="I6043" s="38" t="n">
        <f aca="false">Sens!$I$6081</f>
        <v>8.48968024898619</v>
      </c>
      <c r="J6043" s="38" t="n">
        <f aca="false">Sens!$J$6081</f>
        <v>9.63598826439483</v>
      </c>
      <c r="K6043" s="38" t="n">
        <f aca="false">Sens!$K$6081</f>
        <v>9.63598826439483</v>
      </c>
      <c r="L6043" s="38" t="n">
        <f aca="false">Sens!$L$6081</f>
        <v>9.63598826439483</v>
      </c>
      <c r="M6043" s="38" t="n">
        <f aca="false">Sens!$M$6081</f>
        <v>9.63598826439483</v>
      </c>
      <c r="N6043" s="38" t="n">
        <f aca="false">Q!$N$34</f>
        <v>1.057</v>
      </c>
      <c r="O6043" s="38" t="n">
        <f aca="false">Q!$O$34</f>
        <v>1.217</v>
      </c>
    </row>
    <row r="6044" customFormat="false" ht="15" hidden="false" customHeight="false" outlineLevel="0" collapsed="false">
      <c r="A6044" s="5" t="s">
        <v>752</v>
      </c>
      <c r="B6044" s="0" t="s">
        <v>86</v>
      </c>
      <c r="F6044" s="38" t="n">
        <f aca="false">Sens!$F$6082</f>
        <v>2.59</v>
      </c>
      <c r="H6044" s="38" t="n">
        <f aca="false">Sens!$H$6082</f>
        <v>3.76965165045626</v>
      </c>
      <c r="I6044" s="38" t="n">
        <f aca="false">Sens!$I$6082</f>
        <v>2.10589651022864</v>
      </c>
      <c r="J6044" s="38" t="n">
        <f aca="false">Sens!$J$6082</f>
        <v>2.10589651022864</v>
      </c>
      <c r="K6044" s="38" t="n">
        <f aca="false">Sens!$K$6082</f>
        <v>3.03184385018094</v>
      </c>
      <c r="L6044" s="38" t="n">
        <f aca="false">Sens!$L$6082</f>
        <v>8.01944213829919</v>
      </c>
      <c r="M6044" s="38" t="n">
        <f aca="false">Sens!$M$6082</f>
        <v>15.4751142339777</v>
      </c>
    </row>
    <row r="6045" customFormat="false" ht="17.15" hidden="false" customHeight="false" outlineLevel="0" collapsed="false">
      <c r="A6045" s="5" t="s">
        <v>753</v>
      </c>
      <c r="B6045" s="0" t="s">
        <v>86</v>
      </c>
      <c r="C6045" s="38" t="n">
        <f aca="false">Q!$D$39</f>
        <v>2.427</v>
      </c>
      <c r="D6045" s="38" t="n">
        <f aca="false">Q!$E$39</f>
        <v>19.61</v>
      </c>
      <c r="E6045" s="38" t="n">
        <f aca="false">Q!$P$39</f>
        <v>71.492</v>
      </c>
      <c r="F6045" s="39" t="n">
        <v>0</v>
      </c>
      <c r="G6045" s="38" t="n">
        <f aca="false">Sens!$E$6045+Sens!$F$6045</f>
        <v>71.492</v>
      </c>
      <c r="H6045" s="39" t="n">
        <v>0</v>
      </c>
      <c r="I6045" s="39" t="n">
        <v>0</v>
      </c>
      <c r="J6045" s="39" t="n">
        <v>0</v>
      </c>
      <c r="K6045" s="39" t="n">
        <v>0</v>
      </c>
      <c r="L6045" s="39" t="n">
        <v>0</v>
      </c>
      <c r="M6045" s="39" t="n">
        <v>0</v>
      </c>
      <c r="N6045" s="38" t="n">
        <f aca="false">Q!$N$39</f>
        <v>6.017</v>
      </c>
      <c r="O6045" s="38" t="n">
        <f aca="false">Q!$O$39</f>
        <v>13.593</v>
      </c>
      <c r="P6045" s="5" t="s">
        <v>754</v>
      </c>
    </row>
    <row r="6046" customFormat="false" ht="15" hidden="false" customHeight="false" outlineLevel="0" collapsed="false">
      <c r="A6046" s="5" t="s">
        <v>547</v>
      </c>
      <c r="B6046" s="0" t="s">
        <v>86</v>
      </c>
      <c r="C6046" s="38" t="n">
        <f aca="false">Q!$D$36</f>
        <v>68.614</v>
      </c>
      <c r="D6046" s="38" t="n">
        <f aca="false">Q!$E$36</f>
        <v>97.311</v>
      </c>
      <c r="E6046" s="38" t="n">
        <f aca="false">Q!$P$36</f>
        <v>120.691</v>
      </c>
      <c r="F6046" s="38" t="n">
        <f aca="false">Sens!$F$6022-Sens!$F$6043+Sens!$F$6044+Sens!$F$6045</f>
        <v>56.0316019995185</v>
      </c>
      <c r="G6046" s="38" t="n">
        <f aca="false">Sens!$E$6046+Sens!$F$6046</f>
        <v>176.722601999518</v>
      </c>
      <c r="H6046" s="38" t="n">
        <f aca="false">Sens!$H$6022-Sens!$H$6043+Sens!$H$6044+Sens!$H$6045</f>
        <v>127.892977696936</v>
      </c>
      <c r="I6046" s="38" t="n">
        <f aca="false">Sens!$I$6022-Sens!$I$6043+Sens!$I$6044+Sens!$I$6045</f>
        <v>145.059971464568</v>
      </c>
      <c r="J6046" s="38" t="n">
        <f aca="false">Sens!$J$6022-Sens!$J$6043+Sens!$J$6044+Sens!$J$6045</f>
        <v>162.301047638521</v>
      </c>
      <c r="K6046" s="38" t="n">
        <f aca="false">Sens!$K$6022-Sens!$K$6043+Sens!$K$6044+Sens!$K$6045</f>
        <v>174.811068079608</v>
      </c>
      <c r="L6046" s="38" t="n">
        <f aca="false">Sens!$L$6022-Sens!$L$6043+Sens!$L$6044+Sens!$L$6045</f>
        <v>190.599438342064</v>
      </c>
      <c r="M6046" s="38" t="n">
        <f aca="false">Sens!$M$6022-Sens!$M$6043+Sens!$M$6044+Sens!$M$6045</f>
        <v>208.094988213801</v>
      </c>
      <c r="N6046" s="38" t="n">
        <f aca="false">Q!$N$36</f>
        <v>42.536</v>
      </c>
      <c r="O6046" s="38" t="n">
        <f aca="false">Q!$O$36</f>
        <v>54.775</v>
      </c>
    </row>
    <row r="6047" customFormat="false" ht="15" hidden="false" customHeight="false" outlineLevel="0" collapsed="false">
      <c r="A6047" s="5" t="s">
        <v>548</v>
      </c>
      <c r="B6047" s="0" t="s">
        <v>86</v>
      </c>
      <c r="C6047" s="38" t="n">
        <f aca="false">Q!$D$37</f>
        <v>9.265</v>
      </c>
      <c r="D6047" s="38" t="n">
        <f aca="false">Q!$E$37</f>
        <v>19.087</v>
      </c>
      <c r="E6047" s="38" t="n">
        <f aca="false">Q!$P$37</f>
        <v>27.759</v>
      </c>
      <c r="F6047" s="38" t="n">
        <f aca="false">Sens!$F$6046*tax</f>
        <v>9.72621910890414</v>
      </c>
      <c r="G6047" s="38" t="n">
        <f aca="false">Sens!$E$6047+Sens!$F$6047</f>
        <v>37.4852191089041</v>
      </c>
      <c r="H6047" s="38" t="n">
        <f aca="false">Sens!$H$6046*tax</f>
        <v>22.2002419916761</v>
      </c>
      <c r="I6047" s="38" t="n">
        <f aca="false">Sens!$I$6046*tax</f>
        <v>25.1801664783365</v>
      </c>
      <c r="J6047" s="38" t="n">
        <f aca="false">Sens!$J$6046*tax</f>
        <v>28.1729505244292</v>
      </c>
      <c r="K6047" s="38" t="n">
        <f aca="false">Sens!$K$6046*tax</f>
        <v>30.3444965007146</v>
      </c>
      <c r="L6047" s="38" t="n">
        <f aca="false">Sens!$L$6046*tax</f>
        <v>33.0851132788405</v>
      </c>
      <c r="M6047" s="38" t="n">
        <f aca="false">Sens!$M$6046*tax</f>
        <v>36.1220700213006</v>
      </c>
      <c r="N6047" s="38" t="n">
        <f aca="false">Q!$N$37</f>
        <v>7.231</v>
      </c>
      <c r="O6047" s="38" t="n">
        <f aca="false">Q!$O$37</f>
        <v>11.856</v>
      </c>
    </row>
    <row r="6048" customFormat="false" ht="15" hidden="false" customHeight="false" outlineLevel="0" collapsed="false">
      <c r="A6048" s="3" t="s">
        <v>549</v>
      </c>
      <c r="B6048" s="8" t="s">
        <v>86</v>
      </c>
      <c r="C6048" s="38" t="n">
        <f aca="false">Q!$D$38</f>
        <v>59.248</v>
      </c>
      <c r="D6048" s="38" t="n">
        <f aca="false">Q!$E$38</f>
        <v>77.67</v>
      </c>
      <c r="E6048" s="38" t="n">
        <f aca="false">Q!$P$38</f>
        <v>92.902</v>
      </c>
      <c r="F6048" s="38" t="n">
        <f aca="false">Sens!$F$6046-Sens!$F$6047</f>
        <v>46.3053828906144</v>
      </c>
      <c r="G6048" s="38" t="n">
        <f aca="false">Sens!$E$6048+Sens!$F$6048</f>
        <v>139.207382890614</v>
      </c>
      <c r="H6048" s="38" t="n">
        <f aca="false">Sens!$H$6046-Sens!$H$6047</f>
        <v>105.69273570526</v>
      </c>
      <c r="I6048" s="38" t="n">
        <f aca="false">Sens!$I$6046-Sens!$I$6047</f>
        <v>119.879804986231</v>
      </c>
      <c r="J6048" s="38" t="n">
        <f aca="false">Sens!$J$6046-Sens!$J$6047</f>
        <v>134.128097114092</v>
      </c>
      <c r="K6048" s="38" t="n">
        <f aca="false">Sens!$K$6046-Sens!$K$6047</f>
        <v>144.466571578893</v>
      </c>
      <c r="L6048" s="38" t="n">
        <f aca="false">Sens!$L$6046-Sens!$L$6047</f>
        <v>157.514325063223</v>
      </c>
      <c r="M6048" s="38" t="n">
        <f aca="false">Sens!$M$6046-Sens!$M$6047</f>
        <v>171.9729181925</v>
      </c>
      <c r="N6048" s="38" t="n">
        <f aca="false">Q!$N$38</f>
        <v>35.291</v>
      </c>
      <c r="O6048" s="38" t="n">
        <f aca="false">Q!$O$38</f>
        <v>42.379</v>
      </c>
    </row>
    <row r="6049" customFormat="false" ht="17.15" hidden="false" customHeight="false" outlineLevel="0" collapsed="false">
      <c r="A6049" s="5" t="s">
        <v>552</v>
      </c>
      <c r="B6049" s="5" t="s">
        <v>33</v>
      </c>
      <c r="C6049" s="22" t="n">
        <f aca="false">Q!$D$41</f>
        <v>10.721</v>
      </c>
      <c r="D6049" s="22" t="n">
        <f aca="false">Q!$E$41</f>
        <v>10.827</v>
      </c>
      <c r="E6049" s="22" t="n">
        <f aca="false">(Q!$L$41+Q!$M$41)/2</f>
        <v>10.8885</v>
      </c>
      <c r="F6049" s="22" t="n">
        <f aca="false">Sens!$G$6049</f>
        <v>10.924806</v>
      </c>
      <c r="G6049" s="22" t="n">
        <f aca="false">Q!$M$41*(1+sh_g*0.25)</f>
        <v>10.924806</v>
      </c>
      <c r="H6049" s="22" t="n">
        <f aca="false">Sens!$G$6049*(1+sh_g)</f>
        <v>11.012204448</v>
      </c>
      <c r="I6049" s="22" t="n">
        <f aca="false">Sens!$H$6049*(1+sh_g)</f>
        <v>11.100302083584</v>
      </c>
      <c r="J6049" s="22" t="n">
        <f aca="false">Sens!$I$6049*(1+sh_g)</f>
        <v>11.1891045002527</v>
      </c>
      <c r="K6049" s="22" t="n">
        <f aca="false">Sens!$J$6049*(1+sh_g)</f>
        <v>11.2786173362547</v>
      </c>
      <c r="L6049" s="22" t="n">
        <f aca="false">Sens!$K$6049*(1+sh_g)</f>
        <v>11.3688462749447</v>
      </c>
      <c r="M6049" s="22" t="n">
        <f aca="false">Sens!$L$6049*(1+sh_g)</f>
        <v>11.4597970451443</v>
      </c>
      <c r="P6049" s="5" t="s">
        <v>755</v>
      </c>
    </row>
    <row r="6050" customFormat="false" ht="17.15" hidden="false" customHeight="false" outlineLevel="0" collapsed="false">
      <c r="A6050" s="5" t="s">
        <v>756</v>
      </c>
      <c r="B6050" s="0" t="s">
        <v>86</v>
      </c>
      <c r="C6050" s="38" t="n">
        <f aca="false">Sens!$C$6048+Sens!$C$6024*(1-tax)</f>
        <v>59.248</v>
      </c>
      <c r="D6050" s="38" t="n">
        <f aca="false">Sens!$D$6048+Sens!$D$6024*(1-tax)</f>
        <v>77.67</v>
      </c>
      <c r="E6050" s="38" t="n">
        <f aca="false">Sens!$E$6048+Sens!$E$6024*(1-tax)</f>
        <v>92.902</v>
      </c>
      <c r="F6050" s="38" t="n">
        <f aca="false">Sens!$F$6048+Sens!$F$6024*(1-tax)</f>
        <v>49.421977850263</v>
      </c>
      <c r="G6050" s="38" t="n">
        <f aca="false">Sens!$G$6048+Sens!$G$6024*(1-tax)</f>
        <v>142.323977850263</v>
      </c>
      <c r="H6050" s="38" t="n">
        <f aca="false">Sens!$H$6048+Sens!$H$6024*(1-tax)</f>
        <v>118.224131660605</v>
      </c>
      <c r="I6050" s="38" t="n">
        <f aca="false">Sens!$I$6048+Sens!$I$6024*(1-tax)</f>
        <v>141.02107006117</v>
      </c>
      <c r="J6050" s="38" t="n">
        <f aca="false">Sens!$J$6048+Sens!$J$6024*(1-tax)</f>
        <v>163.917534058375</v>
      </c>
      <c r="K6050" s="38" t="n">
        <f aca="false">Sens!$K$6048+Sens!$K$6024*(1-tax)</f>
        <v>181.633877275552</v>
      </c>
      <c r="L6050" s="38" t="n">
        <f aca="false">Sens!$L$6048+Sens!$L$6024*(1-tax)</f>
        <v>199.530402403778</v>
      </c>
      <c r="M6050" s="38" t="n">
        <f aca="false">Sens!$M$6048+Sens!$M$6024*(1-tax)</f>
        <v>216.302440383341</v>
      </c>
      <c r="N6050" s="38" t="n">
        <f aca="false">Sens!$N$6048+Sens!$N$6024*(1-tax)</f>
        <v>35.291</v>
      </c>
      <c r="O6050" s="38" t="n">
        <f aca="false">Sens!$O$6048+Sens!$O$6024*(1-tax)</f>
        <v>42.379</v>
      </c>
    </row>
    <row r="6051" customFormat="false" ht="17.15" hidden="false" customHeight="false" outlineLevel="0" collapsed="false">
      <c r="A6051" s="43" t="s">
        <v>757</v>
      </c>
      <c r="B6051" s="14" t="s">
        <v>27</v>
      </c>
      <c r="C6051" s="44" t="n">
        <f aca="false">Sens!$C$6050/Sens!$C$6049</f>
        <v>5.52635015390355</v>
      </c>
      <c r="D6051" s="44" t="n">
        <f aca="false">Sens!$D$6050/Sens!$D$6049</f>
        <v>7.1737323358271</v>
      </c>
      <c r="E6051" s="44" t="n">
        <f aca="false">Sens!$E$6050/Sens!$E$6049</f>
        <v>8.53212104513937</v>
      </c>
      <c r="F6051" s="14"/>
      <c r="G6051" s="44" t="n">
        <f aca="false">Sens!$G$6050/Sens!$G$6049</f>
        <v>13.0275977303636</v>
      </c>
      <c r="H6051" s="44" t="n">
        <f aca="false">Sens!$H$6050/Sens!$H$6049</f>
        <v>10.7357370832392</v>
      </c>
      <c r="I6051" s="44" t="n">
        <f aca="false">Sens!$I$6050/Sens!$I$6049</f>
        <v>12.7042551634449</v>
      </c>
      <c r="J6051" s="44" t="n">
        <f aca="false">Sens!$J$6050/Sens!$J$6049</f>
        <v>14.6497455676344</v>
      </c>
      <c r="K6051" s="44" t="n">
        <f aca="false">Sens!$K$6050/Sens!$K$6049</f>
        <v>16.104268090708</v>
      </c>
      <c r="L6051" s="44" t="n">
        <f aca="false">Sens!$L$6050/Sens!$L$6049</f>
        <v>17.5506289361581</v>
      </c>
      <c r="M6051" s="44" t="n">
        <f aca="false">Sens!$M$6050/Sens!$M$6049</f>
        <v>18.8748927691518</v>
      </c>
      <c r="N6051" s="14"/>
      <c r="O6051" s="14"/>
    </row>
    <row r="6052" customFormat="false" ht="17.15" hidden="false" customHeight="false" outlineLevel="0" collapsed="false">
      <c r="A6052" s="0" t="s">
        <v>758</v>
      </c>
      <c r="B6052" s="0" t="s">
        <v>27</v>
      </c>
      <c r="C6052" s="30" t="n">
        <f aca="false">Sens!$C$6048/Sens!$C$6049</f>
        <v>5.52635015390355</v>
      </c>
      <c r="D6052" s="30" t="n">
        <f aca="false">Sens!$D$6048/Sens!$D$6049</f>
        <v>7.1737323358271</v>
      </c>
      <c r="E6052" s="30" t="n">
        <f aca="false">Sens!$E$6048/Sens!$E$6049</f>
        <v>8.53212104513937</v>
      </c>
      <c r="G6052" s="30" t="n">
        <f aca="false">Sens!$G$6048/Sens!$G$6049</f>
        <v>12.7423208147233</v>
      </c>
      <c r="H6052" s="30" t="n">
        <f aca="false">Sens!$H$6048/Sens!$H$6049</f>
        <v>9.59778182509639</v>
      </c>
      <c r="I6052" s="30" t="n">
        <f aca="false">Sens!$I$6048/Sens!$I$6049</f>
        <v>10.799688520506</v>
      </c>
      <c r="J6052" s="30" t="n">
        <f aca="false">Sens!$J$6048/Sens!$J$6049</f>
        <v>11.9873844337644</v>
      </c>
      <c r="K6052" s="30" t="n">
        <f aca="false">Sens!$K$6048/Sens!$K$6049</f>
        <v>12.8088902453061</v>
      </c>
      <c r="L6052" s="30" t="n">
        <f aca="false">Sens!$L$6048/Sens!$L$6049</f>
        <v>13.8549085152432</v>
      </c>
      <c r="M6052" s="30" t="n">
        <f aca="false">Sens!$M$6048/Sens!$M$6049</f>
        <v>15.0066286091313</v>
      </c>
    </row>
    <row r="6053" customFormat="false" ht="17.15" hidden="false" customHeight="false" outlineLevel="0" collapsed="false">
      <c r="A6053" s="0" t="s">
        <v>759</v>
      </c>
      <c r="B6053" s="0" t="s">
        <v>27</v>
      </c>
      <c r="C6053" s="30" t="n">
        <f aca="false">(Sens!$C$6048-Sens!$C$6045*(1-tax))/Sens!$C$6049</f>
        <v>5.33926775917445</v>
      </c>
      <c r="D6053" s="30" t="n">
        <f aca="false">(Sens!$D$6048-Sens!$D$6045*(1-tax))/Sens!$D$6049</f>
        <v>5.67691812755503</v>
      </c>
      <c r="E6053" s="30" t="n">
        <f aca="false">(Sens!$E$6048-Sens!$E$6045*(1-tax))/Sens!$E$6049</f>
        <v>3.10602057006846</v>
      </c>
      <c r="G6053" s="30" t="n">
        <f aca="false">(Sens!$G$6048-Sens!$G$6045*(1-tax))/Sens!$G$6049</f>
        <v>7.33425269682635</v>
      </c>
      <c r="H6053" s="30" t="n">
        <f aca="false">(Sens!$H$6048-Sens!$H$6045*(1-tax))/Sens!$H$6049</f>
        <v>9.59778182509639</v>
      </c>
      <c r="I6053" s="30" t="n">
        <f aca="false">(Sens!$I$6048-Sens!$I$6045*(1-tax))/Sens!$I$6049</f>
        <v>10.799688520506</v>
      </c>
      <c r="J6053" s="30" t="n">
        <f aca="false">(Sens!$J$6048-Sens!$J$6045*(1-tax))/Sens!$J$6049</f>
        <v>11.9873844337644</v>
      </c>
      <c r="K6053" s="30" t="n">
        <f aca="false">(Sens!$K$6048-Sens!$K$6045*(1-tax))/Sens!$K$6049</f>
        <v>12.8088902453061</v>
      </c>
      <c r="L6053" s="30" t="n">
        <f aca="false">(Sens!$L$6048-Sens!$L$6045*(1-tax))/Sens!$L$6049</f>
        <v>13.8549085152432</v>
      </c>
      <c r="M6053" s="30" t="n">
        <f aca="false">(Sens!$M$6048-Sens!$M$6045*(1-tax))/Sens!$M$6049</f>
        <v>15.0066286091313</v>
      </c>
      <c r="P6053" s="5" t="s">
        <v>760</v>
      </c>
    </row>
    <row r="6054" customFormat="false" ht="17.15" hidden="false" customHeight="false" outlineLevel="0" collapsed="false">
      <c r="A6054" s="0" t="s">
        <v>761</v>
      </c>
      <c r="B6054" s="0" t="s">
        <v>52</v>
      </c>
      <c r="H6054" s="13" t="n">
        <f aca="false">Sens!$H$6051/Sens!$G$6051-1</f>
        <v>-0.175923504437261</v>
      </c>
      <c r="I6054" s="13" t="n">
        <f aca="false">Sens!$I$6051/Sens!$H$6051-1</f>
        <v>0.183361241519136</v>
      </c>
      <c r="J6054" s="13" t="n">
        <f aca="false">Sens!$J$6051/Sens!$I$6051-1</f>
        <v>0.153136911936991</v>
      </c>
      <c r="K6054" s="13" t="n">
        <f aca="false">Sens!$K$6051/Sens!$J$6051-1</f>
        <v>0.0992865382103958</v>
      </c>
      <c r="L6054" s="13" t="n">
        <f aca="false">Sens!$L$6051/Sens!$K$6051-1</f>
        <v>0.0898122682324627</v>
      </c>
      <c r="M6054" s="13" t="n">
        <f aca="false">Sens!$M$6051/Sens!$L$6051-1</f>
        <v>0.0754539246320329</v>
      </c>
    </row>
    <row r="6057" customFormat="false" ht="19.4" hidden="false" customHeight="false" outlineLevel="0" collapsed="false">
      <c r="A6057" s="31" t="s">
        <v>1258</v>
      </c>
    </row>
    <row r="6058" customFormat="false" ht="17.15" hidden="false" customHeight="false" outlineLevel="0" collapsed="false">
      <c r="A6058" s="6" t="s">
        <v>16</v>
      </c>
      <c r="B6058" s="6" t="s">
        <v>17</v>
      </c>
      <c r="C6058" s="20" t="s">
        <v>497</v>
      </c>
      <c r="D6058" s="20" t="s">
        <v>498</v>
      </c>
      <c r="E6058" s="20" t="s">
        <v>580</v>
      </c>
      <c r="F6058" s="20" t="s">
        <v>581</v>
      </c>
      <c r="G6058" s="20" t="s">
        <v>582</v>
      </c>
      <c r="H6058" s="20" t="s">
        <v>583</v>
      </c>
      <c r="I6058" s="20" t="s">
        <v>584</v>
      </c>
      <c r="J6058" s="20" t="s">
        <v>585</v>
      </c>
      <c r="K6058" s="20" t="s">
        <v>586</v>
      </c>
      <c r="L6058" s="20" t="s">
        <v>587</v>
      </c>
      <c r="M6058" s="20" t="s">
        <v>588</v>
      </c>
      <c r="N6058" s="20" t="s">
        <v>589</v>
      </c>
      <c r="O6058" s="20" t="s">
        <v>590</v>
      </c>
      <c r="P6058" s="6" t="s">
        <v>23</v>
      </c>
      <c r="R6058" s="20" t="n">
        <v>2023</v>
      </c>
      <c r="S6058" s="20" t="n">
        <v>2024</v>
      </c>
      <c r="T6058" s="20" t="n">
        <v>2025</v>
      </c>
      <c r="U6058" s="20" t="n">
        <v>2026</v>
      </c>
      <c r="V6058" s="20" t="n">
        <v>2027</v>
      </c>
      <c r="W6058" s="20" t="n">
        <v>2028</v>
      </c>
      <c r="X6058" s="20" t="n">
        <v>2029</v>
      </c>
      <c r="Y6058" s="20" t="n">
        <v>2030</v>
      </c>
      <c r="Z6058" s="20" t="n">
        <v>2031</v>
      </c>
      <c r="AA6058" s="20" t="n">
        <v>2032</v>
      </c>
    </row>
    <row r="6059" customFormat="false" ht="15" hidden="false" customHeight="false" outlineLevel="0" collapsed="false">
      <c r="A6059" s="5" t="s">
        <v>549</v>
      </c>
      <c r="B6059" s="0" t="s">
        <v>86</v>
      </c>
      <c r="C6059" s="38" t="n">
        <f aca="false">Sens!$C$6048</f>
        <v>59.248</v>
      </c>
      <c r="D6059" s="38" t="n">
        <f aca="false">Sens!$D$6048</f>
        <v>77.67</v>
      </c>
      <c r="E6059" s="38" t="n">
        <f aca="false">Sens!$E$6048</f>
        <v>92.902</v>
      </c>
      <c r="F6059" s="38" t="n">
        <f aca="false">Sens!$F$6048</f>
        <v>46.3053828906144</v>
      </c>
      <c r="G6059" s="38" t="n">
        <f aca="false">Sens!$G$6048</f>
        <v>139.207382890614</v>
      </c>
      <c r="H6059" s="38" t="n">
        <f aca="false">Sens!$H$6048</f>
        <v>105.69273570526</v>
      </c>
      <c r="I6059" s="38" t="n">
        <f aca="false">Sens!$I$6048</f>
        <v>119.879804986231</v>
      </c>
      <c r="J6059" s="38" t="n">
        <f aca="false">Sens!$J$6048</f>
        <v>134.128097114092</v>
      </c>
      <c r="K6059" s="38" t="n">
        <f aca="false">Sens!$K$6048</f>
        <v>144.466571578893</v>
      </c>
      <c r="L6059" s="38" t="n">
        <f aca="false">Sens!$L$6048</f>
        <v>157.514325063223</v>
      </c>
      <c r="M6059" s="38" t="n">
        <f aca="false">Sens!$M$6048</f>
        <v>171.9729181925</v>
      </c>
    </row>
    <row r="6060" customFormat="false" ht="17.15" hidden="false" customHeight="false" outlineLevel="0" collapsed="false">
      <c r="A6060" s="5" t="s">
        <v>784</v>
      </c>
      <c r="B6060" s="0" t="s">
        <v>86</v>
      </c>
      <c r="C6060" s="38" t="n">
        <f aca="false">Sens!$C$6036</f>
        <v>32.067</v>
      </c>
      <c r="D6060" s="38" t="n">
        <f aca="false">Sens!$D$6036</f>
        <v>41.86</v>
      </c>
      <c r="E6060" s="38" t="n">
        <f aca="false">Sens!$E$6036</f>
        <v>26.703</v>
      </c>
      <c r="F6060" s="38" t="n">
        <f aca="false">Sens!$F$6036</f>
        <v>28.2071421626285</v>
      </c>
      <c r="G6060" s="38" t="n">
        <f aca="false">Sens!$G$6036</f>
        <v>54.9101421626285</v>
      </c>
      <c r="H6060" s="38" t="n">
        <f aca="false">Sens!$H$6036</f>
        <v>78.1799395827871</v>
      </c>
      <c r="I6060" s="38" t="n">
        <f aca="false">Sens!$I$6036</f>
        <v>111.171125554384</v>
      </c>
      <c r="J6060" s="38" t="n">
        <f aca="false">Sens!$J$6036</f>
        <v>144.884406220971</v>
      </c>
      <c r="K6060" s="38" t="n">
        <f aca="false">Sens!$K$6036</f>
        <v>178.806419437999</v>
      </c>
      <c r="L6060" s="38" t="n">
        <f aca="false">Sens!$L$6036</f>
        <v>204.341339029663</v>
      </c>
      <c r="M6060" s="38" t="n">
        <f aca="false">Sens!$M$6036</f>
        <v>223.130577995387</v>
      </c>
    </row>
    <row r="6061" customFormat="false" ht="15" hidden="false" customHeight="false" outlineLevel="0" collapsed="false">
      <c r="A6061" s="5" t="s">
        <v>785</v>
      </c>
      <c r="B6061" s="0" t="s">
        <v>86</v>
      </c>
      <c r="C6061" s="38" t="n">
        <f aca="false">Q!$D$48</f>
        <v>22.011</v>
      </c>
      <c r="D6061" s="38" t="n">
        <f aca="false">Q!$E$48</f>
        <v>19.467</v>
      </c>
      <c r="E6061" s="38" t="n">
        <f aca="false">Q!$P$48</f>
        <v>10.07</v>
      </c>
      <c r="F6061" s="38" t="n">
        <f aca="false">sbc_r*Sens!$F$5978</f>
        <v>10.8507035798037</v>
      </c>
      <c r="G6061" s="38" t="n">
        <f aca="false">Sens!$E$6061+Sens!$F$6061</f>
        <v>20.9207035798037</v>
      </c>
      <c r="H6061" s="38" t="n">
        <f aca="false">sbc_r*Sens!$H$5978</f>
        <v>23.46224366345</v>
      </c>
      <c r="I6061" s="38" t="n">
        <f aca="false">sbc_r*Sens!$I$5978</f>
        <v>26.6125957111676</v>
      </c>
      <c r="J6061" s="38" t="n">
        <f aca="false">sbc_r*Sens!$J$5978</f>
        <v>29.6280801413323</v>
      </c>
      <c r="K6061" s="38" t="n">
        <f aca="false">sbc_r*Sens!$K$5978</f>
        <v>32.2712258901105</v>
      </c>
      <c r="L6061" s="38" t="n">
        <f aca="false">sbc_r*Sens!$L$5978</f>
        <v>34.7390505016737</v>
      </c>
      <c r="M6061" s="38" t="n">
        <f aca="false">sbc_r*Sens!$M$5978</f>
        <v>37.0405146906692</v>
      </c>
    </row>
    <row r="6062" customFormat="false" ht="17.15" hidden="false" customHeight="false" outlineLevel="0" collapsed="false">
      <c r="A6062" s="5" t="s">
        <v>786</v>
      </c>
      <c r="B6062" s="0" t="s">
        <v>86</v>
      </c>
      <c r="C6062" s="38" t="n">
        <f aca="false">Q!$D$44-Sens!$C$6059-Sens!$C$6060-Sens!$C$6061</f>
        <v>2.551</v>
      </c>
      <c r="D6062" s="38" t="n">
        <f aca="false">Q!$E$44-Sens!$D$6059-Sens!$D$6060-Sens!$D$6061</f>
        <v>0.51700000000001</v>
      </c>
      <c r="E6062" s="38" t="n">
        <f aca="false">Q!$P$44-Sens!$E$6059-Sens!$E$6060-Sens!$E$6061</f>
        <v>-58.256</v>
      </c>
      <c r="F6062" s="38" t="n">
        <f aca="false">oth_r*Sens!$F$5978</f>
        <v>5.22265251035878</v>
      </c>
      <c r="G6062" s="38" t="n">
        <f aca="false">Sens!$E$6062+Sens!$F$6062</f>
        <v>-53.0333474896412</v>
      </c>
      <c r="H6062" s="38" t="n">
        <f aca="false">oth_r*Sens!$H$5978</f>
        <v>11.2928295263397</v>
      </c>
      <c r="I6062" s="38" t="n">
        <f aca="false">oth_r*Sens!$I$5978</f>
        <v>12.8091546115766</v>
      </c>
      <c r="J6062" s="38" t="n">
        <f aca="false">oth_r*Sens!$J$5978</f>
        <v>14.2605653162668</v>
      </c>
      <c r="K6062" s="38" t="n">
        <f aca="false">oth_r*Sens!$K$5978</f>
        <v>15.5327622460396</v>
      </c>
      <c r="L6062" s="38" t="n">
        <f aca="false">oth_r*Sens!$L$5978</f>
        <v>16.720573737517</v>
      </c>
      <c r="M6062" s="38" t="n">
        <f aca="false">oth_r*Sens!$M$5978</f>
        <v>17.8283127551536</v>
      </c>
      <c r="P6062" s="8" t="s">
        <v>787</v>
      </c>
    </row>
    <row r="6063" customFormat="false" ht="15" hidden="false" customHeight="false" outlineLevel="0" collapsed="false">
      <c r="A6063" s="3" t="s">
        <v>555</v>
      </c>
      <c r="B6063" s="8" t="s">
        <v>86</v>
      </c>
      <c r="C6063" s="38" t="n">
        <f aca="false">Q!$D$44</f>
        <v>115.877</v>
      </c>
      <c r="D6063" s="38" t="n">
        <f aca="false">Q!$E$44</f>
        <v>139.514</v>
      </c>
      <c r="E6063" s="38" t="n">
        <f aca="false">Q!$P$44</f>
        <v>71.419</v>
      </c>
      <c r="F6063" s="38" t="n">
        <f aca="false">Sens!$F$6059+Sens!$F$6060+Sens!$F$6061+Sens!$F$6062</f>
        <v>90.5858811434053</v>
      </c>
      <c r="G6063" s="38" t="n">
        <f aca="false">Sens!$E$6063+Sens!$F$6063</f>
        <v>162.004881143405</v>
      </c>
      <c r="H6063" s="38" t="n">
        <f aca="false">Sens!$H$6059+Sens!$H$6060+Sens!$H$6061+Sens!$H$6062</f>
        <v>218.627748477837</v>
      </c>
      <c r="I6063" s="38" t="n">
        <f aca="false">Sens!$I$6059+Sens!$I$6060+Sens!$I$6061+Sens!$I$6062</f>
        <v>270.47268086336</v>
      </c>
      <c r="J6063" s="38" t="n">
        <f aca="false">Sens!$J$6059+Sens!$J$6060+Sens!$J$6061+Sens!$J$6062</f>
        <v>322.901148792662</v>
      </c>
      <c r="K6063" s="38" t="n">
        <f aca="false">Sens!$K$6059+Sens!$K$6060+Sens!$K$6061+Sens!$K$6062</f>
        <v>371.076979153043</v>
      </c>
      <c r="L6063" s="38" t="n">
        <f aca="false">Sens!$L$6059+Sens!$L$6060+Sens!$L$6061+Sens!$L$6062</f>
        <v>413.315288332076</v>
      </c>
      <c r="M6063" s="38" t="n">
        <f aca="false">Sens!$M$6059+Sens!$M$6060+Sens!$M$6061+Sens!$M$6062</f>
        <v>449.97232363371</v>
      </c>
    </row>
    <row r="6064" customFormat="false" ht="17.15" hidden="false" customHeight="false" outlineLevel="0" collapsed="false">
      <c r="A6064" s="5" t="s">
        <v>788</v>
      </c>
      <c r="B6064" s="0" t="s">
        <v>86</v>
      </c>
      <c r="C6064" s="38" t="n">
        <f aca="false">Sens!$C$5945</f>
        <v>25.2781053077374</v>
      </c>
      <c r="D6064" s="38" t="n">
        <f aca="false">Sens!$D$5945</f>
        <v>69.5686316310026</v>
      </c>
      <c r="E6064" s="38" t="n">
        <f aca="false">Sens!$E$5945</f>
        <v>64.1899206485108</v>
      </c>
      <c r="F6064" s="38" t="n">
        <f aca="false">Sens!$F$5945</f>
        <v>96.2481299895</v>
      </c>
      <c r="G6064" s="38" t="n">
        <f aca="false">Sens!$G$5945</f>
        <v>160.438050638011</v>
      </c>
      <c r="H6064" s="38" t="n">
        <f aca="false">Sens!$H$5945</f>
        <v>198.57136494475</v>
      </c>
      <c r="I6064" s="38" t="n">
        <f aca="false">Sens!$I$5945</f>
        <v>204.6464699105</v>
      </c>
      <c r="J6064" s="38" t="n">
        <f aca="false">Sens!$J$5945</f>
        <v>209.8832381105</v>
      </c>
      <c r="K6064" s="38" t="n">
        <f aca="false">Sens!$K$5945</f>
        <v>155.238385275201</v>
      </c>
      <c r="L6064" s="38" t="n">
        <f aca="false">Sens!$L$5945</f>
        <v>132.014141639902</v>
      </c>
      <c r="M6064" s="38" t="n">
        <f aca="false">Sens!$M$5945</f>
        <v>132.230981659852</v>
      </c>
    </row>
    <row r="6065" customFormat="false" ht="17.15" hidden="false" customHeight="false" outlineLevel="0" collapsed="false">
      <c r="A6065" s="5" t="s">
        <v>789</v>
      </c>
      <c r="B6065" s="0" t="s">
        <v>86</v>
      </c>
      <c r="C6065" s="38" t="n">
        <f aca="false">cx_awso*Sens!$C$5976</f>
        <v>21.0469989286053</v>
      </c>
      <c r="D6065" s="38" t="n">
        <f aca="false">cx_awso*Sens!$D$5976</f>
        <v>24.0042459822698</v>
      </c>
      <c r="E6065" s="38" t="n">
        <f aca="false">cx_awso*Sens!$E$5976</f>
        <v>14.261729404886</v>
      </c>
      <c r="F6065" s="38" t="n">
        <f aca="false">cx_awso*Sens!$F$5976</f>
        <v>14.3538599588493</v>
      </c>
      <c r="G6065" s="38" t="n">
        <f aca="false">Sens!$E$6065+Sens!$F$6065</f>
        <v>28.6155893637353</v>
      </c>
      <c r="H6065" s="38" t="n">
        <f aca="false">cx_awso*Sens!$H$5976</f>
        <v>32.2034154158406</v>
      </c>
      <c r="I6065" s="38" t="n">
        <f aca="false">cx_awso*Sens!$I$5976</f>
        <v>35.7539519042915</v>
      </c>
      <c r="J6065" s="38" t="n">
        <f aca="false">cx_awso*Sens!$J$5976</f>
        <v>39.1551076091815</v>
      </c>
      <c r="K6065" s="38" t="n">
        <f aca="false">cx_awso*Sens!$K$5976</f>
        <v>42.287516217916</v>
      </c>
      <c r="L6065" s="38" t="n">
        <f aca="false">cx_awso*Sens!$L$5976</f>
        <v>45.6705175153492</v>
      </c>
      <c r="M6065" s="38" t="n">
        <f aca="false">cx_awso*Sens!$M$5976</f>
        <v>49.3241589165772</v>
      </c>
    </row>
    <row r="6066" customFormat="false" ht="17.15" hidden="false" customHeight="false" outlineLevel="0" collapsed="false">
      <c r="A6066" s="5" t="s">
        <v>790</v>
      </c>
      <c r="B6066" s="0" t="s">
        <v>86</v>
      </c>
      <c r="C6066" s="38" t="n">
        <f aca="false">Q!$D$46-Sens!$C$6064-Sens!$C$6065</f>
        <v>31.3328957636573</v>
      </c>
      <c r="D6066" s="38" t="n">
        <f aca="false">Q!$E$46-Sens!$D$6064-Sens!$D$6065</f>
        <v>34.7471223867276</v>
      </c>
      <c r="E6066" s="38" t="n">
        <f aca="false">Q!$P$46-Sens!$E$6064-Sens!$E$6065</f>
        <v>17.8583499466032</v>
      </c>
      <c r="F6066" s="38" t="n">
        <f aca="false">cx_rt*Sens!$F$5908</f>
        <v>20.6195895799373</v>
      </c>
      <c r="G6066" s="38" t="n">
        <f aca="false">Sens!$E$6066+Sens!$F$6066</f>
        <v>38.4779395265405</v>
      </c>
      <c r="H6066" s="38" t="n">
        <f aca="false">cx_rt*Sens!$H$5908</f>
        <v>42.5978994743075</v>
      </c>
      <c r="I6066" s="38" t="n">
        <f aca="false">cx_rt*Sens!$I$5908</f>
        <v>46.5813904136335</v>
      </c>
      <c r="J6066" s="38" t="n">
        <f aca="false">cx_rt*Sens!$J$5908</f>
        <v>50.2781676586844</v>
      </c>
      <c r="K6066" s="38" t="n">
        <f aca="false">cx_rt*Sens!$K$5908</f>
        <v>53.5312440191755</v>
      </c>
      <c r="L6066" s="38" t="n">
        <f aca="false">cx_rt*Sens!$L$5908</f>
        <v>57.0116717051447</v>
      </c>
      <c r="M6066" s="38" t="n">
        <f aca="false">cx_rt*Sens!$M$5908</f>
        <v>60.7365554669226</v>
      </c>
    </row>
    <row r="6067" customFormat="false" ht="15" hidden="false" customHeight="false" outlineLevel="0" collapsed="false">
      <c r="A6067" s="3" t="s">
        <v>791</v>
      </c>
      <c r="B6067" s="8" t="s">
        <v>86</v>
      </c>
      <c r="C6067" s="38" t="n">
        <f aca="false">Q!$D$46</f>
        <v>77.658</v>
      </c>
      <c r="D6067" s="38" t="n">
        <f aca="false">Q!$E$46</f>
        <v>128.32</v>
      </c>
      <c r="E6067" s="38" t="n">
        <f aca="false">Q!$P$46</f>
        <v>96.31</v>
      </c>
      <c r="F6067" s="38" t="n">
        <f aca="false">Sens!$F$6064+Sens!$F$6065+Sens!$F$6066</f>
        <v>131.221579528287</v>
      </c>
      <c r="G6067" s="38" t="n">
        <f aca="false">Sens!$E$6067+Sens!$F$6067</f>
        <v>227.531579528287</v>
      </c>
      <c r="H6067" s="38" t="n">
        <f aca="false">Sens!$H$6064+Sens!$H$6065+Sens!$H$6066</f>
        <v>273.372679834898</v>
      </c>
      <c r="I6067" s="38" t="n">
        <f aca="false">Sens!$I$6064+Sens!$I$6065+Sens!$I$6066</f>
        <v>286.981812228425</v>
      </c>
      <c r="J6067" s="38" t="n">
        <f aca="false">Sens!$J$6064+Sens!$J$6065+Sens!$J$6066</f>
        <v>299.316513378366</v>
      </c>
      <c r="K6067" s="38" t="n">
        <f aca="false">Sens!$K$6064+Sens!$K$6065+Sens!$K$6066</f>
        <v>251.057145512292</v>
      </c>
      <c r="L6067" s="38" t="n">
        <f aca="false">Sens!$L$6064+Sens!$L$6065+Sens!$L$6066</f>
        <v>234.696330860396</v>
      </c>
      <c r="M6067" s="38" t="n">
        <f aca="false">Sens!$M$6064+Sens!$M$6065+Sens!$M$6066</f>
        <v>242.291696043352</v>
      </c>
    </row>
    <row r="6068" customFormat="false" ht="17.15" hidden="false" customHeight="false" outlineLevel="0" collapsed="false">
      <c r="A6068" s="5" t="s">
        <v>563</v>
      </c>
      <c r="B6068" s="0" t="s">
        <v>86</v>
      </c>
      <c r="C6068" s="38" t="n">
        <f aca="false">Q!$D$50</f>
        <v>2.043</v>
      </c>
      <c r="D6068" s="38" t="n">
        <f aca="false">Q!$E$50</f>
        <v>1.557</v>
      </c>
      <c r="E6068" s="38" t="n">
        <f aca="false">lease_pr/2</f>
        <v>0.8</v>
      </c>
      <c r="F6068" s="38" t="n">
        <f aca="false">lease_pr/2</f>
        <v>0.8</v>
      </c>
      <c r="G6068" s="38" t="n">
        <f aca="false">Sens!$E$6068+Sens!$F$6068</f>
        <v>1.6</v>
      </c>
      <c r="H6068" s="38" t="n">
        <f aca="false">lease_pr</f>
        <v>1.6</v>
      </c>
      <c r="I6068" s="38" t="n">
        <f aca="false">lease_pr</f>
        <v>1.6</v>
      </c>
      <c r="J6068" s="38" t="n">
        <f aca="false">lease_pr</f>
        <v>1.6</v>
      </c>
      <c r="K6068" s="38" t="n">
        <f aca="false">lease_pr</f>
        <v>1.6</v>
      </c>
      <c r="L6068" s="38" t="n">
        <f aca="false">lease_pr</f>
        <v>1.6</v>
      </c>
      <c r="M6068" s="38" t="n">
        <f aca="false">lease_pr</f>
        <v>1.6</v>
      </c>
      <c r="P6068" s="8" t="s">
        <v>792</v>
      </c>
    </row>
    <row r="6069" customFormat="false" ht="15" hidden="false" customHeight="false" outlineLevel="0" collapsed="false">
      <c r="A6069" s="47" t="s">
        <v>793</v>
      </c>
      <c r="B6069" s="14" t="s">
        <v>86</v>
      </c>
      <c r="C6069" s="48" t="n">
        <f aca="false">Sens!$C$6063-Sens!$C$6067-Sens!$C$6068</f>
        <v>36.176</v>
      </c>
      <c r="D6069" s="48" t="n">
        <f aca="false">Sens!$D$6063-Sens!$D$6067-Sens!$D$6068</f>
        <v>9.63700000000002</v>
      </c>
      <c r="E6069" s="48" t="n">
        <f aca="false">Sens!$E$6063-Sens!$E$6067-Sens!$E$6068</f>
        <v>-25.691</v>
      </c>
      <c r="F6069" s="48" t="n">
        <f aca="false">Sens!$F$6063-Sens!$F$6067-Sens!$F$6068</f>
        <v>-41.4356983848813</v>
      </c>
      <c r="G6069" s="48" t="n">
        <f aca="false">Sens!$G$6063-Sens!$G$6067-Sens!$G$6068</f>
        <v>-67.1266983848813</v>
      </c>
      <c r="H6069" s="48" t="n">
        <f aca="false">Sens!$H$6063-Sens!$H$6067-Sens!$H$6068</f>
        <v>-56.3449313570613</v>
      </c>
      <c r="I6069" s="48" t="n">
        <f aca="false">Sens!$I$6063-Sens!$I$6067-Sens!$I$6068</f>
        <v>-18.1091313650653</v>
      </c>
      <c r="J6069" s="48" t="n">
        <f aca="false">Sens!$J$6063-Sens!$J$6067-Sens!$J$6068</f>
        <v>21.9846354142961</v>
      </c>
      <c r="K6069" s="48" t="n">
        <f aca="false">Sens!$K$6063-Sens!$K$6067-Sens!$K$6068</f>
        <v>118.41983364075</v>
      </c>
      <c r="L6069" s="48" t="n">
        <f aca="false">Sens!$L$6063-Sens!$L$6067-Sens!$L$6068</f>
        <v>177.018957471681</v>
      </c>
      <c r="M6069" s="48" t="n">
        <f aca="false">Sens!$M$6063-Sens!$M$6067-Sens!$M$6068</f>
        <v>206.080627590357</v>
      </c>
      <c r="N6069" s="14"/>
      <c r="O6069" s="14"/>
    </row>
    <row r="6070" customFormat="false" ht="17.15" hidden="false" customHeight="false" outlineLevel="0" collapsed="false">
      <c r="A6070" s="5" t="s">
        <v>794</v>
      </c>
      <c r="B6070" s="0" t="s">
        <v>86</v>
      </c>
      <c r="C6070" s="38" t="n">
        <f aca="false">dps*Sens!$C$6049</f>
        <v>0</v>
      </c>
      <c r="D6070" s="38" t="n">
        <f aca="false">dps*Sens!$D$6049</f>
        <v>0</v>
      </c>
      <c r="E6070" s="38" t="n">
        <f aca="false">dps*Sens!$E$6049</f>
        <v>0</v>
      </c>
      <c r="F6070" s="38" t="n">
        <f aca="false">0</f>
        <v>0</v>
      </c>
      <c r="G6070" s="38" t="n">
        <f aca="false">dps*Sens!$G$6049</f>
        <v>0</v>
      </c>
      <c r="H6070" s="38" t="n">
        <f aca="false">dps*Sens!$H$6049</f>
        <v>0</v>
      </c>
      <c r="I6070" s="38" t="n">
        <f aca="false">dps*Sens!$I$6049</f>
        <v>0</v>
      </c>
      <c r="J6070" s="38" t="n">
        <f aca="false">dps*Sens!$J$6049</f>
        <v>0</v>
      </c>
      <c r="K6070" s="38" t="n">
        <f aca="false">dps*Sens!$K$6049</f>
        <v>0</v>
      </c>
      <c r="L6070" s="38" t="n">
        <f aca="false">dps*Sens!$L$6049</f>
        <v>0</v>
      </c>
      <c r="M6070" s="38" t="n">
        <f aca="false">dps*Sens!$M$6049</f>
        <v>0</v>
      </c>
      <c r="P6070" s="8" t="s">
        <v>795</v>
      </c>
    </row>
    <row r="6071" customFormat="false" ht="17.15" hidden="false" customHeight="false" outlineLevel="0" collapsed="false">
      <c r="A6071" s="5" t="s">
        <v>796</v>
      </c>
      <c r="B6071" s="0" t="s">
        <v>86</v>
      </c>
      <c r="C6071" s="38" t="n">
        <f aca="false">0</f>
        <v>0</v>
      </c>
      <c r="D6071" s="38" t="n">
        <f aca="false">0</f>
        <v>0</v>
      </c>
      <c r="E6071" s="38" t="n">
        <f aca="false">0</f>
        <v>0</v>
      </c>
      <c r="F6071" s="38" t="n">
        <f aca="false">0</f>
        <v>0</v>
      </c>
      <c r="G6071" s="38" t="n">
        <f aca="false">0</f>
        <v>0</v>
      </c>
      <c r="H6071" s="38" t="n">
        <f aca="false">0</f>
        <v>0</v>
      </c>
      <c r="I6071" s="38" t="n">
        <f aca="false">0</f>
        <v>0</v>
      </c>
      <c r="J6071" s="38" t="n">
        <f aca="false">0</f>
        <v>0</v>
      </c>
      <c r="K6071" s="38" t="n">
        <f aca="false">0</f>
        <v>0</v>
      </c>
      <c r="L6071" s="38" t="n">
        <f aca="false">0</f>
        <v>0</v>
      </c>
      <c r="M6071" s="38" t="n">
        <f aca="false">0</f>
        <v>0</v>
      </c>
      <c r="P6071" s="8" t="s">
        <v>797</v>
      </c>
    </row>
    <row r="6072" customFormat="false" ht="15" hidden="false" customHeight="false" outlineLevel="0" collapsed="false">
      <c r="A6072" s="3" t="s">
        <v>798</v>
      </c>
      <c r="B6072" s="8" t="s">
        <v>86</v>
      </c>
      <c r="C6072" s="38" t="n">
        <f aca="false">Sens!$C$6069-Sens!$C$6070</f>
        <v>36.176</v>
      </c>
      <c r="D6072" s="38" t="n">
        <f aca="false">Sens!$D$6069-Sens!$D$6070</f>
        <v>9.63700000000002</v>
      </c>
      <c r="E6072" s="38" t="n">
        <f aca="false">Sens!$E$6069-Sens!$E$6070</f>
        <v>-25.691</v>
      </c>
      <c r="F6072" s="38" t="n">
        <f aca="false">Sens!$F$6069-Sens!$F$6070</f>
        <v>-41.4356983848813</v>
      </c>
      <c r="G6072" s="38" t="n">
        <f aca="false">Sens!$G$6069-Sens!$G$6070</f>
        <v>-67.1266983848813</v>
      </c>
      <c r="H6072" s="38" t="n">
        <f aca="false">Sens!$H$6069-Sens!$H$6070</f>
        <v>-56.3449313570613</v>
      </c>
      <c r="I6072" s="38" t="n">
        <f aca="false">Sens!$I$6069-Sens!$I$6070</f>
        <v>-18.1091313650653</v>
      </c>
      <c r="J6072" s="38" t="n">
        <f aca="false">Sens!$J$6069-Sens!$J$6070</f>
        <v>21.9846354142961</v>
      </c>
      <c r="K6072" s="38" t="n">
        <f aca="false">Sens!$K$6069-Sens!$K$6070</f>
        <v>118.41983364075</v>
      </c>
      <c r="L6072" s="38" t="n">
        <f aca="false">Sens!$L$6069-Sens!$L$6070</f>
        <v>177.018957471681</v>
      </c>
      <c r="M6072" s="38" t="n">
        <f aca="false">Sens!$M$6069-Sens!$M$6070</f>
        <v>206.080627590357</v>
      </c>
    </row>
    <row r="6073" customFormat="false" ht="17.15" hidden="false" customHeight="false" outlineLevel="0" collapsed="false">
      <c r="A6073" s="5" t="s">
        <v>799</v>
      </c>
      <c r="B6073" s="0" t="s">
        <v>86</v>
      </c>
      <c r="E6073" s="38" t="n">
        <f aca="false">Q!$P$53</f>
        <v>39.767</v>
      </c>
      <c r="F6073" s="38" t="n">
        <f aca="false">inv_2h26</f>
        <v>21.3</v>
      </c>
      <c r="G6073" s="38" t="n">
        <f aca="false">Sens!$E$6073+Sens!$F$6073</f>
        <v>61.067</v>
      </c>
      <c r="H6073" s="39" t="n">
        <v>0</v>
      </c>
      <c r="I6073" s="39" t="n">
        <v>0</v>
      </c>
      <c r="J6073" s="39" t="n">
        <v>0</v>
      </c>
      <c r="K6073" s="39" t="n">
        <v>0</v>
      </c>
      <c r="L6073" s="39" t="n">
        <v>0</v>
      </c>
      <c r="M6073" s="39" t="n">
        <v>0</v>
      </c>
    </row>
    <row r="6074" customFormat="false" ht="17.15" hidden="false" customHeight="false" outlineLevel="0" collapsed="false">
      <c r="A6074" s="5" t="s">
        <v>800</v>
      </c>
      <c r="B6074" s="0" t="s">
        <v>86</v>
      </c>
      <c r="F6074" s="38" t="n">
        <f aca="false">iss_2h26</f>
        <v>29.249999</v>
      </c>
      <c r="G6074" s="38" t="n">
        <f aca="false">Sens!$F$6074</f>
        <v>29.249999</v>
      </c>
      <c r="H6074" s="39" t="n">
        <v>0</v>
      </c>
      <c r="I6074" s="39" t="n">
        <v>0</v>
      </c>
      <c r="J6074" s="39" t="n">
        <v>0</v>
      </c>
      <c r="K6074" s="39" t="n">
        <v>0</v>
      </c>
      <c r="L6074" s="39" t="n">
        <v>0</v>
      </c>
      <c r="M6074" s="39" t="n">
        <v>0</v>
      </c>
    </row>
    <row r="6075" customFormat="false" ht="17.15" hidden="false" customHeight="false" outlineLevel="0" collapsed="false">
      <c r="A6075" s="5" t="s">
        <v>801</v>
      </c>
      <c r="B6075" s="0" t="s">
        <v>86</v>
      </c>
      <c r="F6075" s="38" t="n">
        <f aca="false">cash_q2</f>
        <v>122.988</v>
      </c>
      <c r="G6075" s="38" t="n">
        <f aca="false">cash_q2</f>
        <v>122.988</v>
      </c>
      <c r="H6075" s="38" t="n">
        <f aca="false">Sens!$G$6078</f>
        <v>89.5023006151187</v>
      </c>
      <c r="I6075" s="38" t="n">
        <f aca="false">Sens!$H$6078</f>
        <v>50</v>
      </c>
      <c r="J6075" s="38" t="n">
        <f aca="false">Sens!$I$6078</f>
        <v>50</v>
      </c>
      <c r="K6075" s="38" t="n">
        <f aca="false">Sens!$J$6078</f>
        <v>71.9846354142962</v>
      </c>
      <c r="L6075" s="38" t="n">
        <f aca="false">Sens!$K$6078</f>
        <v>190.404469055046</v>
      </c>
      <c r="M6075" s="38" t="n">
        <f aca="false">Sens!$L$6078</f>
        <v>367.423426526727</v>
      </c>
    </row>
    <row r="6076" customFormat="false" ht="15" hidden="false" customHeight="false" outlineLevel="0" collapsed="false">
      <c r="A6076" s="5" t="s">
        <v>802</v>
      </c>
      <c r="B6076" s="0" t="s">
        <v>86</v>
      </c>
      <c r="F6076" s="38" t="n">
        <f aca="false">Sens!$F$6075+Sens!$F$6072-Sens!$F$6071-Sens!$F$6073+Sens!$F$6074</f>
        <v>89.5023006151187</v>
      </c>
      <c r="H6076" s="38" t="n">
        <f aca="false">Sens!$H$6075+Sens!$H$6072-Sens!$H$6071-Sens!$H$6073+Sens!$H$6074</f>
        <v>33.1573692580575</v>
      </c>
      <c r="I6076" s="38" t="n">
        <f aca="false">Sens!$I$6075+Sens!$I$6072-Sens!$I$6071-Sens!$I$6073+Sens!$I$6074</f>
        <v>31.8908686349347</v>
      </c>
      <c r="J6076" s="38" t="n">
        <f aca="false">Sens!$J$6075+Sens!$J$6072-Sens!$J$6071-Sens!$J$6073+Sens!$J$6074</f>
        <v>71.9846354142962</v>
      </c>
      <c r="K6076" s="38" t="n">
        <f aca="false">Sens!$K$6075+Sens!$K$6072-Sens!$K$6071-Sens!$K$6073+Sens!$K$6074</f>
        <v>190.404469055046</v>
      </c>
      <c r="L6076" s="38" t="n">
        <f aca="false">Sens!$L$6075+Sens!$L$6072-Sens!$L$6071-Sens!$L$6073+Sens!$L$6074</f>
        <v>367.423426526727</v>
      </c>
      <c r="M6076" s="38" t="n">
        <f aca="false">Sens!$M$6075+Sens!$M$6072-Sens!$M$6071-Sens!$M$6073+Sens!$M$6074</f>
        <v>573.504054117085</v>
      </c>
    </row>
    <row r="6077" customFormat="false" ht="17.15" hidden="false" customHeight="false" outlineLevel="0" collapsed="false">
      <c r="A6077" s="5" t="s">
        <v>803</v>
      </c>
      <c r="B6077" s="0" t="s">
        <v>86</v>
      </c>
      <c r="F6077" s="38" t="n">
        <f aca="false">MAX(0,min_cash-Sens!$F$6076)</f>
        <v>0</v>
      </c>
      <c r="G6077" s="38" t="n">
        <f aca="false">Sens!$F$6077</f>
        <v>0</v>
      </c>
      <c r="H6077" s="38" t="n">
        <f aca="false">MAX(0,min_cash-Sens!$H$6076)</f>
        <v>16.8426307419426</v>
      </c>
      <c r="I6077" s="38" t="n">
        <f aca="false">MAX(0,min_cash-Sens!$I$6076)</f>
        <v>18.1091313650653</v>
      </c>
      <c r="J6077" s="38" t="n">
        <f aca="false">MAX(0,min_cash-Sens!$J$6076)</f>
        <v>0</v>
      </c>
      <c r="K6077" s="38" t="n">
        <f aca="false">MAX(0,min_cash-Sens!$K$6076)</f>
        <v>0</v>
      </c>
      <c r="L6077" s="38" t="n">
        <f aca="false">MAX(0,min_cash-Sens!$L$6076)</f>
        <v>0</v>
      </c>
      <c r="M6077" s="38" t="n">
        <f aca="false">MAX(0,min_cash-Sens!$M$6076)</f>
        <v>0</v>
      </c>
      <c r="P6077" s="5" t="s">
        <v>804</v>
      </c>
    </row>
    <row r="6078" customFormat="false" ht="15" hidden="false" customHeight="false" outlineLevel="0" collapsed="false">
      <c r="A6078" s="5" t="s">
        <v>805</v>
      </c>
      <c r="B6078" s="0" t="s">
        <v>86</v>
      </c>
      <c r="D6078" s="38" t="n">
        <f aca="false">Q!$E$61</f>
        <v>123.029</v>
      </c>
      <c r="E6078" s="38" t="n">
        <f aca="false">Q!$M$61</f>
        <v>122.988</v>
      </c>
      <c r="F6078" s="38" t="n">
        <f aca="false">Sens!$F$6076+Sens!$F$6077</f>
        <v>89.5023006151187</v>
      </c>
      <c r="G6078" s="38" t="n">
        <f aca="false">Sens!$F$6078</f>
        <v>89.5023006151187</v>
      </c>
      <c r="H6078" s="38" t="n">
        <f aca="false">Sens!$H$6076+Sens!$H$6077</f>
        <v>50</v>
      </c>
      <c r="I6078" s="38" t="n">
        <f aca="false">Sens!$I$6076+Sens!$I$6077</f>
        <v>50</v>
      </c>
      <c r="J6078" s="38" t="n">
        <f aca="false">Sens!$J$6076+Sens!$J$6077</f>
        <v>71.9846354142962</v>
      </c>
      <c r="K6078" s="38" t="n">
        <f aca="false">Sens!$K$6076+Sens!$K$6077</f>
        <v>190.404469055046</v>
      </c>
      <c r="L6078" s="38" t="n">
        <f aca="false">Sens!$L$6076+Sens!$L$6077</f>
        <v>367.423426526727</v>
      </c>
      <c r="M6078" s="38" t="n">
        <f aca="false">Sens!$M$6076+Sens!$M$6077</f>
        <v>573.504054117085</v>
      </c>
    </row>
    <row r="6079" customFormat="false" ht="15" hidden="false" customHeight="false" outlineLevel="0" collapsed="false">
      <c r="A6079" s="5" t="s">
        <v>806</v>
      </c>
      <c r="B6079" s="0" t="s">
        <v>86</v>
      </c>
      <c r="D6079" s="38" t="n">
        <f aca="false">Q!$E$62</f>
        <v>68.836</v>
      </c>
      <c r="E6079" s="38" t="n">
        <f aca="false">Q!$M$62</f>
        <v>132.995</v>
      </c>
      <c r="F6079" s="38" t="n">
        <f aca="false">debt_q2+Sens!$F$6074+Sens!$F$6077</f>
        <v>162.244999</v>
      </c>
      <c r="G6079" s="38" t="n">
        <f aca="false">Sens!$F$6079</f>
        <v>162.244999</v>
      </c>
      <c r="H6079" s="38" t="n">
        <f aca="false">Sens!$G$6079+Sens!$H$6077</f>
        <v>179.087629741943</v>
      </c>
      <c r="I6079" s="38" t="n">
        <f aca="false">Sens!$H$6079+Sens!$I$6077</f>
        <v>197.196761107008</v>
      </c>
      <c r="J6079" s="38" t="n">
        <f aca="false">Sens!$I$6079+Sens!$J$6077</f>
        <v>197.196761107008</v>
      </c>
      <c r="K6079" s="38" t="n">
        <f aca="false">Sens!$J$6079+Sens!$K$6077</f>
        <v>197.196761107008</v>
      </c>
      <c r="L6079" s="38" t="n">
        <f aca="false">Sens!$K$6079+Sens!$L$6077</f>
        <v>197.196761107008</v>
      </c>
      <c r="M6079" s="38" t="n">
        <f aca="false">Sens!$L$6079+Sens!$M$6077</f>
        <v>197.196761107008</v>
      </c>
    </row>
    <row r="6080" customFormat="false" ht="15" hidden="false" customHeight="false" outlineLevel="0" collapsed="false">
      <c r="A6080" s="5" t="s">
        <v>807</v>
      </c>
      <c r="B6080" s="0" t="s">
        <v>86</v>
      </c>
      <c r="D6080" s="38" t="n">
        <f aca="false">Sens!$D$6079-Sens!$D$6078</f>
        <v>-54.193</v>
      </c>
      <c r="E6080" s="38" t="n">
        <f aca="false">Sens!$E$6079-Sens!$E$6078</f>
        <v>10.007</v>
      </c>
      <c r="F6080" s="38" t="n">
        <f aca="false">Sens!$F$6079-Sens!$F$6078</f>
        <v>72.7426983848813</v>
      </c>
      <c r="G6080" s="38" t="n">
        <f aca="false">Sens!$G$6079-Sens!$G$6078</f>
        <v>72.7426983848813</v>
      </c>
      <c r="H6080" s="38" t="n">
        <f aca="false">Sens!$H$6079-Sens!$H$6078</f>
        <v>129.087629741943</v>
      </c>
      <c r="I6080" s="38" t="n">
        <f aca="false">Sens!$I$6079-Sens!$I$6078</f>
        <v>147.196761107008</v>
      </c>
      <c r="J6080" s="38" t="n">
        <f aca="false">Sens!$J$6079-Sens!$J$6078</f>
        <v>125.212125692712</v>
      </c>
      <c r="K6080" s="38" t="n">
        <f aca="false">Sens!$K$6079-Sens!$K$6078</f>
        <v>6.79229205196145</v>
      </c>
      <c r="L6080" s="38" t="n">
        <f aca="false">Sens!$L$6079-Sens!$L$6078</f>
        <v>-170.226665419719</v>
      </c>
      <c r="M6080" s="38" t="n">
        <f aca="false">Sens!$M$6079-Sens!$M$6078</f>
        <v>-376.307293010077</v>
      </c>
    </row>
    <row r="6081" customFormat="false" ht="17.15" hidden="false" customHeight="false" outlineLevel="0" collapsed="false">
      <c r="A6081" s="5" t="s">
        <v>808</v>
      </c>
      <c r="B6081" s="0" t="s">
        <v>86</v>
      </c>
      <c r="F6081" s="38" t="n">
        <f aca="false">debt_q2*kd_book*0.5+iss_2h26*kd_new*iss_t</f>
        <v>3.24888962733561</v>
      </c>
      <c r="H6081" s="38" t="n">
        <f aca="false">debt_q2*kd_book+(Sens!$G$6079-debt_q2)*kd_new</f>
        <v>7.42354172302123</v>
      </c>
      <c r="I6081" s="38" t="n">
        <f aca="false">debt_q2*kd_book+(Sens!$H$6079-debt_q2)*kd_new</f>
        <v>8.48968024898619</v>
      </c>
      <c r="J6081" s="38" t="n">
        <f aca="false">debt_q2*kd_book+(Sens!$I$6079-debt_q2)*kd_new</f>
        <v>9.63598826439483</v>
      </c>
      <c r="K6081" s="38" t="n">
        <f aca="false">debt_q2*kd_book+(Sens!$J$6079-debt_q2)*kd_new</f>
        <v>9.63598826439483</v>
      </c>
      <c r="L6081" s="38" t="n">
        <f aca="false">debt_q2*kd_book+(Sens!$K$6079-debt_q2)*kd_new</f>
        <v>9.63598826439483</v>
      </c>
      <c r="M6081" s="38" t="n">
        <f aca="false">debt_q2*kd_book+(Sens!$L$6079-debt_q2)*kd_new</f>
        <v>9.63598826439483</v>
      </c>
    </row>
    <row r="6082" customFormat="false" ht="17.15" hidden="false" customHeight="false" outlineLevel="0" collapsed="false">
      <c r="A6082" s="5" t="s">
        <v>809</v>
      </c>
      <c r="B6082" s="0" t="s">
        <v>86</v>
      </c>
      <c r="F6082" s="38" t="n">
        <f aca="false">cash_q2*y_cash*0.5</f>
        <v>2.59</v>
      </c>
      <c r="H6082" s="38" t="n">
        <f aca="false">Sens!$G$6078*y_cash</f>
        <v>3.76965165045626</v>
      </c>
      <c r="I6082" s="38" t="n">
        <f aca="false">Sens!$H$6078*y_cash</f>
        <v>2.10589651022864</v>
      </c>
      <c r="J6082" s="38" t="n">
        <f aca="false">Sens!$I$6078*y_cash</f>
        <v>2.10589651022864</v>
      </c>
      <c r="K6082" s="38" t="n">
        <f aca="false">Sens!$J$6078*y_cash</f>
        <v>3.03184385018094</v>
      </c>
      <c r="L6082" s="38" t="n">
        <f aca="false">Sens!$K$6078*y_cash</f>
        <v>8.01944213829919</v>
      </c>
      <c r="M6082" s="38" t="n">
        <f aca="false">Sens!$L$6078*y_cash</f>
        <v>15.4751142339777</v>
      </c>
    </row>
    <row r="6083" customFormat="false" ht="17.15" hidden="false" customHeight="false" outlineLevel="0" collapsed="false">
      <c r="A6083" s="47" t="s">
        <v>810</v>
      </c>
      <c r="B6083" s="14" t="s">
        <v>86</v>
      </c>
      <c r="C6083" s="14"/>
      <c r="D6083" s="14"/>
      <c r="E6083" s="14"/>
      <c r="F6083" s="14"/>
      <c r="G6083" s="48" t="n">
        <f aca="false">SUM(Sens!$G$6072:$K$6072)</f>
        <v>-1.17629205196147</v>
      </c>
      <c r="H6083" s="14"/>
      <c r="I6083" s="14"/>
      <c r="J6083" s="14"/>
      <c r="K6083" s="14"/>
      <c r="L6083" s="14"/>
      <c r="M6083" s="14"/>
      <c r="N6083" s="14"/>
      <c r="O6083" s="14"/>
    </row>
    <row r="6084" customFormat="false" ht="17.15" hidden="false" customHeight="false" outlineLevel="0" collapsed="false">
      <c r="A6084" s="0" t="s">
        <v>776</v>
      </c>
      <c r="B6084" s="0" t="s">
        <v>86</v>
      </c>
      <c r="G6084" s="38" t="n">
        <f aca="false">SUM(Sens!$G$6077:$K$6077)</f>
        <v>34.9517621070079</v>
      </c>
    </row>
    <row r="6085" customFormat="false" ht="17.15" hidden="false" customHeight="false" outlineLevel="0" collapsed="false">
      <c r="A6085" s="24" t="s">
        <v>813</v>
      </c>
      <c r="B6085" s="25" t="s">
        <v>86</v>
      </c>
      <c r="C6085" s="25"/>
      <c r="D6085" s="25"/>
      <c r="E6085" s="25"/>
      <c r="F6085" s="25"/>
      <c r="G6085" s="41" t="n">
        <f aca="false">Sens!$G$6083-(Sens!$G$6072+Sens!$H$6072+Sens!$I$6072+Sens!$J$6072+Sens!$K$6072)</f>
        <v>-2.8421709430404E-014</v>
      </c>
      <c r="H6085" s="25"/>
      <c r="I6085" s="25"/>
      <c r="J6085" s="25"/>
      <c r="K6085" s="25"/>
      <c r="L6085" s="25"/>
      <c r="M6085" s="25"/>
      <c r="N6085" s="25"/>
      <c r="O6085" s="25"/>
    </row>
    <row r="6088" customFormat="false" ht="19.4" hidden="false" customHeight="false" outlineLevel="0" collapsed="false">
      <c r="A6088" s="31" t="s">
        <v>1259</v>
      </c>
    </row>
    <row r="6089" customFormat="false" ht="17.15" hidden="false" customHeight="false" outlineLevel="0" collapsed="false">
      <c r="A6089" s="6" t="s">
        <v>16</v>
      </c>
      <c r="B6089" s="6" t="s">
        <v>17</v>
      </c>
      <c r="C6089" s="20" t="s">
        <v>497</v>
      </c>
      <c r="D6089" s="20" t="s">
        <v>498</v>
      </c>
      <c r="E6089" s="20" t="s">
        <v>580</v>
      </c>
      <c r="F6089" s="20" t="s">
        <v>581</v>
      </c>
      <c r="G6089" s="20" t="s">
        <v>582</v>
      </c>
      <c r="H6089" s="20" t="s">
        <v>583</v>
      </c>
      <c r="I6089" s="20" t="s">
        <v>584</v>
      </c>
      <c r="J6089" s="20" t="s">
        <v>585</v>
      </c>
      <c r="K6089" s="20" t="s">
        <v>586</v>
      </c>
      <c r="L6089" s="20" t="s">
        <v>587</v>
      </c>
      <c r="M6089" s="20" t="s">
        <v>588</v>
      </c>
      <c r="N6089" s="20" t="s">
        <v>589</v>
      </c>
      <c r="O6089" s="20" t="s">
        <v>590</v>
      </c>
      <c r="P6089" s="6" t="s">
        <v>23</v>
      </c>
      <c r="R6089" s="20" t="n">
        <v>2023</v>
      </c>
      <c r="S6089" s="20" t="n">
        <v>2024</v>
      </c>
      <c r="T6089" s="20" t="n">
        <v>2025</v>
      </c>
      <c r="U6089" s="20" t="n">
        <v>2026</v>
      </c>
      <c r="V6089" s="20" t="n">
        <v>2027</v>
      </c>
      <c r="W6089" s="20" t="n">
        <v>2028</v>
      </c>
      <c r="X6089" s="20" t="n">
        <v>2029</v>
      </c>
      <c r="Y6089" s="20" t="n">
        <v>2030</v>
      </c>
      <c r="Z6089" s="20" t="n">
        <v>2031</v>
      </c>
      <c r="AA6089" s="20" t="n">
        <v>2032</v>
      </c>
    </row>
    <row r="6090" customFormat="false" ht="17.15" hidden="false" customHeight="false" outlineLevel="0" collapsed="false">
      <c r="A6090" s="1" t="s">
        <v>915</v>
      </c>
    </row>
    <row r="6091" customFormat="false" ht="17.15" hidden="false" customHeight="false" outlineLevel="0" collapsed="false">
      <c r="A6091" s="0" t="s">
        <v>916</v>
      </c>
      <c r="B6091" s="0" t="s">
        <v>86</v>
      </c>
      <c r="H6091" s="38" t="n">
        <f aca="false">Sens!$H$6025*(1-tax)</f>
        <v>121.243762954598</v>
      </c>
      <c r="I6091" s="38" t="n">
        <f aca="false">Sens!$I$6025*(1-tax)</f>
        <v>146.296727721585</v>
      </c>
      <c r="J6091" s="38" t="n">
        <f aca="false">Sens!$J$6025*(1-tax)</f>
        <v>170.140518399982</v>
      </c>
      <c r="K6091" s="38" t="n">
        <f aca="false">Sens!$K$6025*(1-tax)</f>
        <v>187.091644407888</v>
      </c>
      <c r="L6091" s="38" t="n">
        <f aca="false">Sens!$L$6025*(1-tax)</f>
        <v>200.866341135815</v>
      </c>
      <c r="M6091" s="38" t="n">
        <f aca="false">Sens!$M$6025*(1-tax)</f>
        <v>211.476896331068</v>
      </c>
    </row>
    <row r="6092" customFormat="false" ht="15" hidden="false" customHeight="false" outlineLevel="0" collapsed="false">
      <c r="A6092" s="5" t="s">
        <v>917</v>
      </c>
      <c r="B6092" s="0" t="s">
        <v>86</v>
      </c>
      <c r="H6092" s="38" t="n">
        <f aca="false">Sens!$H$6036</f>
        <v>78.1799395827871</v>
      </c>
      <c r="I6092" s="38" t="n">
        <f aca="false">Sens!$I$6036</f>
        <v>111.171125554384</v>
      </c>
      <c r="J6092" s="38" t="n">
        <f aca="false">Sens!$J$6036</f>
        <v>144.884406220971</v>
      </c>
      <c r="K6092" s="38" t="n">
        <f aca="false">Sens!$K$6036</f>
        <v>178.806419437999</v>
      </c>
      <c r="L6092" s="38" t="n">
        <f aca="false">Sens!$L$6036</f>
        <v>204.341339029663</v>
      </c>
      <c r="M6092" s="38" t="n">
        <f aca="false">Sens!$M$6036</f>
        <v>223.130577995387</v>
      </c>
    </row>
    <row r="6093" customFormat="false" ht="15" hidden="false" customHeight="false" outlineLevel="0" collapsed="false">
      <c r="A6093" s="5" t="s">
        <v>918</v>
      </c>
      <c r="B6093" s="0" t="s">
        <v>86</v>
      </c>
      <c r="H6093" s="38" t="n">
        <f aca="false">Sens!$H$6067</f>
        <v>273.372679834898</v>
      </c>
      <c r="I6093" s="38" t="n">
        <f aca="false">Sens!$I$6067</f>
        <v>286.981812228425</v>
      </c>
      <c r="J6093" s="38" t="n">
        <f aca="false">Sens!$J$6067</f>
        <v>299.316513378366</v>
      </c>
      <c r="K6093" s="38" t="n">
        <f aca="false">Sens!$K$6067</f>
        <v>251.057145512292</v>
      </c>
      <c r="L6093" s="38" t="n">
        <f aca="false">Sens!$L$6067</f>
        <v>234.696330860396</v>
      </c>
      <c r="M6093" s="38" t="n">
        <f aca="false">Sens!$M$6067</f>
        <v>242.291696043352</v>
      </c>
    </row>
    <row r="6094" customFormat="false" ht="15" hidden="false" customHeight="false" outlineLevel="0" collapsed="false">
      <c r="A6094" s="5" t="s">
        <v>919</v>
      </c>
      <c r="B6094" s="0" t="s">
        <v>86</v>
      </c>
      <c r="H6094" s="38" t="n">
        <f aca="false">Sens!$H$6068</f>
        <v>1.6</v>
      </c>
      <c r="I6094" s="38" t="n">
        <f aca="false">Sens!$I$6068</f>
        <v>1.6</v>
      </c>
      <c r="J6094" s="38" t="n">
        <f aca="false">Sens!$J$6068</f>
        <v>1.6</v>
      </c>
      <c r="K6094" s="38" t="n">
        <f aca="false">Sens!$K$6068</f>
        <v>1.6</v>
      </c>
      <c r="L6094" s="38" t="n">
        <f aca="false">Sens!$L$6068</f>
        <v>1.6</v>
      </c>
      <c r="M6094" s="38" t="n">
        <f aca="false">Sens!$M$6068</f>
        <v>1.6</v>
      </c>
    </row>
    <row r="6095" customFormat="false" ht="15" hidden="false" customHeight="false" outlineLevel="0" collapsed="false">
      <c r="A6095" s="5" t="s">
        <v>920</v>
      </c>
      <c r="B6095" s="0" t="s">
        <v>86</v>
      </c>
      <c r="H6095" s="38" t="n">
        <f aca="false">Sens!$H$6062</f>
        <v>11.2928295263397</v>
      </c>
      <c r="I6095" s="38" t="n">
        <f aca="false">Sens!$I$6062</f>
        <v>12.8091546115766</v>
      </c>
      <c r="J6095" s="38" t="n">
        <f aca="false">Sens!$J$6062</f>
        <v>14.2605653162668</v>
      </c>
      <c r="K6095" s="38" t="n">
        <f aca="false">Sens!$K$6062</f>
        <v>15.5327622460396</v>
      </c>
      <c r="L6095" s="38" t="n">
        <f aca="false">Sens!$L$6062</f>
        <v>16.720573737517</v>
      </c>
      <c r="M6095" s="38" t="n">
        <f aca="false">Sens!$M$6062</f>
        <v>17.8283127551536</v>
      </c>
    </row>
    <row r="6096" customFormat="false" ht="17.15" hidden="false" customHeight="false" outlineLevel="0" collapsed="false">
      <c r="A6096" s="1" t="s">
        <v>921</v>
      </c>
      <c r="B6096" s="8" t="s">
        <v>86</v>
      </c>
      <c r="H6096" s="38" t="n">
        <f aca="false">Sens!$H$6091+Sens!$H$6092-Sens!$H$6093+Sens!$H$6095</f>
        <v>-62.6561477711731</v>
      </c>
      <c r="I6096" s="38" t="n">
        <f aca="false">Sens!$I$6091+Sens!$I$6092-Sens!$I$6093+Sens!$I$6095</f>
        <v>-16.7048043408794</v>
      </c>
      <c r="J6096" s="38" t="n">
        <f aca="false">Sens!$J$6091+Sens!$J$6092-Sens!$J$6093+Sens!$J$6095</f>
        <v>29.9689765588539</v>
      </c>
      <c r="K6096" s="38" t="n">
        <f aca="false">Sens!$K$6091+Sens!$K$6092-Sens!$K$6093+Sens!$K$6095</f>
        <v>130.373680579634</v>
      </c>
      <c r="L6096" s="38" t="n">
        <f aca="false">Sens!$L$6091+Sens!$L$6092-Sens!$L$6093+Sens!$L$6095</f>
        <v>187.231923042598</v>
      </c>
      <c r="M6096" s="38" t="n">
        <f aca="false">Sens!$M$6091+Sens!$M$6092-Sens!$M$6093+Sens!$M$6095</f>
        <v>210.144091038257</v>
      </c>
    </row>
    <row r="6097" customFormat="false" ht="15" hidden="false" customHeight="false" outlineLevel="0" collapsed="false">
      <c r="A6097" s="5" t="s">
        <v>922</v>
      </c>
      <c r="B6097" s="0" t="s">
        <v>57</v>
      </c>
      <c r="H6097" s="40" t="n">
        <f aca="false">1/(1+wacc)^(2027-2026-0.5)</f>
        <v>0.947751320380232</v>
      </c>
      <c r="I6097" s="40" t="n">
        <f aca="false">1/(1+wacc)^(2028-2026-0.5)</f>
        <v>0.851301099754987</v>
      </c>
      <c r="J6097" s="40" t="n">
        <f aca="false">1/(1+wacc)^(2029-2026-0.5)</f>
        <v>0.764666370660713</v>
      </c>
      <c r="K6097" s="40" t="n">
        <f aca="false">1/(1+wacc)^(2030-2026-0.5)</f>
        <v>0.686848235703811</v>
      </c>
      <c r="L6097" s="40" t="n">
        <f aca="false">1/(1+wacc)^(2031-2026-0.5)</f>
        <v>0.616949452715975</v>
      </c>
      <c r="M6097" s="40" t="n">
        <f aca="false">1/(1+wacc)^(2032-2026-0.5)</f>
        <v>0.554164089562688</v>
      </c>
    </row>
    <row r="6098" customFormat="false" ht="15" hidden="false" customHeight="false" outlineLevel="0" collapsed="false">
      <c r="A6098" s="5" t="s">
        <v>923</v>
      </c>
      <c r="B6098" s="0" t="s">
        <v>86</v>
      </c>
      <c r="H6098" s="38" t="n">
        <f aca="false">Sens!$H$6096*Sens!$H$6097</f>
        <v>-59.3824467800682</v>
      </c>
      <c r="I6098" s="38" t="n">
        <f aca="false">Sens!$I$6096*Sens!$I$6097</f>
        <v>-14.2208183065825</v>
      </c>
      <c r="J6098" s="38" t="n">
        <f aca="false">Sens!$J$6096*Sens!$J$6097</f>
        <v>22.9162685376748</v>
      </c>
      <c r="K6098" s="38" t="n">
        <f aca="false">Sens!$K$6096*Sens!$K$6097</f>
        <v>89.5469324883341</v>
      </c>
      <c r="L6098" s="38" t="n">
        <f aca="false">Sens!$L$6096*Sens!$L$6097</f>
        <v>115.512632452091</v>
      </c>
      <c r="M6098" s="38" t="n">
        <f aca="false">Sens!$M$6096*Sens!$M$6097</f>
        <v>116.454308887194</v>
      </c>
    </row>
    <row r="6099" customFormat="false" ht="15" hidden="false" customHeight="false" outlineLevel="0" collapsed="false">
      <c r="A6099" s="5" t="s">
        <v>924</v>
      </c>
      <c r="B6099" s="0" t="s">
        <v>86</v>
      </c>
      <c r="C6099" s="38" t="n">
        <f aca="false">SUM(Sens!$H$6098:$M$6098)</f>
        <v>270.826877278643</v>
      </c>
    </row>
    <row r="6100" customFormat="false" ht="17.15" hidden="false" customHeight="false" outlineLevel="0" collapsed="false">
      <c r="A6100" s="5" t="s">
        <v>925</v>
      </c>
      <c r="B6100" s="0" t="s">
        <v>86</v>
      </c>
      <c r="C6100" s="38" t="n">
        <f aca="false">Sens!$M$6091*(1+tg)*(1-tg/ronic_hi)/(wacc-tg)</f>
        <v>2134.57299213476</v>
      </c>
    </row>
    <row r="6101" customFormat="false" ht="15" hidden="false" customHeight="false" outlineLevel="0" collapsed="false">
      <c r="A6101" s="5" t="s">
        <v>926</v>
      </c>
      <c r="B6101" s="0" t="s">
        <v>86</v>
      </c>
      <c r="C6101" s="38" t="n">
        <f aca="false">Sens!$C$6100/(1+wacc)^6</f>
        <v>1121.09854241227</v>
      </c>
    </row>
    <row r="6102" customFormat="false" ht="17.15" hidden="false" customHeight="false" outlineLevel="0" collapsed="false">
      <c r="A6102" s="5" t="s">
        <v>927</v>
      </c>
      <c r="B6102" s="0" t="s">
        <v>86</v>
      </c>
      <c r="C6102" s="38" t="n">
        <f aca="false">Sens!$C$6099+Sens!$C$6101</f>
        <v>1391.92541969091</v>
      </c>
    </row>
    <row r="6103" customFormat="false" ht="17.15" hidden="false" customHeight="false" outlineLevel="0" collapsed="false">
      <c r="A6103" s="5" t="s">
        <v>928</v>
      </c>
      <c r="B6103" s="0" t="s">
        <v>52</v>
      </c>
      <c r="C6103" s="13" t="n">
        <f aca="false">Sens!$C$6101/Sens!$C$6102</f>
        <v>0.805430037092948</v>
      </c>
    </row>
    <row r="6104" customFormat="false" ht="17.15" hidden="false" customHeight="false" outlineLevel="0" collapsed="false">
      <c r="A6104" s="5" t="s">
        <v>929</v>
      </c>
      <c r="B6104" s="0" t="s">
        <v>86</v>
      </c>
      <c r="C6104" s="38" t="n">
        <f aca="false">Sens!$G$6080+fin_debt</f>
        <v>97.2636983848813</v>
      </c>
    </row>
    <row r="6105" customFormat="false" ht="17.15" hidden="false" customHeight="false" outlineLevel="0" collapsed="false">
      <c r="A6105" s="5" t="s">
        <v>930</v>
      </c>
      <c r="B6105" s="0" t="s">
        <v>86</v>
      </c>
      <c r="C6105" s="38" t="n">
        <f aca="false">(ant_val*ant_sh+oai_val*oai_sh)*(1-liq_disc)</f>
        <v>178.944</v>
      </c>
    </row>
    <row r="6106" customFormat="false" ht="15" hidden="false" customHeight="false" outlineLevel="0" collapsed="false">
      <c r="A6106" s="5" t="s">
        <v>931</v>
      </c>
      <c r="B6106" s="0" t="s">
        <v>86</v>
      </c>
      <c r="C6106" s="38" t="n">
        <f aca="false">Sens!$C$6102-Sens!$C$6104+Sens!$C$6105</f>
        <v>1473.60572130603</v>
      </c>
    </row>
    <row r="6107" customFormat="false" ht="17.15" hidden="false" customHeight="false" outlineLevel="0" collapsed="false">
      <c r="A6107" s="5" t="s">
        <v>932</v>
      </c>
      <c r="B6107" s="0" t="s">
        <v>27</v>
      </c>
      <c r="C6107" s="30" t="n">
        <f aca="false">Sens!$C$6106/sh_out</f>
        <v>136.618099686884</v>
      </c>
    </row>
    <row r="6108" customFormat="false" ht="17.15" hidden="false" customHeight="false" outlineLevel="0" collapsed="false">
      <c r="A6108" s="1" t="s">
        <v>933</v>
      </c>
      <c r="B6108" s="8" t="s">
        <v>27</v>
      </c>
      <c r="C6108" s="30" t="n">
        <f aca="false">Sens!$C$6107*(1+ke)^tp_yf-dps*tp_yf</f>
        <v>149.647210261579</v>
      </c>
    </row>
    <row r="6109" customFormat="false" ht="17.15" hidden="false" customHeight="false" outlineLevel="0" collapsed="false">
      <c r="A6109" s="3" t="s">
        <v>934</v>
      </c>
    </row>
    <row r="6110" customFormat="false" ht="17.15" hidden="false" customHeight="false" outlineLevel="0" collapsed="false">
      <c r="A6110" s="5" t="s">
        <v>935</v>
      </c>
      <c r="B6110" s="0" t="s">
        <v>86</v>
      </c>
      <c r="C6110" s="38" t="n">
        <f aca="false">(1-tp_yf)*(Sens!$H$6037+sbc_ab*Sens!$H$6061*Sens!$H$5901/Sens!$H$5978)+tp_yf*(Sens!$I$6037+sbc_ab*Sens!$I$6061*Sens!$I$5901/Sens!$I$5978)</f>
        <v>59.634664536349</v>
      </c>
    </row>
    <row r="6111" customFormat="false" ht="15" hidden="false" customHeight="false" outlineLevel="0" collapsed="false">
      <c r="A6111" s="5" t="s">
        <v>936</v>
      </c>
      <c r="B6111" s="0" t="s">
        <v>57</v>
      </c>
      <c r="C6111" s="30" t="n">
        <f aca="false">m_ads*m_x</f>
        <v>9.11</v>
      </c>
    </row>
    <row r="6112" customFormat="false" ht="17.15" hidden="false" customHeight="false" outlineLevel="0" collapsed="false">
      <c r="A6112" s="5" t="s">
        <v>937</v>
      </c>
      <c r="B6112" s="0" t="s">
        <v>86</v>
      </c>
      <c r="C6112" s="38" t="n">
        <f aca="false">Sens!$C$6110*Sens!$C$6111</f>
        <v>543.271793926139</v>
      </c>
    </row>
    <row r="6113" customFormat="false" ht="17.15" hidden="false" customHeight="false" outlineLevel="0" collapsed="false">
      <c r="A6113" s="5" t="s">
        <v>938</v>
      </c>
      <c r="B6113" s="0" t="s">
        <v>86</v>
      </c>
      <c r="C6113" s="38" t="n">
        <f aca="false">(1-tp_yf)*(Sens!$H$6038+sbc_ab*Sens!$H$6061*(Sens!$H$5908-Sens!$H$5901)/Sens!$H$5978+IF(internal_ai_reading=2,1,0)*(1-ext_sh)*Sens!$H$5938)+tp_yf*(Sens!$I$6038+sbc_ab*Sens!$I$6061*(Sens!$I$5908-Sens!$I$5901)/Sens!$I$5978+IF(internal_ai_reading=2,1,0)*(1-ext_sh)*Sens!$I$5938)</f>
        <v>51.2224827206816</v>
      </c>
    </row>
    <row r="6114" customFormat="false" ht="17.15" hidden="false" customHeight="false" outlineLevel="0" collapsed="false">
      <c r="A6114" s="5" t="s">
        <v>939</v>
      </c>
      <c r="B6114" s="0" t="s">
        <v>57</v>
      </c>
      <c r="C6114" s="30" t="n">
        <f aca="false">m_retail*m_x</f>
        <v>17.72</v>
      </c>
    </row>
    <row r="6115" customFormat="false" ht="17.15" hidden="false" customHeight="false" outlineLevel="0" collapsed="false">
      <c r="A6115" s="5" t="s">
        <v>940</v>
      </c>
      <c r="B6115" s="0" t="s">
        <v>86</v>
      </c>
      <c r="C6115" s="38" t="n">
        <f aca="false">Sens!$C$6113*Sens!$C$6114</f>
        <v>907.662393810478</v>
      </c>
    </row>
    <row r="6116" customFormat="false" ht="17.15" hidden="false" customHeight="false" outlineLevel="0" collapsed="false">
      <c r="A6116" s="0" t="s">
        <v>941</v>
      </c>
      <c r="B6116" s="0" t="s">
        <v>86</v>
      </c>
      <c r="C6116" s="38" t="n">
        <f aca="false">(1-tp_yf)*(Sens!$H$6039+sbc_ab*Sens!$H$6061*Sens!$H$5976/Sens!$H$5978)+tp_yf*(Sens!$I$6039+sbc_ab*Sens!$I$6061*Sens!$I$5976/Sens!$I$5978)</f>
        <v>96.2439586897193</v>
      </c>
    </row>
    <row r="6117" customFormat="false" ht="17.15" hidden="false" customHeight="false" outlineLevel="0" collapsed="false">
      <c r="A6117" s="0" t="s">
        <v>942</v>
      </c>
      <c r="B6117" s="0" t="s">
        <v>57</v>
      </c>
      <c r="C6117" s="30" t="n">
        <f aca="false">m_cloud*m_x</f>
        <v>13.82</v>
      </c>
    </row>
    <row r="6118" customFormat="false" ht="17.15" hidden="false" customHeight="false" outlineLevel="0" collapsed="false">
      <c r="A6118" s="0" t="s">
        <v>943</v>
      </c>
      <c r="B6118" s="0" t="s">
        <v>86</v>
      </c>
      <c r="C6118" s="38" t="n">
        <f aca="false">Sens!$C$6116*Sens!$C$6117</f>
        <v>1330.09150909192</v>
      </c>
    </row>
    <row r="6119" customFormat="false" ht="17.15" hidden="false" customHeight="false" outlineLevel="0" collapsed="false">
      <c r="A6119" s="0" t="s">
        <v>944</v>
      </c>
      <c r="B6119" s="0" t="s">
        <v>86</v>
      </c>
      <c r="H6119" s="38" t="n">
        <f aca="false">Sens!$H$5957-tax*Sens!$H$5958-ext_sh*Sens!$H$5945</f>
        <v>-115.885394236225</v>
      </c>
      <c r="I6119" s="38" t="n">
        <f aca="false">Sens!$I$5957-tax*Sens!$I$5958-ext_sh*Sens!$I$5945</f>
        <v>-89.5935137276694</v>
      </c>
      <c r="J6119" s="38" t="n">
        <f aca="false">Sens!$J$5957-tax*Sens!$J$5958-ext_sh*Sens!$J$5945</f>
        <v>-62.3510647460279</v>
      </c>
      <c r="K6119" s="38" t="n">
        <f aca="false">Sens!$K$5957-tax*Sens!$K$5958-ext_sh*Sens!$K$5945</f>
        <v>8.85932514072565</v>
      </c>
      <c r="L6119" s="38" t="n">
        <f aca="false">Sens!$L$5957-tax*Sens!$L$5958-ext_sh*Sens!$L$5945</f>
        <v>45.6968344120177</v>
      </c>
      <c r="M6119" s="38" t="n">
        <f aca="false">Sens!$M$5957-tax*Sens!$M$5958-ext_sh*Sens!$M$5945</f>
        <v>54.7466688757428</v>
      </c>
    </row>
    <row r="6120" customFormat="false" ht="17.15" hidden="false" customHeight="false" outlineLevel="0" collapsed="false">
      <c r="A6120" s="5" t="s">
        <v>945</v>
      </c>
      <c r="B6120" s="0" t="s">
        <v>86</v>
      </c>
      <c r="H6120" s="38" t="n">
        <f aca="false">Sens!$H$6119*Sens!$H$6097</f>
        <v>-109.830535400166</v>
      </c>
      <c r="I6120" s="38" t="n">
        <f aca="false">Sens!$I$6119*Sens!$I$6097</f>
        <v>-76.2710567672785</v>
      </c>
      <c r="J6120" s="38" t="n">
        <f aca="false">Sens!$J$6119*Sens!$J$6097</f>
        <v>-47.6777623861763</v>
      </c>
      <c r="K6120" s="38" t="n">
        <f aca="false">Sens!$K$6119*Sens!$K$6097</f>
        <v>6.08501184243383</v>
      </c>
      <c r="L6120" s="38" t="n">
        <f aca="false">Sens!$L$6119*Sens!$L$6097</f>
        <v>28.1926369813469</v>
      </c>
      <c r="M6120" s="38" t="n">
        <f aca="false">Sens!$M$6119*Sens!$M$6097</f>
        <v>30.338637914116</v>
      </c>
    </row>
    <row r="6121" customFormat="false" ht="17.15" hidden="false" customHeight="false" outlineLevel="0" collapsed="false">
      <c r="A6121" s="5" t="s">
        <v>946</v>
      </c>
      <c r="B6121" s="0" t="s">
        <v>86</v>
      </c>
      <c r="C6121" s="38" t="n">
        <f aca="false">Sens!$M$5958*(1-tax)*(1+tg)*(1-tg/ronic_hi)/(wacc-tg)</f>
        <v>434.709807758917</v>
      </c>
    </row>
    <row r="6122" customFormat="false" ht="17.15" hidden="false" customHeight="false" outlineLevel="0" collapsed="false">
      <c r="A6122" s="0" t="s">
        <v>947</v>
      </c>
      <c r="B6122" s="0" t="s">
        <v>86</v>
      </c>
      <c r="C6122" s="38" t="n">
        <f aca="false">(SUM(Sens!$I$6120:$M$6120)+Sens!$C$6121/(1+wacc)^6)*(1+wacc)^tp_yf</f>
        <v>184.564943882113</v>
      </c>
    </row>
    <row r="6123" customFormat="false" ht="17.15" hidden="false" customHeight="false" outlineLevel="0" collapsed="false">
      <c r="A6123" s="5" t="s">
        <v>948</v>
      </c>
      <c r="B6123" s="0" t="s">
        <v>86</v>
      </c>
      <c r="C6123" s="38" t="n">
        <f aca="false">(1-tp_yf)*(Sens!$H$6040)+tp_yf*(Sens!$I$6040)</f>
        <v>74.6707041238437</v>
      </c>
    </row>
    <row r="6124" customFormat="false" ht="17.15" hidden="false" customHeight="false" outlineLevel="0" collapsed="false">
      <c r="A6124" s="5" t="s">
        <v>949</v>
      </c>
      <c r="B6124" s="0" t="s">
        <v>86</v>
      </c>
      <c r="C6124" s="38" t="n">
        <f aca="false">Sens!$C$6123*m_ai</f>
        <v>448.024224743062</v>
      </c>
    </row>
    <row r="6125" customFormat="false" ht="17.15" hidden="false" customHeight="false" outlineLevel="0" collapsed="false">
      <c r="A6125" s="0" t="s">
        <v>950</v>
      </c>
      <c r="B6125" s="0" t="s">
        <v>86</v>
      </c>
      <c r="C6125" s="38" t="n">
        <f aca="false">IF(ai_leg=1,Sens!$C$6122,Sens!$C$6124)</f>
        <v>184.564943882113</v>
      </c>
    </row>
    <row r="6126" customFormat="false" ht="17.15" hidden="false" customHeight="false" outlineLevel="0" collapsed="false">
      <c r="A6126" s="5" t="s">
        <v>951</v>
      </c>
      <c r="B6126" s="0" t="s">
        <v>86</v>
      </c>
      <c r="C6126" s="38" t="n">
        <f aca="false">Sens!$C$6112+Sens!$C$6115+Sens!$C$6118+Sens!$C$6125</f>
        <v>2965.59064071065</v>
      </c>
    </row>
    <row r="6127" customFormat="false" ht="17.15" hidden="false" customHeight="false" outlineLevel="0" collapsed="false">
      <c r="A6127" s="5" t="s">
        <v>952</v>
      </c>
      <c r="B6127" s="0" t="s">
        <v>86</v>
      </c>
      <c r="C6127" s="38" t="n">
        <f aca="false">Sens!$H$6080+fin_debt</f>
        <v>153.608629741943</v>
      </c>
    </row>
    <row r="6128" customFormat="false" ht="15" hidden="false" customHeight="false" outlineLevel="0" collapsed="false">
      <c r="A6128" s="5" t="s">
        <v>953</v>
      </c>
      <c r="B6128" s="0" t="s">
        <v>86</v>
      </c>
      <c r="C6128" s="38" t="n">
        <f aca="false">Sens!$C$6126-Sens!$C$6127+Sens!$C$6105</f>
        <v>2990.92601096871</v>
      </c>
    </row>
    <row r="6129" customFormat="false" ht="15" hidden="false" customHeight="false" outlineLevel="0" collapsed="false">
      <c r="A6129" s="3" t="s">
        <v>954</v>
      </c>
      <c r="B6129" s="8" t="s">
        <v>27</v>
      </c>
      <c r="C6129" s="30" t="n">
        <f aca="false">Sens!$C$6128/sh_val</f>
        <v>271.155110450048</v>
      </c>
    </row>
    <row r="6130" customFormat="false" ht="17.15" hidden="false" customHeight="false" outlineLevel="0" collapsed="false">
      <c r="A6130" s="47" t="s">
        <v>955</v>
      </c>
      <c r="B6130" s="14" t="s">
        <v>27</v>
      </c>
      <c r="C6130" s="44" t="n">
        <f aca="false">w_dcf*Sens!$C$6108+(1-w_dcf)*Sens!$C$6129</f>
        <v>210.401160355813</v>
      </c>
      <c r="D6130" s="14"/>
      <c r="E6130" s="14"/>
      <c r="F6130" s="14"/>
      <c r="G6130" s="14"/>
      <c r="H6130" s="14"/>
      <c r="I6130" s="14"/>
      <c r="J6130" s="14"/>
      <c r="K6130" s="14"/>
      <c r="L6130" s="14"/>
      <c r="M6130" s="14"/>
      <c r="N6130" s="14"/>
      <c r="O6130" s="14"/>
    </row>
    <row r="6131" customFormat="false" ht="17.15" hidden="false" customHeight="false" outlineLevel="0" collapsed="false">
      <c r="A6131" s="5" t="s">
        <v>956</v>
      </c>
      <c r="B6131" s="0" t="s">
        <v>27</v>
      </c>
      <c r="C6131" s="30" t="n">
        <f aca="false">v022_wdcf*Sens!$C$6108+(1-v022_wdcf)*Sens!$C$6129</f>
        <v>216.476555365237</v>
      </c>
    </row>
    <row r="6132" customFormat="false" ht="17.15" hidden="false" customHeight="false" outlineLevel="0" collapsed="false">
      <c r="A6132" s="5" t="s">
        <v>957</v>
      </c>
      <c r="B6132" s="0" t="s">
        <v>27</v>
      </c>
      <c r="C6132" s="30" t="n">
        <f aca="false">(Sens!$C$6128-Sens!$C$6125+Sens!$C$6124)/sh_val</f>
        <v>295.040131389701</v>
      </c>
    </row>
    <row r="6135" customFormat="false" ht="19.4" hidden="false" customHeight="false" outlineLevel="0" collapsed="false">
      <c r="A6135" s="31" t="s">
        <v>1260</v>
      </c>
    </row>
    <row r="6136" customFormat="false" ht="17.15" hidden="false" customHeight="false" outlineLevel="0" collapsed="false">
      <c r="A6136" s="6" t="s">
        <v>16</v>
      </c>
      <c r="B6136" s="6" t="s">
        <v>17</v>
      </c>
      <c r="C6136" s="20" t="s">
        <v>497</v>
      </c>
      <c r="D6136" s="20" t="s">
        <v>498</v>
      </c>
      <c r="E6136" s="20" t="s">
        <v>580</v>
      </c>
      <c r="F6136" s="20" t="s">
        <v>581</v>
      </c>
      <c r="G6136" s="20" t="s">
        <v>582</v>
      </c>
      <c r="H6136" s="20" t="s">
        <v>583</v>
      </c>
      <c r="I6136" s="20" t="s">
        <v>584</v>
      </c>
      <c r="J6136" s="20" t="s">
        <v>585</v>
      </c>
      <c r="K6136" s="20" t="s">
        <v>586</v>
      </c>
      <c r="L6136" s="20" t="s">
        <v>587</v>
      </c>
      <c r="M6136" s="20" t="s">
        <v>588</v>
      </c>
      <c r="N6136" s="20" t="s">
        <v>589</v>
      </c>
      <c r="O6136" s="20" t="s">
        <v>590</v>
      </c>
      <c r="P6136" s="6" t="s">
        <v>23</v>
      </c>
      <c r="R6136" s="20" t="n">
        <v>2023</v>
      </c>
      <c r="S6136" s="20" t="n">
        <v>2024</v>
      </c>
      <c r="T6136" s="20" t="n">
        <v>2025</v>
      </c>
      <c r="U6136" s="20" t="n">
        <v>2026</v>
      </c>
      <c r="V6136" s="20" t="n">
        <v>2027</v>
      </c>
      <c r="W6136" s="20" t="n">
        <v>2028</v>
      </c>
      <c r="X6136" s="20" t="n">
        <v>2029</v>
      </c>
      <c r="Y6136" s="20" t="n">
        <v>2030</v>
      </c>
      <c r="Z6136" s="20" t="n">
        <v>2031</v>
      </c>
      <c r="AA6136" s="20" t="n">
        <v>2032</v>
      </c>
    </row>
    <row r="6137" customFormat="false" ht="17.15" hidden="false" customHeight="false" outlineLevel="0" collapsed="false">
      <c r="A6137" s="1" t="s">
        <v>666</v>
      </c>
    </row>
    <row r="6138" customFormat="false" ht="17.15" hidden="false" customHeight="false" outlineLevel="0" collapsed="false">
      <c r="A6138" s="0" t="s">
        <v>519</v>
      </c>
      <c r="B6138" s="0" t="s">
        <v>86</v>
      </c>
      <c r="C6138" s="38" t="n">
        <f aca="false">Q!$D$10</f>
        <v>247.029</v>
      </c>
      <c r="D6138" s="38" t="n">
        <f aca="false">Q!$E$10</f>
        <v>269.287</v>
      </c>
      <c r="E6138" s="38" t="n">
        <f aca="false">Q!$P$10</f>
        <v>134.686</v>
      </c>
      <c r="F6138" s="38" t="n">
        <f aca="false">Sens!$O$6138*(1+Sens!$F$6139)*Sens!$F$6150</f>
        <v>158.293876822267</v>
      </c>
      <c r="G6138" s="38" t="n">
        <f aca="false">Sens!$E$6138+Sens!$F$6138</f>
        <v>292.979876822267</v>
      </c>
      <c r="H6138" s="38" t="n">
        <f aca="false">Sens!$G$6138*(1+Sens!$H$6139)</f>
        <v>318.184543087396</v>
      </c>
      <c r="I6138" s="38" t="n">
        <f aca="false">Sens!$H$6138*(1+Sens!$I$6139)</f>
        <v>341.736278761793</v>
      </c>
      <c r="J6138" s="38" t="n">
        <f aca="false">Sens!$I$6138*(1+Sens!$J$6139)</f>
        <v>362.927192787048</v>
      </c>
      <c r="K6138" s="38" t="n">
        <f aca="false">Sens!$J$6138*(1+Sens!$K$6139)</f>
        <v>381.0735524264</v>
      </c>
      <c r="L6138" s="38" t="n">
        <f aca="false">Sens!$K$6138*(1+Sens!$L$6139)</f>
        <v>400.12723004772</v>
      </c>
      <c r="M6138" s="38" t="n">
        <f aca="false">Sens!$L$6138*(1+Sens!$M$6139)</f>
        <v>420.133591550106</v>
      </c>
      <c r="N6138" s="38" t="n">
        <f aca="false">Q!$N$10</f>
        <v>118.892</v>
      </c>
      <c r="O6138" s="38" t="n">
        <f aca="false">Q!$O$10</f>
        <v>150.395</v>
      </c>
      <c r="P6138" s="8" t="s">
        <v>667</v>
      </c>
    </row>
    <row r="6139" customFormat="false" ht="17.15" hidden="false" customHeight="false" outlineLevel="0" collapsed="false">
      <c r="A6139" s="0" t="s">
        <v>668</v>
      </c>
      <c r="B6139" s="0" t="s">
        <v>52</v>
      </c>
      <c r="E6139" s="13" t="n">
        <f aca="false">Sens!$E$6138/Sens!$N$6138-1</f>
        <v>0.132843252699929</v>
      </c>
      <c r="F6139" s="13" t="n">
        <f aca="false">Sens!$O$6138/(Q!$F$10+Q!$G$10)-1</f>
        <v>0.0980382135842941</v>
      </c>
      <c r="G6139" s="13" t="n">
        <f aca="false">Sens!$G$6138/Sens!$D$6138-1</f>
        <v>0.0879837378791657</v>
      </c>
      <c r="H6139" s="13" t="n">
        <f aca="false">Sens!$F$6139+(g_os-Sens!$F$6139)*1/4</f>
        <v>0.0860286601882206</v>
      </c>
      <c r="I6139" s="13" t="n">
        <f aca="false">Sens!$F$6139+(g_os-Sens!$F$6139)*2/4</f>
        <v>0.074019106792147</v>
      </c>
      <c r="J6139" s="13" t="n">
        <f aca="false">Sens!$F$6139+(g_os-Sens!$F$6139)*3/4</f>
        <v>0.0620095533960735</v>
      </c>
      <c r="K6139" s="13" t="n">
        <f aca="false">Sens!$F$6139+(g_os-Sens!$F$6139)*4/4</f>
        <v>0.05</v>
      </c>
      <c r="L6139" s="13" t="n">
        <f aca="false">g_os</f>
        <v>0.05</v>
      </c>
      <c r="M6139" s="13" t="n">
        <f aca="false">g_os</f>
        <v>0.05</v>
      </c>
      <c r="P6139" s="8" t="s">
        <v>669</v>
      </c>
    </row>
    <row r="6140" customFormat="false" ht="17.15" hidden="false" customHeight="false" outlineLevel="0" collapsed="false">
      <c r="A6140" s="0" t="s">
        <v>520</v>
      </c>
      <c r="B6140" s="0" t="s">
        <v>86</v>
      </c>
      <c r="C6140" s="38" t="n">
        <f aca="false">Q!$D$11</f>
        <v>21.215</v>
      </c>
      <c r="D6140" s="38" t="n">
        <f aca="false">Q!$E$11</f>
        <v>22.561</v>
      </c>
      <c r="E6140" s="38" t="n">
        <f aca="false">Q!$P$11</f>
        <v>11.579</v>
      </c>
      <c r="F6140" s="38" t="n">
        <f aca="false">Sens!$O$6140*(1+Sens!$F$6141)*Sens!$F$6150</f>
        <v>11.5938724610325</v>
      </c>
      <c r="G6140" s="38" t="n">
        <f aca="false">Sens!$E$6140+Sens!$F$6140</f>
        <v>23.1728724610325</v>
      </c>
      <c r="H6140" s="38" t="n">
        <f aca="false">Sens!$G$6140*(1+Sens!$H$6141)</f>
        <v>24.353392759506</v>
      </c>
      <c r="I6140" s="38" t="n">
        <f aca="false">Sens!$H$6140*(1+Sens!$I$6141)</f>
        <v>25.4240338872015</v>
      </c>
      <c r="J6140" s="38" t="n">
        <f aca="false">Sens!$I$6140*(1+Sens!$J$6141)</f>
        <v>26.3642491017174</v>
      </c>
      <c r="K6140" s="38" t="n">
        <f aca="false">Sens!$J$6140*(1+Sens!$K$6141)</f>
        <v>27.155176574769</v>
      </c>
      <c r="L6140" s="38" t="n">
        <f aca="false">Sens!$K$6140*(1+Sens!$L$6141)</f>
        <v>27.969831872012</v>
      </c>
      <c r="M6140" s="38" t="n">
        <f aca="false">Sens!$L$6140*(1+Sens!$M$6141)</f>
        <v>28.8089268281724</v>
      </c>
      <c r="N6140" s="38" t="n">
        <f aca="false">Q!$N$11</f>
        <v>11.128</v>
      </c>
      <c r="O6140" s="38" t="n">
        <f aca="false">Q!$O$11</f>
        <v>11.433</v>
      </c>
      <c r="P6140" s="8" t="s">
        <v>667</v>
      </c>
    </row>
    <row r="6141" customFormat="false" ht="17.15" hidden="false" customHeight="false" outlineLevel="0" collapsed="false">
      <c r="A6141" s="0" t="s">
        <v>670</v>
      </c>
      <c r="B6141" s="0" t="s">
        <v>52</v>
      </c>
      <c r="E6141" s="13" t="n">
        <f aca="false">Sens!$E$6140/Sens!$N$6140-1</f>
        <v>0.0405283968368082</v>
      </c>
      <c r="F6141" s="13" t="n">
        <f aca="false">Sens!$O$6140/(Q!$F$11+Q!$G$11)-1</f>
        <v>0.0579254187100955</v>
      </c>
      <c r="G6141" s="13" t="n">
        <f aca="false">Sens!$G$6140/Sens!$D$6140-1</f>
        <v>0.0271208040881397</v>
      </c>
      <c r="H6141" s="13" t="n">
        <f aca="false">Sens!$F$6141+(g_ps-Sens!$F$6141)*1/4</f>
        <v>0.0509440640325716</v>
      </c>
      <c r="I6141" s="13" t="n">
        <f aca="false">Sens!$F$6141+(g_ps-Sens!$F$6141)*2/4</f>
        <v>0.0439627093550477</v>
      </c>
      <c r="J6141" s="13" t="n">
        <f aca="false">Sens!$F$6141+(g_ps-Sens!$F$6141)*3/4</f>
        <v>0.0369813546775239</v>
      </c>
      <c r="K6141" s="13" t="n">
        <f aca="false">Sens!$F$6141+(g_ps-Sens!$F$6141)*4/4</f>
        <v>0.03</v>
      </c>
      <c r="L6141" s="13" t="n">
        <f aca="false">g_ps</f>
        <v>0.03</v>
      </c>
      <c r="M6141" s="13" t="n">
        <f aca="false">g_ps</f>
        <v>0.03</v>
      </c>
      <c r="P6141" s="8" t="s">
        <v>671</v>
      </c>
    </row>
    <row r="6142" customFormat="false" ht="17.15" hidden="false" customHeight="false" outlineLevel="0" collapsed="false">
      <c r="A6142" s="0" t="s">
        <v>521</v>
      </c>
      <c r="B6142" s="0" t="s">
        <v>86</v>
      </c>
      <c r="C6142" s="38" t="n">
        <f aca="false">Q!$D$12</f>
        <v>156.146</v>
      </c>
      <c r="D6142" s="38" t="n">
        <f aca="false">Q!$E$12</f>
        <v>172.162</v>
      </c>
      <c r="E6142" s="38" t="n">
        <f aca="false">Q!$P$12</f>
        <v>88.358</v>
      </c>
      <c r="F6142" s="38" t="n">
        <f aca="false">Sens!$O$6142*(1+Sens!$F$6143)*Sens!$F$6150</f>
        <v>102.004388260171</v>
      </c>
      <c r="G6142" s="38" t="n">
        <f aca="false">Sens!$E$6142+Sens!$F$6142</f>
        <v>190.362388260171</v>
      </c>
      <c r="H6142" s="38" t="n">
        <f aca="false">Sens!$G$6142*(1+Sens!$H$6143)</f>
        <v>210.343106588311</v>
      </c>
      <c r="I6142" s="38" t="n">
        <f aca="false">Sens!$H$6142*(1+Sens!$I$6143)</f>
        <v>229.969728494648</v>
      </c>
      <c r="J6142" s="38" t="n">
        <f aca="false">Sens!$I$6142*(1+Sens!$J$6143)</f>
        <v>248.747636972598</v>
      </c>
      <c r="K6142" s="38" t="n">
        <f aca="false">Sens!$J$6142*(1+Sens!$K$6143)</f>
        <v>266.15997156068</v>
      </c>
      <c r="L6142" s="38" t="n">
        <f aca="false">Sens!$K$6142*(1+Sens!$L$6143)</f>
        <v>284.791169569927</v>
      </c>
      <c r="M6142" s="38" t="n">
        <f aca="false">Sens!$L$6142*(1+Sens!$M$6143)</f>
        <v>304.726551439822</v>
      </c>
      <c r="N6142" s="38" t="n">
        <f aca="false">Q!$N$12</f>
        <v>76.86</v>
      </c>
      <c r="O6142" s="38" t="n">
        <f aca="false">Q!$O$12</f>
        <v>95.302</v>
      </c>
      <c r="P6142" s="8" t="s">
        <v>667</v>
      </c>
    </row>
    <row r="6143" customFormat="false" ht="17.15" hidden="false" customHeight="false" outlineLevel="0" collapsed="false">
      <c r="A6143" s="0" t="s">
        <v>672</v>
      </c>
      <c r="B6143" s="0" t="s">
        <v>52</v>
      </c>
      <c r="E6143" s="13" t="n">
        <f aca="false">Sens!$E$6142/Sens!$N$6142-1</f>
        <v>0.1495966692688</v>
      </c>
      <c r="F6143" s="13" t="n">
        <f aca="false">Sens!$O$6142/(Q!$F$12+Q!$G$12)-1</f>
        <v>0.11661530890813</v>
      </c>
      <c r="G6143" s="13" t="n">
        <f aca="false">Sens!$G$6142/Sens!$D$6142-1</f>
        <v>0.105716640490767</v>
      </c>
      <c r="H6143" s="13" t="n">
        <f aca="false">Sens!$F$6143+(g_sp-Sens!$F$6143)*1/4</f>
        <v>0.104961481681098</v>
      </c>
      <c r="I6143" s="13" t="n">
        <f aca="false">Sens!$F$6143+(g_sp-Sens!$F$6143)*2/4</f>
        <v>0.0933076544540651</v>
      </c>
      <c r="J6143" s="13" t="n">
        <f aca="false">Sens!$F$6143+(g_sp-Sens!$F$6143)*3/4</f>
        <v>0.0816538272270325</v>
      </c>
      <c r="K6143" s="13" t="n">
        <f aca="false">Sens!$F$6143+(g_sp-Sens!$F$6143)*4/4</f>
        <v>0.07</v>
      </c>
      <c r="L6143" s="13" t="n">
        <f aca="false">g_sp</f>
        <v>0.07</v>
      </c>
      <c r="M6143" s="13" t="n">
        <f aca="false">g_sp</f>
        <v>0.07</v>
      </c>
      <c r="P6143" s="8" t="s">
        <v>673</v>
      </c>
    </row>
    <row r="6144" customFormat="false" ht="17.15" hidden="false" customHeight="false" outlineLevel="0" collapsed="false">
      <c r="A6144" s="0" t="s">
        <v>522</v>
      </c>
      <c r="B6144" s="0" t="s">
        <v>86</v>
      </c>
      <c r="C6144" s="38" t="n">
        <f aca="false">Q!$D$13</f>
        <v>56.214</v>
      </c>
      <c r="D6144" s="38" t="n">
        <f aca="false">Q!$E$13</f>
        <v>68.635</v>
      </c>
      <c r="E6144" s="38" t="n">
        <f aca="false">Q!$P$13</f>
        <v>37.052</v>
      </c>
      <c r="F6144" s="38" t="n">
        <f aca="false">Sens!$O$6144*(1+Sens!$F$6145)*Sens!$F$6150</f>
        <v>46.1572219944148</v>
      </c>
      <c r="G6144" s="38" t="n">
        <f aca="false">Sens!$E$6144+Sens!$F$6144</f>
        <v>83.2092219944148</v>
      </c>
      <c r="H6144" s="38" t="n">
        <f aca="false">Sens!$G$6144*(1+Sens!$H$6145)</f>
        <v>99.8969223878976</v>
      </c>
      <c r="I6144" s="38" t="n">
        <f aca="false">Sens!$H$6144*(1+Sens!$I$6145)</f>
        <v>116.583111095496</v>
      </c>
      <c r="J6144" s="38" t="n">
        <f aca="false">Sens!$I$6144*(1+Sens!$J$6145)</f>
        <v>132.148941941952</v>
      </c>
      <c r="K6144" s="38" t="n">
        <f aca="false">Sens!$J$6144*(1+Sens!$K$6145)</f>
        <v>145.363836136147</v>
      </c>
      <c r="L6144" s="38" t="n">
        <f aca="false">Sens!$K$6144*(1+Sens!$L$6145)</f>
        <v>159.900219749762</v>
      </c>
      <c r="M6144" s="38" t="n">
        <f aca="false">Sens!$L$6144*(1+Sens!$M$6145)</f>
        <v>175.890241724738</v>
      </c>
      <c r="N6144" s="38" t="n">
        <f aca="false">Q!$N$13</f>
        <v>29.615</v>
      </c>
      <c r="O6144" s="38" t="n">
        <f aca="false">Q!$O$13</f>
        <v>39.02</v>
      </c>
      <c r="P6144" s="8" t="s">
        <v>667</v>
      </c>
    </row>
    <row r="6145" customFormat="false" ht="17.15" hidden="false" customHeight="false" outlineLevel="0" collapsed="false">
      <c r="A6145" s="0" t="s">
        <v>674</v>
      </c>
      <c r="B6145" s="0" t="s">
        <v>52</v>
      </c>
      <c r="E6145" s="13" t="n">
        <f aca="false">Sens!$E$6144/Sens!$N$6144-1</f>
        <v>0.25112274185379</v>
      </c>
      <c r="F6145" s="13" t="n">
        <f aca="false">Sens!$O$6144/(Q!$F$13+Q!$G$13)-1</f>
        <v>0.234068123596572</v>
      </c>
      <c r="G6145" s="13" t="n">
        <f aca="false">Sens!$G$6144/Sens!$D$6144-1</f>
        <v>0.212343876949294</v>
      </c>
      <c r="H6145" s="13" t="n">
        <f aca="false">Sens!$F$6145+(g_ad-Sens!$F$6145)*1/4</f>
        <v>0.200551092697429</v>
      </c>
      <c r="I6145" s="13" t="n">
        <f aca="false">Sens!$F$6145+(g_ad-Sens!$F$6145)*2/4</f>
        <v>0.167034061798286</v>
      </c>
      <c r="J6145" s="13" t="n">
        <f aca="false">Sens!$F$6145+(g_ad-Sens!$F$6145)*3/4</f>
        <v>0.133517030899143</v>
      </c>
      <c r="K6145" s="13" t="n">
        <f aca="false">Sens!$F$6145+(g_ad-Sens!$F$6145)*4/4</f>
        <v>0.1</v>
      </c>
      <c r="L6145" s="13" t="n">
        <f aca="false">g_ad</f>
        <v>0.1</v>
      </c>
      <c r="M6145" s="13" t="n">
        <f aca="false">g_ad</f>
        <v>0.1</v>
      </c>
      <c r="P6145" s="8" t="s">
        <v>675</v>
      </c>
    </row>
    <row r="6146" customFormat="false" ht="17.15" hidden="false" customHeight="false" outlineLevel="0" collapsed="false">
      <c r="A6146" s="0" t="s">
        <v>523</v>
      </c>
      <c r="B6146" s="0" t="s">
        <v>86</v>
      </c>
      <c r="C6146" s="38" t="n">
        <f aca="false">Q!$D$14</f>
        <v>44.374</v>
      </c>
      <c r="D6146" s="38" t="n">
        <f aca="false">Q!$E$14</f>
        <v>49.619</v>
      </c>
      <c r="E6146" s="38" t="n">
        <f aca="false">Q!$P$14</f>
        <v>27.157</v>
      </c>
      <c r="F6146" s="38" t="n">
        <f aca="false">Sens!$O$6146*(1+Sens!$F$6147)*Sens!$F$6150</f>
        <v>27.7764165988154</v>
      </c>
      <c r="G6146" s="38" t="n">
        <f aca="false">Sens!$E$6146+Sens!$F$6146</f>
        <v>54.9334165988154</v>
      </c>
      <c r="H6146" s="38" t="n">
        <f aca="false">Sens!$G$6146*(1+Sens!$H$6147)</f>
        <v>61.1564112561829</v>
      </c>
      <c r="I6146" s="38" t="n">
        <f aca="false">Sens!$H$6146*(1+Sens!$I$6147)</f>
        <v>67.2020282103945</v>
      </c>
      <c r="J6146" s="38" t="n">
        <f aca="false">Sens!$I$6146*(1+Sens!$J$6147)</f>
        <v>72.8757274028885</v>
      </c>
      <c r="K6146" s="38" t="n">
        <f aca="false">Sens!$J$6146*(1+Sens!$K$6147)</f>
        <v>77.9770283210907</v>
      </c>
      <c r="L6146" s="38" t="n">
        <f aca="false">Sens!$K$6146*(1+Sens!$L$6147)</f>
        <v>83.4354203035671</v>
      </c>
      <c r="M6146" s="38" t="n">
        <f aca="false">Sens!$L$6146*(1+Sens!$M$6147)</f>
        <v>89.2758997248168</v>
      </c>
      <c r="N6146" s="38" t="n">
        <f aca="false">Q!$N$14</f>
        <v>23.923</v>
      </c>
      <c r="O6146" s="38" t="n">
        <f aca="false">Q!$O$14</f>
        <v>25.696</v>
      </c>
      <c r="P6146" s="8" t="s">
        <v>667</v>
      </c>
    </row>
    <row r="6147" customFormat="false" ht="17.15" hidden="false" customHeight="false" outlineLevel="0" collapsed="false">
      <c r="A6147" s="0" t="s">
        <v>676</v>
      </c>
      <c r="B6147" s="0" t="s">
        <v>52</v>
      </c>
      <c r="E6147" s="13" t="n">
        <f aca="false">Sens!$E$6146/Sens!$N$6146-1</f>
        <v>0.135183714417088</v>
      </c>
      <c r="F6147" s="13" t="n">
        <f aca="false">Sens!$O$6146/(Q!$F$14+Q!$G$14)-1</f>
        <v>0.127709997366804</v>
      </c>
      <c r="G6147" s="13" t="n">
        <f aca="false">Sens!$G$6146/Sens!$D$6146-1</f>
        <v>0.107104468022641</v>
      </c>
      <c r="H6147" s="13" t="n">
        <f aca="false">Sens!$F$6147+(g_sub-Sens!$F$6147)*1/4</f>
        <v>0.113282498025103</v>
      </c>
      <c r="I6147" s="13" t="n">
        <f aca="false">Sens!$F$6147+(g_sub-Sens!$F$6147)*2/4</f>
        <v>0.0988549986834021</v>
      </c>
      <c r="J6147" s="13" t="n">
        <f aca="false">Sens!$F$6147+(g_sub-Sens!$F$6147)*3/4</f>
        <v>0.084427499341701</v>
      </c>
      <c r="K6147" s="13" t="n">
        <f aca="false">Sens!$F$6147+(g_sub-Sens!$F$6147)*4/4</f>
        <v>0.07</v>
      </c>
      <c r="L6147" s="13" t="n">
        <f aca="false">g_sub</f>
        <v>0.07</v>
      </c>
      <c r="M6147" s="13" t="n">
        <f aca="false">g_sub</f>
        <v>0.07</v>
      </c>
      <c r="P6147" s="8" t="s">
        <v>677</v>
      </c>
    </row>
    <row r="6148" customFormat="false" ht="17.15" hidden="false" customHeight="false" outlineLevel="0" collapsed="false">
      <c r="A6148" s="0" t="s">
        <v>524</v>
      </c>
      <c r="B6148" s="0" t="s">
        <v>86</v>
      </c>
      <c r="C6148" s="38" t="n">
        <f aca="false">Q!$D$15</f>
        <v>5.425</v>
      </c>
      <c r="D6148" s="38" t="n">
        <f aca="false">Q!$E$15</f>
        <v>5.935</v>
      </c>
      <c r="E6148" s="38" t="n">
        <f aca="false">Q!$P$15</f>
        <v>3.474</v>
      </c>
      <c r="F6148" s="38" t="n">
        <f aca="false">Sens!$O$6148*(1+Sens!$F$6149)*Sens!$F$6150</f>
        <v>3.22246550883619</v>
      </c>
      <c r="G6148" s="38" t="n">
        <f aca="false">Sens!$E$6148+Sens!$F$6148</f>
        <v>6.69646550883619</v>
      </c>
      <c r="H6148" s="38" t="n">
        <f aca="false">Sens!$G$6148*(1+Sens!$H$6149)</f>
        <v>7.16251344209196</v>
      </c>
      <c r="I6148" s="38" t="n">
        <f aca="false">Sens!$H$6148*(1+Sens!$I$6149)</f>
        <v>7.61421070299826</v>
      </c>
      <c r="J6148" s="38" t="n">
        <f aca="false">Sens!$I$6148*(1+Sens!$J$6149)</f>
        <v>8.04465753523932</v>
      </c>
      <c r="K6148" s="38" t="n">
        <f aca="false">Sens!$J$6148*(1+Sens!$K$6149)</f>
        <v>8.44689041200128</v>
      </c>
      <c r="L6148" s="38" t="n">
        <f aca="false">Sens!$K$6148*(1+Sens!$L$6149)</f>
        <v>8.86923493260135</v>
      </c>
      <c r="M6148" s="38" t="n">
        <f aca="false">Sens!$L$6148*(1+Sens!$M$6149)</f>
        <v>9.31269667923142</v>
      </c>
      <c r="N6148" s="38" t="n">
        <f aca="false">Q!$N$15</f>
        <v>2.811</v>
      </c>
      <c r="O6148" s="38" t="n">
        <f aca="false">Q!$O$15</f>
        <v>3.124</v>
      </c>
      <c r="P6148" s="8" t="s">
        <v>667</v>
      </c>
    </row>
    <row r="6149" customFormat="false" ht="17.15" hidden="false" customHeight="false" outlineLevel="0" collapsed="false">
      <c r="A6149" s="0" t="s">
        <v>678</v>
      </c>
      <c r="B6149" s="0" t="s">
        <v>52</v>
      </c>
      <c r="E6149" s="13" t="n">
        <f aca="false">Sens!$E$6148/Sens!$N$6148-1</f>
        <v>0.235859124866596</v>
      </c>
      <c r="F6149" s="13" t="n">
        <f aca="false">Sens!$O$6148/(Q!$F$15+Q!$G$15)-1</f>
        <v>0.0761281433000345</v>
      </c>
      <c r="G6149" s="13" t="n">
        <f aca="false">Sens!$G$6148/Sens!$D$6148-1</f>
        <v>0.128300843948811</v>
      </c>
      <c r="H6149" s="13" t="n">
        <f aca="false">Sens!$F$6149+(g_ot-Sens!$F$6149)*1/4</f>
        <v>0.0695961074750259</v>
      </c>
      <c r="I6149" s="13" t="n">
        <f aca="false">Sens!$F$6149+(g_ot-Sens!$F$6149)*2/4</f>
        <v>0.0630640716500172</v>
      </c>
      <c r="J6149" s="13" t="n">
        <f aca="false">Sens!$F$6149+(g_ot-Sens!$F$6149)*3/4</f>
        <v>0.0565320358250086</v>
      </c>
      <c r="K6149" s="13" t="n">
        <f aca="false">Sens!$F$6149+(g_ot-Sens!$F$6149)*4/4</f>
        <v>0.05</v>
      </c>
      <c r="L6149" s="13" t="n">
        <f aca="false">g_ot</f>
        <v>0.05</v>
      </c>
      <c r="M6149" s="13" t="n">
        <f aca="false">g_ot</f>
        <v>0.05</v>
      </c>
      <c r="P6149" s="8" t="s">
        <v>679</v>
      </c>
    </row>
    <row r="6150" customFormat="false" ht="17.15" hidden="false" customHeight="false" outlineLevel="0" collapsed="false">
      <c r="A6150" s="0" t="s">
        <v>680</v>
      </c>
      <c r="B6150" s="0" t="s">
        <v>57</v>
      </c>
      <c r="F6150" s="40" t="n">
        <f aca="false">(g26q3_mid*Q!$O$8/Q!$J$8-Thesis!$F$86-Thesis!$F$90)/(Sens!$O$6138*(1+Sens!$F$6139)+Sens!$O$6140*(1+Sens!$F$6141)+Sens!$O$6142*(1+Sens!$F$6143)+Sens!$O$6144*(1+Sens!$F$6145)+Sens!$O$6146*(1+Sens!$F$6147)+Sens!$O$6148*(1+Sens!$F$6149))</f>
        <v>0.958546670622329</v>
      </c>
      <c r="P6150" s="8" t="s">
        <v>681</v>
      </c>
    </row>
    <row r="6151" customFormat="false" ht="17.15" hidden="false" customHeight="false" outlineLevel="0" collapsed="false">
      <c r="A6151" s="3" t="s">
        <v>682</v>
      </c>
      <c r="B6151" s="8" t="s">
        <v>86</v>
      </c>
      <c r="C6151" s="38" t="n">
        <f aca="false">Sens!$C$6138+Sens!$C$6140+Sens!$C$6142+Sens!$C$6144+Sens!$C$6146+Sens!$C$6148</f>
        <v>530.403</v>
      </c>
      <c r="D6151" s="38" t="n">
        <f aca="false">Sens!$D$6138+Sens!$D$6140+Sens!$D$6142+Sens!$D$6144+Sens!$D$6146+Sens!$D$6148</f>
        <v>588.199</v>
      </c>
      <c r="E6151" s="38" t="n">
        <f aca="false">Sens!$E$6138+Sens!$E$6140+Sens!$E$6142+Sens!$E$6144+Sens!$E$6146+Sens!$E$6148</f>
        <v>302.306</v>
      </c>
      <c r="F6151" s="38" t="n">
        <f aca="false">Sens!$F$6138+Sens!$F$6140+Sens!$F$6142+Sens!$F$6144+Sens!$F$6146+Sens!$F$6148</f>
        <v>349.048241645537</v>
      </c>
      <c r="G6151" s="38" t="n">
        <f aca="false">Sens!$G$6138+Sens!$G$6140+Sens!$G$6142+Sens!$G$6144+Sens!$G$6146+Sens!$G$6148</f>
        <v>651.354241645537</v>
      </c>
      <c r="H6151" s="38" t="n">
        <f aca="false">Sens!$H$6138+Sens!$H$6140+Sens!$H$6142+Sens!$H$6144+Sens!$H$6146+Sens!$H$6148</f>
        <v>721.096889521386</v>
      </c>
      <c r="I6151" s="38" t="n">
        <f aca="false">Sens!$I$6138+Sens!$I$6140+Sens!$I$6142+Sens!$I$6144+Sens!$I$6146+Sens!$I$6148</f>
        <v>788.529391152531</v>
      </c>
      <c r="J6151" s="38" t="n">
        <f aca="false">Sens!$J$6138+Sens!$J$6140+Sens!$J$6142+Sens!$J$6144+Sens!$J$6146+Sens!$J$6148</f>
        <v>851.108405741443</v>
      </c>
      <c r="K6151" s="38" t="n">
        <f aca="false">Sens!$K$6138+Sens!$K$6140+Sens!$K$6142+Sens!$K$6144+Sens!$K$6146+Sens!$K$6148</f>
        <v>906.176455431088</v>
      </c>
      <c r="L6151" s="38" t="n">
        <f aca="false">Sens!$L$6138+Sens!$L$6140+Sens!$L$6142+Sens!$L$6144+Sens!$L$6146+Sens!$L$6148</f>
        <v>965.093106475589</v>
      </c>
      <c r="M6151" s="38" t="n">
        <f aca="false">Sens!$M$6138+Sens!$M$6140+Sens!$M$6142+Sens!$M$6144+Sens!$M$6146+Sens!$M$6148</f>
        <v>1028.14790794689</v>
      </c>
      <c r="N6151" s="38" t="n">
        <f aca="false">Sens!$N$6138+Sens!$N$6140+Sens!$N$6142+Sens!$N$6144+Sens!$N$6146+Sens!$N$6148</f>
        <v>263.229</v>
      </c>
      <c r="O6151" s="38" t="n">
        <f aca="false">Sens!$O$6138+Sens!$O$6140+Sens!$O$6142+Sens!$O$6144+Sens!$O$6146+Sens!$O$6148</f>
        <v>324.97</v>
      </c>
    </row>
    <row r="6152" customFormat="false" ht="17.15" hidden="false" customHeight="false" outlineLevel="0" collapsed="false">
      <c r="A6152" s="5" t="s">
        <v>683</v>
      </c>
      <c r="B6152" s="0" t="s">
        <v>52</v>
      </c>
      <c r="C6152" s="13" t="n">
        <f aca="false">Q!$D$5/(Q!$D$5+Q!$D$6)</f>
        <v>0.730570905519011</v>
      </c>
      <c r="D6152" s="13" t="n">
        <f aca="false">Q!$E$5/(Q!$E$5+Q!$E$6)</f>
        <v>0.724763217890544</v>
      </c>
      <c r="E6152" s="13" t="n">
        <f aca="false">Q!$P$5/(Q!$P$5+Q!$P$6)</f>
        <v>0.728797972914861</v>
      </c>
      <c r="F6152" s="13" t="n">
        <f aca="false">Sens!$O$6152</f>
        <v>0.718066283041511</v>
      </c>
      <c r="G6152" s="13" t="n">
        <f aca="false">Sens!$G$6153/Sens!$G$6151</f>
        <v>0.723047066202847</v>
      </c>
      <c r="H6152" s="13" t="n">
        <f aca="false">Sens!$G$6152</f>
        <v>0.723047066202847</v>
      </c>
      <c r="I6152" s="13" t="n">
        <f aca="false">Sens!$G$6152</f>
        <v>0.723047066202847</v>
      </c>
      <c r="J6152" s="13" t="n">
        <f aca="false">Sens!$G$6152</f>
        <v>0.723047066202847</v>
      </c>
      <c r="K6152" s="13" t="n">
        <f aca="false">Sens!$G$6152</f>
        <v>0.723047066202847</v>
      </c>
      <c r="L6152" s="13" t="n">
        <f aca="false">Sens!$G$6152</f>
        <v>0.723047066202847</v>
      </c>
      <c r="M6152" s="13" t="n">
        <f aca="false">Sens!$G$6152</f>
        <v>0.723047066202847</v>
      </c>
      <c r="N6152" s="13" t="n">
        <f aca="false">Q!$N$5/(Q!$N$5+Q!$N$6)</f>
        <v>0.733030935041352</v>
      </c>
      <c r="O6152" s="13" t="n">
        <f aca="false">Q!$O$5/(Q!$O$5+Q!$O$6)</f>
        <v>0.718066283041511</v>
      </c>
      <c r="P6152" s="8" t="s">
        <v>684</v>
      </c>
    </row>
    <row r="6153" customFormat="false" ht="17.15" hidden="false" customHeight="false" outlineLevel="0" collapsed="false">
      <c r="A6153" s="1" t="s">
        <v>512</v>
      </c>
      <c r="B6153" s="8" t="s">
        <v>86</v>
      </c>
      <c r="C6153" s="38" t="n">
        <f aca="false">Q!$D$5</f>
        <v>387.497</v>
      </c>
      <c r="D6153" s="38" t="n">
        <f aca="false">Q!$E$5</f>
        <v>426.305</v>
      </c>
      <c r="E6153" s="38" t="n">
        <f aca="false">Q!$P$5</f>
        <v>220.32</v>
      </c>
      <c r="F6153" s="38" t="n">
        <f aca="false">Sens!$F$6151*Sens!$F$6152</f>
        <v>250.639773480586</v>
      </c>
      <c r="G6153" s="38" t="n">
        <f aca="false">Sens!$E$6153+Sens!$F$6153</f>
        <v>470.959773480586</v>
      </c>
      <c r="H6153" s="38" t="n">
        <f aca="false">Sens!$H$6151*Sens!$H$6152</f>
        <v>521.386990416437</v>
      </c>
      <c r="I6153" s="38" t="n">
        <f aca="false">Sens!$I$6151*Sens!$I$6152</f>
        <v>570.143862887555</v>
      </c>
      <c r="J6153" s="38" t="n">
        <f aca="false">Sens!$J$6151*Sens!$J$6152</f>
        <v>615.391435791933</v>
      </c>
      <c r="K6153" s="38" t="n">
        <f aca="false">Sens!$K$6151*Sens!$K$6152</f>
        <v>655.208227561543</v>
      </c>
      <c r="L6153" s="38" t="n">
        <f aca="false">Sens!$L$6151*Sens!$L$6152</f>
        <v>697.807739249767</v>
      </c>
      <c r="M6153" s="38" t="n">
        <f aca="false">Sens!$M$6151*Sens!$M$6152</f>
        <v>743.399328463592</v>
      </c>
      <c r="N6153" s="38" t="n">
        <f aca="false">Q!$N$5</f>
        <v>192.955</v>
      </c>
      <c r="O6153" s="38" t="n">
        <f aca="false">Q!$O$5</f>
        <v>233.35</v>
      </c>
      <c r="P6153" s="5" t="s">
        <v>685</v>
      </c>
    </row>
    <row r="6154" customFormat="false" ht="17.15" hidden="false" customHeight="false" outlineLevel="0" collapsed="false">
      <c r="A6154" s="1" t="s">
        <v>515</v>
      </c>
      <c r="B6154" s="8" t="s">
        <v>86</v>
      </c>
      <c r="C6154" s="38" t="n">
        <f aca="false">Q!$D$6</f>
        <v>142.906</v>
      </c>
      <c r="D6154" s="38" t="n">
        <f aca="false">Q!$E$6</f>
        <v>161.894</v>
      </c>
      <c r="E6154" s="38" t="n">
        <f aca="false">Q!$P$6</f>
        <v>81.986</v>
      </c>
      <c r="F6154" s="38" t="n">
        <f aca="false">Sens!$F$6151*(1-Sens!$F$6152)</f>
        <v>98.408468164951</v>
      </c>
      <c r="G6154" s="38" t="n">
        <f aca="false">Sens!$E$6154+Sens!$F$6154</f>
        <v>180.394468164951</v>
      </c>
      <c r="H6154" s="38" t="n">
        <f aca="false">Sens!$H$6151*(1-Sens!$H$6152)</f>
        <v>199.709899104949</v>
      </c>
      <c r="I6154" s="38" t="n">
        <f aca="false">Sens!$I$6151*(1-Sens!$I$6152)</f>
        <v>218.385528264976</v>
      </c>
      <c r="J6154" s="38" t="n">
        <f aca="false">Sens!$J$6151*(1-Sens!$J$6152)</f>
        <v>235.71696994951</v>
      </c>
      <c r="K6154" s="38" t="n">
        <f aca="false">Sens!$K$6151*(1-Sens!$K$6152)</f>
        <v>250.968227869545</v>
      </c>
      <c r="L6154" s="38" t="n">
        <f aca="false">Sens!$L$6151*(1-Sens!$L$6152)</f>
        <v>267.285367225822</v>
      </c>
      <c r="M6154" s="38" t="n">
        <f aca="false">Sens!$M$6151*(1-Sens!$M$6152)</f>
        <v>284.748579483295</v>
      </c>
      <c r="N6154" s="38" t="n">
        <f aca="false">Q!$N$6</f>
        <v>70.274</v>
      </c>
      <c r="O6154" s="38" t="n">
        <f aca="false">Q!$O$6</f>
        <v>91.62</v>
      </c>
      <c r="P6154" s="5" t="s">
        <v>686</v>
      </c>
    </row>
    <row r="6155" customFormat="false" ht="17.15" hidden="false" customHeight="false" outlineLevel="0" collapsed="false">
      <c r="A6155" s="5" t="s">
        <v>687</v>
      </c>
      <c r="B6155" s="0" t="s">
        <v>86</v>
      </c>
      <c r="C6155" s="38" t="n">
        <f aca="false">Sens!$C$6144*Sens!$C$6152</f>
        <v>41.0683128828457</v>
      </c>
      <c r="D6155" s="38" t="n">
        <f aca="false">Sens!$D$6144*Sens!$D$6152</f>
        <v>49.7441234599175</v>
      </c>
      <c r="E6155" s="38" t="n">
        <f aca="false">Sens!$E$6144*Sens!$E$6152</f>
        <v>27.0034224924414</v>
      </c>
      <c r="F6155" s="38" t="n">
        <f aca="false">Sens!$F$6144*Sens!$F$6152</f>
        <v>33.1439448330513</v>
      </c>
      <c r="G6155" s="38" t="n">
        <f aca="false">Sens!$G$6144*Sens!$G$6152</f>
        <v>60.164183844083</v>
      </c>
      <c r="H6155" s="38" t="n">
        <f aca="false">Sens!$H$6144*Sens!$H$6152</f>
        <v>72.2301766552629</v>
      </c>
      <c r="I6155" s="38" t="n">
        <f aca="false">Sens!$I$6144*Sens!$I$6152</f>
        <v>84.2950764463991</v>
      </c>
      <c r="J6155" s="38" t="n">
        <f aca="false">Sens!$J$6144*Sens!$J$6152</f>
        <v>95.5499047729386</v>
      </c>
      <c r="K6155" s="38" t="n">
        <f aca="false">Sens!$K$6144*Sens!$K$6152</f>
        <v>105.104895250232</v>
      </c>
      <c r="L6155" s="38" t="n">
        <f aca="false">Sens!$L$6144*Sens!$L$6152</f>
        <v>115.615384775256</v>
      </c>
      <c r="M6155" s="38" t="n">
        <f aca="false">Sens!$M$6144*Sens!$M$6152</f>
        <v>127.176923252781</v>
      </c>
      <c r="N6155" s="38" t="n">
        <f aca="false">Sens!$N$6144*Sens!$N$6152</f>
        <v>21.7087111412496</v>
      </c>
      <c r="O6155" s="38" t="n">
        <f aca="false">Sens!$O$6144*Sens!$O$6152</f>
        <v>28.0189463642798</v>
      </c>
      <c r="P6155" s="5" t="s">
        <v>688</v>
      </c>
    </row>
    <row r="6156" customFormat="false" ht="15" hidden="false" customHeight="false" outlineLevel="0" collapsed="false">
      <c r="A6156" s="5" t="s">
        <v>689</v>
      </c>
      <c r="B6156" s="0" t="s">
        <v>86</v>
      </c>
      <c r="C6156" s="38" t="n">
        <f aca="false">Sens!$C$6144-Sens!$C$6155</f>
        <v>15.1456871171543</v>
      </c>
      <c r="D6156" s="38" t="n">
        <f aca="false">Sens!$D$6144-Sens!$D$6155</f>
        <v>18.8908765400825</v>
      </c>
      <c r="E6156" s="38" t="n">
        <f aca="false">Sens!$E$6144-Sens!$E$6155</f>
        <v>10.0485775075586</v>
      </c>
      <c r="F6156" s="38" t="n">
        <f aca="false">Sens!$F$6144-Sens!$F$6155</f>
        <v>13.0132771613635</v>
      </c>
      <c r="G6156" s="38" t="n">
        <f aca="false">Sens!$G$6144-Sens!$G$6155</f>
        <v>23.0450381503318</v>
      </c>
      <c r="H6156" s="38" t="n">
        <f aca="false">Sens!$H$6144-Sens!$H$6155</f>
        <v>27.6667457326347</v>
      </c>
      <c r="I6156" s="38" t="n">
        <f aca="false">Sens!$I$6144-Sens!$I$6155</f>
        <v>32.2880346490971</v>
      </c>
      <c r="J6156" s="38" t="n">
        <f aca="false">Sens!$J$6144-Sens!$J$6155</f>
        <v>36.5990371690132</v>
      </c>
      <c r="K6156" s="38" t="n">
        <f aca="false">Sens!$K$6144-Sens!$K$6155</f>
        <v>40.2589408859145</v>
      </c>
      <c r="L6156" s="38" t="n">
        <f aca="false">Sens!$L$6144-Sens!$L$6155</f>
        <v>44.2848349745059</v>
      </c>
      <c r="M6156" s="38" t="n">
        <f aca="false">Sens!$M$6144-Sens!$M$6155</f>
        <v>48.7133184719565</v>
      </c>
      <c r="N6156" s="38" t="n">
        <f aca="false">Sens!$N$6144-Sens!$N$6155</f>
        <v>7.90628885875037</v>
      </c>
      <c r="O6156" s="38" t="n">
        <f aca="false">Sens!$O$6144-Sens!$O$6155</f>
        <v>11.0010536357202</v>
      </c>
    </row>
    <row r="6157" customFormat="false" ht="19.4" hidden="false" customHeight="false" outlineLevel="0" collapsed="false">
      <c r="A6157" s="31" t="s">
        <v>1261</v>
      </c>
    </row>
    <row r="6158" customFormat="false" ht="17.15" hidden="false" customHeight="false" outlineLevel="0" collapsed="false">
      <c r="A6158" s="6" t="s">
        <v>16</v>
      </c>
      <c r="B6158" s="6" t="s">
        <v>17</v>
      </c>
      <c r="C6158" s="20" t="s">
        <v>497</v>
      </c>
      <c r="D6158" s="20" t="s">
        <v>498</v>
      </c>
      <c r="E6158" s="20" t="s">
        <v>580</v>
      </c>
      <c r="F6158" s="20" t="s">
        <v>581</v>
      </c>
      <c r="G6158" s="20" t="s">
        <v>582</v>
      </c>
      <c r="H6158" s="20" t="s">
        <v>583</v>
      </c>
      <c r="I6158" s="20" t="s">
        <v>584</v>
      </c>
      <c r="J6158" s="20" t="s">
        <v>585</v>
      </c>
      <c r="K6158" s="20" t="s">
        <v>586</v>
      </c>
      <c r="L6158" s="20" t="s">
        <v>587</v>
      </c>
      <c r="M6158" s="20" t="s">
        <v>588</v>
      </c>
      <c r="N6158" s="20" t="s">
        <v>589</v>
      </c>
      <c r="O6158" s="20" t="s">
        <v>590</v>
      </c>
      <c r="P6158" s="6" t="s">
        <v>23</v>
      </c>
      <c r="R6158" s="20" t="n">
        <v>2023</v>
      </c>
      <c r="S6158" s="20" t="n">
        <v>2024</v>
      </c>
      <c r="T6158" s="20" t="n">
        <v>2025</v>
      </c>
      <c r="U6158" s="20" t="n">
        <v>2026</v>
      </c>
      <c r="V6158" s="20" t="n">
        <v>2027</v>
      </c>
      <c r="W6158" s="20" t="n">
        <v>2028</v>
      </c>
      <c r="X6158" s="20" t="n">
        <v>2029</v>
      </c>
      <c r="Y6158" s="20" t="n">
        <v>2030</v>
      </c>
      <c r="Z6158" s="20" t="n">
        <v>2031</v>
      </c>
      <c r="AA6158" s="20" t="n">
        <v>2032</v>
      </c>
    </row>
    <row r="6159" customFormat="false" ht="17.15" hidden="false" customHeight="false" outlineLevel="0" collapsed="false">
      <c r="A6159" s="1" t="s">
        <v>591</v>
      </c>
    </row>
    <row r="6160" customFormat="false" ht="17.15" hidden="false" customHeight="false" outlineLevel="0" collapsed="false">
      <c r="A6160" s="5" t="s">
        <v>592</v>
      </c>
      <c r="B6160" s="0" t="s">
        <v>144</v>
      </c>
      <c r="H6160" s="32" t="n">
        <f aca="false">pace_B</f>
        <v>3634.3</v>
      </c>
      <c r="I6160" s="32" t="n">
        <f aca="false">pace_B</f>
        <v>3634.3</v>
      </c>
      <c r="J6160" s="32" t="n">
        <f aca="false">pace_B</f>
        <v>3634.3</v>
      </c>
      <c r="K6160" s="32" t="n">
        <f aca="false">pace_B+(Sens!$J$6161*tg-pace_B)*1/3</f>
        <v>2570.86716666667</v>
      </c>
      <c r="L6160" s="32" t="n">
        <f aca="false">pace_B+(Sens!$J$6161*tg-pace_B)*2/3</f>
        <v>1507.43433333333</v>
      </c>
      <c r="M6160" s="32" t="n">
        <f aca="false">pace_B+(Sens!$J$6161*tg-pace_B)*3/3</f>
        <v>444.0015</v>
      </c>
      <c r="P6160" s="5" t="s">
        <v>593</v>
      </c>
    </row>
    <row r="6161" customFormat="false" ht="17.15" hidden="false" customHeight="false" outlineLevel="0" collapsed="false">
      <c r="A6161" s="15" t="s">
        <v>594</v>
      </c>
      <c r="B6161" s="14" t="s">
        <v>129</v>
      </c>
      <c r="C6161" s="33" t="n">
        <f aca="false">mw_ye24</f>
        <v>360</v>
      </c>
      <c r="D6161" s="33" t="n">
        <f aca="false">mw_ye25</f>
        <v>1440</v>
      </c>
      <c r="E6161" s="33" t="n">
        <f aca="false">mw_open</f>
        <v>2080</v>
      </c>
      <c r="F6161" s="33" t="n">
        <f aca="false">Sens!$E$6161+pace_B*0.5</f>
        <v>3897.15</v>
      </c>
      <c r="G6161" s="33" t="n">
        <f aca="false">Sens!$F$6161</f>
        <v>3897.15</v>
      </c>
      <c r="H6161" s="33" t="n">
        <f aca="false">Sens!$G$6161+Sens!$H$6160</f>
        <v>7531.45</v>
      </c>
      <c r="I6161" s="33" t="n">
        <f aca="false">Sens!$H$6161+Sens!$I$6160</f>
        <v>11165.75</v>
      </c>
      <c r="J6161" s="33" t="n">
        <f aca="false">Sens!$I$6161+Sens!$J$6160</f>
        <v>14800.05</v>
      </c>
      <c r="K6161" s="33" t="n">
        <f aca="false">Sens!$J$6161+Sens!$K$6160</f>
        <v>17370.9171666667</v>
      </c>
      <c r="L6161" s="33" t="n">
        <f aca="false">Sens!$K$6161+Sens!$L$6160</f>
        <v>18878.3515</v>
      </c>
      <c r="M6161" s="33" t="n">
        <f aca="false">Sens!$L$6161+Sens!$M$6160</f>
        <v>19322.353</v>
      </c>
      <c r="N6161" s="33" t="n">
        <f aca="false">(mw_ye24+mw_ye25)/2</f>
        <v>900</v>
      </c>
      <c r="O6161" s="33" t="n">
        <f aca="false">mw_ye25</f>
        <v>1440</v>
      </c>
      <c r="P6161" s="5" t="s">
        <v>595</v>
      </c>
    </row>
    <row r="6162" customFormat="false" ht="17.15" hidden="false" customHeight="false" outlineLevel="0" collapsed="false">
      <c r="A6162" s="5" t="s">
        <v>596</v>
      </c>
      <c r="B6162" s="0" t="s">
        <v>129</v>
      </c>
      <c r="C6162" s="32" t="n">
        <f aca="false">(mw_ye23+mw_ye24)/2</f>
        <v>240</v>
      </c>
      <c r="D6162" s="32" t="n">
        <f aca="false">(Sens!$C$6161+Sens!$D$6161)/2</f>
        <v>900</v>
      </c>
      <c r="E6162" s="32" t="n">
        <f aca="false">(Sens!$D$6161+Sens!$E$6161)/2</f>
        <v>1760</v>
      </c>
      <c r="F6162" s="32" t="n">
        <f aca="false">(Sens!$E$6161+Sens!$F$6161)/2</f>
        <v>2988.575</v>
      </c>
      <c r="G6162" s="32" t="n">
        <f aca="false">(Sens!$E$6162+Sens!$F$6162)/2</f>
        <v>2374.2875</v>
      </c>
      <c r="H6162" s="32" t="n">
        <f aca="false">(Sens!$G$6161+Sens!$H$6161)/2</f>
        <v>5714.3</v>
      </c>
      <c r="I6162" s="32" t="n">
        <f aca="false">(Sens!$H$6161+Sens!$I$6161)/2</f>
        <v>9348.6</v>
      </c>
      <c r="J6162" s="32" t="n">
        <f aca="false">(Sens!$I$6161+Sens!$J$6161)/2</f>
        <v>12982.9</v>
      </c>
      <c r="K6162" s="32" t="n">
        <f aca="false">(Sens!$J$6161+Sens!$K$6161)/2</f>
        <v>16085.4835833333</v>
      </c>
      <c r="L6162" s="32" t="n">
        <f aca="false">(Sens!$K$6161+Sens!$L$6161)/2</f>
        <v>18124.6343333333</v>
      </c>
      <c r="M6162" s="32" t="n">
        <f aca="false">(Sens!$L$6161+Sens!$M$6161)/2</f>
        <v>19100.35225</v>
      </c>
      <c r="N6162" s="32" t="n">
        <f aca="false">(Sens!$C$6161+Sens!$N$6161)/2</f>
        <v>630</v>
      </c>
      <c r="O6162" s="32" t="n">
        <f aca="false">(Sens!$N$6161+Sens!$O$6161)/2</f>
        <v>1170</v>
      </c>
    </row>
    <row r="6163" customFormat="false" ht="15" hidden="false" customHeight="false" outlineLevel="0" collapsed="false">
      <c r="A6163" s="5" t="s">
        <v>597</v>
      </c>
      <c r="B6163" s="5" t="s">
        <v>123</v>
      </c>
      <c r="C6163" s="34" t="n">
        <v>1</v>
      </c>
      <c r="D6163" s="34" t="n">
        <v>1</v>
      </c>
      <c r="E6163" s="34" t="n">
        <v>0.5</v>
      </c>
      <c r="F6163" s="34" t="n">
        <v>0.5</v>
      </c>
      <c r="G6163" s="34" t="n">
        <v>1</v>
      </c>
      <c r="H6163" s="34" t="n">
        <v>1</v>
      </c>
      <c r="I6163" s="34" t="n">
        <v>1</v>
      </c>
      <c r="J6163" s="34" t="n">
        <v>1</v>
      </c>
      <c r="K6163" s="34" t="n">
        <v>1</v>
      </c>
      <c r="L6163" s="34" t="n">
        <v>1</v>
      </c>
      <c r="M6163" s="34" t="n">
        <v>1</v>
      </c>
      <c r="N6163" s="34" t="n">
        <v>0.5</v>
      </c>
      <c r="O6163" s="34" t="n">
        <v>0.5</v>
      </c>
    </row>
    <row r="6164" customFormat="false" ht="17.15" hidden="false" customHeight="false" outlineLevel="0" collapsed="false">
      <c r="A6164" s="5" t="s">
        <v>598</v>
      </c>
      <c r="B6164" s="0" t="s">
        <v>129</v>
      </c>
      <c r="C6164" s="32" t="n">
        <f aca="false">Sens!$C$6161-mw_ye23</f>
        <v>240</v>
      </c>
      <c r="D6164" s="32" t="n">
        <f aca="false">Sens!$D$6161-Sens!$C$6161</f>
        <v>1080</v>
      </c>
      <c r="E6164" s="32" t="n">
        <f aca="false">Sens!$E$6161-Sens!$D$6161</f>
        <v>640</v>
      </c>
      <c r="F6164" s="32" t="n">
        <f aca="false">Sens!$F$6161-Sens!$E$6161</f>
        <v>1817.15</v>
      </c>
      <c r="G6164" s="32" t="n">
        <f aca="false">Sens!$E$6164+Sens!$F$6164</f>
        <v>2457.15</v>
      </c>
      <c r="H6164" s="32" t="n">
        <f aca="false">Sens!$H$6161-Sens!$G$6161</f>
        <v>3634.3</v>
      </c>
      <c r="I6164" s="32" t="n">
        <f aca="false">Sens!$I$6161-Sens!$H$6161</f>
        <v>3634.3</v>
      </c>
      <c r="J6164" s="32" t="n">
        <f aca="false">Sens!$J$6161-Sens!$I$6161</f>
        <v>3634.3</v>
      </c>
      <c r="K6164" s="32" t="n">
        <f aca="false">Sens!$K$6161-Sens!$J$6161</f>
        <v>2570.86716666667</v>
      </c>
      <c r="L6164" s="32" t="n">
        <f aca="false">Sens!$L$6161-Sens!$K$6161</f>
        <v>1507.43433333333</v>
      </c>
      <c r="M6164" s="32" t="n">
        <f aca="false">Sens!$M$6161-Sens!$L$6161</f>
        <v>444.001499999999</v>
      </c>
      <c r="N6164" s="32" t="n">
        <f aca="false">Sens!$N$6161-Sens!$C$6161</f>
        <v>540</v>
      </c>
      <c r="O6164" s="32" t="n">
        <f aca="false">Sens!$O$6161-Sens!$N$6161</f>
        <v>540</v>
      </c>
    </row>
    <row r="6165" customFormat="false" ht="17.15" hidden="false" customHeight="false" outlineLevel="0" collapsed="false">
      <c r="A6165" s="5" t="s">
        <v>599</v>
      </c>
      <c r="B6165" s="0" t="s">
        <v>129</v>
      </c>
      <c r="C6165" s="32" t="n">
        <f aca="false">Sens!$C$6164/ext_sh</f>
        <v>300</v>
      </c>
      <c r="D6165" s="32" t="n">
        <f aca="false">Sens!$D$6164/ext_sh</f>
        <v>1350</v>
      </c>
      <c r="E6165" s="32" t="n">
        <f aca="false">Sens!$E$6164/ext_sh</f>
        <v>800</v>
      </c>
      <c r="F6165" s="32" t="n">
        <f aca="false">Sens!$F$6164/ext_sh</f>
        <v>2271.4375</v>
      </c>
      <c r="G6165" s="32" t="n">
        <f aca="false">Sens!$G$6164/ext_sh</f>
        <v>3071.4375</v>
      </c>
      <c r="H6165" s="32" t="n">
        <f aca="false">Sens!$H$6164/ext_sh</f>
        <v>4542.875</v>
      </c>
      <c r="I6165" s="32" t="n">
        <f aca="false">Sens!$I$6164/ext_sh</f>
        <v>4542.875</v>
      </c>
      <c r="J6165" s="32" t="n">
        <f aca="false">Sens!$J$6164/ext_sh</f>
        <v>4542.875</v>
      </c>
      <c r="K6165" s="32" t="n">
        <f aca="false">Sens!$K$6164/ext_sh</f>
        <v>3213.58395833333</v>
      </c>
      <c r="L6165" s="32" t="n">
        <f aca="false">Sens!$L$6164/ext_sh</f>
        <v>1884.29291666667</v>
      </c>
      <c r="M6165" s="32" t="n">
        <f aca="false">Sens!$M$6164/ext_sh</f>
        <v>555.001874999998</v>
      </c>
      <c r="N6165" s="32" t="n">
        <f aca="false">Sens!$N$6164/ext_sh</f>
        <v>675</v>
      </c>
      <c r="O6165" s="32" t="n">
        <f aca="false">Sens!$O$6164/ext_sh</f>
        <v>675</v>
      </c>
      <c r="P6165" s="8" t="s">
        <v>600</v>
      </c>
      <c r="R6165" s="32" t="n">
        <f aca="false">mw_ye23/ext_sh</f>
        <v>150</v>
      </c>
      <c r="S6165" s="32" t="n">
        <f aca="false">Sens!$C$6165</f>
        <v>300</v>
      </c>
      <c r="T6165" s="32" t="n">
        <f aca="false">Sens!$D$6165</f>
        <v>1350</v>
      </c>
      <c r="U6165" s="32" t="n">
        <f aca="false">Sens!$G$6165</f>
        <v>3071.4375</v>
      </c>
      <c r="V6165" s="32" t="n">
        <f aca="false">Sens!$H$6165</f>
        <v>4542.875</v>
      </c>
      <c r="W6165" s="32" t="n">
        <f aca="false">Sens!$I$6165</f>
        <v>4542.875</v>
      </c>
      <c r="X6165" s="32" t="n">
        <f aca="false">Sens!$J$6165</f>
        <v>4542.875</v>
      </c>
      <c r="Y6165" s="32" t="n">
        <f aca="false">Sens!$K$6165</f>
        <v>3213.58395833333</v>
      </c>
      <c r="Z6165" s="32" t="n">
        <f aca="false">Sens!$L$6165</f>
        <v>1884.29291666667</v>
      </c>
      <c r="AA6165" s="32" t="n">
        <f aca="false">Sens!$M$6165</f>
        <v>555.001874999998</v>
      </c>
    </row>
    <row r="6166" customFormat="false" ht="17.15" hidden="false" customHeight="false" outlineLevel="0" collapsed="false">
      <c r="A6166" s="1" t="s">
        <v>601</v>
      </c>
    </row>
    <row r="6167" customFormat="false" ht="17.15" hidden="false" customHeight="false" outlineLevel="0" collapsed="false">
      <c r="A6167" s="0" t="s">
        <v>602</v>
      </c>
      <c r="B6167" s="0" t="s">
        <v>52</v>
      </c>
      <c r="F6167" s="35" t="n">
        <f aca="false">na_vr26</f>
        <v>0</v>
      </c>
      <c r="G6167" s="35" t="n">
        <f aca="false">na_vr26</f>
        <v>0</v>
      </c>
      <c r="H6167" s="35" t="n">
        <f aca="false">na_vr27</f>
        <v>0.5</v>
      </c>
      <c r="I6167" s="35" t="n">
        <f aca="false">na_vr28</f>
        <v>1</v>
      </c>
      <c r="J6167" s="35" t="n">
        <f aca="false">na_vr28</f>
        <v>1</v>
      </c>
      <c r="K6167" s="35" t="n">
        <f aca="false">na_vr28</f>
        <v>1</v>
      </c>
      <c r="L6167" s="35" t="n">
        <f aca="false">na_vr28</f>
        <v>1</v>
      </c>
      <c r="M6167" s="35" t="n">
        <f aca="false">na_vr28</f>
        <v>1</v>
      </c>
    </row>
    <row r="6168" customFormat="false" ht="17.15" hidden="false" customHeight="false" outlineLevel="0" collapsed="false">
      <c r="A6168" s="5" t="s">
        <v>603</v>
      </c>
      <c r="B6168" s="0" t="s">
        <v>173</v>
      </c>
      <c r="F6168" s="36" t="n">
        <f aca="false">cust_sh*tk_he_gb300*cf_chip+(1-cust_sh)*((1-Sens!$F$6167)*tk_he_gb300+Sens!$F$6167*tk_he_vr200)</f>
        <v>10.8864110021101</v>
      </c>
      <c r="G6168" s="36" t="n">
        <f aca="false">cust_sh*tk_he_gb300*cf_chip+(1-cust_sh)*((1-Sens!$G$6167)*tk_he_gb300+Sens!$G$6167*tk_he_vr200)</f>
        <v>10.8864110021101</v>
      </c>
      <c r="H6168" s="36" t="n">
        <f aca="false">cust_sh*tk_he_gb300*cf_chip+(1-cust_sh)*((1-Sens!$H$6167)*tk_he_gb300+Sens!$H$6167*tk_he_vr200)</f>
        <v>11.2211760027286</v>
      </c>
      <c r="I6168" s="36" t="n">
        <f aca="false">cust_sh*tk_he_gb300*cf_chip+(1-cust_sh)*((1-Sens!$I$6167)*tk_he_gb300+Sens!$I$6167*tk_he_vr200)</f>
        <v>11.5559410033471</v>
      </c>
      <c r="J6168" s="36" t="n">
        <f aca="false">cust_sh*tk_he_gb300*cf_chip+(1-cust_sh)*((1-Sens!$J$6167)*tk_he_gb300+Sens!$J$6167*tk_he_vr200)</f>
        <v>11.5559410033471</v>
      </c>
      <c r="K6168" s="36" t="n">
        <f aca="false">cust_sh*tk_he_gb300*cf_chip+(1-cust_sh)*((1-Sens!$K$6167)*tk_he_gb300+Sens!$K$6167*tk_he_vr200)</f>
        <v>11.5559410033471</v>
      </c>
      <c r="L6168" s="36" t="n">
        <f aca="false">cust_sh*tk_he_gb300*cf_chip+(1-cust_sh)*((1-Sens!$L$6167)*tk_he_gb300+Sens!$L$6167*tk_he_vr200)</f>
        <v>11.5559410033471</v>
      </c>
      <c r="M6168" s="36" t="n">
        <f aca="false">cust_sh*tk_he_gb300*cf_chip+(1-cust_sh)*((1-Sens!$M$6167)*tk_he_gb300+Sens!$M$6167*tk_he_vr200)</f>
        <v>11.5559410033471</v>
      </c>
    </row>
    <row r="6169" customFormat="false" ht="17.15" hidden="false" customHeight="false" outlineLevel="0" collapsed="false">
      <c r="A6169" s="5" t="s">
        <v>604</v>
      </c>
      <c r="B6169" s="0" t="s">
        <v>173</v>
      </c>
      <c r="F6169" s="36" t="n">
        <f aca="false">cust_sh*tk_ox_gb300+(1-cust_sh)*((1-Sens!$F$6167)*tk_ox_gb300+Sens!$F$6167*tk_ox_vr200)</f>
        <v>1.98263481314457</v>
      </c>
      <c r="G6169" s="36" t="n">
        <f aca="false">cust_sh*tk_ox_gb300+(1-cust_sh)*((1-Sens!$G$6167)*tk_ox_gb300+Sens!$G$6167*tk_ox_vr200)</f>
        <v>1.98263481314457</v>
      </c>
      <c r="H6169" s="36" t="n">
        <f aca="false">cust_sh*tk_ox_gb300+(1-cust_sh)*((1-Sens!$H$6167)*tk_ox_gb300+Sens!$H$6167*tk_ox_vr200)</f>
        <v>2.01034999693694</v>
      </c>
      <c r="I6169" s="36" t="n">
        <f aca="false">cust_sh*tk_ox_gb300+(1-cust_sh)*((1-Sens!$I$6167)*tk_ox_gb300+Sens!$I$6167*tk_ox_vr200)</f>
        <v>2.0380651807293</v>
      </c>
      <c r="J6169" s="36" t="n">
        <f aca="false">cust_sh*tk_ox_gb300+(1-cust_sh)*((1-Sens!$J$6167)*tk_ox_gb300+Sens!$J$6167*tk_ox_vr200)</f>
        <v>2.0380651807293</v>
      </c>
      <c r="K6169" s="36" t="n">
        <f aca="false">cust_sh*tk_ox_gb300+(1-cust_sh)*((1-Sens!$K$6167)*tk_ox_gb300+Sens!$K$6167*tk_ox_vr200)</f>
        <v>2.0380651807293</v>
      </c>
      <c r="L6169" s="36" t="n">
        <f aca="false">cust_sh*tk_ox_gb300+(1-cust_sh)*((1-Sens!$L$6167)*tk_ox_gb300+Sens!$L$6167*tk_ox_vr200)</f>
        <v>2.0380651807293</v>
      </c>
      <c r="M6169" s="36" t="n">
        <f aca="false">cust_sh*tk_ox_gb300+(1-cust_sh)*((1-Sens!$M$6167)*tk_ox_gb300+Sens!$M$6167*tk_ox_vr200)</f>
        <v>2.0380651807293</v>
      </c>
    </row>
    <row r="6170" customFormat="false" ht="17.15" hidden="false" customHeight="false" outlineLevel="0" collapsed="false">
      <c r="A6170" s="5" t="s">
        <v>605</v>
      </c>
      <c r="B6170" s="0" t="s">
        <v>192</v>
      </c>
      <c r="F6170" s="36" t="n">
        <f aca="false">cust_sh*tk_cx_gb300*cf_cx+(1-cust_sh)*((1-Sens!$F$6167)*tk_cx_gb300+Sens!$F$6167*tk_cx_vr200)</f>
        <v>32.237224</v>
      </c>
      <c r="G6170" s="36" t="n">
        <f aca="false">cust_sh*tk_cx_gb300*cf_cx+(1-cust_sh)*((1-Sens!$G$6167)*tk_cx_gb300+Sens!$G$6167*tk_cx_vr200)</f>
        <v>32.237224</v>
      </c>
      <c r="H6170" s="36" t="n">
        <f aca="false">cust_sh*tk_cx_gb300*cf_cx+(1-cust_sh)*((1-Sens!$H$6167)*tk_cx_gb300+Sens!$H$6167*tk_cx_vr200)</f>
        <v>33.574506</v>
      </c>
      <c r="I6170" s="36" t="n">
        <f aca="false">cust_sh*tk_cx_gb300*cf_cx+(1-cust_sh)*((1-Sens!$I$6167)*tk_cx_gb300+Sens!$I$6167*tk_cx_vr200)</f>
        <v>34.911788</v>
      </c>
      <c r="J6170" s="36" t="n">
        <f aca="false">cust_sh*tk_cx_gb300*cf_cx+(1-cust_sh)*((1-Sens!$J$6167)*tk_cx_gb300+Sens!$J$6167*tk_cx_vr200)</f>
        <v>34.911788</v>
      </c>
      <c r="K6170" s="36" t="n">
        <f aca="false">cust_sh*tk_cx_gb300*cf_cx+(1-cust_sh)*((1-Sens!$K$6167)*tk_cx_gb300+Sens!$K$6167*tk_cx_vr200)</f>
        <v>34.911788</v>
      </c>
      <c r="L6170" s="36" t="n">
        <f aca="false">cust_sh*tk_cx_gb300*cf_cx+(1-cust_sh)*((1-Sens!$L$6167)*tk_cx_gb300+Sens!$L$6167*tk_cx_vr200)</f>
        <v>34.911788</v>
      </c>
      <c r="M6170" s="36" t="n">
        <f aca="false">cust_sh*tk_cx_gb300*cf_cx+(1-cust_sh)*((1-Sens!$M$6167)*tk_cx_gb300+Sens!$M$6167*tk_cx_vr200)</f>
        <v>34.911788</v>
      </c>
    </row>
    <row r="6171" customFormat="false" ht="17.15" hidden="false" customHeight="false" outlineLevel="0" collapsed="false">
      <c r="A6171" s="5" t="s">
        <v>606</v>
      </c>
      <c r="B6171" s="0" t="s">
        <v>129</v>
      </c>
      <c r="F6171" s="32" t="n">
        <f aca="false">Sens!$F$6161-mw_open</f>
        <v>1817.15</v>
      </c>
      <c r="G6171" s="32" t="n">
        <f aca="false">Sens!$F$6171</f>
        <v>1817.15</v>
      </c>
      <c r="H6171" s="32" t="n">
        <f aca="false">Sens!$H$6161-mw_open</f>
        <v>5451.45</v>
      </c>
      <c r="I6171" s="32" t="n">
        <f aca="false">Sens!$I$6161-mw_open</f>
        <v>9085.75</v>
      </c>
      <c r="J6171" s="32" t="n">
        <f aca="false">Sens!$J$6161-mw_open</f>
        <v>12720.05</v>
      </c>
      <c r="K6171" s="32" t="n">
        <f aca="false">Sens!$K$6161-mw_open</f>
        <v>15290.9171666667</v>
      </c>
      <c r="L6171" s="32" t="n">
        <f aca="false">Sens!$L$6161-mw_open</f>
        <v>16798.3515</v>
      </c>
      <c r="M6171" s="32" t="n">
        <f aca="false">Sens!$M$6161-mw_open</f>
        <v>17242.353</v>
      </c>
    </row>
    <row r="6172" customFormat="false" ht="17.15" hidden="false" customHeight="false" outlineLevel="0" collapsed="false">
      <c r="A6172" s="0" t="s">
        <v>607</v>
      </c>
      <c r="B6172" s="0" t="s">
        <v>608</v>
      </c>
      <c r="F6172" s="32" t="n">
        <f aca="false">Sens!$F$6164*Sens!$F$6168</f>
        <v>19782.2417524844</v>
      </c>
      <c r="G6172" s="32" t="n">
        <f aca="false">Sens!$F$6172</f>
        <v>19782.2417524844</v>
      </c>
      <c r="H6172" s="32" t="n">
        <f aca="false">Sens!$G$6172+Sens!$H$6164*Sens!$H$6168</f>
        <v>60563.3616992009</v>
      </c>
      <c r="I6172" s="32" t="n">
        <f aca="false">Sens!$H$6172+Sens!$I$6164*Sens!$I$6168</f>
        <v>102561.118087665</v>
      </c>
      <c r="J6172" s="32" t="n">
        <f aca="false">Sens!$I$6172+Sens!$J$6164*Sens!$J$6168</f>
        <v>144558.87447613</v>
      </c>
      <c r="K6172" s="32" t="n">
        <f aca="false">Sens!$J$6172+Sens!$K$6164*Sens!$K$6168</f>
        <v>174267.663781572</v>
      </c>
      <c r="L6172" s="32" t="n">
        <f aca="false">Sens!$K$6172+Sens!$L$6164*Sens!$L$6168</f>
        <v>191687.486003992</v>
      </c>
      <c r="M6172" s="32" t="n">
        <f aca="false">Sens!$L$6172+Sens!$M$6164*Sens!$M$6168</f>
        <v>196818.341143389</v>
      </c>
    </row>
    <row r="6173" customFormat="false" ht="17.15" hidden="false" customHeight="false" outlineLevel="0" collapsed="false">
      <c r="A6173" s="0" t="s">
        <v>609</v>
      </c>
      <c r="B6173" s="0" t="s">
        <v>608</v>
      </c>
      <c r="F6173" s="32" t="n">
        <f aca="false">Sens!$F$6164*Sens!$F$6169</f>
        <v>3602.74485070566</v>
      </c>
      <c r="G6173" s="32" t="n">
        <f aca="false">Sens!$F$6173</f>
        <v>3602.74485070566</v>
      </c>
      <c r="H6173" s="32" t="n">
        <f aca="false">Sens!$G$6173+Sens!$H$6164*Sens!$H$6169</f>
        <v>10908.9598445736</v>
      </c>
      <c r="I6173" s="32" t="n">
        <f aca="false">Sens!$H$6173+Sens!$I$6164*Sens!$I$6169</f>
        <v>18315.9001308981</v>
      </c>
      <c r="J6173" s="32" t="n">
        <f aca="false">Sens!$I$6173+Sens!$J$6164*Sens!$J$6169</f>
        <v>25722.8404172225</v>
      </c>
      <c r="K6173" s="32" t="n">
        <f aca="false">Sens!$J$6173+Sens!$K$6164*Sens!$K$6169</f>
        <v>30962.4352738861</v>
      </c>
      <c r="L6173" s="32" t="n">
        <f aca="false">Sens!$K$6173+Sens!$L$6164*Sens!$L$6169</f>
        <v>34034.6847008886</v>
      </c>
      <c r="M6173" s="32" t="n">
        <f aca="false">Sens!$L$6173+Sens!$M$6164*Sens!$M$6169</f>
        <v>34939.5886982302</v>
      </c>
    </row>
    <row r="6174" customFormat="false" ht="17.15" hidden="false" customHeight="false" outlineLevel="0" collapsed="false">
      <c r="A6174" s="5" t="s">
        <v>610</v>
      </c>
      <c r="B6174" s="0" t="s">
        <v>173</v>
      </c>
      <c r="F6174" s="36" t="n">
        <f aca="false">IF(Sens!$F$6171&gt;0,Sens!$F$6172/Sens!$F$6171,Sens!$F$6168)</f>
        <v>10.8864110021101</v>
      </c>
      <c r="G6174" s="36" t="n">
        <f aca="false">IF(Sens!$G$6171&gt;0,Sens!$G$6172/Sens!$G$6171,Sens!$G$6168)</f>
        <v>10.8864110021101</v>
      </c>
      <c r="H6174" s="36" t="n">
        <f aca="false">IF(Sens!$H$6171&gt;0,Sens!$H$6172/Sens!$H$6171,Sens!$H$6168)</f>
        <v>11.1095876691891</v>
      </c>
      <c r="I6174" s="36" t="n">
        <f aca="false">IF(Sens!$I$6171&gt;0,Sens!$I$6172/Sens!$I$6171,Sens!$I$6168)</f>
        <v>11.2881290028523</v>
      </c>
      <c r="J6174" s="36" t="n">
        <f aca="false">IF(Sens!$J$6171&gt;0,Sens!$J$6172/Sens!$J$6171,Sens!$J$6168)</f>
        <v>11.3646467172794</v>
      </c>
      <c r="K6174" s="36" t="n">
        <f aca="false">IF(Sens!$K$6171&gt;0,Sens!$K$6172/Sens!$K$6171,Sens!$K$6168)</f>
        <v>11.3968090914432</v>
      </c>
      <c r="L6174" s="36" t="n">
        <f aca="false">IF(Sens!$L$6171&gt;0,Sens!$L$6172/Sens!$L$6171,Sens!$L$6168)</f>
        <v>11.4110891181192</v>
      </c>
      <c r="M6174" s="36" t="n">
        <f aca="false">IF(Sens!$M$6171&gt;0,Sens!$M$6172/Sens!$M$6171,Sens!$M$6168)</f>
        <v>11.4148191458201</v>
      </c>
    </row>
    <row r="6175" customFormat="false" ht="17.15" hidden="false" customHeight="false" outlineLevel="0" collapsed="false">
      <c r="A6175" s="5" t="s">
        <v>611</v>
      </c>
      <c r="B6175" s="0" t="s">
        <v>173</v>
      </c>
      <c r="F6175" s="36" t="n">
        <f aca="false">IF(Sens!$F$6171&gt;0,Sens!$F$6173/Sens!$F$6171,Sens!$F$6169)</f>
        <v>1.98263481314457</v>
      </c>
      <c r="G6175" s="36" t="n">
        <f aca="false">IF(Sens!$G$6171&gt;0,Sens!$G$6173/Sens!$G$6171,Sens!$G$6169)</f>
        <v>1.98263481314457</v>
      </c>
      <c r="H6175" s="36" t="n">
        <f aca="false">IF(Sens!$H$6171&gt;0,Sens!$H$6173/Sens!$H$6171,Sens!$H$6169)</f>
        <v>2.00111160233948</v>
      </c>
      <c r="I6175" s="36" t="n">
        <f aca="false">IF(Sens!$I$6171&gt;0,Sens!$I$6173/Sens!$I$6171,Sens!$I$6169)</f>
        <v>2.01589303369541</v>
      </c>
      <c r="J6175" s="36" t="n">
        <f aca="false">IF(Sens!$J$6171&gt;0,Sens!$J$6173/Sens!$J$6171,Sens!$J$6169)</f>
        <v>2.02222793284795</v>
      </c>
      <c r="K6175" s="36" t="n">
        <f aca="false">IF(Sens!$K$6171&gt;0,Sens!$K$6173/Sens!$K$6171,Sens!$K$6169)</f>
        <v>2.02489065478573</v>
      </c>
      <c r="L6175" s="36" t="n">
        <f aca="false">IF(Sens!$L$6171&gt;0,Sens!$L$6173/Sens!$L$6171,Sens!$L$6169)</f>
        <v>2.0260728977417</v>
      </c>
      <c r="M6175" s="36" t="n">
        <f aca="false">IF(Sens!$M$6171&gt;0,Sens!$M$6173/Sens!$M$6171,Sens!$M$6169)</f>
        <v>2.02638170661685</v>
      </c>
    </row>
    <row r="6176" customFormat="false" ht="17.15" hidden="false" customHeight="false" outlineLevel="0" collapsed="false">
      <c r="A6176" s="15" t="s">
        <v>612</v>
      </c>
      <c r="B6176" s="14" t="s">
        <v>173</v>
      </c>
      <c r="C6176" s="14"/>
      <c r="D6176" s="14"/>
      <c r="E6176" s="14"/>
      <c r="F6176" s="37" t="n">
        <f aca="false">Sens!$F$6174*k_B</f>
        <v>10.7987645808025</v>
      </c>
      <c r="G6176" s="37" t="n">
        <f aca="false">Sens!$G$6174*k_B</f>
        <v>10.7987645808025</v>
      </c>
      <c r="H6176" s="37" t="n">
        <f aca="false">Sens!$H$6174*k_B</f>
        <v>11.0201444540452</v>
      </c>
      <c r="I6176" s="37" t="n">
        <f aca="false">Sens!$I$6174*k_B</f>
        <v>11.1972483526393</v>
      </c>
      <c r="J6176" s="37" t="n">
        <f aca="false">Sens!$J$6174*k_B</f>
        <v>11.2731500234653</v>
      </c>
      <c r="K6176" s="37" t="n">
        <f aca="false">Sens!$K$6174*k_B</f>
        <v>11.3050534585724</v>
      </c>
      <c r="L6176" s="37" t="n">
        <f aca="false">Sens!$L$6174*k_B</f>
        <v>11.3192185168503</v>
      </c>
      <c r="M6176" s="37" t="n">
        <f aca="false">Sens!$M$6174*k_B</f>
        <v>11.3229185141234</v>
      </c>
      <c r="N6176" s="14"/>
      <c r="O6176" s="14"/>
      <c r="P6176" s="5" t="s">
        <v>613</v>
      </c>
    </row>
    <row r="6177" customFormat="false" ht="17.15" hidden="false" customHeight="false" outlineLevel="0" collapsed="false">
      <c r="A6177" s="5" t="s">
        <v>614</v>
      </c>
      <c r="B6177" s="0" t="s">
        <v>129</v>
      </c>
      <c r="F6177" s="32" t="n">
        <f aca="false">Sens!$F$6171/2</f>
        <v>908.575</v>
      </c>
      <c r="H6177" s="32" t="n">
        <f aca="false">(Sens!$G$6171+Sens!$H$6171)/2</f>
        <v>3634.3</v>
      </c>
      <c r="I6177" s="32" t="n">
        <f aca="false">(Sens!$H$6171+Sens!$I$6171)/2</f>
        <v>7268.6</v>
      </c>
      <c r="J6177" s="32" t="n">
        <f aca="false">(Sens!$I$6171+Sens!$J$6171)/2</f>
        <v>10902.9</v>
      </c>
      <c r="K6177" s="32" t="n">
        <f aca="false">(Sens!$J$6171+Sens!$K$6171)/2</f>
        <v>14005.4835833333</v>
      </c>
      <c r="L6177" s="32" t="n">
        <f aca="false">(Sens!$K$6171+Sens!$L$6171)/2</f>
        <v>16044.6343333333</v>
      </c>
      <c r="M6177" s="32" t="n">
        <f aca="false">(Sens!$L$6171+Sens!$M$6171)/2</f>
        <v>17020.35225</v>
      </c>
    </row>
    <row r="6178" customFormat="false" ht="17.15" hidden="false" customHeight="false" outlineLevel="0" collapsed="false">
      <c r="A6178" s="1" t="s">
        <v>615</v>
      </c>
    </row>
    <row r="6179" customFormat="false" ht="17.15" hidden="false" customHeight="false" outlineLevel="0" collapsed="false">
      <c r="A6179" s="1" t="s">
        <v>616</v>
      </c>
      <c r="B6179" s="8" t="s">
        <v>86</v>
      </c>
      <c r="C6179" s="38" t="n">
        <f aca="false">Sens!$C$6162*rpm_open*Sens!$C$6163/1000</f>
        <v>2.32100535697364</v>
      </c>
      <c r="D6179" s="38" t="n">
        <f aca="false">Sens!$D$6162*rpm_open*Sens!$D$6163/1000</f>
        <v>8.70377008865116</v>
      </c>
      <c r="E6179" s="38" t="n">
        <f aca="false">Sens!$E$6162*rpm_open*Sens!$E$6163/1000</f>
        <v>8.51035297557002</v>
      </c>
      <c r="F6179" s="38" t="n">
        <f aca="false">(mw_open*rpm_open+Sens!$F$6177*Sens!$F$6176)*Sens!$F$6163/1000</f>
        <v>14.9634336447205</v>
      </c>
      <c r="G6179" s="38" t="n">
        <f aca="false">Sens!$E$6179+Sens!$F$6179</f>
        <v>23.4737866202905</v>
      </c>
      <c r="H6179" s="38" t="n">
        <f aca="false">(mw_open*rpm_open+Sens!$H$6177*Sens!$H$6176)/1000</f>
        <v>60.1658907497746</v>
      </c>
      <c r="I6179" s="38" t="n">
        <f aca="false">(mw_open*rpm_open+Sens!$I$6177*Sens!$I$6176)/1000</f>
        <v>101.503699136432</v>
      </c>
      <c r="J6179" s="38" t="n">
        <f aca="false">(mw_open*rpm_open+Sens!$J$6177*Sens!$J$6176)/1000</f>
        <v>143.025407151278</v>
      </c>
      <c r="K6179" s="38" t="n">
        <f aca="false">(mw_open*rpm_open+Sens!$K$6177*Sens!$K$6176)/1000</f>
        <v>178.44812038318</v>
      </c>
      <c r="L6179" s="38" t="n">
        <f aca="false">(mw_open*rpm_open+Sens!$L$6177*Sens!$L$6176)/1000</f>
        <v>201.728101802396</v>
      </c>
      <c r="M6179" s="38" t="n">
        <f aca="false">(mw_open*rpm_open+Sens!$M$6177*Sens!$M$6176)/1000</f>
        <v>212.835441368865</v>
      </c>
      <c r="N6179" s="38" t="n">
        <f aca="false">Sens!$N$6162*rpm_open*Sens!$N$6163/1000</f>
        <v>3.04631953102791</v>
      </c>
      <c r="O6179" s="38" t="n">
        <f aca="false">Sens!$O$6162*rpm_open*Sens!$O$6163/1000</f>
        <v>5.65745055762326</v>
      </c>
      <c r="P6179" s="5" t="s">
        <v>617</v>
      </c>
    </row>
    <row r="6180" customFormat="false" ht="17.15" hidden="false" customHeight="false" outlineLevel="0" collapsed="false">
      <c r="A6180" s="5" t="s">
        <v>618</v>
      </c>
      <c r="B6180" s="0" t="s">
        <v>173</v>
      </c>
      <c r="C6180" s="36" t="n">
        <f aca="false">Sens!$C$6179*1000/(Sens!$C$6162*Sens!$C$6163)</f>
        <v>9.67085565405685</v>
      </c>
      <c r="D6180" s="36" t="n">
        <f aca="false">Sens!$D$6179*1000/(Sens!$D$6162*Sens!$D$6163)</f>
        <v>9.67085565405685</v>
      </c>
      <c r="E6180" s="36" t="n">
        <f aca="false">Sens!$E$6179*1000/(Sens!$E$6162*Sens!$E$6163)</f>
        <v>9.67085565405685</v>
      </c>
      <c r="F6180" s="36" t="n">
        <f aca="false">Sens!$F$6179*1000/(Sens!$F$6162*Sens!$F$6163)</f>
        <v>10.0137581588017</v>
      </c>
      <c r="G6180" s="36" t="n">
        <f aca="false">Sens!$G$6179*1000/(Sens!$G$6162*Sens!$G$6163)</f>
        <v>9.88666562928478</v>
      </c>
      <c r="H6180" s="36" t="n">
        <f aca="false">Sens!$H$6179*1000/(Sens!$H$6162*Sens!$H$6163)</f>
        <v>10.5290045586992</v>
      </c>
      <c r="I6180" s="36" t="n">
        <f aca="false">Sens!$I$6179*1000/(Sens!$I$6162*Sens!$I$6163)</f>
        <v>10.8576363451674</v>
      </c>
      <c r="J6180" s="36" t="n">
        <f aca="false">Sens!$J$6179*1000/(Sens!$J$6162*Sens!$J$6163)</f>
        <v>11.0164452588619</v>
      </c>
      <c r="K6180" s="36" t="n">
        <f aca="false">Sens!$K$6179*1000/(Sens!$K$6162*Sens!$K$6163)</f>
        <v>11.0937367508227</v>
      </c>
      <c r="L6180" s="36" t="n">
        <f aca="false">Sens!$L$6179*1000/(Sens!$L$6162*Sens!$L$6163)</f>
        <v>11.1300508519168</v>
      </c>
      <c r="M6180" s="36" t="n">
        <f aca="false">Sens!$M$6179*1000/(Sens!$M$6162*Sens!$M$6163)</f>
        <v>11.1430113216297</v>
      </c>
      <c r="N6180" s="36" t="n">
        <f aca="false">Sens!$N$6179*1000/(Sens!$N$6162*Sens!$N$6163)</f>
        <v>9.67085565405685</v>
      </c>
      <c r="O6180" s="36" t="n">
        <f aca="false">Sens!$O$6179*1000/(Sens!$O$6162*Sens!$O$6163)</f>
        <v>9.67085565405685</v>
      </c>
    </row>
    <row r="6181" customFormat="false" ht="17.15" hidden="false" customHeight="false" outlineLevel="0" collapsed="false">
      <c r="A6181" s="0" t="s">
        <v>619</v>
      </c>
      <c r="B6181" s="0" t="s">
        <v>86</v>
      </c>
      <c r="C6181" s="38" t="n">
        <f aca="false">Sens!$C$6162/ext_sh*(ox_open+rent_mw)*Sens!$C$6163/1000</f>
        <v>0.642569210675032</v>
      </c>
      <c r="D6181" s="38" t="n">
        <f aca="false">Sens!$D$6162/ext_sh*(ox_open+rent_mw)*Sens!$D$6163/1000</f>
        <v>2.40963454003137</v>
      </c>
      <c r="E6181" s="38" t="n">
        <f aca="false">Sens!$E$6162/ext_sh*(ox_open+rent_mw)*Sens!$E$6163/1000</f>
        <v>2.35608710580845</v>
      </c>
      <c r="F6181" s="38" t="n">
        <f aca="false">((mw_open*ox_open+Sens!$F$6177*Sens!$F$6175)/ext_sh+Sens!$F$6162/ext_sh*rent_mw)*Sens!$F$6163/1000</f>
        <v>4.05421991106232</v>
      </c>
      <c r="G6181" s="38" t="n">
        <f aca="false">Sens!$E$6181+Sens!$F$6181</f>
        <v>6.41030701687077</v>
      </c>
      <c r="H6181" s="38" t="n">
        <f aca="false">((mw_open*ox_open+Sens!$H$6177*Sens!$H$6175)/ext_sh+Sens!$H$6162/ext_sh*rent_mw)*Sens!$H$6163/1000</f>
        <v>15.8108975546616</v>
      </c>
      <c r="I6181" s="38" t="n">
        <f aca="false">((mw_open*ox_open+Sens!$I$6177*Sens!$I$6175)/ext_sh+Sens!$I$6162/ext_sh*rent_mw)*Sens!$I$6163/1000</f>
        <v>26.1871623400817</v>
      </c>
      <c r="J6181" s="38" t="n">
        <f aca="false">((mw_open*ox_open+Sens!$J$6177*Sens!$J$6175)/ext_sh+Sens!$J$6162/ext_sh*rent_mw)*Sens!$J$6163/1000</f>
        <v>36.5826128954935</v>
      </c>
      <c r="K6181" s="38" t="n">
        <f aca="false">((mw_open*ox_open+Sens!$K$6177*Sens!$K$6175)/ext_sh+Sens!$K$6162/ext_sh*rent_mw)*Sens!$K$6163/1000</f>
        <v>45.4546361137628</v>
      </c>
      <c r="L6181" s="38" t="n">
        <f aca="false">((mw_open*ox_open+Sens!$L$6177*Sens!$L$6175)/ext_sh+Sens!$L$6162/ext_sh*rent_mw)*Sens!$L$6163/1000</f>
        <v>51.2855695554452</v>
      </c>
      <c r="M6181" s="38" t="n">
        <f aca="false">((mw_open*ox_open+Sens!$M$6177*Sens!$M$6175)/ext_sh+Sens!$M$6162/ext_sh*rent_mw)*Sens!$M$6163/1000</f>
        <v>54.0722927838398</v>
      </c>
      <c r="N6181" s="38" t="n">
        <f aca="false">Sens!$N$6162/ext_sh*(ox_open+rent_mw)*Sens!$N$6163/1000</f>
        <v>0.84337208901098</v>
      </c>
      <c r="O6181" s="38" t="n">
        <f aca="false">Sens!$O$6162/ext_sh*(ox_open+rent_mw)*Sens!$O$6163/1000</f>
        <v>1.56626245102039</v>
      </c>
    </row>
    <row r="6182" customFormat="false" ht="17.15" hidden="false" customHeight="false" outlineLevel="0" collapsed="false">
      <c r="A6182" s="0" t="s">
        <v>620</v>
      </c>
      <c r="B6182" s="0" t="s">
        <v>86</v>
      </c>
      <c r="C6182" s="38" t="n">
        <f aca="false">Q!$D$7</f>
        <v>107.556</v>
      </c>
      <c r="D6182" s="38" t="n">
        <f aca="false">Q!$E$7</f>
        <v>128.725</v>
      </c>
      <c r="E6182" s="38" t="n">
        <f aca="false">Q!$P$7</f>
        <v>79.819</v>
      </c>
      <c r="N6182" s="38" t="n">
        <f aca="false">Q!$N$7</f>
        <v>60.14</v>
      </c>
      <c r="O6182" s="38" t="n">
        <f aca="false">Q!$O$7</f>
        <v>68.585</v>
      </c>
    </row>
    <row r="6183" customFormat="false" ht="17.15" hidden="false" customHeight="false" outlineLevel="0" collapsed="false">
      <c r="A6183" s="1" t="s">
        <v>621</v>
      </c>
      <c r="B6183" s="8" t="s">
        <v>86</v>
      </c>
      <c r="C6183" s="38" t="n">
        <f aca="false">Sens!$C$6182-Sens!$C$6179</f>
        <v>105.234994643026</v>
      </c>
      <c r="D6183" s="38" t="n">
        <f aca="false">Sens!$D$6182-Sens!$D$6179</f>
        <v>120.021229911349</v>
      </c>
      <c r="E6183" s="38" t="n">
        <f aca="false">Sens!$E$6182-Sens!$E$6179</f>
        <v>71.30864702443</v>
      </c>
      <c r="F6183" s="38" t="n">
        <f aca="false">Sens!$O$6183*(1+Sens!$F$6184)</f>
        <v>71.7692997942464</v>
      </c>
      <c r="G6183" s="38" t="n">
        <f aca="false">Sens!$E$6183+Sens!$F$6183</f>
        <v>143.077946818676</v>
      </c>
      <c r="H6183" s="38" t="n">
        <f aca="false">Sens!$G$6183*(1+Sens!$H$6184)</f>
        <v>161.017077079203</v>
      </c>
      <c r="I6183" s="38" t="n">
        <f aca="false">Sens!$H$6183*(1+Sens!$I$6184)</f>
        <v>178.769759521457</v>
      </c>
      <c r="J6183" s="38" t="n">
        <f aca="false">Sens!$I$6183*(1+Sens!$J$6184)</f>
        <v>195.775538045907</v>
      </c>
      <c r="K6183" s="38" t="n">
        <f aca="false">Sens!$J$6183*(1+Sens!$K$6184)</f>
        <v>211.43758108958</v>
      </c>
      <c r="L6183" s="38" t="n">
        <f aca="false">Sens!$K$6183*(1+Sens!$L$6184)</f>
        <v>228.352587576746</v>
      </c>
      <c r="M6183" s="38" t="n">
        <f aca="false">Sens!$L$6183*(1+Sens!$M$6184)</f>
        <v>246.620794582886</v>
      </c>
      <c r="N6183" s="38" t="n">
        <f aca="false">Sens!$N$6182-Sens!$N$6179</f>
        <v>57.0936804689721</v>
      </c>
      <c r="O6183" s="38" t="n">
        <f aca="false">Sens!$O$6182-Sens!$O$6179</f>
        <v>62.9275494423768</v>
      </c>
      <c r="P6183" s="5" t="s">
        <v>622</v>
      </c>
    </row>
    <row r="6184" customFormat="false" ht="17.15" hidden="false" customHeight="false" outlineLevel="0" collapsed="false">
      <c r="A6184" s="0" t="s">
        <v>623</v>
      </c>
      <c r="B6184" s="0" t="s">
        <v>52</v>
      </c>
      <c r="D6184" s="13" t="n">
        <f aca="false">Sens!$D$6183/Sens!$C$6183-1</f>
        <v>0.140506827776062</v>
      </c>
      <c r="E6184" s="13" t="n">
        <f aca="false">Sens!$E$6183/Sens!$N$6183-1</f>
        <v>0.248976181579029</v>
      </c>
      <c r="F6184" s="13" t="n">
        <f aca="false">Sens!$D$6184</f>
        <v>0.140506827776062</v>
      </c>
      <c r="G6184" s="13" t="n">
        <f aca="false">Sens!$G$6183/Sens!$D$6183-1</f>
        <v>0.19210532106993</v>
      </c>
      <c r="H6184" s="13" t="n">
        <f aca="false">Sens!$F$6184+(g_awso_lt-Sens!$F$6184)*1/4</f>
        <v>0.125380120832046</v>
      </c>
      <c r="I6184" s="13" t="n">
        <f aca="false">Sens!$F$6184+(g_awso_lt-Sens!$F$6184)*2/4</f>
        <v>0.110253413888031</v>
      </c>
      <c r="J6184" s="13" t="n">
        <f aca="false">Sens!$F$6184+(g_awso_lt-Sens!$F$6184)*3/4</f>
        <v>0.0951267069440154</v>
      </c>
      <c r="K6184" s="13" t="n">
        <f aca="false">Sens!$F$6184+(g_awso_lt-Sens!$F$6184)*4/4</f>
        <v>0.08</v>
      </c>
      <c r="L6184" s="13" t="n">
        <f aca="false">g_awso_lt</f>
        <v>0.08</v>
      </c>
      <c r="M6184" s="13" t="n">
        <f aca="false">g_awso_lt</f>
        <v>0.08</v>
      </c>
      <c r="P6184" s="5" t="s">
        <v>624</v>
      </c>
    </row>
    <row r="6185" customFormat="false" ht="17.15" hidden="false" customHeight="false" outlineLevel="0" collapsed="false">
      <c r="A6185" s="1" t="s">
        <v>625</v>
      </c>
    </row>
    <row r="6186" customFormat="false" ht="17.15" hidden="false" customHeight="false" outlineLevel="0" collapsed="false">
      <c r="A6186" s="0" t="s">
        <v>626</v>
      </c>
      <c r="B6186" s="0" t="s">
        <v>86</v>
      </c>
      <c r="F6186" s="38" t="n">
        <f aca="false">cx_rt*Sens!$F$6151+cx_awso*Sens!$F$6183</f>
        <v>34.9734495387866</v>
      </c>
    </row>
    <row r="6187" customFormat="false" ht="17.15" hidden="false" customHeight="false" outlineLevel="0" collapsed="false">
      <c r="A6187" s="0" t="s">
        <v>627</v>
      </c>
      <c r="B6187" s="0" t="s">
        <v>52</v>
      </c>
      <c r="C6187" s="13" t="n">
        <f aca="false">tk_cx_h100/(tk_cx_h100+tk_fac*(1-colo_sh))</f>
        <v>0.730756458006641</v>
      </c>
      <c r="D6187" s="13" t="n">
        <f aca="false">tk_cx_h100/(tk_cx_h100+tk_fac*(1-colo_sh))</f>
        <v>0.730756458006641</v>
      </c>
      <c r="E6187" s="13" t="n">
        <f aca="false">Sens!$F$6187</f>
        <v>0.760792334328868</v>
      </c>
      <c r="F6187" s="13" t="n">
        <f aca="false">Sens!$F$6170/(Sens!$F$6170+tk_fac*(1-colo_sh))</f>
        <v>0.760792334328868</v>
      </c>
      <c r="G6187" s="13" t="n">
        <f aca="false">Sens!$G$6170/(Sens!$G$6170+tk_fac*(1-colo_sh))</f>
        <v>0.760792334328868</v>
      </c>
      <c r="H6187" s="13" t="n">
        <f aca="false">Sens!$H$6170/(Sens!$H$6170+tk_fac*(1-colo_sh))</f>
        <v>0.768110668862996</v>
      </c>
      <c r="I6187" s="13" t="n">
        <f aca="false">Sens!$I$6170/(Sens!$I$6170+tk_fac*(1-colo_sh))</f>
        <v>0.77499450139483</v>
      </c>
      <c r="J6187" s="13" t="n">
        <f aca="false">Sens!$J$6170/(Sens!$J$6170+tk_fac*(1-colo_sh))</f>
        <v>0.77499450139483</v>
      </c>
      <c r="K6187" s="13" t="n">
        <f aca="false">Sens!$K$6170/(Sens!$K$6170+tk_fac*(1-colo_sh))</f>
        <v>0.77499450139483</v>
      </c>
      <c r="L6187" s="13" t="n">
        <f aca="false">Sens!$L$6170/(Sens!$L$6170+tk_fac*(1-colo_sh))</f>
        <v>0.77499450139483</v>
      </c>
      <c r="M6187" s="13" t="n">
        <f aca="false">Sens!$M$6170/(Sens!$M$6170+tk_fac*(1-colo_sh))</f>
        <v>0.77499450139483</v>
      </c>
    </row>
    <row r="6188" customFormat="false" ht="17.15" hidden="false" customHeight="false" outlineLevel="0" collapsed="false">
      <c r="A6188" s="1" t="s">
        <v>628</v>
      </c>
      <c r="B6188" s="8" t="s">
        <v>86</v>
      </c>
      <c r="C6188" s="38" t="n">
        <f aca="false">Q!$D$46-cx_rt*Q!$D$16-cx_awso*Sens!$C$6183</f>
        <v>25.2781053077374</v>
      </c>
      <c r="D6188" s="38" t="n">
        <f aca="false">Q!$E$46-cx_rt*Q!$E$16-cx_awso*Sens!$D$6183</f>
        <v>69.5686316310026</v>
      </c>
      <c r="E6188" s="38" t="n">
        <f aca="false">Q!$P$46-cx_rt*Q!$P$16-cx_awso*Sens!$E$6183</f>
        <v>64.1899206485108</v>
      </c>
      <c r="F6188" s="38" t="n">
        <f aca="false">MAX(Sens!$F$6165*(Sens!$F$6170+tk_fac*(1-colo_sh))/1000,capex_g26-Q!$P$46-Sens!$F$6186)</f>
        <v>96.2481299895</v>
      </c>
      <c r="G6188" s="38" t="n">
        <f aca="false">Sens!$E$6188+Sens!$F$6188</f>
        <v>160.438050638011</v>
      </c>
      <c r="H6188" s="38" t="n">
        <f aca="false">Sens!$H$6165*(Sens!$H$6170+tk_fac*(1-colo_sh))/1000+Sens!$H$6189</f>
        <v>198.57136494475</v>
      </c>
      <c r="I6188" s="38" t="n">
        <f aca="false">Sens!$I$6165*(Sens!$I$6170+tk_fac*(1-colo_sh))/1000+Sens!$I$6189</f>
        <v>204.6464699105</v>
      </c>
      <c r="J6188" s="38" t="n">
        <f aca="false">Sens!$J$6165*(Sens!$J$6170+tk_fac*(1-colo_sh))/1000+Sens!$J$6189</f>
        <v>209.8832381105</v>
      </c>
      <c r="K6188" s="38" t="n">
        <f aca="false">Sens!$K$6165*(Sens!$K$6170+tk_fac*(1-colo_sh))/1000+Sens!$K$6189</f>
        <v>155.238385275201</v>
      </c>
      <c r="L6188" s="38" t="n">
        <f aca="false">Sens!$L$6165*(Sens!$L$6170+tk_fac*(1-colo_sh))/1000+Sens!$L$6189</f>
        <v>132.014141639902</v>
      </c>
      <c r="M6188" s="38" t="n">
        <f aca="false">Sens!$M$6165*(Sens!$M$6170+tk_fac*(1-colo_sh))/1000+Sens!$M$6189</f>
        <v>132.230981659852</v>
      </c>
      <c r="P6188" s="5" t="s">
        <v>629</v>
      </c>
      <c r="R6188" s="38" t="n">
        <f aca="false">Q!$C$46-cx_rt*Q!$C$16-cx_awso*(Q!$C$7-mw_ye23/2*rpm_open/1000)</f>
        <v>1.50429979529945</v>
      </c>
      <c r="S6188" s="38" t="n">
        <f aca="false">Sens!$C$6188</f>
        <v>25.2781053077374</v>
      </c>
      <c r="T6188" s="38" t="n">
        <f aca="false">Sens!$D$6188</f>
        <v>69.5686316310026</v>
      </c>
      <c r="U6188" s="38" t="n">
        <f aca="false">Sens!$G$6188</f>
        <v>160.438050638011</v>
      </c>
      <c r="V6188" s="38" t="n">
        <f aca="false">Sens!$H$6188</f>
        <v>198.57136494475</v>
      </c>
      <c r="W6188" s="38" t="n">
        <f aca="false">Sens!$I$6188</f>
        <v>204.6464699105</v>
      </c>
      <c r="X6188" s="38" t="n">
        <f aca="false">Sens!$J$6188</f>
        <v>209.8832381105</v>
      </c>
      <c r="Y6188" s="38" t="n">
        <f aca="false">Sens!$K$6188</f>
        <v>155.238385275201</v>
      </c>
      <c r="Z6188" s="38" t="n">
        <f aca="false">Sens!$L$6188</f>
        <v>132.014141639902</v>
      </c>
      <c r="AA6188" s="38" t="n">
        <f aca="false">Sens!$M$6188</f>
        <v>132.230981659852</v>
      </c>
    </row>
    <row r="6189" customFormat="false" ht="17.15" hidden="false" customHeight="false" outlineLevel="0" collapsed="false">
      <c r="A6189" s="0" t="s">
        <v>630</v>
      </c>
      <c r="B6189" s="0" t="s">
        <v>86</v>
      </c>
      <c r="H6189" s="38" t="n">
        <f aca="false">SUMPRODUCT(--(Sens!$R$6158:$AA$6158=2027-tk_life),Sens!$R$6165:$AA$6165)*Sens!$H$6170/1000</f>
        <v>0</v>
      </c>
      <c r="I6189" s="38" t="n">
        <f aca="false">SUMPRODUCT(--(Sens!$R$6158:$AA$6158=2028-tk_life),Sens!$R$6165:$AA$6165)*Sens!$I$6170/1000</f>
        <v>0</v>
      </c>
      <c r="J6189" s="38" t="n">
        <f aca="false">SUMPRODUCT(--(Sens!$R$6158:$AA$6158=2029-tk_life),Sens!$R$6165:$AA$6165)*Sens!$J$6170/1000</f>
        <v>5.2367682</v>
      </c>
      <c r="K6189" s="38" t="n">
        <f aca="false">SUMPRODUCT(--(Sens!$R$6158:$AA$6158=2030-tk_life),Sens!$R$6165:$AA$6165)*Sens!$K$6170/1000</f>
        <v>10.4735364</v>
      </c>
      <c r="L6189" s="38" t="n">
        <f aca="false">SUMPRODUCT(--(Sens!$R$6158:$AA$6158=2031-tk_life),Sens!$R$6165:$AA$6165)*Sens!$L$6170/1000</f>
        <v>47.1309138</v>
      </c>
      <c r="M6189" s="38" t="n">
        <f aca="false">SUMPRODUCT(--(Sens!$R$6158:$AA$6158=2032-tk_life),Sens!$R$6165:$AA$6165)*Sens!$M$6170/1000</f>
        <v>107.22937485525</v>
      </c>
    </row>
    <row r="6190" customFormat="false" ht="17.15" hidden="false" customHeight="false" outlineLevel="0" collapsed="false">
      <c r="A6190" s="0" t="s">
        <v>631</v>
      </c>
      <c r="B6190" s="0" t="s">
        <v>86</v>
      </c>
      <c r="C6190" s="38" t="n">
        <f aca="false">MIN(Sens!$C$6188,Sens!$C$6165*(tk_cx_h100+tk_fac*(1-colo_sh))/1000)</f>
        <v>11.2938642</v>
      </c>
      <c r="D6190" s="38" t="n">
        <f aca="false">MIN(Sens!$D$6188,Sens!$D$6165*(tk_cx_h100+tk_fac*(1-colo_sh))/1000)</f>
        <v>50.8223889</v>
      </c>
      <c r="E6190" s="38" t="n">
        <f aca="false">MIN(Sens!$E$6188,Sens!$E$6165*(Sens!$F$6170+tk_fac*(1-colo_sh))/1000)</f>
        <v>33.8985792</v>
      </c>
      <c r="F6190" s="38" t="n">
        <f aca="false">Sens!$F$6188</f>
        <v>96.2481299895</v>
      </c>
      <c r="G6190" s="38" t="n">
        <f aca="false">Sens!$E$6190+Sens!$F$6190</f>
        <v>130.1467091895</v>
      </c>
      <c r="H6190" s="38" t="n">
        <f aca="false">Sens!$H$6188</f>
        <v>198.57136494475</v>
      </c>
      <c r="I6190" s="38" t="n">
        <f aca="false">Sens!$I$6188</f>
        <v>204.6464699105</v>
      </c>
      <c r="J6190" s="38" t="n">
        <f aca="false">Sens!$J$6188</f>
        <v>209.8832381105</v>
      </c>
      <c r="K6190" s="38" t="n">
        <f aca="false">Sens!$K$6188</f>
        <v>155.238385275201</v>
      </c>
      <c r="L6190" s="38" t="n">
        <f aca="false">Sens!$L$6188</f>
        <v>132.014141639902</v>
      </c>
      <c r="M6190" s="38" t="n">
        <f aca="false">Sens!$M$6188</f>
        <v>132.230981659852</v>
      </c>
      <c r="P6190" s="5" t="s">
        <v>632</v>
      </c>
      <c r="R6190" s="38" t="n">
        <f aca="false">MIN(Sens!$R$6188,Sens!$R$6165*(tk_cx_h100+tk_fac*(1-colo_sh))/1000)</f>
        <v>1.50429979529945</v>
      </c>
      <c r="S6190" s="38" t="n">
        <f aca="false">Sens!$C$6190</f>
        <v>11.2938642</v>
      </c>
      <c r="T6190" s="38" t="n">
        <f aca="false">Sens!$D$6190</f>
        <v>50.8223889</v>
      </c>
      <c r="U6190" s="38" t="n">
        <f aca="false">Sens!$G$6190</f>
        <v>130.1467091895</v>
      </c>
      <c r="V6190" s="38" t="n">
        <f aca="false">Sens!$H$6190</f>
        <v>198.57136494475</v>
      </c>
      <c r="W6190" s="38" t="n">
        <f aca="false">Sens!$I$6190</f>
        <v>204.6464699105</v>
      </c>
      <c r="X6190" s="38" t="n">
        <f aca="false">Sens!$J$6190</f>
        <v>209.8832381105</v>
      </c>
      <c r="Y6190" s="38" t="n">
        <f aca="false">Sens!$K$6190</f>
        <v>155.238385275201</v>
      </c>
      <c r="Z6190" s="38" t="n">
        <f aca="false">Sens!$L$6190</f>
        <v>132.014141639902</v>
      </c>
      <c r="AA6190" s="38" t="n">
        <f aca="false">Sens!$M$6190</f>
        <v>132.230981659852</v>
      </c>
    </row>
    <row r="6191" customFormat="false" ht="17.15" hidden="false" customHeight="false" outlineLevel="0" collapsed="false">
      <c r="A6191" s="5" t="s">
        <v>633</v>
      </c>
      <c r="B6191" s="0" t="s">
        <v>86</v>
      </c>
      <c r="C6191" s="38" t="n">
        <f aca="false">Sens!$C$6188-Sens!$C$6190</f>
        <v>13.9842411077374</v>
      </c>
      <c r="D6191" s="38" t="n">
        <f aca="false">Sens!$D$6188-Sens!$D$6190</f>
        <v>18.7462427310026</v>
      </c>
      <c r="E6191" s="38" t="n">
        <f aca="false">Sens!$E$6188-Sens!$E$6190</f>
        <v>30.2913414485108</v>
      </c>
      <c r="F6191" s="38" t="n">
        <f aca="false">Sens!$F$6188-Sens!$F$6190</f>
        <v>0</v>
      </c>
      <c r="G6191" s="38" t="n">
        <f aca="false">Sens!$G$6188-Sens!$G$6190</f>
        <v>30.2913414485108</v>
      </c>
      <c r="H6191" s="38" t="n">
        <f aca="false">Sens!$H$6188-Sens!$H$6190</f>
        <v>0</v>
      </c>
      <c r="I6191" s="38" t="n">
        <f aca="false">Sens!$I$6188-Sens!$I$6190</f>
        <v>0</v>
      </c>
      <c r="J6191" s="38" t="n">
        <f aca="false">Sens!$J$6188-Sens!$J$6190</f>
        <v>0</v>
      </c>
      <c r="K6191" s="38" t="n">
        <f aca="false">Sens!$K$6188-Sens!$K$6190</f>
        <v>0</v>
      </c>
      <c r="L6191" s="38" t="n">
        <f aca="false">Sens!$L$6188-Sens!$L$6190</f>
        <v>0</v>
      </c>
      <c r="M6191" s="38" t="n">
        <f aca="false">Sens!$M$6188-Sens!$M$6190</f>
        <v>0</v>
      </c>
    </row>
    <row r="6192" customFormat="false" ht="17.15" hidden="false" customHeight="false" outlineLevel="0" collapsed="false">
      <c r="A6192" s="5" t="s">
        <v>634</v>
      </c>
      <c r="B6192" s="0" t="s">
        <v>86</v>
      </c>
      <c r="C6192" s="38" t="n">
        <f aca="false">Sens!$C$6190*Sens!$C$6187</f>
        <v>8.2530642</v>
      </c>
      <c r="D6192" s="38" t="n">
        <f aca="false">Sens!$D$6190*Sens!$D$6187</f>
        <v>37.1387889</v>
      </c>
      <c r="E6192" s="38" t="n">
        <f aca="false">Sens!$E$6190*Sens!$E$6187</f>
        <v>25.7897792</v>
      </c>
      <c r="F6192" s="38" t="n">
        <f aca="false">Sens!$F$6190*Sens!$F$6187</f>
        <v>73.2248394895</v>
      </c>
      <c r="G6192" s="38" t="n">
        <f aca="false">Sens!$E$6192+Sens!$F$6192</f>
        <v>99.0146186895</v>
      </c>
      <c r="H6192" s="38" t="n">
        <f aca="false">(Sens!$H$6190-Sens!$H$6189)*Sens!$H$6187+Sens!$H$6189</f>
        <v>152.52478394475</v>
      </c>
      <c r="I6192" s="38" t="n">
        <f aca="false">(Sens!$I$6190-Sens!$I$6189)*Sens!$I$6187+Sens!$I$6189</f>
        <v>158.5998889105</v>
      </c>
      <c r="J6192" s="38" t="n">
        <f aca="false">(Sens!$J$6190-Sens!$J$6189)*Sens!$J$6187+Sens!$J$6189</f>
        <v>163.8366571105</v>
      </c>
      <c r="K6192" s="38" t="n">
        <f aca="false">(Sens!$K$6190-Sens!$K$6189)*Sens!$K$6187+Sens!$K$6189</f>
        <v>122.665498273534</v>
      </c>
      <c r="L6192" s="38" t="n">
        <f aca="false">(Sens!$L$6190-Sens!$L$6189)*Sens!$L$6187+Sens!$L$6189</f>
        <v>112.914948636568</v>
      </c>
      <c r="M6192" s="38" t="n">
        <f aca="false">(Sens!$M$6190-Sens!$M$6189)*Sens!$M$6187+Sens!$M$6189</f>
        <v>126.605482654852</v>
      </c>
      <c r="R6192" s="38" t="n">
        <f aca="false">Sens!$R$6190*Sens!$C$6187</f>
        <v>1.09927679019314</v>
      </c>
      <c r="S6192" s="38" t="n">
        <f aca="false">Sens!$C$6192</f>
        <v>8.2530642</v>
      </c>
      <c r="T6192" s="38" t="n">
        <f aca="false">Sens!$D$6192</f>
        <v>37.1387889</v>
      </c>
      <c r="U6192" s="38" t="n">
        <f aca="false">Sens!$G$6192</f>
        <v>99.0146186895</v>
      </c>
      <c r="V6192" s="38" t="n">
        <f aca="false">Sens!$H$6192</f>
        <v>152.52478394475</v>
      </c>
      <c r="W6192" s="38" t="n">
        <f aca="false">Sens!$I$6192</f>
        <v>158.5998889105</v>
      </c>
      <c r="X6192" s="38" t="n">
        <f aca="false">Sens!$J$6192</f>
        <v>163.8366571105</v>
      </c>
      <c r="Y6192" s="38" t="n">
        <f aca="false">Sens!$K$6192</f>
        <v>122.665498273534</v>
      </c>
      <c r="Z6192" s="38" t="n">
        <f aca="false">Sens!$L$6192</f>
        <v>112.914948636568</v>
      </c>
      <c r="AA6192" s="38" t="n">
        <f aca="false">Sens!$M$6192</f>
        <v>126.605482654852</v>
      </c>
    </row>
    <row r="6193" customFormat="false" ht="15" hidden="false" customHeight="false" outlineLevel="0" collapsed="false">
      <c r="A6193" s="5" t="s">
        <v>635</v>
      </c>
      <c r="B6193" s="0" t="s">
        <v>86</v>
      </c>
      <c r="C6193" s="38" t="n">
        <f aca="false">Sens!$C$6190-Sens!$C$6192</f>
        <v>3.0408</v>
      </c>
      <c r="D6193" s="38" t="n">
        <f aca="false">Sens!$D$6190-Sens!$D$6192</f>
        <v>13.6836</v>
      </c>
      <c r="E6193" s="38" t="n">
        <f aca="false">Sens!$E$6190-Sens!$E$6192</f>
        <v>8.1088</v>
      </c>
      <c r="F6193" s="38" t="n">
        <f aca="false">Sens!$F$6190-Sens!$F$6192</f>
        <v>23.0232905</v>
      </c>
      <c r="G6193" s="38" t="n">
        <f aca="false">Sens!$G$6190-Sens!$G$6192</f>
        <v>31.1320905</v>
      </c>
      <c r="H6193" s="38" t="n">
        <f aca="false">Sens!$H$6190-Sens!$H$6192</f>
        <v>46.046581</v>
      </c>
      <c r="I6193" s="38" t="n">
        <f aca="false">Sens!$I$6190-Sens!$I$6192</f>
        <v>46.046581</v>
      </c>
      <c r="J6193" s="38" t="n">
        <f aca="false">Sens!$J$6190-Sens!$J$6192</f>
        <v>46.046581</v>
      </c>
      <c r="K6193" s="38" t="n">
        <f aca="false">Sens!$K$6190-Sens!$K$6192</f>
        <v>32.5728870016667</v>
      </c>
      <c r="L6193" s="38" t="n">
        <f aca="false">Sens!$L$6190-Sens!$L$6192</f>
        <v>19.0991930033334</v>
      </c>
      <c r="M6193" s="38" t="n">
        <f aca="false">Sens!$M$6190-Sens!$M$6192</f>
        <v>5.62549900499998</v>
      </c>
      <c r="R6193" s="38" t="n">
        <f aca="false">Sens!$R$6190-Sens!$R$6192</f>
        <v>0.405023005106309</v>
      </c>
      <c r="S6193" s="38" t="n">
        <f aca="false">Sens!$S$6190-Sens!$S$6192</f>
        <v>3.0408</v>
      </c>
      <c r="T6193" s="38" t="n">
        <f aca="false">Sens!$T$6190-Sens!$T$6192</f>
        <v>13.6836</v>
      </c>
      <c r="U6193" s="38" t="n">
        <f aca="false">Sens!$U$6190-Sens!$U$6192</f>
        <v>31.1320905</v>
      </c>
      <c r="V6193" s="38" t="n">
        <f aca="false">Sens!$V$6190-Sens!$V$6192</f>
        <v>46.046581</v>
      </c>
      <c r="W6193" s="38" t="n">
        <f aca="false">Sens!$W$6190-Sens!$W$6192</f>
        <v>46.046581</v>
      </c>
      <c r="X6193" s="38" t="n">
        <f aca="false">Sens!$X$6190-Sens!$X$6192</f>
        <v>46.046581</v>
      </c>
      <c r="Y6193" s="38" t="n">
        <f aca="false">Sens!$Y$6190-Sens!$Y$6192</f>
        <v>32.5728870016667</v>
      </c>
      <c r="Z6193" s="38" t="n">
        <f aca="false">Sens!$Z$6190-Sens!$Z$6192</f>
        <v>19.0991930033334</v>
      </c>
      <c r="AA6193" s="38" t="n">
        <f aca="false">Sens!$AA$6190-Sens!$AA$6192</f>
        <v>5.62549900499998</v>
      </c>
    </row>
    <row r="6194" customFormat="false" ht="17.15" hidden="false" customHeight="false" outlineLevel="0" collapsed="false">
      <c r="A6194" s="0" t="s">
        <v>636</v>
      </c>
      <c r="B6194" s="0" t="s">
        <v>52</v>
      </c>
      <c r="C6194" s="13" t="n">
        <f aca="false">Sens!$C$6188/Sens!$C$6310</f>
        <v>0.325505489553393</v>
      </c>
      <c r="D6194" s="13" t="n">
        <f aca="false">Sens!$D$6188/Sens!$D$6310</f>
        <v>0.54214956071542</v>
      </c>
      <c r="E6194" s="13" t="n">
        <f aca="false">Sens!$E$6188/Sens!$E$6310</f>
        <v>0.666492790452817</v>
      </c>
      <c r="F6194" s="13" t="n">
        <f aca="false">Sens!$F$6188/Sens!$F$6310</f>
        <v>0.733477910687338</v>
      </c>
      <c r="G6194" s="13" t="n">
        <f aca="false">Sens!$G$6188/Sens!$G$6310</f>
        <v>0.705124321514523</v>
      </c>
      <c r="H6194" s="13" t="n">
        <f aca="false">Sens!$H$6188/Sens!$H$6310</f>
        <v>0.726376041178204</v>
      </c>
      <c r="I6194" s="13" t="n">
        <f aca="false">Sens!$I$6188/Sens!$I$6310</f>
        <v>0.713099092661699</v>
      </c>
      <c r="J6194" s="13" t="n">
        <f aca="false">Sens!$J$6188/Sens!$J$6310</f>
        <v>0.701208348786245</v>
      </c>
      <c r="K6194" s="13" t="n">
        <f aca="false">Sens!$K$6188/Sens!$K$6310</f>
        <v>0.618338844562383</v>
      </c>
      <c r="L6194" s="13" t="n">
        <f aca="false">Sens!$L$6188/Sens!$L$6310</f>
        <v>0.562489158462506</v>
      </c>
      <c r="M6194" s="13" t="n">
        <f aca="false">Sens!$M$6188/Sens!$M$6310</f>
        <v>0.545751190895923</v>
      </c>
    </row>
    <row r="6195" customFormat="false" ht="17.15" hidden="false" customHeight="false" outlineLevel="0" collapsed="false">
      <c r="A6195" s="0" t="s">
        <v>637</v>
      </c>
      <c r="B6195" s="0" t="s">
        <v>86</v>
      </c>
      <c r="C6195" s="38" t="n">
        <f aca="false">Sens!$S$6195</f>
        <v>0.183212798365523</v>
      </c>
      <c r="D6195" s="38" t="n">
        <f aca="false">Sens!$T$6195</f>
        <v>1.55872349836552</v>
      </c>
      <c r="E6195" s="38" t="n">
        <f aca="false">Sens!$G$6195/2</f>
        <v>3.87426082418276</v>
      </c>
      <c r="F6195" s="38" t="n">
        <f aca="false">Sens!$G$6195/2</f>
        <v>3.87426082418276</v>
      </c>
      <c r="G6195" s="38" t="n">
        <f aca="false">Sens!$U$6195</f>
        <v>7.74852164836552</v>
      </c>
      <c r="H6195" s="38" t="n">
        <f aca="false">Sens!$V$6195</f>
        <v>24.2509580966155</v>
      </c>
      <c r="I6195" s="38" t="n">
        <f aca="false">Sens!$W$6195</f>
        <v>49.6717554207405</v>
      </c>
      <c r="J6195" s="38" t="n">
        <f aca="false">Sens!$X$6195</f>
        <v>76.1050702391572</v>
      </c>
      <c r="K6195" s="38" t="n">
        <f aca="false">Sens!$Y$6195</f>
        <v>103.227966959208</v>
      </c>
      <c r="L6195" s="38" t="n">
        <f aca="false">Sens!$Z$6195</f>
        <v>122.296705971464</v>
      </c>
      <c r="M6195" s="38" t="n">
        <f aca="false">Sens!$AA$6195</f>
        <v>134.926065927559</v>
      </c>
      <c r="N6195" s="38" t="n">
        <f aca="false">Sens!$D$6195/2</f>
        <v>0.779361749182762</v>
      </c>
      <c r="O6195" s="38" t="n">
        <f aca="false">Sens!$D$6195/2</f>
        <v>0.779361749182762</v>
      </c>
      <c r="R6195" s="38" t="n">
        <f aca="false">SUMPRODUCT(--(Sens!$R$6158:$AA$6158&lt;Sens!R$6158),--(Sens!$R$6158:$AA$6158&gt;=Sens!R$6158-tk_life),Sens!$R$6192:$AA$6192)/tk_life</f>
        <v>0</v>
      </c>
      <c r="S6195" s="38" t="n">
        <f aca="false">SUMPRODUCT(--(Sens!$R$6158:$AA$6158&lt;Sens!S$6158),--(Sens!$R$6158:$AA$6158&gt;=Sens!S$6158-tk_life),Sens!$R$6192:$AA$6192)/tk_life</f>
        <v>0.183212798365523</v>
      </c>
      <c r="T6195" s="38" t="n">
        <f aca="false">SUMPRODUCT(--(Sens!$R$6158:$AA$6158&lt;Sens!T$6158),--(Sens!$R$6158:$AA$6158&gt;=Sens!T$6158-tk_life),Sens!$R$6192:$AA$6192)/tk_life</f>
        <v>1.55872349836552</v>
      </c>
      <c r="U6195" s="38" t="n">
        <f aca="false">SUMPRODUCT(--(Sens!$R$6158:$AA$6158&lt;Sens!U$6158),--(Sens!$R$6158:$AA$6158&gt;=Sens!U$6158-tk_life),Sens!$R$6192:$AA$6192)/tk_life</f>
        <v>7.74852164836552</v>
      </c>
      <c r="V6195" s="38" t="n">
        <f aca="false">SUMPRODUCT(--(Sens!$R$6158:$AA$6158&lt;Sens!V$6158),--(Sens!$R$6158:$AA$6158&gt;=Sens!V$6158-tk_life),Sens!$R$6192:$AA$6192)/tk_life</f>
        <v>24.2509580966155</v>
      </c>
      <c r="W6195" s="38" t="n">
        <f aca="false">SUMPRODUCT(--(Sens!$R$6158:$AA$6158&lt;Sens!W$6158),--(Sens!$R$6158:$AA$6158&gt;=Sens!W$6158-tk_life),Sens!$R$6192:$AA$6192)/tk_life</f>
        <v>49.6717554207405</v>
      </c>
      <c r="X6195" s="38" t="n">
        <f aca="false">SUMPRODUCT(--(Sens!$R$6158:$AA$6158&lt;Sens!X$6158),--(Sens!$R$6158:$AA$6158&gt;=Sens!X$6158-tk_life),Sens!$R$6192:$AA$6192)/tk_life</f>
        <v>76.1050702391572</v>
      </c>
      <c r="Y6195" s="38" t="n">
        <f aca="false">SUMPRODUCT(--(Sens!$R$6158:$AA$6158&lt;Sens!Y$6158),--(Sens!$R$6158:$AA$6158&gt;=Sens!Y$6158-tk_life),Sens!$R$6192:$AA$6192)/tk_life</f>
        <v>103.227966959208</v>
      </c>
      <c r="Z6195" s="38" t="n">
        <f aca="false">SUMPRODUCT(--(Sens!$R$6158:$AA$6158&lt;Sens!Z$6158),--(Sens!$R$6158:$AA$6158&gt;=Sens!Z$6158-tk_life),Sens!$R$6192:$AA$6192)/tk_life</f>
        <v>122.296705971464</v>
      </c>
      <c r="AA6195" s="38" t="n">
        <f aca="false">SUMPRODUCT(--(Sens!$R$6158:$AA$6158&lt;Sens!AA$6158),--(Sens!$R$6158:$AA$6158&gt;=Sens!AA$6158-tk_life),Sens!$R$6192:$AA$6192)/tk_life</f>
        <v>134.926065927559</v>
      </c>
    </row>
    <row r="6196" customFormat="false" ht="17.15" hidden="false" customHeight="false" outlineLevel="0" collapsed="false">
      <c r="A6196" s="0" t="s">
        <v>638</v>
      </c>
      <c r="B6196" s="0" t="s">
        <v>86</v>
      </c>
      <c r="C6196" s="38" t="n">
        <f aca="false">Sens!$S$6196</f>
        <v>0.0202511502553155</v>
      </c>
      <c r="D6196" s="38" t="n">
        <f aca="false">Sens!$T$6196</f>
        <v>0.172291150255315</v>
      </c>
      <c r="E6196" s="38" t="n">
        <f aca="false">Sens!$G$6196/2</f>
        <v>0.428235575127658</v>
      </c>
      <c r="F6196" s="38" t="n">
        <f aca="false">Sens!$G$6196/2</f>
        <v>0.428235575127658</v>
      </c>
      <c r="G6196" s="38" t="n">
        <f aca="false">Sens!$U$6196</f>
        <v>0.856471150255315</v>
      </c>
      <c r="H6196" s="38" t="n">
        <f aca="false">Sens!$V$6196</f>
        <v>2.41307567525532</v>
      </c>
      <c r="I6196" s="38" t="n">
        <f aca="false">Sens!$W$6196</f>
        <v>4.71540472525532</v>
      </c>
      <c r="J6196" s="38" t="n">
        <f aca="false">Sens!$X$6196</f>
        <v>7.01773377525532</v>
      </c>
      <c r="K6196" s="38" t="n">
        <f aca="false">Sens!$Y$6196</f>
        <v>9.32006282525532</v>
      </c>
      <c r="L6196" s="38" t="n">
        <f aca="false">Sens!$Z$6196</f>
        <v>10.9487071753387</v>
      </c>
      <c r="M6196" s="38" t="n">
        <f aca="false">Sens!$AA$6196</f>
        <v>11.9036668255053</v>
      </c>
      <c r="N6196" s="38" t="n">
        <f aca="false">Sens!$D$6196/2</f>
        <v>0.0861455751276577</v>
      </c>
      <c r="O6196" s="38" t="n">
        <f aca="false">Sens!$D$6196/2</f>
        <v>0.0861455751276577</v>
      </c>
      <c r="R6196" s="38" t="n">
        <f aca="false">SUMPRODUCT(--(Sens!$R$6158:$AA$6158&lt;Sens!R$6158),Sens!$R$6193:$AA$6193)/fac_life</f>
        <v>0</v>
      </c>
      <c r="S6196" s="38" t="n">
        <f aca="false">SUMPRODUCT(--(Sens!$R$6158:$AA$6158&lt;Sens!S$6158),Sens!$R$6193:$AA$6193)/fac_life</f>
        <v>0.0202511502553155</v>
      </c>
      <c r="T6196" s="38" t="n">
        <f aca="false">SUMPRODUCT(--(Sens!$R$6158:$AA$6158&lt;Sens!T$6158),Sens!$R$6193:$AA$6193)/fac_life</f>
        <v>0.172291150255315</v>
      </c>
      <c r="U6196" s="38" t="n">
        <f aca="false">SUMPRODUCT(--(Sens!$R$6158:$AA$6158&lt;Sens!U$6158),Sens!$R$6193:$AA$6193)/fac_life</f>
        <v>0.856471150255315</v>
      </c>
      <c r="V6196" s="38" t="n">
        <f aca="false">SUMPRODUCT(--(Sens!$R$6158:$AA$6158&lt;Sens!V$6158),Sens!$R$6193:$AA$6193)/fac_life</f>
        <v>2.41307567525532</v>
      </c>
      <c r="W6196" s="38" t="n">
        <f aca="false">SUMPRODUCT(--(Sens!$R$6158:$AA$6158&lt;Sens!W$6158),Sens!$R$6193:$AA$6193)/fac_life</f>
        <v>4.71540472525532</v>
      </c>
      <c r="X6196" s="38" t="n">
        <f aca="false">SUMPRODUCT(--(Sens!$R$6158:$AA$6158&lt;Sens!X$6158),Sens!$R$6193:$AA$6193)/fac_life</f>
        <v>7.01773377525532</v>
      </c>
      <c r="Y6196" s="38" t="n">
        <f aca="false">SUMPRODUCT(--(Sens!$R$6158:$AA$6158&lt;Sens!Y$6158),Sens!$R$6193:$AA$6193)/fac_life</f>
        <v>9.32006282525532</v>
      </c>
      <c r="Z6196" s="38" t="n">
        <f aca="false">SUMPRODUCT(--(Sens!$R$6158:$AA$6158&lt;Sens!Z$6158),Sens!$R$6193:$AA$6193)/fac_life</f>
        <v>10.9487071753387</v>
      </c>
      <c r="AA6196" s="38" t="n">
        <f aca="false">SUMPRODUCT(--(Sens!$R$6158:$AA$6158&lt;Sens!AA$6158),Sens!$R$6193:$AA$6193)/fac_life</f>
        <v>11.9036668255053</v>
      </c>
    </row>
    <row r="6197" customFormat="false" ht="17.15" hidden="false" customHeight="false" outlineLevel="0" collapsed="false">
      <c r="A6197" s="1" t="s">
        <v>639</v>
      </c>
      <c r="B6197" s="8" t="s">
        <v>86</v>
      </c>
      <c r="C6197" s="38" t="n">
        <f aca="false">Sens!$C$6195+Sens!$C$6196</f>
        <v>0.203463948620839</v>
      </c>
      <c r="D6197" s="38" t="n">
        <f aca="false">Sens!$D$6195+Sens!$D$6196</f>
        <v>1.73101464862084</v>
      </c>
      <c r="E6197" s="38" t="n">
        <f aca="false">Sens!$E$6195+Sens!$E$6196</f>
        <v>4.30249639931042</v>
      </c>
      <c r="F6197" s="38" t="n">
        <f aca="false">Sens!$F$6195+Sens!$F$6196</f>
        <v>4.30249639931042</v>
      </c>
      <c r="G6197" s="38" t="n">
        <f aca="false">Sens!$G$6195+Sens!$G$6196</f>
        <v>8.60499279862084</v>
      </c>
      <c r="H6197" s="38" t="n">
        <f aca="false">Sens!$H$6195+Sens!$H$6196</f>
        <v>26.6640337718708</v>
      </c>
      <c r="I6197" s="38" t="n">
        <f aca="false">Sens!$I$6195+Sens!$I$6196</f>
        <v>54.3871601459959</v>
      </c>
      <c r="J6197" s="38" t="n">
        <f aca="false">Sens!$J$6195+Sens!$J$6196</f>
        <v>83.1228040144125</v>
      </c>
      <c r="K6197" s="38" t="n">
        <f aca="false">Sens!$K$6195+Sens!$K$6196</f>
        <v>112.548029784464</v>
      </c>
      <c r="L6197" s="38" t="n">
        <f aca="false">Sens!$L$6195+Sens!$L$6196</f>
        <v>133.245413146803</v>
      </c>
      <c r="M6197" s="38" t="n">
        <f aca="false">Sens!$M$6195+Sens!$M$6196</f>
        <v>146.829732753064</v>
      </c>
      <c r="N6197" s="38" t="n">
        <f aca="false">Sens!$N$6195+Sens!$N$6196</f>
        <v>0.865507324310419</v>
      </c>
      <c r="O6197" s="38" t="n">
        <f aca="false">Sens!$O$6195+Sens!$O$6196</f>
        <v>0.865507324310419</v>
      </c>
      <c r="R6197" s="38" t="n">
        <f aca="false">Sens!$R$6195+Sens!$R$6196</f>
        <v>0</v>
      </c>
      <c r="S6197" s="38" t="n">
        <f aca="false">Sens!$S$6195+Sens!$S$6196</f>
        <v>0.203463948620839</v>
      </c>
      <c r="T6197" s="38" t="n">
        <f aca="false">Sens!$T$6195+Sens!$T$6196</f>
        <v>1.73101464862084</v>
      </c>
      <c r="U6197" s="38" t="n">
        <f aca="false">Sens!$U$6195+Sens!$U$6196</f>
        <v>8.60499279862084</v>
      </c>
      <c r="V6197" s="38" t="n">
        <f aca="false">Sens!$V$6195+Sens!$V$6196</f>
        <v>26.6640337718708</v>
      </c>
      <c r="W6197" s="38" t="n">
        <f aca="false">Sens!$W$6195+Sens!$W$6196</f>
        <v>54.3871601459959</v>
      </c>
      <c r="X6197" s="38" t="n">
        <f aca="false">Sens!$X$6195+Sens!$X$6196</f>
        <v>83.1228040144125</v>
      </c>
      <c r="Y6197" s="38" t="n">
        <f aca="false">Sens!$Y$6195+Sens!$Y$6196</f>
        <v>112.548029784464</v>
      </c>
      <c r="Z6197" s="38" t="n">
        <f aca="false">Sens!$Z$6195+Sens!$Z$6196</f>
        <v>133.245413146803</v>
      </c>
      <c r="AA6197" s="38" t="n">
        <f aca="false">Sens!$AA$6195+Sens!$AA$6196</f>
        <v>146.829732753064</v>
      </c>
    </row>
    <row r="6198" customFormat="false" ht="17.15" hidden="false" customHeight="false" outlineLevel="0" collapsed="false">
      <c r="A6198" s="0" t="s">
        <v>640</v>
      </c>
      <c r="B6198" s="0" t="s">
        <v>86</v>
      </c>
      <c r="C6198" s="38" t="n">
        <f aca="false">Sens!$S$6198</f>
        <v>12.5947000466786</v>
      </c>
      <c r="D6198" s="38" t="n">
        <f aca="false">Sens!$T$6198</f>
        <v>61.6860742980578</v>
      </c>
      <c r="G6198" s="38" t="n">
        <f aca="false">Sens!$U$6198</f>
        <v>183.227790688937</v>
      </c>
      <c r="H6198" s="38" t="n">
        <f aca="false">Sens!$V$6198</f>
        <v>355.135121861816</v>
      </c>
      <c r="I6198" s="38" t="n">
        <f aca="false">Sens!$W$6198</f>
        <v>505.39443162632</v>
      </c>
      <c r="J6198" s="38" t="n">
        <f aca="false">Sens!$X$6198</f>
        <v>632.154865722408</v>
      </c>
      <c r="K6198" s="38" t="n">
        <f aca="false">Sens!$Y$6198</f>
        <v>674.845221213145</v>
      </c>
      <c r="L6198" s="38" t="n">
        <f aca="false">Sens!$Z$6198</f>
        <v>673.613949706244</v>
      </c>
      <c r="M6198" s="38" t="n">
        <f aca="false">Sens!$AA$6198</f>
        <v>659.015198613032</v>
      </c>
      <c r="R6198" s="38" t="n">
        <f aca="false">SUM(Sens!$R$6190:$R$6190)-SUM(Sens!$R$6197:$R$6197)</f>
        <v>1.50429979529945</v>
      </c>
      <c r="S6198" s="38" t="n">
        <f aca="false">SUM(Sens!$R$6190:$S$6190)-SUM(Sens!$R$6197:$S$6197)</f>
        <v>12.5947000466786</v>
      </c>
      <c r="T6198" s="38" t="n">
        <f aca="false">SUM(Sens!$R$6190:$T$6190)-SUM(Sens!$R$6197:$T$6197)</f>
        <v>61.6860742980578</v>
      </c>
      <c r="U6198" s="38" t="n">
        <f aca="false">SUM(Sens!$R$6190:$U$6190)-SUM(Sens!$R$6197:$U$6197)</f>
        <v>183.227790688937</v>
      </c>
      <c r="V6198" s="38" t="n">
        <f aca="false">SUM(Sens!$R$6190:$V$6190)-SUM(Sens!$R$6197:$V$6197)</f>
        <v>355.135121861816</v>
      </c>
      <c r="W6198" s="38" t="n">
        <f aca="false">SUM(Sens!$R$6190:$W$6190)-SUM(Sens!$R$6197:$W$6197)</f>
        <v>505.39443162632</v>
      </c>
      <c r="X6198" s="38" t="n">
        <f aca="false">SUM(Sens!$R$6190:$X$6190)-SUM(Sens!$R$6197:$X$6197)</f>
        <v>632.154865722408</v>
      </c>
      <c r="Y6198" s="38" t="n">
        <f aca="false">SUM(Sens!$R$6190:$Y$6190)-SUM(Sens!$R$6197:$Y$6197)</f>
        <v>674.845221213145</v>
      </c>
      <c r="Z6198" s="38" t="n">
        <f aca="false">SUM(Sens!$R$6190:$Z$6190)-SUM(Sens!$R$6197:$Z$6197)</f>
        <v>673.613949706244</v>
      </c>
      <c r="AA6198" s="38" t="n">
        <f aca="false">SUM(Sens!$R$6190:$AA$6190)-SUM(Sens!$R$6197:$AA$6197)</f>
        <v>659.015198613032</v>
      </c>
    </row>
    <row r="6199" customFormat="false" ht="17.15" hidden="false" customHeight="false" outlineLevel="0" collapsed="false">
      <c r="A6199" s="1" t="s">
        <v>641</v>
      </c>
    </row>
    <row r="6200" customFormat="false" ht="17.15" hidden="false" customHeight="false" outlineLevel="0" collapsed="false">
      <c r="A6200" s="0" t="s">
        <v>642</v>
      </c>
      <c r="B6200" s="0" t="s">
        <v>86</v>
      </c>
      <c r="C6200" s="38" t="n">
        <f aca="false">Sens!$C$6179-ext_sh*Sens!$C$6181</f>
        <v>1.80694998843362</v>
      </c>
      <c r="D6200" s="38" t="n">
        <f aca="false">Sens!$D$6179-ext_sh*Sens!$D$6181</f>
        <v>6.77606245662607</v>
      </c>
      <c r="E6200" s="38" t="n">
        <f aca="false">Sens!$E$6179-ext_sh*Sens!$E$6181</f>
        <v>6.62548329092326</v>
      </c>
      <c r="F6200" s="38" t="n">
        <f aca="false">Sens!$F$6179-ext_sh*Sens!$F$6181</f>
        <v>11.7200577158706</v>
      </c>
      <c r="G6200" s="38" t="n">
        <f aca="false">Sens!$G$6179-ext_sh*Sens!$G$6181</f>
        <v>18.3455410067939</v>
      </c>
      <c r="H6200" s="38" t="n">
        <f aca="false">Sens!$H$6179-ext_sh*Sens!$H$6181</f>
        <v>47.5171727060453</v>
      </c>
      <c r="I6200" s="38" t="n">
        <f aca="false">Sens!$I$6179-ext_sh*Sens!$I$6181</f>
        <v>80.5539692643667</v>
      </c>
      <c r="J6200" s="38" t="n">
        <f aca="false">Sens!$J$6179-ext_sh*Sens!$J$6181</f>
        <v>113.759316834883</v>
      </c>
      <c r="K6200" s="38" t="n">
        <f aca="false">Sens!$K$6179-ext_sh*Sens!$K$6181</f>
        <v>142.084411492169</v>
      </c>
      <c r="L6200" s="38" t="n">
        <f aca="false">Sens!$L$6179-ext_sh*Sens!$L$6181</f>
        <v>160.69964615804</v>
      </c>
      <c r="M6200" s="38" t="n">
        <f aca="false">Sens!$M$6179-ext_sh*Sens!$M$6181</f>
        <v>169.577607141793</v>
      </c>
      <c r="N6200" s="38" t="n">
        <f aca="false">Sens!$N$6179-ext_sh*Sens!$N$6181</f>
        <v>2.37162185981912</v>
      </c>
      <c r="O6200" s="38" t="n">
        <f aca="false">Sens!$O$6179-ext_sh*Sens!$O$6181</f>
        <v>4.40444059680694</v>
      </c>
    </row>
    <row r="6201" customFormat="false" ht="17.15" hidden="false" customHeight="false" outlineLevel="0" collapsed="false">
      <c r="A6201" s="1" t="s">
        <v>643</v>
      </c>
      <c r="B6201" s="8" t="s">
        <v>86</v>
      </c>
      <c r="C6201" s="38" t="n">
        <f aca="false">Sens!$C$6200-ext_sh*Sens!$C$6197</f>
        <v>1.64417882953695</v>
      </c>
      <c r="D6201" s="38" t="n">
        <f aca="false">Sens!$D$6200-ext_sh*Sens!$D$6197</f>
        <v>5.39125073772939</v>
      </c>
      <c r="E6201" s="38" t="n">
        <f aca="false">Sens!$E$6200-ext_sh*Sens!$E$6197</f>
        <v>3.18348617147493</v>
      </c>
      <c r="F6201" s="38" t="n">
        <f aca="false">Sens!$F$6200-ext_sh*Sens!$F$6197</f>
        <v>8.27806059642226</v>
      </c>
      <c r="G6201" s="38" t="n">
        <f aca="false">Sens!$G$6200-ext_sh*Sens!$G$6197</f>
        <v>11.4615467678972</v>
      </c>
      <c r="H6201" s="38" t="n">
        <f aca="false">Sens!$H$6200-ext_sh*Sens!$H$6197</f>
        <v>26.1859456885487</v>
      </c>
      <c r="I6201" s="38" t="n">
        <f aca="false">Sens!$I$6200-ext_sh*Sens!$I$6197</f>
        <v>37.04424114757</v>
      </c>
      <c r="J6201" s="38" t="n">
        <f aca="false">Sens!$J$6200-ext_sh*Sens!$J$6197</f>
        <v>47.2610736233534</v>
      </c>
      <c r="K6201" s="38" t="n">
        <f aca="false">Sens!$K$6200-ext_sh*Sens!$K$6197</f>
        <v>52.0459876645985</v>
      </c>
      <c r="L6201" s="38" t="n">
        <f aca="false">Sens!$L$6200-ext_sh*Sens!$L$6197</f>
        <v>54.1033156405981</v>
      </c>
      <c r="M6201" s="38" t="n">
        <f aca="false">Sens!$M$6200-ext_sh*Sens!$M$6197</f>
        <v>52.1138209393421</v>
      </c>
      <c r="N6201" s="38" t="n">
        <f aca="false">Sens!$N$6200-ext_sh*Sens!$N$6197</f>
        <v>1.67921600037079</v>
      </c>
      <c r="O6201" s="38" t="n">
        <f aca="false">Sens!$O$6200-ext_sh*Sens!$O$6197</f>
        <v>3.71203473735861</v>
      </c>
    </row>
    <row r="6202" customFormat="false" ht="17.15" hidden="false" customHeight="false" outlineLevel="0" collapsed="false">
      <c r="A6202" s="0" t="s">
        <v>644</v>
      </c>
      <c r="B6202" s="0" t="s">
        <v>52</v>
      </c>
      <c r="C6202" s="13" t="n">
        <f aca="false">Sens!$C$6201/Sens!$C$6179</f>
        <v>0.708390794789371</v>
      </c>
      <c r="D6202" s="13" t="n">
        <f aca="false">Sens!$D$6201/Sens!$D$6179</f>
        <v>0.619415573115729</v>
      </c>
      <c r="E6202" s="13" t="n">
        <f aca="false">Sens!$E$6201/Sens!$E$6179</f>
        <v>0.374072166056273</v>
      </c>
      <c r="F6202" s="13" t="n">
        <f aca="false">Sens!$F$6201/Sens!$F$6179</f>
        <v>0.553219320710057</v>
      </c>
      <c r="G6202" s="13" t="n">
        <f aca="false">Sens!$G$6201/Sens!$G$6179</f>
        <v>0.488270041527512</v>
      </c>
      <c r="H6202" s="13" t="n">
        <f aca="false">Sens!$H$6201/Sens!$H$6179</f>
        <v>0.435229086816882</v>
      </c>
      <c r="I6202" s="13" t="n">
        <f aca="false">Sens!$I$6201/Sens!$I$6179</f>
        <v>0.364954592421095</v>
      </c>
      <c r="J6202" s="13" t="n">
        <f aca="false">Sens!$J$6201/Sens!$J$6179</f>
        <v>0.330438308582232</v>
      </c>
      <c r="K6202" s="13" t="n">
        <f aca="false">Sens!$K$6201/Sens!$K$6179</f>
        <v>0.2916589289528</v>
      </c>
      <c r="L6202" s="13" t="n">
        <f aca="false">Sens!$L$6201/Sens!$L$6179</f>
        <v>0.268199200593258</v>
      </c>
      <c r="M6202" s="13" t="n">
        <f aca="false">Sens!$M$6201/Sens!$M$6179</f>
        <v>0.244854995033574</v>
      </c>
      <c r="N6202" s="13" t="n">
        <f aca="false">Sens!$N$6201/Sens!$N$6179</f>
        <v>0.551227795793364</v>
      </c>
      <c r="O6202" s="13" t="n">
        <f aca="false">Sens!$O$6201/Sens!$O$6179</f>
        <v>0.656132068597002</v>
      </c>
    </row>
    <row r="6203" customFormat="false" ht="17.15" hidden="false" customHeight="false" outlineLevel="0" collapsed="false">
      <c r="A6203" s="5" t="s">
        <v>645</v>
      </c>
      <c r="B6203" s="0" t="s">
        <v>86</v>
      </c>
      <c r="C6203" s="39" t="n">
        <v>0</v>
      </c>
      <c r="D6203" s="39" t="n">
        <v>0</v>
      </c>
      <c r="E6203" s="39" t="n">
        <v>0</v>
      </c>
      <c r="F6203" s="38" t="n">
        <f aca="false">IF(internal_ai_reading=2,1,0)*(1-ext_sh)/ext_sh*(mw_open*he_open+Sens!$F$6177*Sens!$F$6174)*Sens!$F$6163/1000</f>
        <v>3.77122048175818</v>
      </c>
      <c r="G6203" s="38" t="n">
        <f aca="false">Sens!$E$6203+Sens!$F$6203</f>
        <v>3.77122048175818</v>
      </c>
      <c r="H6203" s="38" t="n">
        <f aca="false">IF(internal_ai_reading=2,1,0)*(1-ext_sh)/ext_sh*(mw_open*he_open+Sens!$H$6177*Sens!$H$6174)*Sens!$H$6163/1000</f>
        <v>15.1635543609893</v>
      </c>
      <c r="I6203" s="38" t="n">
        <f aca="false">IF(internal_ai_reading=2,1,0)*(1-ext_sh)/ext_sh*(mw_open*he_open+Sens!$I$6177*Sens!$I$6174)*Sens!$I$6163/1000</f>
        <v>25.5818843619889</v>
      </c>
      <c r="J6203" s="38" t="n">
        <f aca="false">IF(internal_ai_reading=2,1,0)*(1-ext_sh)/ext_sh*(mw_open*he_open+Sens!$J$6177*Sens!$J$6174)*Sens!$J$6163/1000</f>
        <v>36.0465624179122</v>
      </c>
      <c r="K6203" s="38" t="n">
        <f aca="false">IF(internal_ai_reading=2,1,0)*(1-ext_sh)/ext_sh*(mw_open*he_open+Sens!$K$6177*Sens!$K$6174)*Sens!$K$6163/1000</f>
        <v>44.9741164026038</v>
      </c>
      <c r="L6203" s="38" t="n">
        <f aca="false">IF(internal_ai_reading=2,1,0)*(1-ext_sh)/ext_sh*(mw_open*he_open+Sens!$L$6177*Sens!$L$6174)*Sens!$L$6163/1000</f>
        <v>50.8413488057813</v>
      </c>
      <c r="M6203" s="38" t="n">
        <f aca="false">IF(internal_ai_reading=2,1,0)*(1-ext_sh)/ext_sh*(mw_open*he_open+Sens!$M$6177*Sens!$M$6174)*Sens!$M$6163/1000</f>
        <v>53.6407214274315</v>
      </c>
      <c r="N6203" s="39" t="n">
        <v>0</v>
      </c>
      <c r="O6203" s="39" t="n">
        <v>0</v>
      </c>
      <c r="P6203" s="8" t="s">
        <v>646</v>
      </c>
    </row>
    <row r="6204" customFormat="false" ht="17.15" hidden="false" customHeight="false" outlineLevel="0" collapsed="false">
      <c r="A6204" s="5" t="s">
        <v>647</v>
      </c>
      <c r="B6204" s="0" t="s">
        <v>86</v>
      </c>
      <c r="C6204" s="38" t="n">
        <f aca="false">(1-ext_sh)*(Sens!$C$6181+Sens!$C$6197)</f>
        <v>0.169206631859174</v>
      </c>
      <c r="D6204" s="38" t="n">
        <f aca="false">(1-ext_sh)*(Sens!$D$6181+Sens!$D$6197)</f>
        <v>0.828129837730442</v>
      </c>
      <c r="E6204" s="38" t="n">
        <f aca="false">(1-ext_sh)*(Sens!$E$6181+Sens!$E$6197)</f>
        <v>1.33171670102377</v>
      </c>
      <c r="F6204" s="38" t="n">
        <f aca="false">(1-ext_sh)*(Sens!$F$6181+Sens!$F$6197)</f>
        <v>1.67134326207455</v>
      </c>
      <c r="G6204" s="38" t="n">
        <f aca="false">(1-ext_sh)*(Sens!$G$6181+Sens!$G$6197)</f>
        <v>3.00305996309832</v>
      </c>
      <c r="H6204" s="38" t="n">
        <f aca="false">(1-ext_sh)*(Sens!$H$6181+Sens!$H$6197)</f>
        <v>8.49498626530648</v>
      </c>
      <c r="I6204" s="38" t="n">
        <f aca="false">(1-ext_sh)*(Sens!$I$6181+Sens!$I$6197)</f>
        <v>16.1148644972155</v>
      </c>
      <c r="J6204" s="38" t="n">
        <f aca="false">(1-ext_sh)*(Sens!$J$6181+Sens!$J$6197)</f>
        <v>23.9410833819812</v>
      </c>
      <c r="K6204" s="38" t="n">
        <f aca="false">(1-ext_sh)*(Sens!$K$6181+Sens!$K$6197)</f>
        <v>31.6005331796453</v>
      </c>
      <c r="L6204" s="38" t="n">
        <f aca="false">(1-ext_sh)*(Sens!$L$6181+Sens!$L$6197)</f>
        <v>36.9061965404496</v>
      </c>
      <c r="M6204" s="38" t="n">
        <f aca="false">(1-ext_sh)*(Sens!$M$6181+Sens!$M$6197)</f>
        <v>40.1804051073808</v>
      </c>
      <c r="N6204" s="38" t="n">
        <f aca="false">(1-ext_sh)*(Sens!$N$6181+Sens!$N$6197)</f>
        <v>0.34177588266428</v>
      </c>
      <c r="O6204" s="38" t="n">
        <f aca="false">(1-ext_sh)*(Sens!$O$6181+Sens!$O$6197)</f>
        <v>0.486353955066162</v>
      </c>
    </row>
    <row r="6205" customFormat="false" ht="17.15" hidden="false" customHeight="false" outlineLevel="0" collapsed="false">
      <c r="A6205" s="0" t="s">
        <v>648</v>
      </c>
      <c r="B6205" s="0" t="s">
        <v>86</v>
      </c>
      <c r="C6205" s="38" t="n">
        <f aca="false">Q!$D$24</f>
        <v>39.834</v>
      </c>
      <c r="D6205" s="38" t="n">
        <f aca="false">Q!$E$24</f>
        <v>45.606</v>
      </c>
      <c r="E6205" s="38" t="n">
        <f aca="false">Q!$P$24</f>
        <v>30.782</v>
      </c>
      <c r="N6205" s="38" t="n">
        <f aca="false">Q!$N$24</f>
        <v>21.707</v>
      </c>
      <c r="O6205" s="38" t="n">
        <f aca="false">Q!$O$24</f>
        <v>23.899</v>
      </c>
    </row>
    <row r="6206" customFormat="false" ht="17.15" hidden="false" customHeight="false" outlineLevel="0" collapsed="false">
      <c r="A6206" s="0" t="s">
        <v>649</v>
      </c>
      <c r="B6206" s="0" t="s">
        <v>86</v>
      </c>
      <c r="C6206" s="38" t="n">
        <f aca="false">Sens!$C$6205-Sens!$C$6201</f>
        <v>38.1898211704631</v>
      </c>
      <c r="D6206" s="38" t="n">
        <f aca="false">Sens!$D$6205-Sens!$D$6201</f>
        <v>40.2147492622706</v>
      </c>
      <c r="E6206" s="38" t="n">
        <f aca="false">Sens!$E$6205-Sens!$E$6201</f>
        <v>27.5985138285251</v>
      </c>
      <c r="F6206" s="38" t="n">
        <f aca="false">Sens!$F$6183*Sens!$F$6207</f>
        <v>25.5484769754606</v>
      </c>
      <c r="G6206" s="38" t="n">
        <f aca="false">Sens!$E$6206+Sens!$F$6206</f>
        <v>53.1469908039857</v>
      </c>
      <c r="H6206" s="38" t="n">
        <f aca="false">Sens!$H$6183*Sens!$H$6207</f>
        <v>57.3189525076539</v>
      </c>
      <c r="I6206" s="38" t="n">
        <f aca="false">Sens!$I$6183*Sens!$I$6207</f>
        <v>63.6385627021087</v>
      </c>
      <c r="J6206" s="38" t="n">
        <f aca="false">Sens!$J$6183*Sens!$J$6207</f>
        <v>69.6922896066105</v>
      </c>
      <c r="K6206" s="38" t="n">
        <f aca="false">Sens!$K$6183*Sens!$K$6207</f>
        <v>75.2676727751394</v>
      </c>
      <c r="L6206" s="38" t="n">
        <f aca="false">Sens!$L$6183*Sens!$L$6207</f>
        <v>81.2890865971505</v>
      </c>
      <c r="M6206" s="38" t="n">
        <f aca="false">Sens!$M$6183*Sens!$M$6207</f>
        <v>87.7922135249226</v>
      </c>
      <c r="N6206" s="38" t="n">
        <f aca="false">Sens!$N$6205-Sens!$N$6201</f>
        <v>20.0277839996292</v>
      </c>
      <c r="O6206" s="38" t="n">
        <f aca="false">Sens!$O$6205-Sens!$O$6201</f>
        <v>20.1869652626414</v>
      </c>
      <c r="P6206" s="5" t="s">
        <v>650</v>
      </c>
    </row>
    <row r="6207" customFormat="false" ht="17.15" hidden="false" customHeight="false" outlineLevel="0" collapsed="false">
      <c r="A6207" s="0" t="s">
        <v>651</v>
      </c>
      <c r="B6207" s="0" t="s">
        <v>52</v>
      </c>
      <c r="C6207" s="13" t="n">
        <f aca="false">Sens!$C$6206/Sens!$C$6183</f>
        <v>0.362900395443635</v>
      </c>
      <c r="D6207" s="13" t="n">
        <f aca="false">Sens!$D$6206/Sens!$D$6183</f>
        <v>0.335063632425483</v>
      </c>
      <c r="E6207" s="13" t="n">
        <f aca="false">Sens!$E$6206/Sens!$E$6183</f>
        <v>0.387028992698038</v>
      </c>
      <c r="F6207" s="13" t="n">
        <f aca="false">(Sens!$O$6206+Sens!$E$6206)/(Sens!$O$6183+Sens!$E$6183)</f>
        <v>0.355980580118587</v>
      </c>
      <c r="G6207" s="13" t="n">
        <f aca="false">Sens!$G$6206/Sens!$G$6183</f>
        <v>0.371454804780916</v>
      </c>
      <c r="H6207" s="13" t="n">
        <f aca="false">Sens!$F$6207</f>
        <v>0.355980580118587</v>
      </c>
      <c r="I6207" s="13" t="n">
        <f aca="false">Sens!$F$6207</f>
        <v>0.355980580118587</v>
      </c>
      <c r="J6207" s="13" t="n">
        <f aca="false">Sens!$F$6207</f>
        <v>0.355980580118587</v>
      </c>
      <c r="K6207" s="13" t="n">
        <f aca="false">Sens!$F$6207</f>
        <v>0.355980580118587</v>
      </c>
      <c r="L6207" s="13" t="n">
        <f aca="false">Sens!$F$6207</f>
        <v>0.355980580118587</v>
      </c>
      <c r="M6207" s="13" t="n">
        <f aca="false">Sens!$F$6207</f>
        <v>0.355980580118587</v>
      </c>
      <c r="N6207" s="13" t="n">
        <f aca="false">Sens!$N$6206/Sens!$N$6183</f>
        <v>0.35078810535806</v>
      </c>
      <c r="O6207" s="13" t="n">
        <f aca="false">Sens!$O$6206/Sens!$O$6183</f>
        <v>0.320796939361619</v>
      </c>
      <c r="P6207" s="8" t="s">
        <v>652</v>
      </c>
    </row>
    <row r="6208" customFormat="false" ht="17.15" hidden="false" customHeight="false" outlineLevel="0" collapsed="false">
      <c r="A6208" s="0" t="s">
        <v>653</v>
      </c>
      <c r="B6208" s="0" t="s">
        <v>52</v>
      </c>
      <c r="D6208" s="13" t="n">
        <f aca="false">(Q!$E$31-ext_sh*Sens!$D$6197)/Sens!$D$6183</f>
        <v>0.167180325480118</v>
      </c>
    </row>
    <row r="6209" customFormat="false" ht="17.15" hidden="false" customHeight="false" outlineLevel="0" collapsed="false">
      <c r="A6209" s="0" t="s">
        <v>654</v>
      </c>
      <c r="B6209" s="0" t="s">
        <v>86</v>
      </c>
      <c r="C6209" s="38" t="n">
        <f aca="false">Q!$D$31</f>
        <v>13.32</v>
      </c>
      <c r="D6209" s="38" t="n">
        <f aca="false">Q!$E$31</f>
        <v>21.45</v>
      </c>
      <c r="E6209" s="38" t="n">
        <f aca="false">Q!$P$31</f>
        <v>15.353</v>
      </c>
      <c r="F6209" s="38" t="n">
        <f aca="false">ext_sh*Sens!$F$6197+Sens!$D$6208*Sens!$F$6183</f>
        <v>15.4404120185306</v>
      </c>
      <c r="G6209" s="38" t="n">
        <f aca="false">Sens!$E$6209+Sens!$F$6209</f>
        <v>30.7934120185306</v>
      </c>
      <c r="H6209" s="38" t="n">
        <f aca="false">ext_sh*Sens!$H$6197+Sens!$D$6208*Sens!$H$6183</f>
        <v>48.250114371455</v>
      </c>
      <c r="I6209" s="38" t="n">
        <f aca="false">ext_sh*Sens!$I$6197+Sens!$D$6208*Sens!$I$6183</f>
        <v>73.3965146995963</v>
      </c>
      <c r="J6209" s="38" t="n">
        <f aca="false">ext_sh*Sens!$J$6197+Sens!$D$6208*Sens!$J$6183</f>
        <v>99.22806138309</v>
      </c>
      <c r="K6209" s="38" t="n">
        <f aca="false">ext_sh*Sens!$K$6197+Sens!$D$6208*Sens!$K$6183</f>
        <v>125.386627452856</v>
      </c>
      <c r="L6209" s="38" t="n">
        <f aca="false">ext_sh*Sens!$L$6197+Sens!$D$6208*Sens!$L$6183</f>
        <v>144.77239043275</v>
      </c>
      <c r="M6209" s="38" t="n">
        <f aca="false">ext_sh*Sens!$M$6197+Sens!$D$6208*Sens!$M$6183</f>
        <v>158.693930910983</v>
      </c>
      <c r="N6209" s="38" t="n">
        <f aca="false">Q!$N$31</f>
        <v>9.234</v>
      </c>
      <c r="O6209" s="38" t="n">
        <f aca="false">Q!$O$31</f>
        <v>12.216</v>
      </c>
    </row>
    <row r="6210" customFormat="false" ht="17.15" hidden="false" customHeight="false" outlineLevel="0" collapsed="false">
      <c r="A6210" s="1" t="s">
        <v>655</v>
      </c>
    </row>
    <row r="6211" customFormat="false" ht="17.15" hidden="false" customHeight="false" outlineLevel="0" collapsed="false">
      <c r="A6211" s="15" t="s">
        <v>656</v>
      </c>
      <c r="B6211" s="14" t="s">
        <v>52</v>
      </c>
      <c r="C6211" s="14"/>
      <c r="D6211" s="14"/>
      <c r="E6211" s="14"/>
      <c r="F6211" s="14"/>
      <c r="G6211" s="17" t="n">
        <f aca="false">Sens!$G$6201*(1-tax)/(ext_sh*(Sens!$D$6198+Sens!$G$6198)/2)</f>
        <v>0.0966870495301478</v>
      </c>
      <c r="H6211" s="17" t="n">
        <f aca="false">Sens!$H$6201*(1-tax)/(ext_sh*(Sens!$G$6198+Sens!$H$6198)/2)</f>
        <v>0.100492020334136</v>
      </c>
      <c r="I6211" s="17" t="n">
        <f aca="false">Sens!$I$6201*(1-tax)/(ext_sh*(Sens!$H$6198+Sens!$I$6198)/2)</f>
        <v>0.0889392292218236</v>
      </c>
      <c r="J6211" s="17" t="n">
        <f aca="false">Sens!$J$6201*(1-tax)/(ext_sh*(Sens!$I$6198+Sens!$J$6198)/2)</f>
        <v>0.0858364613777012</v>
      </c>
      <c r="K6211" s="17" t="n">
        <f aca="false">Sens!$K$6201*(1-tax)/(ext_sh*(Sens!$J$6198+Sens!$K$6198)/2)</f>
        <v>0.08227162714687</v>
      </c>
      <c r="L6211" s="17" t="n">
        <f aca="false">Sens!$L$6201*(1-tax)/(ext_sh*(Sens!$K$6198+Sens!$L$6198)/2)</f>
        <v>0.0828942732763872</v>
      </c>
      <c r="M6211" s="17" t="n">
        <f aca="false">Sens!$M$6201*(1-tax)/(ext_sh*(Sens!$L$6198+Sens!$M$6198)/2)</f>
        <v>0.0807945482347635</v>
      </c>
      <c r="N6211" s="14"/>
      <c r="O6211" s="14"/>
      <c r="P6211" s="8" t="s">
        <v>657</v>
      </c>
    </row>
    <row r="6212" customFormat="false" ht="17.15" hidden="false" customHeight="false" outlineLevel="0" collapsed="false">
      <c r="A6212" s="5" t="s">
        <v>658</v>
      </c>
      <c r="B6212" s="0" t="s">
        <v>57</v>
      </c>
      <c r="H6212" s="36" t="n">
        <f aca="false">Sens!$H$6179*1000/(mw_open*he_open+Sens!$H$6177*Sens!$H$6174)</f>
        <v>0.991949006767191</v>
      </c>
      <c r="I6212" s="36" t="n">
        <f aca="false">Sens!$I$6179*1000/(mw_open*he_open+Sens!$I$6177*Sens!$I$6174)</f>
        <v>0.991949006767191</v>
      </c>
      <c r="J6212" s="36" t="n">
        <f aca="false">Sens!$J$6179*1000/(mw_open*he_open+Sens!$J$6177*Sens!$J$6174)</f>
        <v>0.991949006767191</v>
      </c>
      <c r="K6212" s="36" t="n">
        <f aca="false">Sens!$K$6179*1000/(mw_open*he_open+Sens!$K$6177*Sens!$K$6174)</f>
        <v>0.991949006767191</v>
      </c>
      <c r="L6212" s="36" t="n">
        <f aca="false">Sens!$L$6179*1000/(mw_open*he_open+Sens!$L$6177*Sens!$L$6174)</f>
        <v>0.991949006767191</v>
      </c>
      <c r="M6212" s="36" t="n">
        <f aca="false">Sens!$M$6179*1000/(mw_open*he_open+Sens!$M$6177*Sens!$M$6174)</f>
        <v>0.991949006767191</v>
      </c>
    </row>
    <row r="6213" customFormat="false" ht="17.15" hidden="false" customHeight="false" outlineLevel="0" collapsed="false">
      <c r="A6213" s="5" t="s">
        <v>659</v>
      </c>
      <c r="B6213" s="0" t="s">
        <v>57</v>
      </c>
      <c r="H6213" s="36" t="n">
        <f aca="false">Sens!$H$6212*(Sens!$H$6179+wacc*ext_sh*(Sens!$G$6198+Sens!$H$6198)/2/(1-tax)-Sens!$H$6201)/Sens!$H$6179</f>
        <v>1.04696246089529</v>
      </c>
      <c r="I6213" s="36" t="n">
        <f aca="false">Sens!$I$6212*(Sens!$I$6179+wacc*ext_sh*(Sens!$H$6198+Sens!$I$6198)/2/(1-tax)-Sens!$I$6201)/Sens!$I$6179</f>
        <v>1.09109607940198</v>
      </c>
      <c r="J6213" s="36" t="n">
        <f aca="false">Sens!$J$6212*(Sens!$J$6179+wacc*ext_sh*(Sens!$I$6198+Sens!$J$6198)/2/(1-tax)-Sens!$J$6201)/Sens!$J$6179</f>
        <v>1.09681234280071</v>
      </c>
      <c r="K6213" s="36" t="n">
        <f aca="false">Sens!$K$6212*(Sens!$K$6179+wacc*ext_sh*(Sens!$J$6198+Sens!$K$6198)/2/(1-tax)-Sens!$K$6201)/Sens!$K$6179</f>
        <v>1.10105220068984</v>
      </c>
      <c r="L6213" s="36" t="n">
        <f aca="false">Sens!$L$6212*(Sens!$L$6179+wacc*ext_sh*(Sens!$K$6198+Sens!$L$6198)/2/(1-tax)-Sens!$L$6201)/Sens!$L$6179</f>
        <v>1.08952452639895</v>
      </c>
      <c r="M6213" s="36" t="n">
        <f aca="false">Sens!$M$6212*(Sens!$M$6179+wacc*ext_sh*(Sens!$L$6198+Sens!$M$6198)/2/(1-tax)-Sens!$M$6201)/Sens!$M$6179</f>
        <v>1.08965878549519</v>
      </c>
    </row>
    <row r="6214" customFormat="false" ht="17.15" hidden="false" customHeight="false" outlineLevel="0" collapsed="false">
      <c r="A6214" s="5" t="s">
        <v>660</v>
      </c>
      <c r="B6214" s="0" t="s">
        <v>52</v>
      </c>
      <c r="C6214" s="13" t="n">
        <f aca="false">Sens!$C$6180/tk_pq</f>
        <v>0.195316432429398</v>
      </c>
      <c r="D6214" s="13" t="n">
        <f aca="false">Sens!$D$6180/tk_pq</f>
        <v>0.195316432429398</v>
      </c>
      <c r="E6214" s="13" t="n">
        <f aca="false">Sens!$E$6180/tk_pq</f>
        <v>0.195316432429398</v>
      </c>
      <c r="F6214" s="13" t="n">
        <f aca="false">Sens!$F$6180/tk_pq</f>
        <v>0.202241827274866</v>
      </c>
      <c r="G6214" s="13" t="n">
        <f aca="false">Sens!$G$6180/tk_pq</f>
        <v>0.199675016194063</v>
      </c>
      <c r="H6214" s="13" t="n">
        <f aca="false">Sens!$H$6180/tk_pq</f>
        <v>0.212647947710325</v>
      </c>
      <c r="I6214" s="13" t="n">
        <f aca="false">Sens!$I$6180/tk_pq</f>
        <v>0.219285125475351</v>
      </c>
      <c r="J6214" s="13" t="n">
        <f aca="false">Sens!$J$6180/tk_pq</f>
        <v>0.222492493217189</v>
      </c>
      <c r="K6214" s="13" t="n">
        <f aca="false">Sens!$K$6180/tk_pq</f>
        <v>0.224053502812094</v>
      </c>
      <c r="L6214" s="13" t="n">
        <f aca="false">Sens!$L$6180/tk_pq</f>
        <v>0.224786916785614</v>
      </c>
      <c r="M6214" s="13" t="n">
        <f aca="false">Sens!$M$6180/tk_pq</f>
        <v>0.225048671566937</v>
      </c>
      <c r="N6214" s="13" t="n">
        <f aca="false">Sens!$N$6180/tk_pq</f>
        <v>0.195316432429398</v>
      </c>
      <c r="O6214" s="13" t="n">
        <f aca="false">Sens!$O$6180/tk_pq</f>
        <v>0.195316432429398</v>
      </c>
      <c r="P6214" s="5" t="s">
        <v>661</v>
      </c>
    </row>
    <row r="6217" customFormat="false" ht="17.15" hidden="false" customHeight="false" outlineLevel="0" collapsed="false">
      <c r="A6217" s="1" t="s">
        <v>690</v>
      </c>
    </row>
    <row r="6218" customFormat="false" ht="17.15" hidden="false" customHeight="false" outlineLevel="0" collapsed="false">
      <c r="A6218" s="0" t="s">
        <v>691</v>
      </c>
      <c r="B6218" s="0" t="s">
        <v>86</v>
      </c>
      <c r="C6218" s="38" t="n">
        <f aca="false">Sens!$C$6179</f>
        <v>2.32100535697364</v>
      </c>
      <c r="D6218" s="38" t="n">
        <f aca="false">Sens!$D$6179</f>
        <v>8.70377008865116</v>
      </c>
      <c r="E6218" s="38" t="n">
        <f aca="false">Sens!$E$6179</f>
        <v>8.51035297557002</v>
      </c>
      <c r="F6218" s="38" t="n">
        <f aca="false">Sens!$F$6179</f>
        <v>14.9634336447205</v>
      </c>
      <c r="G6218" s="38" t="n">
        <f aca="false">Sens!$G$6179</f>
        <v>23.4737866202905</v>
      </c>
      <c r="H6218" s="38" t="n">
        <f aca="false">Sens!$H$6179</f>
        <v>60.1658907497746</v>
      </c>
      <c r="I6218" s="38" t="n">
        <f aca="false">Sens!$I$6179</f>
        <v>101.503699136432</v>
      </c>
      <c r="J6218" s="38" t="n">
        <f aca="false">Sens!$J$6179</f>
        <v>143.025407151278</v>
      </c>
      <c r="K6218" s="38" t="n">
        <f aca="false">Sens!$K$6179</f>
        <v>178.44812038318</v>
      </c>
      <c r="L6218" s="38" t="n">
        <f aca="false">Sens!$L$6179</f>
        <v>201.728101802396</v>
      </c>
      <c r="M6218" s="38" t="n">
        <f aca="false">Sens!$M$6179</f>
        <v>212.835441368865</v>
      </c>
      <c r="N6218" s="38" t="n">
        <f aca="false">Sens!$N$6179</f>
        <v>3.04631953102791</v>
      </c>
      <c r="O6218" s="38" t="n">
        <f aca="false">Sens!$O$6179</f>
        <v>5.65745055762326</v>
      </c>
      <c r="P6218" s="8" t="s">
        <v>692</v>
      </c>
    </row>
    <row r="6219" customFormat="false" ht="17.15" hidden="false" customHeight="false" outlineLevel="0" collapsed="false">
      <c r="A6219" s="0" t="s">
        <v>693</v>
      </c>
      <c r="B6219" s="0" t="s">
        <v>86</v>
      </c>
      <c r="C6219" s="38" t="n">
        <f aca="false">Sens!$C$6183</f>
        <v>105.234994643026</v>
      </c>
      <c r="D6219" s="38" t="n">
        <f aca="false">Sens!$D$6183</f>
        <v>120.021229911349</v>
      </c>
      <c r="E6219" s="38" t="n">
        <f aca="false">Sens!$E$6183</f>
        <v>71.30864702443</v>
      </c>
      <c r="F6219" s="38" t="n">
        <f aca="false">Sens!$F$6183</f>
        <v>71.7692997942464</v>
      </c>
      <c r="G6219" s="38" t="n">
        <f aca="false">Sens!$G$6183</f>
        <v>143.077946818676</v>
      </c>
      <c r="H6219" s="38" t="n">
        <f aca="false">Sens!$H$6183</f>
        <v>161.017077079203</v>
      </c>
      <c r="I6219" s="38" t="n">
        <f aca="false">Sens!$I$6183</f>
        <v>178.769759521457</v>
      </c>
      <c r="J6219" s="38" t="n">
        <f aca="false">Sens!$J$6183</f>
        <v>195.775538045907</v>
      </c>
      <c r="K6219" s="38" t="n">
        <f aca="false">Sens!$K$6183</f>
        <v>211.43758108958</v>
      </c>
      <c r="L6219" s="38" t="n">
        <f aca="false">Sens!$L$6183</f>
        <v>228.352587576746</v>
      </c>
      <c r="M6219" s="38" t="n">
        <f aca="false">Sens!$M$6183</f>
        <v>246.620794582886</v>
      </c>
      <c r="N6219" s="38" t="n">
        <f aca="false">Sens!$N$6183</f>
        <v>57.0936804689721</v>
      </c>
      <c r="O6219" s="38" t="n">
        <f aca="false">Sens!$O$6183</f>
        <v>62.9275494423768</v>
      </c>
      <c r="P6219" s="8" t="s">
        <v>692</v>
      </c>
    </row>
    <row r="6220" customFormat="false" ht="17.15" hidden="false" customHeight="false" outlineLevel="0" collapsed="false">
      <c r="A6220" s="1" t="s">
        <v>516</v>
      </c>
      <c r="B6220" s="8" t="s">
        <v>86</v>
      </c>
      <c r="C6220" s="38" t="n">
        <f aca="false">Q!$D$7</f>
        <v>107.556</v>
      </c>
      <c r="D6220" s="38" t="n">
        <f aca="false">Q!$E$7</f>
        <v>128.725</v>
      </c>
      <c r="E6220" s="38" t="n">
        <f aca="false">Q!$P$7</f>
        <v>79.819</v>
      </c>
      <c r="F6220" s="38" t="n">
        <f aca="false">Sens!$F$6218+Sens!$F$6219</f>
        <v>86.7327334389669</v>
      </c>
      <c r="G6220" s="38" t="n">
        <f aca="false">Sens!$G$6218+Sens!$G$6219</f>
        <v>166.551733438967</v>
      </c>
      <c r="H6220" s="38" t="n">
        <f aca="false">Sens!$H$6218+Sens!$H$6219</f>
        <v>221.182967828978</v>
      </c>
      <c r="I6220" s="38" t="n">
        <f aca="false">Sens!$I$6218+Sens!$I$6219</f>
        <v>280.27345865789</v>
      </c>
      <c r="J6220" s="38" t="n">
        <f aca="false">Sens!$J$6218+Sens!$J$6219</f>
        <v>338.800945197185</v>
      </c>
      <c r="K6220" s="38" t="n">
        <f aca="false">Sens!$K$6218+Sens!$K$6219</f>
        <v>389.88570147276</v>
      </c>
      <c r="L6220" s="38" t="n">
        <f aca="false">Sens!$L$6218+Sens!$L$6219</f>
        <v>430.080689379143</v>
      </c>
      <c r="M6220" s="38" t="n">
        <f aca="false">Sens!$M$6218+Sens!$M$6219</f>
        <v>459.456235951751</v>
      </c>
      <c r="N6220" s="38" t="n">
        <f aca="false">Q!$N$7</f>
        <v>60.14</v>
      </c>
      <c r="O6220" s="38" t="n">
        <f aca="false">Q!$O$7</f>
        <v>68.585</v>
      </c>
      <c r="P6220" s="5" t="s">
        <v>694</v>
      </c>
    </row>
    <row r="6221" customFormat="false" ht="15" hidden="false" customHeight="false" outlineLevel="0" collapsed="false">
      <c r="A6221" s="3" t="s">
        <v>695</v>
      </c>
      <c r="B6221" s="8" t="s">
        <v>86</v>
      </c>
      <c r="C6221" s="38" t="n">
        <f aca="false">Q!$D$8</f>
        <v>637.959</v>
      </c>
      <c r="D6221" s="38" t="n">
        <f aca="false">Q!$E$8</f>
        <v>716.924</v>
      </c>
      <c r="E6221" s="38" t="n">
        <f aca="false">Q!$P$8</f>
        <v>382.125</v>
      </c>
      <c r="F6221" s="38" t="n">
        <f aca="false">Sens!$F$6151+Sens!$F$6220</f>
        <v>435.780975084504</v>
      </c>
      <c r="G6221" s="38" t="n">
        <f aca="false">Sens!$G$6151+Sens!$G$6220</f>
        <v>817.905975084504</v>
      </c>
      <c r="H6221" s="38" t="n">
        <f aca="false">Sens!$H$6151+Sens!$H$6220</f>
        <v>942.279857350364</v>
      </c>
      <c r="I6221" s="38" t="n">
        <f aca="false">Sens!$I$6151+Sens!$I$6220</f>
        <v>1068.80284981042</v>
      </c>
      <c r="J6221" s="38" t="n">
        <f aca="false">Sens!$J$6151+Sens!$J$6220</f>
        <v>1189.90935093863</v>
      </c>
      <c r="K6221" s="38" t="n">
        <f aca="false">Sens!$K$6151+Sens!$K$6220</f>
        <v>1296.06215690385</v>
      </c>
      <c r="L6221" s="38" t="n">
        <f aca="false">Sens!$L$6151+Sens!$L$6220</f>
        <v>1395.17379585473</v>
      </c>
      <c r="M6221" s="38" t="n">
        <f aca="false">Sens!$M$6151+Sens!$M$6220</f>
        <v>1487.60414389864</v>
      </c>
      <c r="N6221" s="38" t="n">
        <f aca="false">Q!$N$8</f>
        <v>323.369</v>
      </c>
      <c r="O6221" s="38" t="n">
        <f aca="false">Q!$O$8</f>
        <v>393.555</v>
      </c>
    </row>
    <row r="6222" customFormat="false" ht="17.15" hidden="false" customHeight="false" outlineLevel="0" collapsed="false">
      <c r="A6222" s="24" t="s">
        <v>703</v>
      </c>
      <c r="B6222" s="25" t="s">
        <v>86</v>
      </c>
      <c r="C6222" s="41" t="n">
        <f aca="false">Sens!$C$6151-(Sens!$C$6153+Sens!$C$6154)</f>
        <v>0</v>
      </c>
      <c r="D6222" s="41" t="n">
        <f aca="false">Sens!$D$6151-(Sens!$D$6153+Sens!$D$6154)</f>
        <v>0</v>
      </c>
      <c r="E6222" s="41" t="n">
        <f aca="false">Sens!$E$6151-(Sens!$E$6153+Sens!$E$6154)</f>
        <v>0</v>
      </c>
      <c r="F6222" s="41" t="n">
        <f aca="false">Sens!$F$6151-(Sens!$F$6153+Sens!$F$6154)</f>
        <v>0</v>
      </c>
      <c r="G6222" s="41" t="n">
        <f aca="false">Sens!$G$6151-(Sens!$G$6153+Sens!$G$6154)</f>
        <v>0</v>
      </c>
      <c r="H6222" s="41" t="n">
        <f aca="false">Sens!$H$6151-(Sens!$H$6153+Sens!$H$6154)</f>
        <v>0</v>
      </c>
      <c r="I6222" s="41" t="n">
        <f aca="false">Sens!$I$6151-(Sens!$I$6153+Sens!$I$6154)</f>
        <v>0</v>
      </c>
      <c r="J6222" s="41" t="n">
        <f aca="false">Sens!$J$6151-(Sens!$J$6153+Sens!$J$6154)</f>
        <v>0</v>
      </c>
      <c r="K6222" s="41" t="n">
        <f aca="false">Sens!$K$6151-(Sens!$K$6153+Sens!$K$6154)</f>
        <v>0</v>
      </c>
      <c r="L6222" s="41" t="n">
        <f aca="false">Sens!$L$6151-(Sens!$L$6153+Sens!$L$6154)</f>
        <v>0</v>
      </c>
      <c r="M6222" s="41" t="n">
        <f aca="false">Sens!$M$6151-(Sens!$M$6153+Sens!$M$6154)</f>
        <v>0</v>
      </c>
      <c r="N6222" s="41" t="n">
        <f aca="false">Sens!$N$6151-(Sens!$N$6153+Sens!$N$6154)</f>
        <v>0</v>
      </c>
      <c r="O6222" s="41" t="n">
        <f aca="false">Sens!$O$6151-(Sens!$O$6153+Sens!$O$6154)</f>
        <v>0</v>
      </c>
    </row>
    <row r="6223" customFormat="false" ht="17.15" hidden="false" customHeight="false" outlineLevel="0" collapsed="false">
      <c r="A6223" s="24" t="s">
        <v>704</v>
      </c>
      <c r="B6223" s="25" t="s">
        <v>86</v>
      </c>
      <c r="C6223" s="41" t="n">
        <f aca="false">Sens!$C$6218+Sens!$C$6219-Sens!$C$6220</f>
        <v>0</v>
      </c>
      <c r="D6223" s="41" t="n">
        <f aca="false">Sens!$D$6218+Sens!$D$6219-Sens!$D$6220</f>
        <v>0</v>
      </c>
      <c r="E6223" s="41" t="n">
        <f aca="false">Sens!$E$6218+Sens!$E$6219-Sens!$E$6220</f>
        <v>0</v>
      </c>
      <c r="F6223" s="41" t="n">
        <f aca="false">Sens!$F$6218+Sens!$F$6219-Sens!$F$6220</f>
        <v>0</v>
      </c>
      <c r="G6223" s="41" t="n">
        <f aca="false">Sens!$G$6218+Sens!$G$6219-Sens!$G$6220</f>
        <v>0</v>
      </c>
      <c r="H6223" s="41" t="n">
        <f aca="false">Sens!$H$6218+Sens!$H$6219-Sens!$H$6220</f>
        <v>0</v>
      </c>
      <c r="I6223" s="41" t="n">
        <f aca="false">Sens!$I$6218+Sens!$I$6219-Sens!$I$6220</f>
        <v>0</v>
      </c>
      <c r="J6223" s="41" t="n">
        <f aca="false">Sens!$J$6218+Sens!$J$6219-Sens!$J$6220</f>
        <v>0</v>
      </c>
      <c r="K6223" s="41" t="n">
        <f aca="false">Sens!$K$6218+Sens!$K$6219-Sens!$K$6220</f>
        <v>0</v>
      </c>
      <c r="L6223" s="41" t="n">
        <f aca="false">Sens!$L$6218+Sens!$L$6219-Sens!$L$6220</f>
        <v>0</v>
      </c>
      <c r="M6223" s="41" t="n">
        <f aca="false">Sens!$M$6218+Sens!$M$6219-Sens!$M$6220</f>
        <v>0</v>
      </c>
      <c r="N6223" s="41" t="n">
        <f aca="false">Sens!$N$6218+Sens!$N$6219-Sens!$N$6220</f>
        <v>0</v>
      </c>
      <c r="O6223" s="41" t="n">
        <f aca="false">Sens!$O$6218+Sens!$O$6219-Sens!$O$6220</f>
        <v>0</v>
      </c>
    </row>
    <row r="6224" customFormat="false" ht="17.15" hidden="false" customHeight="false" outlineLevel="0" collapsed="false">
      <c r="A6224" s="24" t="s">
        <v>705</v>
      </c>
      <c r="B6224" s="25" t="s">
        <v>86</v>
      </c>
      <c r="C6224" s="41" t="n">
        <f aca="false">Sens!$C$6153+Sens!$C$6154+Sens!$C$6220-Sens!$C$6221</f>
        <v>0</v>
      </c>
      <c r="D6224" s="41" t="n">
        <f aca="false">Sens!$D$6153+Sens!$D$6154+Sens!$D$6220-Sens!$D$6221</f>
        <v>0</v>
      </c>
      <c r="E6224" s="41" t="n">
        <f aca="false">Sens!$E$6153+Sens!$E$6154+Sens!$E$6220-Sens!$E$6221</f>
        <v>0</v>
      </c>
      <c r="F6224" s="41" t="n">
        <f aca="false">Sens!$F$6153+Sens!$F$6154+Sens!$F$6220-Sens!$F$6221</f>
        <v>0</v>
      </c>
      <c r="G6224" s="41" t="n">
        <f aca="false">Sens!$G$6153+Sens!$G$6154+Sens!$G$6220-Sens!$G$6221</f>
        <v>0</v>
      </c>
      <c r="H6224" s="41" t="n">
        <f aca="false">Sens!$H$6153+Sens!$H$6154+Sens!$H$6220-Sens!$H$6221</f>
        <v>0</v>
      </c>
      <c r="I6224" s="41" t="n">
        <f aca="false">Sens!$I$6153+Sens!$I$6154+Sens!$I$6220-Sens!$I$6221</f>
        <v>0</v>
      </c>
      <c r="J6224" s="41" t="n">
        <f aca="false">Sens!$J$6153+Sens!$J$6154+Sens!$J$6220-Sens!$J$6221</f>
        <v>0</v>
      </c>
      <c r="K6224" s="41" t="n">
        <f aca="false">Sens!$K$6153+Sens!$K$6154+Sens!$K$6220-Sens!$K$6221</f>
        <v>0</v>
      </c>
      <c r="L6224" s="41" t="n">
        <f aca="false">Sens!$L$6153+Sens!$L$6154+Sens!$L$6220-Sens!$L$6221</f>
        <v>0</v>
      </c>
      <c r="M6224" s="41" t="n">
        <f aca="false">Sens!$M$6153+Sens!$M$6154+Sens!$M$6220-Sens!$M$6221</f>
        <v>0</v>
      </c>
      <c r="N6224" s="41" t="n">
        <f aca="false">Sens!$N$6153+Sens!$N$6154+Sens!$N$6220-Sens!$N$6221</f>
        <v>0</v>
      </c>
      <c r="O6224" s="41" t="n">
        <f aca="false">Sens!$O$6153+Sens!$O$6154+Sens!$O$6220-Sens!$O$6221</f>
        <v>0</v>
      </c>
    </row>
    <row r="6225" customFormat="false" ht="15" hidden="false" customHeight="false" outlineLevel="0" collapsed="false">
      <c r="A6225" s="5" t="s">
        <v>699</v>
      </c>
      <c r="B6225" s="0" t="s">
        <v>52</v>
      </c>
      <c r="G6225" s="13" t="n">
        <f aca="false">Sens!$G$6221/Sens!$D$6221-1</f>
        <v>0.140854504918937</v>
      </c>
      <c r="H6225" s="13" t="n">
        <f aca="false">Sens!$H$6221/Sens!$G$6221-1</f>
        <v>0.152063789793209</v>
      </c>
      <c r="I6225" s="13" t="n">
        <f aca="false">Sens!$I$6221/Sens!$H$6221-1</f>
        <v>0.134273264437417</v>
      </c>
      <c r="J6225" s="13" t="n">
        <f aca="false">Sens!$J$6221/Sens!$I$6221-1</f>
        <v>0.113310421234083</v>
      </c>
      <c r="K6225" s="13" t="n">
        <f aca="false">Sens!$K$6221/Sens!$J$6221-1</f>
        <v>0.0892108343223652</v>
      </c>
      <c r="L6225" s="13" t="n">
        <f aca="false">Sens!$L$6221/Sens!$K$6221-1</f>
        <v>0.076471362444261</v>
      </c>
      <c r="M6225" s="13" t="n">
        <f aca="false">Sens!$M$6221/Sens!$L$6221-1</f>
        <v>0.066250060256672</v>
      </c>
    </row>
    <row r="6226" customFormat="false" ht="17.15" hidden="false" customHeight="false" outlineLevel="0" collapsed="false">
      <c r="A6226" s="0" t="s">
        <v>700</v>
      </c>
      <c r="B6226" s="0" t="s">
        <v>52</v>
      </c>
      <c r="C6226" s="13" t="n">
        <f aca="false">Sens!$C$6220/Sens!$C$6221</f>
        <v>0.168593906504964</v>
      </c>
      <c r="D6226" s="13" t="n">
        <f aca="false">Sens!$D$6220/Sens!$D$6221</f>
        <v>0.179551807444025</v>
      </c>
      <c r="E6226" s="13" t="n">
        <f aca="false">Sens!$E$6220/Sens!$E$6221</f>
        <v>0.208881910369643</v>
      </c>
      <c r="F6226" s="13" t="n">
        <f aca="false">Sens!$F$6220/Sens!$F$6221</f>
        <v>0.199028269699356</v>
      </c>
      <c r="G6226" s="13" t="n">
        <f aca="false">Sens!$G$6220/Sens!$G$6221</f>
        <v>0.203631882529968</v>
      </c>
      <c r="H6226" s="13" t="n">
        <f aca="false">Sens!$H$6220/Sens!$H$6221</f>
        <v>0.234731715958496</v>
      </c>
      <c r="I6226" s="13" t="n">
        <f aca="false">Sens!$I$6220/Sens!$I$6221</f>
        <v>0.262231204480418</v>
      </c>
      <c r="J6226" s="13" t="n">
        <f aca="false">Sens!$J$6220/Sens!$J$6221</f>
        <v>0.284728366013706</v>
      </c>
      <c r="K6226" s="13" t="n">
        <f aca="false">Sens!$K$6220/Sens!$K$6221</f>
        <v>0.300823304959505</v>
      </c>
      <c r="L6226" s="13" t="n">
        <f aca="false">Sens!$L$6220/Sens!$L$6221</f>
        <v>0.308263164529735</v>
      </c>
      <c r="M6226" s="13" t="n">
        <f aca="false">Sens!$M$6220/Sens!$M$6221</f>
        <v>0.308856517936036</v>
      </c>
      <c r="N6226" s="13" t="n">
        <f aca="false">Sens!$N$6220/Sens!$N$6221</f>
        <v>0.185979484737251</v>
      </c>
      <c r="O6226" s="13" t="n">
        <f aca="false">Sens!$O$6220/Sens!$O$6221</f>
        <v>0.174270432341096</v>
      </c>
    </row>
    <row r="6227" customFormat="false" ht="17.15" hidden="false" customHeight="false" outlineLevel="0" collapsed="false">
      <c r="A6227" s="0" t="s">
        <v>701</v>
      </c>
      <c r="B6227" s="0" t="s">
        <v>52</v>
      </c>
      <c r="C6227" s="13" t="n">
        <f aca="false">Sens!$C$6218/Sens!$C$6220</f>
        <v>0.0215795060896058</v>
      </c>
      <c r="D6227" s="13" t="n">
        <f aca="false">Sens!$D$6218/Sens!$D$6220</f>
        <v>0.0676152269462122</v>
      </c>
      <c r="E6227" s="13" t="n">
        <f aca="false">Sens!$E$6218/Sens!$E$6220</f>
        <v>0.106620641395783</v>
      </c>
      <c r="F6227" s="13" t="n">
        <f aca="false">Sens!$F$6218/Sens!$F$6220</f>
        <v>0.172523487401099</v>
      </c>
      <c r="G6227" s="13" t="n">
        <f aca="false">Sens!$G$6218/Sens!$G$6220</f>
        <v>0.140939911795589</v>
      </c>
      <c r="H6227" s="13" t="n">
        <f aca="false">Sens!$H$6218/Sens!$H$6220</f>
        <v>0.272018642937714</v>
      </c>
      <c r="I6227" s="13" t="n">
        <f aca="false">Sens!$I$6218/Sens!$I$6220</f>
        <v>0.362159512436497</v>
      </c>
      <c r="J6227" s="13" t="n">
        <f aca="false">Sens!$J$6218/Sens!$J$6220</f>
        <v>0.422151735934609</v>
      </c>
      <c r="K6227" s="13" t="n">
        <f aca="false">Sens!$K$6218/Sens!$K$6220</f>
        <v>0.45769342068485</v>
      </c>
      <c r="L6227" s="13" t="n">
        <f aca="false">Sens!$L$6218/Sens!$L$6220</f>
        <v>0.469047103913472</v>
      </c>
      <c r="M6227" s="13" t="n">
        <f aca="false">Sens!$M$6218/Sens!$M$6220</f>
        <v>0.463233328258093</v>
      </c>
      <c r="N6227" s="13" t="n">
        <f aca="false">Sens!$N$6218/Sens!$N$6220</f>
        <v>0.0506537999838362</v>
      </c>
      <c r="O6227" s="13" t="n">
        <f aca="false">Sens!$O$6218/Sens!$O$6220</f>
        <v>0.0824881615167056</v>
      </c>
    </row>
    <row r="6230" customFormat="false" ht="19.4" hidden="false" customHeight="false" outlineLevel="0" collapsed="false">
      <c r="A6230" s="31" t="s">
        <v>1262</v>
      </c>
    </row>
    <row r="6231" customFormat="false" ht="17.15" hidden="false" customHeight="false" outlineLevel="0" collapsed="false">
      <c r="A6231" s="6" t="s">
        <v>16</v>
      </c>
      <c r="B6231" s="6" t="s">
        <v>17</v>
      </c>
      <c r="C6231" s="20" t="s">
        <v>497</v>
      </c>
      <c r="D6231" s="20" t="s">
        <v>498</v>
      </c>
      <c r="E6231" s="20" t="s">
        <v>580</v>
      </c>
      <c r="F6231" s="20" t="s">
        <v>581</v>
      </c>
      <c r="G6231" s="20" t="s">
        <v>582</v>
      </c>
      <c r="H6231" s="20" t="s">
        <v>583</v>
      </c>
      <c r="I6231" s="20" t="s">
        <v>584</v>
      </c>
      <c r="J6231" s="20" t="s">
        <v>585</v>
      </c>
      <c r="K6231" s="20" t="s">
        <v>586</v>
      </c>
      <c r="L6231" s="20" t="s">
        <v>587</v>
      </c>
      <c r="M6231" s="20" t="s">
        <v>588</v>
      </c>
      <c r="N6231" s="20" t="s">
        <v>589</v>
      </c>
      <c r="O6231" s="20" t="s">
        <v>590</v>
      </c>
      <c r="P6231" s="6" t="s">
        <v>23</v>
      </c>
      <c r="R6231" s="20" t="n">
        <v>2023</v>
      </c>
      <c r="S6231" s="20" t="n">
        <v>2024</v>
      </c>
      <c r="T6231" s="20" t="n">
        <v>2025</v>
      </c>
      <c r="U6231" s="20" t="n">
        <v>2026</v>
      </c>
      <c r="V6231" s="20" t="n">
        <v>2027</v>
      </c>
      <c r="W6231" s="20" t="n">
        <v>2028</v>
      </c>
      <c r="X6231" s="20" t="n">
        <v>2029</v>
      </c>
      <c r="Y6231" s="20" t="n">
        <v>2030</v>
      </c>
      <c r="Z6231" s="20" t="n">
        <v>2031</v>
      </c>
      <c r="AA6231" s="20" t="n">
        <v>2032</v>
      </c>
    </row>
    <row r="6232" customFormat="false" ht="17.15" hidden="false" customHeight="false" outlineLevel="0" collapsed="false">
      <c r="A6232" s="1" t="s">
        <v>716</v>
      </c>
    </row>
    <row r="6233" customFormat="false" ht="15" hidden="false" customHeight="false" outlineLevel="0" collapsed="false">
      <c r="A6233" s="0" t="s">
        <v>519</v>
      </c>
      <c r="B6233" s="0" t="s">
        <v>86</v>
      </c>
      <c r="C6233" s="38" t="n">
        <f aca="false">Sens!$C$6138</f>
        <v>247.029</v>
      </c>
      <c r="D6233" s="38" t="n">
        <f aca="false">Sens!$D$6138</f>
        <v>269.287</v>
      </c>
      <c r="E6233" s="38" t="n">
        <f aca="false">Sens!$E$6138</f>
        <v>134.686</v>
      </c>
      <c r="F6233" s="38" t="n">
        <f aca="false">Sens!$F$6138</f>
        <v>158.293876822267</v>
      </c>
      <c r="G6233" s="38" t="n">
        <f aca="false">Sens!$G$6138</f>
        <v>292.979876822267</v>
      </c>
      <c r="H6233" s="38" t="n">
        <f aca="false">Sens!$H$6138</f>
        <v>318.184543087396</v>
      </c>
      <c r="I6233" s="38" t="n">
        <f aca="false">Sens!$I$6138</f>
        <v>341.736278761793</v>
      </c>
      <c r="J6233" s="38" t="n">
        <f aca="false">Sens!$J$6138</f>
        <v>362.927192787048</v>
      </c>
      <c r="K6233" s="38" t="n">
        <f aca="false">Sens!$K$6138</f>
        <v>381.0735524264</v>
      </c>
      <c r="L6233" s="38" t="n">
        <f aca="false">Sens!$L$6138</f>
        <v>400.12723004772</v>
      </c>
      <c r="M6233" s="38" t="n">
        <f aca="false">Sens!$M$6138</f>
        <v>420.133591550106</v>
      </c>
      <c r="N6233" s="38" t="n">
        <f aca="false">Sens!$N$6138</f>
        <v>118.892</v>
      </c>
      <c r="O6233" s="38" t="n">
        <f aca="false">Sens!$O$6138</f>
        <v>150.395</v>
      </c>
    </row>
    <row r="6234" customFormat="false" ht="15" hidden="false" customHeight="false" outlineLevel="0" collapsed="false">
      <c r="A6234" s="0" t="s">
        <v>520</v>
      </c>
      <c r="B6234" s="0" t="s">
        <v>86</v>
      </c>
      <c r="C6234" s="38" t="n">
        <f aca="false">Sens!$C$6140</f>
        <v>21.215</v>
      </c>
      <c r="D6234" s="38" t="n">
        <f aca="false">Sens!$D$6140</f>
        <v>22.561</v>
      </c>
      <c r="E6234" s="38" t="n">
        <f aca="false">Sens!$E$6140</f>
        <v>11.579</v>
      </c>
      <c r="F6234" s="38" t="n">
        <f aca="false">Sens!$F$6140</f>
        <v>11.5938724610325</v>
      </c>
      <c r="G6234" s="38" t="n">
        <f aca="false">Sens!$G$6140</f>
        <v>23.1728724610325</v>
      </c>
      <c r="H6234" s="38" t="n">
        <f aca="false">Sens!$H$6140</f>
        <v>24.353392759506</v>
      </c>
      <c r="I6234" s="38" t="n">
        <f aca="false">Sens!$I$6140</f>
        <v>25.4240338872015</v>
      </c>
      <c r="J6234" s="38" t="n">
        <f aca="false">Sens!$J$6140</f>
        <v>26.3642491017174</v>
      </c>
      <c r="K6234" s="38" t="n">
        <f aca="false">Sens!$K$6140</f>
        <v>27.155176574769</v>
      </c>
      <c r="L6234" s="38" t="n">
        <f aca="false">Sens!$L$6140</f>
        <v>27.969831872012</v>
      </c>
      <c r="M6234" s="38" t="n">
        <f aca="false">Sens!$M$6140</f>
        <v>28.8089268281724</v>
      </c>
      <c r="N6234" s="38" t="n">
        <f aca="false">Sens!$N$6140</f>
        <v>11.128</v>
      </c>
      <c r="O6234" s="38" t="n">
        <f aca="false">Sens!$O$6140</f>
        <v>11.433</v>
      </c>
    </row>
    <row r="6235" customFormat="false" ht="15" hidden="false" customHeight="false" outlineLevel="0" collapsed="false">
      <c r="A6235" s="0" t="s">
        <v>521</v>
      </c>
      <c r="B6235" s="0" t="s">
        <v>86</v>
      </c>
      <c r="C6235" s="38" t="n">
        <f aca="false">Sens!$C$6142</f>
        <v>156.146</v>
      </c>
      <c r="D6235" s="38" t="n">
        <f aca="false">Sens!$D$6142</f>
        <v>172.162</v>
      </c>
      <c r="E6235" s="38" t="n">
        <f aca="false">Sens!$E$6142</f>
        <v>88.358</v>
      </c>
      <c r="F6235" s="38" t="n">
        <f aca="false">Sens!$F$6142</f>
        <v>102.004388260171</v>
      </c>
      <c r="G6235" s="38" t="n">
        <f aca="false">Sens!$G$6142</f>
        <v>190.362388260171</v>
      </c>
      <c r="H6235" s="38" t="n">
        <f aca="false">Sens!$H$6142</f>
        <v>210.343106588311</v>
      </c>
      <c r="I6235" s="38" t="n">
        <f aca="false">Sens!$I$6142</f>
        <v>229.969728494648</v>
      </c>
      <c r="J6235" s="38" t="n">
        <f aca="false">Sens!$J$6142</f>
        <v>248.747636972598</v>
      </c>
      <c r="K6235" s="38" t="n">
        <f aca="false">Sens!$K$6142</f>
        <v>266.15997156068</v>
      </c>
      <c r="L6235" s="38" t="n">
        <f aca="false">Sens!$L$6142</f>
        <v>284.791169569927</v>
      </c>
      <c r="M6235" s="38" t="n">
        <f aca="false">Sens!$M$6142</f>
        <v>304.726551439822</v>
      </c>
      <c r="N6235" s="38" t="n">
        <f aca="false">Sens!$N$6142</f>
        <v>76.86</v>
      </c>
      <c r="O6235" s="38" t="n">
        <f aca="false">Sens!$O$6142</f>
        <v>95.302</v>
      </c>
    </row>
    <row r="6236" customFormat="false" ht="15" hidden="false" customHeight="false" outlineLevel="0" collapsed="false">
      <c r="A6236" s="0" t="s">
        <v>522</v>
      </c>
      <c r="B6236" s="0" t="s">
        <v>86</v>
      </c>
      <c r="C6236" s="38" t="n">
        <f aca="false">Sens!$C$6144</f>
        <v>56.214</v>
      </c>
      <c r="D6236" s="38" t="n">
        <f aca="false">Sens!$D$6144</f>
        <v>68.635</v>
      </c>
      <c r="E6236" s="38" t="n">
        <f aca="false">Sens!$E$6144</f>
        <v>37.052</v>
      </c>
      <c r="F6236" s="38" t="n">
        <f aca="false">Sens!$F$6144</f>
        <v>46.1572219944148</v>
      </c>
      <c r="G6236" s="38" t="n">
        <f aca="false">Sens!$G$6144</f>
        <v>83.2092219944148</v>
      </c>
      <c r="H6236" s="38" t="n">
        <f aca="false">Sens!$H$6144</f>
        <v>99.8969223878976</v>
      </c>
      <c r="I6236" s="38" t="n">
        <f aca="false">Sens!$I$6144</f>
        <v>116.583111095496</v>
      </c>
      <c r="J6236" s="38" t="n">
        <f aca="false">Sens!$J$6144</f>
        <v>132.148941941952</v>
      </c>
      <c r="K6236" s="38" t="n">
        <f aca="false">Sens!$K$6144</f>
        <v>145.363836136147</v>
      </c>
      <c r="L6236" s="38" t="n">
        <f aca="false">Sens!$L$6144</f>
        <v>159.900219749762</v>
      </c>
      <c r="M6236" s="38" t="n">
        <f aca="false">Sens!$M$6144</f>
        <v>175.890241724738</v>
      </c>
      <c r="N6236" s="38" t="n">
        <f aca="false">Sens!$N$6144</f>
        <v>29.615</v>
      </c>
      <c r="O6236" s="38" t="n">
        <f aca="false">Sens!$O$6144</f>
        <v>39.02</v>
      </c>
    </row>
    <row r="6237" customFormat="false" ht="15" hidden="false" customHeight="false" outlineLevel="0" collapsed="false">
      <c r="A6237" s="0" t="s">
        <v>523</v>
      </c>
      <c r="B6237" s="0" t="s">
        <v>86</v>
      </c>
      <c r="C6237" s="38" t="n">
        <f aca="false">Sens!$C$6146</f>
        <v>44.374</v>
      </c>
      <c r="D6237" s="38" t="n">
        <f aca="false">Sens!$D$6146</f>
        <v>49.619</v>
      </c>
      <c r="E6237" s="38" t="n">
        <f aca="false">Sens!$E$6146</f>
        <v>27.157</v>
      </c>
      <c r="F6237" s="38" t="n">
        <f aca="false">Sens!$F$6146</f>
        <v>27.7764165988154</v>
      </c>
      <c r="G6237" s="38" t="n">
        <f aca="false">Sens!$G$6146</f>
        <v>54.9334165988154</v>
      </c>
      <c r="H6237" s="38" t="n">
        <f aca="false">Sens!$H$6146</f>
        <v>61.1564112561829</v>
      </c>
      <c r="I6237" s="38" t="n">
        <f aca="false">Sens!$I$6146</f>
        <v>67.2020282103945</v>
      </c>
      <c r="J6237" s="38" t="n">
        <f aca="false">Sens!$J$6146</f>
        <v>72.8757274028885</v>
      </c>
      <c r="K6237" s="38" t="n">
        <f aca="false">Sens!$K$6146</f>
        <v>77.9770283210907</v>
      </c>
      <c r="L6237" s="38" t="n">
        <f aca="false">Sens!$L$6146</f>
        <v>83.4354203035671</v>
      </c>
      <c r="M6237" s="38" t="n">
        <f aca="false">Sens!$M$6146</f>
        <v>89.2758997248168</v>
      </c>
      <c r="N6237" s="38" t="n">
        <f aca="false">Sens!$N$6146</f>
        <v>23.923</v>
      </c>
      <c r="O6237" s="38" t="n">
        <f aca="false">Sens!$O$6146</f>
        <v>25.696</v>
      </c>
    </row>
    <row r="6238" customFormat="false" ht="15" hidden="false" customHeight="false" outlineLevel="0" collapsed="false">
      <c r="A6238" s="0" t="s">
        <v>524</v>
      </c>
      <c r="B6238" s="0" t="s">
        <v>86</v>
      </c>
      <c r="C6238" s="38" t="n">
        <f aca="false">Sens!$C$6148</f>
        <v>5.425</v>
      </c>
      <c r="D6238" s="38" t="n">
        <f aca="false">Sens!$D$6148</f>
        <v>5.935</v>
      </c>
      <c r="E6238" s="38" t="n">
        <f aca="false">Sens!$E$6148</f>
        <v>3.474</v>
      </c>
      <c r="F6238" s="38" t="n">
        <f aca="false">Sens!$F$6148</f>
        <v>3.22246550883619</v>
      </c>
      <c r="G6238" s="38" t="n">
        <f aca="false">Sens!$G$6148</f>
        <v>6.69646550883619</v>
      </c>
      <c r="H6238" s="38" t="n">
        <f aca="false">Sens!$H$6148</f>
        <v>7.16251344209196</v>
      </c>
      <c r="I6238" s="38" t="n">
        <f aca="false">Sens!$I$6148</f>
        <v>7.61421070299826</v>
      </c>
      <c r="J6238" s="38" t="n">
        <f aca="false">Sens!$J$6148</f>
        <v>8.04465753523932</v>
      </c>
      <c r="K6238" s="38" t="n">
        <f aca="false">Sens!$K$6148</f>
        <v>8.44689041200128</v>
      </c>
      <c r="L6238" s="38" t="n">
        <f aca="false">Sens!$L$6148</f>
        <v>8.86923493260135</v>
      </c>
      <c r="M6238" s="38" t="n">
        <f aca="false">Sens!$M$6148</f>
        <v>9.31269667923142</v>
      </c>
      <c r="N6238" s="38" t="n">
        <f aca="false">Sens!$N$6148</f>
        <v>2.811</v>
      </c>
      <c r="O6238" s="38" t="n">
        <f aca="false">Sens!$O$6148</f>
        <v>3.124</v>
      </c>
    </row>
    <row r="6239" customFormat="false" ht="17.15" hidden="false" customHeight="false" outlineLevel="0" collapsed="false">
      <c r="A6239" s="0" t="s">
        <v>717</v>
      </c>
      <c r="B6239" s="0" t="s">
        <v>86</v>
      </c>
      <c r="C6239" s="38" t="n">
        <f aca="false">Sens!$C$6220</f>
        <v>107.556</v>
      </c>
      <c r="D6239" s="38" t="n">
        <f aca="false">Sens!$D$6220</f>
        <v>128.725</v>
      </c>
      <c r="E6239" s="38" t="n">
        <f aca="false">Sens!$E$6220</f>
        <v>79.819</v>
      </c>
      <c r="F6239" s="38" t="n">
        <f aca="false">Sens!$F$6220</f>
        <v>86.7327334389669</v>
      </c>
      <c r="G6239" s="38" t="n">
        <f aca="false">Sens!$G$6220</f>
        <v>166.551733438967</v>
      </c>
      <c r="H6239" s="38" t="n">
        <f aca="false">Sens!$H$6220</f>
        <v>221.182967828978</v>
      </c>
      <c r="I6239" s="38" t="n">
        <f aca="false">Sens!$I$6220</f>
        <v>280.27345865789</v>
      </c>
      <c r="J6239" s="38" t="n">
        <f aca="false">Sens!$J$6220</f>
        <v>338.800945197185</v>
      </c>
      <c r="K6239" s="38" t="n">
        <f aca="false">Sens!$K$6220</f>
        <v>389.88570147276</v>
      </c>
      <c r="L6239" s="38" t="n">
        <f aca="false">Sens!$L$6220</f>
        <v>430.080689379143</v>
      </c>
      <c r="M6239" s="38" t="n">
        <f aca="false">Sens!$M$6220</f>
        <v>459.456235951751</v>
      </c>
      <c r="N6239" s="38" t="n">
        <f aca="false">Sens!$N$6220</f>
        <v>60.14</v>
      </c>
      <c r="O6239" s="38" t="n">
        <f aca="false">Sens!$O$6220</f>
        <v>68.585</v>
      </c>
    </row>
    <row r="6240" customFormat="false" ht="15" hidden="false" customHeight="false" outlineLevel="0" collapsed="false">
      <c r="A6240" s="1" t="s">
        <v>512</v>
      </c>
      <c r="B6240" s="8" t="s">
        <v>86</v>
      </c>
      <c r="C6240" s="38" t="n">
        <f aca="false">Sens!$C$6153</f>
        <v>387.497</v>
      </c>
      <c r="D6240" s="38" t="n">
        <f aca="false">Sens!$D$6153</f>
        <v>426.305</v>
      </c>
      <c r="E6240" s="38" t="n">
        <f aca="false">Sens!$E$6153</f>
        <v>220.32</v>
      </c>
      <c r="F6240" s="38" t="n">
        <f aca="false">Sens!$F$6153</f>
        <v>250.639773480586</v>
      </c>
      <c r="G6240" s="38" t="n">
        <f aca="false">Sens!$G$6153</f>
        <v>470.959773480586</v>
      </c>
      <c r="H6240" s="38" t="n">
        <f aca="false">Sens!$H$6153</f>
        <v>521.386990416437</v>
      </c>
      <c r="I6240" s="38" t="n">
        <f aca="false">Sens!$I$6153</f>
        <v>570.143862887555</v>
      </c>
      <c r="J6240" s="38" t="n">
        <f aca="false">Sens!$J$6153</f>
        <v>615.391435791933</v>
      </c>
      <c r="K6240" s="38" t="n">
        <f aca="false">Sens!$K$6153</f>
        <v>655.208227561543</v>
      </c>
      <c r="L6240" s="38" t="n">
        <f aca="false">Sens!$L$6153</f>
        <v>697.807739249767</v>
      </c>
      <c r="M6240" s="38" t="n">
        <f aca="false">Sens!$M$6153</f>
        <v>743.399328463592</v>
      </c>
      <c r="N6240" s="38" t="n">
        <f aca="false">Sens!$N$6153</f>
        <v>192.955</v>
      </c>
      <c r="O6240" s="38" t="n">
        <f aca="false">Sens!$O$6153</f>
        <v>233.35</v>
      </c>
    </row>
    <row r="6241" customFormat="false" ht="15" hidden="false" customHeight="false" outlineLevel="0" collapsed="false">
      <c r="A6241" s="1" t="s">
        <v>515</v>
      </c>
      <c r="B6241" s="8" t="s">
        <v>86</v>
      </c>
      <c r="C6241" s="38" t="n">
        <f aca="false">Sens!$C$6154</f>
        <v>142.906</v>
      </c>
      <c r="D6241" s="38" t="n">
        <f aca="false">Sens!$D$6154</f>
        <v>161.894</v>
      </c>
      <c r="E6241" s="38" t="n">
        <f aca="false">Sens!$E$6154</f>
        <v>81.986</v>
      </c>
      <c r="F6241" s="38" t="n">
        <f aca="false">Sens!$F$6154</f>
        <v>98.408468164951</v>
      </c>
      <c r="G6241" s="38" t="n">
        <f aca="false">Sens!$G$6154</f>
        <v>180.394468164951</v>
      </c>
      <c r="H6241" s="38" t="n">
        <f aca="false">Sens!$H$6154</f>
        <v>199.709899104949</v>
      </c>
      <c r="I6241" s="38" t="n">
        <f aca="false">Sens!$I$6154</f>
        <v>218.385528264976</v>
      </c>
      <c r="J6241" s="38" t="n">
        <f aca="false">Sens!$J$6154</f>
        <v>235.71696994951</v>
      </c>
      <c r="K6241" s="38" t="n">
        <f aca="false">Sens!$K$6154</f>
        <v>250.968227869545</v>
      </c>
      <c r="L6241" s="38" t="n">
        <f aca="false">Sens!$L$6154</f>
        <v>267.285367225822</v>
      </c>
      <c r="M6241" s="38" t="n">
        <f aca="false">Sens!$M$6154</f>
        <v>284.748579483295</v>
      </c>
      <c r="N6241" s="38" t="n">
        <f aca="false">Sens!$N$6154</f>
        <v>70.274</v>
      </c>
      <c r="O6241" s="38" t="n">
        <f aca="false">Sens!$O$6154</f>
        <v>91.62</v>
      </c>
    </row>
    <row r="6242" customFormat="false" ht="15" hidden="false" customHeight="false" outlineLevel="0" collapsed="false">
      <c r="A6242" s="1" t="s">
        <v>516</v>
      </c>
      <c r="B6242" s="8" t="s">
        <v>86</v>
      </c>
      <c r="C6242" s="38" t="n">
        <f aca="false">Sens!$C$6220</f>
        <v>107.556</v>
      </c>
      <c r="D6242" s="38" t="n">
        <f aca="false">Sens!$D$6220</f>
        <v>128.725</v>
      </c>
      <c r="E6242" s="38" t="n">
        <f aca="false">Sens!$E$6220</f>
        <v>79.819</v>
      </c>
      <c r="F6242" s="38" t="n">
        <f aca="false">Sens!$F$6220</f>
        <v>86.7327334389669</v>
      </c>
      <c r="G6242" s="38" t="n">
        <f aca="false">Sens!$G$6220</f>
        <v>166.551733438967</v>
      </c>
      <c r="H6242" s="38" t="n">
        <f aca="false">Sens!$H$6220</f>
        <v>221.182967828978</v>
      </c>
      <c r="I6242" s="38" t="n">
        <f aca="false">Sens!$I$6220</f>
        <v>280.27345865789</v>
      </c>
      <c r="J6242" s="38" t="n">
        <f aca="false">Sens!$J$6220</f>
        <v>338.800945197185</v>
      </c>
      <c r="K6242" s="38" t="n">
        <f aca="false">Sens!$K$6220</f>
        <v>389.88570147276</v>
      </c>
      <c r="L6242" s="38" t="n">
        <f aca="false">Sens!$L$6220</f>
        <v>430.080689379143</v>
      </c>
      <c r="M6242" s="38" t="n">
        <f aca="false">Sens!$M$6220</f>
        <v>459.456235951751</v>
      </c>
      <c r="N6242" s="38" t="n">
        <f aca="false">Sens!$N$6220</f>
        <v>60.14</v>
      </c>
      <c r="O6242" s="38" t="n">
        <f aca="false">Sens!$O$6220</f>
        <v>68.585</v>
      </c>
    </row>
    <row r="6243" customFormat="false" ht="17.15" hidden="false" customHeight="false" outlineLevel="0" collapsed="false">
      <c r="A6243" s="0" t="s">
        <v>691</v>
      </c>
      <c r="B6243" s="0" t="s">
        <v>86</v>
      </c>
      <c r="C6243" s="38" t="n">
        <f aca="false">Sens!$C$6218</f>
        <v>2.32100535697364</v>
      </c>
      <c r="D6243" s="38" t="n">
        <f aca="false">Sens!$D$6218</f>
        <v>8.70377008865116</v>
      </c>
      <c r="E6243" s="38" t="n">
        <f aca="false">Sens!$E$6218</f>
        <v>8.51035297557002</v>
      </c>
      <c r="F6243" s="38" t="n">
        <f aca="false">Sens!$F$6218</f>
        <v>14.9634336447205</v>
      </c>
      <c r="G6243" s="38" t="n">
        <f aca="false">Sens!$G$6218</f>
        <v>23.4737866202905</v>
      </c>
      <c r="H6243" s="38" t="n">
        <f aca="false">Sens!$H$6218</f>
        <v>60.1658907497746</v>
      </c>
      <c r="I6243" s="38" t="n">
        <f aca="false">Sens!$I$6218</f>
        <v>101.503699136432</v>
      </c>
      <c r="J6243" s="38" t="n">
        <f aca="false">Sens!$J$6218</f>
        <v>143.025407151278</v>
      </c>
      <c r="K6243" s="38" t="n">
        <f aca="false">Sens!$K$6218</f>
        <v>178.44812038318</v>
      </c>
      <c r="L6243" s="38" t="n">
        <f aca="false">Sens!$L$6218</f>
        <v>201.728101802396</v>
      </c>
      <c r="M6243" s="38" t="n">
        <f aca="false">Sens!$M$6218</f>
        <v>212.835441368865</v>
      </c>
      <c r="N6243" s="38" t="n">
        <f aca="false">Sens!$N$6218</f>
        <v>3.04631953102791</v>
      </c>
      <c r="O6243" s="38" t="n">
        <f aca="false">Sens!$O$6218</f>
        <v>5.65745055762326</v>
      </c>
    </row>
    <row r="6244" customFormat="false" ht="17.15" hidden="false" customHeight="false" outlineLevel="0" collapsed="false">
      <c r="A6244" s="0" t="s">
        <v>693</v>
      </c>
      <c r="B6244" s="0" t="s">
        <v>86</v>
      </c>
      <c r="C6244" s="38" t="n">
        <f aca="false">Sens!$C$6219</f>
        <v>105.234994643026</v>
      </c>
      <c r="D6244" s="38" t="n">
        <f aca="false">Sens!$D$6219</f>
        <v>120.021229911349</v>
      </c>
      <c r="E6244" s="38" t="n">
        <f aca="false">Sens!$E$6219</f>
        <v>71.30864702443</v>
      </c>
      <c r="F6244" s="38" t="n">
        <f aca="false">Sens!$F$6219</f>
        <v>71.7692997942464</v>
      </c>
      <c r="G6244" s="38" t="n">
        <f aca="false">Sens!$G$6219</f>
        <v>143.077946818676</v>
      </c>
      <c r="H6244" s="38" t="n">
        <f aca="false">Sens!$H$6219</f>
        <v>161.017077079203</v>
      </c>
      <c r="I6244" s="38" t="n">
        <f aca="false">Sens!$I$6219</f>
        <v>178.769759521457</v>
      </c>
      <c r="J6244" s="38" t="n">
        <f aca="false">Sens!$J$6219</f>
        <v>195.775538045907</v>
      </c>
      <c r="K6244" s="38" t="n">
        <f aca="false">Sens!$K$6219</f>
        <v>211.43758108958</v>
      </c>
      <c r="L6244" s="38" t="n">
        <f aca="false">Sens!$L$6219</f>
        <v>228.352587576746</v>
      </c>
      <c r="M6244" s="38" t="n">
        <f aca="false">Sens!$M$6219</f>
        <v>246.620794582886</v>
      </c>
      <c r="N6244" s="38" t="n">
        <f aca="false">Sens!$N$6219</f>
        <v>57.0936804689721</v>
      </c>
      <c r="O6244" s="38" t="n">
        <f aca="false">Sens!$O$6219</f>
        <v>62.9275494423768</v>
      </c>
    </row>
    <row r="6245" customFormat="false" ht="15" hidden="false" customHeight="false" outlineLevel="0" collapsed="false">
      <c r="A6245" s="3" t="s">
        <v>517</v>
      </c>
      <c r="B6245" s="8" t="s">
        <v>86</v>
      </c>
      <c r="C6245" s="38" t="n">
        <f aca="false">Sens!$C$6221</f>
        <v>637.959</v>
      </c>
      <c r="D6245" s="38" t="n">
        <f aca="false">Sens!$D$6221</f>
        <v>716.924</v>
      </c>
      <c r="E6245" s="38" t="n">
        <f aca="false">Sens!$E$6221</f>
        <v>382.125</v>
      </c>
      <c r="F6245" s="38" t="n">
        <f aca="false">Sens!$F$6221</f>
        <v>435.780975084504</v>
      </c>
      <c r="G6245" s="38" t="n">
        <f aca="false">Sens!$G$6221</f>
        <v>817.905975084504</v>
      </c>
      <c r="H6245" s="38" t="n">
        <f aca="false">Sens!$H$6221</f>
        <v>942.279857350364</v>
      </c>
      <c r="I6245" s="38" t="n">
        <f aca="false">Sens!$I$6221</f>
        <v>1068.80284981042</v>
      </c>
      <c r="J6245" s="38" t="n">
        <f aca="false">Sens!$J$6221</f>
        <v>1189.90935093863</v>
      </c>
      <c r="K6245" s="38" t="n">
        <f aca="false">Sens!$K$6221</f>
        <v>1296.06215690385</v>
      </c>
      <c r="L6245" s="38" t="n">
        <f aca="false">Sens!$L$6221</f>
        <v>1395.17379585473</v>
      </c>
      <c r="M6245" s="38" t="n">
        <f aca="false">Sens!$M$6221</f>
        <v>1487.60414389864</v>
      </c>
      <c r="N6245" s="38" t="n">
        <f aca="false">Sens!$N$6221</f>
        <v>323.369</v>
      </c>
      <c r="O6245" s="38" t="n">
        <f aca="false">Sens!$O$6221</f>
        <v>393.555</v>
      </c>
    </row>
    <row r="6246" customFormat="false" ht="17.15" hidden="false" customHeight="false" outlineLevel="0" collapsed="false">
      <c r="A6246" s="24" t="s">
        <v>703</v>
      </c>
      <c r="B6246" s="25" t="s">
        <v>86</v>
      </c>
      <c r="C6246" s="41" t="n">
        <f aca="false">Sens!$C$6233+Sens!$C$6234+Sens!$C$6235+Sens!$C$6236+Sens!$C$6237+Sens!$C$6238-(Sens!$C$6240+Sens!$C$6241)</f>
        <v>0</v>
      </c>
      <c r="D6246" s="41" t="n">
        <f aca="false">Sens!$D$6233+Sens!$D$6234+Sens!$D$6235+Sens!$D$6236+Sens!$D$6237+Sens!$D$6238-(Sens!$D$6240+Sens!$D$6241)</f>
        <v>0</v>
      </c>
      <c r="E6246" s="41" t="n">
        <f aca="false">Sens!$E$6233+Sens!$E$6234+Sens!$E$6235+Sens!$E$6236+Sens!$E$6237+Sens!$E$6238-(Sens!$E$6240+Sens!$E$6241)</f>
        <v>0</v>
      </c>
      <c r="F6246" s="41" t="n">
        <f aca="false">Sens!$F$6233+Sens!$F$6234+Sens!$F$6235+Sens!$F$6236+Sens!$F$6237+Sens!$F$6238-(Sens!$F$6240+Sens!$F$6241)</f>
        <v>0</v>
      </c>
      <c r="G6246" s="41" t="n">
        <f aca="false">Sens!$G$6233+Sens!$G$6234+Sens!$G$6235+Sens!$G$6236+Sens!$G$6237+Sens!$G$6238-(Sens!$G$6240+Sens!$G$6241)</f>
        <v>0</v>
      </c>
      <c r="H6246" s="41" t="n">
        <f aca="false">Sens!$H$6233+Sens!$H$6234+Sens!$H$6235+Sens!$H$6236+Sens!$H$6237+Sens!$H$6238-(Sens!$H$6240+Sens!$H$6241)</f>
        <v>0</v>
      </c>
      <c r="I6246" s="41" t="n">
        <f aca="false">Sens!$I$6233+Sens!$I$6234+Sens!$I$6235+Sens!$I$6236+Sens!$I$6237+Sens!$I$6238-(Sens!$I$6240+Sens!$I$6241)</f>
        <v>0</v>
      </c>
      <c r="J6246" s="41" t="n">
        <f aca="false">Sens!$J$6233+Sens!$J$6234+Sens!$J$6235+Sens!$J$6236+Sens!$J$6237+Sens!$J$6238-(Sens!$J$6240+Sens!$J$6241)</f>
        <v>0</v>
      </c>
      <c r="K6246" s="41" t="n">
        <f aca="false">Sens!$K$6233+Sens!$K$6234+Sens!$K$6235+Sens!$K$6236+Sens!$K$6237+Sens!$K$6238-(Sens!$K$6240+Sens!$K$6241)</f>
        <v>0</v>
      </c>
      <c r="L6246" s="41" t="n">
        <f aca="false">Sens!$L$6233+Sens!$L$6234+Sens!$L$6235+Sens!$L$6236+Sens!$L$6237+Sens!$L$6238-(Sens!$L$6240+Sens!$L$6241)</f>
        <v>0</v>
      </c>
      <c r="M6246" s="41" t="n">
        <f aca="false">Sens!$M$6233+Sens!$M$6234+Sens!$M$6235+Sens!$M$6236+Sens!$M$6237+Sens!$M$6238-(Sens!$M$6240+Sens!$M$6241)</f>
        <v>0</v>
      </c>
      <c r="N6246" s="41" t="n">
        <f aca="false">Sens!$N$6233+Sens!$N$6234+Sens!$N$6235+Sens!$N$6236+Sens!$N$6237+Sens!$N$6238-(Sens!$N$6240+Sens!$N$6241)</f>
        <v>0</v>
      </c>
      <c r="O6246" s="41" t="n">
        <f aca="false">Sens!$O$6233+Sens!$O$6234+Sens!$O$6235+Sens!$O$6236+Sens!$O$6237+Sens!$O$6238-(Sens!$O$6240+Sens!$O$6241)</f>
        <v>0</v>
      </c>
    </row>
    <row r="6247" customFormat="false" ht="17.15" hidden="false" customHeight="false" outlineLevel="0" collapsed="false">
      <c r="A6247" s="24" t="s">
        <v>704</v>
      </c>
      <c r="B6247" s="25" t="s">
        <v>86</v>
      </c>
      <c r="C6247" s="41" t="n">
        <f aca="false">Sens!$C$6243+Sens!$C$6244-Sens!$C$6242</f>
        <v>0</v>
      </c>
      <c r="D6247" s="41" t="n">
        <f aca="false">Sens!$D$6243+Sens!$D$6244-Sens!$D$6242</f>
        <v>0</v>
      </c>
      <c r="E6247" s="41" t="n">
        <f aca="false">Sens!$E$6243+Sens!$E$6244-Sens!$E$6242</f>
        <v>0</v>
      </c>
      <c r="F6247" s="41" t="n">
        <f aca="false">Sens!$F$6243+Sens!$F$6244-Sens!$F$6242</f>
        <v>0</v>
      </c>
      <c r="G6247" s="41" t="n">
        <f aca="false">Sens!$G$6243+Sens!$G$6244-Sens!$G$6242</f>
        <v>0</v>
      </c>
      <c r="H6247" s="41" t="n">
        <f aca="false">Sens!$H$6243+Sens!$H$6244-Sens!$H$6242</f>
        <v>0</v>
      </c>
      <c r="I6247" s="41" t="n">
        <f aca="false">Sens!$I$6243+Sens!$I$6244-Sens!$I$6242</f>
        <v>0</v>
      </c>
      <c r="J6247" s="41" t="n">
        <f aca="false">Sens!$J$6243+Sens!$J$6244-Sens!$J$6242</f>
        <v>0</v>
      </c>
      <c r="K6247" s="41" t="n">
        <f aca="false">Sens!$K$6243+Sens!$K$6244-Sens!$K$6242</f>
        <v>0</v>
      </c>
      <c r="L6247" s="41" t="n">
        <f aca="false">Sens!$L$6243+Sens!$L$6244-Sens!$L$6242</f>
        <v>0</v>
      </c>
      <c r="M6247" s="41" t="n">
        <f aca="false">Sens!$M$6243+Sens!$M$6244-Sens!$M$6242</f>
        <v>0</v>
      </c>
      <c r="N6247" s="41" t="n">
        <f aca="false">Sens!$N$6243+Sens!$N$6244-Sens!$N$6242</f>
        <v>0</v>
      </c>
      <c r="O6247" s="41" t="n">
        <f aca="false">Sens!$O$6243+Sens!$O$6244-Sens!$O$6242</f>
        <v>0</v>
      </c>
    </row>
    <row r="6248" customFormat="false" ht="17.15" hidden="false" customHeight="false" outlineLevel="0" collapsed="false">
      <c r="A6248" s="24" t="s">
        <v>763</v>
      </c>
      <c r="B6248" s="25" t="s">
        <v>86</v>
      </c>
      <c r="C6248" s="41" t="n">
        <f aca="false">Sens!$C$6233+Sens!$C$6234+Sens!$C$6235+Sens!$C$6236+Sens!$C$6237+Sens!$C$6238+Sens!$C$6239-Sens!$C$6245</f>
        <v>0</v>
      </c>
      <c r="D6248" s="41" t="n">
        <f aca="false">Sens!$D$6233+Sens!$D$6234+Sens!$D$6235+Sens!$D$6236+Sens!$D$6237+Sens!$D$6238+Sens!$D$6239-Sens!$D$6245</f>
        <v>0</v>
      </c>
      <c r="E6248" s="41" t="n">
        <f aca="false">Sens!$E$6233+Sens!$E$6234+Sens!$E$6235+Sens!$E$6236+Sens!$E$6237+Sens!$E$6238+Sens!$E$6239-Sens!$E$6245</f>
        <v>0</v>
      </c>
      <c r="F6248" s="41" t="n">
        <f aca="false">Sens!$F$6233+Sens!$F$6234+Sens!$F$6235+Sens!$F$6236+Sens!$F$6237+Sens!$F$6238+Sens!$F$6239-Sens!$F$6245</f>
        <v>0</v>
      </c>
      <c r="G6248" s="41" t="n">
        <f aca="false">Sens!$G$6233+Sens!$G$6234+Sens!$G$6235+Sens!$G$6236+Sens!$G$6237+Sens!$G$6238+Sens!$G$6239-Sens!$G$6245</f>
        <v>0</v>
      </c>
      <c r="H6248" s="41" t="n">
        <f aca="false">Sens!$H$6233+Sens!$H$6234+Sens!$H$6235+Sens!$H$6236+Sens!$H$6237+Sens!$H$6238+Sens!$H$6239-Sens!$H$6245</f>
        <v>0</v>
      </c>
      <c r="I6248" s="41" t="n">
        <f aca="false">Sens!$I$6233+Sens!$I$6234+Sens!$I$6235+Sens!$I$6236+Sens!$I$6237+Sens!$I$6238+Sens!$I$6239-Sens!$I$6245</f>
        <v>0</v>
      </c>
      <c r="J6248" s="41" t="n">
        <f aca="false">Sens!$J$6233+Sens!$J$6234+Sens!$J$6235+Sens!$J$6236+Sens!$J$6237+Sens!$J$6238+Sens!$J$6239-Sens!$J$6245</f>
        <v>0</v>
      </c>
      <c r="K6248" s="41" t="n">
        <f aca="false">Sens!$K$6233+Sens!$K$6234+Sens!$K$6235+Sens!$K$6236+Sens!$K$6237+Sens!$K$6238+Sens!$K$6239-Sens!$K$6245</f>
        <v>0</v>
      </c>
      <c r="L6248" s="41" t="n">
        <f aca="false">Sens!$L$6233+Sens!$L$6234+Sens!$L$6235+Sens!$L$6236+Sens!$L$6237+Sens!$L$6238+Sens!$L$6239-Sens!$L$6245</f>
        <v>0</v>
      </c>
      <c r="M6248" s="41" t="n">
        <f aca="false">Sens!$M$6233+Sens!$M$6234+Sens!$M$6235+Sens!$M$6236+Sens!$M$6237+Sens!$M$6238+Sens!$M$6239-Sens!$M$6245</f>
        <v>0</v>
      </c>
      <c r="N6248" s="41" t="n">
        <f aca="false">Sens!$N$6233+Sens!$N$6234+Sens!$N$6235+Sens!$N$6236+Sens!$N$6237+Sens!$N$6238+Sens!$N$6239-Sens!$N$6245</f>
        <v>0</v>
      </c>
      <c r="O6248" s="41" t="n">
        <f aca="false">Sens!$O$6233+Sens!$O$6234+Sens!$O$6235+Sens!$O$6236+Sens!$O$6237+Sens!$O$6238+Sens!$O$6239-Sens!$O$6245</f>
        <v>0</v>
      </c>
    </row>
    <row r="6249" customFormat="false" ht="17.15" hidden="false" customHeight="false" outlineLevel="0" collapsed="false">
      <c r="A6249" s="24" t="s">
        <v>705</v>
      </c>
      <c r="B6249" s="25" t="s">
        <v>86</v>
      </c>
      <c r="C6249" s="41" t="n">
        <f aca="false">Sens!$C$6240+Sens!$C$6241+Sens!$C$6242-Sens!$C$6245</f>
        <v>0</v>
      </c>
      <c r="D6249" s="41" t="n">
        <f aca="false">Sens!$D$6240+Sens!$D$6241+Sens!$D$6242-Sens!$D$6245</f>
        <v>0</v>
      </c>
      <c r="E6249" s="41" t="n">
        <f aca="false">Sens!$E$6240+Sens!$E$6241+Sens!$E$6242-Sens!$E$6245</f>
        <v>0</v>
      </c>
      <c r="F6249" s="41" t="n">
        <f aca="false">Sens!$F$6240+Sens!$F$6241+Sens!$F$6242-Sens!$F$6245</f>
        <v>0</v>
      </c>
      <c r="G6249" s="41" t="n">
        <f aca="false">Sens!$G$6240+Sens!$G$6241+Sens!$G$6242-Sens!$G$6245</f>
        <v>0</v>
      </c>
      <c r="H6249" s="41" t="n">
        <f aca="false">Sens!$H$6240+Sens!$H$6241+Sens!$H$6242-Sens!$H$6245</f>
        <v>0</v>
      </c>
      <c r="I6249" s="41" t="n">
        <f aca="false">Sens!$I$6240+Sens!$I$6241+Sens!$I$6242-Sens!$I$6245</f>
        <v>0</v>
      </c>
      <c r="J6249" s="41" t="n">
        <f aca="false">Sens!$J$6240+Sens!$J$6241+Sens!$J$6242-Sens!$J$6245</f>
        <v>0</v>
      </c>
      <c r="K6249" s="41" t="n">
        <f aca="false">Sens!$K$6240+Sens!$K$6241+Sens!$K$6242-Sens!$K$6245</f>
        <v>0</v>
      </c>
      <c r="L6249" s="41" t="n">
        <f aca="false">Sens!$L$6240+Sens!$L$6241+Sens!$L$6242-Sens!$L$6245</f>
        <v>0</v>
      </c>
      <c r="M6249" s="41" t="n">
        <f aca="false">Sens!$M$6240+Sens!$M$6241+Sens!$M$6242-Sens!$M$6245</f>
        <v>0</v>
      </c>
      <c r="N6249" s="41" t="n">
        <f aca="false">Sens!$N$6240+Sens!$N$6241+Sens!$N$6242-Sens!$N$6245</f>
        <v>0</v>
      </c>
      <c r="O6249" s="41" t="n">
        <f aca="false">Sens!$O$6240+Sens!$O$6241+Sens!$O$6242-Sens!$O$6245</f>
        <v>0</v>
      </c>
    </row>
    <row r="6250" customFormat="false" ht="17.15" hidden="false" customHeight="false" outlineLevel="0" collapsed="false">
      <c r="A6250" s="1" t="s">
        <v>719</v>
      </c>
    </row>
    <row r="6251" customFormat="false" ht="17.15" hidden="false" customHeight="false" outlineLevel="0" collapsed="false">
      <c r="A6251" s="0" t="s">
        <v>720</v>
      </c>
      <c r="B6251" s="0" t="s">
        <v>86</v>
      </c>
      <c r="C6251" s="38" t="n">
        <f aca="false">Sens!$C$6155*m_ad</f>
        <v>20.5341564414228</v>
      </c>
      <c r="D6251" s="38" t="n">
        <f aca="false">Sens!$D$6155*m_ad</f>
        <v>24.8720617299587</v>
      </c>
      <c r="E6251" s="38" t="n">
        <f aca="false">Sens!$E$6155*m_ad</f>
        <v>13.5017112462207</v>
      </c>
      <c r="F6251" s="38" t="n">
        <f aca="false">Sens!$F$6155*m_ad</f>
        <v>16.5719724165257</v>
      </c>
      <c r="G6251" s="38" t="n">
        <f aca="false">Sens!$G$6155*m_ad</f>
        <v>30.0820919220415</v>
      </c>
      <c r="H6251" s="38" t="n">
        <f aca="false">Sens!$H$6155*m_ad</f>
        <v>36.1150883276314</v>
      </c>
      <c r="I6251" s="38" t="n">
        <f aca="false">Sens!$I$6155*m_ad</f>
        <v>42.1475382231996</v>
      </c>
      <c r="J6251" s="38" t="n">
        <f aca="false">Sens!$J$6155*m_ad</f>
        <v>47.7749523864693</v>
      </c>
      <c r="K6251" s="38" t="n">
        <f aca="false">Sens!$K$6155*m_ad</f>
        <v>52.5524476251162</v>
      </c>
      <c r="L6251" s="38" t="n">
        <f aca="false">Sens!$L$6155*m_ad</f>
        <v>57.8076923876279</v>
      </c>
      <c r="M6251" s="38" t="n">
        <f aca="false">Sens!$M$6155*m_ad</f>
        <v>63.5884616263907</v>
      </c>
      <c r="N6251" s="38" t="n">
        <f aca="false">Sens!$N$6155*m_ad</f>
        <v>10.8543555706248</v>
      </c>
      <c r="O6251" s="38" t="n">
        <f aca="false">Sens!$O$6155*m_ad</f>
        <v>14.0094731821399</v>
      </c>
    </row>
    <row r="6252" customFormat="false" ht="17.15" hidden="false" customHeight="false" outlineLevel="0" collapsed="false">
      <c r="A6252" s="0" t="s">
        <v>721</v>
      </c>
      <c r="B6252" s="0" t="s">
        <v>86</v>
      </c>
      <c r="C6252" s="38" t="n">
        <f aca="false">Sens!$C$6153-Sens!$C$6155</f>
        <v>346.428687117154</v>
      </c>
      <c r="D6252" s="38" t="n">
        <f aca="false">Sens!$D$6153-Sens!$D$6155</f>
        <v>376.560876540083</v>
      </c>
      <c r="E6252" s="38" t="n">
        <f aca="false">Sens!$E$6153-Sens!$E$6155</f>
        <v>193.316577507559</v>
      </c>
      <c r="F6252" s="38" t="n">
        <f aca="false">Sens!$F$6153-Sens!$F$6155</f>
        <v>217.495828647535</v>
      </c>
      <c r="G6252" s="38" t="n">
        <f aca="false">Sens!$G$6153-Sens!$G$6155</f>
        <v>410.795589636503</v>
      </c>
      <c r="H6252" s="38" t="n">
        <f aca="false">Sens!$H$6153-Sens!$H$6155</f>
        <v>449.156813761174</v>
      </c>
      <c r="I6252" s="38" t="n">
        <f aca="false">Sens!$I$6153-Sens!$I$6155</f>
        <v>485.848786441156</v>
      </c>
      <c r="J6252" s="38" t="n">
        <f aca="false">Sens!$J$6153-Sens!$J$6155</f>
        <v>519.841531018994</v>
      </c>
      <c r="K6252" s="38" t="n">
        <f aca="false">Sens!$K$6153-Sens!$K$6155</f>
        <v>550.103332311311</v>
      </c>
      <c r="L6252" s="38" t="n">
        <f aca="false">Sens!$L$6153-Sens!$L$6155</f>
        <v>582.192354474511</v>
      </c>
      <c r="M6252" s="38" t="n">
        <f aca="false">Sens!$M$6153-Sens!$M$6155</f>
        <v>616.22240521081</v>
      </c>
      <c r="N6252" s="38" t="n">
        <f aca="false">Sens!$N$6153-Sens!$N$6155</f>
        <v>171.24628885875</v>
      </c>
      <c r="O6252" s="38" t="n">
        <f aca="false">Sens!$O$6153-Sens!$O$6155</f>
        <v>205.33105363572</v>
      </c>
    </row>
    <row r="6253" customFormat="false" ht="17.15" hidden="false" customHeight="false" outlineLevel="0" collapsed="false">
      <c r="A6253" s="0" t="s">
        <v>722</v>
      </c>
      <c r="B6253" s="0" t="s">
        <v>86</v>
      </c>
      <c r="C6253" s="38" t="n">
        <f aca="false">Sens!$C$6204*Sens!$C$6152</f>
        <v>0.123617442257179</v>
      </c>
      <c r="D6253" s="38" t="n">
        <f aca="false">Sens!$D$6204*Sens!$D$6152</f>
        <v>0.600198046024689</v>
      </c>
      <c r="E6253" s="38" t="n">
        <f aca="false">Sens!$E$6204*Sens!$E$6152</f>
        <v>0.970552432202993</v>
      </c>
      <c r="F6253" s="38" t="n">
        <f aca="false">Sens!$F$6204*Sens!$F$6152</f>
        <v>1.20013524388435</v>
      </c>
      <c r="G6253" s="38" t="n">
        <f aca="false">Sens!$G$6204*Sens!$G$6152</f>
        <v>2.17135369594947</v>
      </c>
      <c r="H6253" s="38" t="n">
        <f aca="false">Sens!$H$6204*Sens!$H$6152</f>
        <v>6.14227489656333</v>
      </c>
      <c r="I6253" s="38" t="n">
        <f aca="false">Sens!$I$6204*Sens!$I$6152</f>
        <v>11.6518054969681</v>
      </c>
      <c r="J6253" s="38" t="n">
        <f aca="false">Sens!$J$6204*Sens!$J$6152</f>
        <v>17.3105301010592</v>
      </c>
      <c r="K6253" s="38" t="n">
        <f aca="false">Sens!$K$6204*Sens!$K$6152</f>
        <v>22.8486728059883</v>
      </c>
      <c r="L6253" s="38" t="n">
        <f aca="false">Sens!$L$6204*Sens!$L$6152</f>
        <v>26.6849171332777</v>
      </c>
      <c r="M6253" s="38" t="n">
        <f aca="false">Sens!$M$6204*Sens!$M$6152</f>
        <v>29.0523240317336</v>
      </c>
      <c r="N6253" s="38" t="n">
        <f aca="false">Sens!$N$6204*Sens!$N$6152</f>
        <v>0.25053229484398</v>
      </c>
      <c r="O6253" s="38" t="n">
        <f aca="false">Sens!$O$6204*Sens!$O$6152</f>
        <v>0.349234376756897</v>
      </c>
    </row>
    <row r="6254" customFormat="false" ht="17.15" hidden="false" customHeight="false" outlineLevel="0" collapsed="false">
      <c r="A6254" s="0" t="s">
        <v>723</v>
      </c>
      <c r="B6254" s="0" t="s">
        <v>52</v>
      </c>
      <c r="C6254" s="28" t="n">
        <f aca="false">(Sens!$C$6255-Sens!$C$6251+Sens!$C$6253)/Sens!$C$6252</f>
        <v>0.0131526665379575</v>
      </c>
      <c r="D6254" s="28" t="n">
        <f aca="false">(Sens!$D$6255-Sens!$D$6251+Sens!$D$6253)/Sens!$D$6252</f>
        <v>0.0141999252954702</v>
      </c>
      <c r="E6254" s="28" t="n">
        <f aca="false">(Sens!$E$6255-Sens!$E$6251+Sens!$E$6253)/Sens!$E$6252</f>
        <v>0.0251341154940129</v>
      </c>
      <c r="F6254" s="28" t="n">
        <f aca="false">Sens!$O$6254+(Sens!$E$6254-Sens!$N$6254)</f>
        <v>0.0217171685713677</v>
      </c>
      <c r="G6254" s="28" t="n">
        <f aca="false">(Sens!$G$6255-Sens!$G$6251+Sens!$G$6253)/Sens!$G$6252</f>
        <v>0.0233071940458981</v>
      </c>
      <c r="H6254" s="28" t="n">
        <f aca="false">Sens!$G$6254+step_na</f>
        <v>0.0263071940458981</v>
      </c>
      <c r="I6254" s="28" t="n">
        <f aca="false">Sens!$H$6254+step_na</f>
        <v>0.0293071940458981</v>
      </c>
      <c r="J6254" s="28" t="n">
        <f aca="false">Sens!$I$6254+step_na</f>
        <v>0.0323071940458981</v>
      </c>
      <c r="K6254" s="28" t="n">
        <f aca="false">Sens!$J$6254+step_na</f>
        <v>0.0353071940458981</v>
      </c>
      <c r="L6254" s="28" t="n">
        <f aca="false">Sens!$K$6254</f>
        <v>0.0353071940458981</v>
      </c>
      <c r="M6254" s="28" t="n">
        <f aca="false">Sens!$L$6254</f>
        <v>0.0353071940458981</v>
      </c>
      <c r="N6254" s="28" t="n">
        <f aca="false">(Sens!$N$6255-Sens!$N$6251+Sens!$N$6253)/Sens!$N$6252</f>
        <v>0.0160831323269779</v>
      </c>
      <c r="O6254" s="28" t="n">
        <f aca="false">(Sens!$O$6255-Sens!$O$6251+Sens!$O$6253)/Sens!$O$6252</f>
        <v>0.0126661854043327</v>
      </c>
      <c r="P6254" s="8" t="s">
        <v>724</v>
      </c>
    </row>
    <row r="6255" customFormat="false" ht="17.15" hidden="false" customHeight="false" outlineLevel="0" collapsed="false">
      <c r="A6255" s="1" t="s">
        <v>725</v>
      </c>
      <c r="B6255" s="8" t="s">
        <v>86</v>
      </c>
      <c r="C6255" s="38" t="n">
        <f aca="false">Q!$D$22</f>
        <v>24.967</v>
      </c>
      <c r="D6255" s="38" t="n">
        <f aca="false">Q!$E$22</f>
        <v>29.619</v>
      </c>
      <c r="E6255" s="38" t="n">
        <f aca="false">Q!$P$22</f>
        <v>17.39</v>
      </c>
      <c r="F6255" s="38" t="n">
        <f aca="false">Sens!$F$6251+Sens!$F$6252*Sens!$F$6254-Sens!$F$6253</f>
        <v>20.0952307469491</v>
      </c>
      <c r="G6255" s="38" t="n">
        <f aca="false">Sens!$E$6255+Sens!$F$6255</f>
        <v>37.4852307469491</v>
      </c>
      <c r="H6255" s="38" t="n">
        <f aca="false">Sens!$H$6251+Sens!$H$6252*Sens!$H$6254-Sens!$H$6253</f>
        <v>41.7888688877206</v>
      </c>
      <c r="I6255" s="38" t="n">
        <f aca="false">Sens!$I$6251+Sens!$I$6252*Sens!$I$6254-Sens!$I$6253</f>
        <v>44.7345973874265</v>
      </c>
      <c r="J6255" s="38" t="n">
        <f aca="false">Sens!$J$6251+Sens!$J$6252*Sens!$J$6254-Sens!$J$6253</f>
        <v>47.2590435011574</v>
      </c>
      <c r="K6255" s="38" t="n">
        <f aca="false">Sens!$K$6251+Sens!$K$6252*Sens!$K$6254-Sens!$K$6253</f>
        <v>49.1263799183386</v>
      </c>
      <c r="L6255" s="38" t="n">
        <f aca="false">Sens!$L$6251+Sens!$L$6252*Sens!$L$6254-Sens!$L$6253</f>
        <v>51.67835368582</v>
      </c>
      <c r="M6255" s="38" t="n">
        <f aca="false">Sens!$M$6251+Sens!$M$6252*Sens!$M$6254-Sens!$M$6253</f>
        <v>56.2932216308652</v>
      </c>
      <c r="N6255" s="38" t="n">
        <f aca="false">Q!$N$22</f>
        <v>13.358</v>
      </c>
      <c r="O6255" s="38" t="n">
        <f aca="false">Q!$O$22</f>
        <v>16.261</v>
      </c>
    </row>
    <row r="6256" customFormat="false" ht="17.15" hidden="false" customHeight="false" outlineLevel="0" collapsed="false">
      <c r="A6256" s="0" t="s">
        <v>726</v>
      </c>
      <c r="B6256" s="0" t="s">
        <v>86</v>
      </c>
      <c r="C6256" s="38" t="n">
        <f aca="false">Sens!$C$6156*m_ad</f>
        <v>7.57284355857716</v>
      </c>
      <c r="D6256" s="38" t="n">
        <f aca="false">Sens!$D$6156*m_ad</f>
        <v>9.44543827004127</v>
      </c>
      <c r="E6256" s="38" t="n">
        <f aca="false">Sens!$E$6156*m_ad</f>
        <v>5.02428875377928</v>
      </c>
      <c r="F6256" s="38" t="n">
        <f aca="false">Sens!$F$6156*m_ad</f>
        <v>6.50663858068173</v>
      </c>
      <c r="G6256" s="38" t="n">
        <f aca="false">Sens!$G$6156*m_ad</f>
        <v>11.5225190751659</v>
      </c>
      <c r="H6256" s="38" t="n">
        <f aca="false">Sens!$H$6156*m_ad</f>
        <v>13.8333728663174</v>
      </c>
      <c r="I6256" s="38" t="n">
        <f aca="false">Sens!$I$6156*m_ad</f>
        <v>16.1440173245485</v>
      </c>
      <c r="J6256" s="38" t="n">
        <f aca="false">Sens!$J$6156*m_ad</f>
        <v>18.2995185845066</v>
      </c>
      <c r="K6256" s="38" t="n">
        <f aca="false">Sens!$K$6156*m_ad</f>
        <v>20.1294704429572</v>
      </c>
      <c r="L6256" s="38" t="n">
        <f aca="false">Sens!$L$6156*m_ad</f>
        <v>22.142417487253</v>
      </c>
      <c r="M6256" s="38" t="n">
        <f aca="false">Sens!$M$6156*m_ad</f>
        <v>24.3566592359783</v>
      </c>
      <c r="N6256" s="38" t="n">
        <f aca="false">Sens!$N$6156*m_ad</f>
        <v>3.95314442937518</v>
      </c>
      <c r="O6256" s="38" t="n">
        <f aca="false">Sens!$O$6156*m_ad</f>
        <v>5.50052681786011</v>
      </c>
    </row>
    <row r="6257" customFormat="false" ht="17.15" hidden="false" customHeight="false" outlineLevel="0" collapsed="false">
      <c r="A6257" s="0" t="s">
        <v>727</v>
      </c>
      <c r="B6257" s="0" t="s">
        <v>86</v>
      </c>
      <c r="C6257" s="38" t="n">
        <f aca="false">Sens!$C$6154-Sens!$C$6156</f>
        <v>127.760312882846</v>
      </c>
      <c r="D6257" s="38" t="n">
        <f aca="false">Sens!$D$6154-Sens!$D$6156</f>
        <v>143.003123459917</v>
      </c>
      <c r="E6257" s="38" t="n">
        <f aca="false">Sens!$E$6154-Sens!$E$6156</f>
        <v>71.9374224924414</v>
      </c>
      <c r="F6257" s="38" t="n">
        <f aca="false">Sens!$F$6154-Sens!$F$6156</f>
        <v>85.3951910035875</v>
      </c>
      <c r="G6257" s="38" t="n">
        <f aca="false">Sens!$G$6154-Sens!$G$6156</f>
        <v>157.349430014619</v>
      </c>
      <c r="H6257" s="38" t="n">
        <f aca="false">Sens!$H$6154-Sens!$H$6156</f>
        <v>172.043153372315</v>
      </c>
      <c r="I6257" s="38" t="n">
        <f aca="false">Sens!$I$6154-Sens!$I$6156</f>
        <v>186.097493615879</v>
      </c>
      <c r="J6257" s="38" t="n">
        <f aca="false">Sens!$J$6154-Sens!$J$6156</f>
        <v>199.117932780497</v>
      </c>
      <c r="K6257" s="38" t="n">
        <f aca="false">Sens!$K$6154-Sens!$K$6156</f>
        <v>210.70928698363</v>
      </c>
      <c r="L6257" s="38" t="n">
        <f aca="false">Sens!$L$6154-Sens!$L$6156</f>
        <v>223.000532251316</v>
      </c>
      <c r="M6257" s="38" t="n">
        <f aca="false">Sens!$M$6154-Sens!$M$6156</f>
        <v>236.035261011339</v>
      </c>
      <c r="N6257" s="38" t="n">
        <f aca="false">Sens!$N$6154-Sens!$N$6156</f>
        <v>62.3677111412496</v>
      </c>
      <c r="O6257" s="38" t="n">
        <f aca="false">Sens!$O$6154-Sens!$O$6156</f>
        <v>80.6189463642798</v>
      </c>
    </row>
    <row r="6258" customFormat="false" ht="17.15" hidden="false" customHeight="false" outlineLevel="0" collapsed="false">
      <c r="A6258" s="0" t="s">
        <v>728</v>
      </c>
      <c r="B6258" s="0" t="s">
        <v>86</v>
      </c>
      <c r="C6258" s="38" t="n">
        <f aca="false">Sens!$C$6204*(1-Sens!$C$6152)</f>
        <v>0.0455891896019953</v>
      </c>
      <c r="D6258" s="38" t="n">
        <f aca="false">Sens!$D$6204*(1-Sens!$D$6152)</f>
        <v>0.227931791705753</v>
      </c>
      <c r="E6258" s="38" t="n">
        <f aca="false">Sens!$E$6204*(1-Sens!$E$6152)</f>
        <v>0.361164268820781</v>
      </c>
      <c r="F6258" s="38" t="n">
        <f aca="false">Sens!$F$6204*(1-Sens!$F$6152)</f>
        <v>0.471208018190203</v>
      </c>
      <c r="G6258" s="38" t="n">
        <f aca="false">Sens!$G$6204*(1-Sens!$G$6152)</f>
        <v>0.83170626714885</v>
      </c>
      <c r="H6258" s="38" t="n">
        <f aca="false">Sens!$H$6204*(1-Sens!$H$6152)</f>
        <v>2.35271136874315</v>
      </c>
      <c r="I6258" s="38" t="n">
        <f aca="false">Sens!$I$6204*(1-Sens!$I$6152)</f>
        <v>4.46305900024741</v>
      </c>
      <c r="J6258" s="38" t="n">
        <f aca="false">Sens!$J$6204*(1-Sens!$J$6152)</f>
        <v>6.63055328092195</v>
      </c>
      <c r="K6258" s="38" t="n">
        <f aca="false">Sens!$K$6204*(1-Sens!$K$6152)</f>
        <v>8.75186037365703</v>
      </c>
      <c r="L6258" s="38" t="n">
        <f aca="false">Sens!$L$6204*(1-Sens!$L$6152)</f>
        <v>10.2212794071718</v>
      </c>
      <c r="M6258" s="38" t="n">
        <f aca="false">Sens!$M$6204*(1-Sens!$M$6152)</f>
        <v>11.1280810756472</v>
      </c>
      <c r="N6258" s="38" t="n">
        <f aca="false">Sens!$N$6204*(1-Sens!$N$6152)</f>
        <v>0.0912435878202994</v>
      </c>
      <c r="O6258" s="38" t="n">
        <f aca="false">Sens!$O$6204*(1-Sens!$O$6152)</f>
        <v>0.137119578309265</v>
      </c>
    </row>
    <row r="6259" customFormat="false" ht="17.15" hidden="false" customHeight="false" outlineLevel="0" collapsed="false">
      <c r="A6259" s="0" t="s">
        <v>729</v>
      </c>
      <c r="B6259" s="0" t="s">
        <v>52</v>
      </c>
      <c r="C6259" s="28" t="n">
        <f aca="false">(Sens!$C$6260-Sens!$C$6256+Sens!$C$6258)/Sens!$C$6257</f>
        <v>-0.0292364215826579</v>
      </c>
      <c r="D6259" s="28" t="n">
        <f aca="false">(Sens!$D$6260-Sens!$D$6256+Sens!$D$6258)/Sens!$D$6257</f>
        <v>-0.0312406216748665</v>
      </c>
      <c r="E6259" s="28" t="n">
        <f aca="false">(Sens!$E$6260-Sens!$E$6256+Sens!$E$6258)/Sens!$E$6257</f>
        <v>-0.0211590078184749</v>
      </c>
      <c r="F6259" s="28" t="n">
        <f aca="false">Sens!$O$6259+(Sens!$E$6259-Sens!$N$6259)</f>
        <v>-0.0382539955245511</v>
      </c>
      <c r="G6259" s="28" t="n">
        <f aca="false">(Sens!$G$6260-Sens!$G$6256+Sens!$G$6258)/Sens!$G$6257</f>
        <v>-0.030385172031133</v>
      </c>
      <c r="H6259" s="28" t="n">
        <f aca="false">Sens!$G$6259+step_in</f>
        <v>-0.030385172031133</v>
      </c>
      <c r="I6259" s="28" t="n">
        <f aca="false">Sens!$H$6259+step_in</f>
        <v>-0.030385172031133</v>
      </c>
      <c r="J6259" s="28" t="n">
        <f aca="false">Sens!$I$6259+step_in</f>
        <v>-0.030385172031133</v>
      </c>
      <c r="K6259" s="28" t="n">
        <f aca="false">Sens!$J$6259+step_in</f>
        <v>-0.030385172031133</v>
      </c>
      <c r="L6259" s="28" t="n">
        <f aca="false">Sens!$K$6259</f>
        <v>-0.030385172031133</v>
      </c>
      <c r="M6259" s="28" t="n">
        <f aca="false">Sens!$L$6259</f>
        <v>-0.030385172031133</v>
      </c>
      <c r="N6259" s="28" t="n">
        <f aca="false">(Sens!$N$6260-Sens!$N$6256+Sens!$N$6258)/Sens!$N$6257</f>
        <v>-0.0216602600421776</v>
      </c>
      <c r="O6259" s="28" t="n">
        <f aca="false">(Sens!$O$6260-Sens!$O$6256+Sens!$O$6258)/Sens!$O$6257</f>
        <v>-0.0387552477482538</v>
      </c>
      <c r="P6259" s="8" t="s">
        <v>724</v>
      </c>
    </row>
    <row r="6260" customFormat="false" ht="17.15" hidden="false" customHeight="false" outlineLevel="0" collapsed="false">
      <c r="A6260" s="1" t="s">
        <v>730</v>
      </c>
      <c r="B6260" s="8" t="s">
        <v>86</v>
      </c>
      <c r="C6260" s="38" t="n">
        <f aca="false">Q!$D$23</f>
        <v>3.792</v>
      </c>
      <c r="D6260" s="38" t="n">
        <f aca="false">Q!$E$23</f>
        <v>4.75</v>
      </c>
      <c r="E6260" s="38" t="n">
        <f aca="false">Q!$P$23</f>
        <v>3.141</v>
      </c>
      <c r="F6260" s="38" t="n">
        <f aca="false">Sens!$F$6256+Sens!$F$6257*Sens!$F$6259-Sens!$F$6258</f>
        <v>2.7687233080221</v>
      </c>
      <c r="G6260" s="38" t="n">
        <f aca="false">Sens!$E$6260+Sens!$F$6260</f>
        <v>5.9097233080221</v>
      </c>
      <c r="H6260" s="38" t="n">
        <f aca="false">Sens!$H$6256+Sens!$H$6257*Sens!$H$6259-Sens!$H$6258</f>
        <v>6.25310068557783</v>
      </c>
      <c r="I6260" s="38" t="n">
        <f aca="false">Sens!$I$6256+Sens!$I$6257*Sens!$I$6259-Sens!$I$6258</f>
        <v>6.02635396621997</v>
      </c>
      <c r="J6260" s="38" t="n">
        <f aca="false">Sens!$J$6256+Sens!$J$6257*Sens!$J$6259-Sens!$J$6258</f>
        <v>5.61873266156566</v>
      </c>
      <c r="K6260" s="38" t="n">
        <f aca="false">Sens!$K$6256+Sens!$K$6257*Sens!$K$6259-Sens!$K$6258</f>
        <v>4.97517213574524</v>
      </c>
      <c r="L6260" s="38" t="n">
        <f aca="false">Sens!$L$6256+Sens!$L$6257*Sens!$L$6259-Sens!$L$6258</f>
        <v>5.14522854459066</v>
      </c>
      <c r="M6260" s="38" t="n">
        <f aca="false">Sens!$M$6256+Sens!$M$6257*Sens!$M$6259-Sens!$M$6258</f>
        <v>6.05660614908815</v>
      </c>
      <c r="N6260" s="38" t="n">
        <f aca="false">Q!$N$23</f>
        <v>2.511</v>
      </c>
      <c r="O6260" s="38" t="n">
        <f aca="false">Q!$O$23</f>
        <v>2.239</v>
      </c>
    </row>
    <row r="6261" customFormat="false" ht="17.15" hidden="false" customHeight="false" outlineLevel="0" collapsed="false">
      <c r="A6261" s="0" t="s">
        <v>731</v>
      </c>
      <c r="B6261" s="0" t="s">
        <v>86</v>
      </c>
      <c r="C6261" s="38" t="n">
        <f aca="false">Sens!$C$6201</f>
        <v>1.64417882953695</v>
      </c>
      <c r="D6261" s="38" t="n">
        <f aca="false">Sens!$D$6201</f>
        <v>5.39125073772939</v>
      </c>
      <c r="E6261" s="38" t="n">
        <f aca="false">Sens!$E$6201</f>
        <v>3.18348617147493</v>
      </c>
      <c r="F6261" s="38" t="n">
        <f aca="false">Sens!$F$6201</f>
        <v>8.27806059642226</v>
      </c>
      <c r="G6261" s="38" t="n">
        <f aca="false">Sens!$G$6201</f>
        <v>11.4615467678972</v>
      </c>
      <c r="H6261" s="38" t="n">
        <f aca="false">Sens!$H$6201</f>
        <v>26.1859456885487</v>
      </c>
      <c r="I6261" s="38" t="n">
        <f aca="false">Sens!$I$6201</f>
        <v>37.04424114757</v>
      </c>
      <c r="J6261" s="38" t="n">
        <f aca="false">Sens!$J$6201</f>
        <v>47.2610736233534</v>
      </c>
      <c r="K6261" s="38" t="n">
        <f aca="false">Sens!$K$6201</f>
        <v>52.0459876645985</v>
      </c>
      <c r="L6261" s="38" t="n">
        <f aca="false">Sens!$L$6201</f>
        <v>54.1033156405981</v>
      </c>
      <c r="M6261" s="38" t="n">
        <f aca="false">Sens!$M$6201</f>
        <v>52.1138209393421</v>
      </c>
      <c r="N6261" s="38" t="n">
        <f aca="false">Sens!$N$6201</f>
        <v>1.67921600037079</v>
      </c>
      <c r="O6261" s="38" t="n">
        <f aca="false">Sens!$O$6201</f>
        <v>3.71203473735861</v>
      </c>
    </row>
    <row r="6262" customFormat="false" ht="17.15" hidden="false" customHeight="false" outlineLevel="0" collapsed="false">
      <c r="A6262" s="0" t="s">
        <v>649</v>
      </c>
      <c r="B6262" s="0" t="s">
        <v>86</v>
      </c>
      <c r="C6262" s="38" t="n">
        <f aca="false">Sens!$C$6206</f>
        <v>38.1898211704631</v>
      </c>
      <c r="D6262" s="38" t="n">
        <f aca="false">Sens!$D$6206</f>
        <v>40.2147492622706</v>
      </c>
      <c r="E6262" s="38" t="n">
        <f aca="false">Sens!$E$6206</f>
        <v>27.5985138285251</v>
      </c>
      <c r="F6262" s="38" t="n">
        <f aca="false">Sens!$F$6206</f>
        <v>25.5484769754606</v>
      </c>
      <c r="G6262" s="38" t="n">
        <f aca="false">Sens!$G$6206</f>
        <v>53.1469908039857</v>
      </c>
      <c r="H6262" s="38" t="n">
        <f aca="false">Sens!$H$6206</f>
        <v>57.3189525076539</v>
      </c>
      <c r="I6262" s="38" t="n">
        <f aca="false">Sens!$I$6206</f>
        <v>63.6385627021087</v>
      </c>
      <c r="J6262" s="38" t="n">
        <f aca="false">Sens!$J$6206</f>
        <v>69.6922896066105</v>
      </c>
      <c r="K6262" s="38" t="n">
        <f aca="false">Sens!$K$6206</f>
        <v>75.2676727751394</v>
      </c>
      <c r="L6262" s="38" t="n">
        <f aca="false">Sens!$L$6206</f>
        <v>81.2890865971505</v>
      </c>
      <c r="M6262" s="38" t="n">
        <f aca="false">Sens!$M$6206</f>
        <v>87.7922135249226</v>
      </c>
      <c r="N6262" s="38" t="n">
        <f aca="false">Sens!$N$6206</f>
        <v>20.0277839996292</v>
      </c>
      <c r="O6262" s="38" t="n">
        <f aca="false">Sens!$O$6206</f>
        <v>20.1869652626414</v>
      </c>
    </row>
    <row r="6263" customFormat="false" ht="17.15" hidden="false" customHeight="false" outlineLevel="0" collapsed="false">
      <c r="A6263" s="1" t="s">
        <v>732</v>
      </c>
      <c r="B6263" s="8" t="s">
        <v>86</v>
      </c>
      <c r="C6263" s="38" t="n">
        <f aca="false">Q!$D$24</f>
        <v>39.834</v>
      </c>
      <c r="D6263" s="38" t="n">
        <f aca="false">Q!$E$24</f>
        <v>45.606</v>
      </c>
      <c r="E6263" s="38" t="n">
        <f aca="false">Q!$P$24</f>
        <v>30.782</v>
      </c>
      <c r="F6263" s="38" t="n">
        <f aca="false">Sens!$F$6261+Sens!$F$6262</f>
        <v>33.8265375718829</v>
      </c>
      <c r="G6263" s="38" t="n">
        <f aca="false">Sens!$G$6261+Sens!$G$6262</f>
        <v>64.6085375718829</v>
      </c>
      <c r="H6263" s="38" t="n">
        <f aca="false">Sens!$H$6261+Sens!$H$6262</f>
        <v>83.5048981962026</v>
      </c>
      <c r="I6263" s="38" t="n">
        <f aca="false">Sens!$I$6261+Sens!$I$6262</f>
        <v>100.682803849679</v>
      </c>
      <c r="J6263" s="38" t="n">
        <f aca="false">Sens!$J$6261+Sens!$J$6262</f>
        <v>116.953363229964</v>
      </c>
      <c r="K6263" s="38" t="n">
        <f aca="false">Sens!$K$6261+Sens!$K$6262</f>
        <v>127.313660439738</v>
      </c>
      <c r="L6263" s="38" t="n">
        <f aca="false">Sens!$L$6261+Sens!$L$6262</f>
        <v>135.392402237749</v>
      </c>
      <c r="M6263" s="38" t="n">
        <f aca="false">Sens!$M$6261+Sens!$M$6262</f>
        <v>139.906034464265</v>
      </c>
      <c r="N6263" s="38" t="n">
        <f aca="false">Q!$N$24</f>
        <v>21.707</v>
      </c>
      <c r="O6263" s="38" t="n">
        <f aca="false">Q!$O$24</f>
        <v>23.899</v>
      </c>
    </row>
    <row r="6264" customFormat="false" ht="17.15" hidden="false" customHeight="false" outlineLevel="0" collapsed="false">
      <c r="A6264" s="5" t="s">
        <v>733</v>
      </c>
      <c r="B6264" s="0" t="s">
        <v>86</v>
      </c>
      <c r="C6264" s="38" t="n">
        <f aca="false">Q!$D$26</f>
        <v>0</v>
      </c>
      <c r="D6264" s="38" t="n">
        <f aca="false">Q!$E$26</f>
        <v>0</v>
      </c>
      <c r="E6264" s="38" t="n">
        <f aca="false">Q!$P$26</f>
        <v>0</v>
      </c>
      <c r="F6264" s="39" t="n">
        <v>0</v>
      </c>
      <c r="G6264" s="38" t="n">
        <f aca="false">Sens!$E$6264+Sens!$F$6264</f>
        <v>0</v>
      </c>
      <c r="H6264" s="39" t="n">
        <v>0</v>
      </c>
      <c r="I6264" s="39" t="n">
        <v>0</v>
      </c>
      <c r="J6264" s="39" t="n">
        <v>0</v>
      </c>
      <c r="K6264" s="39" t="n">
        <v>0</v>
      </c>
      <c r="L6264" s="39" t="n">
        <v>0</v>
      </c>
      <c r="M6264" s="39" t="n">
        <v>0</v>
      </c>
      <c r="N6264" s="38" t="n">
        <f aca="false">Q!$N$26</f>
        <v>0</v>
      </c>
      <c r="O6264" s="38" t="n">
        <f aca="false">Q!$O$26</f>
        <v>0</v>
      </c>
    </row>
    <row r="6265" customFormat="false" ht="15" hidden="false" customHeight="false" outlineLevel="0" collapsed="false">
      <c r="A6265" s="3" t="s">
        <v>534</v>
      </c>
      <c r="B6265" s="8" t="s">
        <v>86</v>
      </c>
      <c r="C6265" s="38" t="n">
        <f aca="false">Q!$D$25</f>
        <v>68.593</v>
      </c>
      <c r="D6265" s="38" t="n">
        <f aca="false">Q!$E$25</f>
        <v>79.975</v>
      </c>
      <c r="E6265" s="38" t="n">
        <f aca="false">Q!$P$25</f>
        <v>51.313</v>
      </c>
      <c r="F6265" s="38" t="n">
        <f aca="false">Sens!$F$6255+Sens!$F$6260+Sens!$F$6263+Sens!$F$6264</f>
        <v>56.6904916268541</v>
      </c>
      <c r="G6265" s="38" t="n">
        <f aca="false">Sens!$G$6255+Sens!$G$6260+Sens!$G$6263+Sens!$G$6264</f>
        <v>108.003491626854</v>
      </c>
      <c r="H6265" s="38" t="n">
        <f aca="false">Sens!$H$6255+Sens!$H$6260+Sens!$H$6263+Sens!$H$6264</f>
        <v>131.546867769501</v>
      </c>
      <c r="I6265" s="38" t="n">
        <f aca="false">Sens!$I$6255+Sens!$I$6260+Sens!$I$6263+Sens!$I$6264</f>
        <v>151.443755203325</v>
      </c>
      <c r="J6265" s="38" t="n">
        <f aca="false">Sens!$J$6255+Sens!$J$6260+Sens!$J$6263+Sens!$J$6264</f>
        <v>169.831139392687</v>
      </c>
      <c r="K6265" s="38" t="n">
        <f aca="false">Sens!$K$6255+Sens!$K$6260+Sens!$K$6263+Sens!$K$6264</f>
        <v>181.415212493822</v>
      </c>
      <c r="L6265" s="38" t="n">
        <f aca="false">Sens!$L$6255+Sens!$L$6260+Sens!$L$6263+Sens!$L$6264</f>
        <v>192.215984468159</v>
      </c>
      <c r="M6265" s="38" t="n">
        <f aca="false">Sens!$M$6255+Sens!$M$6260+Sens!$M$6263+Sens!$M$6264</f>
        <v>202.255862244218</v>
      </c>
      <c r="N6265" s="38" t="n">
        <f aca="false">Q!$N$25</f>
        <v>37.576</v>
      </c>
      <c r="O6265" s="38" t="n">
        <f aca="false">Q!$O$25</f>
        <v>42.399</v>
      </c>
    </row>
    <row r="6266" customFormat="false" ht="17.15" hidden="false" customHeight="false" outlineLevel="0" collapsed="false">
      <c r="A6266" s="24" t="s">
        <v>764</v>
      </c>
      <c r="B6266" s="25" t="s">
        <v>86</v>
      </c>
      <c r="C6266" s="41" t="n">
        <f aca="false">Sens!$C$6255+Sens!$C$6260+Sens!$C$6263+Sens!$C$6264-Sens!$C$6265</f>
        <v>0</v>
      </c>
      <c r="D6266" s="41" t="n">
        <f aca="false">Sens!$D$6255+Sens!$D$6260+Sens!$D$6263+Sens!$D$6264-Sens!$D$6265</f>
        <v>0</v>
      </c>
      <c r="E6266" s="41" t="n">
        <f aca="false">Sens!$E$6255+Sens!$E$6260+Sens!$E$6263+Sens!$E$6264-Sens!$E$6265</f>
        <v>0</v>
      </c>
      <c r="F6266" s="41" t="n">
        <f aca="false">Sens!$F$6255+Sens!$F$6260+Sens!$F$6263+Sens!$F$6264-Sens!$F$6265</f>
        <v>0</v>
      </c>
      <c r="G6266" s="41" t="n">
        <f aca="false">Sens!$G$6255+Sens!$G$6260+Sens!$G$6263+Sens!$G$6264-Sens!$G$6265</f>
        <v>0</v>
      </c>
      <c r="H6266" s="41" t="n">
        <f aca="false">Sens!$H$6255+Sens!$H$6260+Sens!$H$6263+Sens!$H$6264-Sens!$H$6265</f>
        <v>0</v>
      </c>
      <c r="I6266" s="41" t="n">
        <f aca="false">Sens!$I$6255+Sens!$I$6260+Sens!$I$6263+Sens!$I$6264-Sens!$I$6265</f>
        <v>0</v>
      </c>
      <c r="J6266" s="41" t="n">
        <f aca="false">Sens!$J$6255+Sens!$J$6260+Sens!$J$6263+Sens!$J$6264-Sens!$J$6265</f>
        <v>0</v>
      </c>
      <c r="K6266" s="41" t="n">
        <f aca="false">Sens!$K$6255+Sens!$K$6260+Sens!$K$6263+Sens!$K$6264-Sens!$K$6265</f>
        <v>0</v>
      </c>
      <c r="L6266" s="41" t="n">
        <f aca="false">Sens!$L$6255+Sens!$L$6260+Sens!$L$6263+Sens!$L$6264-Sens!$L$6265</f>
        <v>0</v>
      </c>
      <c r="M6266" s="41" t="n">
        <f aca="false">Sens!$M$6255+Sens!$M$6260+Sens!$M$6263+Sens!$M$6264-Sens!$M$6265</f>
        <v>0</v>
      </c>
      <c r="N6266" s="41" t="n">
        <f aca="false">Sens!$N$6255+Sens!$N$6260+Sens!$N$6263+Sens!$N$6264-Sens!$N$6265</f>
        <v>0</v>
      </c>
      <c r="O6266" s="41" t="n">
        <f aca="false">Sens!$O$6255+Sens!$O$6260+Sens!$O$6263+Sens!$O$6264-Sens!$O$6265</f>
        <v>0</v>
      </c>
    </row>
    <row r="6267" customFormat="false" ht="17.15" hidden="false" customHeight="false" outlineLevel="0" collapsed="false">
      <c r="A6267" s="5" t="s">
        <v>735</v>
      </c>
      <c r="B6267" s="0" t="s">
        <v>86</v>
      </c>
      <c r="C6267" s="38" t="n">
        <f aca="false">Sens!$C$6203</f>
        <v>0</v>
      </c>
      <c r="D6267" s="38" t="n">
        <f aca="false">Sens!$D$6203</f>
        <v>0</v>
      </c>
      <c r="E6267" s="38" t="n">
        <f aca="false">Sens!$E$6203</f>
        <v>0</v>
      </c>
      <c r="F6267" s="38" t="n">
        <f aca="false">Sens!$F$6203</f>
        <v>3.77122048175818</v>
      </c>
      <c r="G6267" s="38" t="n">
        <f aca="false">Sens!$G$6203</f>
        <v>3.77122048175818</v>
      </c>
      <c r="H6267" s="38" t="n">
        <f aca="false">Sens!$H$6203</f>
        <v>15.1635543609893</v>
      </c>
      <c r="I6267" s="38" t="n">
        <f aca="false">Sens!$I$6203</f>
        <v>25.5818843619889</v>
      </c>
      <c r="J6267" s="38" t="n">
        <f aca="false">Sens!$J$6203</f>
        <v>36.0465624179122</v>
      </c>
      <c r="K6267" s="38" t="n">
        <f aca="false">Sens!$K$6203</f>
        <v>44.9741164026038</v>
      </c>
      <c r="L6267" s="38" t="n">
        <f aca="false">Sens!$L$6203</f>
        <v>50.8413488057813</v>
      </c>
      <c r="M6267" s="38" t="n">
        <f aca="false">Sens!$M$6203</f>
        <v>53.6407214274315</v>
      </c>
      <c r="N6267" s="38" t="n">
        <f aca="false">Sens!$N$6203</f>
        <v>0</v>
      </c>
      <c r="O6267" s="38" t="n">
        <f aca="false">Sens!$O$6203</f>
        <v>0</v>
      </c>
      <c r="P6267" s="5" t="s">
        <v>736</v>
      </c>
    </row>
    <row r="6268" customFormat="false" ht="17.15" hidden="false" customHeight="false" outlineLevel="0" collapsed="false">
      <c r="A6268" s="5" t="s">
        <v>737</v>
      </c>
      <c r="B6268" s="0" t="s">
        <v>86</v>
      </c>
      <c r="C6268" s="38" t="n">
        <f aca="false">Sens!$C$6265+Sens!$C$6267</f>
        <v>68.593</v>
      </c>
      <c r="D6268" s="38" t="n">
        <f aca="false">Sens!$D$6265+Sens!$D$6267</f>
        <v>79.975</v>
      </c>
      <c r="E6268" s="38" t="n">
        <f aca="false">Sens!$E$6265+Sens!$E$6267</f>
        <v>51.313</v>
      </c>
      <c r="F6268" s="38" t="n">
        <f aca="false">Sens!$F$6265+Sens!$F$6267</f>
        <v>60.4617121086123</v>
      </c>
      <c r="G6268" s="38" t="n">
        <f aca="false">Sens!$G$6265+Sens!$G$6267</f>
        <v>111.774712108612</v>
      </c>
      <c r="H6268" s="38" t="n">
        <f aca="false">Sens!$H$6265+Sens!$H$6267</f>
        <v>146.71042213049</v>
      </c>
      <c r="I6268" s="38" t="n">
        <f aca="false">Sens!$I$6265+Sens!$I$6267</f>
        <v>177.025639565314</v>
      </c>
      <c r="J6268" s="38" t="n">
        <f aca="false">Sens!$J$6265+Sens!$J$6267</f>
        <v>205.877701810599</v>
      </c>
      <c r="K6268" s="38" t="n">
        <f aca="false">Sens!$K$6265+Sens!$K$6267</f>
        <v>226.389328896426</v>
      </c>
      <c r="L6268" s="38" t="n">
        <f aca="false">Sens!$L$6265+Sens!$L$6267</f>
        <v>243.057333273941</v>
      </c>
      <c r="M6268" s="38" t="n">
        <f aca="false">Sens!$M$6265+Sens!$M$6267</f>
        <v>255.896583671649</v>
      </c>
      <c r="N6268" s="38" t="n">
        <f aca="false">Sens!$N$6265+Sens!$N$6267</f>
        <v>37.576</v>
      </c>
      <c r="O6268" s="38" t="n">
        <f aca="false">Sens!$O$6265+Sens!$O$6267</f>
        <v>42.399</v>
      </c>
    </row>
    <row r="6269" customFormat="false" ht="17.15" hidden="false" customHeight="false" outlineLevel="0" collapsed="false">
      <c r="A6269" s="0" t="s">
        <v>738</v>
      </c>
      <c r="B6269" s="0" t="s">
        <v>52</v>
      </c>
      <c r="C6269" s="13" t="n">
        <f aca="false">Sens!$C$6255/Sens!$C$6240</f>
        <v>0.0644314665661928</v>
      </c>
      <c r="D6269" s="13" t="n">
        <f aca="false">Sens!$D$6255/Sens!$D$6240</f>
        <v>0.0694784250712518</v>
      </c>
      <c r="E6269" s="13" t="n">
        <f aca="false">Sens!$E$6255/Sens!$E$6240</f>
        <v>0.0789306463326071</v>
      </c>
      <c r="F6269" s="13" t="n">
        <f aca="false">Sens!$F$6255/Sens!$F$6240</f>
        <v>0.0801757457241943</v>
      </c>
      <c r="G6269" s="13" t="n">
        <f aca="false">Sens!$G$6255/Sens!$G$6240</f>
        <v>0.0795932749625682</v>
      </c>
      <c r="H6269" s="13" t="n">
        <f aca="false">Sens!$H$6255/Sens!$H$6240</f>
        <v>0.0801494276915951</v>
      </c>
      <c r="I6269" s="13" t="n">
        <f aca="false">Sens!$I$6255/Sens!$I$6240</f>
        <v>0.0784619467108939</v>
      </c>
      <c r="J6269" s="13" t="n">
        <f aca="false">Sens!$J$6255/Sens!$J$6240</f>
        <v>0.0767950945569155</v>
      </c>
      <c r="K6269" s="13" t="n">
        <f aca="false">Sens!$K$6255/Sens!$K$6240</f>
        <v>0.0749782708028101</v>
      </c>
      <c r="L6269" s="13" t="n">
        <f aca="false">Sens!$L$6255/Sens!$L$6240</f>
        <v>0.0740581549602486</v>
      </c>
      <c r="M6269" s="13" t="n">
        <f aca="false">Sens!$M$6255/Sens!$M$6240</f>
        <v>0.075724068445432</v>
      </c>
      <c r="N6269" s="13" t="n">
        <f aca="false">Sens!$N$6255/Sens!$N$6240</f>
        <v>0.069228576611127</v>
      </c>
      <c r="O6269" s="13" t="n">
        <f aca="false">Sens!$O$6255/Sens!$O$6240</f>
        <v>0.069685022498393</v>
      </c>
    </row>
    <row r="6270" customFormat="false" ht="17.15" hidden="false" customHeight="false" outlineLevel="0" collapsed="false">
      <c r="A6270" s="0" t="s">
        <v>739</v>
      </c>
      <c r="B6270" s="0" t="s">
        <v>52</v>
      </c>
      <c r="C6270" s="13" t="n">
        <f aca="false">Sens!$C$6260/Sens!$C$6241</f>
        <v>0.026534925055631</v>
      </c>
      <c r="D6270" s="13" t="n">
        <f aca="false">Sens!$D$6260/Sens!$D$6241</f>
        <v>0.0293401855535103</v>
      </c>
      <c r="E6270" s="13" t="n">
        <f aca="false">Sens!$E$6260/Sens!$E$6241</f>
        <v>0.03831141902276</v>
      </c>
      <c r="F6270" s="13" t="n">
        <f aca="false">Sens!$F$6260/Sens!$F$6241</f>
        <v>0.0281350107328284</v>
      </c>
      <c r="G6270" s="13" t="n">
        <f aca="false">Sens!$G$6260/Sens!$G$6241</f>
        <v>0.0327600029432073</v>
      </c>
      <c r="H6270" s="13" t="n">
        <f aca="false">Sens!$H$6260/Sens!$H$6241</f>
        <v>0.031310920057557</v>
      </c>
      <c r="I6270" s="13" t="n">
        <f aca="false">Sens!$I$6260/Sens!$I$6241</f>
        <v>0.0275950243319601</v>
      </c>
      <c r="J6270" s="13" t="n">
        <f aca="false">Sens!$J$6260/Sens!$J$6241</f>
        <v>0.0238367762099147</v>
      </c>
      <c r="K6270" s="13" t="n">
        <f aca="false">Sens!$K$6260/Sens!$K$6241</f>
        <v>0.0198239122855479</v>
      </c>
      <c r="L6270" s="13" t="n">
        <f aca="false">Sens!$L$6260/Sens!$L$6241</f>
        <v>0.0192499447238486</v>
      </c>
      <c r="M6270" s="13" t="n">
        <f aca="false">Sens!$M$6260/Sens!$M$6241</f>
        <v>0.0212700135680342</v>
      </c>
      <c r="N6270" s="13" t="n">
        <f aca="false">Sens!$N$6260/Sens!$N$6241</f>
        <v>0.0357315650169337</v>
      </c>
      <c r="O6270" s="13" t="n">
        <f aca="false">Sens!$O$6260/Sens!$O$6241</f>
        <v>0.0244378956559703</v>
      </c>
    </row>
    <row r="6271" customFormat="false" ht="17.15" hidden="false" customHeight="false" outlineLevel="0" collapsed="false">
      <c r="A6271" s="14" t="s">
        <v>740</v>
      </c>
      <c r="B6271" s="14" t="s">
        <v>52</v>
      </c>
      <c r="C6271" s="17" t="n">
        <f aca="false">Sens!$C$6263/Sens!$C$6242</f>
        <v>0.370355907620217</v>
      </c>
      <c r="D6271" s="17" t="n">
        <f aca="false">Sens!$D$6263/Sens!$D$6242</f>
        <v>0.35429015342785</v>
      </c>
      <c r="E6271" s="17" t="n">
        <f aca="false">Sens!$E$6263/Sens!$E$6242</f>
        <v>0.385647527531039</v>
      </c>
      <c r="F6271" s="17" t="n">
        <f aca="false">Sens!$F$6263/Sens!$F$6242</f>
        <v>0.390008895496028</v>
      </c>
      <c r="G6271" s="17" t="n">
        <f aca="false">Sens!$G$6263/Sens!$G$6242</f>
        <v>0.387918733944362</v>
      </c>
      <c r="H6271" s="17" t="n">
        <f aca="false">Sens!$H$6263/Sens!$H$6242</f>
        <v>0.377537651365497</v>
      </c>
      <c r="I6271" s="17" t="n">
        <f aca="false">Sens!$I$6263/Sens!$I$6242</f>
        <v>0.359230604038662</v>
      </c>
      <c r="J6271" s="17" t="n">
        <f aca="false">Sens!$J$6263/Sens!$J$6242</f>
        <v>0.345197865849801</v>
      </c>
      <c r="K6271" s="17" t="n">
        <f aca="false">Sens!$K$6263/Sens!$K$6242</f>
        <v>0.32654098357242</v>
      </c>
      <c r="L6271" s="17" t="n">
        <f aca="false">Sens!$L$6263/Sens!$L$6242</f>
        <v>0.314806978274702</v>
      </c>
      <c r="M6271" s="17" t="n">
        <f aca="false">Sens!$M$6263/Sens!$M$6242</f>
        <v>0.304503505485029</v>
      </c>
      <c r="N6271" s="17" t="n">
        <f aca="false">Sens!$N$6263/Sens!$N$6242</f>
        <v>0.360941137346192</v>
      </c>
      <c r="O6271" s="17" t="n">
        <f aca="false">Sens!$O$6263/Sens!$O$6242</f>
        <v>0.348458117664212</v>
      </c>
    </row>
    <row r="6272" customFormat="false" ht="17.15" hidden="false" customHeight="false" outlineLevel="0" collapsed="false">
      <c r="A6272" s="0" t="s">
        <v>741</v>
      </c>
      <c r="B6272" s="0" t="s">
        <v>52</v>
      </c>
      <c r="C6272" s="13" t="n">
        <f aca="false">Sens!$C$6261/Sens!$C$6243</f>
        <v>0.708390794789371</v>
      </c>
      <c r="D6272" s="13" t="n">
        <f aca="false">Sens!$D$6261/Sens!$D$6243</f>
        <v>0.619415573115729</v>
      </c>
      <c r="E6272" s="13" t="n">
        <f aca="false">Sens!$E$6261/Sens!$E$6243</f>
        <v>0.374072166056273</v>
      </c>
      <c r="F6272" s="13" t="n">
        <f aca="false">Sens!$F$6261/Sens!$F$6243</f>
        <v>0.553219320710057</v>
      </c>
      <c r="G6272" s="13" t="n">
        <f aca="false">Sens!$G$6261/Sens!$G$6243</f>
        <v>0.488270041527512</v>
      </c>
      <c r="H6272" s="13" t="n">
        <f aca="false">Sens!$H$6261/Sens!$H$6243</f>
        <v>0.435229086816882</v>
      </c>
      <c r="I6272" s="13" t="n">
        <f aca="false">Sens!$I$6261/Sens!$I$6243</f>
        <v>0.364954592421095</v>
      </c>
      <c r="J6272" s="13" t="n">
        <f aca="false">Sens!$J$6261/Sens!$J$6243</f>
        <v>0.330438308582232</v>
      </c>
      <c r="K6272" s="13" t="n">
        <f aca="false">Sens!$K$6261/Sens!$K$6243</f>
        <v>0.2916589289528</v>
      </c>
      <c r="L6272" s="13" t="n">
        <f aca="false">Sens!$L$6261/Sens!$L$6243</f>
        <v>0.268199200593258</v>
      </c>
      <c r="M6272" s="13" t="n">
        <f aca="false">Sens!$M$6261/Sens!$M$6243</f>
        <v>0.244854995033574</v>
      </c>
      <c r="N6272" s="13" t="n">
        <f aca="false">Sens!$N$6261/Sens!$N$6243</f>
        <v>0.551227795793364</v>
      </c>
      <c r="O6272" s="13" t="n">
        <f aca="false">Sens!$O$6261/Sens!$O$6243</f>
        <v>0.656132068597002</v>
      </c>
    </row>
    <row r="6273" customFormat="false" ht="15" hidden="false" customHeight="false" outlineLevel="0" collapsed="false">
      <c r="A6273" s="5" t="s">
        <v>742</v>
      </c>
      <c r="B6273" s="0" t="s">
        <v>52</v>
      </c>
      <c r="C6273" s="13" t="n">
        <f aca="false">Sens!$C$6265/Sens!$C$6245</f>
        <v>0.107519448742004</v>
      </c>
      <c r="D6273" s="13" t="n">
        <f aca="false">Sens!$D$6265/Sens!$D$6245</f>
        <v>0.111552967957552</v>
      </c>
      <c r="E6273" s="13" t="n">
        <f aca="false">Sens!$E$6265/Sens!$E$6245</f>
        <v>0.13428328426562</v>
      </c>
      <c r="F6273" s="13" t="n">
        <f aca="false">Sens!$F$6265/Sens!$F$6245</f>
        <v>0.130089413875539</v>
      </c>
      <c r="G6273" s="13" t="n">
        <f aca="false">Sens!$G$6265/Sens!$G$6245</f>
        <v>0.132048786678316</v>
      </c>
      <c r="H6273" s="13" t="n">
        <f aca="false">Sens!$H$6265/Sens!$H$6245</f>
        <v>0.139604881440853</v>
      </c>
      <c r="I6273" s="13" t="n">
        <f aca="false">Sens!$I$6265/Sens!$I$6245</f>
        <v>0.141694752432769</v>
      </c>
      <c r="J6273" s="13" t="n">
        <f aca="false">Sens!$J$6265/Sens!$J$6245</f>
        <v>0.14272611544629</v>
      </c>
      <c r="K6273" s="13" t="n">
        <f aca="false">Sens!$K$6265/Sens!$K$6245</f>
        <v>0.139974160596744</v>
      </c>
      <c r="L6273" s="13" t="n">
        <f aca="false">Sens!$L$6265/Sens!$L$6245</f>
        <v>0.137772071866073</v>
      </c>
      <c r="M6273" s="13" t="n">
        <f aca="false">Sens!$M$6265/Sens!$M$6245</f>
        <v>0.13596080857516</v>
      </c>
      <c r="N6273" s="13" t="n">
        <f aca="false">Sens!$N$6265/Sens!$N$6245</f>
        <v>0.116201614873411</v>
      </c>
      <c r="O6273" s="13" t="n">
        <f aca="false">Sens!$O$6265/Sens!$O$6245</f>
        <v>0.107733353660861</v>
      </c>
    </row>
    <row r="6274" customFormat="false" ht="17.15" hidden="false" customHeight="false" outlineLevel="0" collapsed="false">
      <c r="A6274" s="1" t="s">
        <v>743</v>
      </c>
    </row>
    <row r="6275" customFormat="false" ht="17.15" hidden="false" customHeight="false" outlineLevel="0" collapsed="false">
      <c r="A6275" s="5" t="s">
        <v>744</v>
      </c>
      <c r="B6275" s="0" t="s">
        <v>52</v>
      </c>
      <c r="D6275" s="28" t="n">
        <f aca="false">(Q!$E$29+Q!$E$30-(1-ext_sh)*Sens!$D$6197)/Sens!$D$6151</f>
        <v>0.0341105596409988</v>
      </c>
    </row>
    <row r="6276" customFormat="false" ht="17.15" hidden="false" customHeight="false" outlineLevel="0" collapsed="false">
      <c r="A6276" s="0" t="s">
        <v>538</v>
      </c>
      <c r="B6276" s="0" t="s">
        <v>86</v>
      </c>
      <c r="C6276" s="38" t="n">
        <f aca="false">Q!$D$29</f>
        <v>14.285</v>
      </c>
      <c r="D6276" s="38" t="n">
        <f aca="false">Q!$E$29</f>
        <v>15.503</v>
      </c>
      <c r="E6276" s="38" t="n">
        <f aca="false">Q!$P$29</f>
        <v>8.78</v>
      </c>
      <c r="F6276" s="38" t="n">
        <f aca="false">(Sens!$D$6275*Sens!$F$6151+(1-ext_sh)*Sens!$F$6197)*Sens!$F$6152</f>
        <v>9.16735846116642</v>
      </c>
      <c r="G6276" s="38" t="n">
        <f aca="false">Sens!$E$6276+Sens!$F$6276</f>
        <v>17.9473584611664</v>
      </c>
      <c r="H6276" s="38" t="n">
        <f aca="false">(Sens!$D$6275*Sens!$H$6151+(1-ext_sh)*Sens!$H$6197)*Sens!$H$6152</f>
        <v>21.6406723110177</v>
      </c>
      <c r="I6276" s="38" t="n">
        <f aca="false">(Sens!$D$6275*Sens!$I$6151+(1-ext_sh)*Sens!$I$6197)*Sens!$I$6152</f>
        <v>27.3128215555087</v>
      </c>
      <c r="J6276" s="38" t="n">
        <f aca="false">(Sens!$D$6275*Sens!$J$6151+(1-ext_sh)*Sens!$J$6197)*Sens!$J$6152</f>
        <v>33.0116861885756</v>
      </c>
      <c r="K6276" s="38" t="n">
        <f aca="false">(Sens!$D$6275*Sens!$K$6151+(1-ext_sh)*Sens!$K$6197)*Sens!$K$6152</f>
        <v>38.6250238720245</v>
      </c>
      <c r="L6276" s="38" t="n">
        <f aca="false">(Sens!$D$6275*Sens!$L$6151+(1-ext_sh)*Sens!$L$6197)*Sens!$L$6152</f>
        <v>43.0711535197861</v>
      </c>
      <c r="M6276" s="38" t="n">
        <f aca="false">(Sens!$D$6275*Sens!$M$6151+(1-ext_sh)*Sens!$M$6197)*Sens!$M$6152</f>
        <v>46.590728630326</v>
      </c>
      <c r="N6276" s="38" t="n">
        <f aca="false">Q!$N$29</f>
        <v>7.272</v>
      </c>
      <c r="O6276" s="38" t="n">
        <f aca="false">Q!$O$29</f>
        <v>8.231</v>
      </c>
    </row>
    <row r="6277" customFormat="false" ht="17.15" hidden="false" customHeight="false" outlineLevel="0" collapsed="false">
      <c r="A6277" s="0" t="s">
        <v>540</v>
      </c>
      <c r="B6277" s="0" t="s">
        <v>86</v>
      </c>
      <c r="C6277" s="38" t="n">
        <f aca="false">Q!$D$30</f>
        <v>4.462</v>
      </c>
      <c r="D6277" s="38" t="n">
        <f aca="false">Q!$E$30</f>
        <v>4.907</v>
      </c>
      <c r="E6277" s="38" t="n">
        <f aca="false">Q!$P$30</f>
        <v>2.57</v>
      </c>
      <c r="F6277" s="38" t="n">
        <f aca="false">(Sens!$D$6275*Sens!$F$6151+(1-ext_sh)*Sens!$F$6197)*(1-Sens!$F$6152)</f>
        <v>3.59937168293151</v>
      </c>
      <c r="G6277" s="38" t="n">
        <f aca="false">Sens!$E$6277+Sens!$F$6277</f>
        <v>6.16937168293151</v>
      </c>
      <c r="H6277" s="38" t="n">
        <f aca="false">(Sens!$D$6275*Sens!$H$6151+(1-ext_sh)*Sens!$H$6197)*(1-Sens!$H$6152)</f>
        <v>8.28915290031442</v>
      </c>
      <c r="I6277" s="38" t="n">
        <f aca="false">(Sens!$D$6275*Sens!$I$6151+(1-ext_sh)*Sens!$I$6197)*(1-Sens!$I$6152)</f>
        <v>10.4617892992793</v>
      </c>
      <c r="J6277" s="38" t="n">
        <f aca="false">(Sens!$D$6275*Sens!$J$6151+(1-ext_sh)*Sens!$J$6197)*(1-Sens!$J$6152)</f>
        <v>12.6446586493057</v>
      </c>
      <c r="K6277" s="38" t="n">
        <f aca="false">(Sens!$D$6275*Sens!$K$6151+(1-ext_sh)*Sens!$K$6197)*(1-Sens!$K$6152)</f>
        <v>14.7947681131192</v>
      </c>
      <c r="L6277" s="38" t="n">
        <f aca="false">(Sens!$D$6275*Sens!$L$6151+(1-ext_sh)*Sens!$L$6197)*(1-Sens!$L$6152)</f>
        <v>16.4977950771268</v>
      </c>
      <c r="M6277" s="38" t="n">
        <f aca="false">(Sens!$D$6275*Sens!$M$6151+(1-ext_sh)*Sens!$M$6197)*(1-Sens!$M$6152)</f>
        <v>17.8459184540772</v>
      </c>
      <c r="N6277" s="38" t="n">
        <f aca="false">Q!$N$30</f>
        <v>2.316</v>
      </c>
      <c r="O6277" s="38" t="n">
        <f aca="false">Q!$O$30</f>
        <v>2.591</v>
      </c>
    </row>
    <row r="6278" customFormat="false" ht="17.15" hidden="false" customHeight="false" outlineLevel="0" collapsed="false">
      <c r="A6278" s="0" t="s">
        <v>541</v>
      </c>
      <c r="B6278" s="0" t="s">
        <v>86</v>
      </c>
      <c r="C6278" s="38" t="n">
        <f aca="false">Sens!$C$6209</f>
        <v>13.32</v>
      </c>
      <c r="D6278" s="38" t="n">
        <f aca="false">Sens!$D$6209</f>
        <v>21.45</v>
      </c>
      <c r="E6278" s="38" t="n">
        <f aca="false">Sens!$E$6209</f>
        <v>15.353</v>
      </c>
      <c r="F6278" s="38" t="n">
        <f aca="false">Sens!$F$6209</f>
        <v>15.4404120185306</v>
      </c>
      <c r="G6278" s="38" t="n">
        <f aca="false">Sens!$G$6209</f>
        <v>30.7934120185306</v>
      </c>
      <c r="H6278" s="38" t="n">
        <f aca="false">Sens!$H$6209</f>
        <v>48.250114371455</v>
      </c>
      <c r="I6278" s="38" t="n">
        <f aca="false">Sens!$I$6209</f>
        <v>73.3965146995963</v>
      </c>
      <c r="J6278" s="38" t="n">
        <f aca="false">Sens!$J$6209</f>
        <v>99.22806138309</v>
      </c>
      <c r="K6278" s="38" t="n">
        <f aca="false">Sens!$K$6209</f>
        <v>125.386627452856</v>
      </c>
      <c r="L6278" s="38" t="n">
        <f aca="false">Sens!$L$6209</f>
        <v>144.77239043275</v>
      </c>
      <c r="M6278" s="38" t="n">
        <f aca="false">Sens!$M$6209</f>
        <v>158.693930910983</v>
      </c>
      <c r="N6278" s="38" t="n">
        <f aca="false">Sens!$N$6209</f>
        <v>9.234</v>
      </c>
      <c r="O6278" s="38" t="n">
        <f aca="false">Sens!$O$6209</f>
        <v>12.216</v>
      </c>
    </row>
    <row r="6279" customFormat="false" ht="17.15" hidden="false" customHeight="false" outlineLevel="0" collapsed="false">
      <c r="A6279" s="5" t="s">
        <v>745</v>
      </c>
      <c r="B6279" s="0" t="s">
        <v>86</v>
      </c>
      <c r="C6279" s="38" t="n">
        <f aca="false">Sens!$C$6276+Sens!$C$6277+Sens!$C$6278</f>
        <v>32.067</v>
      </c>
      <c r="D6279" s="38" t="n">
        <f aca="false">Sens!$D$6276+Sens!$D$6277+Sens!$D$6278</f>
        <v>41.86</v>
      </c>
      <c r="E6279" s="38" t="n">
        <f aca="false">Sens!$E$6276+Sens!$E$6277+Sens!$E$6278</f>
        <v>26.703</v>
      </c>
      <c r="F6279" s="38" t="n">
        <f aca="false">Sens!$F$6276+Sens!$F$6277+Sens!$F$6278</f>
        <v>28.2071421626285</v>
      </c>
      <c r="G6279" s="38" t="n">
        <f aca="false">Sens!$G$6276+Sens!$G$6277+Sens!$G$6278</f>
        <v>54.9101421626285</v>
      </c>
      <c r="H6279" s="38" t="n">
        <f aca="false">Sens!$H$6276+Sens!$H$6277+Sens!$H$6278</f>
        <v>78.1799395827871</v>
      </c>
      <c r="I6279" s="38" t="n">
        <f aca="false">Sens!$I$6276+Sens!$I$6277+Sens!$I$6278</f>
        <v>111.171125554384</v>
      </c>
      <c r="J6279" s="38" t="n">
        <f aca="false">Sens!$J$6276+Sens!$J$6277+Sens!$J$6278</f>
        <v>144.884406220971</v>
      </c>
      <c r="K6279" s="38" t="n">
        <f aca="false">Sens!$K$6276+Sens!$K$6277+Sens!$K$6278</f>
        <v>178.806419437999</v>
      </c>
      <c r="L6279" s="38" t="n">
        <f aca="false">Sens!$L$6276+Sens!$L$6277+Sens!$L$6278</f>
        <v>204.341339029663</v>
      </c>
      <c r="M6279" s="38" t="n">
        <f aca="false">Sens!$M$6276+Sens!$M$6277+Sens!$M$6278</f>
        <v>223.130577995387</v>
      </c>
      <c r="N6279" s="38" t="n">
        <f aca="false">Sens!$N$6276+Sens!$N$6277+Sens!$N$6278</f>
        <v>18.822</v>
      </c>
      <c r="O6279" s="38" t="n">
        <f aca="false">Sens!$O$6276+Sens!$O$6277+Sens!$O$6278</f>
        <v>23.038</v>
      </c>
    </row>
    <row r="6280" customFormat="false" ht="17.15" hidden="false" customHeight="false" outlineLevel="0" collapsed="false">
      <c r="A6280" s="0" t="s">
        <v>746</v>
      </c>
      <c r="B6280" s="0" t="s">
        <v>86</v>
      </c>
      <c r="C6280" s="38" t="n">
        <f aca="false">Sens!$C$6251+Sens!$C$6256</f>
        <v>28.107</v>
      </c>
      <c r="D6280" s="38" t="n">
        <f aca="false">Sens!$D$6251+Sens!$D$6256</f>
        <v>34.3175</v>
      </c>
      <c r="E6280" s="38" t="n">
        <f aca="false">Sens!$E$6251+Sens!$E$6256</f>
        <v>18.526</v>
      </c>
      <c r="F6280" s="38" t="n">
        <f aca="false">Sens!$F$6251+Sens!$F$6256</f>
        <v>23.0786109972074</v>
      </c>
      <c r="G6280" s="38" t="n">
        <f aca="false">Sens!$G$6251+Sens!$G$6256</f>
        <v>41.6046109972074</v>
      </c>
      <c r="H6280" s="38" t="n">
        <f aca="false">Sens!$H$6251+Sens!$H$6256</f>
        <v>49.9484611939488</v>
      </c>
      <c r="I6280" s="38" t="n">
        <f aca="false">Sens!$I$6251+Sens!$I$6256</f>
        <v>58.2915555477481</v>
      </c>
      <c r="J6280" s="38" t="n">
        <f aca="false">Sens!$J$6251+Sens!$J$6256</f>
        <v>66.0744709709759</v>
      </c>
      <c r="K6280" s="38" t="n">
        <f aca="false">Sens!$K$6251+Sens!$K$6256</f>
        <v>72.6819180680735</v>
      </c>
      <c r="L6280" s="38" t="n">
        <f aca="false">Sens!$L$6251+Sens!$L$6256</f>
        <v>79.9501098748808</v>
      </c>
      <c r="M6280" s="38" t="n">
        <f aca="false">Sens!$M$6251+Sens!$M$6256</f>
        <v>87.9451208623689</v>
      </c>
      <c r="N6280" s="38" t="n">
        <f aca="false">Sens!$N$6251+Sens!$N$6256</f>
        <v>14.8075</v>
      </c>
      <c r="O6280" s="38" t="n">
        <f aca="false">Sens!$O$6251+Sens!$O$6256</f>
        <v>19.51</v>
      </c>
    </row>
    <row r="6281" customFormat="false" ht="17.15" hidden="false" customHeight="false" outlineLevel="0" collapsed="false">
      <c r="A6281" s="0" t="s">
        <v>747</v>
      </c>
      <c r="B6281" s="0" t="s">
        <v>86</v>
      </c>
      <c r="C6281" s="38" t="n">
        <f aca="false">Sens!$C$6255+Sens!$C$6260+Sens!$C$6276+Sens!$C$6277-Sens!$C$6280</f>
        <v>19.399</v>
      </c>
      <c r="D6281" s="38" t="n">
        <f aca="false">Sens!$D$6255+Sens!$D$6260+Sens!$D$6276+Sens!$D$6277-Sens!$D$6280</f>
        <v>20.4615</v>
      </c>
      <c r="E6281" s="38" t="n">
        <f aca="false">Sens!$E$6255+Sens!$E$6260+Sens!$E$6276+Sens!$E$6277-Sens!$E$6280</f>
        <v>13.355</v>
      </c>
      <c r="F6281" s="38" t="n">
        <f aca="false">Sens!$F$6255+Sens!$F$6260+Sens!$F$6276+Sens!$F$6277-Sens!$F$6280</f>
        <v>12.5520732018618</v>
      </c>
      <c r="G6281" s="38" t="n">
        <f aca="false">Sens!$G$6255+Sens!$G$6260+Sens!$G$6276+Sens!$G$6277-Sens!$G$6280</f>
        <v>25.9070732018618</v>
      </c>
      <c r="H6281" s="38" t="n">
        <f aca="false">Sens!$H$6255+Sens!$H$6260+Sens!$H$6276+Sens!$H$6277-Sens!$H$6280</f>
        <v>28.0233335906818</v>
      </c>
      <c r="I6281" s="38" t="n">
        <f aca="false">Sens!$I$6255+Sens!$I$6260+Sens!$I$6276+Sens!$I$6277-Sens!$I$6280</f>
        <v>30.2440066606864</v>
      </c>
      <c r="J6281" s="38" t="n">
        <f aca="false">Sens!$J$6255+Sens!$J$6260+Sens!$J$6276+Sens!$J$6277-Sens!$J$6280</f>
        <v>32.4596500296286</v>
      </c>
      <c r="K6281" s="38" t="n">
        <f aca="false">Sens!$K$6255+Sens!$K$6260+Sens!$K$6276+Sens!$K$6277-Sens!$K$6280</f>
        <v>34.839425971154</v>
      </c>
      <c r="L6281" s="38" t="n">
        <f aca="false">Sens!$L$6255+Sens!$L$6260+Sens!$L$6276+Sens!$L$6277-Sens!$L$6280</f>
        <v>36.4424209524427</v>
      </c>
      <c r="M6281" s="38" t="n">
        <f aca="false">Sens!$M$6255+Sens!$M$6260+Sens!$M$6276+Sens!$M$6277-Sens!$M$6280</f>
        <v>38.8413540019876</v>
      </c>
      <c r="N6281" s="38" t="n">
        <f aca="false">Sens!$N$6255+Sens!$N$6260+Sens!$N$6276+Sens!$N$6277-Sens!$N$6280</f>
        <v>10.6495</v>
      </c>
      <c r="O6281" s="38" t="n">
        <f aca="false">Sens!$O$6255+Sens!$O$6260+Sens!$O$6276+Sens!$O$6277-Sens!$O$6280</f>
        <v>9.81200000000001</v>
      </c>
    </row>
    <row r="6282" customFormat="false" ht="17.15" hidden="false" customHeight="false" outlineLevel="0" collapsed="false">
      <c r="A6282" s="0" t="s">
        <v>748</v>
      </c>
      <c r="B6282" s="0" t="s">
        <v>86</v>
      </c>
      <c r="C6282" s="38" t="n">
        <f aca="false">Sens!$C$6262+Sens!$C$6278-ext_sh*Sens!$C$6197</f>
        <v>51.3470500115664</v>
      </c>
      <c r="D6282" s="38" t="n">
        <f aca="false">Sens!$D$6262+Sens!$D$6278-ext_sh*Sens!$D$6197</f>
        <v>60.2799375433739</v>
      </c>
      <c r="E6282" s="38" t="n">
        <f aca="false">Sens!$E$6262+Sens!$E$6278-ext_sh*Sens!$E$6197</f>
        <v>39.5095167090767</v>
      </c>
      <c r="F6282" s="38" t="n">
        <f aca="false">Sens!$F$6262+Sens!$F$6278-ext_sh*Sens!$F$6197</f>
        <v>37.5468918745429</v>
      </c>
      <c r="G6282" s="38" t="n">
        <f aca="false">Sens!$G$6262+Sens!$G$6278-ext_sh*Sens!$G$6197</f>
        <v>77.0564085836196</v>
      </c>
      <c r="H6282" s="38" t="n">
        <f aca="false">Sens!$H$6262+Sens!$H$6278-ext_sh*Sens!$H$6197</f>
        <v>84.2378398616123</v>
      </c>
      <c r="I6282" s="38" t="n">
        <f aca="false">Sens!$I$6262+Sens!$I$6278-ext_sh*Sens!$I$6197</f>
        <v>93.5253492849083</v>
      </c>
      <c r="J6282" s="38" t="n">
        <f aca="false">Sens!$J$6262+Sens!$J$6278-ext_sh*Sens!$J$6197</f>
        <v>102.42210777817</v>
      </c>
      <c r="K6282" s="38" t="n">
        <f aca="false">Sens!$K$6262+Sens!$K$6278-ext_sh*Sens!$K$6197</f>
        <v>110.615876400424</v>
      </c>
      <c r="L6282" s="38" t="n">
        <f aca="false">Sens!$L$6262+Sens!$L$6278-ext_sh*Sens!$L$6197</f>
        <v>119.465146512458</v>
      </c>
      <c r="M6282" s="38" t="n">
        <f aca="false">Sens!$M$6262+Sens!$M$6278-ext_sh*Sens!$M$6197</f>
        <v>129.022358233455</v>
      </c>
      <c r="N6282" s="38" t="n">
        <f aca="false">Sens!$N$6262+Sens!$N$6278-ext_sh*Sens!$N$6197</f>
        <v>28.5693781401809</v>
      </c>
      <c r="O6282" s="38" t="n">
        <f aca="false">Sens!$O$6262+Sens!$O$6278-ext_sh*Sens!$O$6197</f>
        <v>31.7105594031931</v>
      </c>
    </row>
    <row r="6283" customFormat="false" ht="17.15" hidden="false" customHeight="false" outlineLevel="0" collapsed="false">
      <c r="A6283" s="0" t="s">
        <v>749</v>
      </c>
      <c r="B6283" s="0" t="s">
        <v>86</v>
      </c>
      <c r="C6283" s="38" t="n">
        <f aca="false">Sens!$C$6200</f>
        <v>1.80694998843362</v>
      </c>
      <c r="D6283" s="38" t="n">
        <f aca="false">Sens!$D$6200</f>
        <v>6.77606245662607</v>
      </c>
      <c r="E6283" s="38" t="n">
        <f aca="false">Sens!$E$6200</f>
        <v>6.62548329092326</v>
      </c>
      <c r="F6283" s="38" t="n">
        <f aca="false">Sens!$F$6200</f>
        <v>11.7200577158706</v>
      </c>
      <c r="G6283" s="38" t="n">
        <f aca="false">Sens!$G$6200</f>
        <v>18.3455410067939</v>
      </c>
      <c r="H6283" s="38" t="n">
        <f aca="false">Sens!$H$6200</f>
        <v>47.5171727060453</v>
      </c>
      <c r="I6283" s="38" t="n">
        <f aca="false">Sens!$I$6200</f>
        <v>80.5539692643667</v>
      </c>
      <c r="J6283" s="38" t="n">
        <f aca="false">Sens!$J$6200</f>
        <v>113.759316834883</v>
      </c>
      <c r="K6283" s="38" t="n">
        <f aca="false">Sens!$K$6200</f>
        <v>142.084411492169</v>
      </c>
      <c r="L6283" s="38" t="n">
        <f aca="false">Sens!$L$6200</f>
        <v>160.69964615804</v>
      </c>
      <c r="M6283" s="38" t="n">
        <f aca="false">Sens!$M$6200</f>
        <v>169.577607141793</v>
      </c>
      <c r="N6283" s="38" t="n">
        <f aca="false">Sens!$N$6200</f>
        <v>2.37162185981912</v>
      </c>
      <c r="O6283" s="38" t="n">
        <f aca="false">Sens!$O$6200</f>
        <v>4.40444059680694</v>
      </c>
    </row>
    <row r="6284" customFormat="false" ht="17.15" hidden="false" customHeight="false" outlineLevel="0" collapsed="false">
      <c r="A6284" s="0" t="s">
        <v>750</v>
      </c>
      <c r="B6284" s="0" t="s">
        <v>86</v>
      </c>
      <c r="C6284" s="38" t="n">
        <f aca="false">Sens!$C$6265+Sens!$C$6279</f>
        <v>100.66</v>
      </c>
      <c r="D6284" s="38" t="n">
        <f aca="false">Sens!$D$6265+Sens!$D$6279</f>
        <v>121.835</v>
      </c>
      <c r="E6284" s="38" t="n">
        <f aca="false">Sens!$E$6265+Sens!$E$6279</f>
        <v>78.016</v>
      </c>
      <c r="F6284" s="38" t="n">
        <f aca="false">Sens!$F$6265+Sens!$F$6279</f>
        <v>84.8976337894826</v>
      </c>
      <c r="G6284" s="38" t="n">
        <f aca="false">Sens!$G$6265+Sens!$G$6279</f>
        <v>162.913633789483</v>
      </c>
      <c r="H6284" s="38" t="n">
        <f aca="false">Sens!$H$6265+Sens!$H$6279</f>
        <v>209.726807352288</v>
      </c>
      <c r="I6284" s="38" t="n">
        <f aca="false">Sens!$I$6265+Sens!$I$6279</f>
        <v>262.61488075771</v>
      </c>
      <c r="J6284" s="38" t="n">
        <f aca="false">Sens!$J$6265+Sens!$J$6279</f>
        <v>314.715545613658</v>
      </c>
      <c r="K6284" s="38" t="n">
        <f aca="false">Sens!$K$6265+Sens!$K$6279</f>
        <v>360.221631931821</v>
      </c>
      <c r="L6284" s="38" t="n">
        <f aca="false">Sens!$L$6265+Sens!$L$6279</f>
        <v>396.557323497822</v>
      </c>
      <c r="M6284" s="38" t="n">
        <f aca="false">Sens!$M$6265+Sens!$M$6279</f>
        <v>425.386440239605</v>
      </c>
      <c r="N6284" s="38" t="n">
        <f aca="false">Sens!$N$6265+Sens!$N$6279</f>
        <v>56.398</v>
      </c>
      <c r="O6284" s="38" t="n">
        <f aca="false">Sens!$O$6265+Sens!$O$6279</f>
        <v>65.437</v>
      </c>
    </row>
    <row r="6285" customFormat="false" ht="17.15" hidden="false" customHeight="false" outlineLevel="0" collapsed="false">
      <c r="A6285" s="1" t="s">
        <v>751</v>
      </c>
    </row>
    <row r="6286" customFormat="false" ht="15" hidden="false" customHeight="false" outlineLevel="0" collapsed="false">
      <c r="A6286" s="5" t="s">
        <v>544</v>
      </c>
      <c r="B6286" s="0" t="s">
        <v>86</v>
      </c>
      <c r="C6286" s="38" t="n">
        <f aca="false">Q!$D$34</f>
        <v>2.406</v>
      </c>
      <c r="D6286" s="38" t="n">
        <f aca="false">Q!$E$34</f>
        <v>2.274</v>
      </c>
      <c r="E6286" s="38" t="n">
        <f aca="false">Q!$P$34</f>
        <v>2.114</v>
      </c>
      <c r="F6286" s="38" t="n">
        <f aca="false">Sens!$F$6324</f>
        <v>3.24888962733561</v>
      </c>
      <c r="G6286" s="38" t="n">
        <f aca="false">Sens!$E$6286+Sens!$F$6286</f>
        <v>5.36288962733561</v>
      </c>
      <c r="H6286" s="38" t="n">
        <f aca="false">Sens!$H$6324</f>
        <v>7.42354172302123</v>
      </c>
      <c r="I6286" s="38" t="n">
        <f aca="false">Sens!$I$6324</f>
        <v>8.48968024898619</v>
      </c>
      <c r="J6286" s="38" t="n">
        <f aca="false">Sens!$J$6324</f>
        <v>9.63598826439483</v>
      </c>
      <c r="K6286" s="38" t="n">
        <f aca="false">Sens!$K$6324</f>
        <v>9.63598826439483</v>
      </c>
      <c r="L6286" s="38" t="n">
        <f aca="false">Sens!$L$6324</f>
        <v>9.63598826439483</v>
      </c>
      <c r="M6286" s="38" t="n">
        <f aca="false">Sens!$M$6324</f>
        <v>9.63598826439483</v>
      </c>
      <c r="N6286" s="38" t="n">
        <f aca="false">Q!$N$34</f>
        <v>1.057</v>
      </c>
      <c r="O6286" s="38" t="n">
        <f aca="false">Q!$O$34</f>
        <v>1.217</v>
      </c>
    </row>
    <row r="6287" customFormat="false" ht="15" hidden="false" customHeight="false" outlineLevel="0" collapsed="false">
      <c r="A6287" s="5" t="s">
        <v>752</v>
      </c>
      <c r="B6287" s="0" t="s">
        <v>86</v>
      </c>
      <c r="F6287" s="38" t="n">
        <f aca="false">Sens!$F$6325</f>
        <v>2.59</v>
      </c>
      <c r="H6287" s="38" t="n">
        <f aca="false">Sens!$H$6325</f>
        <v>3.76965165045626</v>
      </c>
      <c r="I6287" s="38" t="n">
        <f aca="false">Sens!$I$6325</f>
        <v>2.10589651022864</v>
      </c>
      <c r="J6287" s="38" t="n">
        <f aca="false">Sens!$J$6325</f>
        <v>2.10589651022864</v>
      </c>
      <c r="K6287" s="38" t="n">
        <f aca="false">Sens!$K$6325</f>
        <v>3.03184385018094</v>
      </c>
      <c r="L6287" s="38" t="n">
        <f aca="false">Sens!$L$6325</f>
        <v>8.01944213829919</v>
      </c>
      <c r="M6287" s="38" t="n">
        <f aca="false">Sens!$M$6325</f>
        <v>15.4751142339777</v>
      </c>
    </row>
    <row r="6288" customFormat="false" ht="17.15" hidden="false" customHeight="false" outlineLevel="0" collapsed="false">
      <c r="A6288" s="5" t="s">
        <v>753</v>
      </c>
      <c r="B6288" s="0" t="s">
        <v>86</v>
      </c>
      <c r="C6288" s="38" t="n">
        <f aca="false">Q!$D$39</f>
        <v>2.427</v>
      </c>
      <c r="D6288" s="38" t="n">
        <f aca="false">Q!$E$39</f>
        <v>19.61</v>
      </c>
      <c r="E6288" s="38" t="n">
        <f aca="false">Q!$P$39</f>
        <v>71.492</v>
      </c>
      <c r="F6288" s="39" t="n">
        <v>0</v>
      </c>
      <c r="G6288" s="38" t="n">
        <f aca="false">Sens!$E$6288+Sens!$F$6288</f>
        <v>71.492</v>
      </c>
      <c r="H6288" s="39" t="n">
        <v>0</v>
      </c>
      <c r="I6288" s="39" t="n">
        <v>0</v>
      </c>
      <c r="J6288" s="39" t="n">
        <v>0</v>
      </c>
      <c r="K6288" s="39" t="n">
        <v>0</v>
      </c>
      <c r="L6288" s="39" t="n">
        <v>0</v>
      </c>
      <c r="M6288" s="39" t="n">
        <v>0</v>
      </c>
      <c r="N6288" s="38" t="n">
        <f aca="false">Q!$N$39</f>
        <v>6.017</v>
      </c>
      <c r="O6288" s="38" t="n">
        <f aca="false">Q!$O$39</f>
        <v>13.593</v>
      </c>
      <c r="P6288" s="5" t="s">
        <v>754</v>
      </c>
    </row>
    <row r="6289" customFormat="false" ht="15" hidden="false" customHeight="false" outlineLevel="0" collapsed="false">
      <c r="A6289" s="5" t="s">
        <v>547</v>
      </c>
      <c r="B6289" s="0" t="s">
        <v>86</v>
      </c>
      <c r="C6289" s="38" t="n">
        <f aca="false">Q!$D$36</f>
        <v>68.614</v>
      </c>
      <c r="D6289" s="38" t="n">
        <f aca="false">Q!$E$36</f>
        <v>97.311</v>
      </c>
      <c r="E6289" s="38" t="n">
        <f aca="false">Q!$P$36</f>
        <v>120.691</v>
      </c>
      <c r="F6289" s="38" t="n">
        <f aca="false">Sens!$F$6265-Sens!$F$6286+Sens!$F$6287+Sens!$F$6288</f>
        <v>56.0316019995185</v>
      </c>
      <c r="G6289" s="38" t="n">
        <f aca="false">Sens!$E$6289+Sens!$F$6289</f>
        <v>176.722601999518</v>
      </c>
      <c r="H6289" s="38" t="n">
        <f aca="false">Sens!$H$6265-Sens!$H$6286+Sens!$H$6287+Sens!$H$6288</f>
        <v>127.892977696936</v>
      </c>
      <c r="I6289" s="38" t="n">
        <f aca="false">Sens!$I$6265-Sens!$I$6286+Sens!$I$6287+Sens!$I$6288</f>
        <v>145.059971464568</v>
      </c>
      <c r="J6289" s="38" t="n">
        <f aca="false">Sens!$J$6265-Sens!$J$6286+Sens!$J$6287+Sens!$J$6288</f>
        <v>162.301047638521</v>
      </c>
      <c r="K6289" s="38" t="n">
        <f aca="false">Sens!$K$6265-Sens!$K$6286+Sens!$K$6287+Sens!$K$6288</f>
        <v>174.811068079608</v>
      </c>
      <c r="L6289" s="38" t="n">
        <f aca="false">Sens!$L$6265-Sens!$L$6286+Sens!$L$6287+Sens!$L$6288</f>
        <v>190.599438342064</v>
      </c>
      <c r="M6289" s="38" t="n">
        <f aca="false">Sens!$M$6265-Sens!$M$6286+Sens!$M$6287+Sens!$M$6288</f>
        <v>208.094988213801</v>
      </c>
      <c r="N6289" s="38" t="n">
        <f aca="false">Q!$N$36</f>
        <v>42.536</v>
      </c>
      <c r="O6289" s="38" t="n">
        <f aca="false">Q!$O$36</f>
        <v>54.775</v>
      </c>
    </row>
    <row r="6290" customFormat="false" ht="15" hidden="false" customHeight="false" outlineLevel="0" collapsed="false">
      <c r="A6290" s="5" t="s">
        <v>548</v>
      </c>
      <c r="B6290" s="0" t="s">
        <v>86</v>
      </c>
      <c r="C6290" s="38" t="n">
        <f aca="false">Q!$D$37</f>
        <v>9.265</v>
      </c>
      <c r="D6290" s="38" t="n">
        <f aca="false">Q!$E$37</f>
        <v>19.087</v>
      </c>
      <c r="E6290" s="38" t="n">
        <f aca="false">Q!$P$37</f>
        <v>27.759</v>
      </c>
      <c r="F6290" s="38" t="n">
        <f aca="false">Sens!$F$6289*tax</f>
        <v>9.72621910890414</v>
      </c>
      <c r="G6290" s="38" t="n">
        <f aca="false">Sens!$E$6290+Sens!$F$6290</f>
        <v>37.4852191089041</v>
      </c>
      <c r="H6290" s="38" t="n">
        <f aca="false">Sens!$H$6289*tax</f>
        <v>22.2002419916761</v>
      </c>
      <c r="I6290" s="38" t="n">
        <f aca="false">Sens!$I$6289*tax</f>
        <v>25.1801664783365</v>
      </c>
      <c r="J6290" s="38" t="n">
        <f aca="false">Sens!$J$6289*tax</f>
        <v>28.1729505244292</v>
      </c>
      <c r="K6290" s="38" t="n">
        <f aca="false">Sens!$K$6289*tax</f>
        <v>30.3444965007146</v>
      </c>
      <c r="L6290" s="38" t="n">
        <f aca="false">Sens!$L$6289*tax</f>
        <v>33.0851132788405</v>
      </c>
      <c r="M6290" s="38" t="n">
        <f aca="false">Sens!$M$6289*tax</f>
        <v>36.1220700213006</v>
      </c>
      <c r="N6290" s="38" t="n">
        <f aca="false">Q!$N$37</f>
        <v>7.231</v>
      </c>
      <c r="O6290" s="38" t="n">
        <f aca="false">Q!$O$37</f>
        <v>11.856</v>
      </c>
    </row>
    <row r="6291" customFormat="false" ht="15" hidden="false" customHeight="false" outlineLevel="0" collapsed="false">
      <c r="A6291" s="3" t="s">
        <v>549</v>
      </c>
      <c r="B6291" s="8" t="s">
        <v>86</v>
      </c>
      <c r="C6291" s="38" t="n">
        <f aca="false">Q!$D$38</f>
        <v>59.248</v>
      </c>
      <c r="D6291" s="38" t="n">
        <f aca="false">Q!$E$38</f>
        <v>77.67</v>
      </c>
      <c r="E6291" s="38" t="n">
        <f aca="false">Q!$P$38</f>
        <v>92.902</v>
      </c>
      <c r="F6291" s="38" t="n">
        <f aca="false">Sens!$F$6289-Sens!$F$6290</f>
        <v>46.3053828906144</v>
      </c>
      <c r="G6291" s="38" t="n">
        <f aca="false">Sens!$E$6291+Sens!$F$6291</f>
        <v>139.207382890614</v>
      </c>
      <c r="H6291" s="38" t="n">
        <f aca="false">Sens!$H$6289-Sens!$H$6290</f>
        <v>105.69273570526</v>
      </c>
      <c r="I6291" s="38" t="n">
        <f aca="false">Sens!$I$6289-Sens!$I$6290</f>
        <v>119.879804986231</v>
      </c>
      <c r="J6291" s="38" t="n">
        <f aca="false">Sens!$J$6289-Sens!$J$6290</f>
        <v>134.128097114092</v>
      </c>
      <c r="K6291" s="38" t="n">
        <f aca="false">Sens!$K$6289-Sens!$K$6290</f>
        <v>144.466571578893</v>
      </c>
      <c r="L6291" s="38" t="n">
        <f aca="false">Sens!$L$6289-Sens!$L$6290</f>
        <v>157.514325063223</v>
      </c>
      <c r="M6291" s="38" t="n">
        <f aca="false">Sens!$M$6289-Sens!$M$6290</f>
        <v>171.9729181925</v>
      </c>
      <c r="N6291" s="38" t="n">
        <f aca="false">Q!$N$38</f>
        <v>35.291</v>
      </c>
      <c r="O6291" s="38" t="n">
        <f aca="false">Q!$O$38</f>
        <v>42.379</v>
      </c>
    </row>
    <row r="6292" customFormat="false" ht="17.15" hidden="false" customHeight="false" outlineLevel="0" collapsed="false">
      <c r="A6292" s="5" t="s">
        <v>552</v>
      </c>
      <c r="B6292" s="5" t="s">
        <v>33</v>
      </c>
      <c r="C6292" s="22" t="n">
        <f aca="false">Q!$D$41</f>
        <v>10.721</v>
      </c>
      <c r="D6292" s="22" t="n">
        <f aca="false">Q!$E$41</f>
        <v>10.827</v>
      </c>
      <c r="E6292" s="22" t="n">
        <f aca="false">(Q!$L$41+Q!$M$41)/2</f>
        <v>10.8885</v>
      </c>
      <c r="F6292" s="22" t="n">
        <f aca="false">Sens!$G$6292</f>
        <v>10.924806</v>
      </c>
      <c r="G6292" s="22" t="n">
        <f aca="false">Q!$M$41*(1+sh_g*0.25)</f>
        <v>10.924806</v>
      </c>
      <c r="H6292" s="22" t="n">
        <f aca="false">Sens!$G$6292*(1+sh_g)</f>
        <v>11.012204448</v>
      </c>
      <c r="I6292" s="22" t="n">
        <f aca="false">Sens!$H$6292*(1+sh_g)</f>
        <v>11.100302083584</v>
      </c>
      <c r="J6292" s="22" t="n">
        <f aca="false">Sens!$I$6292*(1+sh_g)</f>
        <v>11.1891045002527</v>
      </c>
      <c r="K6292" s="22" t="n">
        <f aca="false">Sens!$J$6292*(1+sh_g)</f>
        <v>11.2786173362547</v>
      </c>
      <c r="L6292" s="22" t="n">
        <f aca="false">Sens!$K$6292*(1+sh_g)</f>
        <v>11.3688462749447</v>
      </c>
      <c r="M6292" s="22" t="n">
        <f aca="false">Sens!$L$6292*(1+sh_g)</f>
        <v>11.4597970451443</v>
      </c>
      <c r="P6292" s="5" t="s">
        <v>755</v>
      </c>
    </row>
    <row r="6293" customFormat="false" ht="17.15" hidden="false" customHeight="false" outlineLevel="0" collapsed="false">
      <c r="A6293" s="5" t="s">
        <v>756</v>
      </c>
      <c r="B6293" s="0" t="s">
        <v>86</v>
      </c>
      <c r="C6293" s="38" t="n">
        <f aca="false">Sens!$C$6291+Sens!$C$6267*(1-tax)</f>
        <v>59.248</v>
      </c>
      <c r="D6293" s="38" t="n">
        <f aca="false">Sens!$D$6291+Sens!$D$6267*(1-tax)</f>
        <v>77.67</v>
      </c>
      <c r="E6293" s="38" t="n">
        <f aca="false">Sens!$E$6291+Sens!$E$6267*(1-tax)</f>
        <v>92.902</v>
      </c>
      <c r="F6293" s="38" t="n">
        <f aca="false">Sens!$F$6291+Sens!$F$6267*(1-tax)</f>
        <v>49.421977850263</v>
      </c>
      <c r="G6293" s="38" t="n">
        <f aca="false">Sens!$G$6291+Sens!$G$6267*(1-tax)</f>
        <v>142.323977850263</v>
      </c>
      <c r="H6293" s="38" t="n">
        <f aca="false">Sens!$H$6291+Sens!$H$6267*(1-tax)</f>
        <v>118.224131660605</v>
      </c>
      <c r="I6293" s="38" t="n">
        <f aca="false">Sens!$I$6291+Sens!$I$6267*(1-tax)</f>
        <v>141.02107006117</v>
      </c>
      <c r="J6293" s="38" t="n">
        <f aca="false">Sens!$J$6291+Sens!$J$6267*(1-tax)</f>
        <v>163.917534058375</v>
      </c>
      <c r="K6293" s="38" t="n">
        <f aca="false">Sens!$K$6291+Sens!$K$6267*(1-tax)</f>
        <v>181.633877275552</v>
      </c>
      <c r="L6293" s="38" t="n">
        <f aca="false">Sens!$L$6291+Sens!$L$6267*(1-tax)</f>
        <v>199.530402403778</v>
      </c>
      <c r="M6293" s="38" t="n">
        <f aca="false">Sens!$M$6291+Sens!$M$6267*(1-tax)</f>
        <v>216.302440383341</v>
      </c>
      <c r="N6293" s="38" t="n">
        <f aca="false">Sens!$N$6291+Sens!$N$6267*(1-tax)</f>
        <v>35.291</v>
      </c>
      <c r="O6293" s="38" t="n">
        <f aca="false">Sens!$O$6291+Sens!$O$6267*(1-tax)</f>
        <v>42.379</v>
      </c>
    </row>
    <row r="6294" customFormat="false" ht="17.15" hidden="false" customHeight="false" outlineLevel="0" collapsed="false">
      <c r="A6294" s="43" t="s">
        <v>757</v>
      </c>
      <c r="B6294" s="14" t="s">
        <v>27</v>
      </c>
      <c r="C6294" s="44" t="n">
        <f aca="false">Sens!$C$6293/Sens!$C$6292</f>
        <v>5.52635015390355</v>
      </c>
      <c r="D6294" s="44" t="n">
        <f aca="false">Sens!$D$6293/Sens!$D$6292</f>
        <v>7.1737323358271</v>
      </c>
      <c r="E6294" s="44" t="n">
        <f aca="false">Sens!$E$6293/Sens!$E$6292</f>
        <v>8.53212104513937</v>
      </c>
      <c r="F6294" s="14"/>
      <c r="G6294" s="44" t="n">
        <f aca="false">Sens!$G$6293/Sens!$G$6292</f>
        <v>13.0275977303636</v>
      </c>
      <c r="H6294" s="44" t="n">
        <f aca="false">Sens!$H$6293/Sens!$H$6292</f>
        <v>10.7357370832392</v>
      </c>
      <c r="I6294" s="44" t="n">
        <f aca="false">Sens!$I$6293/Sens!$I$6292</f>
        <v>12.7042551634449</v>
      </c>
      <c r="J6294" s="44" t="n">
        <f aca="false">Sens!$J$6293/Sens!$J$6292</f>
        <v>14.6497455676344</v>
      </c>
      <c r="K6294" s="44" t="n">
        <f aca="false">Sens!$K$6293/Sens!$K$6292</f>
        <v>16.104268090708</v>
      </c>
      <c r="L6294" s="44" t="n">
        <f aca="false">Sens!$L$6293/Sens!$L$6292</f>
        <v>17.5506289361581</v>
      </c>
      <c r="M6294" s="44" t="n">
        <f aca="false">Sens!$M$6293/Sens!$M$6292</f>
        <v>18.8748927691518</v>
      </c>
      <c r="N6294" s="14"/>
      <c r="O6294" s="14"/>
    </row>
    <row r="6295" customFormat="false" ht="17.15" hidden="false" customHeight="false" outlineLevel="0" collapsed="false">
      <c r="A6295" s="0" t="s">
        <v>758</v>
      </c>
      <c r="B6295" s="0" t="s">
        <v>27</v>
      </c>
      <c r="C6295" s="30" t="n">
        <f aca="false">Sens!$C$6291/Sens!$C$6292</f>
        <v>5.52635015390355</v>
      </c>
      <c r="D6295" s="30" t="n">
        <f aca="false">Sens!$D$6291/Sens!$D$6292</f>
        <v>7.1737323358271</v>
      </c>
      <c r="E6295" s="30" t="n">
        <f aca="false">Sens!$E$6291/Sens!$E$6292</f>
        <v>8.53212104513937</v>
      </c>
      <c r="G6295" s="30" t="n">
        <f aca="false">Sens!$G$6291/Sens!$G$6292</f>
        <v>12.7423208147233</v>
      </c>
      <c r="H6295" s="30" t="n">
        <f aca="false">Sens!$H$6291/Sens!$H$6292</f>
        <v>9.59778182509639</v>
      </c>
      <c r="I6295" s="30" t="n">
        <f aca="false">Sens!$I$6291/Sens!$I$6292</f>
        <v>10.799688520506</v>
      </c>
      <c r="J6295" s="30" t="n">
        <f aca="false">Sens!$J$6291/Sens!$J$6292</f>
        <v>11.9873844337644</v>
      </c>
      <c r="K6295" s="30" t="n">
        <f aca="false">Sens!$K$6291/Sens!$K$6292</f>
        <v>12.8088902453061</v>
      </c>
      <c r="L6295" s="30" t="n">
        <f aca="false">Sens!$L$6291/Sens!$L$6292</f>
        <v>13.8549085152432</v>
      </c>
      <c r="M6295" s="30" t="n">
        <f aca="false">Sens!$M$6291/Sens!$M$6292</f>
        <v>15.0066286091313</v>
      </c>
    </row>
    <row r="6296" customFormat="false" ht="17.15" hidden="false" customHeight="false" outlineLevel="0" collapsed="false">
      <c r="A6296" s="0" t="s">
        <v>759</v>
      </c>
      <c r="B6296" s="0" t="s">
        <v>27</v>
      </c>
      <c r="C6296" s="30" t="n">
        <f aca="false">(Sens!$C$6291-Sens!$C$6288*(1-tax))/Sens!$C$6292</f>
        <v>5.33926775917445</v>
      </c>
      <c r="D6296" s="30" t="n">
        <f aca="false">(Sens!$D$6291-Sens!$D$6288*(1-tax))/Sens!$D$6292</f>
        <v>5.67691812755503</v>
      </c>
      <c r="E6296" s="30" t="n">
        <f aca="false">(Sens!$E$6291-Sens!$E$6288*(1-tax))/Sens!$E$6292</f>
        <v>3.10602057006846</v>
      </c>
      <c r="G6296" s="30" t="n">
        <f aca="false">(Sens!$G$6291-Sens!$G$6288*(1-tax))/Sens!$G$6292</f>
        <v>7.33425269682635</v>
      </c>
      <c r="H6296" s="30" t="n">
        <f aca="false">(Sens!$H$6291-Sens!$H$6288*(1-tax))/Sens!$H$6292</f>
        <v>9.59778182509639</v>
      </c>
      <c r="I6296" s="30" t="n">
        <f aca="false">(Sens!$I$6291-Sens!$I$6288*(1-tax))/Sens!$I$6292</f>
        <v>10.799688520506</v>
      </c>
      <c r="J6296" s="30" t="n">
        <f aca="false">(Sens!$J$6291-Sens!$J$6288*(1-tax))/Sens!$J$6292</f>
        <v>11.9873844337644</v>
      </c>
      <c r="K6296" s="30" t="n">
        <f aca="false">(Sens!$K$6291-Sens!$K$6288*(1-tax))/Sens!$K$6292</f>
        <v>12.8088902453061</v>
      </c>
      <c r="L6296" s="30" t="n">
        <f aca="false">(Sens!$L$6291-Sens!$L$6288*(1-tax))/Sens!$L$6292</f>
        <v>13.8549085152432</v>
      </c>
      <c r="M6296" s="30" t="n">
        <f aca="false">(Sens!$M$6291-Sens!$M$6288*(1-tax))/Sens!$M$6292</f>
        <v>15.0066286091313</v>
      </c>
      <c r="P6296" s="5" t="s">
        <v>760</v>
      </c>
    </row>
    <row r="6297" customFormat="false" ht="17.15" hidden="false" customHeight="false" outlineLevel="0" collapsed="false">
      <c r="A6297" s="0" t="s">
        <v>761</v>
      </c>
      <c r="B6297" s="0" t="s">
        <v>52</v>
      </c>
      <c r="H6297" s="13" t="n">
        <f aca="false">Sens!$H$6294/Sens!$G$6294-1</f>
        <v>-0.175923504437261</v>
      </c>
      <c r="I6297" s="13" t="n">
        <f aca="false">Sens!$I$6294/Sens!$H$6294-1</f>
        <v>0.183361241519136</v>
      </c>
      <c r="J6297" s="13" t="n">
        <f aca="false">Sens!$J$6294/Sens!$I$6294-1</f>
        <v>0.153136911936991</v>
      </c>
      <c r="K6297" s="13" t="n">
        <f aca="false">Sens!$K$6294/Sens!$J$6294-1</f>
        <v>0.0992865382103958</v>
      </c>
      <c r="L6297" s="13" t="n">
        <f aca="false">Sens!$L$6294/Sens!$K$6294-1</f>
        <v>0.0898122682324627</v>
      </c>
      <c r="M6297" s="13" t="n">
        <f aca="false">Sens!$M$6294/Sens!$L$6294-1</f>
        <v>0.0754539246320329</v>
      </c>
    </row>
    <row r="6300" customFormat="false" ht="19.4" hidden="false" customHeight="false" outlineLevel="0" collapsed="false">
      <c r="A6300" s="31" t="s">
        <v>1263</v>
      </c>
    </row>
    <row r="6301" customFormat="false" ht="17.15" hidden="false" customHeight="false" outlineLevel="0" collapsed="false">
      <c r="A6301" s="6" t="s">
        <v>16</v>
      </c>
      <c r="B6301" s="6" t="s">
        <v>17</v>
      </c>
      <c r="C6301" s="20" t="s">
        <v>497</v>
      </c>
      <c r="D6301" s="20" t="s">
        <v>498</v>
      </c>
      <c r="E6301" s="20" t="s">
        <v>580</v>
      </c>
      <c r="F6301" s="20" t="s">
        <v>581</v>
      </c>
      <c r="G6301" s="20" t="s">
        <v>582</v>
      </c>
      <c r="H6301" s="20" t="s">
        <v>583</v>
      </c>
      <c r="I6301" s="20" t="s">
        <v>584</v>
      </c>
      <c r="J6301" s="20" t="s">
        <v>585</v>
      </c>
      <c r="K6301" s="20" t="s">
        <v>586</v>
      </c>
      <c r="L6301" s="20" t="s">
        <v>587</v>
      </c>
      <c r="M6301" s="20" t="s">
        <v>588</v>
      </c>
      <c r="N6301" s="20" t="s">
        <v>589</v>
      </c>
      <c r="O6301" s="20" t="s">
        <v>590</v>
      </c>
      <c r="P6301" s="6" t="s">
        <v>23</v>
      </c>
      <c r="R6301" s="20" t="n">
        <v>2023</v>
      </c>
      <c r="S6301" s="20" t="n">
        <v>2024</v>
      </c>
      <c r="T6301" s="20" t="n">
        <v>2025</v>
      </c>
      <c r="U6301" s="20" t="n">
        <v>2026</v>
      </c>
      <c r="V6301" s="20" t="n">
        <v>2027</v>
      </c>
      <c r="W6301" s="20" t="n">
        <v>2028</v>
      </c>
      <c r="X6301" s="20" t="n">
        <v>2029</v>
      </c>
      <c r="Y6301" s="20" t="n">
        <v>2030</v>
      </c>
      <c r="Z6301" s="20" t="n">
        <v>2031</v>
      </c>
      <c r="AA6301" s="20" t="n">
        <v>2032</v>
      </c>
    </row>
    <row r="6302" customFormat="false" ht="15" hidden="false" customHeight="false" outlineLevel="0" collapsed="false">
      <c r="A6302" s="5" t="s">
        <v>549</v>
      </c>
      <c r="B6302" s="0" t="s">
        <v>86</v>
      </c>
      <c r="C6302" s="38" t="n">
        <f aca="false">Sens!$C$6291</f>
        <v>59.248</v>
      </c>
      <c r="D6302" s="38" t="n">
        <f aca="false">Sens!$D$6291</f>
        <v>77.67</v>
      </c>
      <c r="E6302" s="38" t="n">
        <f aca="false">Sens!$E$6291</f>
        <v>92.902</v>
      </c>
      <c r="F6302" s="38" t="n">
        <f aca="false">Sens!$F$6291</f>
        <v>46.3053828906144</v>
      </c>
      <c r="G6302" s="38" t="n">
        <f aca="false">Sens!$G$6291</f>
        <v>139.207382890614</v>
      </c>
      <c r="H6302" s="38" t="n">
        <f aca="false">Sens!$H$6291</f>
        <v>105.69273570526</v>
      </c>
      <c r="I6302" s="38" t="n">
        <f aca="false">Sens!$I$6291</f>
        <v>119.879804986231</v>
      </c>
      <c r="J6302" s="38" t="n">
        <f aca="false">Sens!$J$6291</f>
        <v>134.128097114092</v>
      </c>
      <c r="K6302" s="38" t="n">
        <f aca="false">Sens!$K$6291</f>
        <v>144.466571578893</v>
      </c>
      <c r="L6302" s="38" t="n">
        <f aca="false">Sens!$L$6291</f>
        <v>157.514325063223</v>
      </c>
      <c r="M6302" s="38" t="n">
        <f aca="false">Sens!$M$6291</f>
        <v>171.9729181925</v>
      </c>
    </row>
    <row r="6303" customFormat="false" ht="17.15" hidden="false" customHeight="false" outlineLevel="0" collapsed="false">
      <c r="A6303" s="5" t="s">
        <v>784</v>
      </c>
      <c r="B6303" s="0" t="s">
        <v>86</v>
      </c>
      <c r="C6303" s="38" t="n">
        <f aca="false">Sens!$C$6279</f>
        <v>32.067</v>
      </c>
      <c r="D6303" s="38" t="n">
        <f aca="false">Sens!$D$6279</f>
        <v>41.86</v>
      </c>
      <c r="E6303" s="38" t="n">
        <f aca="false">Sens!$E$6279</f>
        <v>26.703</v>
      </c>
      <c r="F6303" s="38" t="n">
        <f aca="false">Sens!$F$6279</f>
        <v>28.2071421626285</v>
      </c>
      <c r="G6303" s="38" t="n">
        <f aca="false">Sens!$G$6279</f>
        <v>54.9101421626285</v>
      </c>
      <c r="H6303" s="38" t="n">
        <f aca="false">Sens!$H$6279</f>
        <v>78.1799395827871</v>
      </c>
      <c r="I6303" s="38" t="n">
        <f aca="false">Sens!$I$6279</f>
        <v>111.171125554384</v>
      </c>
      <c r="J6303" s="38" t="n">
        <f aca="false">Sens!$J$6279</f>
        <v>144.884406220971</v>
      </c>
      <c r="K6303" s="38" t="n">
        <f aca="false">Sens!$K$6279</f>
        <v>178.806419437999</v>
      </c>
      <c r="L6303" s="38" t="n">
        <f aca="false">Sens!$L$6279</f>
        <v>204.341339029663</v>
      </c>
      <c r="M6303" s="38" t="n">
        <f aca="false">Sens!$M$6279</f>
        <v>223.130577995387</v>
      </c>
    </row>
    <row r="6304" customFormat="false" ht="15" hidden="false" customHeight="false" outlineLevel="0" collapsed="false">
      <c r="A6304" s="5" t="s">
        <v>785</v>
      </c>
      <c r="B6304" s="0" t="s">
        <v>86</v>
      </c>
      <c r="C6304" s="38" t="n">
        <f aca="false">Q!$D$48</f>
        <v>22.011</v>
      </c>
      <c r="D6304" s="38" t="n">
        <f aca="false">Q!$E$48</f>
        <v>19.467</v>
      </c>
      <c r="E6304" s="38" t="n">
        <f aca="false">Q!$P$48</f>
        <v>10.07</v>
      </c>
      <c r="F6304" s="38" t="n">
        <f aca="false">sbc_r*Sens!$F$6221</f>
        <v>10.8507035798037</v>
      </c>
      <c r="G6304" s="38" t="n">
        <f aca="false">Sens!$E$6304+Sens!$F$6304</f>
        <v>20.9207035798037</v>
      </c>
      <c r="H6304" s="38" t="n">
        <f aca="false">sbc_r*Sens!$H$6221</f>
        <v>23.46224366345</v>
      </c>
      <c r="I6304" s="38" t="n">
        <f aca="false">sbc_r*Sens!$I$6221</f>
        <v>26.6125957111676</v>
      </c>
      <c r="J6304" s="38" t="n">
        <f aca="false">sbc_r*Sens!$J$6221</f>
        <v>29.6280801413323</v>
      </c>
      <c r="K6304" s="38" t="n">
        <f aca="false">sbc_r*Sens!$K$6221</f>
        <v>32.2712258901105</v>
      </c>
      <c r="L6304" s="38" t="n">
        <f aca="false">sbc_r*Sens!$L$6221</f>
        <v>34.7390505016737</v>
      </c>
      <c r="M6304" s="38" t="n">
        <f aca="false">sbc_r*Sens!$M$6221</f>
        <v>37.0405146906692</v>
      </c>
    </row>
    <row r="6305" customFormat="false" ht="17.15" hidden="false" customHeight="false" outlineLevel="0" collapsed="false">
      <c r="A6305" s="5" t="s">
        <v>786</v>
      </c>
      <c r="B6305" s="0" t="s">
        <v>86</v>
      </c>
      <c r="C6305" s="38" t="n">
        <f aca="false">Q!$D$44-Sens!$C$6302-Sens!$C$6303-Sens!$C$6304</f>
        <v>2.551</v>
      </c>
      <c r="D6305" s="38" t="n">
        <f aca="false">Q!$E$44-Sens!$D$6302-Sens!$D$6303-Sens!$D$6304</f>
        <v>0.51700000000001</v>
      </c>
      <c r="E6305" s="38" t="n">
        <f aca="false">Q!$P$44-Sens!$E$6302-Sens!$E$6303-Sens!$E$6304</f>
        <v>-58.256</v>
      </c>
      <c r="F6305" s="38" t="n">
        <f aca="false">oth_r*Sens!$F$6221</f>
        <v>5.22265251035878</v>
      </c>
      <c r="G6305" s="38" t="n">
        <f aca="false">Sens!$E$6305+Sens!$F$6305</f>
        <v>-53.0333474896412</v>
      </c>
      <c r="H6305" s="38" t="n">
        <f aca="false">oth_r*Sens!$H$6221</f>
        <v>11.2928295263397</v>
      </c>
      <c r="I6305" s="38" t="n">
        <f aca="false">oth_r*Sens!$I$6221</f>
        <v>12.8091546115766</v>
      </c>
      <c r="J6305" s="38" t="n">
        <f aca="false">oth_r*Sens!$J$6221</f>
        <v>14.2605653162668</v>
      </c>
      <c r="K6305" s="38" t="n">
        <f aca="false">oth_r*Sens!$K$6221</f>
        <v>15.5327622460396</v>
      </c>
      <c r="L6305" s="38" t="n">
        <f aca="false">oth_r*Sens!$L$6221</f>
        <v>16.720573737517</v>
      </c>
      <c r="M6305" s="38" t="n">
        <f aca="false">oth_r*Sens!$M$6221</f>
        <v>17.8283127551536</v>
      </c>
      <c r="P6305" s="8" t="s">
        <v>787</v>
      </c>
    </row>
    <row r="6306" customFormat="false" ht="15" hidden="false" customHeight="false" outlineLevel="0" collapsed="false">
      <c r="A6306" s="3" t="s">
        <v>555</v>
      </c>
      <c r="B6306" s="8" t="s">
        <v>86</v>
      </c>
      <c r="C6306" s="38" t="n">
        <f aca="false">Q!$D$44</f>
        <v>115.877</v>
      </c>
      <c r="D6306" s="38" t="n">
        <f aca="false">Q!$E$44</f>
        <v>139.514</v>
      </c>
      <c r="E6306" s="38" t="n">
        <f aca="false">Q!$P$44</f>
        <v>71.419</v>
      </c>
      <c r="F6306" s="38" t="n">
        <f aca="false">Sens!$F$6302+Sens!$F$6303+Sens!$F$6304+Sens!$F$6305</f>
        <v>90.5858811434053</v>
      </c>
      <c r="G6306" s="38" t="n">
        <f aca="false">Sens!$E$6306+Sens!$F$6306</f>
        <v>162.004881143405</v>
      </c>
      <c r="H6306" s="38" t="n">
        <f aca="false">Sens!$H$6302+Sens!$H$6303+Sens!$H$6304+Sens!$H$6305</f>
        <v>218.627748477837</v>
      </c>
      <c r="I6306" s="38" t="n">
        <f aca="false">Sens!$I$6302+Sens!$I$6303+Sens!$I$6304+Sens!$I$6305</f>
        <v>270.47268086336</v>
      </c>
      <c r="J6306" s="38" t="n">
        <f aca="false">Sens!$J$6302+Sens!$J$6303+Sens!$J$6304+Sens!$J$6305</f>
        <v>322.901148792662</v>
      </c>
      <c r="K6306" s="38" t="n">
        <f aca="false">Sens!$K$6302+Sens!$K$6303+Sens!$K$6304+Sens!$K$6305</f>
        <v>371.076979153043</v>
      </c>
      <c r="L6306" s="38" t="n">
        <f aca="false">Sens!$L$6302+Sens!$L$6303+Sens!$L$6304+Sens!$L$6305</f>
        <v>413.315288332076</v>
      </c>
      <c r="M6306" s="38" t="n">
        <f aca="false">Sens!$M$6302+Sens!$M$6303+Sens!$M$6304+Sens!$M$6305</f>
        <v>449.97232363371</v>
      </c>
    </row>
    <row r="6307" customFormat="false" ht="17.15" hidden="false" customHeight="false" outlineLevel="0" collapsed="false">
      <c r="A6307" s="5" t="s">
        <v>788</v>
      </c>
      <c r="B6307" s="0" t="s">
        <v>86</v>
      </c>
      <c r="C6307" s="38" t="n">
        <f aca="false">Sens!$C$6188</f>
        <v>25.2781053077374</v>
      </c>
      <c r="D6307" s="38" t="n">
        <f aca="false">Sens!$D$6188</f>
        <v>69.5686316310026</v>
      </c>
      <c r="E6307" s="38" t="n">
        <f aca="false">Sens!$E$6188</f>
        <v>64.1899206485108</v>
      </c>
      <c r="F6307" s="38" t="n">
        <f aca="false">Sens!$F$6188</f>
        <v>96.2481299895</v>
      </c>
      <c r="G6307" s="38" t="n">
        <f aca="false">Sens!$G$6188</f>
        <v>160.438050638011</v>
      </c>
      <c r="H6307" s="38" t="n">
        <f aca="false">Sens!$H$6188</f>
        <v>198.57136494475</v>
      </c>
      <c r="I6307" s="38" t="n">
        <f aca="false">Sens!$I$6188</f>
        <v>204.6464699105</v>
      </c>
      <c r="J6307" s="38" t="n">
        <f aca="false">Sens!$J$6188</f>
        <v>209.8832381105</v>
      </c>
      <c r="K6307" s="38" t="n">
        <f aca="false">Sens!$K$6188</f>
        <v>155.238385275201</v>
      </c>
      <c r="L6307" s="38" t="n">
        <f aca="false">Sens!$L$6188</f>
        <v>132.014141639902</v>
      </c>
      <c r="M6307" s="38" t="n">
        <f aca="false">Sens!$M$6188</f>
        <v>132.230981659852</v>
      </c>
    </row>
    <row r="6308" customFormat="false" ht="17.15" hidden="false" customHeight="false" outlineLevel="0" collapsed="false">
      <c r="A6308" s="5" t="s">
        <v>789</v>
      </c>
      <c r="B6308" s="0" t="s">
        <v>86</v>
      </c>
      <c r="C6308" s="38" t="n">
        <f aca="false">cx_awso*Sens!$C$6219</f>
        <v>21.0469989286053</v>
      </c>
      <c r="D6308" s="38" t="n">
        <f aca="false">cx_awso*Sens!$D$6219</f>
        <v>24.0042459822698</v>
      </c>
      <c r="E6308" s="38" t="n">
        <f aca="false">cx_awso*Sens!$E$6219</f>
        <v>14.261729404886</v>
      </c>
      <c r="F6308" s="38" t="n">
        <f aca="false">cx_awso*Sens!$F$6219</f>
        <v>14.3538599588493</v>
      </c>
      <c r="G6308" s="38" t="n">
        <f aca="false">Sens!$E$6308+Sens!$F$6308</f>
        <v>28.6155893637353</v>
      </c>
      <c r="H6308" s="38" t="n">
        <f aca="false">cx_awso*Sens!$H$6219</f>
        <v>32.2034154158406</v>
      </c>
      <c r="I6308" s="38" t="n">
        <f aca="false">cx_awso*Sens!$I$6219</f>
        <v>35.7539519042915</v>
      </c>
      <c r="J6308" s="38" t="n">
        <f aca="false">cx_awso*Sens!$J$6219</f>
        <v>39.1551076091815</v>
      </c>
      <c r="K6308" s="38" t="n">
        <f aca="false">cx_awso*Sens!$K$6219</f>
        <v>42.287516217916</v>
      </c>
      <c r="L6308" s="38" t="n">
        <f aca="false">cx_awso*Sens!$L$6219</f>
        <v>45.6705175153492</v>
      </c>
      <c r="M6308" s="38" t="n">
        <f aca="false">cx_awso*Sens!$M$6219</f>
        <v>49.3241589165772</v>
      </c>
    </row>
    <row r="6309" customFormat="false" ht="17.15" hidden="false" customHeight="false" outlineLevel="0" collapsed="false">
      <c r="A6309" s="5" t="s">
        <v>790</v>
      </c>
      <c r="B6309" s="0" t="s">
        <v>86</v>
      </c>
      <c r="C6309" s="38" t="n">
        <f aca="false">Q!$D$46-Sens!$C$6307-Sens!$C$6308</f>
        <v>31.3328957636573</v>
      </c>
      <c r="D6309" s="38" t="n">
        <f aca="false">Q!$E$46-Sens!$D$6307-Sens!$D$6308</f>
        <v>34.7471223867276</v>
      </c>
      <c r="E6309" s="38" t="n">
        <f aca="false">Q!$P$46-Sens!$E$6307-Sens!$E$6308</f>
        <v>17.8583499466032</v>
      </c>
      <c r="F6309" s="38" t="n">
        <f aca="false">cx_rt*Sens!$F$6151</f>
        <v>20.6195895799373</v>
      </c>
      <c r="G6309" s="38" t="n">
        <f aca="false">Sens!$E$6309+Sens!$F$6309</f>
        <v>38.4779395265405</v>
      </c>
      <c r="H6309" s="38" t="n">
        <f aca="false">cx_rt*Sens!$H$6151</f>
        <v>42.5978994743075</v>
      </c>
      <c r="I6309" s="38" t="n">
        <f aca="false">cx_rt*Sens!$I$6151</f>
        <v>46.5813904136335</v>
      </c>
      <c r="J6309" s="38" t="n">
        <f aca="false">cx_rt*Sens!$J$6151</f>
        <v>50.2781676586844</v>
      </c>
      <c r="K6309" s="38" t="n">
        <f aca="false">cx_rt*Sens!$K$6151</f>
        <v>53.5312440191755</v>
      </c>
      <c r="L6309" s="38" t="n">
        <f aca="false">cx_rt*Sens!$L$6151</f>
        <v>57.0116717051447</v>
      </c>
      <c r="M6309" s="38" t="n">
        <f aca="false">cx_rt*Sens!$M$6151</f>
        <v>60.7365554669226</v>
      </c>
    </row>
    <row r="6310" customFormat="false" ht="15" hidden="false" customHeight="false" outlineLevel="0" collapsed="false">
      <c r="A6310" s="3" t="s">
        <v>791</v>
      </c>
      <c r="B6310" s="8" t="s">
        <v>86</v>
      </c>
      <c r="C6310" s="38" t="n">
        <f aca="false">Q!$D$46</f>
        <v>77.658</v>
      </c>
      <c r="D6310" s="38" t="n">
        <f aca="false">Q!$E$46</f>
        <v>128.32</v>
      </c>
      <c r="E6310" s="38" t="n">
        <f aca="false">Q!$P$46</f>
        <v>96.31</v>
      </c>
      <c r="F6310" s="38" t="n">
        <f aca="false">Sens!$F$6307+Sens!$F$6308+Sens!$F$6309</f>
        <v>131.221579528287</v>
      </c>
      <c r="G6310" s="38" t="n">
        <f aca="false">Sens!$E$6310+Sens!$F$6310</f>
        <v>227.531579528287</v>
      </c>
      <c r="H6310" s="38" t="n">
        <f aca="false">Sens!$H$6307+Sens!$H$6308+Sens!$H$6309</f>
        <v>273.372679834898</v>
      </c>
      <c r="I6310" s="38" t="n">
        <f aca="false">Sens!$I$6307+Sens!$I$6308+Sens!$I$6309</f>
        <v>286.981812228425</v>
      </c>
      <c r="J6310" s="38" t="n">
        <f aca="false">Sens!$J$6307+Sens!$J$6308+Sens!$J$6309</f>
        <v>299.316513378366</v>
      </c>
      <c r="K6310" s="38" t="n">
        <f aca="false">Sens!$K$6307+Sens!$K$6308+Sens!$K$6309</f>
        <v>251.057145512292</v>
      </c>
      <c r="L6310" s="38" t="n">
        <f aca="false">Sens!$L$6307+Sens!$L$6308+Sens!$L$6309</f>
        <v>234.696330860396</v>
      </c>
      <c r="M6310" s="38" t="n">
        <f aca="false">Sens!$M$6307+Sens!$M$6308+Sens!$M$6309</f>
        <v>242.291696043352</v>
      </c>
    </row>
    <row r="6311" customFormat="false" ht="17.15" hidden="false" customHeight="false" outlineLevel="0" collapsed="false">
      <c r="A6311" s="5" t="s">
        <v>563</v>
      </c>
      <c r="B6311" s="0" t="s">
        <v>86</v>
      </c>
      <c r="C6311" s="38" t="n">
        <f aca="false">Q!$D$50</f>
        <v>2.043</v>
      </c>
      <c r="D6311" s="38" t="n">
        <f aca="false">Q!$E$50</f>
        <v>1.557</v>
      </c>
      <c r="E6311" s="38" t="n">
        <f aca="false">lease_pr/2</f>
        <v>0.8</v>
      </c>
      <c r="F6311" s="38" t="n">
        <f aca="false">lease_pr/2</f>
        <v>0.8</v>
      </c>
      <c r="G6311" s="38" t="n">
        <f aca="false">Sens!$E$6311+Sens!$F$6311</f>
        <v>1.6</v>
      </c>
      <c r="H6311" s="38" t="n">
        <f aca="false">lease_pr</f>
        <v>1.6</v>
      </c>
      <c r="I6311" s="38" t="n">
        <f aca="false">lease_pr</f>
        <v>1.6</v>
      </c>
      <c r="J6311" s="38" t="n">
        <f aca="false">lease_pr</f>
        <v>1.6</v>
      </c>
      <c r="K6311" s="38" t="n">
        <f aca="false">lease_pr</f>
        <v>1.6</v>
      </c>
      <c r="L6311" s="38" t="n">
        <f aca="false">lease_pr</f>
        <v>1.6</v>
      </c>
      <c r="M6311" s="38" t="n">
        <f aca="false">lease_pr</f>
        <v>1.6</v>
      </c>
      <c r="P6311" s="8" t="s">
        <v>792</v>
      </c>
    </row>
    <row r="6312" customFormat="false" ht="15" hidden="false" customHeight="false" outlineLevel="0" collapsed="false">
      <c r="A6312" s="47" t="s">
        <v>793</v>
      </c>
      <c r="B6312" s="14" t="s">
        <v>86</v>
      </c>
      <c r="C6312" s="48" t="n">
        <f aca="false">Sens!$C$6306-Sens!$C$6310-Sens!$C$6311</f>
        <v>36.176</v>
      </c>
      <c r="D6312" s="48" t="n">
        <f aca="false">Sens!$D$6306-Sens!$D$6310-Sens!$D$6311</f>
        <v>9.63700000000002</v>
      </c>
      <c r="E6312" s="48" t="n">
        <f aca="false">Sens!$E$6306-Sens!$E$6310-Sens!$E$6311</f>
        <v>-25.691</v>
      </c>
      <c r="F6312" s="48" t="n">
        <f aca="false">Sens!$F$6306-Sens!$F$6310-Sens!$F$6311</f>
        <v>-41.4356983848813</v>
      </c>
      <c r="G6312" s="48" t="n">
        <f aca="false">Sens!$G$6306-Sens!$G$6310-Sens!$G$6311</f>
        <v>-67.1266983848813</v>
      </c>
      <c r="H6312" s="48" t="n">
        <f aca="false">Sens!$H$6306-Sens!$H$6310-Sens!$H$6311</f>
        <v>-56.3449313570613</v>
      </c>
      <c r="I6312" s="48" t="n">
        <f aca="false">Sens!$I$6306-Sens!$I$6310-Sens!$I$6311</f>
        <v>-18.1091313650653</v>
      </c>
      <c r="J6312" s="48" t="n">
        <f aca="false">Sens!$J$6306-Sens!$J$6310-Sens!$J$6311</f>
        <v>21.9846354142961</v>
      </c>
      <c r="K6312" s="48" t="n">
        <f aca="false">Sens!$K$6306-Sens!$K$6310-Sens!$K$6311</f>
        <v>118.41983364075</v>
      </c>
      <c r="L6312" s="48" t="n">
        <f aca="false">Sens!$L$6306-Sens!$L$6310-Sens!$L$6311</f>
        <v>177.018957471681</v>
      </c>
      <c r="M6312" s="48" t="n">
        <f aca="false">Sens!$M$6306-Sens!$M$6310-Sens!$M$6311</f>
        <v>206.080627590357</v>
      </c>
      <c r="N6312" s="14"/>
      <c r="O6312" s="14"/>
    </row>
    <row r="6313" customFormat="false" ht="17.15" hidden="false" customHeight="false" outlineLevel="0" collapsed="false">
      <c r="A6313" s="5" t="s">
        <v>794</v>
      </c>
      <c r="B6313" s="0" t="s">
        <v>86</v>
      </c>
      <c r="C6313" s="38" t="n">
        <f aca="false">dps*Sens!$C$6292</f>
        <v>0</v>
      </c>
      <c r="D6313" s="38" t="n">
        <f aca="false">dps*Sens!$D$6292</f>
        <v>0</v>
      </c>
      <c r="E6313" s="38" t="n">
        <f aca="false">dps*Sens!$E$6292</f>
        <v>0</v>
      </c>
      <c r="F6313" s="38" t="n">
        <f aca="false">0</f>
        <v>0</v>
      </c>
      <c r="G6313" s="38" t="n">
        <f aca="false">dps*Sens!$G$6292</f>
        <v>0</v>
      </c>
      <c r="H6313" s="38" t="n">
        <f aca="false">dps*Sens!$H$6292</f>
        <v>0</v>
      </c>
      <c r="I6313" s="38" t="n">
        <f aca="false">dps*Sens!$I$6292</f>
        <v>0</v>
      </c>
      <c r="J6313" s="38" t="n">
        <f aca="false">dps*Sens!$J$6292</f>
        <v>0</v>
      </c>
      <c r="K6313" s="38" t="n">
        <f aca="false">dps*Sens!$K$6292</f>
        <v>0</v>
      </c>
      <c r="L6313" s="38" t="n">
        <f aca="false">dps*Sens!$L$6292</f>
        <v>0</v>
      </c>
      <c r="M6313" s="38" t="n">
        <f aca="false">dps*Sens!$M$6292</f>
        <v>0</v>
      </c>
      <c r="P6313" s="8" t="s">
        <v>795</v>
      </c>
    </row>
    <row r="6314" customFormat="false" ht="17.15" hidden="false" customHeight="false" outlineLevel="0" collapsed="false">
      <c r="A6314" s="5" t="s">
        <v>796</v>
      </c>
      <c r="B6314" s="0" t="s">
        <v>86</v>
      </c>
      <c r="C6314" s="38" t="n">
        <f aca="false">0</f>
        <v>0</v>
      </c>
      <c r="D6314" s="38" t="n">
        <f aca="false">0</f>
        <v>0</v>
      </c>
      <c r="E6314" s="38" t="n">
        <f aca="false">0</f>
        <v>0</v>
      </c>
      <c r="F6314" s="38" t="n">
        <f aca="false">0</f>
        <v>0</v>
      </c>
      <c r="G6314" s="38" t="n">
        <f aca="false">0</f>
        <v>0</v>
      </c>
      <c r="H6314" s="38" t="n">
        <f aca="false">0</f>
        <v>0</v>
      </c>
      <c r="I6314" s="38" t="n">
        <f aca="false">0</f>
        <v>0</v>
      </c>
      <c r="J6314" s="38" t="n">
        <f aca="false">0</f>
        <v>0</v>
      </c>
      <c r="K6314" s="38" t="n">
        <f aca="false">0</f>
        <v>0</v>
      </c>
      <c r="L6314" s="38" t="n">
        <f aca="false">0</f>
        <v>0</v>
      </c>
      <c r="M6314" s="38" t="n">
        <f aca="false">0</f>
        <v>0</v>
      </c>
      <c r="P6314" s="8" t="s">
        <v>797</v>
      </c>
    </row>
    <row r="6315" customFormat="false" ht="15" hidden="false" customHeight="false" outlineLevel="0" collapsed="false">
      <c r="A6315" s="3" t="s">
        <v>798</v>
      </c>
      <c r="B6315" s="8" t="s">
        <v>86</v>
      </c>
      <c r="C6315" s="38" t="n">
        <f aca="false">Sens!$C$6312-Sens!$C$6313</f>
        <v>36.176</v>
      </c>
      <c r="D6315" s="38" t="n">
        <f aca="false">Sens!$D$6312-Sens!$D$6313</f>
        <v>9.63700000000002</v>
      </c>
      <c r="E6315" s="38" t="n">
        <f aca="false">Sens!$E$6312-Sens!$E$6313</f>
        <v>-25.691</v>
      </c>
      <c r="F6315" s="38" t="n">
        <f aca="false">Sens!$F$6312-Sens!$F$6313</f>
        <v>-41.4356983848813</v>
      </c>
      <c r="G6315" s="38" t="n">
        <f aca="false">Sens!$G$6312-Sens!$G$6313</f>
        <v>-67.1266983848813</v>
      </c>
      <c r="H6315" s="38" t="n">
        <f aca="false">Sens!$H$6312-Sens!$H$6313</f>
        <v>-56.3449313570613</v>
      </c>
      <c r="I6315" s="38" t="n">
        <f aca="false">Sens!$I$6312-Sens!$I$6313</f>
        <v>-18.1091313650653</v>
      </c>
      <c r="J6315" s="38" t="n">
        <f aca="false">Sens!$J$6312-Sens!$J$6313</f>
        <v>21.9846354142961</v>
      </c>
      <c r="K6315" s="38" t="n">
        <f aca="false">Sens!$K$6312-Sens!$K$6313</f>
        <v>118.41983364075</v>
      </c>
      <c r="L6315" s="38" t="n">
        <f aca="false">Sens!$L$6312-Sens!$L$6313</f>
        <v>177.018957471681</v>
      </c>
      <c r="M6315" s="38" t="n">
        <f aca="false">Sens!$M$6312-Sens!$M$6313</f>
        <v>206.080627590357</v>
      </c>
    </row>
    <row r="6316" customFormat="false" ht="17.15" hidden="false" customHeight="false" outlineLevel="0" collapsed="false">
      <c r="A6316" s="5" t="s">
        <v>799</v>
      </c>
      <c r="B6316" s="0" t="s">
        <v>86</v>
      </c>
      <c r="E6316" s="38" t="n">
        <f aca="false">Q!$P$53</f>
        <v>39.767</v>
      </c>
      <c r="F6316" s="38" t="n">
        <f aca="false">inv_2h26</f>
        <v>21.3</v>
      </c>
      <c r="G6316" s="38" t="n">
        <f aca="false">Sens!$E$6316+Sens!$F$6316</f>
        <v>61.067</v>
      </c>
      <c r="H6316" s="39" t="n">
        <v>0</v>
      </c>
      <c r="I6316" s="39" t="n">
        <v>0</v>
      </c>
      <c r="J6316" s="39" t="n">
        <v>0</v>
      </c>
      <c r="K6316" s="39" t="n">
        <v>0</v>
      </c>
      <c r="L6316" s="39" t="n">
        <v>0</v>
      </c>
      <c r="M6316" s="39" t="n">
        <v>0</v>
      </c>
    </row>
    <row r="6317" customFormat="false" ht="17.15" hidden="false" customHeight="false" outlineLevel="0" collapsed="false">
      <c r="A6317" s="5" t="s">
        <v>800</v>
      </c>
      <c r="B6317" s="0" t="s">
        <v>86</v>
      </c>
      <c r="F6317" s="38" t="n">
        <f aca="false">iss_2h26</f>
        <v>29.249999</v>
      </c>
      <c r="G6317" s="38" t="n">
        <f aca="false">Sens!$F$6317</f>
        <v>29.249999</v>
      </c>
      <c r="H6317" s="39" t="n">
        <v>0</v>
      </c>
      <c r="I6317" s="39" t="n">
        <v>0</v>
      </c>
      <c r="J6317" s="39" t="n">
        <v>0</v>
      </c>
      <c r="K6317" s="39" t="n">
        <v>0</v>
      </c>
      <c r="L6317" s="39" t="n">
        <v>0</v>
      </c>
      <c r="M6317" s="39" t="n">
        <v>0</v>
      </c>
    </row>
    <row r="6318" customFormat="false" ht="17.15" hidden="false" customHeight="false" outlineLevel="0" collapsed="false">
      <c r="A6318" s="5" t="s">
        <v>801</v>
      </c>
      <c r="B6318" s="0" t="s">
        <v>86</v>
      </c>
      <c r="F6318" s="38" t="n">
        <f aca="false">cash_q2</f>
        <v>122.988</v>
      </c>
      <c r="G6318" s="38" t="n">
        <f aca="false">cash_q2</f>
        <v>122.988</v>
      </c>
      <c r="H6318" s="38" t="n">
        <f aca="false">Sens!$G$6321</f>
        <v>89.5023006151187</v>
      </c>
      <c r="I6318" s="38" t="n">
        <f aca="false">Sens!$H$6321</f>
        <v>50</v>
      </c>
      <c r="J6318" s="38" t="n">
        <f aca="false">Sens!$I$6321</f>
        <v>50</v>
      </c>
      <c r="K6318" s="38" t="n">
        <f aca="false">Sens!$J$6321</f>
        <v>71.9846354142962</v>
      </c>
      <c r="L6318" s="38" t="n">
        <f aca="false">Sens!$K$6321</f>
        <v>190.404469055046</v>
      </c>
      <c r="M6318" s="38" t="n">
        <f aca="false">Sens!$L$6321</f>
        <v>367.423426526727</v>
      </c>
    </row>
    <row r="6319" customFormat="false" ht="15" hidden="false" customHeight="false" outlineLevel="0" collapsed="false">
      <c r="A6319" s="5" t="s">
        <v>802</v>
      </c>
      <c r="B6319" s="0" t="s">
        <v>86</v>
      </c>
      <c r="F6319" s="38" t="n">
        <f aca="false">Sens!$F$6318+Sens!$F$6315-Sens!$F$6314-Sens!$F$6316+Sens!$F$6317</f>
        <v>89.5023006151187</v>
      </c>
      <c r="H6319" s="38" t="n">
        <f aca="false">Sens!$H$6318+Sens!$H$6315-Sens!$H$6314-Sens!$H$6316+Sens!$H$6317</f>
        <v>33.1573692580575</v>
      </c>
      <c r="I6319" s="38" t="n">
        <f aca="false">Sens!$I$6318+Sens!$I$6315-Sens!$I$6314-Sens!$I$6316+Sens!$I$6317</f>
        <v>31.8908686349347</v>
      </c>
      <c r="J6319" s="38" t="n">
        <f aca="false">Sens!$J$6318+Sens!$J$6315-Sens!$J$6314-Sens!$J$6316+Sens!$J$6317</f>
        <v>71.9846354142962</v>
      </c>
      <c r="K6319" s="38" t="n">
        <f aca="false">Sens!$K$6318+Sens!$K$6315-Sens!$K$6314-Sens!$K$6316+Sens!$K$6317</f>
        <v>190.404469055046</v>
      </c>
      <c r="L6319" s="38" t="n">
        <f aca="false">Sens!$L$6318+Sens!$L$6315-Sens!$L$6314-Sens!$L$6316+Sens!$L$6317</f>
        <v>367.423426526727</v>
      </c>
      <c r="M6319" s="38" t="n">
        <f aca="false">Sens!$M$6318+Sens!$M$6315-Sens!$M$6314-Sens!$M$6316+Sens!$M$6317</f>
        <v>573.504054117085</v>
      </c>
    </row>
    <row r="6320" customFormat="false" ht="17.15" hidden="false" customHeight="false" outlineLevel="0" collapsed="false">
      <c r="A6320" s="5" t="s">
        <v>803</v>
      </c>
      <c r="B6320" s="0" t="s">
        <v>86</v>
      </c>
      <c r="F6320" s="38" t="n">
        <f aca="false">MAX(0,min_cash-Sens!$F$6319)</f>
        <v>0</v>
      </c>
      <c r="G6320" s="38" t="n">
        <f aca="false">Sens!$F$6320</f>
        <v>0</v>
      </c>
      <c r="H6320" s="38" t="n">
        <f aca="false">MAX(0,min_cash-Sens!$H$6319)</f>
        <v>16.8426307419426</v>
      </c>
      <c r="I6320" s="38" t="n">
        <f aca="false">MAX(0,min_cash-Sens!$I$6319)</f>
        <v>18.1091313650653</v>
      </c>
      <c r="J6320" s="38" t="n">
        <f aca="false">MAX(0,min_cash-Sens!$J$6319)</f>
        <v>0</v>
      </c>
      <c r="K6320" s="38" t="n">
        <f aca="false">MAX(0,min_cash-Sens!$K$6319)</f>
        <v>0</v>
      </c>
      <c r="L6320" s="38" t="n">
        <f aca="false">MAX(0,min_cash-Sens!$L$6319)</f>
        <v>0</v>
      </c>
      <c r="M6320" s="38" t="n">
        <f aca="false">MAX(0,min_cash-Sens!$M$6319)</f>
        <v>0</v>
      </c>
      <c r="P6320" s="5" t="s">
        <v>804</v>
      </c>
    </row>
    <row r="6321" customFormat="false" ht="15" hidden="false" customHeight="false" outlineLevel="0" collapsed="false">
      <c r="A6321" s="5" t="s">
        <v>805</v>
      </c>
      <c r="B6321" s="0" t="s">
        <v>86</v>
      </c>
      <c r="D6321" s="38" t="n">
        <f aca="false">Q!$E$61</f>
        <v>123.029</v>
      </c>
      <c r="E6321" s="38" t="n">
        <f aca="false">Q!$M$61</f>
        <v>122.988</v>
      </c>
      <c r="F6321" s="38" t="n">
        <f aca="false">Sens!$F$6319+Sens!$F$6320</f>
        <v>89.5023006151187</v>
      </c>
      <c r="G6321" s="38" t="n">
        <f aca="false">Sens!$F$6321</f>
        <v>89.5023006151187</v>
      </c>
      <c r="H6321" s="38" t="n">
        <f aca="false">Sens!$H$6319+Sens!$H$6320</f>
        <v>50</v>
      </c>
      <c r="I6321" s="38" t="n">
        <f aca="false">Sens!$I$6319+Sens!$I$6320</f>
        <v>50</v>
      </c>
      <c r="J6321" s="38" t="n">
        <f aca="false">Sens!$J$6319+Sens!$J$6320</f>
        <v>71.9846354142962</v>
      </c>
      <c r="K6321" s="38" t="n">
        <f aca="false">Sens!$K$6319+Sens!$K$6320</f>
        <v>190.404469055046</v>
      </c>
      <c r="L6321" s="38" t="n">
        <f aca="false">Sens!$L$6319+Sens!$L$6320</f>
        <v>367.423426526727</v>
      </c>
      <c r="M6321" s="38" t="n">
        <f aca="false">Sens!$M$6319+Sens!$M$6320</f>
        <v>573.504054117085</v>
      </c>
    </row>
    <row r="6322" customFormat="false" ht="15" hidden="false" customHeight="false" outlineLevel="0" collapsed="false">
      <c r="A6322" s="5" t="s">
        <v>806</v>
      </c>
      <c r="B6322" s="0" t="s">
        <v>86</v>
      </c>
      <c r="D6322" s="38" t="n">
        <f aca="false">Q!$E$62</f>
        <v>68.836</v>
      </c>
      <c r="E6322" s="38" t="n">
        <f aca="false">Q!$M$62</f>
        <v>132.995</v>
      </c>
      <c r="F6322" s="38" t="n">
        <f aca="false">debt_q2+Sens!$F$6317+Sens!$F$6320</f>
        <v>162.244999</v>
      </c>
      <c r="G6322" s="38" t="n">
        <f aca="false">Sens!$F$6322</f>
        <v>162.244999</v>
      </c>
      <c r="H6322" s="38" t="n">
        <f aca="false">Sens!$G$6322+Sens!$H$6320</f>
        <v>179.087629741943</v>
      </c>
      <c r="I6322" s="38" t="n">
        <f aca="false">Sens!$H$6322+Sens!$I$6320</f>
        <v>197.196761107008</v>
      </c>
      <c r="J6322" s="38" t="n">
        <f aca="false">Sens!$I$6322+Sens!$J$6320</f>
        <v>197.196761107008</v>
      </c>
      <c r="K6322" s="38" t="n">
        <f aca="false">Sens!$J$6322+Sens!$K$6320</f>
        <v>197.196761107008</v>
      </c>
      <c r="L6322" s="38" t="n">
        <f aca="false">Sens!$K$6322+Sens!$L$6320</f>
        <v>197.196761107008</v>
      </c>
      <c r="M6322" s="38" t="n">
        <f aca="false">Sens!$L$6322+Sens!$M$6320</f>
        <v>197.196761107008</v>
      </c>
    </row>
    <row r="6323" customFormat="false" ht="15" hidden="false" customHeight="false" outlineLevel="0" collapsed="false">
      <c r="A6323" s="5" t="s">
        <v>807</v>
      </c>
      <c r="B6323" s="0" t="s">
        <v>86</v>
      </c>
      <c r="D6323" s="38" t="n">
        <f aca="false">Sens!$D$6322-Sens!$D$6321</f>
        <v>-54.193</v>
      </c>
      <c r="E6323" s="38" t="n">
        <f aca="false">Sens!$E$6322-Sens!$E$6321</f>
        <v>10.007</v>
      </c>
      <c r="F6323" s="38" t="n">
        <f aca="false">Sens!$F$6322-Sens!$F$6321</f>
        <v>72.7426983848813</v>
      </c>
      <c r="G6323" s="38" t="n">
        <f aca="false">Sens!$G$6322-Sens!$G$6321</f>
        <v>72.7426983848813</v>
      </c>
      <c r="H6323" s="38" t="n">
        <f aca="false">Sens!$H$6322-Sens!$H$6321</f>
        <v>129.087629741943</v>
      </c>
      <c r="I6323" s="38" t="n">
        <f aca="false">Sens!$I$6322-Sens!$I$6321</f>
        <v>147.196761107008</v>
      </c>
      <c r="J6323" s="38" t="n">
        <f aca="false">Sens!$J$6322-Sens!$J$6321</f>
        <v>125.212125692712</v>
      </c>
      <c r="K6323" s="38" t="n">
        <f aca="false">Sens!$K$6322-Sens!$K$6321</f>
        <v>6.79229205196145</v>
      </c>
      <c r="L6323" s="38" t="n">
        <f aca="false">Sens!$L$6322-Sens!$L$6321</f>
        <v>-170.226665419719</v>
      </c>
      <c r="M6323" s="38" t="n">
        <f aca="false">Sens!$M$6322-Sens!$M$6321</f>
        <v>-376.307293010077</v>
      </c>
    </row>
    <row r="6324" customFormat="false" ht="17.15" hidden="false" customHeight="false" outlineLevel="0" collapsed="false">
      <c r="A6324" s="5" t="s">
        <v>808</v>
      </c>
      <c r="B6324" s="0" t="s">
        <v>86</v>
      </c>
      <c r="F6324" s="38" t="n">
        <f aca="false">debt_q2*kd_book*0.5+iss_2h26*kd_new*iss_t</f>
        <v>3.24888962733561</v>
      </c>
      <c r="H6324" s="38" t="n">
        <f aca="false">debt_q2*kd_book+(Sens!$G$6322-debt_q2)*kd_new</f>
        <v>7.42354172302123</v>
      </c>
      <c r="I6324" s="38" t="n">
        <f aca="false">debt_q2*kd_book+(Sens!$H$6322-debt_q2)*kd_new</f>
        <v>8.48968024898619</v>
      </c>
      <c r="J6324" s="38" t="n">
        <f aca="false">debt_q2*kd_book+(Sens!$I$6322-debt_q2)*kd_new</f>
        <v>9.63598826439483</v>
      </c>
      <c r="K6324" s="38" t="n">
        <f aca="false">debt_q2*kd_book+(Sens!$J$6322-debt_q2)*kd_new</f>
        <v>9.63598826439483</v>
      </c>
      <c r="L6324" s="38" t="n">
        <f aca="false">debt_q2*kd_book+(Sens!$K$6322-debt_q2)*kd_new</f>
        <v>9.63598826439483</v>
      </c>
      <c r="M6324" s="38" t="n">
        <f aca="false">debt_q2*kd_book+(Sens!$L$6322-debt_q2)*kd_new</f>
        <v>9.63598826439483</v>
      </c>
    </row>
    <row r="6325" customFormat="false" ht="17.15" hidden="false" customHeight="false" outlineLevel="0" collapsed="false">
      <c r="A6325" s="5" t="s">
        <v>809</v>
      </c>
      <c r="B6325" s="0" t="s">
        <v>86</v>
      </c>
      <c r="F6325" s="38" t="n">
        <f aca="false">cash_q2*y_cash*0.5</f>
        <v>2.59</v>
      </c>
      <c r="H6325" s="38" t="n">
        <f aca="false">Sens!$G$6321*y_cash</f>
        <v>3.76965165045626</v>
      </c>
      <c r="I6325" s="38" t="n">
        <f aca="false">Sens!$H$6321*y_cash</f>
        <v>2.10589651022864</v>
      </c>
      <c r="J6325" s="38" t="n">
        <f aca="false">Sens!$I$6321*y_cash</f>
        <v>2.10589651022864</v>
      </c>
      <c r="K6325" s="38" t="n">
        <f aca="false">Sens!$J$6321*y_cash</f>
        <v>3.03184385018094</v>
      </c>
      <c r="L6325" s="38" t="n">
        <f aca="false">Sens!$K$6321*y_cash</f>
        <v>8.01944213829919</v>
      </c>
      <c r="M6325" s="38" t="n">
        <f aca="false">Sens!$L$6321*y_cash</f>
        <v>15.4751142339777</v>
      </c>
    </row>
    <row r="6326" customFormat="false" ht="17.15" hidden="false" customHeight="false" outlineLevel="0" collapsed="false">
      <c r="A6326" s="47" t="s">
        <v>810</v>
      </c>
      <c r="B6326" s="14" t="s">
        <v>86</v>
      </c>
      <c r="C6326" s="14"/>
      <c r="D6326" s="14"/>
      <c r="E6326" s="14"/>
      <c r="F6326" s="14"/>
      <c r="G6326" s="48" t="n">
        <f aca="false">SUM(Sens!$G$6315:$K$6315)</f>
        <v>-1.17629205196147</v>
      </c>
      <c r="H6326" s="14"/>
      <c r="I6326" s="14"/>
      <c r="J6326" s="14"/>
      <c r="K6326" s="14"/>
      <c r="L6326" s="14"/>
      <c r="M6326" s="14"/>
      <c r="N6326" s="14"/>
      <c r="O6326" s="14"/>
    </row>
    <row r="6327" customFormat="false" ht="17.15" hidden="false" customHeight="false" outlineLevel="0" collapsed="false">
      <c r="A6327" s="0" t="s">
        <v>776</v>
      </c>
      <c r="B6327" s="0" t="s">
        <v>86</v>
      </c>
      <c r="G6327" s="38" t="n">
        <f aca="false">SUM(Sens!$G$6320:$K$6320)</f>
        <v>34.9517621070079</v>
      </c>
    </row>
    <row r="6328" customFormat="false" ht="17.15" hidden="false" customHeight="false" outlineLevel="0" collapsed="false">
      <c r="A6328" s="24" t="s">
        <v>813</v>
      </c>
      <c r="B6328" s="25" t="s">
        <v>86</v>
      </c>
      <c r="C6328" s="25"/>
      <c r="D6328" s="25"/>
      <c r="E6328" s="25"/>
      <c r="F6328" s="25"/>
      <c r="G6328" s="41" t="n">
        <f aca="false">Sens!$G$6326-(Sens!$G$6315+Sens!$H$6315+Sens!$I$6315+Sens!$J$6315+Sens!$K$6315)</f>
        <v>-2.8421709430404E-014</v>
      </c>
      <c r="H6328" s="25"/>
      <c r="I6328" s="25"/>
      <c r="J6328" s="25"/>
      <c r="K6328" s="25"/>
      <c r="L6328" s="25"/>
      <c r="M6328" s="25"/>
      <c r="N6328" s="25"/>
      <c r="O6328" s="25"/>
    </row>
    <row r="6331" customFormat="false" ht="19.4" hidden="false" customHeight="false" outlineLevel="0" collapsed="false">
      <c r="A6331" s="31" t="s">
        <v>1264</v>
      </c>
    </row>
    <row r="6332" customFormat="false" ht="17.15" hidden="false" customHeight="false" outlineLevel="0" collapsed="false">
      <c r="A6332" s="6" t="s">
        <v>16</v>
      </c>
      <c r="B6332" s="6" t="s">
        <v>17</v>
      </c>
      <c r="C6332" s="20" t="s">
        <v>497</v>
      </c>
      <c r="D6332" s="20" t="s">
        <v>498</v>
      </c>
      <c r="E6332" s="20" t="s">
        <v>580</v>
      </c>
      <c r="F6332" s="20" t="s">
        <v>581</v>
      </c>
      <c r="G6332" s="20" t="s">
        <v>582</v>
      </c>
      <c r="H6332" s="20" t="s">
        <v>583</v>
      </c>
      <c r="I6332" s="20" t="s">
        <v>584</v>
      </c>
      <c r="J6332" s="20" t="s">
        <v>585</v>
      </c>
      <c r="K6332" s="20" t="s">
        <v>586</v>
      </c>
      <c r="L6332" s="20" t="s">
        <v>587</v>
      </c>
      <c r="M6332" s="20" t="s">
        <v>588</v>
      </c>
      <c r="N6332" s="20" t="s">
        <v>589</v>
      </c>
      <c r="O6332" s="20" t="s">
        <v>590</v>
      </c>
      <c r="P6332" s="6" t="s">
        <v>23</v>
      </c>
      <c r="R6332" s="20" t="n">
        <v>2023</v>
      </c>
      <c r="S6332" s="20" t="n">
        <v>2024</v>
      </c>
      <c r="T6332" s="20" t="n">
        <v>2025</v>
      </c>
      <c r="U6332" s="20" t="n">
        <v>2026</v>
      </c>
      <c r="V6332" s="20" t="n">
        <v>2027</v>
      </c>
      <c r="W6332" s="20" t="n">
        <v>2028</v>
      </c>
      <c r="X6332" s="20" t="n">
        <v>2029</v>
      </c>
      <c r="Y6332" s="20" t="n">
        <v>2030</v>
      </c>
      <c r="Z6332" s="20" t="n">
        <v>2031</v>
      </c>
      <c r="AA6332" s="20" t="n">
        <v>2032</v>
      </c>
    </row>
    <row r="6333" customFormat="false" ht="17.15" hidden="false" customHeight="false" outlineLevel="0" collapsed="false">
      <c r="A6333" s="1" t="s">
        <v>915</v>
      </c>
    </row>
    <row r="6334" customFormat="false" ht="17.15" hidden="false" customHeight="false" outlineLevel="0" collapsed="false">
      <c r="A6334" s="0" t="s">
        <v>916</v>
      </c>
      <c r="B6334" s="0" t="s">
        <v>86</v>
      </c>
      <c r="H6334" s="38" t="n">
        <f aca="false">Sens!$H$6268*(1-tax)</f>
        <v>121.243762954598</v>
      </c>
      <c r="I6334" s="38" t="n">
        <f aca="false">Sens!$I$6268*(1-tax)</f>
        <v>146.296727721585</v>
      </c>
      <c r="J6334" s="38" t="n">
        <f aca="false">Sens!$J$6268*(1-tax)</f>
        <v>170.140518399982</v>
      </c>
      <c r="K6334" s="38" t="n">
        <f aca="false">Sens!$K$6268*(1-tax)</f>
        <v>187.091644407888</v>
      </c>
      <c r="L6334" s="38" t="n">
        <f aca="false">Sens!$L$6268*(1-tax)</f>
        <v>200.866341135815</v>
      </c>
      <c r="M6334" s="38" t="n">
        <f aca="false">Sens!$M$6268*(1-tax)</f>
        <v>211.476896331068</v>
      </c>
    </row>
    <row r="6335" customFormat="false" ht="15" hidden="false" customHeight="false" outlineLevel="0" collapsed="false">
      <c r="A6335" s="5" t="s">
        <v>917</v>
      </c>
      <c r="B6335" s="0" t="s">
        <v>86</v>
      </c>
      <c r="H6335" s="38" t="n">
        <f aca="false">Sens!$H$6279</f>
        <v>78.1799395827871</v>
      </c>
      <c r="I6335" s="38" t="n">
        <f aca="false">Sens!$I$6279</f>
        <v>111.171125554384</v>
      </c>
      <c r="J6335" s="38" t="n">
        <f aca="false">Sens!$J$6279</f>
        <v>144.884406220971</v>
      </c>
      <c r="K6335" s="38" t="n">
        <f aca="false">Sens!$K$6279</f>
        <v>178.806419437999</v>
      </c>
      <c r="L6335" s="38" t="n">
        <f aca="false">Sens!$L$6279</f>
        <v>204.341339029663</v>
      </c>
      <c r="M6335" s="38" t="n">
        <f aca="false">Sens!$M$6279</f>
        <v>223.130577995387</v>
      </c>
    </row>
    <row r="6336" customFormat="false" ht="15" hidden="false" customHeight="false" outlineLevel="0" collapsed="false">
      <c r="A6336" s="5" t="s">
        <v>918</v>
      </c>
      <c r="B6336" s="0" t="s">
        <v>86</v>
      </c>
      <c r="H6336" s="38" t="n">
        <f aca="false">Sens!$H$6310</f>
        <v>273.372679834898</v>
      </c>
      <c r="I6336" s="38" t="n">
        <f aca="false">Sens!$I$6310</f>
        <v>286.981812228425</v>
      </c>
      <c r="J6336" s="38" t="n">
        <f aca="false">Sens!$J$6310</f>
        <v>299.316513378366</v>
      </c>
      <c r="K6336" s="38" t="n">
        <f aca="false">Sens!$K$6310</f>
        <v>251.057145512292</v>
      </c>
      <c r="L6336" s="38" t="n">
        <f aca="false">Sens!$L$6310</f>
        <v>234.696330860396</v>
      </c>
      <c r="M6336" s="38" t="n">
        <f aca="false">Sens!$M$6310</f>
        <v>242.291696043352</v>
      </c>
    </row>
    <row r="6337" customFormat="false" ht="15" hidden="false" customHeight="false" outlineLevel="0" collapsed="false">
      <c r="A6337" s="5" t="s">
        <v>919</v>
      </c>
      <c r="B6337" s="0" t="s">
        <v>86</v>
      </c>
      <c r="H6337" s="38" t="n">
        <f aca="false">Sens!$H$6311</f>
        <v>1.6</v>
      </c>
      <c r="I6337" s="38" t="n">
        <f aca="false">Sens!$I$6311</f>
        <v>1.6</v>
      </c>
      <c r="J6337" s="38" t="n">
        <f aca="false">Sens!$J$6311</f>
        <v>1.6</v>
      </c>
      <c r="K6337" s="38" t="n">
        <f aca="false">Sens!$K$6311</f>
        <v>1.6</v>
      </c>
      <c r="L6337" s="38" t="n">
        <f aca="false">Sens!$L$6311</f>
        <v>1.6</v>
      </c>
      <c r="M6337" s="38" t="n">
        <f aca="false">Sens!$M$6311</f>
        <v>1.6</v>
      </c>
    </row>
    <row r="6338" customFormat="false" ht="15" hidden="false" customHeight="false" outlineLevel="0" collapsed="false">
      <c r="A6338" s="5" t="s">
        <v>920</v>
      </c>
      <c r="B6338" s="0" t="s">
        <v>86</v>
      </c>
      <c r="H6338" s="38" t="n">
        <f aca="false">Sens!$H$6305</f>
        <v>11.2928295263397</v>
      </c>
      <c r="I6338" s="38" t="n">
        <f aca="false">Sens!$I$6305</f>
        <v>12.8091546115766</v>
      </c>
      <c r="J6338" s="38" t="n">
        <f aca="false">Sens!$J$6305</f>
        <v>14.2605653162668</v>
      </c>
      <c r="K6338" s="38" t="n">
        <f aca="false">Sens!$K$6305</f>
        <v>15.5327622460396</v>
      </c>
      <c r="L6338" s="38" t="n">
        <f aca="false">Sens!$L$6305</f>
        <v>16.720573737517</v>
      </c>
      <c r="M6338" s="38" t="n">
        <f aca="false">Sens!$M$6305</f>
        <v>17.8283127551536</v>
      </c>
    </row>
    <row r="6339" customFormat="false" ht="17.15" hidden="false" customHeight="false" outlineLevel="0" collapsed="false">
      <c r="A6339" s="1" t="s">
        <v>921</v>
      </c>
      <c r="B6339" s="8" t="s">
        <v>86</v>
      </c>
      <c r="H6339" s="38" t="n">
        <f aca="false">Sens!$H$6334+Sens!$H$6335-Sens!$H$6336+Sens!$H$6338</f>
        <v>-62.6561477711731</v>
      </c>
      <c r="I6339" s="38" t="n">
        <f aca="false">Sens!$I$6334+Sens!$I$6335-Sens!$I$6336+Sens!$I$6338</f>
        <v>-16.7048043408794</v>
      </c>
      <c r="J6339" s="38" t="n">
        <f aca="false">Sens!$J$6334+Sens!$J$6335-Sens!$J$6336+Sens!$J$6338</f>
        <v>29.9689765588539</v>
      </c>
      <c r="K6339" s="38" t="n">
        <f aca="false">Sens!$K$6334+Sens!$K$6335-Sens!$K$6336+Sens!$K$6338</f>
        <v>130.373680579634</v>
      </c>
      <c r="L6339" s="38" t="n">
        <f aca="false">Sens!$L$6334+Sens!$L$6335-Sens!$L$6336+Sens!$L$6338</f>
        <v>187.231923042598</v>
      </c>
      <c r="M6339" s="38" t="n">
        <f aca="false">Sens!$M$6334+Sens!$M$6335-Sens!$M$6336+Sens!$M$6338</f>
        <v>210.144091038257</v>
      </c>
    </row>
    <row r="6340" customFormat="false" ht="15" hidden="false" customHeight="false" outlineLevel="0" collapsed="false">
      <c r="A6340" s="5" t="s">
        <v>922</v>
      </c>
      <c r="B6340" s="0" t="s">
        <v>57</v>
      </c>
      <c r="H6340" s="40" t="n">
        <f aca="false">1/(1+wacc)^(2027-2026-0.5)</f>
        <v>0.947751320380232</v>
      </c>
      <c r="I6340" s="40" t="n">
        <f aca="false">1/(1+wacc)^(2028-2026-0.5)</f>
        <v>0.851301099754987</v>
      </c>
      <c r="J6340" s="40" t="n">
        <f aca="false">1/(1+wacc)^(2029-2026-0.5)</f>
        <v>0.764666370660713</v>
      </c>
      <c r="K6340" s="40" t="n">
        <f aca="false">1/(1+wacc)^(2030-2026-0.5)</f>
        <v>0.686848235703811</v>
      </c>
      <c r="L6340" s="40" t="n">
        <f aca="false">1/(1+wacc)^(2031-2026-0.5)</f>
        <v>0.616949452715975</v>
      </c>
      <c r="M6340" s="40" t="n">
        <f aca="false">1/(1+wacc)^(2032-2026-0.5)</f>
        <v>0.554164089562688</v>
      </c>
    </row>
    <row r="6341" customFormat="false" ht="15" hidden="false" customHeight="false" outlineLevel="0" collapsed="false">
      <c r="A6341" s="5" t="s">
        <v>923</v>
      </c>
      <c r="B6341" s="0" t="s">
        <v>86</v>
      </c>
      <c r="H6341" s="38" t="n">
        <f aca="false">Sens!$H$6339*Sens!$H$6340</f>
        <v>-59.3824467800682</v>
      </c>
      <c r="I6341" s="38" t="n">
        <f aca="false">Sens!$I$6339*Sens!$I$6340</f>
        <v>-14.2208183065825</v>
      </c>
      <c r="J6341" s="38" t="n">
        <f aca="false">Sens!$J$6339*Sens!$J$6340</f>
        <v>22.9162685376748</v>
      </c>
      <c r="K6341" s="38" t="n">
        <f aca="false">Sens!$K$6339*Sens!$K$6340</f>
        <v>89.5469324883341</v>
      </c>
      <c r="L6341" s="38" t="n">
        <f aca="false">Sens!$L$6339*Sens!$L$6340</f>
        <v>115.512632452091</v>
      </c>
      <c r="M6341" s="38" t="n">
        <f aca="false">Sens!$M$6339*Sens!$M$6340</f>
        <v>116.454308887194</v>
      </c>
    </row>
    <row r="6342" customFormat="false" ht="15" hidden="false" customHeight="false" outlineLevel="0" collapsed="false">
      <c r="A6342" s="5" t="s">
        <v>924</v>
      </c>
      <c r="B6342" s="0" t="s">
        <v>86</v>
      </c>
      <c r="C6342" s="38" t="n">
        <f aca="false">SUM(Sens!$H$6341:$M$6341)</f>
        <v>270.826877278643</v>
      </c>
    </row>
    <row r="6343" customFormat="false" ht="17.15" hidden="false" customHeight="false" outlineLevel="0" collapsed="false">
      <c r="A6343" s="5" t="s">
        <v>925</v>
      </c>
      <c r="B6343" s="0" t="s">
        <v>86</v>
      </c>
      <c r="C6343" s="38" t="n">
        <f aca="false">Sens!$M$6334*(1+tg)*(1-tg/ronic)/(wacc-tg)</f>
        <v>1922.56097134792</v>
      </c>
    </row>
    <row r="6344" customFormat="false" ht="15" hidden="false" customHeight="false" outlineLevel="0" collapsed="false">
      <c r="A6344" s="5" t="s">
        <v>926</v>
      </c>
      <c r="B6344" s="0" t="s">
        <v>86</v>
      </c>
      <c r="C6344" s="38" t="n">
        <f aca="false">Sens!$C$6343/(1+wacc)^6</f>
        <v>1009.74776248869</v>
      </c>
    </row>
    <row r="6345" customFormat="false" ht="17.15" hidden="false" customHeight="false" outlineLevel="0" collapsed="false">
      <c r="A6345" s="5" t="s">
        <v>927</v>
      </c>
      <c r="B6345" s="0" t="s">
        <v>86</v>
      </c>
      <c r="C6345" s="38" t="n">
        <f aca="false">Sens!$C$6342+Sens!$C$6344</f>
        <v>1280.57463976734</v>
      </c>
    </row>
    <row r="6346" customFormat="false" ht="17.15" hidden="false" customHeight="false" outlineLevel="0" collapsed="false">
      <c r="A6346" s="5" t="s">
        <v>928</v>
      </c>
      <c r="B6346" s="0" t="s">
        <v>52</v>
      </c>
      <c r="C6346" s="13" t="n">
        <f aca="false">Sens!$C$6344/Sens!$C$6345</f>
        <v>0.788511447229778</v>
      </c>
    </row>
    <row r="6347" customFormat="false" ht="17.15" hidden="false" customHeight="false" outlineLevel="0" collapsed="false">
      <c r="A6347" s="5" t="s">
        <v>929</v>
      </c>
      <c r="B6347" s="0" t="s">
        <v>86</v>
      </c>
      <c r="C6347" s="38" t="n">
        <f aca="false">Sens!$G$6323+fin_debt</f>
        <v>97.2636983848813</v>
      </c>
    </row>
    <row r="6348" customFormat="false" ht="17.15" hidden="false" customHeight="false" outlineLevel="0" collapsed="false">
      <c r="A6348" s="5" t="s">
        <v>930</v>
      </c>
      <c r="B6348" s="0" t="s">
        <v>86</v>
      </c>
      <c r="C6348" s="38" t="n">
        <f aca="false">(ant_val*ant_sh+oai_val*oai_sh)*(1-liq_disc)</f>
        <v>178.944</v>
      </c>
    </row>
    <row r="6349" customFormat="false" ht="15" hidden="false" customHeight="false" outlineLevel="0" collapsed="false">
      <c r="A6349" s="5" t="s">
        <v>931</v>
      </c>
      <c r="B6349" s="0" t="s">
        <v>86</v>
      </c>
      <c r="C6349" s="38" t="n">
        <f aca="false">Sens!$C$6345-Sens!$C$6347+Sens!$C$6348</f>
        <v>1362.25494138246</v>
      </c>
    </row>
    <row r="6350" customFormat="false" ht="17.15" hidden="false" customHeight="false" outlineLevel="0" collapsed="false">
      <c r="A6350" s="5" t="s">
        <v>932</v>
      </c>
      <c r="B6350" s="0" t="s">
        <v>27</v>
      </c>
      <c r="C6350" s="30" t="n">
        <f aca="false">Sens!$C$6349/sh_out</f>
        <v>126.294760321501</v>
      </c>
    </row>
    <row r="6351" customFormat="false" ht="17.15" hidden="false" customHeight="false" outlineLevel="0" collapsed="false">
      <c r="A6351" s="1" t="s">
        <v>933</v>
      </c>
      <c r="B6351" s="8" t="s">
        <v>27</v>
      </c>
      <c r="C6351" s="30" t="n">
        <f aca="false">Sens!$C$6350*(1+ke)^tp_yf-dps*tp_yf</f>
        <v>138.339345929154</v>
      </c>
    </row>
    <row r="6352" customFormat="false" ht="17.15" hidden="false" customHeight="false" outlineLevel="0" collapsed="false">
      <c r="A6352" s="3" t="s">
        <v>934</v>
      </c>
    </row>
    <row r="6353" customFormat="false" ht="17.15" hidden="false" customHeight="false" outlineLevel="0" collapsed="false">
      <c r="A6353" s="5" t="s">
        <v>935</v>
      </c>
      <c r="B6353" s="0" t="s">
        <v>86</v>
      </c>
      <c r="C6353" s="38" t="n">
        <f aca="false">(1-tp_yf)*(Sens!$H$6280+sbc_ab*Sens!$H$6304*Sens!$H$6144/Sens!$H$6221)+tp_yf*(Sens!$I$6280+sbc_ab*Sens!$I$6304*Sens!$I$6144/Sens!$I$6221)</f>
        <v>59.634664536349</v>
      </c>
    </row>
    <row r="6354" customFormat="false" ht="15" hidden="false" customHeight="false" outlineLevel="0" collapsed="false">
      <c r="A6354" s="5" t="s">
        <v>936</v>
      </c>
      <c r="B6354" s="0" t="s">
        <v>57</v>
      </c>
      <c r="C6354" s="30" t="n">
        <f aca="false">m_ads*m_x_lo</f>
        <v>7.288</v>
      </c>
    </row>
    <row r="6355" customFormat="false" ht="17.15" hidden="false" customHeight="false" outlineLevel="0" collapsed="false">
      <c r="A6355" s="5" t="s">
        <v>937</v>
      </c>
      <c r="B6355" s="0" t="s">
        <v>86</v>
      </c>
      <c r="C6355" s="38" t="n">
        <f aca="false">Sens!$C$6353*Sens!$C$6354</f>
        <v>434.617435140911</v>
      </c>
    </row>
    <row r="6356" customFormat="false" ht="17.15" hidden="false" customHeight="false" outlineLevel="0" collapsed="false">
      <c r="A6356" s="5" t="s">
        <v>938</v>
      </c>
      <c r="B6356" s="0" t="s">
        <v>86</v>
      </c>
      <c r="C6356" s="38" t="n">
        <f aca="false">(1-tp_yf)*(Sens!$H$6281+sbc_ab*Sens!$H$6304*(Sens!$H$6151-Sens!$H$6144)/Sens!$H$6221+IF(internal_ai_reading=2,1,0)*(1-ext_sh)*Sens!$H$6181)+tp_yf*(Sens!$I$6281+sbc_ab*Sens!$I$6304*(Sens!$I$6151-Sens!$I$6144)/Sens!$I$6221+IF(internal_ai_reading=2,1,0)*(1-ext_sh)*Sens!$I$6181)</f>
        <v>51.2224827206816</v>
      </c>
    </row>
    <row r="6357" customFormat="false" ht="17.15" hidden="false" customHeight="false" outlineLevel="0" collapsed="false">
      <c r="A6357" s="5" t="s">
        <v>939</v>
      </c>
      <c r="B6357" s="0" t="s">
        <v>57</v>
      </c>
      <c r="C6357" s="30" t="n">
        <f aca="false">m_retail*m_x_lo</f>
        <v>14.176</v>
      </c>
    </row>
    <row r="6358" customFormat="false" ht="17.15" hidden="false" customHeight="false" outlineLevel="0" collapsed="false">
      <c r="A6358" s="5" t="s">
        <v>940</v>
      </c>
      <c r="B6358" s="0" t="s">
        <v>86</v>
      </c>
      <c r="C6358" s="38" t="n">
        <f aca="false">Sens!$C$6356*Sens!$C$6357</f>
        <v>726.129915048382</v>
      </c>
    </row>
    <row r="6359" customFormat="false" ht="17.15" hidden="false" customHeight="false" outlineLevel="0" collapsed="false">
      <c r="A6359" s="0" t="s">
        <v>941</v>
      </c>
      <c r="B6359" s="0" t="s">
        <v>86</v>
      </c>
      <c r="C6359" s="38" t="n">
        <f aca="false">(1-tp_yf)*(Sens!$H$6282+sbc_ab*Sens!$H$6304*Sens!$H$6219/Sens!$H$6221)+tp_yf*(Sens!$I$6282+sbc_ab*Sens!$I$6304*Sens!$I$6219/Sens!$I$6221)</f>
        <v>96.2439586897193</v>
      </c>
    </row>
    <row r="6360" customFormat="false" ht="17.15" hidden="false" customHeight="false" outlineLevel="0" collapsed="false">
      <c r="A6360" s="0" t="s">
        <v>942</v>
      </c>
      <c r="B6360" s="0" t="s">
        <v>57</v>
      </c>
      <c r="C6360" s="30" t="n">
        <f aca="false">m_cloud*m_x_lo</f>
        <v>11.056</v>
      </c>
    </row>
    <row r="6361" customFormat="false" ht="17.15" hidden="false" customHeight="false" outlineLevel="0" collapsed="false">
      <c r="A6361" s="0" t="s">
        <v>943</v>
      </c>
      <c r="B6361" s="0" t="s">
        <v>86</v>
      </c>
      <c r="C6361" s="38" t="n">
        <f aca="false">Sens!$C$6359*Sens!$C$6360</f>
        <v>1064.07320727354</v>
      </c>
    </row>
    <row r="6362" customFormat="false" ht="17.15" hidden="false" customHeight="false" outlineLevel="0" collapsed="false">
      <c r="A6362" s="0" t="s">
        <v>944</v>
      </c>
      <c r="B6362" s="0" t="s">
        <v>86</v>
      </c>
      <c r="H6362" s="38" t="n">
        <f aca="false">Sens!$H$6200-tax*Sens!$H$6201-ext_sh*Sens!$H$6188</f>
        <v>-115.885394236225</v>
      </c>
      <c r="I6362" s="38" t="n">
        <f aca="false">Sens!$I$6200-tax*Sens!$I$6201-ext_sh*Sens!$I$6188</f>
        <v>-89.5935137276694</v>
      </c>
      <c r="J6362" s="38" t="n">
        <f aca="false">Sens!$J$6200-tax*Sens!$J$6201-ext_sh*Sens!$J$6188</f>
        <v>-62.3510647460279</v>
      </c>
      <c r="K6362" s="38" t="n">
        <f aca="false">Sens!$K$6200-tax*Sens!$K$6201-ext_sh*Sens!$K$6188</f>
        <v>8.85932514072565</v>
      </c>
      <c r="L6362" s="38" t="n">
        <f aca="false">Sens!$L$6200-tax*Sens!$L$6201-ext_sh*Sens!$L$6188</f>
        <v>45.6968344120177</v>
      </c>
      <c r="M6362" s="38" t="n">
        <f aca="false">Sens!$M$6200-tax*Sens!$M$6201-ext_sh*Sens!$M$6188</f>
        <v>54.7466688757428</v>
      </c>
    </row>
    <row r="6363" customFormat="false" ht="17.15" hidden="false" customHeight="false" outlineLevel="0" collapsed="false">
      <c r="A6363" s="5" t="s">
        <v>945</v>
      </c>
      <c r="B6363" s="0" t="s">
        <v>86</v>
      </c>
      <c r="H6363" s="38" t="n">
        <f aca="false">Sens!$H$6362*Sens!$H$6340</f>
        <v>-109.830535400166</v>
      </c>
      <c r="I6363" s="38" t="n">
        <f aca="false">Sens!$I$6362*Sens!$I$6340</f>
        <v>-76.2710567672785</v>
      </c>
      <c r="J6363" s="38" t="n">
        <f aca="false">Sens!$J$6362*Sens!$J$6340</f>
        <v>-47.6777623861763</v>
      </c>
      <c r="K6363" s="38" t="n">
        <f aca="false">Sens!$K$6362*Sens!$K$6340</f>
        <v>6.08501184243383</v>
      </c>
      <c r="L6363" s="38" t="n">
        <f aca="false">Sens!$L$6362*Sens!$L$6340</f>
        <v>28.1926369813469</v>
      </c>
      <c r="M6363" s="38" t="n">
        <f aca="false">Sens!$M$6362*Sens!$M$6340</f>
        <v>30.338637914116</v>
      </c>
    </row>
    <row r="6364" customFormat="false" ht="17.15" hidden="false" customHeight="false" outlineLevel="0" collapsed="false">
      <c r="A6364" s="5" t="s">
        <v>946</v>
      </c>
      <c r="B6364" s="0" t="s">
        <v>86</v>
      </c>
      <c r="C6364" s="38" t="n">
        <f aca="false">Sens!$M$6201*(1-tax)*(1+tg)*(1-tg/ronic)/(wacc-tg)</f>
        <v>391.533160655061</v>
      </c>
    </row>
    <row r="6365" customFormat="false" ht="17.15" hidden="false" customHeight="false" outlineLevel="0" collapsed="false">
      <c r="A6365" s="0" t="s">
        <v>947</v>
      </c>
      <c r="B6365" s="0" t="s">
        <v>86</v>
      </c>
      <c r="C6365" s="38" t="n">
        <f aca="false">(SUM(Sens!$I$6363:$M$6363)+Sens!$C$6364/(1+wacc)^6)*(1+wacc)^tp_yf</f>
        <v>159.796867964901</v>
      </c>
    </row>
    <row r="6366" customFormat="false" ht="17.15" hidden="false" customHeight="false" outlineLevel="0" collapsed="false">
      <c r="A6366" s="5" t="s">
        <v>948</v>
      </c>
      <c r="B6366" s="0" t="s">
        <v>86</v>
      </c>
      <c r="C6366" s="38" t="n">
        <f aca="false">(1-tp_yf)*(Sens!$H$6283)+tp_yf*(Sens!$I$6283)</f>
        <v>74.6707041238437</v>
      </c>
    </row>
    <row r="6367" customFormat="false" ht="17.15" hidden="false" customHeight="false" outlineLevel="0" collapsed="false">
      <c r="A6367" s="5" t="s">
        <v>949</v>
      </c>
      <c r="B6367" s="0" t="s">
        <v>86</v>
      </c>
      <c r="C6367" s="38" t="n">
        <f aca="false">Sens!$C$6366*m_ai</f>
        <v>448.024224743062</v>
      </c>
    </row>
    <row r="6368" customFormat="false" ht="17.15" hidden="false" customHeight="false" outlineLevel="0" collapsed="false">
      <c r="A6368" s="0" t="s">
        <v>950</v>
      </c>
      <c r="B6368" s="0" t="s">
        <v>86</v>
      </c>
      <c r="C6368" s="38" t="n">
        <f aca="false">IF(ai_leg=1,Sens!$C$6365,Sens!$C$6367)</f>
        <v>159.796867964901</v>
      </c>
    </row>
    <row r="6369" customFormat="false" ht="17.15" hidden="false" customHeight="false" outlineLevel="0" collapsed="false">
      <c r="A6369" s="5" t="s">
        <v>951</v>
      </c>
      <c r="B6369" s="0" t="s">
        <v>86</v>
      </c>
      <c r="C6369" s="38" t="n">
        <f aca="false">Sens!$C$6355+Sens!$C$6358+Sens!$C$6361+Sens!$C$6368</f>
        <v>2384.61742542773</v>
      </c>
    </row>
    <row r="6370" customFormat="false" ht="17.15" hidden="false" customHeight="false" outlineLevel="0" collapsed="false">
      <c r="A6370" s="5" t="s">
        <v>952</v>
      </c>
      <c r="B6370" s="0" t="s">
        <v>86</v>
      </c>
      <c r="C6370" s="38" t="n">
        <f aca="false">Sens!$H$6323+fin_debt</f>
        <v>153.608629741943</v>
      </c>
    </row>
    <row r="6371" customFormat="false" ht="15" hidden="false" customHeight="false" outlineLevel="0" collapsed="false">
      <c r="A6371" s="5" t="s">
        <v>953</v>
      </c>
      <c r="B6371" s="0" t="s">
        <v>86</v>
      </c>
      <c r="C6371" s="38" t="n">
        <f aca="false">Sens!$C$6369-Sens!$C$6370+Sens!$C$6348</f>
        <v>2409.95279568579</v>
      </c>
    </row>
    <row r="6372" customFormat="false" ht="15" hidden="false" customHeight="false" outlineLevel="0" collapsed="false">
      <c r="A6372" s="3" t="s">
        <v>954</v>
      </c>
      <c r="B6372" s="8" t="s">
        <v>27</v>
      </c>
      <c r="C6372" s="30" t="n">
        <f aca="false">Sens!$C$6371/sh_val</f>
        <v>218.484514192958</v>
      </c>
    </row>
    <row r="6373" customFormat="false" ht="17.15" hidden="false" customHeight="false" outlineLevel="0" collapsed="false">
      <c r="A6373" s="47" t="s">
        <v>955</v>
      </c>
      <c r="B6373" s="14" t="s">
        <v>27</v>
      </c>
      <c r="C6373" s="44" t="n">
        <f aca="false">w_dcf*Sens!$C$6351+(1-w_dcf)*Sens!$C$6372</f>
        <v>178.411930061056</v>
      </c>
      <c r="D6373" s="14"/>
      <c r="E6373" s="14"/>
      <c r="F6373" s="14"/>
      <c r="G6373" s="14"/>
      <c r="H6373" s="14"/>
      <c r="I6373" s="14"/>
      <c r="J6373" s="14"/>
      <c r="K6373" s="14"/>
      <c r="L6373" s="14"/>
      <c r="M6373" s="14"/>
      <c r="N6373" s="14"/>
      <c r="O6373" s="14"/>
    </row>
    <row r="6374" customFormat="false" ht="17.15" hidden="false" customHeight="false" outlineLevel="0" collapsed="false">
      <c r="A6374" s="5" t="s">
        <v>956</v>
      </c>
      <c r="B6374" s="0" t="s">
        <v>27</v>
      </c>
      <c r="C6374" s="30" t="n">
        <f aca="false">v022_wdcf*Sens!$C$6351+(1-v022_wdcf)*Sens!$C$6372</f>
        <v>182.419188474246</v>
      </c>
    </row>
    <row r="6375" customFormat="false" ht="17.15" hidden="false" customHeight="false" outlineLevel="0" collapsed="false">
      <c r="A6375" s="5" t="s">
        <v>957</v>
      </c>
      <c r="B6375" s="0" t="s">
        <v>27</v>
      </c>
      <c r="C6375" s="30" t="n">
        <f aca="false">(Sens!$C$6371-Sens!$C$6368+Sens!$C$6367)/sh_val</f>
        <v>244.614990331549</v>
      </c>
    </row>
    <row r="6378" customFormat="false" ht="19.4" hidden="false" customHeight="false" outlineLevel="0" collapsed="false">
      <c r="A6378" s="31" t="s">
        <v>1265</v>
      </c>
    </row>
    <row r="6379" customFormat="false" ht="17.15" hidden="false" customHeight="false" outlineLevel="0" collapsed="false">
      <c r="A6379" s="6" t="s">
        <v>16</v>
      </c>
      <c r="B6379" s="6" t="s">
        <v>17</v>
      </c>
      <c r="C6379" s="20" t="s">
        <v>497</v>
      </c>
      <c r="D6379" s="20" t="s">
        <v>498</v>
      </c>
      <c r="E6379" s="20" t="s">
        <v>580</v>
      </c>
      <c r="F6379" s="20" t="s">
        <v>581</v>
      </c>
      <c r="G6379" s="20" t="s">
        <v>582</v>
      </c>
      <c r="H6379" s="20" t="s">
        <v>583</v>
      </c>
      <c r="I6379" s="20" t="s">
        <v>584</v>
      </c>
      <c r="J6379" s="20" t="s">
        <v>585</v>
      </c>
      <c r="K6379" s="20" t="s">
        <v>586</v>
      </c>
      <c r="L6379" s="20" t="s">
        <v>587</v>
      </c>
      <c r="M6379" s="20" t="s">
        <v>588</v>
      </c>
      <c r="N6379" s="20" t="s">
        <v>589</v>
      </c>
      <c r="O6379" s="20" t="s">
        <v>590</v>
      </c>
      <c r="P6379" s="6" t="s">
        <v>23</v>
      </c>
      <c r="R6379" s="20" t="n">
        <v>2023</v>
      </c>
      <c r="S6379" s="20" t="n">
        <v>2024</v>
      </c>
      <c r="T6379" s="20" t="n">
        <v>2025</v>
      </c>
      <c r="U6379" s="20" t="n">
        <v>2026</v>
      </c>
      <c r="V6379" s="20" t="n">
        <v>2027</v>
      </c>
      <c r="W6379" s="20" t="n">
        <v>2028</v>
      </c>
      <c r="X6379" s="20" t="n">
        <v>2029</v>
      </c>
      <c r="Y6379" s="20" t="n">
        <v>2030</v>
      </c>
      <c r="Z6379" s="20" t="n">
        <v>2031</v>
      </c>
      <c r="AA6379" s="20" t="n">
        <v>2032</v>
      </c>
    </row>
    <row r="6380" customFormat="false" ht="17.15" hidden="false" customHeight="false" outlineLevel="0" collapsed="false">
      <c r="A6380" s="1" t="s">
        <v>666</v>
      </c>
    </row>
    <row r="6381" customFormat="false" ht="17.15" hidden="false" customHeight="false" outlineLevel="0" collapsed="false">
      <c r="A6381" s="0" t="s">
        <v>519</v>
      </c>
      <c r="B6381" s="0" t="s">
        <v>86</v>
      </c>
      <c r="C6381" s="38" t="n">
        <f aca="false">Q!$D$10</f>
        <v>247.029</v>
      </c>
      <c r="D6381" s="38" t="n">
        <f aca="false">Q!$E$10</f>
        <v>269.287</v>
      </c>
      <c r="E6381" s="38" t="n">
        <f aca="false">Q!$P$10</f>
        <v>134.686</v>
      </c>
      <c r="F6381" s="38" t="n">
        <f aca="false">Sens!$O$6381*(1+Sens!$F$6382)*Sens!$F$6393</f>
        <v>158.293876822267</v>
      </c>
      <c r="G6381" s="38" t="n">
        <f aca="false">Sens!$E$6381+Sens!$F$6381</f>
        <v>292.979876822267</v>
      </c>
      <c r="H6381" s="38" t="n">
        <f aca="false">Sens!$G$6381*(1+Sens!$H$6382)</f>
        <v>318.184543087396</v>
      </c>
      <c r="I6381" s="38" t="n">
        <f aca="false">Sens!$H$6381*(1+Sens!$I$6382)</f>
        <v>341.736278761793</v>
      </c>
      <c r="J6381" s="38" t="n">
        <f aca="false">Sens!$I$6381*(1+Sens!$J$6382)</f>
        <v>362.927192787048</v>
      </c>
      <c r="K6381" s="38" t="n">
        <f aca="false">Sens!$J$6381*(1+Sens!$K$6382)</f>
        <v>381.0735524264</v>
      </c>
      <c r="L6381" s="38" t="n">
        <f aca="false">Sens!$K$6381*(1+Sens!$L$6382)</f>
        <v>400.12723004772</v>
      </c>
      <c r="M6381" s="38" t="n">
        <f aca="false">Sens!$L$6381*(1+Sens!$M$6382)</f>
        <v>420.133591550106</v>
      </c>
      <c r="N6381" s="38" t="n">
        <f aca="false">Q!$N$10</f>
        <v>118.892</v>
      </c>
      <c r="O6381" s="38" t="n">
        <f aca="false">Q!$O$10</f>
        <v>150.395</v>
      </c>
      <c r="P6381" s="8" t="s">
        <v>667</v>
      </c>
    </row>
    <row r="6382" customFormat="false" ht="17.15" hidden="false" customHeight="false" outlineLevel="0" collapsed="false">
      <c r="A6382" s="0" t="s">
        <v>668</v>
      </c>
      <c r="B6382" s="0" t="s">
        <v>52</v>
      </c>
      <c r="E6382" s="13" t="n">
        <f aca="false">Sens!$E$6381/Sens!$N$6381-1</f>
        <v>0.132843252699929</v>
      </c>
      <c r="F6382" s="13" t="n">
        <f aca="false">Sens!$O$6381/(Q!$F$10+Q!$G$10)-1</f>
        <v>0.0980382135842941</v>
      </c>
      <c r="G6382" s="13" t="n">
        <f aca="false">Sens!$G$6381/Sens!$D$6381-1</f>
        <v>0.0879837378791657</v>
      </c>
      <c r="H6382" s="13" t="n">
        <f aca="false">Sens!$F$6382+(g_os-Sens!$F$6382)*1/4</f>
        <v>0.0860286601882206</v>
      </c>
      <c r="I6382" s="13" t="n">
        <f aca="false">Sens!$F$6382+(g_os-Sens!$F$6382)*2/4</f>
        <v>0.074019106792147</v>
      </c>
      <c r="J6382" s="13" t="n">
        <f aca="false">Sens!$F$6382+(g_os-Sens!$F$6382)*3/4</f>
        <v>0.0620095533960735</v>
      </c>
      <c r="K6382" s="13" t="n">
        <f aca="false">Sens!$F$6382+(g_os-Sens!$F$6382)*4/4</f>
        <v>0.05</v>
      </c>
      <c r="L6382" s="13" t="n">
        <f aca="false">g_os</f>
        <v>0.05</v>
      </c>
      <c r="M6382" s="13" t="n">
        <f aca="false">g_os</f>
        <v>0.05</v>
      </c>
      <c r="P6382" s="8" t="s">
        <v>669</v>
      </c>
    </row>
    <row r="6383" customFormat="false" ht="17.15" hidden="false" customHeight="false" outlineLevel="0" collapsed="false">
      <c r="A6383" s="0" t="s">
        <v>520</v>
      </c>
      <c r="B6383" s="0" t="s">
        <v>86</v>
      </c>
      <c r="C6383" s="38" t="n">
        <f aca="false">Q!$D$11</f>
        <v>21.215</v>
      </c>
      <c r="D6383" s="38" t="n">
        <f aca="false">Q!$E$11</f>
        <v>22.561</v>
      </c>
      <c r="E6383" s="38" t="n">
        <f aca="false">Q!$P$11</f>
        <v>11.579</v>
      </c>
      <c r="F6383" s="38" t="n">
        <f aca="false">Sens!$O$6383*(1+Sens!$F$6384)*Sens!$F$6393</f>
        <v>11.5938724610325</v>
      </c>
      <c r="G6383" s="38" t="n">
        <f aca="false">Sens!$E$6383+Sens!$F$6383</f>
        <v>23.1728724610325</v>
      </c>
      <c r="H6383" s="38" t="n">
        <f aca="false">Sens!$G$6383*(1+Sens!$H$6384)</f>
        <v>24.353392759506</v>
      </c>
      <c r="I6383" s="38" t="n">
        <f aca="false">Sens!$H$6383*(1+Sens!$I$6384)</f>
        <v>25.4240338872015</v>
      </c>
      <c r="J6383" s="38" t="n">
        <f aca="false">Sens!$I$6383*(1+Sens!$J$6384)</f>
        <v>26.3642491017174</v>
      </c>
      <c r="K6383" s="38" t="n">
        <f aca="false">Sens!$J$6383*(1+Sens!$K$6384)</f>
        <v>27.155176574769</v>
      </c>
      <c r="L6383" s="38" t="n">
        <f aca="false">Sens!$K$6383*(1+Sens!$L$6384)</f>
        <v>27.969831872012</v>
      </c>
      <c r="M6383" s="38" t="n">
        <f aca="false">Sens!$L$6383*(1+Sens!$M$6384)</f>
        <v>28.8089268281724</v>
      </c>
      <c r="N6383" s="38" t="n">
        <f aca="false">Q!$N$11</f>
        <v>11.128</v>
      </c>
      <c r="O6383" s="38" t="n">
        <f aca="false">Q!$O$11</f>
        <v>11.433</v>
      </c>
      <c r="P6383" s="8" t="s">
        <v>667</v>
      </c>
    </row>
    <row r="6384" customFormat="false" ht="17.15" hidden="false" customHeight="false" outlineLevel="0" collapsed="false">
      <c r="A6384" s="0" t="s">
        <v>670</v>
      </c>
      <c r="B6384" s="0" t="s">
        <v>52</v>
      </c>
      <c r="E6384" s="13" t="n">
        <f aca="false">Sens!$E$6383/Sens!$N$6383-1</f>
        <v>0.0405283968368082</v>
      </c>
      <c r="F6384" s="13" t="n">
        <f aca="false">Sens!$O$6383/(Q!$F$11+Q!$G$11)-1</f>
        <v>0.0579254187100955</v>
      </c>
      <c r="G6384" s="13" t="n">
        <f aca="false">Sens!$G$6383/Sens!$D$6383-1</f>
        <v>0.0271208040881397</v>
      </c>
      <c r="H6384" s="13" t="n">
        <f aca="false">Sens!$F$6384+(g_ps-Sens!$F$6384)*1/4</f>
        <v>0.0509440640325716</v>
      </c>
      <c r="I6384" s="13" t="n">
        <f aca="false">Sens!$F$6384+(g_ps-Sens!$F$6384)*2/4</f>
        <v>0.0439627093550477</v>
      </c>
      <c r="J6384" s="13" t="n">
        <f aca="false">Sens!$F$6384+(g_ps-Sens!$F$6384)*3/4</f>
        <v>0.0369813546775239</v>
      </c>
      <c r="K6384" s="13" t="n">
        <f aca="false">Sens!$F$6384+(g_ps-Sens!$F$6384)*4/4</f>
        <v>0.03</v>
      </c>
      <c r="L6384" s="13" t="n">
        <f aca="false">g_ps</f>
        <v>0.03</v>
      </c>
      <c r="M6384" s="13" t="n">
        <f aca="false">g_ps</f>
        <v>0.03</v>
      </c>
      <c r="P6384" s="8" t="s">
        <v>671</v>
      </c>
    </row>
    <row r="6385" customFormat="false" ht="17.15" hidden="false" customHeight="false" outlineLevel="0" collapsed="false">
      <c r="A6385" s="0" t="s">
        <v>521</v>
      </c>
      <c r="B6385" s="0" t="s">
        <v>86</v>
      </c>
      <c r="C6385" s="38" t="n">
        <f aca="false">Q!$D$12</f>
        <v>156.146</v>
      </c>
      <c r="D6385" s="38" t="n">
        <f aca="false">Q!$E$12</f>
        <v>172.162</v>
      </c>
      <c r="E6385" s="38" t="n">
        <f aca="false">Q!$P$12</f>
        <v>88.358</v>
      </c>
      <c r="F6385" s="38" t="n">
        <f aca="false">Sens!$O$6385*(1+Sens!$F$6386)*Sens!$F$6393</f>
        <v>102.004388260171</v>
      </c>
      <c r="G6385" s="38" t="n">
        <f aca="false">Sens!$E$6385+Sens!$F$6385</f>
        <v>190.362388260171</v>
      </c>
      <c r="H6385" s="38" t="n">
        <f aca="false">Sens!$G$6385*(1+Sens!$H$6386)</f>
        <v>210.343106588311</v>
      </c>
      <c r="I6385" s="38" t="n">
        <f aca="false">Sens!$H$6385*(1+Sens!$I$6386)</f>
        <v>229.969728494648</v>
      </c>
      <c r="J6385" s="38" t="n">
        <f aca="false">Sens!$I$6385*(1+Sens!$J$6386)</f>
        <v>248.747636972598</v>
      </c>
      <c r="K6385" s="38" t="n">
        <f aca="false">Sens!$J$6385*(1+Sens!$K$6386)</f>
        <v>266.15997156068</v>
      </c>
      <c r="L6385" s="38" t="n">
        <f aca="false">Sens!$K$6385*(1+Sens!$L$6386)</f>
        <v>284.791169569927</v>
      </c>
      <c r="M6385" s="38" t="n">
        <f aca="false">Sens!$L$6385*(1+Sens!$M$6386)</f>
        <v>304.726551439822</v>
      </c>
      <c r="N6385" s="38" t="n">
        <f aca="false">Q!$N$12</f>
        <v>76.86</v>
      </c>
      <c r="O6385" s="38" t="n">
        <f aca="false">Q!$O$12</f>
        <v>95.302</v>
      </c>
      <c r="P6385" s="8" t="s">
        <v>667</v>
      </c>
    </row>
    <row r="6386" customFormat="false" ht="17.15" hidden="false" customHeight="false" outlineLevel="0" collapsed="false">
      <c r="A6386" s="0" t="s">
        <v>672</v>
      </c>
      <c r="B6386" s="0" t="s">
        <v>52</v>
      </c>
      <c r="E6386" s="13" t="n">
        <f aca="false">Sens!$E$6385/Sens!$N$6385-1</f>
        <v>0.1495966692688</v>
      </c>
      <c r="F6386" s="13" t="n">
        <f aca="false">Sens!$O$6385/(Q!$F$12+Q!$G$12)-1</f>
        <v>0.11661530890813</v>
      </c>
      <c r="G6386" s="13" t="n">
        <f aca="false">Sens!$G$6385/Sens!$D$6385-1</f>
        <v>0.105716640490767</v>
      </c>
      <c r="H6386" s="13" t="n">
        <f aca="false">Sens!$F$6386+(g_sp-Sens!$F$6386)*1/4</f>
        <v>0.104961481681098</v>
      </c>
      <c r="I6386" s="13" t="n">
        <f aca="false">Sens!$F$6386+(g_sp-Sens!$F$6386)*2/4</f>
        <v>0.0933076544540651</v>
      </c>
      <c r="J6386" s="13" t="n">
        <f aca="false">Sens!$F$6386+(g_sp-Sens!$F$6386)*3/4</f>
        <v>0.0816538272270325</v>
      </c>
      <c r="K6386" s="13" t="n">
        <f aca="false">Sens!$F$6386+(g_sp-Sens!$F$6386)*4/4</f>
        <v>0.07</v>
      </c>
      <c r="L6386" s="13" t="n">
        <f aca="false">g_sp</f>
        <v>0.07</v>
      </c>
      <c r="M6386" s="13" t="n">
        <f aca="false">g_sp</f>
        <v>0.07</v>
      </c>
      <c r="P6386" s="8" t="s">
        <v>673</v>
      </c>
    </row>
    <row r="6387" customFormat="false" ht="17.15" hidden="false" customHeight="false" outlineLevel="0" collapsed="false">
      <c r="A6387" s="0" t="s">
        <v>522</v>
      </c>
      <c r="B6387" s="0" t="s">
        <v>86</v>
      </c>
      <c r="C6387" s="38" t="n">
        <f aca="false">Q!$D$13</f>
        <v>56.214</v>
      </c>
      <c r="D6387" s="38" t="n">
        <f aca="false">Q!$E$13</f>
        <v>68.635</v>
      </c>
      <c r="E6387" s="38" t="n">
        <f aca="false">Q!$P$13</f>
        <v>37.052</v>
      </c>
      <c r="F6387" s="38" t="n">
        <f aca="false">Sens!$O$6387*(1+Sens!$F$6388)*Sens!$F$6393</f>
        <v>46.1572219944148</v>
      </c>
      <c r="G6387" s="38" t="n">
        <f aca="false">Sens!$E$6387+Sens!$F$6387</f>
        <v>83.2092219944148</v>
      </c>
      <c r="H6387" s="38" t="n">
        <f aca="false">Sens!$G$6387*(1+Sens!$H$6388)</f>
        <v>99.8969223878976</v>
      </c>
      <c r="I6387" s="38" t="n">
        <f aca="false">Sens!$H$6387*(1+Sens!$I$6388)</f>
        <v>116.583111095496</v>
      </c>
      <c r="J6387" s="38" t="n">
        <f aca="false">Sens!$I$6387*(1+Sens!$J$6388)</f>
        <v>132.148941941952</v>
      </c>
      <c r="K6387" s="38" t="n">
        <f aca="false">Sens!$J$6387*(1+Sens!$K$6388)</f>
        <v>145.363836136147</v>
      </c>
      <c r="L6387" s="38" t="n">
        <f aca="false">Sens!$K$6387*(1+Sens!$L$6388)</f>
        <v>159.900219749762</v>
      </c>
      <c r="M6387" s="38" t="n">
        <f aca="false">Sens!$L$6387*(1+Sens!$M$6388)</f>
        <v>175.890241724738</v>
      </c>
      <c r="N6387" s="38" t="n">
        <f aca="false">Q!$N$13</f>
        <v>29.615</v>
      </c>
      <c r="O6387" s="38" t="n">
        <f aca="false">Q!$O$13</f>
        <v>39.02</v>
      </c>
      <c r="P6387" s="8" t="s">
        <v>667</v>
      </c>
    </row>
    <row r="6388" customFormat="false" ht="17.15" hidden="false" customHeight="false" outlineLevel="0" collapsed="false">
      <c r="A6388" s="0" t="s">
        <v>674</v>
      </c>
      <c r="B6388" s="0" t="s">
        <v>52</v>
      </c>
      <c r="E6388" s="13" t="n">
        <f aca="false">Sens!$E$6387/Sens!$N$6387-1</f>
        <v>0.25112274185379</v>
      </c>
      <c r="F6388" s="13" t="n">
        <f aca="false">Sens!$O$6387/(Q!$F$13+Q!$G$13)-1</f>
        <v>0.234068123596572</v>
      </c>
      <c r="G6388" s="13" t="n">
        <f aca="false">Sens!$G$6387/Sens!$D$6387-1</f>
        <v>0.212343876949294</v>
      </c>
      <c r="H6388" s="13" t="n">
        <f aca="false">Sens!$F$6388+(g_ad-Sens!$F$6388)*1/4</f>
        <v>0.200551092697429</v>
      </c>
      <c r="I6388" s="13" t="n">
        <f aca="false">Sens!$F$6388+(g_ad-Sens!$F$6388)*2/4</f>
        <v>0.167034061798286</v>
      </c>
      <c r="J6388" s="13" t="n">
        <f aca="false">Sens!$F$6388+(g_ad-Sens!$F$6388)*3/4</f>
        <v>0.133517030899143</v>
      </c>
      <c r="K6388" s="13" t="n">
        <f aca="false">Sens!$F$6388+(g_ad-Sens!$F$6388)*4/4</f>
        <v>0.1</v>
      </c>
      <c r="L6388" s="13" t="n">
        <f aca="false">g_ad</f>
        <v>0.1</v>
      </c>
      <c r="M6388" s="13" t="n">
        <f aca="false">g_ad</f>
        <v>0.1</v>
      </c>
      <c r="P6388" s="8" t="s">
        <v>675</v>
      </c>
    </row>
    <row r="6389" customFormat="false" ht="17.15" hidden="false" customHeight="false" outlineLevel="0" collapsed="false">
      <c r="A6389" s="0" t="s">
        <v>523</v>
      </c>
      <c r="B6389" s="0" t="s">
        <v>86</v>
      </c>
      <c r="C6389" s="38" t="n">
        <f aca="false">Q!$D$14</f>
        <v>44.374</v>
      </c>
      <c r="D6389" s="38" t="n">
        <f aca="false">Q!$E$14</f>
        <v>49.619</v>
      </c>
      <c r="E6389" s="38" t="n">
        <f aca="false">Q!$P$14</f>
        <v>27.157</v>
      </c>
      <c r="F6389" s="38" t="n">
        <f aca="false">Sens!$O$6389*(1+Sens!$F$6390)*Sens!$F$6393</f>
        <v>27.7764165988154</v>
      </c>
      <c r="G6389" s="38" t="n">
        <f aca="false">Sens!$E$6389+Sens!$F$6389</f>
        <v>54.9334165988154</v>
      </c>
      <c r="H6389" s="38" t="n">
        <f aca="false">Sens!$G$6389*(1+Sens!$H$6390)</f>
        <v>61.1564112561829</v>
      </c>
      <c r="I6389" s="38" t="n">
        <f aca="false">Sens!$H$6389*(1+Sens!$I$6390)</f>
        <v>67.2020282103945</v>
      </c>
      <c r="J6389" s="38" t="n">
        <f aca="false">Sens!$I$6389*(1+Sens!$J$6390)</f>
        <v>72.8757274028885</v>
      </c>
      <c r="K6389" s="38" t="n">
        <f aca="false">Sens!$J$6389*(1+Sens!$K$6390)</f>
        <v>77.9770283210907</v>
      </c>
      <c r="L6389" s="38" t="n">
        <f aca="false">Sens!$K$6389*(1+Sens!$L$6390)</f>
        <v>83.4354203035671</v>
      </c>
      <c r="M6389" s="38" t="n">
        <f aca="false">Sens!$L$6389*(1+Sens!$M$6390)</f>
        <v>89.2758997248168</v>
      </c>
      <c r="N6389" s="38" t="n">
        <f aca="false">Q!$N$14</f>
        <v>23.923</v>
      </c>
      <c r="O6389" s="38" t="n">
        <f aca="false">Q!$O$14</f>
        <v>25.696</v>
      </c>
      <c r="P6389" s="8" t="s">
        <v>667</v>
      </c>
    </row>
    <row r="6390" customFormat="false" ht="17.15" hidden="false" customHeight="false" outlineLevel="0" collapsed="false">
      <c r="A6390" s="0" t="s">
        <v>676</v>
      </c>
      <c r="B6390" s="0" t="s">
        <v>52</v>
      </c>
      <c r="E6390" s="13" t="n">
        <f aca="false">Sens!$E$6389/Sens!$N$6389-1</f>
        <v>0.135183714417088</v>
      </c>
      <c r="F6390" s="13" t="n">
        <f aca="false">Sens!$O$6389/(Q!$F$14+Q!$G$14)-1</f>
        <v>0.127709997366804</v>
      </c>
      <c r="G6390" s="13" t="n">
        <f aca="false">Sens!$G$6389/Sens!$D$6389-1</f>
        <v>0.107104468022641</v>
      </c>
      <c r="H6390" s="13" t="n">
        <f aca="false">Sens!$F$6390+(g_sub-Sens!$F$6390)*1/4</f>
        <v>0.113282498025103</v>
      </c>
      <c r="I6390" s="13" t="n">
        <f aca="false">Sens!$F$6390+(g_sub-Sens!$F$6390)*2/4</f>
        <v>0.0988549986834021</v>
      </c>
      <c r="J6390" s="13" t="n">
        <f aca="false">Sens!$F$6390+(g_sub-Sens!$F$6390)*3/4</f>
        <v>0.084427499341701</v>
      </c>
      <c r="K6390" s="13" t="n">
        <f aca="false">Sens!$F$6390+(g_sub-Sens!$F$6390)*4/4</f>
        <v>0.07</v>
      </c>
      <c r="L6390" s="13" t="n">
        <f aca="false">g_sub</f>
        <v>0.07</v>
      </c>
      <c r="M6390" s="13" t="n">
        <f aca="false">g_sub</f>
        <v>0.07</v>
      </c>
      <c r="P6390" s="8" t="s">
        <v>677</v>
      </c>
    </row>
    <row r="6391" customFormat="false" ht="17.15" hidden="false" customHeight="false" outlineLevel="0" collapsed="false">
      <c r="A6391" s="0" t="s">
        <v>524</v>
      </c>
      <c r="B6391" s="0" t="s">
        <v>86</v>
      </c>
      <c r="C6391" s="38" t="n">
        <f aca="false">Q!$D$15</f>
        <v>5.425</v>
      </c>
      <c r="D6391" s="38" t="n">
        <f aca="false">Q!$E$15</f>
        <v>5.935</v>
      </c>
      <c r="E6391" s="38" t="n">
        <f aca="false">Q!$P$15</f>
        <v>3.474</v>
      </c>
      <c r="F6391" s="38" t="n">
        <f aca="false">Sens!$O$6391*(1+Sens!$F$6392)*Sens!$F$6393</f>
        <v>3.22246550883619</v>
      </c>
      <c r="G6391" s="38" t="n">
        <f aca="false">Sens!$E$6391+Sens!$F$6391</f>
        <v>6.69646550883619</v>
      </c>
      <c r="H6391" s="38" t="n">
        <f aca="false">Sens!$G$6391*(1+Sens!$H$6392)</f>
        <v>7.16251344209196</v>
      </c>
      <c r="I6391" s="38" t="n">
        <f aca="false">Sens!$H$6391*(1+Sens!$I$6392)</f>
        <v>7.61421070299826</v>
      </c>
      <c r="J6391" s="38" t="n">
        <f aca="false">Sens!$I$6391*(1+Sens!$J$6392)</f>
        <v>8.04465753523932</v>
      </c>
      <c r="K6391" s="38" t="n">
        <f aca="false">Sens!$J$6391*(1+Sens!$K$6392)</f>
        <v>8.44689041200128</v>
      </c>
      <c r="L6391" s="38" t="n">
        <f aca="false">Sens!$K$6391*(1+Sens!$L$6392)</f>
        <v>8.86923493260135</v>
      </c>
      <c r="M6391" s="38" t="n">
        <f aca="false">Sens!$L$6391*(1+Sens!$M$6392)</f>
        <v>9.31269667923142</v>
      </c>
      <c r="N6391" s="38" t="n">
        <f aca="false">Q!$N$15</f>
        <v>2.811</v>
      </c>
      <c r="O6391" s="38" t="n">
        <f aca="false">Q!$O$15</f>
        <v>3.124</v>
      </c>
      <c r="P6391" s="8" t="s">
        <v>667</v>
      </c>
    </row>
    <row r="6392" customFormat="false" ht="17.15" hidden="false" customHeight="false" outlineLevel="0" collapsed="false">
      <c r="A6392" s="0" t="s">
        <v>678</v>
      </c>
      <c r="B6392" s="0" t="s">
        <v>52</v>
      </c>
      <c r="E6392" s="13" t="n">
        <f aca="false">Sens!$E$6391/Sens!$N$6391-1</f>
        <v>0.235859124866596</v>
      </c>
      <c r="F6392" s="13" t="n">
        <f aca="false">Sens!$O$6391/(Q!$F$15+Q!$G$15)-1</f>
        <v>0.0761281433000345</v>
      </c>
      <c r="G6392" s="13" t="n">
        <f aca="false">Sens!$G$6391/Sens!$D$6391-1</f>
        <v>0.128300843948811</v>
      </c>
      <c r="H6392" s="13" t="n">
        <f aca="false">Sens!$F$6392+(g_ot-Sens!$F$6392)*1/4</f>
        <v>0.0695961074750259</v>
      </c>
      <c r="I6392" s="13" t="n">
        <f aca="false">Sens!$F$6392+(g_ot-Sens!$F$6392)*2/4</f>
        <v>0.0630640716500172</v>
      </c>
      <c r="J6392" s="13" t="n">
        <f aca="false">Sens!$F$6392+(g_ot-Sens!$F$6392)*3/4</f>
        <v>0.0565320358250086</v>
      </c>
      <c r="K6392" s="13" t="n">
        <f aca="false">Sens!$F$6392+(g_ot-Sens!$F$6392)*4/4</f>
        <v>0.05</v>
      </c>
      <c r="L6392" s="13" t="n">
        <f aca="false">g_ot</f>
        <v>0.05</v>
      </c>
      <c r="M6392" s="13" t="n">
        <f aca="false">g_ot</f>
        <v>0.05</v>
      </c>
      <c r="P6392" s="8" t="s">
        <v>679</v>
      </c>
    </row>
    <row r="6393" customFormat="false" ht="17.15" hidden="false" customHeight="false" outlineLevel="0" collapsed="false">
      <c r="A6393" s="0" t="s">
        <v>680</v>
      </c>
      <c r="B6393" s="0" t="s">
        <v>57</v>
      </c>
      <c r="F6393" s="40" t="n">
        <f aca="false">(g26q3_mid*Q!$O$8/Q!$J$8-Thesis!$F$86-Thesis!$F$90)/(Sens!$O$6381*(1+Sens!$F$6382)+Sens!$O$6383*(1+Sens!$F$6384)+Sens!$O$6385*(1+Sens!$F$6386)+Sens!$O$6387*(1+Sens!$F$6388)+Sens!$O$6389*(1+Sens!$F$6390)+Sens!$O$6391*(1+Sens!$F$6392))</f>
        <v>0.958546670622329</v>
      </c>
      <c r="P6393" s="8" t="s">
        <v>681</v>
      </c>
    </row>
    <row r="6394" customFormat="false" ht="17.15" hidden="false" customHeight="false" outlineLevel="0" collapsed="false">
      <c r="A6394" s="3" t="s">
        <v>682</v>
      </c>
      <c r="B6394" s="8" t="s">
        <v>86</v>
      </c>
      <c r="C6394" s="38" t="n">
        <f aca="false">Sens!$C$6381+Sens!$C$6383+Sens!$C$6385+Sens!$C$6387+Sens!$C$6389+Sens!$C$6391</f>
        <v>530.403</v>
      </c>
      <c r="D6394" s="38" t="n">
        <f aca="false">Sens!$D$6381+Sens!$D$6383+Sens!$D$6385+Sens!$D$6387+Sens!$D$6389+Sens!$D$6391</f>
        <v>588.199</v>
      </c>
      <c r="E6394" s="38" t="n">
        <f aca="false">Sens!$E$6381+Sens!$E$6383+Sens!$E$6385+Sens!$E$6387+Sens!$E$6389+Sens!$E$6391</f>
        <v>302.306</v>
      </c>
      <c r="F6394" s="38" t="n">
        <f aca="false">Sens!$F$6381+Sens!$F$6383+Sens!$F$6385+Sens!$F$6387+Sens!$F$6389+Sens!$F$6391</f>
        <v>349.048241645537</v>
      </c>
      <c r="G6394" s="38" t="n">
        <f aca="false">Sens!$G$6381+Sens!$G$6383+Sens!$G$6385+Sens!$G$6387+Sens!$G$6389+Sens!$G$6391</f>
        <v>651.354241645537</v>
      </c>
      <c r="H6394" s="38" t="n">
        <f aca="false">Sens!$H$6381+Sens!$H$6383+Sens!$H$6385+Sens!$H$6387+Sens!$H$6389+Sens!$H$6391</f>
        <v>721.096889521386</v>
      </c>
      <c r="I6394" s="38" t="n">
        <f aca="false">Sens!$I$6381+Sens!$I$6383+Sens!$I$6385+Sens!$I$6387+Sens!$I$6389+Sens!$I$6391</f>
        <v>788.529391152531</v>
      </c>
      <c r="J6394" s="38" t="n">
        <f aca="false">Sens!$J$6381+Sens!$J$6383+Sens!$J$6385+Sens!$J$6387+Sens!$J$6389+Sens!$J$6391</f>
        <v>851.108405741443</v>
      </c>
      <c r="K6394" s="38" t="n">
        <f aca="false">Sens!$K$6381+Sens!$K$6383+Sens!$K$6385+Sens!$K$6387+Sens!$K$6389+Sens!$K$6391</f>
        <v>906.176455431088</v>
      </c>
      <c r="L6394" s="38" t="n">
        <f aca="false">Sens!$L$6381+Sens!$L$6383+Sens!$L$6385+Sens!$L$6387+Sens!$L$6389+Sens!$L$6391</f>
        <v>965.093106475589</v>
      </c>
      <c r="M6394" s="38" t="n">
        <f aca="false">Sens!$M$6381+Sens!$M$6383+Sens!$M$6385+Sens!$M$6387+Sens!$M$6389+Sens!$M$6391</f>
        <v>1028.14790794689</v>
      </c>
      <c r="N6394" s="38" t="n">
        <f aca="false">Sens!$N$6381+Sens!$N$6383+Sens!$N$6385+Sens!$N$6387+Sens!$N$6389+Sens!$N$6391</f>
        <v>263.229</v>
      </c>
      <c r="O6394" s="38" t="n">
        <f aca="false">Sens!$O$6381+Sens!$O$6383+Sens!$O$6385+Sens!$O$6387+Sens!$O$6389+Sens!$O$6391</f>
        <v>324.97</v>
      </c>
    </row>
    <row r="6395" customFormat="false" ht="17.15" hidden="false" customHeight="false" outlineLevel="0" collapsed="false">
      <c r="A6395" s="5" t="s">
        <v>683</v>
      </c>
      <c r="B6395" s="0" t="s">
        <v>52</v>
      </c>
      <c r="C6395" s="13" t="n">
        <f aca="false">Q!$D$5/(Q!$D$5+Q!$D$6)</f>
        <v>0.730570905519011</v>
      </c>
      <c r="D6395" s="13" t="n">
        <f aca="false">Q!$E$5/(Q!$E$5+Q!$E$6)</f>
        <v>0.724763217890544</v>
      </c>
      <c r="E6395" s="13" t="n">
        <f aca="false">Q!$P$5/(Q!$P$5+Q!$P$6)</f>
        <v>0.728797972914861</v>
      </c>
      <c r="F6395" s="13" t="n">
        <f aca="false">Sens!$O$6395</f>
        <v>0.718066283041511</v>
      </c>
      <c r="G6395" s="13" t="n">
        <f aca="false">Sens!$G$6396/Sens!$G$6394</f>
        <v>0.723047066202847</v>
      </c>
      <c r="H6395" s="13" t="n">
        <f aca="false">Sens!$G$6395</f>
        <v>0.723047066202847</v>
      </c>
      <c r="I6395" s="13" t="n">
        <f aca="false">Sens!$G$6395</f>
        <v>0.723047066202847</v>
      </c>
      <c r="J6395" s="13" t="n">
        <f aca="false">Sens!$G$6395</f>
        <v>0.723047066202847</v>
      </c>
      <c r="K6395" s="13" t="n">
        <f aca="false">Sens!$G$6395</f>
        <v>0.723047066202847</v>
      </c>
      <c r="L6395" s="13" t="n">
        <f aca="false">Sens!$G$6395</f>
        <v>0.723047066202847</v>
      </c>
      <c r="M6395" s="13" t="n">
        <f aca="false">Sens!$G$6395</f>
        <v>0.723047066202847</v>
      </c>
      <c r="N6395" s="13" t="n">
        <f aca="false">Q!$N$5/(Q!$N$5+Q!$N$6)</f>
        <v>0.733030935041352</v>
      </c>
      <c r="O6395" s="13" t="n">
        <f aca="false">Q!$O$5/(Q!$O$5+Q!$O$6)</f>
        <v>0.718066283041511</v>
      </c>
      <c r="P6395" s="8" t="s">
        <v>684</v>
      </c>
    </row>
    <row r="6396" customFormat="false" ht="17.15" hidden="false" customHeight="false" outlineLevel="0" collapsed="false">
      <c r="A6396" s="1" t="s">
        <v>512</v>
      </c>
      <c r="B6396" s="8" t="s">
        <v>86</v>
      </c>
      <c r="C6396" s="38" t="n">
        <f aca="false">Q!$D$5</f>
        <v>387.497</v>
      </c>
      <c r="D6396" s="38" t="n">
        <f aca="false">Q!$E$5</f>
        <v>426.305</v>
      </c>
      <c r="E6396" s="38" t="n">
        <f aca="false">Q!$P$5</f>
        <v>220.32</v>
      </c>
      <c r="F6396" s="38" t="n">
        <f aca="false">Sens!$F$6394*Sens!$F$6395</f>
        <v>250.639773480586</v>
      </c>
      <c r="G6396" s="38" t="n">
        <f aca="false">Sens!$E$6396+Sens!$F$6396</f>
        <v>470.959773480586</v>
      </c>
      <c r="H6396" s="38" t="n">
        <f aca="false">Sens!$H$6394*Sens!$H$6395</f>
        <v>521.386990416437</v>
      </c>
      <c r="I6396" s="38" t="n">
        <f aca="false">Sens!$I$6394*Sens!$I$6395</f>
        <v>570.143862887555</v>
      </c>
      <c r="J6396" s="38" t="n">
        <f aca="false">Sens!$J$6394*Sens!$J$6395</f>
        <v>615.391435791933</v>
      </c>
      <c r="K6396" s="38" t="n">
        <f aca="false">Sens!$K$6394*Sens!$K$6395</f>
        <v>655.208227561543</v>
      </c>
      <c r="L6396" s="38" t="n">
        <f aca="false">Sens!$L$6394*Sens!$L$6395</f>
        <v>697.807739249767</v>
      </c>
      <c r="M6396" s="38" t="n">
        <f aca="false">Sens!$M$6394*Sens!$M$6395</f>
        <v>743.399328463592</v>
      </c>
      <c r="N6396" s="38" t="n">
        <f aca="false">Q!$N$5</f>
        <v>192.955</v>
      </c>
      <c r="O6396" s="38" t="n">
        <f aca="false">Q!$O$5</f>
        <v>233.35</v>
      </c>
      <c r="P6396" s="5" t="s">
        <v>685</v>
      </c>
    </row>
    <row r="6397" customFormat="false" ht="17.15" hidden="false" customHeight="false" outlineLevel="0" collapsed="false">
      <c r="A6397" s="1" t="s">
        <v>515</v>
      </c>
      <c r="B6397" s="8" t="s">
        <v>86</v>
      </c>
      <c r="C6397" s="38" t="n">
        <f aca="false">Q!$D$6</f>
        <v>142.906</v>
      </c>
      <c r="D6397" s="38" t="n">
        <f aca="false">Q!$E$6</f>
        <v>161.894</v>
      </c>
      <c r="E6397" s="38" t="n">
        <f aca="false">Q!$P$6</f>
        <v>81.986</v>
      </c>
      <c r="F6397" s="38" t="n">
        <f aca="false">Sens!$F$6394*(1-Sens!$F$6395)</f>
        <v>98.408468164951</v>
      </c>
      <c r="G6397" s="38" t="n">
        <f aca="false">Sens!$E$6397+Sens!$F$6397</f>
        <v>180.394468164951</v>
      </c>
      <c r="H6397" s="38" t="n">
        <f aca="false">Sens!$H$6394*(1-Sens!$H$6395)</f>
        <v>199.709899104949</v>
      </c>
      <c r="I6397" s="38" t="n">
        <f aca="false">Sens!$I$6394*(1-Sens!$I$6395)</f>
        <v>218.385528264976</v>
      </c>
      <c r="J6397" s="38" t="n">
        <f aca="false">Sens!$J$6394*(1-Sens!$J$6395)</f>
        <v>235.71696994951</v>
      </c>
      <c r="K6397" s="38" t="n">
        <f aca="false">Sens!$K$6394*(1-Sens!$K$6395)</f>
        <v>250.968227869545</v>
      </c>
      <c r="L6397" s="38" t="n">
        <f aca="false">Sens!$L$6394*(1-Sens!$L$6395)</f>
        <v>267.285367225822</v>
      </c>
      <c r="M6397" s="38" t="n">
        <f aca="false">Sens!$M$6394*(1-Sens!$M$6395)</f>
        <v>284.748579483295</v>
      </c>
      <c r="N6397" s="38" t="n">
        <f aca="false">Q!$N$6</f>
        <v>70.274</v>
      </c>
      <c r="O6397" s="38" t="n">
        <f aca="false">Q!$O$6</f>
        <v>91.62</v>
      </c>
      <c r="P6397" s="5" t="s">
        <v>686</v>
      </c>
    </row>
    <row r="6398" customFormat="false" ht="17.15" hidden="false" customHeight="false" outlineLevel="0" collapsed="false">
      <c r="A6398" s="5" t="s">
        <v>687</v>
      </c>
      <c r="B6398" s="0" t="s">
        <v>86</v>
      </c>
      <c r="C6398" s="38" t="n">
        <f aca="false">Sens!$C$6387*Sens!$C$6395</f>
        <v>41.0683128828457</v>
      </c>
      <c r="D6398" s="38" t="n">
        <f aca="false">Sens!$D$6387*Sens!$D$6395</f>
        <v>49.7441234599175</v>
      </c>
      <c r="E6398" s="38" t="n">
        <f aca="false">Sens!$E$6387*Sens!$E$6395</f>
        <v>27.0034224924414</v>
      </c>
      <c r="F6398" s="38" t="n">
        <f aca="false">Sens!$F$6387*Sens!$F$6395</f>
        <v>33.1439448330513</v>
      </c>
      <c r="G6398" s="38" t="n">
        <f aca="false">Sens!$G$6387*Sens!$G$6395</f>
        <v>60.164183844083</v>
      </c>
      <c r="H6398" s="38" t="n">
        <f aca="false">Sens!$H$6387*Sens!$H$6395</f>
        <v>72.2301766552629</v>
      </c>
      <c r="I6398" s="38" t="n">
        <f aca="false">Sens!$I$6387*Sens!$I$6395</f>
        <v>84.2950764463991</v>
      </c>
      <c r="J6398" s="38" t="n">
        <f aca="false">Sens!$J$6387*Sens!$J$6395</f>
        <v>95.5499047729386</v>
      </c>
      <c r="K6398" s="38" t="n">
        <f aca="false">Sens!$K$6387*Sens!$K$6395</f>
        <v>105.104895250232</v>
      </c>
      <c r="L6398" s="38" t="n">
        <f aca="false">Sens!$L$6387*Sens!$L$6395</f>
        <v>115.615384775256</v>
      </c>
      <c r="M6398" s="38" t="n">
        <f aca="false">Sens!$M$6387*Sens!$M$6395</f>
        <v>127.176923252781</v>
      </c>
      <c r="N6398" s="38" t="n">
        <f aca="false">Sens!$N$6387*Sens!$N$6395</f>
        <v>21.7087111412496</v>
      </c>
      <c r="O6398" s="38" t="n">
        <f aca="false">Sens!$O$6387*Sens!$O$6395</f>
        <v>28.0189463642798</v>
      </c>
      <c r="P6398" s="5" t="s">
        <v>688</v>
      </c>
    </row>
    <row r="6399" customFormat="false" ht="15" hidden="false" customHeight="false" outlineLevel="0" collapsed="false">
      <c r="A6399" s="5" t="s">
        <v>689</v>
      </c>
      <c r="B6399" s="0" t="s">
        <v>86</v>
      </c>
      <c r="C6399" s="38" t="n">
        <f aca="false">Sens!$C$6387-Sens!$C$6398</f>
        <v>15.1456871171543</v>
      </c>
      <c r="D6399" s="38" t="n">
        <f aca="false">Sens!$D$6387-Sens!$D$6398</f>
        <v>18.8908765400825</v>
      </c>
      <c r="E6399" s="38" t="n">
        <f aca="false">Sens!$E$6387-Sens!$E$6398</f>
        <v>10.0485775075586</v>
      </c>
      <c r="F6399" s="38" t="n">
        <f aca="false">Sens!$F$6387-Sens!$F$6398</f>
        <v>13.0132771613635</v>
      </c>
      <c r="G6399" s="38" t="n">
        <f aca="false">Sens!$G$6387-Sens!$G$6398</f>
        <v>23.0450381503318</v>
      </c>
      <c r="H6399" s="38" t="n">
        <f aca="false">Sens!$H$6387-Sens!$H$6398</f>
        <v>27.6667457326347</v>
      </c>
      <c r="I6399" s="38" t="n">
        <f aca="false">Sens!$I$6387-Sens!$I$6398</f>
        <v>32.2880346490971</v>
      </c>
      <c r="J6399" s="38" t="n">
        <f aca="false">Sens!$J$6387-Sens!$J$6398</f>
        <v>36.5990371690132</v>
      </c>
      <c r="K6399" s="38" t="n">
        <f aca="false">Sens!$K$6387-Sens!$K$6398</f>
        <v>40.2589408859145</v>
      </c>
      <c r="L6399" s="38" t="n">
        <f aca="false">Sens!$L$6387-Sens!$L$6398</f>
        <v>44.2848349745059</v>
      </c>
      <c r="M6399" s="38" t="n">
        <f aca="false">Sens!$M$6387-Sens!$M$6398</f>
        <v>48.7133184719565</v>
      </c>
      <c r="N6399" s="38" t="n">
        <f aca="false">Sens!$N$6387-Sens!$N$6398</f>
        <v>7.90628885875037</v>
      </c>
      <c r="O6399" s="38" t="n">
        <f aca="false">Sens!$O$6387-Sens!$O$6398</f>
        <v>11.0010536357202</v>
      </c>
    </row>
    <row r="6400" customFormat="false" ht="19.4" hidden="false" customHeight="false" outlineLevel="0" collapsed="false">
      <c r="A6400" s="31" t="s">
        <v>1266</v>
      </c>
    </row>
    <row r="6401" customFormat="false" ht="17.15" hidden="false" customHeight="false" outlineLevel="0" collapsed="false">
      <c r="A6401" s="6" t="s">
        <v>16</v>
      </c>
      <c r="B6401" s="6" t="s">
        <v>17</v>
      </c>
      <c r="C6401" s="20" t="s">
        <v>497</v>
      </c>
      <c r="D6401" s="20" t="s">
        <v>498</v>
      </c>
      <c r="E6401" s="20" t="s">
        <v>580</v>
      </c>
      <c r="F6401" s="20" t="s">
        <v>581</v>
      </c>
      <c r="G6401" s="20" t="s">
        <v>582</v>
      </c>
      <c r="H6401" s="20" t="s">
        <v>583</v>
      </c>
      <c r="I6401" s="20" t="s">
        <v>584</v>
      </c>
      <c r="J6401" s="20" t="s">
        <v>585</v>
      </c>
      <c r="K6401" s="20" t="s">
        <v>586</v>
      </c>
      <c r="L6401" s="20" t="s">
        <v>587</v>
      </c>
      <c r="M6401" s="20" t="s">
        <v>588</v>
      </c>
      <c r="N6401" s="20" t="s">
        <v>589</v>
      </c>
      <c r="O6401" s="20" t="s">
        <v>590</v>
      </c>
      <c r="P6401" s="6" t="s">
        <v>23</v>
      </c>
      <c r="R6401" s="20" t="n">
        <v>2023</v>
      </c>
      <c r="S6401" s="20" t="n">
        <v>2024</v>
      </c>
      <c r="T6401" s="20" t="n">
        <v>2025</v>
      </c>
      <c r="U6401" s="20" t="n">
        <v>2026</v>
      </c>
      <c r="V6401" s="20" t="n">
        <v>2027</v>
      </c>
      <c r="W6401" s="20" t="n">
        <v>2028</v>
      </c>
      <c r="X6401" s="20" t="n">
        <v>2029</v>
      </c>
      <c r="Y6401" s="20" t="n">
        <v>2030</v>
      </c>
      <c r="Z6401" s="20" t="n">
        <v>2031</v>
      </c>
      <c r="AA6401" s="20" t="n">
        <v>2032</v>
      </c>
    </row>
    <row r="6402" customFormat="false" ht="17.15" hidden="false" customHeight="false" outlineLevel="0" collapsed="false">
      <c r="A6402" s="1" t="s">
        <v>591</v>
      </c>
    </row>
    <row r="6403" customFormat="false" ht="17.15" hidden="false" customHeight="false" outlineLevel="0" collapsed="false">
      <c r="A6403" s="5" t="s">
        <v>592</v>
      </c>
      <c r="B6403" s="0" t="s">
        <v>144</v>
      </c>
      <c r="H6403" s="32" t="n">
        <f aca="false">pace_B</f>
        <v>3634.3</v>
      </c>
      <c r="I6403" s="32" t="n">
        <f aca="false">pace_B</f>
        <v>3634.3</v>
      </c>
      <c r="J6403" s="32" t="n">
        <f aca="false">pace_B</f>
        <v>3634.3</v>
      </c>
      <c r="K6403" s="32" t="n">
        <f aca="false">pace_B+(Sens!$J$6404*tg-pace_B)*1/3</f>
        <v>2570.86716666667</v>
      </c>
      <c r="L6403" s="32" t="n">
        <f aca="false">pace_B+(Sens!$J$6404*tg-pace_B)*2/3</f>
        <v>1507.43433333333</v>
      </c>
      <c r="M6403" s="32" t="n">
        <f aca="false">pace_B+(Sens!$J$6404*tg-pace_B)*3/3</f>
        <v>444.0015</v>
      </c>
      <c r="P6403" s="5" t="s">
        <v>593</v>
      </c>
    </row>
    <row r="6404" customFormat="false" ht="17.15" hidden="false" customHeight="false" outlineLevel="0" collapsed="false">
      <c r="A6404" s="15" t="s">
        <v>594</v>
      </c>
      <c r="B6404" s="14" t="s">
        <v>129</v>
      </c>
      <c r="C6404" s="33" t="n">
        <f aca="false">mw_ye24</f>
        <v>360</v>
      </c>
      <c r="D6404" s="33" t="n">
        <f aca="false">mw_ye25</f>
        <v>1440</v>
      </c>
      <c r="E6404" s="33" t="n">
        <f aca="false">mw_open</f>
        <v>2080</v>
      </c>
      <c r="F6404" s="33" t="n">
        <f aca="false">Sens!$E$6404+pace_B*0.5</f>
        <v>3897.15</v>
      </c>
      <c r="G6404" s="33" t="n">
        <f aca="false">Sens!$F$6404</f>
        <v>3897.15</v>
      </c>
      <c r="H6404" s="33" t="n">
        <f aca="false">Sens!$G$6404+Sens!$H$6403</f>
        <v>7531.45</v>
      </c>
      <c r="I6404" s="33" t="n">
        <f aca="false">Sens!$H$6404+Sens!$I$6403</f>
        <v>11165.75</v>
      </c>
      <c r="J6404" s="33" t="n">
        <f aca="false">Sens!$I$6404+Sens!$J$6403</f>
        <v>14800.05</v>
      </c>
      <c r="K6404" s="33" t="n">
        <f aca="false">Sens!$J$6404+Sens!$K$6403</f>
        <v>17370.9171666667</v>
      </c>
      <c r="L6404" s="33" t="n">
        <f aca="false">Sens!$K$6404+Sens!$L$6403</f>
        <v>18878.3515</v>
      </c>
      <c r="M6404" s="33" t="n">
        <f aca="false">Sens!$L$6404+Sens!$M$6403</f>
        <v>19322.353</v>
      </c>
      <c r="N6404" s="33" t="n">
        <f aca="false">(mw_ye24+mw_ye25)/2</f>
        <v>900</v>
      </c>
      <c r="O6404" s="33" t="n">
        <f aca="false">mw_ye25</f>
        <v>1440</v>
      </c>
      <c r="P6404" s="5" t="s">
        <v>595</v>
      </c>
    </row>
    <row r="6405" customFormat="false" ht="17.15" hidden="false" customHeight="false" outlineLevel="0" collapsed="false">
      <c r="A6405" s="5" t="s">
        <v>596</v>
      </c>
      <c r="B6405" s="0" t="s">
        <v>129</v>
      </c>
      <c r="C6405" s="32" t="n">
        <f aca="false">(mw_ye23+mw_ye24)/2</f>
        <v>240</v>
      </c>
      <c r="D6405" s="32" t="n">
        <f aca="false">(Sens!$C$6404+Sens!$D$6404)/2</f>
        <v>900</v>
      </c>
      <c r="E6405" s="32" t="n">
        <f aca="false">(Sens!$D$6404+Sens!$E$6404)/2</f>
        <v>1760</v>
      </c>
      <c r="F6405" s="32" t="n">
        <f aca="false">(Sens!$E$6404+Sens!$F$6404)/2</f>
        <v>2988.575</v>
      </c>
      <c r="G6405" s="32" t="n">
        <f aca="false">(Sens!$E$6405+Sens!$F$6405)/2</f>
        <v>2374.2875</v>
      </c>
      <c r="H6405" s="32" t="n">
        <f aca="false">(Sens!$G$6404+Sens!$H$6404)/2</f>
        <v>5714.3</v>
      </c>
      <c r="I6405" s="32" t="n">
        <f aca="false">(Sens!$H$6404+Sens!$I$6404)/2</f>
        <v>9348.6</v>
      </c>
      <c r="J6405" s="32" t="n">
        <f aca="false">(Sens!$I$6404+Sens!$J$6404)/2</f>
        <v>12982.9</v>
      </c>
      <c r="K6405" s="32" t="n">
        <f aca="false">(Sens!$J$6404+Sens!$K$6404)/2</f>
        <v>16085.4835833333</v>
      </c>
      <c r="L6405" s="32" t="n">
        <f aca="false">(Sens!$K$6404+Sens!$L$6404)/2</f>
        <v>18124.6343333333</v>
      </c>
      <c r="M6405" s="32" t="n">
        <f aca="false">(Sens!$L$6404+Sens!$M$6404)/2</f>
        <v>19100.35225</v>
      </c>
      <c r="N6405" s="32" t="n">
        <f aca="false">(Sens!$C$6404+Sens!$N$6404)/2</f>
        <v>630</v>
      </c>
      <c r="O6405" s="32" t="n">
        <f aca="false">(Sens!$N$6404+Sens!$O$6404)/2</f>
        <v>1170</v>
      </c>
    </row>
    <row r="6406" customFormat="false" ht="15" hidden="false" customHeight="false" outlineLevel="0" collapsed="false">
      <c r="A6406" s="5" t="s">
        <v>597</v>
      </c>
      <c r="B6406" s="5" t="s">
        <v>123</v>
      </c>
      <c r="C6406" s="34" t="n">
        <v>1</v>
      </c>
      <c r="D6406" s="34" t="n">
        <v>1</v>
      </c>
      <c r="E6406" s="34" t="n">
        <v>0.5</v>
      </c>
      <c r="F6406" s="34" t="n">
        <v>0.5</v>
      </c>
      <c r="G6406" s="34" t="n">
        <v>1</v>
      </c>
      <c r="H6406" s="34" t="n">
        <v>1</v>
      </c>
      <c r="I6406" s="34" t="n">
        <v>1</v>
      </c>
      <c r="J6406" s="34" t="n">
        <v>1</v>
      </c>
      <c r="K6406" s="34" t="n">
        <v>1</v>
      </c>
      <c r="L6406" s="34" t="n">
        <v>1</v>
      </c>
      <c r="M6406" s="34" t="n">
        <v>1</v>
      </c>
      <c r="N6406" s="34" t="n">
        <v>0.5</v>
      </c>
      <c r="O6406" s="34" t="n">
        <v>0.5</v>
      </c>
    </row>
    <row r="6407" customFormat="false" ht="17.15" hidden="false" customHeight="false" outlineLevel="0" collapsed="false">
      <c r="A6407" s="5" t="s">
        <v>598</v>
      </c>
      <c r="B6407" s="0" t="s">
        <v>129</v>
      </c>
      <c r="C6407" s="32" t="n">
        <f aca="false">Sens!$C$6404-mw_ye23</f>
        <v>240</v>
      </c>
      <c r="D6407" s="32" t="n">
        <f aca="false">Sens!$D$6404-Sens!$C$6404</f>
        <v>1080</v>
      </c>
      <c r="E6407" s="32" t="n">
        <f aca="false">Sens!$E$6404-Sens!$D$6404</f>
        <v>640</v>
      </c>
      <c r="F6407" s="32" t="n">
        <f aca="false">Sens!$F$6404-Sens!$E$6404</f>
        <v>1817.15</v>
      </c>
      <c r="G6407" s="32" t="n">
        <f aca="false">Sens!$E$6407+Sens!$F$6407</f>
        <v>2457.15</v>
      </c>
      <c r="H6407" s="32" t="n">
        <f aca="false">Sens!$H$6404-Sens!$G$6404</f>
        <v>3634.3</v>
      </c>
      <c r="I6407" s="32" t="n">
        <f aca="false">Sens!$I$6404-Sens!$H$6404</f>
        <v>3634.3</v>
      </c>
      <c r="J6407" s="32" t="n">
        <f aca="false">Sens!$J$6404-Sens!$I$6404</f>
        <v>3634.3</v>
      </c>
      <c r="K6407" s="32" t="n">
        <f aca="false">Sens!$K$6404-Sens!$J$6404</f>
        <v>2570.86716666667</v>
      </c>
      <c r="L6407" s="32" t="n">
        <f aca="false">Sens!$L$6404-Sens!$K$6404</f>
        <v>1507.43433333333</v>
      </c>
      <c r="M6407" s="32" t="n">
        <f aca="false">Sens!$M$6404-Sens!$L$6404</f>
        <v>444.001499999999</v>
      </c>
      <c r="N6407" s="32" t="n">
        <f aca="false">Sens!$N$6404-Sens!$C$6404</f>
        <v>540</v>
      </c>
      <c r="O6407" s="32" t="n">
        <f aca="false">Sens!$O$6404-Sens!$N$6404</f>
        <v>540</v>
      </c>
    </row>
    <row r="6408" customFormat="false" ht="17.15" hidden="false" customHeight="false" outlineLevel="0" collapsed="false">
      <c r="A6408" s="5" t="s">
        <v>599</v>
      </c>
      <c r="B6408" s="0" t="s">
        <v>129</v>
      </c>
      <c r="C6408" s="32" t="n">
        <f aca="false">Sens!$C$6407/ext_sh</f>
        <v>300</v>
      </c>
      <c r="D6408" s="32" t="n">
        <f aca="false">Sens!$D$6407/ext_sh</f>
        <v>1350</v>
      </c>
      <c r="E6408" s="32" t="n">
        <f aca="false">Sens!$E$6407/ext_sh</f>
        <v>800</v>
      </c>
      <c r="F6408" s="32" t="n">
        <f aca="false">Sens!$F$6407/ext_sh</f>
        <v>2271.4375</v>
      </c>
      <c r="G6408" s="32" t="n">
        <f aca="false">Sens!$G$6407/ext_sh</f>
        <v>3071.4375</v>
      </c>
      <c r="H6408" s="32" t="n">
        <f aca="false">Sens!$H$6407/ext_sh</f>
        <v>4542.875</v>
      </c>
      <c r="I6408" s="32" t="n">
        <f aca="false">Sens!$I$6407/ext_sh</f>
        <v>4542.875</v>
      </c>
      <c r="J6408" s="32" t="n">
        <f aca="false">Sens!$J$6407/ext_sh</f>
        <v>4542.875</v>
      </c>
      <c r="K6408" s="32" t="n">
        <f aca="false">Sens!$K$6407/ext_sh</f>
        <v>3213.58395833333</v>
      </c>
      <c r="L6408" s="32" t="n">
        <f aca="false">Sens!$L$6407/ext_sh</f>
        <v>1884.29291666667</v>
      </c>
      <c r="M6408" s="32" t="n">
        <f aca="false">Sens!$M$6407/ext_sh</f>
        <v>555.001874999998</v>
      </c>
      <c r="N6408" s="32" t="n">
        <f aca="false">Sens!$N$6407/ext_sh</f>
        <v>675</v>
      </c>
      <c r="O6408" s="32" t="n">
        <f aca="false">Sens!$O$6407/ext_sh</f>
        <v>675</v>
      </c>
      <c r="P6408" s="8" t="s">
        <v>600</v>
      </c>
      <c r="R6408" s="32" t="n">
        <f aca="false">mw_ye23/ext_sh</f>
        <v>150</v>
      </c>
      <c r="S6408" s="32" t="n">
        <f aca="false">Sens!$C$6408</f>
        <v>300</v>
      </c>
      <c r="T6408" s="32" t="n">
        <f aca="false">Sens!$D$6408</f>
        <v>1350</v>
      </c>
      <c r="U6408" s="32" t="n">
        <f aca="false">Sens!$G$6408</f>
        <v>3071.4375</v>
      </c>
      <c r="V6408" s="32" t="n">
        <f aca="false">Sens!$H$6408</f>
        <v>4542.875</v>
      </c>
      <c r="W6408" s="32" t="n">
        <f aca="false">Sens!$I$6408</f>
        <v>4542.875</v>
      </c>
      <c r="X6408" s="32" t="n">
        <f aca="false">Sens!$J$6408</f>
        <v>4542.875</v>
      </c>
      <c r="Y6408" s="32" t="n">
        <f aca="false">Sens!$K$6408</f>
        <v>3213.58395833333</v>
      </c>
      <c r="Z6408" s="32" t="n">
        <f aca="false">Sens!$L$6408</f>
        <v>1884.29291666667</v>
      </c>
      <c r="AA6408" s="32" t="n">
        <f aca="false">Sens!$M$6408</f>
        <v>555.001874999998</v>
      </c>
    </row>
    <row r="6409" customFormat="false" ht="17.15" hidden="false" customHeight="false" outlineLevel="0" collapsed="false">
      <c r="A6409" s="1" t="s">
        <v>601</v>
      </c>
    </row>
    <row r="6410" customFormat="false" ht="17.15" hidden="false" customHeight="false" outlineLevel="0" collapsed="false">
      <c r="A6410" s="0" t="s">
        <v>602</v>
      </c>
      <c r="B6410" s="0" t="s">
        <v>52</v>
      </c>
      <c r="F6410" s="35" t="n">
        <f aca="false">na_vr26</f>
        <v>0</v>
      </c>
      <c r="G6410" s="35" t="n">
        <f aca="false">na_vr26</f>
        <v>0</v>
      </c>
      <c r="H6410" s="35" t="n">
        <f aca="false">na_vr27</f>
        <v>0.5</v>
      </c>
      <c r="I6410" s="35" t="n">
        <f aca="false">na_vr28</f>
        <v>1</v>
      </c>
      <c r="J6410" s="35" t="n">
        <f aca="false">na_vr28</f>
        <v>1</v>
      </c>
      <c r="K6410" s="35" t="n">
        <f aca="false">na_vr28</f>
        <v>1</v>
      </c>
      <c r="L6410" s="35" t="n">
        <f aca="false">na_vr28</f>
        <v>1</v>
      </c>
      <c r="M6410" s="35" t="n">
        <f aca="false">na_vr28</f>
        <v>1</v>
      </c>
    </row>
    <row r="6411" customFormat="false" ht="17.15" hidden="false" customHeight="false" outlineLevel="0" collapsed="false">
      <c r="A6411" s="5" t="s">
        <v>603</v>
      </c>
      <c r="B6411" s="0" t="s">
        <v>173</v>
      </c>
      <c r="F6411" s="36" t="n">
        <f aca="false">cust_sh*tk_he_gb300*cf_chip+(1-cust_sh)*((1-Sens!$F$6410)*tk_he_gb300+Sens!$F$6410*tk_he_vr200)</f>
        <v>10.8864110021101</v>
      </c>
      <c r="G6411" s="36" t="n">
        <f aca="false">cust_sh*tk_he_gb300*cf_chip+(1-cust_sh)*((1-Sens!$G$6410)*tk_he_gb300+Sens!$G$6410*tk_he_vr200)</f>
        <v>10.8864110021101</v>
      </c>
      <c r="H6411" s="36" t="n">
        <f aca="false">cust_sh*tk_he_gb300*cf_chip+(1-cust_sh)*((1-Sens!$H$6410)*tk_he_gb300+Sens!$H$6410*tk_he_vr200)</f>
        <v>11.2211760027286</v>
      </c>
      <c r="I6411" s="36" t="n">
        <f aca="false">cust_sh*tk_he_gb300*cf_chip+(1-cust_sh)*((1-Sens!$I$6410)*tk_he_gb300+Sens!$I$6410*tk_he_vr200)</f>
        <v>11.5559410033471</v>
      </c>
      <c r="J6411" s="36" t="n">
        <f aca="false">cust_sh*tk_he_gb300*cf_chip+(1-cust_sh)*((1-Sens!$J$6410)*tk_he_gb300+Sens!$J$6410*tk_he_vr200)</f>
        <v>11.5559410033471</v>
      </c>
      <c r="K6411" s="36" t="n">
        <f aca="false">cust_sh*tk_he_gb300*cf_chip+(1-cust_sh)*((1-Sens!$K$6410)*tk_he_gb300+Sens!$K$6410*tk_he_vr200)</f>
        <v>11.5559410033471</v>
      </c>
      <c r="L6411" s="36" t="n">
        <f aca="false">cust_sh*tk_he_gb300*cf_chip+(1-cust_sh)*((1-Sens!$L$6410)*tk_he_gb300+Sens!$L$6410*tk_he_vr200)</f>
        <v>11.5559410033471</v>
      </c>
      <c r="M6411" s="36" t="n">
        <f aca="false">cust_sh*tk_he_gb300*cf_chip+(1-cust_sh)*((1-Sens!$M$6410)*tk_he_gb300+Sens!$M$6410*tk_he_vr200)</f>
        <v>11.5559410033471</v>
      </c>
    </row>
    <row r="6412" customFormat="false" ht="17.15" hidden="false" customHeight="false" outlineLevel="0" collapsed="false">
      <c r="A6412" s="5" t="s">
        <v>604</v>
      </c>
      <c r="B6412" s="0" t="s">
        <v>173</v>
      </c>
      <c r="F6412" s="36" t="n">
        <f aca="false">cust_sh*tk_ox_gb300+(1-cust_sh)*((1-Sens!$F$6410)*tk_ox_gb300+Sens!$F$6410*tk_ox_vr200)</f>
        <v>1.98263481314457</v>
      </c>
      <c r="G6412" s="36" t="n">
        <f aca="false">cust_sh*tk_ox_gb300+(1-cust_sh)*((1-Sens!$G$6410)*tk_ox_gb300+Sens!$G$6410*tk_ox_vr200)</f>
        <v>1.98263481314457</v>
      </c>
      <c r="H6412" s="36" t="n">
        <f aca="false">cust_sh*tk_ox_gb300+(1-cust_sh)*((1-Sens!$H$6410)*tk_ox_gb300+Sens!$H$6410*tk_ox_vr200)</f>
        <v>2.01034999693694</v>
      </c>
      <c r="I6412" s="36" t="n">
        <f aca="false">cust_sh*tk_ox_gb300+(1-cust_sh)*((1-Sens!$I$6410)*tk_ox_gb300+Sens!$I$6410*tk_ox_vr200)</f>
        <v>2.0380651807293</v>
      </c>
      <c r="J6412" s="36" t="n">
        <f aca="false">cust_sh*tk_ox_gb300+(1-cust_sh)*((1-Sens!$J$6410)*tk_ox_gb300+Sens!$J$6410*tk_ox_vr200)</f>
        <v>2.0380651807293</v>
      </c>
      <c r="K6412" s="36" t="n">
        <f aca="false">cust_sh*tk_ox_gb300+(1-cust_sh)*((1-Sens!$K$6410)*tk_ox_gb300+Sens!$K$6410*tk_ox_vr200)</f>
        <v>2.0380651807293</v>
      </c>
      <c r="L6412" s="36" t="n">
        <f aca="false">cust_sh*tk_ox_gb300+(1-cust_sh)*((1-Sens!$L$6410)*tk_ox_gb300+Sens!$L$6410*tk_ox_vr200)</f>
        <v>2.0380651807293</v>
      </c>
      <c r="M6412" s="36" t="n">
        <f aca="false">cust_sh*tk_ox_gb300+(1-cust_sh)*((1-Sens!$M$6410)*tk_ox_gb300+Sens!$M$6410*tk_ox_vr200)</f>
        <v>2.0380651807293</v>
      </c>
    </row>
    <row r="6413" customFormat="false" ht="17.15" hidden="false" customHeight="false" outlineLevel="0" collapsed="false">
      <c r="A6413" s="5" t="s">
        <v>605</v>
      </c>
      <c r="B6413" s="0" t="s">
        <v>192</v>
      </c>
      <c r="F6413" s="36" t="n">
        <f aca="false">cust_sh*tk_cx_gb300*cf_cx+(1-cust_sh)*((1-Sens!$F$6410)*tk_cx_gb300+Sens!$F$6410*tk_cx_vr200)</f>
        <v>32.237224</v>
      </c>
      <c r="G6413" s="36" t="n">
        <f aca="false">cust_sh*tk_cx_gb300*cf_cx+(1-cust_sh)*((1-Sens!$G$6410)*tk_cx_gb300+Sens!$G$6410*tk_cx_vr200)</f>
        <v>32.237224</v>
      </c>
      <c r="H6413" s="36" t="n">
        <f aca="false">cust_sh*tk_cx_gb300*cf_cx+(1-cust_sh)*((1-Sens!$H$6410)*tk_cx_gb300+Sens!$H$6410*tk_cx_vr200)</f>
        <v>33.574506</v>
      </c>
      <c r="I6413" s="36" t="n">
        <f aca="false">cust_sh*tk_cx_gb300*cf_cx+(1-cust_sh)*((1-Sens!$I$6410)*tk_cx_gb300+Sens!$I$6410*tk_cx_vr200)</f>
        <v>34.911788</v>
      </c>
      <c r="J6413" s="36" t="n">
        <f aca="false">cust_sh*tk_cx_gb300*cf_cx+(1-cust_sh)*((1-Sens!$J$6410)*tk_cx_gb300+Sens!$J$6410*tk_cx_vr200)</f>
        <v>34.911788</v>
      </c>
      <c r="K6413" s="36" t="n">
        <f aca="false">cust_sh*tk_cx_gb300*cf_cx+(1-cust_sh)*((1-Sens!$K$6410)*tk_cx_gb300+Sens!$K$6410*tk_cx_vr200)</f>
        <v>34.911788</v>
      </c>
      <c r="L6413" s="36" t="n">
        <f aca="false">cust_sh*tk_cx_gb300*cf_cx+(1-cust_sh)*((1-Sens!$L$6410)*tk_cx_gb300+Sens!$L$6410*tk_cx_vr200)</f>
        <v>34.911788</v>
      </c>
      <c r="M6413" s="36" t="n">
        <f aca="false">cust_sh*tk_cx_gb300*cf_cx+(1-cust_sh)*((1-Sens!$M$6410)*tk_cx_gb300+Sens!$M$6410*tk_cx_vr200)</f>
        <v>34.911788</v>
      </c>
    </row>
    <row r="6414" customFormat="false" ht="17.15" hidden="false" customHeight="false" outlineLevel="0" collapsed="false">
      <c r="A6414" s="5" t="s">
        <v>606</v>
      </c>
      <c r="B6414" s="0" t="s">
        <v>129</v>
      </c>
      <c r="F6414" s="32" t="n">
        <f aca="false">Sens!$F$6404-mw_open</f>
        <v>1817.15</v>
      </c>
      <c r="G6414" s="32" t="n">
        <f aca="false">Sens!$F$6414</f>
        <v>1817.15</v>
      </c>
      <c r="H6414" s="32" t="n">
        <f aca="false">Sens!$H$6404-mw_open</f>
        <v>5451.45</v>
      </c>
      <c r="I6414" s="32" t="n">
        <f aca="false">Sens!$I$6404-mw_open</f>
        <v>9085.75</v>
      </c>
      <c r="J6414" s="32" t="n">
        <f aca="false">Sens!$J$6404-mw_open</f>
        <v>12720.05</v>
      </c>
      <c r="K6414" s="32" t="n">
        <f aca="false">Sens!$K$6404-mw_open</f>
        <v>15290.9171666667</v>
      </c>
      <c r="L6414" s="32" t="n">
        <f aca="false">Sens!$L$6404-mw_open</f>
        <v>16798.3515</v>
      </c>
      <c r="M6414" s="32" t="n">
        <f aca="false">Sens!$M$6404-mw_open</f>
        <v>17242.353</v>
      </c>
    </row>
    <row r="6415" customFormat="false" ht="17.15" hidden="false" customHeight="false" outlineLevel="0" collapsed="false">
      <c r="A6415" s="0" t="s">
        <v>607</v>
      </c>
      <c r="B6415" s="0" t="s">
        <v>608</v>
      </c>
      <c r="F6415" s="32" t="n">
        <f aca="false">Sens!$F$6407*Sens!$F$6411</f>
        <v>19782.2417524844</v>
      </c>
      <c r="G6415" s="32" t="n">
        <f aca="false">Sens!$F$6415</f>
        <v>19782.2417524844</v>
      </c>
      <c r="H6415" s="32" t="n">
        <f aca="false">Sens!$G$6415+Sens!$H$6407*Sens!$H$6411</f>
        <v>60563.3616992009</v>
      </c>
      <c r="I6415" s="32" t="n">
        <f aca="false">Sens!$H$6415+Sens!$I$6407*Sens!$I$6411</f>
        <v>102561.118087665</v>
      </c>
      <c r="J6415" s="32" t="n">
        <f aca="false">Sens!$I$6415+Sens!$J$6407*Sens!$J$6411</f>
        <v>144558.87447613</v>
      </c>
      <c r="K6415" s="32" t="n">
        <f aca="false">Sens!$J$6415+Sens!$K$6407*Sens!$K$6411</f>
        <v>174267.663781572</v>
      </c>
      <c r="L6415" s="32" t="n">
        <f aca="false">Sens!$K$6415+Sens!$L$6407*Sens!$L$6411</f>
        <v>191687.486003992</v>
      </c>
      <c r="M6415" s="32" t="n">
        <f aca="false">Sens!$L$6415+Sens!$M$6407*Sens!$M$6411</f>
        <v>196818.341143389</v>
      </c>
    </row>
    <row r="6416" customFormat="false" ht="17.15" hidden="false" customHeight="false" outlineLevel="0" collapsed="false">
      <c r="A6416" s="0" t="s">
        <v>609</v>
      </c>
      <c r="B6416" s="0" t="s">
        <v>608</v>
      </c>
      <c r="F6416" s="32" t="n">
        <f aca="false">Sens!$F$6407*Sens!$F$6412</f>
        <v>3602.74485070566</v>
      </c>
      <c r="G6416" s="32" t="n">
        <f aca="false">Sens!$F$6416</f>
        <v>3602.74485070566</v>
      </c>
      <c r="H6416" s="32" t="n">
        <f aca="false">Sens!$G$6416+Sens!$H$6407*Sens!$H$6412</f>
        <v>10908.9598445736</v>
      </c>
      <c r="I6416" s="32" t="n">
        <f aca="false">Sens!$H$6416+Sens!$I$6407*Sens!$I$6412</f>
        <v>18315.9001308981</v>
      </c>
      <c r="J6416" s="32" t="n">
        <f aca="false">Sens!$I$6416+Sens!$J$6407*Sens!$J$6412</f>
        <v>25722.8404172225</v>
      </c>
      <c r="K6416" s="32" t="n">
        <f aca="false">Sens!$J$6416+Sens!$K$6407*Sens!$K$6412</f>
        <v>30962.4352738861</v>
      </c>
      <c r="L6416" s="32" t="n">
        <f aca="false">Sens!$K$6416+Sens!$L$6407*Sens!$L$6412</f>
        <v>34034.6847008886</v>
      </c>
      <c r="M6416" s="32" t="n">
        <f aca="false">Sens!$L$6416+Sens!$M$6407*Sens!$M$6412</f>
        <v>34939.5886982302</v>
      </c>
    </row>
    <row r="6417" customFormat="false" ht="17.15" hidden="false" customHeight="false" outlineLevel="0" collapsed="false">
      <c r="A6417" s="5" t="s">
        <v>610</v>
      </c>
      <c r="B6417" s="0" t="s">
        <v>173</v>
      </c>
      <c r="F6417" s="36" t="n">
        <f aca="false">IF(Sens!$F$6414&gt;0,Sens!$F$6415/Sens!$F$6414,Sens!$F$6411)</f>
        <v>10.8864110021101</v>
      </c>
      <c r="G6417" s="36" t="n">
        <f aca="false">IF(Sens!$G$6414&gt;0,Sens!$G$6415/Sens!$G$6414,Sens!$G$6411)</f>
        <v>10.8864110021101</v>
      </c>
      <c r="H6417" s="36" t="n">
        <f aca="false">IF(Sens!$H$6414&gt;0,Sens!$H$6415/Sens!$H$6414,Sens!$H$6411)</f>
        <v>11.1095876691891</v>
      </c>
      <c r="I6417" s="36" t="n">
        <f aca="false">IF(Sens!$I$6414&gt;0,Sens!$I$6415/Sens!$I$6414,Sens!$I$6411)</f>
        <v>11.2881290028523</v>
      </c>
      <c r="J6417" s="36" t="n">
        <f aca="false">IF(Sens!$J$6414&gt;0,Sens!$J$6415/Sens!$J$6414,Sens!$J$6411)</f>
        <v>11.3646467172794</v>
      </c>
      <c r="K6417" s="36" t="n">
        <f aca="false">IF(Sens!$K$6414&gt;0,Sens!$K$6415/Sens!$K$6414,Sens!$K$6411)</f>
        <v>11.3968090914432</v>
      </c>
      <c r="L6417" s="36" t="n">
        <f aca="false">IF(Sens!$L$6414&gt;0,Sens!$L$6415/Sens!$L$6414,Sens!$L$6411)</f>
        <v>11.4110891181192</v>
      </c>
      <c r="M6417" s="36" t="n">
        <f aca="false">IF(Sens!$M$6414&gt;0,Sens!$M$6415/Sens!$M$6414,Sens!$M$6411)</f>
        <v>11.4148191458201</v>
      </c>
    </row>
    <row r="6418" customFormat="false" ht="17.15" hidden="false" customHeight="false" outlineLevel="0" collapsed="false">
      <c r="A6418" s="5" t="s">
        <v>611</v>
      </c>
      <c r="B6418" s="0" t="s">
        <v>173</v>
      </c>
      <c r="F6418" s="36" t="n">
        <f aca="false">IF(Sens!$F$6414&gt;0,Sens!$F$6416/Sens!$F$6414,Sens!$F$6412)</f>
        <v>1.98263481314457</v>
      </c>
      <c r="G6418" s="36" t="n">
        <f aca="false">IF(Sens!$G$6414&gt;0,Sens!$G$6416/Sens!$G$6414,Sens!$G$6412)</f>
        <v>1.98263481314457</v>
      </c>
      <c r="H6418" s="36" t="n">
        <f aca="false">IF(Sens!$H$6414&gt;0,Sens!$H$6416/Sens!$H$6414,Sens!$H$6412)</f>
        <v>2.00111160233948</v>
      </c>
      <c r="I6418" s="36" t="n">
        <f aca="false">IF(Sens!$I$6414&gt;0,Sens!$I$6416/Sens!$I$6414,Sens!$I$6412)</f>
        <v>2.01589303369541</v>
      </c>
      <c r="J6418" s="36" t="n">
        <f aca="false">IF(Sens!$J$6414&gt;0,Sens!$J$6416/Sens!$J$6414,Sens!$J$6412)</f>
        <v>2.02222793284795</v>
      </c>
      <c r="K6418" s="36" t="n">
        <f aca="false">IF(Sens!$K$6414&gt;0,Sens!$K$6416/Sens!$K$6414,Sens!$K$6412)</f>
        <v>2.02489065478573</v>
      </c>
      <c r="L6418" s="36" t="n">
        <f aca="false">IF(Sens!$L$6414&gt;0,Sens!$L$6416/Sens!$L$6414,Sens!$L$6412)</f>
        <v>2.0260728977417</v>
      </c>
      <c r="M6418" s="36" t="n">
        <f aca="false">IF(Sens!$M$6414&gt;0,Sens!$M$6416/Sens!$M$6414,Sens!$M$6412)</f>
        <v>2.02638170661685</v>
      </c>
    </row>
    <row r="6419" customFormat="false" ht="17.15" hidden="false" customHeight="false" outlineLevel="0" collapsed="false">
      <c r="A6419" s="15" t="s">
        <v>612</v>
      </c>
      <c r="B6419" s="14" t="s">
        <v>173</v>
      </c>
      <c r="C6419" s="14"/>
      <c r="D6419" s="14"/>
      <c r="E6419" s="14"/>
      <c r="F6419" s="37" t="n">
        <f aca="false">Sens!$F$6417*k_B</f>
        <v>10.7987645808025</v>
      </c>
      <c r="G6419" s="37" t="n">
        <f aca="false">Sens!$G$6417*k_B</f>
        <v>10.7987645808025</v>
      </c>
      <c r="H6419" s="37" t="n">
        <f aca="false">Sens!$H$6417*k_B</f>
        <v>11.0201444540452</v>
      </c>
      <c r="I6419" s="37" t="n">
        <f aca="false">Sens!$I$6417*k_B</f>
        <v>11.1972483526393</v>
      </c>
      <c r="J6419" s="37" t="n">
        <f aca="false">Sens!$J$6417*k_B</f>
        <v>11.2731500234653</v>
      </c>
      <c r="K6419" s="37" t="n">
        <f aca="false">Sens!$K$6417*k_B</f>
        <v>11.3050534585724</v>
      </c>
      <c r="L6419" s="37" t="n">
        <f aca="false">Sens!$L$6417*k_B</f>
        <v>11.3192185168503</v>
      </c>
      <c r="M6419" s="37" t="n">
        <f aca="false">Sens!$M$6417*k_B</f>
        <v>11.3229185141234</v>
      </c>
      <c r="N6419" s="14"/>
      <c r="O6419" s="14"/>
      <c r="P6419" s="5" t="s">
        <v>613</v>
      </c>
    </row>
    <row r="6420" customFormat="false" ht="17.15" hidden="false" customHeight="false" outlineLevel="0" collapsed="false">
      <c r="A6420" s="5" t="s">
        <v>614</v>
      </c>
      <c r="B6420" s="0" t="s">
        <v>129</v>
      </c>
      <c r="F6420" s="32" t="n">
        <f aca="false">Sens!$F$6414/2</f>
        <v>908.575</v>
      </c>
      <c r="H6420" s="32" t="n">
        <f aca="false">(Sens!$G$6414+Sens!$H$6414)/2</f>
        <v>3634.3</v>
      </c>
      <c r="I6420" s="32" t="n">
        <f aca="false">(Sens!$H$6414+Sens!$I$6414)/2</f>
        <v>7268.6</v>
      </c>
      <c r="J6420" s="32" t="n">
        <f aca="false">(Sens!$I$6414+Sens!$J$6414)/2</f>
        <v>10902.9</v>
      </c>
      <c r="K6420" s="32" t="n">
        <f aca="false">(Sens!$J$6414+Sens!$K$6414)/2</f>
        <v>14005.4835833333</v>
      </c>
      <c r="L6420" s="32" t="n">
        <f aca="false">(Sens!$K$6414+Sens!$L$6414)/2</f>
        <v>16044.6343333333</v>
      </c>
      <c r="M6420" s="32" t="n">
        <f aca="false">(Sens!$L$6414+Sens!$M$6414)/2</f>
        <v>17020.35225</v>
      </c>
    </row>
    <row r="6421" customFormat="false" ht="17.15" hidden="false" customHeight="false" outlineLevel="0" collapsed="false">
      <c r="A6421" s="1" t="s">
        <v>615</v>
      </c>
    </row>
    <row r="6422" customFormat="false" ht="17.15" hidden="false" customHeight="false" outlineLevel="0" collapsed="false">
      <c r="A6422" s="1" t="s">
        <v>616</v>
      </c>
      <c r="B6422" s="8" t="s">
        <v>86</v>
      </c>
      <c r="C6422" s="38" t="n">
        <f aca="false">Sens!$C$6405*rpm_open*Sens!$C$6406/1000</f>
        <v>2.32100535697364</v>
      </c>
      <c r="D6422" s="38" t="n">
        <f aca="false">Sens!$D$6405*rpm_open*Sens!$D$6406/1000</f>
        <v>8.70377008865116</v>
      </c>
      <c r="E6422" s="38" t="n">
        <f aca="false">Sens!$E$6405*rpm_open*Sens!$E$6406/1000</f>
        <v>8.51035297557002</v>
      </c>
      <c r="F6422" s="38" t="n">
        <f aca="false">(mw_open*rpm_open+Sens!$F$6420*Sens!$F$6419)*Sens!$F$6406/1000</f>
        <v>14.9634336447205</v>
      </c>
      <c r="G6422" s="38" t="n">
        <f aca="false">Sens!$E$6422+Sens!$F$6422</f>
        <v>23.4737866202905</v>
      </c>
      <c r="H6422" s="38" t="n">
        <f aca="false">(mw_open*rpm_open+Sens!$H$6420*Sens!$H$6419)/1000</f>
        <v>60.1658907497746</v>
      </c>
      <c r="I6422" s="38" t="n">
        <f aca="false">(mw_open*rpm_open+Sens!$I$6420*Sens!$I$6419)/1000</f>
        <v>101.503699136432</v>
      </c>
      <c r="J6422" s="38" t="n">
        <f aca="false">(mw_open*rpm_open+Sens!$J$6420*Sens!$J$6419)/1000</f>
        <v>143.025407151278</v>
      </c>
      <c r="K6422" s="38" t="n">
        <f aca="false">(mw_open*rpm_open+Sens!$K$6420*Sens!$K$6419)/1000</f>
        <v>178.44812038318</v>
      </c>
      <c r="L6422" s="38" t="n">
        <f aca="false">(mw_open*rpm_open+Sens!$L$6420*Sens!$L$6419)/1000</f>
        <v>201.728101802396</v>
      </c>
      <c r="M6422" s="38" t="n">
        <f aca="false">(mw_open*rpm_open+Sens!$M$6420*Sens!$M$6419)/1000</f>
        <v>212.835441368865</v>
      </c>
      <c r="N6422" s="38" t="n">
        <f aca="false">Sens!$N$6405*rpm_open*Sens!$N$6406/1000</f>
        <v>3.04631953102791</v>
      </c>
      <c r="O6422" s="38" t="n">
        <f aca="false">Sens!$O$6405*rpm_open*Sens!$O$6406/1000</f>
        <v>5.65745055762326</v>
      </c>
      <c r="P6422" s="5" t="s">
        <v>617</v>
      </c>
    </row>
    <row r="6423" customFormat="false" ht="17.15" hidden="false" customHeight="false" outlineLevel="0" collapsed="false">
      <c r="A6423" s="5" t="s">
        <v>618</v>
      </c>
      <c r="B6423" s="0" t="s">
        <v>173</v>
      </c>
      <c r="C6423" s="36" t="n">
        <f aca="false">Sens!$C$6422*1000/(Sens!$C$6405*Sens!$C$6406)</f>
        <v>9.67085565405685</v>
      </c>
      <c r="D6423" s="36" t="n">
        <f aca="false">Sens!$D$6422*1000/(Sens!$D$6405*Sens!$D$6406)</f>
        <v>9.67085565405685</v>
      </c>
      <c r="E6423" s="36" t="n">
        <f aca="false">Sens!$E$6422*1000/(Sens!$E$6405*Sens!$E$6406)</f>
        <v>9.67085565405685</v>
      </c>
      <c r="F6423" s="36" t="n">
        <f aca="false">Sens!$F$6422*1000/(Sens!$F$6405*Sens!$F$6406)</f>
        <v>10.0137581588017</v>
      </c>
      <c r="G6423" s="36" t="n">
        <f aca="false">Sens!$G$6422*1000/(Sens!$G$6405*Sens!$G$6406)</f>
        <v>9.88666562928478</v>
      </c>
      <c r="H6423" s="36" t="n">
        <f aca="false">Sens!$H$6422*1000/(Sens!$H$6405*Sens!$H$6406)</f>
        <v>10.5290045586992</v>
      </c>
      <c r="I6423" s="36" t="n">
        <f aca="false">Sens!$I$6422*1000/(Sens!$I$6405*Sens!$I$6406)</f>
        <v>10.8576363451674</v>
      </c>
      <c r="J6423" s="36" t="n">
        <f aca="false">Sens!$J$6422*1000/(Sens!$J$6405*Sens!$J$6406)</f>
        <v>11.0164452588619</v>
      </c>
      <c r="K6423" s="36" t="n">
        <f aca="false">Sens!$K$6422*1000/(Sens!$K$6405*Sens!$K$6406)</f>
        <v>11.0937367508227</v>
      </c>
      <c r="L6423" s="36" t="n">
        <f aca="false">Sens!$L$6422*1000/(Sens!$L$6405*Sens!$L$6406)</f>
        <v>11.1300508519168</v>
      </c>
      <c r="M6423" s="36" t="n">
        <f aca="false">Sens!$M$6422*1000/(Sens!$M$6405*Sens!$M$6406)</f>
        <v>11.1430113216297</v>
      </c>
      <c r="N6423" s="36" t="n">
        <f aca="false">Sens!$N$6422*1000/(Sens!$N$6405*Sens!$N$6406)</f>
        <v>9.67085565405685</v>
      </c>
      <c r="O6423" s="36" t="n">
        <f aca="false">Sens!$O$6422*1000/(Sens!$O$6405*Sens!$O$6406)</f>
        <v>9.67085565405685</v>
      </c>
    </row>
    <row r="6424" customFormat="false" ht="17.15" hidden="false" customHeight="false" outlineLevel="0" collapsed="false">
      <c r="A6424" s="0" t="s">
        <v>619</v>
      </c>
      <c r="B6424" s="0" t="s">
        <v>86</v>
      </c>
      <c r="C6424" s="38" t="n">
        <f aca="false">Sens!$C$6405/ext_sh*(ox_open+rent_mw)*Sens!$C$6406/1000</f>
        <v>0.642569210675032</v>
      </c>
      <c r="D6424" s="38" t="n">
        <f aca="false">Sens!$D$6405/ext_sh*(ox_open+rent_mw)*Sens!$D$6406/1000</f>
        <v>2.40963454003137</v>
      </c>
      <c r="E6424" s="38" t="n">
        <f aca="false">Sens!$E$6405/ext_sh*(ox_open+rent_mw)*Sens!$E$6406/1000</f>
        <v>2.35608710580845</v>
      </c>
      <c r="F6424" s="38" t="n">
        <f aca="false">((mw_open*ox_open+Sens!$F$6420*Sens!$F$6418)/ext_sh+Sens!$F$6405/ext_sh*rent_mw)*Sens!$F$6406/1000</f>
        <v>4.05421991106232</v>
      </c>
      <c r="G6424" s="38" t="n">
        <f aca="false">Sens!$E$6424+Sens!$F$6424</f>
        <v>6.41030701687077</v>
      </c>
      <c r="H6424" s="38" t="n">
        <f aca="false">((mw_open*ox_open+Sens!$H$6420*Sens!$H$6418)/ext_sh+Sens!$H$6405/ext_sh*rent_mw)*Sens!$H$6406/1000</f>
        <v>15.8108975546616</v>
      </c>
      <c r="I6424" s="38" t="n">
        <f aca="false">((mw_open*ox_open+Sens!$I$6420*Sens!$I$6418)/ext_sh+Sens!$I$6405/ext_sh*rent_mw)*Sens!$I$6406/1000</f>
        <v>26.1871623400817</v>
      </c>
      <c r="J6424" s="38" t="n">
        <f aca="false">((mw_open*ox_open+Sens!$J$6420*Sens!$J$6418)/ext_sh+Sens!$J$6405/ext_sh*rent_mw)*Sens!$J$6406/1000</f>
        <v>36.5826128954935</v>
      </c>
      <c r="K6424" s="38" t="n">
        <f aca="false">((mw_open*ox_open+Sens!$K$6420*Sens!$K$6418)/ext_sh+Sens!$K$6405/ext_sh*rent_mw)*Sens!$K$6406/1000</f>
        <v>45.4546361137628</v>
      </c>
      <c r="L6424" s="38" t="n">
        <f aca="false">((mw_open*ox_open+Sens!$L$6420*Sens!$L$6418)/ext_sh+Sens!$L$6405/ext_sh*rent_mw)*Sens!$L$6406/1000</f>
        <v>51.2855695554452</v>
      </c>
      <c r="M6424" s="38" t="n">
        <f aca="false">((mw_open*ox_open+Sens!$M$6420*Sens!$M$6418)/ext_sh+Sens!$M$6405/ext_sh*rent_mw)*Sens!$M$6406/1000</f>
        <v>54.0722927838398</v>
      </c>
      <c r="N6424" s="38" t="n">
        <f aca="false">Sens!$N$6405/ext_sh*(ox_open+rent_mw)*Sens!$N$6406/1000</f>
        <v>0.84337208901098</v>
      </c>
      <c r="O6424" s="38" t="n">
        <f aca="false">Sens!$O$6405/ext_sh*(ox_open+rent_mw)*Sens!$O$6406/1000</f>
        <v>1.56626245102039</v>
      </c>
    </row>
    <row r="6425" customFormat="false" ht="17.15" hidden="false" customHeight="false" outlineLevel="0" collapsed="false">
      <c r="A6425" s="0" t="s">
        <v>620</v>
      </c>
      <c r="B6425" s="0" t="s">
        <v>86</v>
      </c>
      <c r="C6425" s="38" t="n">
        <f aca="false">Q!$D$7</f>
        <v>107.556</v>
      </c>
      <c r="D6425" s="38" t="n">
        <f aca="false">Q!$E$7</f>
        <v>128.725</v>
      </c>
      <c r="E6425" s="38" t="n">
        <f aca="false">Q!$P$7</f>
        <v>79.819</v>
      </c>
      <c r="N6425" s="38" t="n">
        <f aca="false">Q!$N$7</f>
        <v>60.14</v>
      </c>
      <c r="O6425" s="38" t="n">
        <f aca="false">Q!$O$7</f>
        <v>68.585</v>
      </c>
    </row>
    <row r="6426" customFormat="false" ht="17.15" hidden="false" customHeight="false" outlineLevel="0" collapsed="false">
      <c r="A6426" s="1" t="s">
        <v>621</v>
      </c>
      <c r="B6426" s="8" t="s">
        <v>86</v>
      </c>
      <c r="C6426" s="38" t="n">
        <f aca="false">Sens!$C$6425-Sens!$C$6422</f>
        <v>105.234994643026</v>
      </c>
      <c r="D6426" s="38" t="n">
        <f aca="false">Sens!$D$6425-Sens!$D$6422</f>
        <v>120.021229911349</v>
      </c>
      <c r="E6426" s="38" t="n">
        <f aca="false">Sens!$E$6425-Sens!$E$6422</f>
        <v>71.30864702443</v>
      </c>
      <c r="F6426" s="38" t="n">
        <f aca="false">Sens!$O$6426*(1+Sens!$F$6427)</f>
        <v>71.7692997942464</v>
      </c>
      <c r="G6426" s="38" t="n">
        <f aca="false">Sens!$E$6426+Sens!$F$6426</f>
        <v>143.077946818676</v>
      </c>
      <c r="H6426" s="38" t="n">
        <f aca="false">Sens!$G$6426*(1+Sens!$H$6427)</f>
        <v>161.017077079203</v>
      </c>
      <c r="I6426" s="38" t="n">
        <f aca="false">Sens!$H$6426*(1+Sens!$I$6427)</f>
        <v>178.769759521457</v>
      </c>
      <c r="J6426" s="38" t="n">
        <f aca="false">Sens!$I$6426*(1+Sens!$J$6427)</f>
        <v>195.775538045907</v>
      </c>
      <c r="K6426" s="38" t="n">
        <f aca="false">Sens!$J$6426*(1+Sens!$K$6427)</f>
        <v>211.43758108958</v>
      </c>
      <c r="L6426" s="38" t="n">
        <f aca="false">Sens!$K$6426*(1+Sens!$L$6427)</f>
        <v>228.352587576746</v>
      </c>
      <c r="M6426" s="38" t="n">
        <f aca="false">Sens!$L$6426*(1+Sens!$M$6427)</f>
        <v>246.620794582886</v>
      </c>
      <c r="N6426" s="38" t="n">
        <f aca="false">Sens!$N$6425-Sens!$N$6422</f>
        <v>57.0936804689721</v>
      </c>
      <c r="O6426" s="38" t="n">
        <f aca="false">Sens!$O$6425-Sens!$O$6422</f>
        <v>62.9275494423768</v>
      </c>
      <c r="P6426" s="5" t="s">
        <v>622</v>
      </c>
    </row>
    <row r="6427" customFormat="false" ht="17.15" hidden="false" customHeight="false" outlineLevel="0" collapsed="false">
      <c r="A6427" s="0" t="s">
        <v>623</v>
      </c>
      <c r="B6427" s="0" t="s">
        <v>52</v>
      </c>
      <c r="D6427" s="13" t="n">
        <f aca="false">Sens!$D$6426/Sens!$C$6426-1</f>
        <v>0.140506827776062</v>
      </c>
      <c r="E6427" s="13" t="n">
        <f aca="false">Sens!$E$6426/Sens!$N$6426-1</f>
        <v>0.248976181579029</v>
      </c>
      <c r="F6427" s="13" t="n">
        <f aca="false">Sens!$D$6427</f>
        <v>0.140506827776062</v>
      </c>
      <c r="G6427" s="13" t="n">
        <f aca="false">Sens!$G$6426/Sens!$D$6426-1</f>
        <v>0.19210532106993</v>
      </c>
      <c r="H6427" s="13" t="n">
        <f aca="false">Sens!$F$6427+(g_awso_lt-Sens!$F$6427)*1/4</f>
        <v>0.125380120832046</v>
      </c>
      <c r="I6427" s="13" t="n">
        <f aca="false">Sens!$F$6427+(g_awso_lt-Sens!$F$6427)*2/4</f>
        <v>0.110253413888031</v>
      </c>
      <c r="J6427" s="13" t="n">
        <f aca="false">Sens!$F$6427+(g_awso_lt-Sens!$F$6427)*3/4</f>
        <v>0.0951267069440154</v>
      </c>
      <c r="K6427" s="13" t="n">
        <f aca="false">Sens!$F$6427+(g_awso_lt-Sens!$F$6427)*4/4</f>
        <v>0.08</v>
      </c>
      <c r="L6427" s="13" t="n">
        <f aca="false">g_awso_lt</f>
        <v>0.08</v>
      </c>
      <c r="M6427" s="13" t="n">
        <f aca="false">g_awso_lt</f>
        <v>0.08</v>
      </c>
      <c r="P6427" s="5" t="s">
        <v>624</v>
      </c>
    </row>
    <row r="6428" customFormat="false" ht="17.15" hidden="false" customHeight="false" outlineLevel="0" collapsed="false">
      <c r="A6428" s="1" t="s">
        <v>625</v>
      </c>
    </row>
    <row r="6429" customFormat="false" ht="17.15" hidden="false" customHeight="false" outlineLevel="0" collapsed="false">
      <c r="A6429" s="0" t="s">
        <v>626</v>
      </c>
      <c r="B6429" s="0" t="s">
        <v>86</v>
      </c>
      <c r="F6429" s="38" t="n">
        <f aca="false">cx_rt*Sens!$F$6394+cx_awso*Sens!$F$6426</f>
        <v>34.9734495387866</v>
      </c>
    </row>
    <row r="6430" customFormat="false" ht="17.15" hidden="false" customHeight="false" outlineLevel="0" collapsed="false">
      <c r="A6430" s="0" t="s">
        <v>627</v>
      </c>
      <c r="B6430" s="0" t="s">
        <v>52</v>
      </c>
      <c r="C6430" s="13" t="n">
        <f aca="false">tk_cx_h100/(tk_cx_h100+tk_fac*(1-colo_sh))</f>
        <v>0.730756458006641</v>
      </c>
      <c r="D6430" s="13" t="n">
        <f aca="false">tk_cx_h100/(tk_cx_h100+tk_fac*(1-colo_sh))</f>
        <v>0.730756458006641</v>
      </c>
      <c r="E6430" s="13" t="n">
        <f aca="false">Sens!$F$6430</f>
        <v>0.760792334328868</v>
      </c>
      <c r="F6430" s="13" t="n">
        <f aca="false">Sens!$F$6413/(Sens!$F$6413+tk_fac*(1-colo_sh))</f>
        <v>0.760792334328868</v>
      </c>
      <c r="G6430" s="13" t="n">
        <f aca="false">Sens!$G$6413/(Sens!$G$6413+tk_fac*(1-colo_sh))</f>
        <v>0.760792334328868</v>
      </c>
      <c r="H6430" s="13" t="n">
        <f aca="false">Sens!$H$6413/(Sens!$H$6413+tk_fac*(1-colo_sh))</f>
        <v>0.768110668862996</v>
      </c>
      <c r="I6430" s="13" t="n">
        <f aca="false">Sens!$I$6413/(Sens!$I$6413+tk_fac*(1-colo_sh))</f>
        <v>0.77499450139483</v>
      </c>
      <c r="J6430" s="13" t="n">
        <f aca="false">Sens!$J$6413/(Sens!$J$6413+tk_fac*(1-colo_sh))</f>
        <v>0.77499450139483</v>
      </c>
      <c r="K6430" s="13" t="n">
        <f aca="false">Sens!$K$6413/(Sens!$K$6413+tk_fac*(1-colo_sh))</f>
        <v>0.77499450139483</v>
      </c>
      <c r="L6430" s="13" t="n">
        <f aca="false">Sens!$L$6413/(Sens!$L$6413+tk_fac*(1-colo_sh))</f>
        <v>0.77499450139483</v>
      </c>
      <c r="M6430" s="13" t="n">
        <f aca="false">Sens!$M$6413/(Sens!$M$6413+tk_fac*(1-colo_sh))</f>
        <v>0.77499450139483</v>
      </c>
    </row>
    <row r="6431" customFormat="false" ht="17.15" hidden="false" customHeight="false" outlineLevel="0" collapsed="false">
      <c r="A6431" s="1" t="s">
        <v>628</v>
      </c>
      <c r="B6431" s="8" t="s">
        <v>86</v>
      </c>
      <c r="C6431" s="38" t="n">
        <f aca="false">Q!$D$46-cx_rt*Q!$D$16-cx_awso*Sens!$C$6426</f>
        <v>25.2781053077374</v>
      </c>
      <c r="D6431" s="38" t="n">
        <f aca="false">Q!$E$46-cx_rt*Q!$E$16-cx_awso*Sens!$D$6426</f>
        <v>69.5686316310026</v>
      </c>
      <c r="E6431" s="38" t="n">
        <f aca="false">Q!$P$46-cx_rt*Q!$P$16-cx_awso*Sens!$E$6426</f>
        <v>64.1899206485108</v>
      </c>
      <c r="F6431" s="38" t="n">
        <f aca="false">MAX(Sens!$F$6408*(Sens!$F$6413+tk_fac*(1-colo_sh))/1000,capex_g26-Q!$P$46-Sens!$F$6429)</f>
        <v>96.2481299895</v>
      </c>
      <c r="G6431" s="38" t="n">
        <f aca="false">Sens!$E$6431+Sens!$F$6431</f>
        <v>160.438050638011</v>
      </c>
      <c r="H6431" s="38" t="n">
        <f aca="false">Sens!$H$6408*(Sens!$H$6413+tk_fac*(1-colo_sh))/1000+Sens!$H$6432</f>
        <v>198.57136494475</v>
      </c>
      <c r="I6431" s="38" t="n">
        <f aca="false">Sens!$I$6408*(Sens!$I$6413+tk_fac*(1-colo_sh))/1000+Sens!$I$6432</f>
        <v>204.6464699105</v>
      </c>
      <c r="J6431" s="38" t="n">
        <f aca="false">Sens!$J$6408*(Sens!$J$6413+tk_fac*(1-colo_sh))/1000+Sens!$J$6432</f>
        <v>209.8832381105</v>
      </c>
      <c r="K6431" s="38" t="n">
        <f aca="false">Sens!$K$6408*(Sens!$K$6413+tk_fac*(1-colo_sh))/1000+Sens!$K$6432</f>
        <v>155.238385275201</v>
      </c>
      <c r="L6431" s="38" t="n">
        <f aca="false">Sens!$L$6408*(Sens!$L$6413+tk_fac*(1-colo_sh))/1000+Sens!$L$6432</f>
        <v>132.014141639902</v>
      </c>
      <c r="M6431" s="38" t="n">
        <f aca="false">Sens!$M$6408*(Sens!$M$6413+tk_fac*(1-colo_sh))/1000+Sens!$M$6432</f>
        <v>132.230981659852</v>
      </c>
      <c r="P6431" s="5" t="s">
        <v>629</v>
      </c>
      <c r="R6431" s="38" t="n">
        <f aca="false">Q!$C$46-cx_rt*Q!$C$16-cx_awso*(Q!$C$7-mw_ye23/2*rpm_open/1000)</f>
        <v>1.50429979529945</v>
      </c>
      <c r="S6431" s="38" t="n">
        <f aca="false">Sens!$C$6431</f>
        <v>25.2781053077374</v>
      </c>
      <c r="T6431" s="38" t="n">
        <f aca="false">Sens!$D$6431</f>
        <v>69.5686316310026</v>
      </c>
      <c r="U6431" s="38" t="n">
        <f aca="false">Sens!$G$6431</f>
        <v>160.438050638011</v>
      </c>
      <c r="V6431" s="38" t="n">
        <f aca="false">Sens!$H$6431</f>
        <v>198.57136494475</v>
      </c>
      <c r="W6431" s="38" t="n">
        <f aca="false">Sens!$I$6431</f>
        <v>204.6464699105</v>
      </c>
      <c r="X6431" s="38" t="n">
        <f aca="false">Sens!$J$6431</f>
        <v>209.8832381105</v>
      </c>
      <c r="Y6431" s="38" t="n">
        <f aca="false">Sens!$K$6431</f>
        <v>155.238385275201</v>
      </c>
      <c r="Z6431" s="38" t="n">
        <f aca="false">Sens!$L$6431</f>
        <v>132.014141639902</v>
      </c>
      <c r="AA6431" s="38" t="n">
        <f aca="false">Sens!$M$6431</f>
        <v>132.230981659852</v>
      </c>
    </row>
    <row r="6432" customFormat="false" ht="17.15" hidden="false" customHeight="false" outlineLevel="0" collapsed="false">
      <c r="A6432" s="0" t="s">
        <v>630</v>
      </c>
      <c r="B6432" s="0" t="s">
        <v>86</v>
      </c>
      <c r="H6432" s="38" t="n">
        <f aca="false">SUMPRODUCT(--(Sens!$R$6401:$AA$6401=2027-tk_life),Sens!$R$6408:$AA$6408)*Sens!$H$6413/1000</f>
        <v>0</v>
      </c>
      <c r="I6432" s="38" t="n">
        <f aca="false">SUMPRODUCT(--(Sens!$R$6401:$AA$6401=2028-tk_life),Sens!$R$6408:$AA$6408)*Sens!$I$6413/1000</f>
        <v>0</v>
      </c>
      <c r="J6432" s="38" t="n">
        <f aca="false">SUMPRODUCT(--(Sens!$R$6401:$AA$6401=2029-tk_life),Sens!$R$6408:$AA$6408)*Sens!$J$6413/1000</f>
        <v>5.2367682</v>
      </c>
      <c r="K6432" s="38" t="n">
        <f aca="false">SUMPRODUCT(--(Sens!$R$6401:$AA$6401=2030-tk_life),Sens!$R$6408:$AA$6408)*Sens!$K$6413/1000</f>
        <v>10.4735364</v>
      </c>
      <c r="L6432" s="38" t="n">
        <f aca="false">SUMPRODUCT(--(Sens!$R$6401:$AA$6401=2031-tk_life),Sens!$R$6408:$AA$6408)*Sens!$L$6413/1000</f>
        <v>47.1309138</v>
      </c>
      <c r="M6432" s="38" t="n">
        <f aca="false">SUMPRODUCT(--(Sens!$R$6401:$AA$6401=2032-tk_life),Sens!$R$6408:$AA$6408)*Sens!$M$6413/1000</f>
        <v>107.22937485525</v>
      </c>
    </row>
    <row r="6433" customFormat="false" ht="17.15" hidden="false" customHeight="false" outlineLevel="0" collapsed="false">
      <c r="A6433" s="0" t="s">
        <v>631</v>
      </c>
      <c r="B6433" s="0" t="s">
        <v>86</v>
      </c>
      <c r="C6433" s="38" t="n">
        <f aca="false">MIN(Sens!$C$6431,Sens!$C$6408*(tk_cx_h100+tk_fac*(1-colo_sh))/1000)</f>
        <v>11.2938642</v>
      </c>
      <c r="D6433" s="38" t="n">
        <f aca="false">MIN(Sens!$D$6431,Sens!$D$6408*(tk_cx_h100+tk_fac*(1-colo_sh))/1000)</f>
        <v>50.8223889</v>
      </c>
      <c r="E6433" s="38" t="n">
        <f aca="false">MIN(Sens!$E$6431,Sens!$E$6408*(Sens!$F$6413+tk_fac*(1-colo_sh))/1000)</f>
        <v>33.8985792</v>
      </c>
      <c r="F6433" s="38" t="n">
        <f aca="false">Sens!$F$6431</f>
        <v>96.2481299895</v>
      </c>
      <c r="G6433" s="38" t="n">
        <f aca="false">Sens!$E$6433+Sens!$F$6433</f>
        <v>130.1467091895</v>
      </c>
      <c r="H6433" s="38" t="n">
        <f aca="false">Sens!$H$6431</f>
        <v>198.57136494475</v>
      </c>
      <c r="I6433" s="38" t="n">
        <f aca="false">Sens!$I$6431</f>
        <v>204.6464699105</v>
      </c>
      <c r="J6433" s="38" t="n">
        <f aca="false">Sens!$J$6431</f>
        <v>209.8832381105</v>
      </c>
      <c r="K6433" s="38" t="n">
        <f aca="false">Sens!$K$6431</f>
        <v>155.238385275201</v>
      </c>
      <c r="L6433" s="38" t="n">
        <f aca="false">Sens!$L$6431</f>
        <v>132.014141639902</v>
      </c>
      <c r="M6433" s="38" t="n">
        <f aca="false">Sens!$M$6431</f>
        <v>132.230981659852</v>
      </c>
      <c r="P6433" s="5" t="s">
        <v>632</v>
      </c>
      <c r="R6433" s="38" t="n">
        <f aca="false">MIN(Sens!$R$6431,Sens!$R$6408*(tk_cx_h100+tk_fac*(1-colo_sh))/1000)</f>
        <v>1.50429979529945</v>
      </c>
      <c r="S6433" s="38" t="n">
        <f aca="false">Sens!$C$6433</f>
        <v>11.2938642</v>
      </c>
      <c r="T6433" s="38" t="n">
        <f aca="false">Sens!$D$6433</f>
        <v>50.8223889</v>
      </c>
      <c r="U6433" s="38" t="n">
        <f aca="false">Sens!$G$6433</f>
        <v>130.1467091895</v>
      </c>
      <c r="V6433" s="38" t="n">
        <f aca="false">Sens!$H$6433</f>
        <v>198.57136494475</v>
      </c>
      <c r="W6433" s="38" t="n">
        <f aca="false">Sens!$I$6433</f>
        <v>204.6464699105</v>
      </c>
      <c r="X6433" s="38" t="n">
        <f aca="false">Sens!$J$6433</f>
        <v>209.8832381105</v>
      </c>
      <c r="Y6433" s="38" t="n">
        <f aca="false">Sens!$K$6433</f>
        <v>155.238385275201</v>
      </c>
      <c r="Z6433" s="38" t="n">
        <f aca="false">Sens!$L$6433</f>
        <v>132.014141639902</v>
      </c>
      <c r="AA6433" s="38" t="n">
        <f aca="false">Sens!$M$6433</f>
        <v>132.230981659852</v>
      </c>
    </row>
    <row r="6434" customFormat="false" ht="17.15" hidden="false" customHeight="false" outlineLevel="0" collapsed="false">
      <c r="A6434" s="5" t="s">
        <v>633</v>
      </c>
      <c r="B6434" s="0" t="s">
        <v>86</v>
      </c>
      <c r="C6434" s="38" t="n">
        <f aca="false">Sens!$C$6431-Sens!$C$6433</f>
        <v>13.9842411077374</v>
      </c>
      <c r="D6434" s="38" t="n">
        <f aca="false">Sens!$D$6431-Sens!$D$6433</f>
        <v>18.7462427310026</v>
      </c>
      <c r="E6434" s="38" t="n">
        <f aca="false">Sens!$E$6431-Sens!$E$6433</f>
        <v>30.2913414485108</v>
      </c>
      <c r="F6434" s="38" t="n">
        <f aca="false">Sens!$F$6431-Sens!$F$6433</f>
        <v>0</v>
      </c>
      <c r="G6434" s="38" t="n">
        <f aca="false">Sens!$G$6431-Sens!$G$6433</f>
        <v>30.2913414485108</v>
      </c>
      <c r="H6434" s="38" t="n">
        <f aca="false">Sens!$H$6431-Sens!$H$6433</f>
        <v>0</v>
      </c>
      <c r="I6434" s="38" t="n">
        <f aca="false">Sens!$I$6431-Sens!$I$6433</f>
        <v>0</v>
      </c>
      <c r="J6434" s="38" t="n">
        <f aca="false">Sens!$J$6431-Sens!$J$6433</f>
        <v>0</v>
      </c>
      <c r="K6434" s="38" t="n">
        <f aca="false">Sens!$K$6431-Sens!$K$6433</f>
        <v>0</v>
      </c>
      <c r="L6434" s="38" t="n">
        <f aca="false">Sens!$L$6431-Sens!$L$6433</f>
        <v>0</v>
      </c>
      <c r="M6434" s="38" t="n">
        <f aca="false">Sens!$M$6431-Sens!$M$6433</f>
        <v>0</v>
      </c>
    </row>
    <row r="6435" customFormat="false" ht="17.15" hidden="false" customHeight="false" outlineLevel="0" collapsed="false">
      <c r="A6435" s="5" t="s">
        <v>634</v>
      </c>
      <c r="B6435" s="0" t="s">
        <v>86</v>
      </c>
      <c r="C6435" s="38" t="n">
        <f aca="false">Sens!$C$6433*Sens!$C$6430</f>
        <v>8.2530642</v>
      </c>
      <c r="D6435" s="38" t="n">
        <f aca="false">Sens!$D$6433*Sens!$D$6430</f>
        <v>37.1387889</v>
      </c>
      <c r="E6435" s="38" t="n">
        <f aca="false">Sens!$E$6433*Sens!$E$6430</f>
        <v>25.7897792</v>
      </c>
      <c r="F6435" s="38" t="n">
        <f aca="false">Sens!$F$6433*Sens!$F$6430</f>
        <v>73.2248394895</v>
      </c>
      <c r="G6435" s="38" t="n">
        <f aca="false">Sens!$E$6435+Sens!$F$6435</f>
        <v>99.0146186895</v>
      </c>
      <c r="H6435" s="38" t="n">
        <f aca="false">(Sens!$H$6433-Sens!$H$6432)*Sens!$H$6430+Sens!$H$6432</f>
        <v>152.52478394475</v>
      </c>
      <c r="I6435" s="38" t="n">
        <f aca="false">(Sens!$I$6433-Sens!$I$6432)*Sens!$I$6430+Sens!$I$6432</f>
        <v>158.5998889105</v>
      </c>
      <c r="J6435" s="38" t="n">
        <f aca="false">(Sens!$J$6433-Sens!$J$6432)*Sens!$J$6430+Sens!$J$6432</f>
        <v>163.8366571105</v>
      </c>
      <c r="K6435" s="38" t="n">
        <f aca="false">(Sens!$K$6433-Sens!$K$6432)*Sens!$K$6430+Sens!$K$6432</f>
        <v>122.665498273534</v>
      </c>
      <c r="L6435" s="38" t="n">
        <f aca="false">(Sens!$L$6433-Sens!$L$6432)*Sens!$L$6430+Sens!$L$6432</f>
        <v>112.914948636568</v>
      </c>
      <c r="M6435" s="38" t="n">
        <f aca="false">(Sens!$M$6433-Sens!$M$6432)*Sens!$M$6430+Sens!$M$6432</f>
        <v>126.605482654852</v>
      </c>
      <c r="R6435" s="38" t="n">
        <f aca="false">Sens!$R$6433*Sens!$C$6430</f>
        <v>1.09927679019314</v>
      </c>
      <c r="S6435" s="38" t="n">
        <f aca="false">Sens!$C$6435</f>
        <v>8.2530642</v>
      </c>
      <c r="T6435" s="38" t="n">
        <f aca="false">Sens!$D$6435</f>
        <v>37.1387889</v>
      </c>
      <c r="U6435" s="38" t="n">
        <f aca="false">Sens!$G$6435</f>
        <v>99.0146186895</v>
      </c>
      <c r="V6435" s="38" t="n">
        <f aca="false">Sens!$H$6435</f>
        <v>152.52478394475</v>
      </c>
      <c r="W6435" s="38" t="n">
        <f aca="false">Sens!$I$6435</f>
        <v>158.5998889105</v>
      </c>
      <c r="X6435" s="38" t="n">
        <f aca="false">Sens!$J$6435</f>
        <v>163.8366571105</v>
      </c>
      <c r="Y6435" s="38" t="n">
        <f aca="false">Sens!$K$6435</f>
        <v>122.665498273534</v>
      </c>
      <c r="Z6435" s="38" t="n">
        <f aca="false">Sens!$L$6435</f>
        <v>112.914948636568</v>
      </c>
      <c r="AA6435" s="38" t="n">
        <f aca="false">Sens!$M$6435</f>
        <v>126.605482654852</v>
      </c>
    </row>
    <row r="6436" customFormat="false" ht="15" hidden="false" customHeight="false" outlineLevel="0" collapsed="false">
      <c r="A6436" s="5" t="s">
        <v>635</v>
      </c>
      <c r="B6436" s="0" t="s">
        <v>86</v>
      </c>
      <c r="C6436" s="38" t="n">
        <f aca="false">Sens!$C$6433-Sens!$C$6435</f>
        <v>3.0408</v>
      </c>
      <c r="D6436" s="38" t="n">
        <f aca="false">Sens!$D$6433-Sens!$D$6435</f>
        <v>13.6836</v>
      </c>
      <c r="E6436" s="38" t="n">
        <f aca="false">Sens!$E$6433-Sens!$E$6435</f>
        <v>8.1088</v>
      </c>
      <c r="F6436" s="38" t="n">
        <f aca="false">Sens!$F$6433-Sens!$F$6435</f>
        <v>23.0232905</v>
      </c>
      <c r="G6436" s="38" t="n">
        <f aca="false">Sens!$G$6433-Sens!$G$6435</f>
        <v>31.1320905</v>
      </c>
      <c r="H6436" s="38" t="n">
        <f aca="false">Sens!$H$6433-Sens!$H$6435</f>
        <v>46.046581</v>
      </c>
      <c r="I6436" s="38" t="n">
        <f aca="false">Sens!$I$6433-Sens!$I$6435</f>
        <v>46.046581</v>
      </c>
      <c r="J6436" s="38" t="n">
        <f aca="false">Sens!$J$6433-Sens!$J$6435</f>
        <v>46.046581</v>
      </c>
      <c r="K6436" s="38" t="n">
        <f aca="false">Sens!$K$6433-Sens!$K$6435</f>
        <v>32.5728870016667</v>
      </c>
      <c r="L6436" s="38" t="n">
        <f aca="false">Sens!$L$6433-Sens!$L$6435</f>
        <v>19.0991930033334</v>
      </c>
      <c r="M6436" s="38" t="n">
        <f aca="false">Sens!$M$6433-Sens!$M$6435</f>
        <v>5.62549900499998</v>
      </c>
      <c r="R6436" s="38" t="n">
        <f aca="false">Sens!$R$6433-Sens!$R$6435</f>
        <v>0.405023005106309</v>
      </c>
      <c r="S6436" s="38" t="n">
        <f aca="false">Sens!$S$6433-Sens!$S$6435</f>
        <v>3.0408</v>
      </c>
      <c r="T6436" s="38" t="n">
        <f aca="false">Sens!$T$6433-Sens!$T$6435</f>
        <v>13.6836</v>
      </c>
      <c r="U6436" s="38" t="n">
        <f aca="false">Sens!$U$6433-Sens!$U$6435</f>
        <v>31.1320905</v>
      </c>
      <c r="V6436" s="38" t="n">
        <f aca="false">Sens!$V$6433-Sens!$V$6435</f>
        <v>46.046581</v>
      </c>
      <c r="W6436" s="38" t="n">
        <f aca="false">Sens!$W$6433-Sens!$W$6435</f>
        <v>46.046581</v>
      </c>
      <c r="X6436" s="38" t="n">
        <f aca="false">Sens!$X$6433-Sens!$X$6435</f>
        <v>46.046581</v>
      </c>
      <c r="Y6436" s="38" t="n">
        <f aca="false">Sens!$Y$6433-Sens!$Y$6435</f>
        <v>32.5728870016667</v>
      </c>
      <c r="Z6436" s="38" t="n">
        <f aca="false">Sens!$Z$6433-Sens!$Z$6435</f>
        <v>19.0991930033334</v>
      </c>
      <c r="AA6436" s="38" t="n">
        <f aca="false">Sens!$AA$6433-Sens!$AA$6435</f>
        <v>5.62549900499998</v>
      </c>
    </row>
    <row r="6437" customFormat="false" ht="17.15" hidden="false" customHeight="false" outlineLevel="0" collapsed="false">
      <c r="A6437" s="0" t="s">
        <v>636</v>
      </c>
      <c r="B6437" s="0" t="s">
        <v>52</v>
      </c>
      <c r="C6437" s="13" t="n">
        <f aca="false">Sens!$C$6431/Sens!$C$6553</f>
        <v>0.325505489553393</v>
      </c>
      <c r="D6437" s="13" t="n">
        <f aca="false">Sens!$D$6431/Sens!$D$6553</f>
        <v>0.54214956071542</v>
      </c>
      <c r="E6437" s="13" t="n">
        <f aca="false">Sens!$E$6431/Sens!$E$6553</f>
        <v>0.666492790452817</v>
      </c>
      <c r="F6437" s="13" t="n">
        <f aca="false">Sens!$F$6431/Sens!$F$6553</f>
        <v>0.733477910687338</v>
      </c>
      <c r="G6437" s="13" t="n">
        <f aca="false">Sens!$G$6431/Sens!$G$6553</f>
        <v>0.705124321514523</v>
      </c>
      <c r="H6437" s="13" t="n">
        <f aca="false">Sens!$H$6431/Sens!$H$6553</f>
        <v>0.726376041178204</v>
      </c>
      <c r="I6437" s="13" t="n">
        <f aca="false">Sens!$I$6431/Sens!$I$6553</f>
        <v>0.713099092661699</v>
      </c>
      <c r="J6437" s="13" t="n">
        <f aca="false">Sens!$J$6431/Sens!$J$6553</f>
        <v>0.701208348786245</v>
      </c>
      <c r="K6437" s="13" t="n">
        <f aca="false">Sens!$K$6431/Sens!$K$6553</f>
        <v>0.618338844562383</v>
      </c>
      <c r="L6437" s="13" t="n">
        <f aca="false">Sens!$L$6431/Sens!$L$6553</f>
        <v>0.562489158462506</v>
      </c>
      <c r="M6437" s="13" t="n">
        <f aca="false">Sens!$M$6431/Sens!$M$6553</f>
        <v>0.545751190895923</v>
      </c>
    </row>
    <row r="6438" customFormat="false" ht="17.15" hidden="false" customHeight="false" outlineLevel="0" collapsed="false">
      <c r="A6438" s="0" t="s">
        <v>637</v>
      </c>
      <c r="B6438" s="0" t="s">
        <v>86</v>
      </c>
      <c r="C6438" s="38" t="n">
        <f aca="false">Sens!$S$6438</f>
        <v>0.183212798365523</v>
      </c>
      <c r="D6438" s="38" t="n">
        <f aca="false">Sens!$T$6438</f>
        <v>1.55872349836552</v>
      </c>
      <c r="E6438" s="38" t="n">
        <f aca="false">Sens!$G$6438/2</f>
        <v>3.87426082418276</v>
      </c>
      <c r="F6438" s="38" t="n">
        <f aca="false">Sens!$G$6438/2</f>
        <v>3.87426082418276</v>
      </c>
      <c r="G6438" s="38" t="n">
        <f aca="false">Sens!$U$6438</f>
        <v>7.74852164836552</v>
      </c>
      <c r="H6438" s="38" t="n">
        <f aca="false">Sens!$V$6438</f>
        <v>24.2509580966155</v>
      </c>
      <c r="I6438" s="38" t="n">
        <f aca="false">Sens!$W$6438</f>
        <v>49.6717554207405</v>
      </c>
      <c r="J6438" s="38" t="n">
        <f aca="false">Sens!$X$6438</f>
        <v>76.1050702391572</v>
      </c>
      <c r="K6438" s="38" t="n">
        <f aca="false">Sens!$Y$6438</f>
        <v>103.227966959208</v>
      </c>
      <c r="L6438" s="38" t="n">
        <f aca="false">Sens!$Z$6438</f>
        <v>122.296705971464</v>
      </c>
      <c r="M6438" s="38" t="n">
        <f aca="false">Sens!$AA$6438</f>
        <v>134.926065927559</v>
      </c>
      <c r="N6438" s="38" t="n">
        <f aca="false">Sens!$D$6438/2</f>
        <v>0.779361749182762</v>
      </c>
      <c r="O6438" s="38" t="n">
        <f aca="false">Sens!$D$6438/2</f>
        <v>0.779361749182762</v>
      </c>
      <c r="R6438" s="38" t="n">
        <f aca="false">SUMPRODUCT(--(Sens!$R$6401:$AA$6401&lt;Sens!R$6401),--(Sens!$R$6401:$AA$6401&gt;=Sens!R$6401-tk_life),Sens!$R$6435:$AA$6435)/tk_life</f>
        <v>0</v>
      </c>
      <c r="S6438" s="38" t="n">
        <f aca="false">SUMPRODUCT(--(Sens!$R$6401:$AA$6401&lt;Sens!S$6401),--(Sens!$R$6401:$AA$6401&gt;=Sens!S$6401-tk_life),Sens!$R$6435:$AA$6435)/tk_life</f>
        <v>0.183212798365523</v>
      </c>
      <c r="T6438" s="38" t="n">
        <f aca="false">SUMPRODUCT(--(Sens!$R$6401:$AA$6401&lt;Sens!T$6401),--(Sens!$R$6401:$AA$6401&gt;=Sens!T$6401-tk_life),Sens!$R$6435:$AA$6435)/tk_life</f>
        <v>1.55872349836552</v>
      </c>
      <c r="U6438" s="38" t="n">
        <f aca="false">SUMPRODUCT(--(Sens!$R$6401:$AA$6401&lt;Sens!U$6401),--(Sens!$R$6401:$AA$6401&gt;=Sens!U$6401-tk_life),Sens!$R$6435:$AA$6435)/tk_life</f>
        <v>7.74852164836552</v>
      </c>
      <c r="V6438" s="38" t="n">
        <f aca="false">SUMPRODUCT(--(Sens!$R$6401:$AA$6401&lt;Sens!V$6401),--(Sens!$R$6401:$AA$6401&gt;=Sens!V$6401-tk_life),Sens!$R$6435:$AA$6435)/tk_life</f>
        <v>24.2509580966155</v>
      </c>
      <c r="W6438" s="38" t="n">
        <f aca="false">SUMPRODUCT(--(Sens!$R$6401:$AA$6401&lt;Sens!W$6401),--(Sens!$R$6401:$AA$6401&gt;=Sens!W$6401-tk_life),Sens!$R$6435:$AA$6435)/tk_life</f>
        <v>49.6717554207405</v>
      </c>
      <c r="X6438" s="38" t="n">
        <f aca="false">SUMPRODUCT(--(Sens!$R$6401:$AA$6401&lt;Sens!X$6401),--(Sens!$R$6401:$AA$6401&gt;=Sens!X$6401-tk_life),Sens!$R$6435:$AA$6435)/tk_life</f>
        <v>76.1050702391572</v>
      </c>
      <c r="Y6438" s="38" t="n">
        <f aca="false">SUMPRODUCT(--(Sens!$R$6401:$AA$6401&lt;Sens!Y$6401),--(Sens!$R$6401:$AA$6401&gt;=Sens!Y$6401-tk_life),Sens!$R$6435:$AA$6435)/tk_life</f>
        <v>103.227966959208</v>
      </c>
      <c r="Z6438" s="38" t="n">
        <f aca="false">SUMPRODUCT(--(Sens!$R$6401:$AA$6401&lt;Sens!Z$6401),--(Sens!$R$6401:$AA$6401&gt;=Sens!Z$6401-tk_life),Sens!$R$6435:$AA$6435)/tk_life</f>
        <v>122.296705971464</v>
      </c>
      <c r="AA6438" s="38" t="n">
        <f aca="false">SUMPRODUCT(--(Sens!$R$6401:$AA$6401&lt;Sens!AA$6401),--(Sens!$R$6401:$AA$6401&gt;=Sens!AA$6401-tk_life),Sens!$R$6435:$AA$6435)/tk_life</f>
        <v>134.926065927559</v>
      </c>
    </row>
    <row r="6439" customFormat="false" ht="17.15" hidden="false" customHeight="false" outlineLevel="0" collapsed="false">
      <c r="A6439" s="0" t="s">
        <v>638</v>
      </c>
      <c r="B6439" s="0" t="s">
        <v>86</v>
      </c>
      <c r="C6439" s="38" t="n">
        <f aca="false">Sens!$S$6439</f>
        <v>0.0202511502553155</v>
      </c>
      <c r="D6439" s="38" t="n">
        <f aca="false">Sens!$T$6439</f>
        <v>0.172291150255315</v>
      </c>
      <c r="E6439" s="38" t="n">
        <f aca="false">Sens!$G$6439/2</f>
        <v>0.428235575127658</v>
      </c>
      <c r="F6439" s="38" t="n">
        <f aca="false">Sens!$G$6439/2</f>
        <v>0.428235575127658</v>
      </c>
      <c r="G6439" s="38" t="n">
        <f aca="false">Sens!$U$6439</f>
        <v>0.856471150255315</v>
      </c>
      <c r="H6439" s="38" t="n">
        <f aca="false">Sens!$V$6439</f>
        <v>2.41307567525532</v>
      </c>
      <c r="I6439" s="38" t="n">
        <f aca="false">Sens!$W$6439</f>
        <v>4.71540472525532</v>
      </c>
      <c r="J6439" s="38" t="n">
        <f aca="false">Sens!$X$6439</f>
        <v>7.01773377525532</v>
      </c>
      <c r="K6439" s="38" t="n">
        <f aca="false">Sens!$Y$6439</f>
        <v>9.32006282525532</v>
      </c>
      <c r="L6439" s="38" t="n">
        <f aca="false">Sens!$Z$6439</f>
        <v>10.9487071753387</v>
      </c>
      <c r="M6439" s="38" t="n">
        <f aca="false">Sens!$AA$6439</f>
        <v>11.9036668255053</v>
      </c>
      <c r="N6439" s="38" t="n">
        <f aca="false">Sens!$D$6439/2</f>
        <v>0.0861455751276577</v>
      </c>
      <c r="O6439" s="38" t="n">
        <f aca="false">Sens!$D$6439/2</f>
        <v>0.0861455751276577</v>
      </c>
      <c r="R6439" s="38" t="n">
        <f aca="false">SUMPRODUCT(--(Sens!$R$6401:$AA$6401&lt;Sens!R$6401),Sens!$R$6436:$AA$6436)/fac_life</f>
        <v>0</v>
      </c>
      <c r="S6439" s="38" t="n">
        <f aca="false">SUMPRODUCT(--(Sens!$R$6401:$AA$6401&lt;Sens!S$6401),Sens!$R$6436:$AA$6436)/fac_life</f>
        <v>0.0202511502553155</v>
      </c>
      <c r="T6439" s="38" t="n">
        <f aca="false">SUMPRODUCT(--(Sens!$R$6401:$AA$6401&lt;Sens!T$6401),Sens!$R$6436:$AA$6436)/fac_life</f>
        <v>0.172291150255315</v>
      </c>
      <c r="U6439" s="38" t="n">
        <f aca="false">SUMPRODUCT(--(Sens!$R$6401:$AA$6401&lt;Sens!U$6401),Sens!$R$6436:$AA$6436)/fac_life</f>
        <v>0.856471150255315</v>
      </c>
      <c r="V6439" s="38" t="n">
        <f aca="false">SUMPRODUCT(--(Sens!$R$6401:$AA$6401&lt;Sens!V$6401),Sens!$R$6436:$AA$6436)/fac_life</f>
        <v>2.41307567525532</v>
      </c>
      <c r="W6439" s="38" t="n">
        <f aca="false">SUMPRODUCT(--(Sens!$R$6401:$AA$6401&lt;Sens!W$6401),Sens!$R$6436:$AA$6436)/fac_life</f>
        <v>4.71540472525532</v>
      </c>
      <c r="X6439" s="38" t="n">
        <f aca="false">SUMPRODUCT(--(Sens!$R$6401:$AA$6401&lt;Sens!X$6401),Sens!$R$6436:$AA$6436)/fac_life</f>
        <v>7.01773377525532</v>
      </c>
      <c r="Y6439" s="38" t="n">
        <f aca="false">SUMPRODUCT(--(Sens!$R$6401:$AA$6401&lt;Sens!Y$6401),Sens!$R$6436:$AA$6436)/fac_life</f>
        <v>9.32006282525532</v>
      </c>
      <c r="Z6439" s="38" t="n">
        <f aca="false">SUMPRODUCT(--(Sens!$R$6401:$AA$6401&lt;Sens!Z$6401),Sens!$R$6436:$AA$6436)/fac_life</f>
        <v>10.9487071753387</v>
      </c>
      <c r="AA6439" s="38" t="n">
        <f aca="false">SUMPRODUCT(--(Sens!$R$6401:$AA$6401&lt;Sens!AA$6401),Sens!$R$6436:$AA$6436)/fac_life</f>
        <v>11.9036668255053</v>
      </c>
    </row>
    <row r="6440" customFormat="false" ht="17.15" hidden="false" customHeight="false" outlineLevel="0" collapsed="false">
      <c r="A6440" s="1" t="s">
        <v>639</v>
      </c>
      <c r="B6440" s="8" t="s">
        <v>86</v>
      </c>
      <c r="C6440" s="38" t="n">
        <f aca="false">Sens!$C$6438+Sens!$C$6439</f>
        <v>0.203463948620839</v>
      </c>
      <c r="D6440" s="38" t="n">
        <f aca="false">Sens!$D$6438+Sens!$D$6439</f>
        <v>1.73101464862084</v>
      </c>
      <c r="E6440" s="38" t="n">
        <f aca="false">Sens!$E$6438+Sens!$E$6439</f>
        <v>4.30249639931042</v>
      </c>
      <c r="F6440" s="38" t="n">
        <f aca="false">Sens!$F$6438+Sens!$F$6439</f>
        <v>4.30249639931042</v>
      </c>
      <c r="G6440" s="38" t="n">
        <f aca="false">Sens!$G$6438+Sens!$G$6439</f>
        <v>8.60499279862084</v>
      </c>
      <c r="H6440" s="38" t="n">
        <f aca="false">Sens!$H$6438+Sens!$H$6439</f>
        <v>26.6640337718708</v>
      </c>
      <c r="I6440" s="38" t="n">
        <f aca="false">Sens!$I$6438+Sens!$I$6439</f>
        <v>54.3871601459959</v>
      </c>
      <c r="J6440" s="38" t="n">
        <f aca="false">Sens!$J$6438+Sens!$J$6439</f>
        <v>83.1228040144125</v>
      </c>
      <c r="K6440" s="38" t="n">
        <f aca="false">Sens!$K$6438+Sens!$K$6439</f>
        <v>112.548029784464</v>
      </c>
      <c r="L6440" s="38" t="n">
        <f aca="false">Sens!$L$6438+Sens!$L$6439</f>
        <v>133.245413146803</v>
      </c>
      <c r="M6440" s="38" t="n">
        <f aca="false">Sens!$M$6438+Sens!$M$6439</f>
        <v>146.829732753064</v>
      </c>
      <c r="N6440" s="38" t="n">
        <f aca="false">Sens!$N$6438+Sens!$N$6439</f>
        <v>0.865507324310419</v>
      </c>
      <c r="O6440" s="38" t="n">
        <f aca="false">Sens!$O$6438+Sens!$O$6439</f>
        <v>0.865507324310419</v>
      </c>
      <c r="R6440" s="38" t="n">
        <f aca="false">Sens!$R$6438+Sens!$R$6439</f>
        <v>0</v>
      </c>
      <c r="S6440" s="38" t="n">
        <f aca="false">Sens!$S$6438+Sens!$S$6439</f>
        <v>0.203463948620839</v>
      </c>
      <c r="T6440" s="38" t="n">
        <f aca="false">Sens!$T$6438+Sens!$T$6439</f>
        <v>1.73101464862084</v>
      </c>
      <c r="U6440" s="38" t="n">
        <f aca="false">Sens!$U$6438+Sens!$U$6439</f>
        <v>8.60499279862084</v>
      </c>
      <c r="V6440" s="38" t="n">
        <f aca="false">Sens!$V$6438+Sens!$V$6439</f>
        <v>26.6640337718708</v>
      </c>
      <c r="W6440" s="38" t="n">
        <f aca="false">Sens!$W$6438+Sens!$W$6439</f>
        <v>54.3871601459959</v>
      </c>
      <c r="X6440" s="38" t="n">
        <f aca="false">Sens!$X$6438+Sens!$X$6439</f>
        <v>83.1228040144125</v>
      </c>
      <c r="Y6440" s="38" t="n">
        <f aca="false">Sens!$Y$6438+Sens!$Y$6439</f>
        <v>112.548029784464</v>
      </c>
      <c r="Z6440" s="38" t="n">
        <f aca="false">Sens!$Z$6438+Sens!$Z$6439</f>
        <v>133.245413146803</v>
      </c>
      <c r="AA6440" s="38" t="n">
        <f aca="false">Sens!$AA$6438+Sens!$AA$6439</f>
        <v>146.829732753064</v>
      </c>
    </row>
    <row r="6441" customFormat="false" ht="17.15" hidden="false" customHeight="false" outlineLevel="0" collapsed="false">
      <c r="A6441" s="0" t="s">
        <v>640</v>
      </c>
      <c r="B6441" s="0" t="s">
        <v>86</v>
      </c>
      <c r="C6441" s="38" t="n">
        <f aca="false">Sens!$S$6441</f>
        <v>12.5947000466786</v>
      </c>
      <c r="D6441" s="38" t="n">
        <f aca="false">Sens!$T$6441</f>
        <v>61.6860742980578</v>
      </c>
      <c r="G6441" s="38" t="n">
        <f aca="false">Sens!$U$6441</f>
        <v>183.227790688937</v>
      </c>
      <c r="H6441" s="38" t="n">
        <f aca="false">Sens!$V$6441</f>
        <v>355.135121861816</v>
      </c>
      <c r="I6441" s="38" t="n">
        <f aca="false">Sens!$W$6441</f>
        <v>505.39443162632</v>
      </c>
      <c r="J6441" s="38" t="n">
        <f aca="false">Sens!$X$6441</f>
        <v>632.154865722408</v>
      </c>
      <c r="K6441" s="38" t="n">
        <f aca="false">Sens!$Y$6441</f>
        <v>674.845221213145</v>
      </c>
      <c r="L6441" s="38" t="n">
        <f aca="false">Sens!$Z$6441</f>
        <v>673.613949706244</v>
      </c>
      <c r="M6441" s="38" t="n">
        <f aca="false">Sens!$AA$6441</f>
        <v>659.015198613032</v>
      </c>
      <c r="R6441" s="38" t="n">
        <f aca="false">SUM(Sens!$R$6433:$R$6433)-SUM(Sens!$R$6440:$R$6440)</f>
        <v>1.50429979529945</v>
      </c>
      <c r="S6441" s="38" t="n">
        <f aca="false">SUM(Sens!$R$6433:$S$6433)-SUM(Sens!$R$6440:$S$6440)</f>
        <v>12.5947000466786</v>
      </c>
      <c r="T6441" s="38" t="n">
        <f aca="false">SUM(Sens!$R$6433:$T$6433)-SUM(Sens!$R$6440:$T$6440)</f>
        <v>61.6860742980578</v>
      </c>
      <c r="U6441" s="38" t="n">
        <f aca="false">SUM(Sens!$R$6433:$U$6433)-SUM(Sens!$R$6440:$U$6440)</f>
        <v>183.227790688937</v>
      </c>
      <c r="V6441" s="38" t="n">
        <f aca="false">SUM(Sens!$R$6433:$V$6433)-SUM(Sens!$R$6440:$V$6440)</f>
        <v>355.135121861816</v>
      </c>
      <c r="W6441" s="38" t="n">
        <f aca="false">SUM(Sens!$R$6433:$W$6433)-SUM(Sens!$R$6440:$W$6440)</f>
        <v>505.39443162632</v>
      </c>
      <c r="X6441" s="38" t="n">
        <f aca="false">SUM(Sens!$R$6433:$X$6433)-SUM(Sens!$R$6440:$X$6440)</f>
        <v>632.154865722408</v>
      </c>
      <c r="Y6441" s="38" t="n">
        <f aca="false">SUM(Sens!$R$6433:$Y$6433)-SUM(Sens!$R$6440:$Y$6440)</f>
        <v>674.845221213145</v>
      </c>
      <c r="Z6441" s="38" t="n">
        <f aca="false">SUM(Sens!$R$6433:$Z$6433)-SUM(Sens!$R$6440:$Z$6440)</f>
        <v>673.613949706244</v>
      </c>
      <c r="AA6441" s="38" t="n">
        <f aca="false">SUM(Sens!$R$6433:$AA$6433)-SUM(Sens!$R$6440:$AA$6440)</f>
        <v>659.015198613032</v>
      </c>
    </row>
    <row r="6442" customFormat="false" ht="17.15" hidden="false" customHeight="false" outlineLevel="0" collapsed="false">
      <c r="A6442" s="1" t="s">
        <v>641</v>
      </c>
    </row>
    <row r="6443" customFormat="false" ht="17.15" hidden="false" customHeight="false" outlineLevel="0" collapsed="false">
      <c r="A6443" s="0" t="s">
        <v>642</v>
      </c>
      <c r="B6443" s="0" t="s">
        <v>86</v>
      </c>
      <c r="C6443" s="38" t="n">
        <f aca="false">Sens!$C$6422-ext_sh*Sens!$C$6424</f>
        <v>1.80694998843362</v>
      </c>
      <c r="D6443" s="38" t="n">
        <f aca="false">Sens!$D$6422-ext_sh*Sens!$D$6424</f>
        <v>6.77606245662607</v>
      </c>
      <c r="E6443" s="38" t="n">
        <f aca="false">Sens!$E$6422-ext_sh*Sens!$E$6424</f>
        <v>6.62548329092326</v>
      </c>
      <c r="F6443" s="38" t="n">
        <f aca="false">Sens!$F$6422-ext_sh*Sens!$F$6424</f>
        <v>11.7200577158706</v>
      </c>
      <c r="G6443" s="38" t="n">
        <f aca="false">Sens!$G$6422-ext_sh*Sens!$G$6424</f>
        <v>18.3455410067939</v>
      </c>
      <c r="H6443" s="38" t="n">
        <f aca="false">Sens!$H$6422-ext_sh*Sens!$H$6424</f>
        <v>47.5171727060453</v>
      </c>
      <c r="I6443" s="38" t="n">
        <f aca="false">Sens!$I$6422-ext_sh*Sens!$I$6424</f>
        <v>80.5539692643667</v>
      </c>
      <c r="J6443" s="38" t="n">
        <f aca="false">Sens!$J$6422-ext_sh*Sens!$J$6424</f>
        <v>113.759316834883</v>
      </c>
      <c r="K6443" s="38" t="n">
        <f aca="false">Sens!$K$6422-ext_sh*Sens!$K$6424</f>
        <v>142.084411492169</v>
      </c>
      <c r="L6443" s="38" t="n">
        <f aca="false">Sens!$L$6422-ext_sh*Sens!$L$6424</f>
        <v>160.69964615804</v>
      </c>
      <c r="M6443" s="38" t="n">
        <f aca="false">Sens!$M$6422-ext_sh*Sens!$M$6424</f>
        <v>169.577607141793</v>
      </c>
      <c r="N6443" s="38" t="n">
        <f aca="false">Sens!$N$6422-ext_sh*Sens!$N$6424</f>
        <v>2.37162185981912</v>
      </c>
      <c r="O6443" s="38" t="n">
        <f aca="false">Sens!$O$6422-ext_sh*Sens!$O$6424</f>
        <v>4.40444059680694</v>
      </c>
    </row>
    <row r="6444" customFormat="false" ht="17.15" hidden="false" customHeight="false" outlineLevel="0" collapsed="false">
      <c r="A6444" s="1" t="s">
        <v>643</v>
      </c>
      <c r="B6444" s="8" t="s">
        <v>86</v>
      </c>
      <c r="C6444" s="38" t="n">
        <f aca="false">Sens!$C$6443-ext_sh*Sens!$C$6440</f>
        <v>1.64417882953695</v>
      </c>
      <c r="D6444" s="38" t="n">
        <f aca="false">Sens!$D$6443-ext_sh*Sens!$D$6440</f>
        <v>5.39125073772939</v>
      </c>
      <c r="E6444" s="38" t="n">
        <f aca="false">Sens!$E$6443-ext_sh*Sens!$E$6440</f>
        <v>3.18348617147493</v>
      </c>
      <c r="F6444" s="38" t="n">
        <f aca="false">Sens!$F$6443-ext_sh*Sens!$F$6440</f>
        <v>8.27806059642226</v>
      </c>
      <c r="G6444" s="38" t="n">
        <f aca="false">Sens!$G$6443-ext_sh*Sens!$G$6440</f>
        <v>11.4615467678972</v>
      </c>
      <c r="H6444" s="38" t="n">
        <f aca="false">Sens!$H$6443-ext_sh*Sens!$H$6440</f>
        <v>26.1859456885487</v>
      </c>
      <c r="I6444" s="38" t="n">
        <f aca="false">Sens!$I$6443-ext_sh*Sens!$I$6440</f>
        <v>37.04424114757</v>
      </c>
      <c r="J6444" s="38" t="n">
        <f aca="false">Sens!$J$6443-ext_sh*Sens!$J$6440</f>
        <v>47.2610736233534</v>
      </c>
      <c r="K6444" s="38" t="n">
        <f aca="false">Sens!$K$6443-ext_sh*Sens!$K$6440</f>
        <v>52.0459876645985</v>
      </c>
      <c r="L6444" s="38" t="n">
        <f aca="false">Sens!$L$6443-ext_sh*Sens!$L$6440</f>
        <v>54.1033156405981</v>
      </c>
      <c r="M6444" s="38" t="n">
        <f aca="false">Sens!$M$6443-ext_sh*Sens!$M$6440</f>
        <v>52.1138209393421</v>
      </c>
      <c r="N6444" s="38" t="n">
        <f aca="false">Sens!$N$6443-ext_sh*Sens!$N$6440</f>
        <v>1.67921600037079</v>
      </c>
      <c r="O6444" s="38" t="n">
        <f aca="false">Sens!$O$6443-ext_sh*Sens!$O$6440</f>
        <v>3.71203473735861</v>
      </c>
    </row>
    <row r="6445" customFormat="false" ht="17.15" hidden="false" customHeight="false" outlineLevel="0" collapsed="false">
      <c r="A6445" s="0" t="s">
        <v>644</v>
      </c>
      <c r="B6445" s="0" t="s">
        <v>52</v>
      </c>
      <c r="C6445" s="13" t="n">
        <f aca="false">Sens!$C$6444/Sens!$C$6422</f>
        <v>0.708390794789371</v>
      </c>
      <c r="D6445" s="13" t="n">
        <f aca="false">Sens!$D$6444/Sens!$D$6422</f>
        <v>0.619415573115729</v>
      </c>
      <c r="E6445" s="13" t="n">
        <f aca="false">Sens!$E$6444/Sens!$E$6422</f>
        <v>0.374072166056273</v>
      </c>
      <c r="F6445" s="13" t="n">
        <f aca="false">Sens!$F$6444/Sens!$F$6422</f>
        <v>0.553219320710057</v>
      </c>
      <c r="G6445" s="13" t="n">
        <f aca="false">Sens!$G$6444/Sens!$G$6422</f>
        <v>0.488270041527512</v>
      </c>
      <c r="H6445" s="13" t="n">
        <f aca="false">Sens!$H$6444/Sens!$H$6422</f>
        <v>0.435229086816882</v>
      </c>
      <c r="I6445" s="13" t="n">
        <f aca="false">Sens!$I$6444/Sens!$I$6422</f>
        <v>0.364954592421095</v>
      </c>
      <c r="J6445" s="13" t="n">
        <f aca="false">Sens!$J$6444/Sens!$J$6422</f>
        <v>0.330438308582232</v>
      </c>
      <c r="K6445" s="13" t="n">
        <f aca="false">Sens!$K$6444/Sens!$K$6422</f>
        <v>0.2916589289528</v>
      </c>
      <c r="L6445" s="13" t="n">
        <f aca="false">Sens!$L$6444/Sens!$L$6422</f>
        <v>0.268199200593258</v>
      </c>
      <c r="M6445" s="13" t="n">
        <f aca="false">Sens!$M$6444/Sens!$M$6422</f>
        <v>0.244854995033574</v>
      </c>
      <c r="N6445" s="13" t="n">
        <f aca="false">Sens!$N$6444/Sens!$N$6422</f>
        <v>0.551227795793364</v>
      </c>
      <c r="O6445" s="13" t="n">
        <f aca="false">Sens!$O$6444/Sens!$O$6422</f>
        <v>0.656132068597002</v>
      </c>
    </row>
    <row r="6446" customFormat="false" ht="17.15" hidden="false" customHeight="false" outlineLevel="0" collapsed="false">
      <c r="A6446" s="5" t="s">
        <v>645</v>
      </c>
      <c r="B6446" s="0" t="s">
        <v>86</v>
      </c>
      <c r="C6446" s="39" t="n">
        <v>0</v>
      </c>
      <c r="D6446" s="39" t="n">
        <v>0</v>
      </c>
      <c r="E6446" s="39" t="n">
        <v>0</v>
      </c>
      <c r="F6446" s="38" t="n">
        <f aca="false">IF(internal_ai_reading=2,1,0)*(1-ext_sh)/ext_sh*(mw_open*he_open+Sens!$F$6420*Sens!$F$6417)*Sens!$F$6406/1000</f>
        <v>3.77122048175818</v>
      </c>
      <c r="G6446" s="38" t="n">
        <f aca="false">Sens!$E$6446+Sens!$F$6446</f>
        <v>3.77122048175818</v>
      </c>
      <c r="H6446" s="38" t="n">
        <f aca="false">IF(internal_ai_reading=2,1,0)*(1-ext_sh)/ext_sh*(mw_open*he_open+Sens!$H$6420*Sens!$H$6417)*Sens!$H$6406/1000</f>
        <v>15.1635543609893</v>
      </c>
      <c r="I6446" s="38" t="n">
        <f aca="false">IF(internal_ai_reading=2,1,0)*(1-ext_sh)/ext_sh*(mw_open*he_open+Sens!$I$6420*Sens!$I$6417)*Sens!$I$6406/1000</f>
        <v>25.5818843619889</v>
      </c>
      <c r="J6446" s="38" t="n">
        <f aca="false">IF(internal_ai_reading=2,1,0)*(1-ext_sh)/ext_sh*(mw_open*he_open+Sens!$J$6420*Sens!$J$6417)*Sens!$J$6406/1000</f>
        <v>36.0465624179122</v>
      </c>
      <c r="K6446" s="38" t="n">
        <f aca="false">IF(internal_ai_reading=2,1,0)*(1-ext_sh)/ext_sh*(mw_open*he_open+Sens!$K$6420*Sens!$K$6417)*Sens!$K$6406/1000</f>
        <v>44.9741164026038</v>
      </c>
      <c r="L6446" s="38" t="n">
        <f aca="false">IF(internal_ai_reading=2,1,0)*(1-ext_sh)/ext_sh*(mw_open*he_open+Sens!$L$6420*Sens!$L$6417)*Sens!$L$6406/1000</f>
        <v>50.8413488057813</v>
      </c>
      <c r="M6446" s="38" t="n">
        <f aca="false">IF(internal_ai_reading=2,1,0)*(1-ext_sh)/ext_sh*(mw_open*he_open+Sens!$M$6420*Sens!$M$6417)*Sens!$M$6406/1000</f>
        <v>53.6407214274315</v>
      </c>
      <c r="N6446" s="39" t="n">
        <v>0</v>
      </c>
      <c r="O6446" s="39" t="n">
        <v>0</v>
      </c>
      <c r="P6446" s="8" t="s">
        <v>646</v>
      </c>
    </row>
    <row r="6447" customFormat="false" ht="17.15" hidden="false" customHeight="false" outlineLevel="0" collapsed="false">
      <c r="A6447" s="5" t="s">
        <v>647</v>
      </c>
      <c r="B6447" s="0" t="s">
        <v>86</v>
      </c>
      <c r="C6447" s="38" t="n">
        <f aca="false">(1-ext_sh)*(Sens!$C$6424+Sens!$C$6440)</f>
        <v>0.169206631859174</v>
      </c>
      <c r="D6447" s="38" t="n">
        <f aca="false">(1-ext_sh)*(Sens!$D$6424+Sens!$D$6440)</f>
        <v>0.828129837730442</v>
      </c>
      <c r="E6447" s="38" t="n">
        <f aca="false">(1-ext_sh)*(Sens!$E$6424+Sens!$E$6440)</f>
        <v>1.33171670102377</v>
      </c>
      <c r="F6447" s="38" t="n">
        <f aca="false">(1-ext_sh)*(Sens!$F$6424+Sens!$F$6440)</f>
        <v>1.67134326207455</v>
      </c>
      <c r="G6447" s="38" t="n">
        <f aca="false">(1-ext_sh)*(Sens!$G$6424+Sens!$G$6440)</f>
        <v>3.00305996309832</v>
      </c>
      <c r="H6447" s="38" t="n">
        <f aca="false">(1-ext_sh)*(Sens!$H$6424+Sens!$H$6440)</f>
        <v>8.49498626530648</v>
      </c>
      <c r="I6447" s="38" t="n">
        <f aca="false">(1-ext_sh)*(Sens!$I$6424+Sens!$I$6440)</f>
        <v>16.1148644972155</v>
      </c>
      <c r="J6447" s="38" t="n">
        <f aca="false">(1-ext_sh)*(Sens!$J$6424+Sens!$J$6440)</f>
        <v>23.9410833819812</v>
      </c>
      <c r="K6447" s="38" t="n">
        <f aca="false">(1-ext_sh)*(Sens!$K$6424+Sens!$K$6440)</f>
        <v>31.6005331796453</v>
      </c>
      <c r="L6447" s="38" t="n">
        <f aca="false">(1-ext_sh)*(Sens!$L$6424+Sens!$L$6440)</f>
        <v>36.9061965404496</v>
      </c>
      <c r="M6447" s="38" t="n">
        <f aca="false">(1-ext_sh)*(Sens!$M$6424+Sens!$M$6440)</f>
        <v>40.1804051073808</v>
      </c>
      <c r="N6447" s="38" t="n">
        <f aca="false">(1-ext_sh)*(Sens!$N$6424+Sens!$N$6440)</f>
        <v>0.34177588266428</v>
      </c>
      <c r="O6447" s="38" t="n">
        <f aca="false">(1-ext_sh)*(Sens!$O$6424+Sens!$O$6440)</f>
        <v>0.486353955066162</v>
      </c>
    </row>
    <row r="6448" customFormat="false" ht="17.15" hidden="false" customHeight="false" outlineLevel="0" collapsed="false">
      <c r="A6448" s="0" t="s">
        <v>648</v>
      </c>
      <c r="B6448" s="0" t="s">
        <v>86</v>
      </c>
      <c r="C6448" s="38" t="n">
        <f aca="false">Q!$D$24</f>
        <v>39.834</v>
      </c>
      <c r="D6448" s="38" t="n">
        <f aca="false">Q!$E$24</f>
        <v>45.606</v>
      </c>
      <c r="E6448" s="38" t="n">
        <f aca="false">Q!$P$24</f>
        <v>30.782</v>
      </c>
      <c r="N6448" s="38" t="n">
        <f aca="false">Q!$N$24</f>
        <v>21.707</v>
      </c>
      <c r="O6448" s="38" t="n">
        <f aca="false">Q!$O$24</f>
        <v>23.899</v>
      </c>
    </row>
    <row r="6449" customFormat="false" ht="17.15" hidden="false" customHeight="false" outlineLevel="0" collapsed="false">
      <c r="A6449" s="0" t="s">
        <v>649</v>
      </c>
      <c r="B6449" s="0" t="s">
        <v>86</v>
      </c>
      <c r="C6449" s="38" t="n">
        <f aca="false">Sens!$C$6448-Sens!$C$6444</f>
        <v>38.1898211704631</v>
      </c>
      <c r="D6449" s="38" t="n">
        <f aca="false">Sens!$D$6448-Sens!$D$6444</f>
        <v>40.2147492622706</v>
      </c>
      <c r="E6449" s="38" t="n">
        <f aca="false">Sens!$E$6448-Sens!$E$6444</f>
        <v>27.5985138285251</v>
      </c>
      <c r="F6449" s="38" t="n">
        <f aca="false">Sens!$F$6426*Sens!$F$6450</f>
        <v>25.5484769754606</v>
      </c>
      <c r="G6449" s="38" t="n">
        <f aca="false">Sens!$E$6449+Sens!$F$6449</f>
        <v>53.1469908039857</v>
      </c>
      <c r="H6449" s="38" t="n">
        <f aca="false">Sens!$H$6426*Sens!$H$6450</f>
        <v>57.3189525076539</v>
      </c>
      <c r="I6449" s="38" t="n">
        <f aca="false">Sens!$I$6426*Sens!$I$6450</f>
        <v>63.6385627021087</v>
      </c>
      <c r="J6449" s="38" t="n">
        <f aca="false">Sens!$J$6426*Sens!$J$6450</f>
        <v>69.6922896066105</v>
      </c>
      <c r="K6449" s="38" t="n">
        <f aca="false">Sens!$K$6426*Sens!$K$6450</f>
        <v>75.2676727751394</v>
      </c>
      <c r="L6449" s="38" t="n">
        <f aca="false">Sens!$L$6426*Sens!$L$6450</f>
        <v>81.2890865971505</v>
      </c>
      <c r="M6449" s="38" t="n">
        <f aca="false">Sens!$M$6426*Sens!$M$6450</f>
        <v>87.7922135249226</v>
      </c>
      <c r="N6449" s="38" t="n">
        <f aca="false">Sens!$N$6448-Sens!$N$6444</f>
        <v>20.0277839996292</v>
      </c>
      <c r="O6449" s="38" t="n">
        <f aca="false">Sens!$O$6448-Sens!$O$6444</f>
        <v>20.1869652626414</v>
      </c>
      <c r="P6449" s="5" t="s">
        <v>650</v>
      </c>
    </row>
    <row r="6450" customFormat="false" ht="17.15" hidden="false" customHeight="false" outlineLevel="0" collapsed="false">
      <c r="A6450" s="0" t="s">
        <v>651</v>
      </c>
      <c r="B6450" s="0" t="s">
        <v>52</v>
      </c>
      <c r="C6450" s="13" t="n">
        <f aca="false">Sens!$C$6449/Sens!$C$6426</f>
        <v>0.362900395443635</v>
      </c>
      <c r="D6450" s="13" t="n">
        <f aca="false">Sens!$D$6449/Sens!$D$6426</f>
        <v>0.335063632425483</v>
      </c>
      <c r="E6450" s="13" t="n">
        <f aca="false">Sens!$E$6449/Sens!$E$6426</f>
        <v>0.387028992698038</v>
      </c>
      <c r="F6450" s="13" t="n">
        <f aca="false">(Sens!$O$6449+Sens!$E$6449)/(Sens!$O$6426+Sens!$E$6426)</f>
        <v>0.355980580118587</v>
      </c>
      <c r="G6450" s="13" t="n">
        <f aca="false">Sens!$G$6449/Sens!$G$6426</f>
        <v>0.371454804780916</v>
      </c>
      <c r="H6450" s="13" t="n">
        <f aca="false">Sens!$F$6450</f>
        <v>0.355980580118587</v>
      </c>
      <c r="I6450" s="13" t="n">
        <f aca="false">Sens!$F$6450</f>
        <v>0.355980580118587</v>
      </c>
      <c r="J6450" s="13" t="n">
        <f aca="false">Sens!$F$6450</f>
        <v>0.355980580118587</v>
      </c>
      <c r="K6450" s="13" t="n">
        <f aca="false">Sens!$F$6450</f>
        <v>0.355980580118587</v>
      </c>
      <c r="L6450" s="13" t="n">
        <f aca="false">Sens!$F$6450</f>
        <v>0.355980580118587</v>
      </c>
      <c r="M6450" s="13" t="n">
        <f aca="false">Sens!$F$6450</f>
        <v>0.355980580118587</v>
      </c>
      <c r="N6450" s="13" t="n">
        <f aca="false">Sens!$N$6449/Sens!$N$6426</f>
        <v>0.35078810535806</v>
      </c>
      <c r="O6450" s="13" t="n">
        <f aca="false">Sens!$O$6449/Sens!$O$6426</f>
        <v>0.320796939361619</v>
      </c>
      <c r="P6450" s="8" t="s">
        <v>652</v>
      </c>
    </row>
    <row r="6451" customFormat="false" ht="17.15" hidden="false" customHeight="false" outlineLevel="0" collapsed="false">
      <c r="A6451" s="0" t="s">
        <v>653</v>
      </c>
      <c r="B6451" s="0" t="s">
        <v>52</v>
      </c>
      <c r="D6451" s="13" t="n">
        <f aca="false">(Q!$E$31-ext_sh*Sens!$D$6440)/Sens!$D$6426</f>
        <v>0.167180325480118</v>
      </c>
    </row>
    <row r="6452" customFormat="false" ht="17.15" hidden="false" customHeight="false" outlineLevel="0" collapsed="false">
      <c r="A6452" s="0" t="s">
        <v>654</v>
      </c>
      <c r="B6452" s="0" t="s">
        <v>86</v>
      </c>
      <c r="C6452" s="38" t="n">
        <f aca="false">Q!$D$31</f>
        <v>13.32</v>
      </c>
      <c r="D6452" s="38" t="n">
        <f aca="false">Q!$E$31</f>
        <v>21.45</v>
      </c>
      <c r="E6452" s="38" t="n">
        <f aca="false">Q!$P$31</f>
        <v>15.353</v>
      </c>
      <c r="F6452" s="38" t="n">
        <f aca="false">ext_sh*Sens!$F$6440+Sens!$D$6451*Sens!$F$6426</f>
        <v>15.4404120185306</v>
      </c>
      <c r="G6452" s="38" t="n">
        <f aca="false">Sens!$E$6452+Sens!$F$6452</f>
        <v>30.7934120185306</v>
      </c>
      <c r="H6452" s="38" t="n">
        <f aca="false">ext_sh*Sens!$H$6440+Sens!$D$6451*Sens!$H$6426</f>
        <v>48.250114371455</v>
      </c>
      <c r="I6452" s="38" t="n">
        <f aca="false">ext_sh*Sens!$I$6440+Sens!$D$6451*Sens!$I$6426</f>
        <v>73.3965146995963</v>
      </c>
      <c r="J6452" s="38" t="n">
        <f aca="false">ext_sh*Sens!$J$6440+Sens!$D$6451*Sens!$J$6426</f>
        <v>99.22806138309</v>
      </c>
      <c r="K6452" s="38" t="n">
        <f aca="false">ext_sh*Sens!$K$6440+Sens!$D$6451*Sens!$K$6426</f>
        <v>125.386627452856</v>
      </c>
      <c r="L6452" s="38" t="n">
        <f aca="false">ext_sh*Sens!$L$6440+Sens!$D$6451*Sens!$L$6426</f>
        <v>144.77239043275</v>
      </c>
      <c r="M6452" s="38" t="n">
        <f aca="false">ext_sh*Sens!$M$6440+Sens!$D$6451*Sens!$M$6426</f>
        <v>158.693930910983</v>
      </c>
      <c r="N6452" s="38" t="n">
        <f aca="false">Q!$N$31</f>
        <v>9.234</v>
      </c>
      <c r="O6452" s="38" t="n">
        <f aca="false">Q!$O$31</f>
        <v>12.216</v>
      </c>
    </row>
    <row r="6453" customFormat="false" ht="17.15" hidden="false" customHeight="false" outlineLevel="0" collapsed="false">
      <c r="A6453" s="1" t="s">
        <v>655</v>
      </c>
    </row>
    <row r="6454" customFormat="false" ht="17.15" hidden="false" customHeight="false" outlineLevel="0" collapsed="false">
      <c r="A6454" s="15" t="s">
        <v>656</v>
      </c>
      <c r="B6454" s="14" t="s">
        <v>52</v>
      </c>
      <c r="C6454" s="14"/>
      <c r="D6454" s="14"/>
      <c r="E6454" s="14"/>
      <c r="F6454" s="14"/>
      <c r="G6454" s="17" t="n">
        <f aca="false">Sens!$G$6444*(1-tax)/(ext_sh*(Sens!$D$6441+Sens!$G$6441)/2)</f>
        <v>0.0966870495301478</v>
      </c>
      <c r="H6454" s="17" t="n">
        <f aca="false">Sens!$H$6444*(1-tax)/(ext_sh*(Sens!$G$6441+Sens!$H$6441)/2)</f>
        <v>0.100492020334136</v>
      </c>
      <c r="I6454" s="17" t="n">
        <f aca="false">Sens!$I$6444*(1-tax)/(ext_sh*(Sens!$H$6441+Sens!$I$6441)/2)</f>
        <v>0.0889392292218236</v>
      </c>
      <c r="J6454" s="17" t="n">
        <f aca="false">Sens!$J$6444*(1-tax)/(ext_sh*(Sens!$I$6441+Sens!$J$6441)/2)</f>
        <v>0.0858364613777012</v>
      </c>
      <c r="K6454" s="17" t="n">
        <f aca="false">Sens!$K$6444*(1-tax)/(ext_sh*(Sens!$J$6441+Sens!$K$6441)/2)</f>
        <v>0.08227162714687</v>
      </c>
      <c r="L6454" s="17" t="n">
        <f aca="false">Sens!$L$6444*(1-tax)/(ext_sh*(Sens!$K$6441+Sens!$L$6441)/2)</f>
        <v>0.0828942732763872</v>
      </c>
      <c r="M6454" s="17" t="n">
        <f aca="false">Sens!$M$6444*(1-tax)/(ext_sh*(Sens!$L$6441+Sens!$M$6441)/2)</f>
        <v>0.0807945482347635</v>
      </c>
      <c r="N6454" s="14"/>
      <c r="O6454" s="14"/>
      <c r="P6454" s="8" t="s">
        <v>657</v>
      </c>
    </row>
    <row r="6455" customFormat="false" ht="17.15" hidden="false" customHeight="false" outlineLevel="0" collapsed="false">
      <c r="A6455" s="5" t="s">
        <v>658</v>
      </c>
      <c r="B6455" s="0" t="s">
        <v>57</v>
      </c>
      <c r="H6455" s="36" t="n">
        <f aca="false">Sens!$H$6422*1000/(mw_open*he_open+Sens!$H$6420*Sens!$H$6417)</f>
        <v>0.991949006767191</v>
      </c>
      <c r="I6455" s="36" t="n">
        <f aca="false">Sens!$I$6422*1000/(mw_open*he_open+Sens!$I$6420*Sens!$I$6417)</f>
        <v>0.991949006767191</v>
      </c>
      <c r="J6455" s="36" t="n">
        <f aca="false">Sens!$J$6422*1000/(mw_open*he_open+Sens!$J$6420*Sens!$J$6417)</f>
        <v>0.991949006767191</v>
      </c>
      <c r="K6455" s="36" t="n">
        <f aca="false">Sens!$K$6422*1000/(mw_open*he_open+Sens!$K$6420*Sens!$K$6417)</f>
        <v>0.991949006767191</v>
      </c>
      <c r="L6455" s="36" t="n">
        <f aca="false">Sens!$L$6422*1000/(mw_open*he_open+Sens!$L$6420*Sens!$L$6417)</f>
        <v>0.991949006767191</v>
      </c>
      <c r="M6455" s="36" t="n">
        <f aca="false">Sens!$M$6422*1000/(mw_open*he_open+Sens!$M$6420*Sens!$M$6417)</f>
        <v>0.991949006767191</v>
      </c>
    </row>
    <row r="6456" customFormat="false" ht="17.15" hidden="false" customHeight="false" outlineLevel="0" collapsed="false">
      <c r="A6456" s="5" t="s">
        <v>659</v>
      </c>
      <c r="B6456" s="0" t="s">
        <v>57</v>
      </c>
      <c r="H6456" s="36" t="n">
        <f aca="false">Sens!$H$6455*(Sens!$H$6422+wacc*ext_sh*(Sens!$G$6441+Sens!$H$6441)/2/(1-tax)-Sens!$H$6444)/Sens!$H$6422</f>
        <v>1.04696246089529</v>
      </c>
      <c r="I6456" s="36" t="n">
        <f aca="false">Sens!$I$6455*(Sens!$I$6422+wacc*ext_sh*(Sens!$H$6441+Sens!$I$6441)/2/(1-tax)-Sens!$I$6444)/Sens!$I$6422</f>
        <v>1.09109607940198</v>
      </c>
      <c r="J6456" s="36" t="n">
        <f aca="false">Sens!$J$6455*(Sens!$J$6422+wacc*ext_sh*(Sens!$I$6441+Sens!$J$6441)/2/(1-tax)-Sens!$J$6444)/Sens!$J$6422</f>
        <v>1.09681234280071</v>
      </c>
      <c r="K6456" s="36" t="n">
        <f aca="false">Sens!$K$6455*(Sens!$K$6422+wacc*ext_sh*(Sens!$J$6441+Sens!$K$6441)/2/(1-tax)-Sens!$K$6444)/Sens!$K$6422</f>
        <v>1.10105220068984</v>
      </c>
      <c r="L6456" s="36" t="n">
        <f aca="false">Sens!$L$6455*(Sens!$L$6422+wacc*ext_sh*(Sens!$K$6441+Sens!$L$6441)/2/(1-tax)-Sens!$L$6444)/Sens!$L$6422</f>
        <v>1.08952452639895</v>
      </c>
      <c r="M6456" s="36" t="n">
        <f aca="false">Sens!$M$6455*(Sens!$M$6422+wacc*ext_sh*(Sens!$L$6441+Sens!$M$6441)/2/(1-tax)-Sens!$M$6444)/Sens!$M$6422</f>
        <v>1.08965878549519</v>
      </c>
    </row>
    <row r="6457" customFormat="false" ht="17.15" hidden="false" customHeight="false" outlineLevel="0" collapsed="false">
      <c r="A6457" s="5" t="s">
        <v>660</v>
      </c>
      <c r="B6457" s="0" t="s">
        <v>52</v>
      </c>
      <c r="C6457" s="13" t="n">
        <f aca="false">Sens!$C$6423/tk_pq</f>
        <v>0.195316432429398</v>
      </c>
      <c r="D6457" s="13" t="n">
        <f aca="false">Sens!$D$6423/tk_pq</f>
        <v>0.195316432429398</v>
      </c>
      <c r="E6457" s="13" t="n">
        <f aca="false">Sens!$E$6423/tk_pq</f>
        <v>0.195316432429398</v>
      </c>
      <c r="F6457" s="13" t="n">
        <f aca="false">Sens!$F$6423/tk_pq</f>
        <v>0.202241827274866</v>
      </c>
      <c r="G6457" s="13" t="n">
        <f aca="false">Sens!$G$6423/tk_pq</f>
        <v>0.199675016194063</v>
      </c>
      <c r="H6457" s="13" t="n">
        <f aca="false">Sens!$H$6423/tk_pq</f>
        <v>0.212647947710325</v>
      </c>
      <c r="I6457" s="13" t="n">
        <f aca="false">Sens!$I$6423/tk_pq</f>
        <v>0.219285125475351</v>
      </c>
      <c r="J6457" s="13" t="n">
        <f aca="false">Sens!$J$6423/tk_pq</f>
        <v>0.222492493217189</v>
      </c>
      <c r="K6457" s="13" t="n">
        <f aca="false">Sens!$K$6423/tk_pq</f>
        <v>0.224053502812094</v>
      </c>
      <c r="L6457" s="13" t="n">
        <f aca="false">Sens!$L$6423/tk_pq</f>
        <v>0.224786916785614</v>
      </c>
      <c r="M6457" s="13" t="n">
        <f aca="false">Sens!$M$6423/tk_pq</f>
        <v>0.225048671566937</v>
      </c>
      <c r="N6457" s="13" t="n">
        <f aca="false">Sens!$N$6423/tk_pq</f>
        <v>0.195316432429398</v>
      </c>
      <c r="O6457" s="13" t="n">
        <f aca="false">Sens!$O$6423/tk_pq</f>
        <v>0.195316432429398</v>
      </c>
      <c r="P6457" s="5" t="s">
        <v>661</v>
      </c>
    </row>
    <row r="6460" customFormat="false" ht="17.15" hidden="false" customHeight="false" outlineLevel="0" collapsed="false">
      <c r="A6460" s="1" t="s">
        <v>690</v>
      </c>
    </row>
    <row r="6461" customFormat="false" ht="17.15" hidden="false" customHeight="false" outlineLevel="0" collapsed="false">
      <c r="A6461" s="0" t="s">
        <v>691</v>
      </c>
      <c r="B6461" s="0" t="s">
        <v>86</v>
      </c>
      <c r="C6461" s="38" t="n">
        <f aca="false">Sens!$C$6422</f>
        <v>2.32100535697364</v>
      </c>
      <c r="D6461" s="38" t="n">
        <f aca="false">Sens!$D$6422</f>
        <v>8.70377008865116</v>
      </c>
      <c r="E6461" s="38" t="n">
        <f aca="false">Sens!$E$6422</f>
        <v>8.51035297557002</v>
      </c>
      <c r="F6461" s="38" t="n">
        <f aca="false">Sens!$F$6422</f>
        <v>14.9634336447205</v>
      </c>
      <c r="G6461" s="38" t="n">
        <f aca="false">Sens!$G$6422</f>
        <v>23.4737866202905</v>
      </c>
      <c r="H6461" s="38" t="n">
        <f aca="false">Sens!$H$6422</f>
        <v>60.1658907497746</v>
      </c>
      <c r="I6461" s="38" t="n">
        <f aca="false">Sens!$I$6422</f>
        <v>101.503699136432</v>
      </c>
      <c r="J6461" s="38" t="n">
        <f aca="false">Sens!$J$6422</f>
        <v>143.025407151278</v>
      </c>
      <c r="K6461" s="38" t="n">
        <f aca="false">Sens!$K$6422</f>
        <v>178.44812038318</v>
      </c>
      <c r="L6461" s="38" t="n">
        <f aca="false">Sens!$L$6422</f>
        <v>201.728101802396</v>
      </c>
      <c r="M6461" s="38" t="n">
        <f aca="false">Sens!$M$6422</f>
        <v>212.835441368865</v>
      </c>
      <c r="N6461" s="38" t="n">
        <f aca="false">Sens!$N$6422</f>
        <v>3.04631953102791</v>
      </c>
      <c r="O6461" s="38" t="n">
        <f aca="false">Sens!$O$6422</f>
        <v>5.65745055762326</v>
      </c>
      <c r="P6461" s="8" t="s">
        <v>692</v>
      </c>
    </row>
    <row r="6462" customFormat="false" ht="17.15" hidden="false" customHeight="false" outlineLevel="0" collapsed="false">
      <c r="A6462" s="0" t="s">
        <v>693</v>
      </c>
      <c r="B6462" s="0" t="s">
        <v>86</v>
      </c>
      <c r="C6462" s="38" t="n">
        <f aca="false">Sens!$C$6426</f>
        <v>105.234994643026</v>
      </c>
      <c r="D6462" s="38" t="n">
        <f aca="false">Sens!$D$6426</f>
        <v>120.021229911349</v>
      </c>
      <c r="E6462" s="38" t="n">
        <f aca="false">Sens!$E$6426</f>
        <v>71.30864702443</v>
      </c>
      <c r="F6462" s="38" t="n">
        <f aca="false">Sens!$F$6426</f>
        <v>71.7692997942464</v>
      </c>
      <c r="G6462" s="38" t="n">
        <f aca="false">Sens!$G$6426</f>
        <v>143.077946818676</v>
      </c>
      <c r="H6462" s="38" t="n">
        <f aca="false">Sens!$H$6426</f>
        <v>161.017077079203</v>
      </c>
      <c r="I6462" s="38" t="n">
        <f aca="false">Sens!$I$6426</f>
        <v>178.769759521457</v>
      </c>
      <c r="J6462" s="38" t="n">
        <f aca="false">Sens!$J$6426</f>
        <v>195.775538045907</v>
      </c>
      <c r="K6462" s="38" t="n">
        <f aca="false">Sens!$K$6426</f>
        <v>211.43758108958</v>
      </c>
      <c r="L6462" s="38" t="n">
        <f aca="false">Sens!$L$6426</f>
        <v>228.352587576746</v>
      </c>
      <c r="M6462" s="38" t="n">
        <f aca="false">Sens!$M$6426</f>
        <v>246.620794582886</v>
      </c>
      <c r="N6462" s="38" t="n">
        <f aca="false">Sens!$N$6426</f>
        <v>57.0936804689721</v>
      </c>
      <c r="O6462" s="38" t="n">
        <f aca="false">Sens!$O$6426</f>
        <v>62.9275494423768</v>
      </c>
      <c r="P6462" s="8" t="s">
        <v>692</v>
      </c>
    </row>
    <row r="6463" customFormat="false" ht="17.15" hidden="false" customHeight="false" outlineLevel="0" collapsed="false">
      <c r="A6463" s="1" t="s">
        <v>516</v>
      </c>
      <c r="B6463" s="8" t="s">
        <v>86</v>
      </c>
      <c r="C6463" s="38" t="n">
        <f aca="false">Q!$D$7</f>
        <v>107.556</v>
      </c>
      <c r="D6463" s="38" t="n">
        <f aca="false">Q!$E$7</f>
        <v>128.725</v>
      </c>
      <c r="E6463" s="38" t="n">
        <f aca="false">Q!$P$7</f>
        <v>79.819</v>
      </c>
      <c r="F6463" s="38" t="n">
        <f aca="false">Sens!$F$6461+Sens!$F$6462</f>
        <v>86.7327334389669</v>
      </c>
      <c r="G6463" s="38" t="n">
        <f aca="false">Sens!$G$6461+Sens!$G$6462</f>
        <v>166.551733438967</v>
      </c>
      <c r="H6463" s="38" t="n">
        <f aca="false">Sens!$H$6461+Sens!$H$6462</f>
        <v>221.182967828978</v>
      </c>
      <c r="I6463" s="38" t="n">
        <f aca="false">Sens!$I$6461+Sens!$I$6462</f>
        <v>280.27345865789</v>
      </c>
      <c r="J6463" s="38" t="n">
        <f aca="false">Sens!$J$6461+Sens!$J$6462</f>
        <v>338.800945197185</v>
      </c>
      <c r="K6463" s="38" t="n">
        <f aca="false">Sens!$K$6461+Sens!$K$6462</f>
        <v>389.88570147276</v>
      </c>
      <c r="L6463" s="38" t="n">
        <f aca="false">Sens!$L$6461+Sens!$L$6462</f>
        <v>430.080689379143</v>
      </c>
      <c r="M6463" s="38" t="n">
        <f aca="false">Sens!$M$6461+Sens!$M$6462</f>
        <v>459.456235951751</v>
      </c>
      <c r="N6463" s="38" t="n">
        <f aca="false">Q!$N$7</f>
        <v>60.14</v>
      </c>
      <c r="O6463" s="38" t="n">
        <f aca="false">Q!$O$7</f>
        <v>68.585</v>
      </c>
      <c r="P6463" s="5" t="s">
        <v>694</v>
      </c>
    </row>
    <row r="6464" customFormat="false" ht="15" hidden="false" customHeight="false" outlineLevel="0" collapsed="false">
      <c r="A6464" s="3" t="s">
        <v>695</v>
      </c>
      <c r="B6464" s="8" t="s">
        <v>86</v>
      </c>
      <c r="C6464" s="38" t="n">
        <f aca="false">Q!$D$8</f>
        <v>637.959</v>
      </c>
      <c r="D6464" s="38" t="n">
        <f aca="false">Q!$E$8</f>
        <v>716.924</v>
      </c>
      <c r="E6464" s="38" t="n">
        <f aca="false">Q!$P$8</f>
        <v>382.125</v>
      </c>
      <c r="F6464" s="38" t="n">
        <f aca="false">Sens!$F$6394+Sens!$F$6463</f>
        <v>435.780975084504</v>
      </c>
      <c r="G6464" s="38" t="n">
        <f aca="false">Sens!$G$6394+Sens!$G$6463</f>
        <v>817.905975084504</v>
      </c>
      <c r="H6464" s="38" t="n">
        <f aca="false">Sens!$H$6394+Sens!$H$6463</f>
        <v>942.279857350364</v>
      </c>
      <c r="I6464" s="38" t="n">
        <f aca="false">Sens!$I$6394+Sens!$I$6463</f>
        <v>1068.80284981042</v>
      </c>
      <c r="J6464" s="38" t="n">
        <f aca="false">Sens!$J$6394+Sens!$J$6463</f>
        <v>1189.90935093863</v>
      </c>
      <c r="K6464" s="38" t="n">
        <f aca="false">Sens!$K$6394+Sens!$K$6463</f>
        <v>1296.06215690385</v>
      </c>
      <c r="L6464" s="38" t="n">
        <f aca="false">Sens!$L$6394+Sens!$L$6463</f>
        <v>1395.17379585473</v>
      </c>
      <c r="M6464" s="38" t="n">
        <f aca="false">Sens!$M$6394+Sens!$M$6463</f>
        <v>1487.60414389864</v>
      </c>
      <c r="N6464" s="38" t="n">
        <f aca="false">Q!$N$8</f>
        <v>323.369</v>
      </c>
      <c r="O6464" s="38" t="n">
        <f aca="false">Q!$O$8</f>
        <v>393.555</v>
      </c>
    </row>
    <row r="6465" customFormat="false" ht="17.15" hidden="false" customHeight="false" outlineLevel="0" collapsed="false">
      <c r="A6465" s="24" t="s">
        <v>703</v>
      </c>
      <c r="B6465" s="25" t="s">
        <v>86</v>
      </c>
      <c r="C6465" s="41" t="n">
        <f aca="false">Sens!$C$6394-(Sens!$C$6396+Sens!$C$6397)</f>
        <v>0</v>
      </c>
      <c r="D6465" s="41" t="n">
        <f aca="false">Sens!$D$6394-(Sens!$D$6396+Sens!$D$6397)</f>
        <v>0</v>
      </c>
      <c r="E6465" s="41" t="n">
        <f aca="false">Sens!$E$6394-(Sens!$E$6396+Sens!$E$6397)</f>
        <v>0</v>
      </c>
      <c r="F6465" s="41" t="n">
        <f aca="false">Sens!$F$6394-(Sens!$F$6396+Sens!$F$6397)</f>
        <v>0</v>
      </c>
      <c r="G6465" s="41" t="n">
        <f aca="false">Sens!$G$6394-(Sens!$G$6396+Sens!$G$6397)</f>
        <v>0</v>
      </c>
      <c r="H6465" s="41" t="n">
        <f aca="false">Sens!$H$6394-(Sens!$H$6396+Sens!$H$6397)</f>
        <v>0</v>
      </c>
      <c r="I6465" s="41" t="n">
        <f aca="false">Sens!$I$6394-(Sens!$I$6396+Sens!$I$6397)</f>
        <v>0</v>
      </c>
      <c r="J6465" s="41" t="n">
        <f aca="false">Sens!$J$6394-(Sens!$J$6396+Sens!$J$6397)</f>
        <v>0</v>
      </c>
      <c r="K6465" s="41" t="n">
        <f aca="false">Sens!$K$6394-(Sens!$K$6396+Sens!$K$6397)</f>
        <v>0</v>
      </c>
      <c r="L6465" s="41" t="n">
        <f aca="false">Sens!$L$6394-(Sens!$L$6396+Sens!$L$6397)</f>
        <v>0</v>
      </c>
      <c r="M6465" s="41" t="n">
        <f aca="false">Sens!$M$6394-(Sens!$M$6396+Sens!$M$6397)</f>
        <v>0</v>
      </c>
      <c r="N6465" s="41" t="n">
        <f aca="false">Sens!$N$6394-(Sens!$N$6396+Sens!$N$6397)</f>
        <v>0</v>
      </c>
      <c r="O6465" s="41" t="n">
        <f aca="false">Sens!$O$6394-(Sens!$O$6396+Sens!$O$6397)</f>
        <v>0</v>
      </c>
    </row>
    <row r="6466" customFormat="false" ht="17.15" hidden="false" customHeight="false" outlineLevel="0" collapsed="false">
      <c r="A6466" s="24" t="s">
        <v>704</v>
      </c>
      <c r="B6466" s="25" t="s">
        <v>86</v>
      </c>
      <c r="C6466" s="41" t="n">
        <f aca="false">Sens!$C$6461+Sens!$C$6462-Sens!$C$6463</f>
        <v>0</v>
      </c>
      <c r="D6466" s="41" t="n">
        <f aca="false">Sens!$D$6461+Sens!$D$6462-Sens!$D$6463</f>
        <v>0</v>
      </c>
      <c r="E6466" s="41" t="n">
        <f aca="false">Sens!$E$6461+Sens!$E$6462-Sens!$E$6463</f>
        <v>0</v>
      </c>
      <c r="F6466" s="41" t="n">
        <f aca="false">Sens!$F$6461+Sens!$F$6462-Sens!$F$6463</f>
        <v>0</v>
      </c>
      <c r="G6466" s="41" t="n">
        <f aca="false">Sens!$G$6461+Sens!$G$6462-Sens!$G$6463</f>
        <v>0</v>
      </c>
      <c r="H6466" s="41" t="n">
        <f aca="false">Sens!$H$6461+Sens!$H$6462-Sens!$H$6463</f>
        <v>0</v>
      </c>
      <c r="I6466" s="41" t="n">
        <f aca="false">Sens!$I$6461+Sens!$I$6462-Sens!$I$6463</f>
        <v>0</v>
      </c>
      <c r="J6466" s="41" t="n">
        <f aca="false">Sens!$J$6461+Sens!$J$6462-Sens!$J$6463</f>
        <v>0</v>
      </c>
      <c r="K6466" s="41" t="n">
        <f aca="false">Sens!$K$6461+Sens!$K$6462-Sens!$K$6463</f>
        <v>0</v>
      </c>
      <c r="L6466" s="41" t="n">
        <f aca="false">Sens!$L$6461+Sens!$L$6462-Sens!$L$6463</f>
        <v>0</v>
      </c>
      <c r="M6466" s="41" t="n">
        <f aca="false">Sens!$M$6461+Sens!$M$6462-Sens!$M$6463</f>
        <v>0</v>
      </c>
      <c r="N6466" s="41" t="n">
        <f aca="false">Sens!$N$6461+Sens!$N$6462-Sens!$N$6463</f>
        <v>0</v>
      </c>
      <c r="O6466" s="41" t="n">
        <f aca="false">Sens!$O$6461+Sens!$O$6462-Sens!$O$6463</f>
        <v>0</v>
      </c>
    </row>
    <row r="6467" customFormat="false" ht="17.15" hidden="false" customHeight="false" outlineLevel="0" collapsed="false">
      <c r="A6467" s="24" t="s">
        <v>705</v>
      </c>
      <c r="B6467" s="25" t="s">
        <v>86</v>
      </c>
      <c r="C6467" s="41" t="n">
        <f aca="false">Sens!$C$6396+Sens!$C$6397+Sens!$C$6463-Sens!$C$6464</f>
        <v>0</v>
      </c>
      <c r="D6467" s="41" t="n">
        <f aca="false">Sens!$D$6396+Sens!$D$6397+Sens!$D$6463-Sens!$D$6464</f>
        <v>0</v>
      </c>
      <c r="E6467" s="41" t="n">
        <f aca="false">Sens!$E$6396+Sens!$E$6397+Sens!$E$6463-Sens!$E$6464</f>
        <v>0</v>
      </c>
      <c r="F6467" s="41" t="n">
        <f aca="false">Sens!$F$6396+Sens!$F$6397+Sens!$F$6463-Sens!$F$6464</f>
        <v>0</v>
      </c>
      <c r="G6467" s="41" t="n">
        <f aca="false">Sens!$G$6396+Sens!$G$6397+Sens!$G$6463-Sens!$G$6464</f>
        <v>0</v>
      </c>
      <c r="H6467" s="41" t="n">
        <f aca="false">Sens!$H$6396+Sens!$H$6397+Sens!$H$6463-Sens!$H$6464</f>
        <v>0</v>
      </c>
      <c r="I6467" s="41" t="n">
        <f aca="false">Sens!$I$6396+Sens!$I$6397+Sens!$I$6463-Sens!$I$6464</f>
        <v>0</v>
      </c>
      <c r="J6467" s="41" t="n">
        <f aca="false">Sens!$J$6396+Sens!$J$6397+Sens!$J$6463-Sens!$J$6464</f>
        <v>0</v>
      </c>
      <c r="K6467" s="41" t="n">
        <f aca="false">Sens!$K$6396+Sens!$K$6397+Sens!$K$6463-Sens!$K$6464</f>
        <v>0</v>
      </c>
      <c r="L6467" s="41" t="n">
        <f aca="false">Sens!$L$6396+Sens!$L$6397+Sens!$L$6463-Sens!$L$6464</f>
        <v>0</v>
      </c>
      <c r="M6467" s="41" t="n">
        <f aca="false">Sens!$M$6396+Sens!$M$6397+Sens!$M$6463-Sens!$M$6464</f>
        <v>0</v>
      </c>
      <c r="N6467" s="41" t="n">
        <f aca="false">Sens!$N$6396+Sens!$N$6397+Sens!$N$6463-Sens!$N$6464</f>
        <v>0</v>
      </c>
      <c r="O6467" s="41" t="n">
        <f aca="false">Sens!$O$6396+Sens!$O$6397+Sens!$O$6463-Sens!$O$6464</f>
        <v>0</v>
      </c>
    </row>
    <row r="6468" customFormat="false" ht="15" hidden="false" customHeight="false" outlineLevel="0" collapsed="false">
      <c r="A6468" s="5" t="s">
        <v>699</v>
      </c>
      <c r="B6468" s="0" t="s">
        <v>52</v>
      </c>
      <c r="G6468" s="13" t="n">
        <f aca="false">Sens!$G$6464/Sens!$D$6464-1</f>
        <v>0.140854504918937</v>
      </c>
      <c r="H6468" s="13" t="n">
        <f aca="false">Sens!$H$6464/Sens!$G$6464-1</f>
        <v>0.152063789793209</v>
      </c>
      <c r="I6468" s="13" t="n">
        <f aca="false">Sens!$I$6464/Sens!$H$6464-1</f>
        <v>0.134273264437417</v>
      </c>
      <c r="J6468" s="13" t="n">
        <f aca="false">Sens!$J$6464/Sens!$I$6464-1</f>
        <v>0.113310421234083</v>
      </c>
      <c r="K6468" s="13" t="n">
        <f aca="false">Sens!$K$6464/Sens!$J$6464-1</f>
        <v>0.0892108343223652</v>
      </c>
      <c r="L6468" s="13" t="n">
        <f aca="false">Sens!$L$6464/Sens!$K$6464-1</f>
        <v>0.076471362444261</v>
      </c>
      <c r="M6468" s="13" t="n">
        <f aca="false">Sens!$M$6464/Sens!$L$6464-1</f>
        <v>0.066250060256672</v>
      </c>
    </row>
    <row r="6469" customFormat="false" ht="17.15" hidden="false" customHeight="false" outlineLevel="0" collapsed="false">
      <c r="A6469" s="0" t="s">
        <v>700</v>
      </c>
      <c r="B6469" s="0" t="s">
        <v>52</v>
      </c>
      <c r="C6469" s="13" t="n">
        <f aca="false">Sens!$C$6463/Sens!$C$6464</f>
        <v>0.168593906504964</v>
      </c>
      <c r="D6469" s="13" t="n">
        <f aca="false">Sens!$D$6463/Sens!$D$6464</f>
        <v>0.179551807444025</v>
      </c>
      <c r="E6469" s="13" t="n">
        <f aca="false">Sens!$E$6463/Sens!$E$6464</f>
        <v>0.208881910369643</v>
      </c>
      <c r="F6469" s="13" t="n">
        <f aca="false">Sens!$F$6463/Sens!$F$6464</f>
        <v>0.199028269699356</v>
      </c>
      <c r="G6469" s="13" t="n">
        <f aca="false">Sens!$G$6463/Sens!$G$6464</f>
        <v>0.203631882529968</v>
      </c>
      <c r="H6469" s="13" t="n">
        <f aca="false">Sens!$H$6463/Sens!$H$6464</f>
        <v>0.234731715958496</v>
      </c>
      <c r="I6469" s="13" t="n">
        <f aca="false">Sens!$I$6463/Sens!$I$6464</f>
        <v>0.262231204480418</v>
      </c>
      <c r="J6469" s="13" t="n">
        <f aca="false">Sens!$J$6463/Sens!$J$6464</f>
        <v>0.284728366013706</v>
      </c>
      <c r="K6469" s="13" t="n">
        <f aca="false">Sens!$K$6463/Sens!$K$6464</f>
        <v>0.300823304959505</v>
      </c>
      <c r="L6469" s="13" t="n">
        <f aca="false">Sens!$L$6463/Sens!$L$6464</f>
        <v>0.308263164529735</v>
      </c>
      <c r="M6469" s="13" t="n">
        <f aca="false">Sens!$M$6463/Sens!$M$6464</f>
        <v>0.308856517936036</v>
      </c>
      <c r="N6469" s="13" t="n">
        <f aca="false">Sens!$N$6463/Sens!$N$6464</f>
        <v>0.185979484737251</v>
      </c>
      <c r="O6469" s="13" t="n">
        <f aca="false">Sens!$O$6463/Sens!$O$6464</f>
        <v>0.174270432341096</v>
      </c>
    </row>
    <row r="6470" customFormat="false" ht="17.15" hidden="false" customHeight="false" outlineLevel="0" collapsed="false">
      <c r="A6470" s="0" t="s">
        <v>701</v>
      </c>
      <c r="B6470" s="0" t="s">
        <v>52</v>
      </c>
      <c r="C6470" s="13" t="n">
        <f aca="false">Sens!$C$6461/Sens!$C$6463</f>
        <v>0.0215795060896058</v>
      </c>
      <c r="D6470" s="13" t="n">
        <f aca="false">Sens!$D$6461/Sens!$D$6463</f>
        <v>0.0676152269462122</v>
      </c>
      <c r="E6470" s="13" t="n">
        <f aca="false">Sens!$E$6461/Sens!$E$6463</f>
        <v>0.106620641395783</v>
      </c>
      <c r="F6470" s="13" t="n">
        <f aca="false">Sens!$F$6461/Sens!$F$6463</f>
        <v>0.172523487401099</v>
      </c>
      <c r="G6470" s="13" t="n">
        <f aca="false">Sens!$G$6461/Sens!$G$6463</f>
        <v>0.140939911795589</v>
      </c>
      <c r="H6470" s="13" t="n">
        <f aca="false">Sens!$H$6461/Sens!$H$6463</f>
        <v>0.272018642937714</v>
      </c>
      <c r="I6470" s="13" t="n">
        <f aca="false">Sens!$I$6461/Sens!$I$6463</f>
        <v>0.362159512436497</v>
      </c>
      <c r="J6470" s="13" t="n">
        <f aca="false">Sens!$J$6461/Sens!$J$6463</f>
        <v>0.422151735934609</v>
      </c>
      <c r="K6470" s="13" t="n">
        <f aca="false">Sens!$K$6461/Sens!$K$6463</f>
        <v>0.45769342068485</v>
      </c>
      <c r="L6470" s="13" t="n">
        <f aca="false">Sens!$L$6461/Sens!$L$6463</f>
        <v>0.469047103913472</v>
      </c>
      <c r="M6470" s="13" t="n">
        <f aca="false">Sens!$M$6461/Sens!$M$6463</f>
        <v>0.463233328258093</v>
      </c>
      <c r="N6470" s="13" t="n">
        <f aca="false">Sens!$N$6461/Sens!$N$6463</f>
        <v>0.0506537999838362</v>
      </c>
      <c r="O6470" s="13" t="n">
        <f aca="false">Sens!$O$6461/Sens!$O$6463</f>
        <v>0.0824881615167056</v>
      </c>
    </row>
    <row r="6473" customFormat="false" ht="19.4" hidden="false" customHeight="false" outlineLevel="0" collapsed="false">
      <c r="A6473" s="31" t="s">
        <v>1267</v>
      </c>
    </row>
    <row r="6474" customFormat="false" ht="17.15" hidden="false" customHeight="false" outlineLevel="0" collapsed="false">
      <c r="A6474" s="6" t="s">
        <v>16</v>
      </c>
      <c r="B6474" s="6" t="s">
        <v>17</v>
      </c>
      <c r="C6474" s="20" t="s">
        <v>497</v>
      </c>
      <c r="D6474" s="20" t="s">
        <v>498</v>
      </c>
      <c r="E6474" s="20" t="s">
        <v>580</v>
      </c>
      <c r="F6474" s="20" t="s">
        <v>581</v>
      </c>
      <c r="G6474" s="20" t="s">
        <v>582</v>
      </c>
      <c r="H6474" s="20" t="s">
        <v>583</v>
      </c>
      <c r="I6474" s="20" t="s">
        <v>584</v>
      </c>
      <c r="J6474" s="20" t="s">
        <v>585</v>
      </c>
      <c r="K6474" s="20" t="s">
        <v>586</v>
      </c>
      <c r="L6474" s="20" t="s">
        <v>587</v>
      </c>
      <c r="M6474" s="20" t="s">
        <v>588</v>
      </c>
      <c r="N6474" s="20" t="s">
        <v>589</v>
      </c>
      <c r="O6474" s="20" t="s">
        <v>590</v>
      </c>
      <c r="P6474" s="6" t="s">
        <v>23</v>
      </c>
      <c r="R6474" s="20" t="n">
        <v>2023</v>
      </c>
      <c r="S6474" s="20" t="n">
        <v>2024</v>
      </c>
      <c r="T6474" s="20" t="n">
        <v>2025</v>
      </c>
      <c r="U6474" s="20" t="n">
        <v>2026</v>
      </c>
      <c r="V6474" s="20" t="n">
        <v>2027</v>
      </c>
      <c r="W6474" s="20" t="n">
        <v>2028</v>
      </c>
      <c r="X6474" s="20" t="n">
        <v>2029</v>
      </c>
      <c r="Y6474" s="20" t="n">
        <v>2030</v>
      </c>
      <c r="Z6474" s="20" t="n">
        <v>2031</v>
      </c>
      <c r="AA6474" s="20" t="n">
        <v>2032</v>
      </c>
    </row>
    <row r="6475" customFormat="false" ht="17.15" hidden="false" customHeight="false" outlineLevel="0" collapsed="false">
      <c r="A6475" s="1" t="s">
        <v>716</v>
      </c>
    </row>
    <row r="6476" customFormat="false" ht="15" hidden="false" customHeight="false" outlineLevel="0" collapsed="false">
      <c r="A6476" s="0" t="s">
        <v>519</v>
      </c>
      <c r="B6476" s="0" t="s">
        <v>86</v>
      </c>
      <c r="C6476" s="38" t="n">
        <f aca="false">Sens!$C$6381</f>
        <v>247.029</v>
      </c>
      <c r="D6476" s="38" t="n">
        <f aca="false">Sens!$D$6381</f>
        <v>269.287</v>
      </c>
      <c r="E6476" s="38" t="n">
        <f aca="false">Sens!$E$6381</f>
        <v>134.686</v>
      </c>
      <c r="F6476" s="38" t="n">
        <f aca="false">Sens!$F$6381</f>
        <v>158.293876822267</v>
      </c>
      <c r="G6476" s="38" t="n">
        <f aca="false">Sens!$G$6381</f>
        <v>292.979876822267</v>
      </c>
      <c r="H6476" s="38" t="n">
        <f aca="false">Sens!$H$6381</f>
        <v>318.184543087396</v>
      </c>
      <c r="I6476" s="38" t="n">
        <f aca="false">Sens!$I$6381</f>
        <v>341.736278761793</v>
      </c>
      <c r="J6476" s="38" t="n">
        <f aca="false">Sens!$J$6381</f>
        <v>362.927192787048</v>
      </c>
      <c r="K6476" s="38" t="n">
        <f aca="false">Sens!$K$6381</f>
        <v>381.0735524264</v>
      </c>
      <c r="L6476" s="38" t="n">
        <f aca="false">Sens!$L$6381</f>
        <v>400.12723004772</v>
      </c>
      <c r="M6476" s="38" t="n">
        <f aca="false">Sens!$M$6381</f>
        <v>420.133591550106</v>
      </c>
      <c r="N6476" s="38" t="n">
        <f aca="false">Sens!$N$6381</f>
        <v>118.892</v>
      </c>
      <c r="O6476" s="38" t="n">
        <f aca="false">Sens!$O$6381</f>
        <v>150.395</v>
      </c>
    </row>
    <row r="6477" customFormat="false" ht="15" hidden="false" customHeight="false" outlineLevel="0" collapsed="false">
      <c r="A6477" s="0" t="s">
        <v>520</v>
      </c>
      <c r="B6477" s="0" t="s">
        <v>86</v>
      </c>
      <c r="C6477" s="38" t="n">
        <f aca="false">Sens!$C$6383</f>
        <v>21.215</v>
      </c>
      <c r="D6477" s="38" t="n">
        <f aca="false">Sens!$D$6383</f>
        <v>22.561</v>
      </c>
      <c r="E6477" s="38" t="n">
        <f aca="false">Sens!$E$6383</f>
        <v>11.579</v>
      </c>
      <c r="F6477" s="38" t="n">
        <f aca="false">Sens!$F$6383</f>
        <v>11.5938724610325</v>
      </c>
      <c r="G6477" s="38" t="n">
        <f aca="false">Sens!$G$6383</f>
        <v>23.1728724610325</v>
      </c>
      <c r="H6477" s="38" t="n">
        <f aca="false">Sens!$H$6383</f>
        <v>24.353392759506</v>
      </c>
      <c r="I6477" s="38" t="n">
        <f aca="false">Sens!$I$6383</f>
        <v>25.4240338872015</v>
      </c>
      <c r="J6477" s="38" t="n">
        <f aca="false">Sens!$J$6383</f>
        <v>26.3642491017174</v>
      </c>
      <c r="K6477" s="38" t="n">
        <f aca="false">Sens!$K$6383</f>
        <v>27.155176574769</v>
      </c>
      <c r="L6477" s="38" t="n">
        <f aca="false">Sens!$L$6383</f>
        <v>27.969831872012</v>
      </c>
      <c r="M6477" s="38" t="n">
        <f aca="false">Sens!$M$6383</f>
        <v>28.8089268281724</v>
      </c>
      <c r="N6477" s="38" t="n">
        <f aca="false">Sens!$N$6383</f>
        <v>11.128</v>
      </c>
      <c r="O6477" s="38" t="n">
        <f aca="false">Sens!$O$6383</f>
        <v>11.433</v>
      </c>
    </row>
    <row r="6478" customFormat="false" ht="15" hidden="false" customHeight="false" outlineLevel="0" collapsed="false">
      <c r="A6478" s="0" t="s">
        <v>521</v>
      </c>
      <c r="B6478" s="0" t="s">
        <v>86</v>
      </c>
      <c r="C6478" s="38" t="n">
        <f aca="false">Sens!$C$6385</f>
        <v>156.146</v>
      </c>
      <c r="D6478" s="38" t="n">
        <f aca="false">Sens!$D$6385</f>
        <v>172.162</v>
      </c>
      <c r="E6478" s="38" t="n">
        <f aca="false">Sens!$E$6385</f>
        <v>88.358</v>
      </c>
      <c r="F6478" s="38" t="n">
        <f aca="false">Sens!$F$6385</f>
        <v>102.004388260171</v>
      </c>
      <c r="G6478" s="38" t="n">
        <f aca="false">Sens!$G$6385</f>
        <v>190.362388260171</v>
      </c>
      <c r="H6478" s="38" t="n">
        <f aca="false">Sens!$H$6385</f>
        <v>210.343106588311</v>
      </c>
      <c r="I6478" s="38" t="n">
        <f aca="false">Sens!$I$6385</f>
        <v>229.969728494648</v>
      </c>
      <c r="J6478" s="38" t="n">
        <f aca="false">Sens!$J$6385</f>
        <v>248.747636972598</v>
      </c>
      <c r="K6478" s="38" t="n">
        <f aca="false">Sens!$K$6385</f>
        <v>266.15997156068</v>
      </c>
      <c r="L6478" s="38" t="n">
        <f aca="false">Sens!$L$6385</f>
        <v>284.791169569927</v>
      </c>
      <c r="M6478" s="38" t="n">
        <f aca="false">Sens!$M$6385</f>
        <v>304.726551439822</v>
      </c>
      <c r="N6478" s="38" t="n">
        <f aca="false">Sens!$N$6385</f>
        <v>76.86</v>
      </c>
      <c r="O6478" s="38" t="n">
        <f aca="false">Sens!$O$6385</f>
        <v>95.302</v>
      </c>
    </row>
    <row r="6479" customFormat="false" ht="15" hidden="false" customHeight="false" outlineLevel="0" collapsed="false">
      <c r="A6479" s="0" t="s">
        <v>522</v>
      </c>
      <c r="B6479" s="0" t="s">
        <v>86</v>
      </c>
      <c r="C6479" s="38" t="n">
        <f aca="false">Sens!$C$6387</f>
        <v>56.214</v>
      </c>
      <c r="D6479" s="38" t="n">
        <f aca="false">Sens!$D$6387</f>
        <v>68.635</v>
      </c>
      <c r="E6479" s="38" t="n">
        <f aca="false">Sens!$E$6387</f>
        <v>37.052</v>
      </c>
      <c r="F6479" s="38" t="n">
        <f aca="false">Sens!$F$6387</f>
        <v>46.1572219944148</v>
      </c>
      <c r="G6479" s="38" t="n">
        <f aca="false">Sens!$G$6387</f>
        <v>83.2092219944148</v>
      </c>
      <c r="H6479" s="38" t="n">
        <f aca="false">Sens!$H$6387</f>
        <v>99.8969223878976</v>
      </c>
      <c r="I6479" s="38" t="n">
        <f aca="false">Sens!$I$6387</f>
        <v>116.583111095496</v>
      </c>
      <c r="J6479" s="38" t="n">
        <f aca="false">Sens!$J$6387</f>
        <v>132.148941941952</v>
      </c>
      <c r="K6479" s="38" t="n">
        <f aca="false">Sens!$K$6387</f>
        <v>145.363836136147</v>
      </c>
      <c r="L6479" s="38" t="n">
        <f aca="false">Sens!$L$6387</f>
        <v>159.900219749762</v>
      </c>
      <c r="M6479" s="38" t="n">
        <f aca="false">Sens!$M$6387</f>
        <v>175.890241724738</v>
      </c>
      <c r="N6479" s="38" t="n">
        <f aca="false">Sens!$N$6387</f>
        <v>29.615</v>
      </c>
      <c r="O6479" s="38" t="n">
        <f aca="false">Sens!$O$6387</f>
        <v>39.02</v>
      </c>
    </row>
    <row r="6480" customFormat="false" ht="15" hidden="false" customHeight="false" outlineLevel="0" collapsed="false">
      <c r="A6480" s="0" t="s">
        <v>523</v>
      </c>
      <c r="B6480" s="0" t="s">
        <v>86</v>
      </c>
      <c r="C6480" s="38" t="n">
        <f aca="false">Sens!$C$6389</f>
        <v>44.374</v>
      </c>
      <c r="D6480" s="38" t="n">
        <f aca="false">Sens!$D$6389</f>
        <v>49.619</v>
      </c>
      <c r="E6480" s="38" t="n">
        <f aca="false">Sens!$E$6389</f>
        <v>27.157</v>
      </c>
      <c r="F6480" s="38" t="n">
        <f aca="false">Sens!$F$6389</f>
        <v>27.7764165988154</v>
      </c>
      <c r="G6480" s="38" t="n">
        <f aca="false">Sens!$G$6389</f>
        <v>54.9334165988154</v>
      </c>
      <c r="H6480" s="38" t="n">
        <f aca="false">Sens!$H$6389</f>
        <v>61.1564112561829</v>
      </c>
      <c r="I6480" s="38" t="n">
        <f aca="false">Sens!$I$6389</f>
        <v>67.2020282103945</v>
      </c>
      <c r="J6480" s="38" t="n">
        <f aca="false">Sens!$J$6389</f>
        <v>72.8757274028885</v>
      </c>
      <c r="K6480" s="38" t="n">
        <f aca="false">Sens!$K$6389</f>
        <v>77.9770283210907</v>
      </c>
      <c r="L6480" s="38" t="n">
        <f aca="false">Sens!$L$6389</f>
        <v>83.4354203035671</v>
      </c>
      <c r="M6480" s="38" t="n">
        <f aca="false">Sens!$M$6389</f>
        <v>89.2758997248168</v>
      </c>
      <c r="N6480" s="38" t="n">
        <f aca="false">Sens!$N$6389</f>
        <v>23.923</v>
      </c>
      <c r="O6480" s="38" t="n">
        <f aca="false">Sens!$O$6389</f>
        <v>25.696</v>
      </c>
    </row>
    <row r="6481" customFormat="false" ht="15" hidden="false" customHeight="false" outlineLevel="0" collapsed="false">
      <c r="A6481" s="0" t="s">
        <v>524</v>
      </c>
      <c r="B6481" s="0" t="s">
        <v>86</v>
      </c>
      <c r="C6481" s="38" t="n">
        <f aca="false">Sens!$C$6391</f>
        <v>5.425</v>
      </c>
      <c r="D6481" s="38" t="n">
        <f aca="false">Sens!$D$6391</f>
        <v>5.935</v>
      </c>
      <c r="E6481" s="38" t="n">
        <f aca="false">Sens!$E$6391</f>
        <v>3.474</v>
      </c>
      <c r="F6481" s="38" t="n">
        <f aca="false">Sens!$F$6391</f>
        <v>3.22246550883619</v>
      </c>
      <c r="G6481" s="38" t="n">
        <f aca="false">Sens!$G$6391</f>
        <v>6.69646550883619</v>
      </c>
      <c r="H6481" s="38" t="n">
        <f aca="false">Sens!$H$6391</f>
        <v>7.16251344209196</v>
      </c>
      <c r="I6481" s="38" t="n">
        <f aca="false">Sens!$I$6391</f>
        <v>7.61421070299826</v>
      </c>
      <c r="J6481" s="38" t="n">
        <f aca="false">Sens!$J$6391</f>
        <v>8.04465753523932</v>
      </c>
      <c r="K6481" s="38" t="n">
        <f aca="false">Sens!$K$6391</f>
        <v>8.44689041200128</v>
      </c>
      <c r="L6481" s="38" t="n">
        <f aca="false">Sens!$L$6391</f>
        <v>8.86923493260135</v>
      </c>
      <c r="M6481" s="38" t="n">
        <f aca="false">Sens!$M$6391</f>
        <v>9.31269667923142</v>
      </c>
      <c r="N6481" s="38" t="n">
        <f aca="false">Sens!$N$6391</f>
        <v>2.811</v>
      </c>
      <c r="O6481" s="38" t="n">
        <f aca="false">Sens!$O$6391</f>
        <v>3.124</v>
      </c>
    </row>
    <row r="6482" customFormat="false" ht="17.15" hidden="false" customHeight="false" outlineLevel="0" collapsed="false">
      <c r="A6482" s="0" t="s">
        <v>717</v>
      </c>
      <c r="B6482" s="0" t="s">
        <v>86</v>
      </c>
      <c r="C6482" s="38" t="n">
        <f aca="false">Sens!$C$6463</f>
        <v>107.556</v>
      </c>
      <c r="D6482" s="38" t="n">
        <f aca="false">Sens!$D$6463</f>
        <v>128.725</v>
      </c>
      <c r="E6482" s="38" t="n">
        <f aca="false">Sens!$E$6463</f>
        <v>79.819</v>
      </c>
      <c r="F6482" s="38" t="n">
        <f aca="false">Sens!$F$6463</f>
        <v>86.7327334389669</v>
      </c>
      <c r="G6482" s="38" t="n">
        <f aca="false">Sens!$G$6463</f>
        <v>166.551733438967</v>
      </c>
      <c r="H6482" s="38" t="n">
        <f aca="false">Sens!$H$6463</f>
        <v>221.182967828978</v>
      </c>
      <c r="I6482" s="38" t="n">
        <f aca="false">Sens!$I$6463</f>
        <v>280.27345865789</v>
      </c>
      <c r="J6482" s="38" t="n">
        <f aca="false">Sens!$J$6463</f>
        <v>338.800945197185</v>
      </c>
      <c r="K6482" s="38" t="n">
        <f aca="false">Sens!$K$6463</f>
        <v>389.88570147276</v>
      </c>
      <c r="L6482" s="38" t="n">
        <f aca="false">Sens!$L$6463</f>
        <v>430.080689379143</v>
      </c>
      <c r="M6482" s="38" t="n">
        <f aca="false">Sens!$M$6463</f>
        <v>459.456235951751</v>
      </c>
      <c r="N6482" s="38" t="n">
        <f aca="false">Sens!$N$6463</f>
        <v>60.14</v>
      </c>
      <c r="O6482" s="38" t="n">
        <f aca="false">Sens!$O$6463</f>
        <v>68.585</v>
      </c>
    </row>
    <row r="6483" customFormat="false" ht="15" hidden="false" customHeight="false" outlineLevel="0" collapsed="false">
      <c r="A6483" s="1" t="s">
        <v>512</v>
      </c>
      <c r="B6483" s="8" t="s">
        <v>86</v>
      </c>
      <c r="C6483" s="38" t="n">
        <f aca="false">Sens!$C$6396</f>
        <v>387.497</v>
      </c>
      <c r="D6483" s="38" t="n">
        <f aca="false">Sens!$D$6396</f>
        <v>426.305</v>
      </c>
      <c r="E6483" s="38" t="n">
        <f aca="false">Sens!$E$6396</f>
        <v>220.32</v>
      </c>
      <c r="F6483" s="38" t="n">
        <f aca="false">Sens!$F$6396</f>
        <v>250.639773480586</v>
      </c>
      <c r="G6483" s="38" t="n">
        <f aca="false">Sens!$G$6396</f>
        <v>470.959773480586</v>
      </c>
      <c r="H6483" s="38" t="n">
        <f aca="false">Sens!$H$6396</f>
        <v>521.386990416437</v>
      </c>
      <c r="I6483" s="38" t="n">
        <f aca="false">Sens!$I$6396</f>
        <v>570.143862887555</v>
      </c>
      <c r="J6483" s="38" t="n">
        <f aca="false">Sens!$J$6396</f>
        <v>615.391435791933</v>
      </c>
      <c r="K6483" s="38" t="n">
        <f aca="false">Sens!$K$6396</f>
        <v>655.208227561543</v>
      </c>
      <c r="L6483" s="38" t="n">
        <f aca="false">Sens!$L$6396</f>
        <v>697.807739249767</v>
      </c>
      <c r="M6483" s="38" t="n">
        <f aca="false">Sens!$M$6396</f>
        <v>743.399328463592</v>
      </c>
      <c r="N6483" s="38" t="n">
        <f aca="false">Sens!$N$6396</f>
        <v>192.955</v>
      </c>
      <c r="O6483" s="38" t="n">
        <f aca="false">Sens!$O$6396</f>
        <v>233.35</v>
      </c>
    </row>
    <row r="6484" customFormat="false" ht="15" hidden="false" customHeight="false" outlineLevel="0" collapsed="false">
      <c r="A6484" s="1" t="s">
        <v>515</v>
      </c>
      <c r="B6484" s="8" t="s">
        <v>86</v>
      </c>
      <c r="C6484" s="38" t="n">
        <f aca="false">Sens!$C$6397</f>
        <v>142.906</v>
      </c>
      <c r="D6484" s="38" t="n">
        <f aca="false">Sens!$D$6397</f>
        <v>161.894</v>
      </c>
      <c r="E6484" s="38" t="n">
        <f aca="false">Sens!$E$6397</f>
        <v>81.986</v>
      </c>
      <c r="F6484" s="38" t="n">
        <f aca="false">Sens!$F$6397</f>
        <v>98.408468164951</v>
      </c>
      <c r="G6484" s="38" t="n">
        <f aca="false">Sens!$G$6397</f>
        <v>180.394468164951</v>
      </c>
      <c r="H6484" s="38" t="n">
        <f aca="false">Sens!$H$6397</f>
        <v>199.709899104949</v>
      </c>
      <c r="I6484" s="38" t="n">
        <f aca="false">Sens!$I$6397</f>
        <v>218.385528264976</v>
      </c>
      <c r="J6484" s="38" t="n">
        <f aca="false">Sens!$J$6397</f>
        <v>235.71696994951</v>
      </c>
      <c r="K6484" s="38" t="n">
        <f aca="false">Sens!$K$6397</f>
        <v>250.968227869545</v>
      </c>
      <c r="L6484" s="38" t="n">
        <f aca="false">Sens!$L$6397</f>
        <v>267.285367225822</v>
      </c>
      <c r="M6484" s="38" t="n">
        <f aca="false">Sens!$M$6397</f>
        <v>284.748579483295</v>
      </c>
      <c r="N6484" s="38" t="n">
        <f aca="false">Sens!$N$6397</f>
        <v>70.274</v>
      </c>
      <c r="O6484" s="38" t="n">
        <f aca="false">Sens!$O$6397</f>
        <v>91.62</v>
      </c>
    </row>
    <row r="6485" customFormat="false" ht="15" hidden="false" customHeight="false" outlineLevel="0" collapsed="false">
      <c r="A6485" s="1" t="s">
        <v>516</v>
      </c>
      <c r="B6485" s="8" t="s">
        <v>86</v>
      </c>
      <c r="C6485" s="38" t="n">
        <f aca="false">Sens!$C$6463</f>
        <v>107.556</v>
      </c>
      <c r="D6485" s="38" t="n">
        <f aca="false">Sens!$D$6463</f>
        <v>128.725</v>
      </c>
      <c r="E6485" s="38" t="n">
        <f aca="false">Sens!$E$6463</f>
        <v>79.819</v>
      </c>
      <c r="F6485" s="38" t="n">
        <f aca="false">Sens!$F$6463</f>
        <v>86.7327334389669</v>
      </c>
      <c r="G6485" s="38" t="n">
        <f aca="false">Sens!$G$6463</f>
        <v>166.551733438967</v>
      </c>
      <c r="H6485" s="38" t="n">
        <f aca="false">Sens!$H$6463</f>
        <v>221.182967828978</v>
      </c>
      <c r="I6485" s="38" t="n">
        <f aca="false">Sens!$I$6463</f>
        <v>280.27345865789</v>
      </c>
      <c r="J6485" s="38" t="n">
        <f aca="false">Sens!$J$6463</f>
        <v>338.800945197185</v>
      </c>
      <c r="K6485" s="38" t="n">
        <f aca="false">Sens!$K$6463</f>
        <v>389.88570147276</v>
      </c>
      <c r="L6485" s="38" t="n">
        <f aca="false">Sens!$L$6463</f>
        <v>430.080689379143</v>
      </c>
      <c r="M6485" s="38" t="n">
        <f aca="false">Sens!$M$6463</f>
        <v>459.456235951751</v>
      </c>
      <c r="N6485" s="38" t="n">
        <f aca="false">Sens!$N$6463</f>
        <v>60.14</v>
      </c>
      <c r="O6485" s="38" t="n">
        <f aca="false">Sens!$O$6463</f>
        <v>68.585</v>
      </c>
    </row>
    <row r="6486" customFormat="false" ht="17.15" hidden="false" customHeight="false" outlineLevel="0" collapsed="false">
      <c r="A6486" s="0" t="s">
        <v>691</v>
      </c>
      <c r="B6486" s="0" t="s">
        <v>86</v>
      </c>
      <c r="C6486" s="38" t="n">
        <f aca="false">Sens!$C$6461</f>
        <v>2.32100535697364</v>
      </c>
      <c r="D6486" s="38" t="n">
        <f aca="false">Sens!$D$6461</f>
        <v>8.70377008865116</v>
      </c>
      <c r="E6486" s="38" t="n">
        <f aca="false">Sens!$E$6461</f>
        <v>8.51035297557002</v>
      </c>
      <c r="F6486" s="38" t="n">
        <f aca="false">Sens!$F$6461</f>
        <v>14.9634336447205</v>
      </c>
      <c r="G6486" s="38" t="n">
        <f aca="false">Sens!$G$6461</f>
        <v>23.4737866202905</v>
      </c>
      <c r="H6486" s="38" t="n">
        <f aca="false">Sens!$H$6461</f>
        <v>60.1658907497746</v>
      </c>
      <c r="I6486" s="38" t="n">
        <f aca="false">Sens!$I$6461</f>
        <v>101.503699136432</v>
      </c>
      <c r="J6486" s="38" t="n">
        <f aca="false">Sens!$J$6461</f>
        <v>143.025407151278</v>
      </c>
      <c r="K6486" s="38" t="n">
        <f aca="false">Sens!$K$6461</f>
        <v>178.44812038318</v>
      </c>
      <c r="L6486" s="38" t="n">
        <f aca="false">Sens!$L$6461</f>
        <v>201.728101802396</v>
      </c>
      <c r="M6486" s="38" t="n">
        <f aca="false">Sens!$M$6461</f>
        <v>212.835441368865</v>
      </c>
      <c r="N6486" s="38" t="n">
        <f aca="false">Sens!$N$6461</f>
        <v>3.04631953102791</v>
      </c>
      <c r="O6486" s="38" t="n">
        <f aca="false">Sens!$O$6461</f>
        <v>5.65745055762326</v>
      </c>
    </row>
    <row r="6487" customFormat="false" ht="17.15" hidden="false" customHeight="false" outlineLevel="0" collapsed="false">
      <c r="A6487" s="0" t="s">
        <v>693</v>
      </c>
      <c r="B6487" s="0" t="s">
        <v>86</v>
      </c>
      <c r="C6487" s="38" t="n">
        <f aca="false">Sens!$C$6462</f>
        <v>105.234994643026</v>
      </c>
      <c r="D6487" s="38" t="n">
        <f aca="false">Sens!$D$6462</f>
        <v>120.021229911349</v>
      </c>
      <c r="E6487" s="38" t="n">
        <f aca="false">Sens!$E$6462</f>
        <v>71.30864702443</v>
      </c>
      <c r="F6487" s="38" t="n">
        <f aca="false">Sens!$F$6462</f>
        <v>71.7692997942464</v>
      </c>
      <c r="G6487" s="38" t="n">
        <f aca="false">Sens!$G$6462</f>
        <v>143.077946818676</v>
      </c>
      <c r="H6487" s="38" t="n">
        <f aca="false">Sens!$H$6462</f>
        <v>161.017077079203</v>
      </c>
      <c r="I6487" s="38" t="n">
        <f aca="false">Sens!$I$6462</f>
        <v>178.769759521457</v>
      </c>
      <c r="J6487" s="38" t="n">
        <f aca="false">Sens!$J$6462</f>
        <v>195.775538045907</v>
      </c>
      <c r="K6487" s="38" t="n">
        <f aca="false">Sens!$K$6462</f>
        <v>211.43758108958</v>
      </c>
      <c r="L6487" s="38" t="n">
        <f aca="false">Sens!$L$6462</f>
        <v>228.352587576746</v>
      </c>
      <c r="M6487" s="38" t="n">
        <f aca="false">Sens!$M$6462</f>
        <v>246.620794582886</v>
      </c>
      <c r="N6487" s="38" t="n">
        <f aca="false">Sens!$N$6462</f>
        <v>57.0936804689721</v>
      </c>
      <c r="O6487" s="38" t="n">
        <f aca="false">Sens!$O$6462</f>
        <v>62.9275494423768</v>
      </c>
    </row>
    <row r="6488" customFormat="false" ht="15" hidden="false" customHeight="false" outlineLevel="0" collapsed="false">
      <c r="A6488" s="3" t="s">
        <v>517</v>
      </c>
      <c r="B6488" s="8" t="s">
        <v>86</v>
      </c>
      <c r="C6488" s="38" t="n">
        <f aca="false">Sens!$C$6464</f>
        <v>637.959</v>
      </c>
      <c r="D6488" s="38" t="n">
        <f aca="false">Sens!$D$6464</f>
        <v>716.924</v>
      </c>
      <c r="E6488" s="38" t="n">
        <f aca="false">Sens!$E$6464</f>
        <v>382.125</v>
      </c>
      <c r="F6488" s="38" t="n">
        <f aca="false">Sens!$F$6464</f>
        <v>435.780975084504</v>
      </c>
      <c r="G6488" s="38" t="n">
        <f aca="false">Sens!$G$6464</f>
        <v>817.905975084504</v>
      </c>
      <c r="H6488" s="38" t="n">
        <f aca="false">Sens!$H$6464</f>
        <v>942.279857350364</v>
      </c>
      <c r="I6488" s="38" t="n">
        <f aca="false">Sens!$I$6464</f>
        <v>1068.80284981042</v>
      </c>
      <c r="J6488" s="38" t="n">
        <f aca="false">Sens!$J$6464</f>
        <v>1189.90935093863</v>
      </c>
      <c r="K6488" s="38" t="n">
        <f aca="false">Sens!$K$6464</f>
        <v>1296.06215690385</v>
      </c>
      <c r="L6488" s="38" t="n">
        <f aca="false">Sens!$L$6464</f>
        <v>1395.17379585473</v>
      </c>
      <c r="M6488" s="38" t="n">
        <f aca="false">Sens!$M$6464</f>
        <v>1487.60414389864</v>
      </c>
      <c r="N6488" s="38" t="n">
        <f aca="false">Sens!$N$6464</f>
        <v>323.369</v>
      </c>
      <c r="O6488" s="38" t="n">
        <f aca="false">Sens!$O$6464</f>
        <v>393.555</v>
      </c>
    </row>
    <row r="6489" customFormat="false" ht="17.15" hidden="false" customHeight="false" outlineLevel="0" collapsed="false">
      <c r="A6489" s="24" t="s">
        <v>703</v>
      </c>
      <c r="B6489" s="25" t="s">
        <v>86</v>
      </c>
      <c r="C6489" s="41" t="n">
        <f aca="false">Sens!$C$6476+Sens!$C$6477+Sens!$C$6478+Sens!$C$6479+Sens!$C$6480+Sens!$C$6481-(Sens!$C$6483+Sens!$C$6484)</f>
        <v>0</v>
      </c>
      <c r="D6489" s="41" t="n">
        <f aca="false">Sens!$D$6476+Sens!$D$6477+Sens!$D$6478+Sens!$D$6479+Sens!$D$6480+Sens!$D$6481-(Sens!$D$6483+Sens!$D$6484)</f>
        <v>0</v>
      </c>
      <c r="E6489" s="41" t="n">
        <f aca="false">Sens!$E$6476+Sens!$E$6477+Sens!$E$6478+Sens!$E$6479+Sens!$E$6480+Sens!$E$6481-(Sens!$E$6483+Sens!$E$6484)</f>
        <v>0</v>
      </c>
      <c r="F6489" s="41" t="n">
        <f aca="false">Sens!$F$6476+Sens!$F$6477+Sens!$F$6478+Sens!$F$6479+Sens!$F$6480+Sens!$F$6481-(Sens!$F$6483+Sens!$F$6484)</f>
        <v>0</v>
      </c>
      <c r="G6489" s="41" t="n">
        <f aca="false">Sens!$G$6476+Sens!$G$6477+Sens!$G$6478+Sens!$G$6479+Sens!$G$6480+Sens!$G$6481-(Sens!$G$6483+Sens!$G$6484)</f>
        <v>0</v>
      </c>
      <c r="H6489" s="41" t="n">
        <f aca="false">Sens!$H$6476+Sens!$H$6477+Sens!$H$6478+Sens!$H$6479+Sens!$H$6480+Sens!$H$6481-(Sens!$H$6483+Sens!$H$6484)</f>
        <v>0</v>
      </c>
      <c r="I6489" s="41" t="n">
        <f aca="false">Sens!$I$6476+Sens!$I$6477+Sens!$I$6478+Sens!$I$6479+Sens!$I$6480+Sens!$I$6481-(Sens!$I$6483+Sens!$I$6484)</f>
        <v>0</v>
      </c>
      <c r="J6489" s="41" t="n">
        <f aca="false">Sens!$J$6476+Sens!$J$6477+Sens!$J$6478+Sens!$J$6479+Sens!$J$6480+Sens!$J$6481-(Sens!$J$6483+Sens!$J$6484)</f>
        <v>0</v>
      </c>
      <c r="K6489" s="41" t="n">
        <f aca="false">Sens!$K$6476+Sens!$K$6477+Sens!$K$6478+Sens!$K$6479+Sens!$K$6480+Sens!$K$6481-(Sens!$K$6483+Sens!$K$6484)</f>
        <v>0</v>
      </c>
      <c r="L6489" s="41" t="n">
        <f aca="false">Sens!$L$6476+Sens!$L$6477+Sens!$L$6478+Sens!$L$6479+Sens!$L$6480+Sens!$L$6481-(Sens!$L$6483+Sens!$L$6484)</f>
        <v>0</v>
      </c>
      <c r="M6489" s="41" t="n">
        <f aca="false">Sens!$M$6476+Sens!$M$6477+Sens!$M$6478+Sens!$M$6479+Sens!$M$6480+Sens!$M$6481-(Sens!$M$6483+Sens!$M$6484)</f>
        <v>0</v>
      </c>
      <c r="N6489" s="41" t="n">
        <f aca="false">Sens!$N$6476+Sens!$N$6477+Sens!$N$6478+Sens!$N$6479+Sens!$N$6480+Sens!$N$6481-(Sens!$N$6483+Sens!$N$6484)</f>
        <v>0</v>
      </c>
      <c r="O6489" s="41" t="n">
        <f aca="false">Sens!$O$6476+Sens!$O$6477+Sens!$O$6478+Sens!$O$6479+Sens!$O$6480+Sens!$O$6481-(Sens!$O$6483+Sens!$O$6484)</f>
        <v>0</v>
      </c>
    </row>
    <row r="6490" customFormat="false" ht="17.15" hidden="false" customHeight="false" outlineLevel="0" collapsed="false">
      <c r="A6490" s="24" t="s">
        <v>704</v>
      </c>
      <c r="B6490" s="25" t="s">
        <v>86</v>
      </c>
      <c r="C6490" s="41" t="n">
        <f aca="false">Sens!$C$6486+Sens!$C$6487-Sens!$C$6485</f>
        <v>0</v>
      </c>
      <c r="D6490" s="41" t="n">
        <f aca="false">Sens!$D$6486+Sens!$D$6487-Sens!$D$6485</f>
        <v>0</v>
      </c>
      <c r="E6490" s="41" t="n">
        <f aca="false">Sens!$E$6486+Sens!$E$6487-Sens!$E$6485</f>
        <v>0</v>
      </c>
      <c r="F6490" s="41" t="n">
        <f aca="false">Sens!$F$6486+Sens!$F$6487-Sens!$F$6485</f>
        <v>0</v>
      </c>
      <c r="G6490" s="41" t="n">
        <f aca="false">Sens!$G$6486+Sens!$G$6487-Sens!$G$6485</f>
        <v>0</v>
      </c>
      <c r="H6490" s="41" t="n">
        <f aca="false">Sens!$H$6486+Sens!$H$6487-Sens!$H$6485</f>
        <v>0</v>
      </c>
      <c r="I6490" s="41" t="n">
        <f aca="false">Sens!$I$6486+Sens!$I$6487-Sens!$I$6485</f>
        <v>0</v>
      </c>
      <c r="J6490" s="41" t="n">
        <f aca="false">Sens!$J$6486+Sens!$J$6487-Sens!$J$6485</f>
        <v>0</v>
      </c>
      <c r="K6490" s="41" t="n">
        <f aca="false">Sens!$K$6486+Sens!$K$6487-Sens!$K$6485</f>
        <v>0</v>
      </c>
      <c r="L6490" s="41" t="n">
        <f aca="false">Sens!$L$6486+Sens!$L$6487-Sens!$L$6485</f>
        <v>0</v>
      </c>
      <c r="M6490" s="41" t="n">
        <f aca="false">Sens!$M$6486+Sens!$M$6487-Sens!$M$6485</f>
        <v>0</v>
      </c>
      <c r="N6490" s="41" t="n">
        <f aca="false">Sens!$N$6486+Sens!$N$6487-Sens!$N$6485</f>
        <v>0</v>
      </c>
      <c r="O6490" s="41" t="n">
        <f aca="false">Sens!$O$6486+Sens!$O$6487-Sens!$O$6485</f>
        <v>0</v>
      </c>
    </row>
    <row r="6491" customFormat="false" ht="17.15" hidden="false" customHeight="false" outlineLevel="0" collapsed="false">
      <c r="A6491" s="24" t="s">
        <v>763</v>
      </c>
      <c r="B6491" s="25" t="s">
        <v>86</v>
      </c>
      <c r="C6491" s="41" t="n">
        <f aca="false">Sens!$C$6476+Sens!$C$6477+Sens!$C$6478+Sens!$C$6479+Sens!$C$6480+Sens!$C$6481+Sens!$C$6482-Sens!$C$6488</f>
        <v>0</v>
      </c>
      <c r="D6491" s="41" t="n">
        <f aca="false">Sens!$D$6476+Sens!$D$6477+Sens!$D$6478+Sens!$D$6479+Sens!$D$6480+Sens!$D$6481+Sens!$D$6482-Sens!$D$6488</f>
        <v>0</v>
      </c>
      <c r="E6491" s="41" t="n">
        <f aca="false">Sens!$E$6476+Sens!$E$6477+Sens!$E$6478+Sens!$E$6479+Sens!$E$6480+Sens!$E$6481+Sens!$E$6482-Sens!$E$6488</f>
        <v>0</v>
      </c>
      <c r="F6491" s="41" t="n">
        <f aca="false">Sens!$F$6476+Sens!$F$6477+Sens!$F$6478+Sens!$F$6479+Sens!$F$6480+Sens!$F$6481+Sens!$F$6482-Sens!$F$6488</f>
        <v>0</v>
      </c>
      <c r="G6491" s="41" t="n">
        <f aca="false">Sens!$G$6476+Sens!$G$6477+Sens!$G$6478+Sens!$G$6479+Sens!$G$6480+Sens!$G$6481+Sens!$G$6482-Sens!$G$6488</f>
        <v>0</v>
      </c>
      <c r="H6491" s="41" t="n">
        <f aca="false">Sens!$H$6476+Sens!$H$6477+Sens!$H$6478+Sens!$H$6479+Sens!$H$6480+Sens!$H$6481+Sens!$H$6482-Sens!$H$6488</f>
        <v>0</v>
      </c>
      <c r="I6491" s="41" t="n">
        <f aca="false">Sens!$I$6476+Sens!$I$6477+Sens!$I$6478+Sens!$I$6479+Sens!$I$6480+Sens!$I$6481+Sens!$I$6482-Sens!$I$6488</f>
        <v>0</v>
      </c>
      <c r="J6491" s="41" t="n">
        <f aca="false">Sens!$J$6476+Sens!$J$6477+Sens!$J$6478+Sens!$J$6479+Sens!$J$6480+Sens!$J$6481+Sens!$J$6482-Sens!$J$6488</f>
        <v>0</v>
      </c>
      <c r="K6491" s="41" t="n">
        <f aca="false">Sens!$K$6476+Sens!$K$6477+Sens!$K$6478+Sens!$K$6479+Sens!$K$6480+Sens!$K$6481+Sens!$K$6482-Sens!$K$6488</f>
        <v>0</v>
      </c>
      <c r="L6491" s="41" t="n">
        <f aca="false">Sens!$L$6476+Sens!$L$6477+Sens!$L$6478+Sens!$L$6479+Sens!$L$6480+Sens!$L$6481+Sens!$L$6482-Sens!$L$6488</f>
        <v>0</v>
      </c>
      <c r="M6491" s="41" t="n">
        <f aca="false">Sens!$M$6476+Sens!$M$6477+Sens!$M$6478+Sens!$M$6479+Sens!$M$6480+Sens!$M$6481+Sens!$M$6482-Sens!$M$6488</f>
        <v>0</v>
      </c>
      <c r="N6491" s="41" t="n">
        <f aca="false">Sens!$N$6476+Sens!$N$6477+Sens!$N$6478+Sens!$N$6479+Sens!$N$6480+Sens!$N$6481+Sens!$N$6482-Sens!$N$6488</f>
        <v>0</v>
      </c>
      <c r="O6491" s="41" t="n">
        <f aca="false">Sens!$O$6476+Sens!$O$6477+Sens!$O$6478+Sens!$O$6479+Sens!$O$6480+Sens!$O$6481+Sens!$O$6482-Sens!$O$6488</f>
        <v>0</v>
      </c>
    </row>
    <row r="6492" customFormat="false" ht="17.15" hidden="false" customHeight="false" outlineLevel="0" collapsed="false">
      <c r="A6492" s="24" t="s">
        <v>705</v>
      </c>
      <c r="B6492" s="25" t="s">
        <v>86</v>
      </c>
      <c r="C6492" s="41" t="n">
        <f aca="false">Sens!$C$6483+Sens!$C$6484+Sens!$C$6485-Sens!$C$6488</f>
        <v>0</v>
      </c>
      <c r="D6492" s="41" t="n">
        <f aca="false">Sens!$D$6483+Sens!$D$6484+Sens!$D$6485-Sens!$D$6488</f>
        <v>0</v>
      </c>
      <c r="E6492" s="41" t="n">
        <f aca="false">Sens!$E$6483+Sens!$E$6484+Sens!$E$6485-Sens!$E$6488</f>
        <v>0</v>
      </c>
      <c r="F6492" s="41" t="n">
        <f aca="false">Sens!$F$6483+Sens!$F$6484+Sens!$F$6485-Sens!$F$6488</f>
        <v>0</v>
      </c>
      <c r="G6492" s="41" t="n">
        <f aca="false">Sens!$G$6483+Sens!$G$6484+Sens!$G$6485-Sens!$G$6488</f>
        <v>0</v>
      </c>
      <c r="H6492" s="41" t="n">
        <f aca="false">Sens!$H$6483+Sens!$H$6484+Sens!$H$6485-Sens!$H$6488</f>
        <v>0</v>
      </c>
      <c r="I6492" s="41" t="n">
        <f aca="false">Sens!$I$6483+Sens!$I$6484+Sens!$I$6485-Sens!$I$6488</f>
        <v>0</v>
      </c>
      <c r="J6492" s="41" t="n">
        <f aca="false">Sens!$J$6483+Sens!$J$6484+Sens!$J$6485-Sens!$J$6488</f>
        <v>0</v>
      </c>
      <c r="K6492" s="41" t="n">
        <f aca="false">Sens!$K$6483+Sens!$K$6484+Sens!$K$6485-Sens!$K$6488</f>
        <v>0</v>
      </c>
      <c r="L6492" s="41" t="n">
        <f aca="false">Sens!$L$6483+Sens!$L$6484+Sens!$L$6485-Sens!$L$6488</f>
        <v>0</v>
      </c>
      <c r="M6492" s="41" t="n">
        <f aca="false">Sens!$M$6483+Sens!$M$6484+Sens!$M$6485-Sens!$M$6488</f>
        <v>0</v>
      </c>
      <c r="N6492" s="41" t="n">
        <f aca="false">Sens!$N$6483+Sens!$N$6484+Sens!$N$6485-Sens!$N$6488</f>
        <v>0</v>
      </c>
      <c r="O6492" s="41" t="n">
        <f aca="false">Sens!$O$6483+Sens!$O$6484+Sens!$O$6485-Sens!$O$6488</f>
        <v>0</v>
      </c>
    </row>
    <row r="6493" customFormat="false" ht="17.15" hidden="false" customHeight="false" outlineLevel="0" collapsed="false">
      <c r="A6493" s="1" t="s">
        <v>719</v>
      </c>
    </row>
    <row r="6494" customFormat="false" ht="17.15" hidden="false" customHeight="false" outlineLevel="0" collapsed="false">
      <c r="A6494" s="0" t="s">
        <v>720</v>
      </c>
      <c r="B6494" s="0" t="s">
        <v>86</v>
      </c>
      <c r="C6494" s="38" t="n">
        <f aca="false">Sens!$C$6398*m_ad</f>
        <v>20.5341564414228</v>
      </c>
      <c r="D6494" s="38" t="n">
        <f aca="false">Sens!$D$6398*m_ad</f>
        <v>24.8720617299587</v>
      </c>
      <c r="E6494" s="38" t="n">
        <f aca="false">Sens!$E$6398*m_ad</f>
        <v>13.5017112462207</v>
      </c>
      <c r="F6494" s="38" t="n">
        <f aca="false">Sens!$F$6398*m_ad</f>
        <v>16.5719724165257</v>
      </c>
      <c r="G6494" s="38" t="n">
        <f aca="false">Sens!$G$6398*m_ad</f>
        <v>30.0820919220415</v>
      </c>
      <c r="H6494" s="38" t="n">
        <f aca="false">Sens!$H$6398*m_ad</f>
        <v>36.1150883276314</v>
      </c>
      <c r="I6494" s="38" t="n">
        <f aca="false">Sens!$I$6398*m_ad</f>
        <v>42.1475382231996</v>
      </c>
      <c r="J6494" s="38" t="n">
        <f aca="false">Sens!$J$6398*m_ad</f>
        <v>47.7749523864693</v>
      </c>
      <c r="K6494" s="38" t="n">
        <f aca="false">Sens!$K$6398*m_ad</f>
        <v>52.5524476251162</v>
      </c>
      <c r="L6494" s="38" t="n">
        <f aca="false">Sens!$L$6398*m_ad</f>
        <v>57.8076923876279</v>
      </c>
      <c r="M6494" s="38" t="n">
        <f aca="false">Sens!$M$6398*m_ad</f>
        <v>63.5884616263907</v>
      </c>
      <c r="N6494" s="38" t="n">
        <f aca="false">Sens!$N$6398*m_ad</f>
        <v>10.8543555706248</v>
      </c>
      <c r="O6494" s="38" t="n">
        <f aca="false">Sens!$O$6398*m_ad</f>
        <v>14.0094731821399</v>
      </c>
    </row>
    <row r="6495" customFormat="false" ht="17.15" hidden="false" customHeight="false" outlineLevel="0" collapsed="false">
      <c r="A6495" s="0" t="s">
        <v>721</v>
      </c>
      <c r="B6495" s="0" t="s">
        <v>86</v>
      </c>
      <c r="C6495" s="38" t="n">
        <f aca="false">Sens!$C$6396-Sens!$C$6398</f>
        <v>346.428687117154</v>
      </c>
      <c r="D6495" s="38" t="n">
        <f aca="false">Sens!$D$6396-Sens!$D$6398</f>
        <v>376.560876540083</v>
      </c>
      <c r="E6495" s="38" t="n">
        <f aca="false">Sens!$E$6396-Sens!$E$6398</f>
        <v>193.316577507559</v>
      </c>
      <c r="F6495" s="38" t="n">
        <f aca="false">Sens!$F$6396-Sens!$F$6398</f>
        <v>217.495828647535</v>
      </c>
      <c r="G6495" s="38" t="n">
        <f aca="false">Sens!$G$6396-Sens!$G$6398</f>
        <v>410.795589636503</v>
      </c>
      <c r="H6495" s="38" t="n">
        <f aca="false">Sens!$H$6396-Sens!$H$6398</f>
        <v>449.156813761174</v>
      </c>
      <c r="I6495" s="38" t="n">
        <f aca="false">Sens!$I$6396-Sens!$I$6398</f>
        <v>485.848786441156</v>
      </c>
      <c r="J6495" s="38" t="n">
        <f aca="false">Sens!$J$6396-Sens!$J$6398</f>
        <v>519.841531018994</v>
      </c>
      <c r="K6495" s="38" t="n">
        <f aca="false">Sens!$K$6396-Sens!$K$6398</f>
        <v>550.103332311311</v>
      </c>
      <c r="L6495" s="38" t="n">
        <f aca="false">Sens!$L$6396-Sens!$L$6398</f>
        <v>582.192354474511</v>
      </c>
      <c r="M6495" s="38" t="n">
        <f aca="false">Sens!$M$6396-Sens!$M$6398</f>
        <v>616.22240521081</v>
      </c>
      <c r="N6495" s="38" t="n">
        <f aca="false">Sens!$N$6396-Sens!$N$6398</f>
        <v>171.24628885875</v>
      </c>
      <c r="O6495" s="38" t="n">
        <f aca="false">Sens!$O$6396-Sens!$O$6398</f>
        <v>205.33105363572</v>
      </c>
    </row>
    <row r="6496" customFormat="false" ht="17.15" hidden="false" customHeight="false" outlineLevel="0" collapsed="false">
      <c r="A6496" s="0" t="s">
        <v>722</v>
      </c>
      <c r="B6496" s="0" t="s">
        <v>86</v>
      </c>
      <c r="C6496" s="38" t="n">
        <f aca="false">Sens!$C$6447*Sens!$C$6395</f>
        <v>0.123617442257179</v>
      </c>
      <c r="D6496" s="38" t="n">
        <f aca="false">Sens!$D$6447*Sens!$D$6395</f>
        <v>0.600198046024689</v>
      </c>
      <c r="E6496" s="38" t="n">
        <f aca="false">Sens!$E$6447*Sens!$E$6395</f>
        <v>0.970552432202993</v>
      </c>
      <c r="F6496" s="38" t="n">
        <f aca="false">Sens!$F$6447*Sens!$F$6395</f>
        <v>1.20013524388435</v>
      </c>
      <c r="G6496" s="38" t="n">
        <f aca="false">Sens!$G$6447*Sens!$G$6395</f>
        <v>2.17135369594947</v>
      </c>
      <c r="H6496" s="38" t="n">
        <f aca="false">Sens!$H$6447*Sens!$H$6395</f>
        <v>6.14227489656333</v>
      </c>
      <c r="I6496" s="38" t="n">
        <f aca="false">Sens!$I$6447*Sens!$I$6395</f>
        <v>11.6518054969681</v>
      </c>
      <c r="J6496" s="38" t="n">
        <f aca="false">Sens!$J$6447*Sens!$J$6395</f>
        <v>17.3105301010592</v>
      </c>
      <c r="K6496" s="38" t="n">
        <f aca="false">Sens!$K$6447*Sens!$K$6395</f>
        <v>22.8486728059883</v>
      </c>
      <c r="L6496" s="38" t="n">
        <f aca="false">Sens!$L$6447*Sens!$L$6395</f>
        <v>26.6849171332777</v>
      </c>
      <c r="M6496" s="38" t="n">
        <f aca="false">Sens!$M$6447*Sens!$M$6395</f>
        <v>29.0523240317336</v>
      </c>
      <c r="N6496" s="38" t="n">
        <f aca="false">Sens!$N$6447*Sens!$N$6395</f>
        <v>0.25053229484398</v>
      </c>
      <c r="O6496" s="38" t="n">
        <f aca="false">Sens!$O$6447*Sens!$O$6395</f>
        <v>0.349234376756897</v>
      </c>
    </row>
    <row r="6497" customFormat="false" ht="17.15" hidden="false" customHeight="false" outlineLevel="0" collapsed="false">
      <c r="A6497" s="0" t="s">
        <v>723</v>
      </c>
      <c r="B6497" s="0" t="s">
        <v>52</v>
      </c>
      <c r="C6497" s="28" t="n">
        <f aca="false">(Sens!$C$6498-Sens!$C$6494+Sens!$C$6496)/Sens!$C$6495</f>
        <v>0.0131526665379575</v>
      </c>
      <c r="D6497" s="28" t="n">
        <f aca="false">(Sens!$D$6498-Sens!$D$6494+Sens!$D$6496)/Sens!$D$6495</f>
        <v>0.0141999252954702</v>
      </c>
      <c r="E6497" s="28" t="n">
        <f aca="false">(Sens!$E$6498-Sens!$E$6494+Sens!$E$6496)/Sens!$E$6495</f>
        <v>0.0251341154940129</v>
      </c>
      <c r="F6497" s="28" t="n">
        <f aca="false">Sens!$O$6497+(Sens!$E$6497-Sens!$N$6497)</f>
        <v>0.0217171685713677</v>
      </c>
      <c r="G6497" s="28" t="n">
        <f aca="false">(Sens!$G$6498-Sens!$G$6494+Sens!$G$6496)/Sens!$G$6495</f>
        <v>0.0233071940458981</v>
      </c>
      <c r="H6497" s="28" t="n">
        <f aca="false">Sens!$G$6497+step_na</f>
        <v>0.0263071940458981</v>
      </c>
      <c r="I6497" s="28" t="n">
        <f aca="false">Sens!$H$6497+step_na</f>
        <v>0.0293071940458981</v>
      </c>
      <c r="J6497" s="28" t="n">
        <f aca="false">Sens!$I$6497+step_na</f>
        <v>0.0323071940458981</v>
      </c>
      <c r="K6497" s="28" t="n">
        <f aca="false">Sens!$J$6497+step_na</f>
        <v>0.0353071940458981</v>
      </c>
      <c r="L6497" s="28" t="n">
        <f aca="false">Sens!$K$6497</f>
        <v>0.0353071940458981</v>
      </c>
      <c r="M6497" s="28" t="n">
        <f aca="false">Sens!$L$6497</f>
        <v>0.0353071940458981</v>
      </c>
      <c r="N6497" s="28" t="n">
        <f aca="false">(Sens!$N$6498-Sens!$N$6494+Sens!$N$6496)/Sens!$N$6495</f>
        <v>0.0160831323269779</v>
      </c>
      <c r="O6497" s="28" t="n">
        <f aca="false">(Sens!$O$6498-Sens!$O$6494+Sens!$O$6496)/Sens!$O$6495</f>
        <v>0.0126661854043327</v>
      </c>
      <c r="P6497" s="8" t="s">
        <v>724</v>
      </c>
    </row>
    <row r="6498" customFormat="false" ht="17.15" hidden="false" customHeight="false" outlineLevel="0" collapsed="false">
      <c r="A6498" s="1" t="s">
        <v>725</v>
      </c>
      <c r="B6498" s="8" t="s">
        <v>86</v>
      </c>
      <c r="C6498" s="38" t="n">
        <f aca="false">Q!$D$22</f>
        <v>24.967</v>
      </c>
      <c r="D6498" s="38" t="n">
        <f aca="false">Q!$E$22</f>
        <v>29.619</v>
      </c>
      <c r="E6498" s="38" t="n">
        <f aca="false">Q!$P$22</f>
        <v>17.39</v>
      </c>
      <c r="F6498" s="38" t="n">
        <f aca="false">Sens!$F$6494+Sens!$F$6495*Sens!$F$6497-Sens!$F$6496</f>
        <v>20.0952307469491</v>
      </c>
      <c r="G6498" s="38" t="n">
        <f aca="false">Sens!$E$6498+Sens!$F$6498</f>
        <v>37.4852307469491</v>
      </c>
      <c r="H6498" s="38" t="n">
        <f aca="false">Sens!$H$6494+Sens!$H$6495*Sens!$H$6497-Sens!$H$6496</f>
        <v>41.7888688877206</v>
      </c>
      <c r="I6498" s="38" t="n">
        <f aca="false">Sens!$I$6494+Sens!$I$6495*Sens!$I$6497-Sens!$I$6496</f>
        <v>44.7345973874265</v>
      </c>
      <c r="J6498" s="38" t="n">
        <f aca="false">Sens!$J$6494+Sens!$J$6495*Sens!$J$6497-Sens!$J$6496</f>
        <v>47.2590435011574</v>
      </c>
      <c r="K6498" s="38" t="n">
        <f aca="false">Sens!$K$6494+Sens!$K$6495*Sens!$K$6497-Sens!$K$6496</f>
        <v>49.1263799183386</v>
      </c>
      <c r="L6498" s="38" t="n">
        <f aca="false">Sens!$L$6494+Sens!$L$6495*Sens!$L$6497-Sens!$L$6496</f>
        <v>51.67835368582</v>
      </c>
      <c r="M6498" s="38" t="n">
        <f aca="false">Sens!$M$6494+Sens!$M$6495*Sens!$M$6497-Sens!$M$6496</f>
        <v>56.2932216308652</v>
      </c>
      <c r="N6498" s="38" t="n">
        <f aca="false">Q!$N$22</f>
        <v>13.358</v>
      </c>
      <c r="O6498" s="38" t="n">
        <f aca="false">Q!$O$22</f>
        <v>16.261</v>
      </c>
    </row>
    <row r="6499" customFormat="false" ht="17.15" hidden="false" customHeight="false" outlineLevel="0" collapsed="false">
      <c r="A6499" s="0" t="s">
        <v>726</v>
      </c>
      <c r="B6499" s="0" t="s">
        <v>86</v>
      </c>
      <c r="C6499" s="38" t="n">
        <f aca="false">Sens!$C$6399*m_ad</f>
        <v>7.57284355857716</v>
      </c>
      <c r="D6499" s="38" t="n">
        <f aca="false">Sens!$D$6399*m_ad</f>
        <v>9.44543827004127</v>
      </c>
      <c r="E6499" s="38" t="n">
        <f aca="false">Sens!$E$6399*m_ad</f>
        <v>5.02428875377928</v>
      </c>
      <c r="F6499" s="38" t="n">
        <f aca="false">Sens!$F$6399*m_ad</f>
        <v>6.50663858068173</v>
      </c>
      <c r="G6499" s="38" t="n">
        <f aca="false">Sens!$G$6399*m_ad</f>
        <v>11.5225190751659</v>
      </c>
      <c r="H6499" s="38" t="n">
        <f aca="false">Sens!$H$6399*m_ad</f>
        <v>13.8333728663174</v>
      </c>
      <c r="I6499" s="38" t="n">
        <f aca="false">Sens!$I$6399*m_ad</f>
        <v>16.1440173245485</v>
      </c>
      <c r="J6499" s="38" t="n">
        <f aca="false">Sens!$J$6399*m_ad</f>
        <v>18.2995185845066</v>
      </c>
      <c r="K6499" s="38" t="n">
        <f aca="false">Sens!$K$6399*m_ad</f>
        <v>20.1294704429572</v>
      </c>
      <c r="L6499" s="38" t="n">
        <f aca="false">Sens!$L$6399*m_ad</f>
        <v>22.142417487253</v>
      </c>
      <c r="M6499" s="38" t="n">
        <f aca="false">Sens!$M$6399*m_ad</f>
        <v>24.3566592359783</v>
      </c>
      <c r="N6499" s="38" t="n">
        <f aca="false">Sens!$N$6399*m_ad</f>
        <v>3.95314442937518</v>
      </c>
      <c r="O6499" s="38" t="n">
        <f aca="false">Sens!$O$6399*m_ad</f>
        <v>5.50052681786011</v>
      </c>
    </row>
    <row r="6500" customFormat="false" ht="17.15" hidden="false" customHeight="false" outlineLevel="0" collapsed="false">
      <c r="A6500" s="0" t="s">
        <v>727</v>
      </c>
      <c r="B6500" s="0" t="s">
        <v>86</v>
      </c>
      <c r="C6500" s="38" t="n">
        <f aca="false">Sens!$C$6397-Sens!$C$6399</f>
        <v>127.760312882846</v>
      </c>
      <c r="D6500" s="38" t="n">
        <f aca="false">Sens!$D$6397-Sens!$D$6399</f>
        <v>143.003123459917</v>
      </c>
      <c r="E6500" s="38" t="n">
        <f aca="false">Sens!$E$6397-Sens!$E$6399</f>
        <v>71.9374224924414</v>
      </c>
      <c r="F6500" s="38" t="n">
        <f aca="false">Sens!$F$6397-Sens!$F$6399</f>
        <v>85.3951910035875</v>
      </c>
      <c r="G6500" s="38" t="n">
        <f aca="false">Sens!$G$6397-Sens!$G$6399</f>
        <v>157.349430014619</v>
      </c>
      <c r="H6500" s="38" t="n">
        <f aca="false">Sens!$H$6397-Sens!$H$6399</f>
        <v>172.043153372315</v>
      </c>
      <c r="I6500" s="38" t="n">
        <f aca="false">Sens!$I$6397-Sens!$I$6399</f>
        <v>186.097493615879</v>
      </c>
      <c r="J6500" s="38" t="n">
        <f aca="false">Sens!$J$6397-Sens!$J$6399</f>
        <v>199.117932780497</v>
      </c>
      <c r="K6500" s="38" t="n">
        <f aca="false">Sens!$K$6397-Sens!$K$6399</f>
        <v>210.70928698363</v>
      </c>
      <c r="L6500" s="38" t="n">
        <f aca="false">Sens!$L$6397-Sens!$L$6399</f>
        <v>223.000532251316</v>
      </c>
      <c r="M6500" s="38" t="n">
        <f aca="false">Sens!$M$6397-Sens!$M$6399</f>
        <v>236.035261011339</v>
      </c>
      <c r="N6500" s="38" t="n">
        <f aca="false">Sens!$N$6397-Sens!$N$6399</f>
        <v>62.3677111412496</v>
      </c>
      <c r="O6500" s="38" t="n">
        <f aca="false">Sens!$O$6397-Sens!$O$6399</f>
        <v>80.6189463642798</v>
      </c>
    </row>
    <row r="6501" customFormat="false" ht="17.15" hidden="false" customHeight="false" outlineLevel="0" collapsed="false">
      <c r="A6501" s="0" t="s">
        <v>728</v>
      </c>
      <c r="B6501" s="0" t="s">
        <v>86</v>
      </c>
      <c r="C6501" s="38" t="n">
        <f aca="false">Sens!$C$6447*(1-Sens!$C$6395)</f>
        <v>0.0455891896019953</v>
      </c>
      <c r="D6501" s="38" t="n">
        <f aca="false">Sens!$D$6447*(1-Sens!$D$6395)</f>
        <v>0.227931791705753</v>
      </c>
      <c r="E6501" s="38" t="n">
        <f aca="false">Sens!$E$6447*(1-Sens!$E$6395)</f>
        <v>0.361164268820781</v>
      </c>
      <c r="F6501" s="38" t="n">
        <f aca="false">Sens!$F$6447*(1-Sens!$F$6395)</f>
        <v>0.471208018190203</v>
      </c>
      <c r="G6501" s="38" t="n">
        <f aca="false">Sens!$G$6447*(1-Sens!$G$6395)</f>
        <v>0.83170626714885</v>
      </c>
      <c r="H6501" s="38" t="n">
        <f aca="false">Sens!$H$6447*(1-Sens!$H$6395)</f>
        <v>2.35271136874315</v>
      </c>
      <c r="I6501" s="38" t="n">
        <f aca="false">Sens!$I$6447*(1-Sens!$I$6395)</f>
        <v>4.46305900024741</v>
      </c>
      <c r="J6501" s="38" t="n">
        <f aca="false">Sens!$J$6447*(1-Sens!$J$6395)</f>
        <v>6.63055328092195</v>
      </c>
      <c r="K6501" s="38" t="n">
        <f aca="false">Sens!$K$6447*(1-Sens!$K$6395)</f>
        <v>8.75186037365703</v>
      </c>
      <c r="L6501" s="38" t="n">
        <f aca="false">Sens!$L$6447*(1-Sens!$L$6395)</f>
        <v>10.2212794071718</v>
      </c>
      <c r="M6501" s="38" t="n">
        <f aca="false">Sens!$M$6447*(1-Sens!$M$6395)</f>
        <v>11.1280810756472</v>
      </c>
      <c r="N6501" s="38" t="n">
        <f aca="false">Sens!$N$6447*(1-Sens!$N$6395)</f>
        <v>0.0912435878202994</v>
      </c>
      <c r="O6501" s="38" t="n">
        <f aca="false">Sens!$O$6447*(1-Sens!$O$6395)</f>
        <v>0.137119578309265</v>
      </c>
    </row>
    <row r="6502" customFormat="false" ht="17.15" hidden="false" customHeight="false" outlineLevel="0" collapsed="false">
      <c r="A6502" s="0" t="s">
        <v>729</v>
      </c>
      <c r="B6502" s="0" t="s">
        <v>52</v>
      </c>
      <c r="C6502" s="28" t="n">
        <f aca="false">(Sens!$C$6503-Sens!$C$6499+Sens!$C$6501)/Sens!$C$6500</f>
        <v>-0.0292364215826579</v>
      </c>
      <c r="D6502" s="28" t="n">
        <f aca="false">(Sens!$D$6503-Sens!$D$6499+Sens!$D$6501)/Sens!$D$6500</f>
        <v>-0.0312406216748665</v>
      </c>
      <c r="E6502" s="28" t="n">
        <f aca="false">(Sens!$E$6503-Sens!$E$6499+Sens!$E$6501)/Sens!$E$6500</f>
        <v>-0.0211590078184749</v>
      </c>
      <c r="F6502" s="28" t="n">
        <f aca="false">Sens!$O$6502+(Sens!$E$6502-Sens!$N$6502)</f>
        <v>-0.0382539955245511</v>
      </c>
      <c r="G6502" s="28" t="n">
        <f aca="false">(Sens!$G$6503-Sens!$G$6499+Sens!$G$6501)/Sens!$G$6500</f>
        <v>-0.030385172031133</v>
      </c>
      <c r="H6502" s="28" t="n">
        <f aca="false">Sens!$G$6502+step_in</f>
        <v>-0.030385172031133</v>
      </c>
      <c r="I6502" s="28" t="n">
        <f aca="false">Sens!$H$6502+step_in</f>
        <v>-0.030385172031133</v>
      </c>
      <c r="J6502" s="28" t="n">
        <f aca="false">Sens!$I$6502+step_in</f>
        <v>-0.030385172031133</v>
      </c>
      <c r="K6502" s="28" t="n">
        <f aca="false">Sens!$J$6502+step_in</f>
        <v>-0.030385172031133</v>
      </c>
      <c r="L6502" s="28" t="n">
        <f aca="false">Sens!$K$6502</f>
        <v>-0.030385172031133</v>
      </c>
      <c r="M6502" s="28" t="n">
        <f aca="false">Sens!$L$6502</f>
        <v>-0.030385172031133</v>
      </c>
      <c r="N6502" s="28" t="n">
        <f aca="false">(Sens!$N$6503-Sens!$N$6499+Sens!$N$6501)/Sens!$N$6500</f>
        <v>-0.0216602600421776</v>
      </c>
      <c r="O6502" s="28" t="n">
        <f aca="false">(Sens!$O$6503-Sens!$O$6499+Sens!$O$6501)/Sens!$O$6500</f>
        <v>-0.0387552477482538</v>
      </c>
      <c r="P6502" s="8" t="s">
        <v>724</v>
      </c>
    </row>
    <row r="6503" customFormat="false" ht="17.15" hidden="false" customHeight="false" outlineLevel="0" collapsed="false">
      <c r="A6503" s="1" t="s">
        <v>730</v>
      </c>
      <c r="B6503" s="8" t="s">
        <v>86</v>
      </c>
      <c r="C6503" s="38" t="n">
        <f aca="false">Q!$D$23</f>
        <v>3.792</v>
      </c>
      <c r="D6503" s="38" t="n">
        <f aca="false">Q!$E$23</f>
        <v>4.75</v>
      </c>
      <c r="E6503" s="38" t="n">
        <f aca="false">Q!$P$23</f>
        <v>3.141</v>
      </c>
      <c r="F6503" s="38" t="n">
        <f aca="false">Sens!$F$6499+Sens!$F$6500*Sens!$F$6502-Sens!$F$6501</f>
        <v>2.7687233080221</v>
      </c>
      <c r="G6503" s="38" t="n">
        <f aca="false">Sens!$E$6503+Sens!$F$6503</f>
        <v>5.9097233080221</v>
      </c>
      <c r="H6503" s="38" t="n">
        <f aca="false">Sens!$H$6499+Sens!$H$6500*Sens!$H$6502-Sens!$H$6501</f>
        <v>6.25310068557783</v>
      </c>
      <c r="I6503" s="38" t="n">
        <f aca="false">Sens!$I$6499+Sens!$I$6500*Sens!$I$6502-Sens!$I$6501</f>
        <v>6.02635396621997</v>
      </c>
      <c r="J6503" s="38" t="n">
        <f aca="false">Sens!$J$6499+Sens!$J$6500*Sens!$J$6502-Sens!$J$6501</f>
        <v>5.61873266156566</v>
      </c>
      <c r="K6503" s="38" t="n">
        <f aca="false">Sens!$K$6499+Sens!$K$6500*Sens!$K$6502-Sens!$K$6501</f>
        <v>4.97517213574524</v>
      </c>
      <c r="L6503" s="38" t="n">
        <f aca="false">Sens!$L$6499+Sens!$L$6500*Sens!$L$6502-Sens!$L$6501</f>
        <v>5.14522854459066</v>
      </c>
      <c r="M6503" s="38" t="n">
        <f aca="false">Sens!$M$6499+Sens!$M$6500*Sens!$M$6502-Sens!$M$6501</f>
        <v>6.05660614908815</v>
      </c>
      <c r="N6503" s="38" t="n">
        <f aca="false">Q!$N$23</f>
        <v>2.511</v>
      </c>
      <c r="O6503" s="38" t="n">
        <f aca="false">Q!$O$23</f>
        <v>2.239</v>
      </c>
    </row>
    <row r="6504" customFormat="false" ht="17.15" hidden="false" customHeight="false" outlineLevel="0" collapsed="false">
      <c r="A6504" s="0" t="s">
        <v>731</v>
      </c>
      <c r="B6504" s="0" t="s">
        <v>86</v>
      </c>
      <c r="C6504" s="38" t="n">
        <f aca="false">Sens!$C$6444</f>
        <v>1.64417882953695</v>
      </c>
      <c r="D6504" s="38" t="n">
        <f aca="false">Sens!$D$6444</f>
        <v>5.39125073772939</v>
      </c>
      <c r="E6504" s="38" t="n">
        <f aca="false">Sens!$E$6444</f>
        <v>3.18348617147493</v>
      </c>
      <c r="F6504" s="38" t="n">
        <f aca="false">Sens!$F$6444</f>
        <v>8.27806059642226</v>
      </c>
      <c r="G6504" s="38" t="n">
        <f aca="false">Sens!$G$6444</f>
        <v>11.4615467678972</v>
      </c>
      <c r="H6504" s="38" t="n">
        <f aca="false">Sens!$H$6444</f>
        <v>26.1859456885487</v>
      </c>
      <c r="I6504" s="38" t="n">
        <f aca="false">Sens!$I$6444</f>
        <v>37.04424114757</v>
      </c>
      <c r="J6504" s="38" t="n">
        <f aca="false">Sens!$J$6444</f>
        <v>47.2610736233534</v>
      </c>
      <c r="K6504" s="38" t="n">
        <f aca="false">Sens!$K$6444</f>
        <v>52.0459876645985</v>
      </c>
      <c r="L6504" s="38" t="n">
        <f aca="false">Sens!$L$6444</f>
        <v>54.1033156405981</v>
      </c>
      <c r="M6504" s="38" t="n">
        <f aca="false">Sens!$M$6444</f>
        <v>52.1138209393421</v>
      </c>
      <c r="N6504" s="38" t="n">
        <f aca="false">Sens!$N$6444</f>
        <v>1.67921600037079</v>
      </c>
      <c r="O6504" s="38" t="n">
        <f aca="false">Sens!$O$6444</f>
        <v>3.71203473735861</v>
      </c>
    </row>
    <row r="6505" customFormat="false" ht="17.15" hidden="false" customHeight="false" outlineLevel="0" collapsed="false">
      <c r="A6505" s="0" t="s">
        <v>649</v>
      </c>
      <c r="B6505" s="0" t="s">
        <v>86</v>
      </c>
      <c r="C6505" s="38" t="n">
        <f aca="false">Sens!$C$6449</f>
        <v>38.1898211704631</v>
      </c>
      <c r="D6505" s="38" t="n">
        <f aca="false">Sens!$D$6449</f>
        <v>40.2147492622706</v>
      </c>
      <c r="E6505" s="38" t="n">
        <f aca="false">Sens!$E$6449</f>
        <v>27.5985138285251</v>
      </c>
      <c r="F6505" s="38" t="n">
        <f aca="false">Sens!$F$6449</f>
        <v>25.5484769754606</v>
      </c>
      <c r="G6505" s="38" t="n">
        <f aca="false">Sens!$G$6449</f>
        <v>53.1469908039857</v>
      </c>
      <c r="H6505" s="38" t="n">
        <f aca="false">Sens!$H$6449</f>
        <v>57.3189525076539</v>
      </c>
      <c r="I6505" s="38" t="n">
        <f aca="false">Sens!$I$6449</f>
        <v>63.6385627021087</v>
      </c>
      <c r="J6505" s="38" t="n">
        <f aca="false">Sens!$J$6449</f>
        <v>69.6922896066105</v>
      </c>
      <c r="K6505" s="38" t="n">
        <f aca="false">Sens!$K$6449</f>
        <v>75.2676727751394</v>
      </c>
      <c r="L6505" s="38" t="n">
        <f aca="false">Sens!$L$6449</f>
        <v>81.2890865971505</v>
      </c>
      <c r="M6505" s="38" t="n">
        <f aca="false">Sens!$M$6449</f>
        <v>87.7922135249226</v>
      </c>
      <c r="N6505" s="38" t="n">
        <f aca="false">Sens!$N$6449</f>
        <v>20.0277839996292</v>
      </c>
      <c r="O6505" s="38" t="n">
        <f aca="false">Sens!$O$6449</f>
        <v>20.1869652626414</v>
      </c>
    </row>
    <row r="6506" customFormat="false" ht="17.15" hidden="false" customHeight="false" outlineLevel="0" collapsed="false">
      <c r="A6506" s="1" t="s">
        <v>732</v>
      </c>
      <c r="B6506" s="8" t="s">
        <v>86</v>
      </c>
      <c r="C6506" s="38" t="n">
        <f aca="false">Q!$D$24</f>
        <v>39.834</v>
      </c>
      <c r="D6506" s="38" t="n">
        <f aca="false">Q!$E$24</f>
        <v>45.606</v>
      </c>
      <c r="E6506" s="38" t="n">
        <f aca="false">Q!$P$24</f>
        <v>30.782</v>
      </c>
      <c r="F6506" s="38" t="n">
        <f aca="false">Sens!$F$6504+Sens!$F$6505</f>
        <v>33.8265375718829</v>
      </c>
      <c r="G6506" s="38" t="n">
        <f aca="false">Sens!$G$6504+Sens!$G$6505</f>
        <v>64.6085375718829</v>
      </c>
      <c r="H6506" s="38" t="n">
        <f aca="false">Sens!$H$6504+Sens!$H$6505</f>
        <v>83.5048981962026</v>
      </c>
      <c r="I6506" s="38" t="n">
        <f aca="false">Sens!$I$6504+Sens!$I$6505</f>
        <v>100.682803849679</v>
      </c>
      <c r="J6506" s="38" t="n">
        <f aca="false">Sens!$J$6504+Sens!$J$6505</f>
        <v>116.953363229964</v>
      </c>
      <c r="K6506" s="38" t="n">
        <f aca="false">Sens!$K$6504+Sens!$K$6505</f>
        <v>127.313660439738</v>
      </c>
      <c r="L6506" s="38" t="n">
        <f aca="false">Sens!$L$6504+Sens!$L$6505</f>
        <v>135.392402237749</v>
      </c>
      <c r="M6506" s="38" t="n">
        <f aca="false">Sens!$M$6504+Sens!$M$6505</f>
        <v>139.906034464265</v>
      </c>
      <c r="N6506" s="38" t="n">
        <f aca="false">Q!$N$24</f>
        <v>21.707</v>
      </c>
      <c r="O6506" s="38" t="n">
        <f aca="false">Q!$O$24</f>
        <v>23.899</v>
      </c>
    </row>
    <row r="6507" customFormat="false" ht="17.15" hidden="false" customHeight="false" outlineLevel="0" collapsed="false">
      <c r="A6507" s="5" t="s">
        <v>733</v>
      </c>
      <c r="B6507" s="0" t="s">
        <v>86</v>
      </c>
      <c r="C6507" s="38" t="n">
        <f aca="false">Q!$D$26</f>
        <v>0</v>
      </c>
      <c r="D6507" s="38" t="n">
        <f aca="false">Q!$E$26</f>
        <v>0</v>
      </c>
      <c r="E6507" s="38" t="n">
        <f aca="false">Q!$P$26</f>
        <v>0</v>
      </c>
      <c r="F6507" s="39" t="n">
        <v>0</v>
      </c>
      <c r="G6507" s="38" t="n">
        <f aca="false">Sens!$E$6507+Sens!$F$6507</f>
        <v>0</v>
      </c>
      <c r="H6507" s="39" t="n">
        <v>0</v>
      </c>
      <c r="I6507" s="39" t="n">
        <v>0</v>
      </c>
      <c r="J6507" s="39" t="n">
        <v>0</v>
      </c>
      <c r="K6507" s="39" t="n">
        <v>0</v>
      </c>
      <c r="L6507" s="39" t="n">
        <v>0</v>
      </c>
      <c r="M6507" s="39" t="n">
        <v>0</v>
      </c>
      <c r="N6507" s="38" t="n">
        <f aca="false">Q!$N$26</f>
        <v>0</v>
      </c>
      <c r="O6507" s="38" t="n">
        <f aca="false">Q!$O$26</f>
        <v>0</v>
      </c>
    </row>
    <row r="6508" customFormat="false" ht="15" hidden="false" customHeight="false" outlineLevel="0" collapsed="false">
      <c r="A6508" s="3" t="s">
        <v>534</v>
      </c>
      <c r="B6508" s="8" t="s">
        <v>86</v>
      </c>
      <c r="C6508" s="38" t="n">
        <f aca="false">Q!$D$25</f>
        <v>68.593</v>
      </c>
      <c r="D6508" s="38" t="n">
        <f aca="false">Q!$E$25</f>
        <v>79.975</v>
      </c>
      <c r="E6508" s="38" t="n">
        <f aca="false">Q!$P$25</f>
        <v>51.313</v>
      </c>
      <c r="F6508" s="38" t="n">
        <f aca="false">Sens!$F$6498+Sens!$F$6503+Sens!$F$6506+Sens!$F$6507</f>
        <v>56.6904916268541</v>
      </c>
      <c r="G6508" s="38" t="n">
        <f aca="false">Sens!$G$6498+Sens!$G$6503+Sens!$G$6506+Sens!$G$6507</f>
        <v>108.003491626854</v>
      </c>
      <c r="H6508" s="38" t="n">
        <f aca="false">Sens!$H$6498+Sens!$H$6503+Sens!$H$6506+Sens!$H$6507</f>
        <v>131.546867769501</v>
      </c>
      <c r="I6508" s="38" t="n">
        <f aca="false">Sens!$I$6498+Sens!$I$6503+Sens!$I$6506+Sens!$I$6507</f>
        <v>151.443755203325</v>
      </c>
      <c r="J6508" s="38" t="n">
        <f aca="false">Sens!$J$6498+Sens!$J$6503+Sens!$J$6506+Sens!$J$6507</f>
        <v>169.831139392687</v>
      </c>
      <c r="K6508" s="38" t="n">
        <f aca="false">Sens!$K$6498+Sens!$K$6503+Sens!$K$6506+Sens!$K$6507</f>
        <v>181.415212493822</v>
      </c>
      <c r="L6508" s="38" t="n">
        <f aca="false">Sens!$L$6498+Sens!$L$6503+Sens!$L$6506+Sens!$L$6507</f>
        <v>192.215984468159</v>
      </c>
      <c r="M6508" s="38" t="n">
        <f aca="false">Sens!$M$6498+Sens!$M$6503+Sens!$M$6506+Sens!$M$6507</f>
        <v>202.255862244218</v>
      </c>
      <c r="N6508" s="38" t="n">
        <f aca="false">Q!$N$25</f>
        <v>37.576</v>
      </c>
      <c r="O6508" s="38" t="n">
        <f aca="false">Q!$O$25</f>
        <v>42.399</v>
      </c>
    </row>
    <row r="6509" customFormat="false" ht="17.15" hidden="false" customHeight="false" outlineLevel="0" collapsed="false">
      <c r="A6509" s="24" t="s">
        <v>764</v>
      </c>
      <c r="B6509" s="25" t="s">
        <v>86</v>
      </c>
      <c r="C6509" s="41" t="n">
        <f aca="false">Sens!$C$6498+Sens!$C$6503+Sens!$C$6506+Sens!$C$6507-Sens!$C$6508</f>
        <v>0</v>
      </c>
      <c r="D6509" s="41" t="n">
        <f aca="false">Sens!$D$6498+Sens!$D$6503+Sens!$D$6506+Sens!$D$6507-Sens!$D$6508</f>
        <v>0</v>
      </c>
      <c r="E6509" s="41" t="n">
        <f aca="false">Sens!$E$6498+Sens!$E$6503+Sens!$E$6506+Sens!$E$6507-Sens!$E$6508</f>
        <v>0</v>
      </c>
      <c r="F6509" s="41" t="n">
        <f aca="false">Sens!$F$6498+Sens!$F$6503+Sens!$F$6506+Sens!$F$6507-Sens!$F$6508</f>
        <v>0</v>
      </c>
      <c r="G6509" s="41" t="n">
        <f aca="false">Sens!$G$6498+Sens!$G$6503+Sens!$G$6506+Sens!$G$6507-Sens!$G$6508</f>
        <v>0</v>
      </c>
      <c r="H6509" s="41" t="n">
        <f aca="false">Sens!$H$6498+Sens!$H$6503+Sens!$H$6506+Sens!$H$6507-Sens!$H$6508</f>
        <v>0</v>
      </c>
      <c r="I6509" s="41" t="n">
        <f aca="false">Sens!$I$6498+Sens!$I$6503+Sens!$I$6506+Sens!$I$6507-Sens!$I$6508</f>
        <v>0</v>
      </c>
      <c r="J6509" s="41" t="n">
        <f aca="false">Sens!$J$6498+Sens!$J$6503+Sens!$J$6506+Sens!$J$6507-Sens!$J$6508</f>
        <v>0</v>
      </c>
      <c r="K6509" s="41" t="n">
        <f aca="false">Sens!$K$6498+Sens!$K$6503+Sens!$K$6506+Sens!$K$6507-Sens!$K$6508</f>
        <v>0</v>
      </c>
      <c r="L6509" s="41" t="n">
        <f aca="false">Sens!$L$6498+Sens!$L$6503+Sens!$L$6506+Sens!$L$6507-Sens!$L$6508</f>
        <v>0</v>
      </c>
      <c r="M6509" s="41" t="n">
        <f aca="false">Sens!$M$6498+Sens!$M$6503+Sens!$M$6506+Sens!$M$6507-Sens!$M$6508</f>
        <v>0</v>
      </c>
      <c r="N6509" s="41" t="n">
        <f aca="false">Sens!$N$6498+Sens!$N$6503+Sens!$N$6506+Sens!$N$6507-Sens!$N$6508</f>
        <v>0</v>
      </c>
      <c r="O6509" s="41" t="n">
        <f aca="false">Sens!$O$6498+Sens!$O$6503+Sens!$O$6506+Sens!$O$6507-Sens!$O$6508</f>
        <v>0</v>
      </c>
    </row>
    <row r="6510" customFormat="false" ht="17.15" hidden="false" customHeight="false" outlineLevel="0" collapsed="false">
      <c r="A6510" s="5" t="s">
        <v>735</v>
      </c>
      <c r="B6510" s="0" t="s">
        <v>86</v>
      </c>
      <c r="C6510" s="38" t="n">
        <f aca="false">Sens!$C$6446</f>
        <v>0</v>
      </c>
      <c r="D6510" s="38" t="n">
        <f aca="false">Sens!$D$6446</f>
        <v>0</v>
      </c>
      <c r="E6510" s="38" t="n">
        <f aca="false">Sens!$E$6446</f>
        <v>0</v>
      </c>
      <c r="F6510" s="38" t="n">
        <f aca="false">Sens!$F$6446</f>
        <v>3.77122048175818</v>
      </c>
      <c r="G6510" s="38" t="n">
        <f aca="false">Sens!$G$6446</f>
        <v>3.77122048175818</v>
      </c>
      <c r="H6510" s="38" t="n">
        <f aca="false">Sens!$H$6446</f>
        <v>15.1635543609893</v>
      </c>
      <c r="I6510" s="38" t="n">
        <f aca="false">Sens!$I$6446</f>
        <v>25.5818843619889</v>
      </c>
      <c r="J6510" s="38" t="n">
        <f aca="false">Sens!$J$6446</f>
        <v>36.0465624179122</v>
      </c>
      <c r="K6510" s="38" t="n">
        <f aca="false">Sens!$K$6446</f>
        <v>44.9741164026038</v>
      </c>
      <c r="L6510" s="38" t="n">
        <f aca="false">Sens!$L$6446</f>
        <v>50.8413488057813</v>
      </c>
      <c r="M6510" s="38" t="n">
        <f aca="false">Sens!$M$6446</f>
        <v>53.6407214274315</v>
      </c>
      <c r="N6510" s="38" t="n">
        <f aca="false">Sens!$N$6446</f>
        <v>0</v>
      </c>
      <c r="O6510" s="38" t="n">
        <f aca="false">Sens!$O$6446</f>
        <v>0</v>
      </c>
      <c r="P6510" s="5" t="s">
        <v>736</v>
      </c>
    </row>
    <row r="6511" customFormat="false" ht="17.15" hidden="false" customHeight="false" outlineLevel="0" collapsed="false">
      <c r="A6511" s="5" t="s">
        <v>737</v>
      </c>
      <c r="B6511" s="0" t="s">
        <v>86</v>
      </c>
      <c r="C6511" s="38" t="n">
        <f aca="false">Sens!$C$6508+Sens!$C$6510</f>
        <v>68.593</v>
      </c>
      <c r="D6511" s="38" t="n">
        <f aca="false">Sens!$D$6508+Sens!$D$6510</f>
        <v>79.975</v>
      </c>
      <c r="E6511" s="38" t="n">
        <f aca="false">Sens!$E$6508+Sens!$E$6510</f>
        <v>51.313</v>
      </c>
      <c r="F6511" s="38" t="n">
        <f aca="false">Sens!$F$6508+Sens!$F$6510</f>
        <v>60.4617121086123</v>
      </c>
      <c r="G6511" s="38" t="n">
        <f aca="false">Sens!$G$6508+Sens!$G$6510</f>
        <v>111.774712108612</v>
      </c>
      <c r="H6511" s="38" t="n">
        <f aca="false">Sens!$H$6508+Sens!$H$6510</f>
        <v>146.71042213049</v>
      </c>
      <c r="I6511" s="38" t="n">
        <f aca="false">Sens!$I$6508+Sens!$I$6510</f>
        <v>177.025639565314</v>
      </c>
      <c r="J6511" s="38" t="n">
        <f aca="false">Sens!$J$6508+Sens!$J$6510</f>
        <v>205.877701810599</v>
      </c>
      <c r="K6511" s="38" t="n">
        <f aca="false">Sens!$K$6508+Sens!$K$6510</f>
        <v>226.389328896426</v>
      </c>
      <c r="L6511" s="38" t="n">
        <f aca="false">Sens!$L$6508+Sens!$L$6510</f>
        <v>243.057333273941</v>
      </c>
      <c r="M6511" s="38" t="n">
        <f aca="false">Sens!$M$6508+Sens!$M$6510</f>
        <v>255.896583671649</v>
      </c>
      <c r="N6511" s="38" t="n">
        <f aca="false">Sens!$N$6508+Sens!$N$6510</f>
        <v>37.576</v>
      </c>
      <c r="O6511" s="38" t="n">
        <f aca="false">Sens!$O$6508+Sens!$O$6510</f>
        <v>42.399</v>
      </c>
    </row>
    <row r="6512" customFormat="false" ht="17.15" hidden="false" customHeight="false" outlineLevel="0" collapsed="false">
      <c r="A6512" s="0" t="s">
        <v>738</v>
      </c>
      <c r="B6512" s="0" t="s">
        <v>52</v>
      </c>
      <c r="C6512" s="13" t="n">
        <f aca="false">Sens!$C$6498/Sens!$C$6483</f>
        <v>0.0644314665661928</v>
      </c>
      <c r="D6512" s="13" t="n">
        <f aca="false">Sens!$D$6498/Sens!$D$6483</f>
        <v>0.0694784250712518</v>
      </c>
      <c r="E6512" s="13" t="n">
        <f aca="false">Sens!$E$6498/Sens!$E$6483</f>
        <v>0.0789306463326071</v>
      </c>
      <c r="F6512" s="13" t="n">
        <f aca="false">Sens!$F$6498/Sens!$F$6483</f>
        <v>0.0801757457241943</v>
      </c>
      <c r="G6512" s="13" t="n">
        <f aca="false">Sens!$G$6498/Sens!$G$6483</f>
        <v>0.0795932749625682</v>
      </c>
      <c r="H6512" s="13" t="n">
        <f aca="false">Sens!$H$6498/Sens!$H$6483</f>
        <v>0.0801494276915951</v>
      </c>
      <c r="I6512" s="13" t="n">
        <f aca="false">Sens!$I$6498/Sens!$I$6483</f>
        <v>0.0784619467108939</v>
      </c>
      <c r="J6512" s="13" t="n">
        <f aca="false">Sens!$J$6498/Sens!$J$6483</f>
        <v>0.0767950945569155</v>
      </c>
      <c r="K6512" s="13" t="n">
        <f aca="false">Sens!$K$6498/Sens!$K$6483</f>
        <v>0.0749782708028101</v>
      </c>
      <c r="L6512" s="13" t="n">
        <f aca="false">Sens!$L$6498/Sens!$L$6483</f>
        <v>0.0740581549602486</v>
      </c>
      <c r="M6512" s="13" t="n">
        <f aca="false">Sens!$M$6498/Sens!$M$6483</f>
        <v>0.075724068445432</v>
      </c>
      <c r="N6512" s="13" t="n">
        <f aca="false">Sens!$N$6498/Sens!$N$6483</f>
        <v>0.069228576611127</v>
      </c>
      <c r="O6512" s="13" t="n">
        <f aca="false">Sens!$O$6498/Sens!$O$6483</f>
        <v>0.069685022498393</v>
      </c>
    </row>
    <row r="6513" customFormat="false" ht="17.15" hidden="false" customHeight="false" outlineLevel="0" collapsed="false">
      <c r="A6513" s="0" t="s">
        <v>739</v>
      </c>
      <c r="B6513" s="0" t="s">
        <v>52</v>
      </c>
      <c r="C6513" s="13" t="n">
        <f aca="false">Sens!$C$6503/Sens!$C$6484</f>
        <v>0.026534925055631</v>
      </c>
      <c r="D6513" s="13" t="n">
        <f aca="false">Sens!$D$6503/Sens!$D$6484</f>
        <v>0.0293401855535103</v>
      </c>
      <c r="E6513" s="13" t="n">
        <f aca="false">Sens!$E$6503/Sens!$E$6484</f>
        <v>0.03831141902276</v>
      </c>
      <c r="F6513" s="13" t="n">
        <f aca="false">Sens!$F$6503/Sens!$F$6484</f>
        <v>0.0281350107328284</v>
      </c>
      <c r="G6513" s="13" t="n">
        <f aca="false">Sens!$G$6503/Sens!$G$6484</f>
        <v>0.0327600029432073</v>
      </c>
      <c r="H6513" s="13" t="n">
        <f aca="false">Sens!$H$6503/Sens!$H$6484</f>
        <v>0.031310920057557</v>
      </c>
      <c r="I6513" s="13" t="n">
        <f aca="false">Sens!$I$6503/Sens!$I$6484</f>
        <v>0.0275950243319601</v>
      </c>
      <c r="J6513" s="13" t="n">
        <f aca="false">Sens!$J$6503/Sens!$J$6484</f>
        <v>0.0238367762099147</v>
      </c>
      <c r="K6513" s="13" t="n">
        <f aca="false">Sens!$K$6503/Sens!$K$6484</f>
        <v>0.0198239122855479</v>
      </c>
      <c r="L6513" s="13" t="n">
        <f aca="false">Sens!$L$6503/Sens!$L$6484</f>
        <v>0.0192499447238486</v>
      </c>
      <c r="M6513" s="13" t="n">
        <f aca="false">Sens!$M$6503/Sens!$M$6484</f>
        <v>0.0212700135680342</v>
      </c>
      <c r="N6513" s="13" t="n">
        <f aca="false">Sens!$N$6503/Sens!$N$6484</f>
        <v>0.0357315650169337</v>
      </c>
      <c r="O6513" s="13" t="n">
        <f aca="false">Sens!$O$6503/Sens!$O$6484</f>
        <v>0.0244378956559703</v>
      </c>
    </row>
    <row r="6514" customFormat="false" ht="17.15" hidden="false" customHeight="false" outlineLevel="0" collapsed="false">
      <c r="A6514" s="14" t="s">
        <v>740</v>
      </c>
      <c r="B6514" s="14" t="s">
        <v>52</v>
      </c>
      <c r="C6514" s="17" t="n">
        <f aca="false">Sens!$C$6506/Sens!$C$6485</f>
        <v>0.370355907620217</v>
      </c>
      <c r="D6514" s="17" t="n">
        <f aca="false">Sens!$D$6506/Sens!$D$6485</f>
        <v>0.35429015342785</v>
      </c>
      <c r="E6514" s="17" t="n">
        <f aca="false">Sens!$E$6506/Sens!$E$6485</f>
        <v>0.385647527531039</v>
      </c>
      <c r="F6514" s="17" t="n">
        <f aca="false">Sens!$F$6506/Sens!$F$6485</f>
        <v>0.390008895496028</v>
      </c>
      <c r="G6514" s="17" t="n">
        <f aca="false">Sens!$G$6506/Sens!$G$6485</f>
        <v>0.387918733944362</v>
      </c>
      <c r="H6514" s="17" t="n">
        <f aca="false">Sens!$H$6506/Sens!$H$6485</f>
        <v>0.377537651365497</v>
      </c>
      <c r="I6514" s="17" t="n">
        <f aca="false">Sens!$I$6506/Sens!$I$6485</f>
        <v>0.359230604038662</v>
      </c>
      <c r="J6514" s="17" t="n">
        <f aca="false">Sens!$J$6506/Sens!$J$6485</f>
        <v>0.345197865849801</v>
      </c>
      <c r="K6514" s="17" t="n">
        <f aca="false">Sens!$K$6506/Sens!$K$6485</f>
        <v>0.32654098357242</v>
      </c>
      <c r="L6514" s="17" t="n">
        <f aca="false">Sens!$L$6506/Sens!$L$6485</f>
        <v>0.314806978274702</v>
      </c>
      <c r="M6514" s="17" t="n">
        <f aca="false">Sens!$M$6506/Sens!$M$6485</f>
        <v>0.304503505485029</v>
      </c>
      <c r="N6514" s="17" t="n">
        <f aca="false">Sens!$N$6506/Sens!$N$6485</f>
        <v>0.360941137346192</v>
      </c>
      <c r="O6514" s="17" t="n">
        <f aca="false">Sens!$O$6506/Sens!$O$6485</f>
        <v>0.348458117664212</v>
      </c>
    </row>
    <row r="6515" customFormat="false" ht="17.15" hidden="false" customHeight="false" outlineLevel="0" collapsed="false">
      <c r="A6515" s="0" t="s">
        <v>741</v>
      </c>
      <c r="B6515" s="0" t="s">
        <v>52</v>
      </c>
      <c r="C6515" s="13" t="n">
        <f aca="false">Sens!$C$6504/Sens!$C$6486</f>
        <v>0.708390794789371</v>
      </c>
      <c r="D6515" s="13" t="n">
        <f aca="false">Sens!$D$6504/Sens!$D$6486</f>
        <v>0.619415573115729</v>
      </c>
      <c r="E6515" s="13" t="n">
        <f aca="false">Sens!$E$6504/Sens!$E$6486</f>
        <v>0.374072166056273</v>
      </c>
      <c r="F6515" s="13" t="n">
        <f aca="false">Sens!$F$6504/Sens!$F$6486</f>
        <v>0.553219320710057</v>
      </c>
      <c r="G6515" s="13" t="n">
        <f aca="false">Sens!$G$6504/Sens!$G$6486</f>
        <v>0.488270041527512</v>
      </c>
      <c r="H6515" s="13" t="n">
        <f aca="false">Sens!$H$6504/Sens!$H$6486</f>
        <v>0.435229086816882</v>
      </c>
      <c r="I6515" s="13" t="n">
        <f aca="false">Sens!$I$6504/Sens!$I$6486</f>
        <v>0.364954592421095</v>
      </c>
      <c r="J6515" s="13" t="n">
        <f aca="false">Sens!$J$6504/Sens!$J$6486</f>
        <v>0.330438308582232</v>
      </c>
      <c r="K6515" s="13" t="n">
        <f aca="false">Sens!$K$6504/Sens!$K$6486</f>
        <v>0.2916589289528</v>
      </c>
      <c r="L6515" s="13" t="n">
        <f aca="false">Sens!$L$6504/Sens!$L$6486</f>
        <v>0.268199200593258</v>
      </c>
      <c r="M6515" s="13" t="n">
        <f aca="false">Sens!$M$6504/Sens!$M$6486</f>
        <v>0.244854995033574</v>
      </c>
      <c r="N6515" s="13" t="n">
        <f aca="false">Sens!$N$6504/Sens!$N$6486</f>
        <v>0.551227795793364</v>
      </c>
      <c r="O6515" s="13" t="n">
        <f aca="false">Sens!$O$6504/Sens!$O$6486</f>
        <v>0.656132068597002</v>
      </c>
    </row>
    <row r="6516" customFormat="false" ht="15" hidden="false" customHeight="false" outlineLevel="0" collapsed="false">
      <c r="A6516" s="5" t="s">
        <v>742</v>
      </c>
      <c r="B6516" s="0" t="s">
        <v>52</v>
      </c>
      <c r="C6516" s="13" t="n">
        <f aca="false">Sens!$C$6508/Sens!$C$6488</f>
        <v>0.107519448742004</v>
      </c>
      <c r="D6516" s="13" t="n">
        <f aca="false">Sens!$D$6508/Sens!$D$6488</f>
        <v>0.111552967957552</v>
      </c>
      <c r="E6516" s="13" t="n">
        <f aca="false">Sens!$E$6508/Sens!$E$6488</f>
        <v>0.13428328426562</v>
      </c>
      <c r="F6516" s="13" t="n">
        <f aca="false">Sens!$F$6508/Sens!$F$6488</f>
        <v>0.130089413875539</v>
      </c>
      <c r="G6516" s="13" t="n">
        <f aca="false">Sens!$G$6508/Sens!$G$6488</f>
        <v>0.132048786678316</v>
      </c>
      <c r="H6516" s="13" t="n">
        <f aca="false">Sens!$H$6508/Sens!$H$6488</f>
        <v>0.139604881440853</v>
      </c>
      <c r="I6516" s="13" t="n">
        <f aca="false">Sens!$I$6508/Sens!$I$6488</f>
        <v>0.141694752432769</v>
      </c>
      <c r="J6516" s="13" t="n">
        <f aca="false">Sens!$J$6508/Sens!$J$6488</f>
        <v>0.14272611544629</v>
      </c>
      <c r="K6516" s="13" t="n">
        <f aca="false">Sens!$K$6508/Sens!$K$6488</f>
        <v>0.139974160596744</v>
      </c>
      <c r="L6516" s="13" t="n">
        <f aca="false">Sens!$L$6508/Sens!$L$6488</f>
        <v>0.137772071866073</v>
      </c>
      <c r="M6516" s="13" t="n">
        <f aca="false">Sens!$M$6508/Sens!$M$6488</f>
        <v>0.13596080857516</v>
      </c>
      <c r="N6516" s="13" t="n">
        <f aca="false">Sens!$N$6508/Sens!$N$6488</f>
        <v>0.116201614873411</v>
      </c>
      <c r="O6516" s="13" t="n">
        <f aca="false">Sens!$O$6508/Sens!$O$6488</f>
        <v>0.107733353660861</v>
      </c>
    </row>
    <row r="6517" customFormat="false" ht="17.15" hidden="false" customHeight="false" outlineLevel="0" collapsed="false">
      <c r="A6517" s="1" t="s">
        <v>743</v>
      </c>
    </row>
    <row r="6518" customFormat="false" ht="17.15" hidden="false" customHeight="false" outlineLevel="0" collapsed="false">
      <c r="A6518" s="5" t="s">
        <v>744</v>
      </c>
      <c r="B6518" s="0" t="s">
        <v>52</v>
      </c>
      <c r="D6518" s="28" t="n">
        <f aca="false">(Q!$E$29+Q!$E$30-(1-ext_sh)*Sens!$D$6440)/Sens!$D$6394</f>
        <v>0.0341105596409988</v>
      </c>
    </row>
    <row r="6519" customFormat="false" ht="17.15" hidden="false" customHeight="false" outlineLevel="0" collapsed="false">
      <c r="A6519" s="0" t="s">
        <v>538</v>
      </c>
      <c r="B6519" s="0" t="s">
        <v>86</v>
      </c>
      <c r="C6519" s="38" t="n">
        <f aca="false">Q!$D$29</f>
        <v>14.285</v>
      </c>
      <c r="D6519" s="38" t="n">
        <f aca="false">Q!$E$29</f>
        <v>15.503</v>
      </c>
      <c r="E6519" s="38" t="n">
        <f aca="false">Q!$P$29</f>
        <v>8.78</v>
      </c>
      <c r="F6519" s="38" t="n">
        <f aca="false">(Sens!$D$6518*Sens!$F$6394+(1-ext_sh)*Sens!$F$6440)*Sens!$F$6395</f>
        <v>9.16735846116642</v>
      </c>
      <c r="G6519" s="38" t="n">
        <f aca="false">Sens!$E$6519+Sens!$F$6519</f>
        <v>17.9473584611664</v>
      </c>
      <c r="H6519" s="38" t="n">
        <f aca="false">(Sens!$D$6518*Sens!$H$6394+(1-ext_sh)*Sens!$H$6440)*Sens!$H$6395</f>
        <v>21.6406723110177</v>
      </c>
      <c r="I6519" s="38" t="n">
        <f aca="false">(Sens!$D$6518*Sens!$I$6394+(1-ext_sh)*Sens!$I$6440)*Sens!$I$6395</f>
        <v>27.3128215555087</v>
      </c>
      <c r="J6519" s="38" t="n">
        <f aca="false">(Sens!$D$6518*Sens!$J$6394+(1-ext_sh)*Sens!$J$6440)*Sens!$J$6395</f>
        <v>33.0116861885756</v>
      </c>
      <c r="K6519" s="38" t="n">
        <f aca="false">(Sens!$D$6518*Sens!$K$6394+(1-ext_sh)*Sens!$K$6440)*Sens!$K$6395</f>
        <v>38.6250238720245</v>
      </c>
      <c r="L6519" s="38" t="n">
        <f aca="false">(Sens!$D$6518*Sens!$L$6394+(1-ext_sh)*Sens!$L$6440)*Sens!$L$6395</f>
        <v>43.0711535197861</v>
      </c>
      <c r="M6519" s="38" t="n">
        <f aca="false">(Sens!$D$6518*Sens!$M$6394+(1-ext_sh)*Sens!$M$6440)*Sens!$M$6395</f>
        <v>46.590728630326</v>
      </c>
      <c r="N6519" s="38" t="n">
        <f aca="false">Q!$N$29</f>
        <v>7.272</v>
      </c>
      <c r="O6519" s="38" t="n">
        <f aca="false">Q!$O$29</f>
        <v>8.231</v>
      </c>
    </row>
    <row r="6520" customFormat="false" ht="17.15" hidden="false" customHeight="false" outlineLevel="0" collapsed="false">
      <c r="A6520" s="0" t="s">
        <v>540</v>
      </c>
      <c r="B6520" s="0" t="s">
        <v>86</v>
      </c>
      <c r="C6520" s="38" t="n">
        <f aca="false">Q!$D$30</f>
        <v>4.462</v>
      </c>
      <c r="D6520" s="38" t="n">
        <f aca="false">Q!$E$30</f>
        <v>4.907</v>
      </c>
      <c r="E6520" s="38" t="n">
        <f aca="false">Q!$P$30</f>
        <v>2.57</v>
      </c>
      <c r="F6520" s="38" t="n">
        <f aca="false">(Sens!$D$6518*Sens!$F$6394+(1-ext_sh)*Sens!$F$6440)*(1-Sens!$F$6395)</f>
        <v>3.59937168293151</v>
      </c>
      <c r="G6520" s="38" t="n">
        <f aca="false">Sens!$E$6520+Sens!$F$6520</f>
        <v>6.16937168293151</v>
      </c>
      <c r="H6520" s="38" t="n">
        <f aca="false">(Sens!$D$6518*Sens!$H$6394+(1-ext_sh)*Sens!$H$6440)*(1-Sens!$H$6395)</f>
        <v>8.28915290031442</v>
      </c>
      <c r="I6520" s="38" t="n">
        <f aca="false">(Sens!$D$6518*Sens!$I$6394+(1-ext_sh)*Sens!$I$6440)*(1-Sens!$I$6395)</f>
        <v>10.4617892992793</v>
      </c>
      <c r="J6520" s="38" t="n">
        <f aca="false">(Sens!$D$6518*Sens!$J$6394+(1-ext_sh)*Sens!$J$6440)*(1-Sens!$J$6395)</f>
        <v>12.6446586493057</v>
      </c>
      <c r="K6520" s="38" t="n">
        <f aca="false">(Sens!$D$6518*Sens!$K$6394+(1-ext_sh)*Sens!$K$6440)*(1-Sens!$K$6395)</f>
        <v>14.7947681131192</v>
      </c>
      <c r="L6520" s="38" t="n">
        <f aca="false">(Sens!$D$6518*Sens!$L$6394+(1-ext_sh)*Sens!$L$6440)*(1-Sens!$L$6395)</f>
        <v>16.4977950771268</v>
      </c>
      <c r="M6520" s="38" t="n">
        <f aca="false">(Sens!$D$6518*Sens!$M$6394+(1-ext_sh)*Sens!$M$6440)*(1-Sens!$M$6395)</f>
        <v>17.8459184540772</v>
      </c>
      <c r="N6520" s="38" t="n">
        <f aca="false">Q!$N$30</f>
        <v>2.316</v>
      </c>
      <c r="O6520" s="38" t="n">
        <f aca="false">Q!$O$30</f>
        <v>2.591</v>
      </c>
    </row>
    <row r="6521" customFormat="false" ht="17.15" hidden="false" customHeight="false" outlineLevel="0" collapsed="false">
      <c r="A6521" s="0" t="s">
        <v>541</v>
      </c>
      <c r="B6521" s="0" t="s">
        <v>86</v>
      </c>
      <c r="C6521" s="38" t="n">
        <f aca="false">Sens!$C$6452</f>
        <v>13.32</v>
      </c>
      <c r="D6521" s="38" t="n">
        <f aca="false">Sens!$D$6452</f>
        <v>21.45</v>
      </c>
      <c r="E6521" s="38" t="n">
        <f aca="false">Sens!$E$6452</f>
        <v>15.353</v>
      </c>
      <c r="F6521" s="38" t="n">
        <f aca="false">Sens!$F$6452</f>
        <v>15.4404120185306</v>
      </c>
      <c r="G6521" s="38" t="n">
        <f aca="false">Sens!$G$6452</f>
        <v>30.7934120185306</v>
      </c>
      <c r="H6521" s="38" t="n">
        <f aca="false">Sens!$H$6452</f>
        <v>48.250114371455</v>
      </c>
      <c r="I6521" s="38" t="n">
        <f aca="false">Sens!$I$6452</f>
        <v>73.3965146995963</v>
      </c>
      <c r="J6521" s="38" t="n">
        <f aca="false">Sens!$J$6452</f>
        <v>99.22806138309</v>
      </c>
      <c r="K6521" s="38" t="n">
        <f aca="false">Sens!$K$6452</f>
        <v>125.386627452856</v>
      </c>
      <c r="L6521" s="38" t="n">
        <f aca="false">Sens!$L$6452</f>
        <v>144.77239043275</v>
      </c>
      <c r="M6521" s="38" t="n">
        <f aca="false">Sens!$M$6452</f>
        <v>158.693930910983</v>
      </c>
      <c r="N6521" s="38" t="n">
        <f aca="false">Sens!$N$6452</f>
        <v>9.234</v>
      </c>
      <c r="O6521" s="38" t="n">
        <f aca="false">Sens!$O$6452</f>
        <v>12.216</v>
      </c>
    </row>
    <row r="6522" customFormat="false" ht="17.15" hidden="false" customHeight="false" outlineLevel="0" collapsed="false">
      <c r="A6522" s="5" t="s">
        <v>745</v>
      </c>
      <c r="B6522" s="0" t="s">
        <v>86</v>
      </c>
      <c r="C6522" s="38" t="n">
        <f aca="false">Sens!$C$6519+Sens!$C$6520+Sens!$C$6521</f>
        <v>32.067</v>
      </c>
      <c r="D6522" s="38" t="n">
        <f aca="false">Sens!$D$6519+Sens!$D$6520+Sens!$D$6521</f>
        <v>41.86</v>
      </c>
      <c r="E6522" s="38" t="n">
        <f aca="false">Sens!$E$6519+Sens!$E$6520+Sens!$E$6521</f>
        <v>26.703</v>
      </c>
      <c r="F6522" s="38" t="n">
        <f aca="false">Sens!$F$6519+Sens!$F$6520+Sens!$F$6521</f>
        <v>28.2071421626285</v>
      </c>
      <c r="G6522" s="38" t="n">
        <f aca="false">Sens!$G$6519+Sens!$G$6520+Sens!$G$6521</f>
        <v>54.9101421626285</v>
      </c>
      <c r="H6522" s="38" t="n">
        <f aca="false">Sens!$H$6519+Sens!$H$6520+Sens!$H$6521</f>
        <v>78.1799395827871</v>
      </c>
      <c r="I6522" s="38" t="n">
        <f aca="false">Sens!$I$6519+Sens!$I$6520+Sens!$I$6521</f>
        <v>111.171125554384</v>
      </c>
      <c r="J6522" s="38" t="n">
        <f aca="false">Sens!$J$6519+Sens!$J$6520+Sens!$J$6521</f>
        <v>144.884406220971</v>
      </c>
      <c r="K6522" s="38" t="n">
        <f aca="false">Sens!$K$6519+Sens!$K$6520+Sens!$K$6521</f>
        <v>178.806419437999</v>
      </c>
      <c r="L6522" s="38" t="n">
        <f aca="false">Sens!$L$6519+Sens!$L$6520+Sens!$L$6521</f>
        <v>204.341339029663</v>
      </c>
      <c r="M6522" s="38" t="n">
        <f aca="false">Sens!$M$6519+Sens!$M$6520+Sens!$M$6521</f>
        <v>223.130577995387</v>
      </c>
      <c r="N6522" s="38" t="n">
        <f aca="false">Sens!$N$6519+Sens!$N$6520+Sens!$N$6521</f>
        <v>18.822</v>
      </c>
      <c r="O6522" s="38" t="n">
        <f aca="false">Sens!$O$6519+Sens!$O$6520+Sens!$O$6521</f>
        <v>23.038</v>
      </c>
    </row>
    <row r="6523" customFormat="false" ht="17.15" hidden="false" customHeight="false" outlineLevel="0" collapsed="false">
      <c r="A6523" s="0" t="s">
        <v>746</v>
      </c>
      <c r="B6523" s="0" t="s">
        <v>86</v>
      </c>
      <c r="C6523" s="38" t="n">
        <f aca="false">Sens!$C$6494+Sens!$C$6499</f>
        <v>28.107</v>
      </c>
      <c r="D6523" s="38" t="n">
        <f aca="false">Sens!$D$6494+Sens!$D$6499</f>
        <v>34.3175</v>
      </c>
      <c r="E6523" s="38" t="n">
        <f aca="false">Sens!$E$6494+Sens!$E$6499</f>
        <v>18.526</v>
      </c>
      <c r="F6523" s="38" t="n">
        <f aca="false">Sens!$F$6494+Sens!$F$6499</f>
        <v>23.0786109972074</v>
      </c>
      <c r="G6523" s="38" t="n">
        <f aca="false">Sens!$G$6494+Sens!$G$6499</f>
        <v>41.6046109972074</v>
      </c>
      <c r="H6523" s="38" t="n">
        <f aca="false">Sens!$H$6494+Sens!$H$6499</f>
        <v>49.9484611939488</v>
      </c>
      <c r="I6523" s="38" t="n">
        <f aca="false">Sens!$I$6494+Sens!$I$6499</f>
        <v>58.2915555477481</v>
      </c>
      <c r="J6523" s="38" t="n">
        <f aca="false">Sens!$J$6494+Sens!$J$6499</f>
        <v>66.0744709709759</v>
      </c>
      <c r="K6523" s="38" t="n">
        <f aca="false">Sens!$K$6494+Sens!$K$6499</f>
        <v>72.6819180680735</v>
      </c>
      <c r="L6523" s="38" t="n">
        <f aca="false">Sens!$L$6494+Sens!$L$6499</f>
        <v>79.9501098748808</v>
      </c>
      <c r="M6523" s="38" t="n">
        <f aca="false">Sens!$M$6494+Sens!$M$6499</f>
        <v>87.9451208623689</v>
      </c>
      <c r="N6523" s="38" t="n">
        <f aca="false">Sens!$N$6494+Sens!$N$6499</f>
        <v>14.8075</v>
      </c>
      <c r="O6523" s="38" t="n">
        <f aca="false">Sens!$O$6494+Sens!$O$6499</f>
        <v>19.51</v>
      </c>
    </row>
    <row r="6524" customFormat="false" ht="17.15" hidden="false" customHeight="false" outlineLevel="0" collapsed="false">
      <c r="A6524" s="0" t="s">
        <v>747</v>
      </c>
      <c r="B6524" s="0" t="s">
        <v>86</v>
      </c>
      <c r="C6524" s="38" t="n">
        <f aca="false">Sens!$C$6498+Sens!$C$6503+Sens!$C$6519+Sens!$C$6520-Sens!$C$6523</f>
        <v>19.399</v>
      </c>
      <c r="D6524" s="38" t="n">
        <f aca="false">Sens!$D$6498+Sens!$D$6503+Sens!$D$6519+Sens!$D$6520-Sens!$D$6523</f>
        <v>20.4615</v>
      </c>
      <c r="E6524" s="38" t="n">
        <f aca="false">Sens!$E$6498+Sens!$E$6503+Sens!$E$6519+Sens!$E$6520-Sens!$E$6523</f>
        <v>13.355</v>
      </c>
      <c r="F6524" s="38" t="n">
        <f aca="false">Sens!$F$6498+Sens!$F$6503+Sens!$F$6519+Sens!$F$6520-Sens!$F$6523</f>
        <v>12.5520732018618</v>
      </c>
      <c r="G6524" s="38" t="n">
        <f aca="false">Sens!$G$6498+Sens!$G$6503+Sens!$G$6519+Sens!$G$6520-Sens!$G$6523</f>
        <v>25.9070732018618</v>
      </c>
      <c r="H6524" s="38" t="n">
        <f aca="false">Sens!$H$6498+Sens!$H$6503+Sens!$H$6519+Sens!$H$6520-Sens!$H$6523</f>
        <v>28.0233335906818</v>
      </c>
      <c r="I6524" s="38" t="n">
        <f aca="false">Sens!$I$6498+Sens!$I$6503+Sens!$I$6519+Sens!$I$6520-Sens!$I$6523</f>
        <v>30.2440066606864</v>
      </c>
      <c r="J6524" s="38" t="n">
        <f aca="false">Sens!$J$6498+Sens!$J$6503+Sens!$J$6519+Sens!$J$6520-Sens!$J$6523</f>
        <v>32.4596500296286</v>
      </c>
      <c r="K6524" s="38" t="n">
        <f aca="false">Sens!$K$6498+Sens!$K$6503+Sens!$K$6519+Sens!$K$6520-Sens!$K$6523</f>
        <v>34.839425971154</v>
      </c>
      <c r="L6524" s="38" t="n">
        <f aca="false">Sens!$L$6498+Sens!$L$6503+Sens!$L$6519+Sens!$L$6520-Sens!$L$6523</f>
        <v>36.4424209524427</v>
      </c>
      <c r="M6524" s="38" t="n">
        <f aca="false">Sens!$M$6498+Sens!$M$6503+Sens!$M$6519+Sens!$M$6520-Sens!$M$6523</f>
        <v>38.8413540019876</v>
      </c>
      <c r="N6524" s="38" t="n">
        <f aca="false">Sens!$N$6498+Sens!$N$6503+Sens!$N$6519+Sens!$N$6520-Sens!$N$6523</f>
        <v>10.6495</v>
      </c>
      <c r="O6524" s="38" t="n">
        <f aca="false">Sens!$O$6498+Sens!$O$6503+Sens!$O$6519+Sens!$O$6520-Sens!$O$6523</f>
        <v>9.81200000000001</v>
      </c>
    </row>
    <row r="6525" customFormat="false" ht="17.15" hidden="false" customHeight="false" outlineLevel="0" collapsed="false">
      <c r="A6525" s="0" t="s">
        <v>748</v>
      </c>
      <c r="B6525" s="0" t="s">
        <v>86</v>
      </c>
      <c r="C6525" s="38" t="n">
        <f aca="false">Sens!$C$6505+Sens!$C$6521-ext_sh*Sens!$C$6440</f>
        <v>51.3470500115664</v>
      </c>
      <c r="D6525" s="38" t="n">
        <f aca="false">Sens!$D$6505+Sens!$D$6521-ext_sh*Sens!$D$6440</f>
        <v>60.2799375433739</v>
      </c>
      <c r="E6525" s="38" t="n">
        <f aca="false">Sens!$E$6505+Sens!$E$6521-ext_sh*Sens!$E$6440</f>
        <v>39.5095167090767</v>
      </c>
      <c r="F6525" s="38" t="n">
        <f aca="false">Sens!$F$6505+Sens!$F$6521-ext_sh*Sens!$F$6440</f>
        <v>37.5468918745429</v>
      </c>
      <c r="G6525" s="38" t="n">
        <f aca="false">Sens!$G$6505+Sens!$G$6521-ext_sh*Sens!$G$6440</f>
        <v>77.0564085836196</v>
      </c>
      <c r="H6525" s="38" t="n">
        <f aca="false">Sens!$H$6505+Sens!$H$6521-ext_sh*Sens!$H$6440</f>
        <v>84.2378398616123</v>
      </c>
      <c r="I6525" s="38" t="n">
        <f aca="false">Sens!$I$6505+Sens!$I$6521-ext_sh*Sens!$I$6440</f>
        <v>93.5253492849083</v>
      </c>
      <c r="J6525" s="38" t="n">
        <f aca="false">Sens!$J$6505+Sens!$J$6521-ext_sh*Sens!$J$6440</f>
        <v>102.42210777817</v>
      </c>
      <c r="K6525" s="38" t="n">
        <f aca="false">Sens!$K$6505+Sens!$K$6521-ext_sh*Sens!$K$6440</f>
        <v>110.615876400424</v>
      </c>
      <c r="L6525" s="38" t="n">
        <f aca="false">Sens!$L$6505+Sens!$L$6521-ext_sh*Sens!$L$6440</f>
        <v>119.465146512458</v>
      </c>
      <c r="M6525" s="38" t="n">
        <f aca="false">Sens!$M$6505+Sens!$M$6521-ext_sh*Sens!$M$6440</f>
        <v>129.022358233455</v>
      </c>
      <c r="N6525" s="38" t="n">
        <f aca="false">Sens!$N$6505+Sens!$N$6521-ext_sh*Sens!$N$6440</f>
        <v>28.5693781401809</v>
      </c>
      <c r="O6525" s="38" t="n">
        <f aca="false">Sens!$O$6505+Sens!$O$6521-ext_sh*Sens!$O$6440</f>
        <v>31.7105594031931</v>
      </c>
    </row>
    <row r="6526" customFormat="false" ht="17.15" hidden="false" customHeight="false" outlineLevel="0" collapsed="false">
      <c r="A6526" s="0" t="s">
        <v>749</v>
      </c>
      <c r="B6526" s="0" t="s">
        <v>86</v>
      </c>
      <c r="C6526" s="38" t="n">
        <f aca="false">Sens!$C$6443</f>
        <v>1.80694998843362</v>
      </c>
      <c r="D6526" s="38" t="n">
        <f aca="false">Sens!$D$6443</f>
        <v>6.77606245662607</v>
      </c>
      <c r="E6526" s="38" t="n">
        <f aca="false">Sens!$E$6443</f>
        <v>6.62548329092326</v>
      </c>
      <c r="F6526" s="38" t="n">
        <f aca="false">Sens!$F$6443</f>
        <v>11.7200577158706</v>
      </c>
      <c r="G6526" s="38" t="n">
        <f aca="false">Sens!$G$6443</f>
        <v>18.3455410067939</v>
      </c>
      <c r="H6526" s="38" t="n">
        <f aca="false">Sens!$H$6443</f>
        <v>47.5171727060453</v>
      </c>
      <c r="I6526" s="38" t="n">
        <f aca="false">Sens!$I$6443</f>
        <v>80.5539692643667</v>
      </c>
      <c r="J6526" s="38" t="n">
        <f aca="false">Sens!$J$6443</f>
        <v>113.759316834883</v>
      </c>
      <c r="K6526" s="38" t="n">
        <f aca="false">Sens!$K$6443</f>
        <v>142.084411492169</v>
      </c>
      <c r="L6526" s="38" t="n">
        <f aca="false">Sens!$L$6443</f>
        <v>160.69964615804</v>
      </c>
      <c r="M6526" s="38" t="n">
        <f aca="false">Sens!$M$6443</f>
        <v>169.577607141793</v>
      </c>
      <c r="N6526" s="38" t="n">
        <f aca="false">Sens!$N$6443</f>
        <v>2.37162185981912</v>
      </c>
      <c r="O6526" s="38" t="n">
        <f aca="false">Sens!$O$6443</f>
        <v>4.40444059680694</v>
      </c>
    </row>
    <row r="6527" customFormat="false" ht="17.15" hidden="false" customHeight="false" outlineLevel="0" collapsed="false">
      <c r="A6527" s="0" t="s">
        <v>750</v>
      </c>
      <c r="B6527" s="0" t="s">
        <v>86</v>
      </c>
      <c r="C6527" s="38" t="n">
        <f aca="false">Sens!$C$6508+Sens!$C$6522</f>
        <v>100.66</v>
      </c>
      <c r="D6527" s="38" t="n">
        <f aca="false">Sens!$D$6508+Sens!$D$6522</f>
        <v>121.835</v>
      </c>
      <c r="E6527" s="38" t="n">
        <f aca="false">Sens!$E$6508+Sens!$E$6522</f>
        <v>78.016</v>
      </c>
      <c r="F6527" s="38" t="n">
        <f aca="false">Sens!$F$6508+Sens!$F$6522</f>
        <v>84.8976337894826</v>
      </c>
      <c r="G6527" s="38" t="n">
        <f aca="false">Sens!$G$6508+Sens!$G$6522</f>
        <v>162.913633789483</v>
      </c>
      <c r="H6527" s="38" t="n">
        <f aca="false">Sens!$H$6508+Sens!$H$6522</f>
        <v>209.726807352288</v>
      </c>
      <c r="I6527" s="38" t="n">
        <f aca="false">Sens!$I$6508+Sens!$I$6522</f>
        <v>262.61488075771</v>
      </c>
      <c r="J6527" s="38" t="n">
        <f aca="false">Sens!$J$6508+Sens!$J$6522</f>
        <v>314.715545613658</v>
      </c>
      <c r="K6527" s="38" t="n">
        <f aca="false">Sens!$K$6508+Sens!$K$6522</f>
        <v>360.221631931821</v>
      </c>
      <c r="L6527" s="38" t="n">
        <f aca="false">Sens!$L$6508+Sens!$L$6522</f>
        <v>396.557323497822</v>
      </c>
      <c r="M6527" s="38" t="n">
        <f aca="false">Sens!$M$6508+Sens!$M$6522</f>
        <v>425.386440239605</v>
      </c>
      <c r="N6527" s="38" t="n">
        <f aca="false">Sens!$N$6508+Sens!$N$6522</f>
        <v>56.398</v>
      </c>
      <c r="O6527" s="38" t="n">
        <f aca="false">Sens!$O$6508+Sens!$O$6522</f>
        <v>65.437</v>
      </c>
    </row>
    <row r="6528" customFormat="false" ht="17.15" hidden="false" customHeight="false" outlineLevel="0" collapsed="false">
      <c r="A6528" s="1" t="s">
        <v>751</v>
      </c>
    </row>
    <row r="6529" customFormat="false" ht="15" hidden="false" customHeight="false" outlineLevel="0" collapsed="false">
      <c r="A6529" s="5" t="s">
        <v>544</v>
      </c>
      <c r="B6529" s="0" t="s">
        <v>86</v>
      </c>
      <c r="C6529" s="38" t="n">
        <f aca="false">Q!$D$34</f>
        <v>2.406</v>
      </c>
      <c r="D6529" s="38" t="n">
        <f aca="false">Q!$E$34</f>
        <v>2.274</v>
      </c>
      <c r="E6529" s="38" t="n">
        <f aca="false">Q!$P$34</f>
        <v>2.114</v>
      </c>
      <c r="F6529" s="38" t="n">
        <f aca="false">Sens!$F$6567</f>
        <v>3.24888962733561</v>
      </c>
      <c r="G6529" s="38" t="n">
        <f aca="false">Sens!$E$6529+Sens!$F$6529</f>
        <v>5.36288962733561</v>
      </c>
      <c r="H6529" s="38" t="n">
        <f aca="false">Sens!$H$6567</f>
        <v>7.42354172302123</v>
      </c>
      <c r="I6529" s="38" t="n">
        <f aca="false">Sens!$I$6567</f>
        <v>8.48968024898619</v>
      </c>
      <c r="J6529" s="38" t="n">
        <f aca="false">Sens!$J$6567</f>
        <v>9.63598826439483</v>
      </c>
      <c r="K6529" s="38" t="n">
        <f aca="false">Sens!$K$6567</f>
        <v>9.63598826439483</v>
      </c>
      <c r="L6529" s="38" t="n">
        <f aca="false">Sens!$L$6567</f>
        <v>9.63598826439483</v>
      </c>
      <c r="M6529" s="38" t="n">
        <f aca="false">Sens!$M$6567</f>
        <v>9.63598826439483</v>
      </c>
      <c r="N6529" s="38" t="n">
        <f aca="false">Q!$N$34</f>
        <v>1.057</v>
      </c>
      <c r="O6529" s="38" t="n">
        <f aca="false">Q!$O$34</f>
        <v>1.217</v>
      </c>
    </row>
    <row r="6530" customFormat="false" ht="15" hidden="false" customHeight="false" outlineLevel="0" collapsed="false">
      <c r="A6530" s="5" t="s">
        <v>752</v>
      </c>
      <c r="B6530" s="0" t="s">
        <v>86</v>
      </c>
      <c r="F6530" s="38" t="n">
        <f aca="false">Sens!$F$6568</f>
        <v>2.59</v>
      </c>
      <c r="H6530" s="38" t="n">
        <f aca="false">Sens!$H$6568</f>
        <v>3.76965165045626</v>
      </c>
      <c r="I6530" s="38" t="n">
        <f aca="false">Sens!$I$6568</f>
        <v>2.10589651022864</v>
      </c>
      <c r="J6530" s="38" t="n">
        <f aca="false">Sens!$J$6568</f>
        <v>2.10589651022864</v>
      </c>
      <c r="K6530" s="38" t="n">
        <f aca="false">Sens!$K$6568</f>
        <v>3.03184385018094</v>
      </c>
      <c r="L6530" s="38" t="n">
        <f aca="false">Sens!$L$6568</f>
        <v>8.01944213829919</v>
      </c>
      <c r="M6530" s="38" t="n">
        <f aca="false">Sens!$M$6568</f>
        <v>15.4751142339777</v>
      </c>
    </row>
    <row r="6531" customFormat="false" ht="17.15" hidden="false" customHeight="false" outlineLevel="0" collapsed="false">
      <c r="A6531" s="5" t="s">
        <v>753</v>
      </c>
      <c r="B6531" s="0" t="s">
        <v>86</v>
      </c>
      <c r="C6531" s="38" t="n">
        <f aca="false">Q!$D$39</f>
        <v>2.427</v>
      </c>
      <c r="D6531" s="38" t="n">
        <f aca="false">Q!$E$39</f>
        <v>19.61</v>
      </c>
      <c r="E6531" s="38" t="n">
        <f aca="false">Q!$P$39</f>
        <v>71.492</v>
      </c>
      <c r="F6531" s="39" t="n">
        <v>0</v>
      </c>
      <c r="G6531" s="38" t="n">
        <f aca="false">Sens!$E$6531+Sens!$F$6531</f>
        <v>71.492</v>
      </c>
      <c r="H6531" s="39" t="n">
        <v>0</v>
      </c>
      <c r="I6531" s="39" t="n">
        <v>0</v>
      </c>
      <c r="J6531" s="39" t="n">
        <v>0</v>
      </c>
      <c r="K6531" s="39" t="n">
        <v>0</v>
      </c>
      <c r="L6531" s="39" t="n">
        <v>0</v>
      </c>
      <c r="M6531" s="39" t="n">
        <v>0</v>
      </c>
      <c r="N6531" s="38" t="n">
        <f aca="false">Q!$N$39</f>
        <v>6.017</v>
      </c>
      <c r="O6531" s="38" t="n">
        <f aca="false">Q!$O$39</f>
        <v>13.593</v>
      </c>
      <c r="P6531" s="5" t="s">
        <v>754</v>
      </c>
    </row>
    <row r="6532" customFormat="false" ht="15" hidden="false" customHeight="false" outlineLevel="0" collapsed="false">
      <c r="A6532" s="5" t="s">
        <v>547</v>
      </c>
      <c r="B6532" s="0" t="s">
        <v>86</v>
      </c>
      <c r="C6532" s="38" t="n">
        <f aca="false">Q!$D$36</f>
        <v>68.614</v>
      </c>
      <c r="D6532" s="38" t="n">
        <f aca="false">Q!$E$36</f>
        <v>97.311</v>
      </c>
      <c r="E6532" s="38" t="n">
        <f aca="false">Q!$P$36</f>
        <v>120.691</v>
      </c>
      <c r="F6532" s="38" t="n">
        <f aca="false">Sens!$F$6508-Sens!$F$6529+Sens!$F$6530+Sens!$F$6531</f>
        <v>56.0316019995185</v>
      </c>
      <c r="G6532" s="38" t="n">
        <f aca="false">Sens!$E$6532+Sens!$F$6532</f>
        <v>176.722601999518</v>
      </c>
      <c r="H6532" s="38" t="n">
        <f aca="false">Sens!$H$6508-Sens!$H$6529+Sens!$H$6530+Sens!$H$6531</f>
        <v>127.892977696936</v>
      </c>
      <c r="I6532" s="38" t="n">
        <f aca="false">Sens!$I$6508-Sens!$I$6529+Sens!$I$6530+Sens!$I$6531</f>
        <v>145.059971464568</v>
      </c>
      <c r="J6532" s="38" t="n">
        <f aca="false">Sens!$J$6508-Sens!$J$6529+Sens!$J$6530+Sens!$J$6531</f>
        <v>162.301047638521</v>
      </c>
      <c r="K6532" s="38" t="n">
        <f aca="false">Sens!$K$6508-Sens!$K$6529+Sens!$K$6530+Sens!$K$6531</f>
        <v>174.811068079608</v>
      </c>
      <c r="L6532" s="38" t="n">
        <f aca="false">Sens!$L$6508-Sens!$L$6529+Sens!$L$6530+Sens!$L$6531</f>
        <v>190.599438342064</v>
      </c>
      <c r="M6532" s="38" t="n">
        <f aca="false">Sens!$M$6508-Sens!$M$6529+Sens!$M$6530+Sens!$M$6531</f>
        <v>208.094988213801</v>
      </c>
      <c r="N6532" s="38" t="n">
        <f aca="false">Q!$N$36</f>
        <v>42.536</v>
      </c>
      <c r="O6532" s="38" t="n">
        <f aca="false">Q!$O$36</f>
        <v>54.775</v>
      </c>
    </row>
    <row r="6533" customFormat="false" ht="15" hidden="false" customHeight="false" outlineLevel="0" collapsed="false">
      <c r="A6533" s="5" t="s">
        <v>548</v>
      </c>
      <c r="B6533" s="0" t="s">
        <v>86</v>
      </c>
      <c r="C6533" s="38" t="n">
        <f aca="false">Q!$D$37</f>
        <v>9.265</v>
      </c>
      <c r="D6533" s="38" t="n">
        <f aca="false">Q!$E$37</f>
        <v>19.087</v>
      </c>
      <c r="E6533" s="38" t="n">
        <f aca="false">Q!$P$37</f>
        <v>27.759</v>
      </c>
      <c r="F6533" s="38" t="n">
        <f aca="false">Sens!$F$6532*tax</f>
        <v>9.72621910890414</v>
      </c>
      <c r="G6533" s="38" t="n">
        <f aca="false">Sens!$E$6533+Sens!$F$6533</f>
        <v>37.4852191089041</v>
      </c>
      <c r="H6533" s="38" t="n">
        <f aca="false">Sens!$H$6532*tax</f>
        <v>22.2002419916761</v>
      </c>
      <c r="I6533" s="38" t="n">
        <f aca="false">Sens!$I$6532*tax</f>
        <v>25.1801664783365</v>
      </c>
      <c r="J6533" s="38" t="n">
        <f aca="false">Sens!$J$6532*tax</f>
        <v>28.1729505244292</v>
      </c>
      <c r="K6533" s="38" t="n">
        <f aca="false">Sens!$K$6532*tax</f>
        <v>30.3444965007146</v>
      </c>
      <c r="L6533" s="38" t="n">
        <f aca="false">Sens!$L$6532*tax</f>
        <v>33.0851132788405</v>
      </c>
      <c r="M6533" s="38" t="n">
        <f aca="false">Sens!$M$6532*tax</f>
        <v>36.1220700213006</v>
      </c>
      <c r="N6533" s="38" t="n">
        <f aca="false">Q!$N$37</f>
        <v>7.231</v>
      </c>
      <c r="O6533" s="38" t="n">
        <f aca="false">Q!$O$37</f>
        <v>11.856</v>
      </c>
    </row>
    <row r="6534" customFormat="false" ht="15" hidden="false" customHeight="false" outlineLevel="0" collapsed="false">
      <c r="A6534" s="3" t="s">
        <v>549</v>
      </c>
      <c r="B6534" s="8" t="s">
        <v>86</v>
      </c>
      <c r="C6534" s="38" t="n">
        <f aca="false">Q!$D$38</f>
        <v>59.248</v>
      </c>
      <c r="D6534" s="38" t="n">
        <f aca="false">Q!$E$38</f>
        <v>77.67</v>
      </c>
      <c r="E6534" s="38" t="n">
        <f aca="false">Q!$P$38</f>
        <v>92.902</v>
      </c>
      <c r="F6534" s="38" t="n">
        <f aca="false">Sens!$F$6532-Sens!$F$6533</f>
        <v>46.3053828906144</v>
      </c>
      <c r="G6534" s="38" t="n">
        <f aca="false">Sens!$E$6534+Sens!$F$6534</f>
        <v>139.207382890614</v>
      </c>
      <c r="H6534" s="38" t="n">
        <f aca="false">Sens!$H$6532-Sens!$H$6533</f>
        <v>105.69273570526</v>
      </c>
      <c r="I6534" s="38" t="n">
        <f aca="false">Sens!$I$6532-Sens!$I$6533</f>
        <v>119.879804986231</v>
      </c>
      <c r="J6534" s="38" t="n">
        <f aca="false">Sens!$J$6532-Sens!$J$6533</f>
        <v>134.128097114092</v>
      </c>
      <c r="K6534" s="38" t="n">
        <f aca="false">Sens!$K$6532-Sens!$K$6533</f>
        <v>144.466571578893</v>
      </c>
      <c r="L6534" s="38" t="n">
        <f aca="false">Sens!$L$6532-Sens!$L$6533</f>
        <v>157.514325063223</v>
      </c>
      <c r="M6534" s="38" t="n">
        <f aca="false">Sens!$M$6532-Sens!$M$6533</f>
        <v>171.9729181925</v>
      </c>
      <c r="N6534" s="38" t="n">
        <f aca="false">Q!$N$38</f>
        <v>35.291</v>
      </c>
      <c r="O6534" s="38" t="n">
        <f aca="false">Q!$O$38</f>
        <v>42.379</v>
      </c>
    </row>
    <row r="6535" customFormat="false" ht="17.15" hidden="false" customHeight="false" outlineLevel="0" collapsed="false">
      <c r="A6535" s="5" t="s">
        <v>552</v>
      </c>
      <c r="B6535" s="5" t="s">
        <v>33</v>
      </c>
      <c r="C6535" s="22" t="n">
        <f aca="false">Q!$D$41</f>
        <v>10.721</v>
      </c>
      <c r="D6535" s="22" t="n">
        <f aca="false">Q!$E$41</f>
        <v>10.827</v>
      </c>
      <c r="E6535" s="22" t="n">
        <f aca="false">(Q!$L$41+Q!$M$41)/2</f>
        <v>10.8885</v>
      </c>
      <c r="F6535" s="22" t="n">
        <f aca="false">Sens!$G$6535</f>
        <v>10.924806</v>
      </c>
      <c r="G6535" s="22" t="n">
        <f aca="false">Q!$M$41*(1+sh_g*0.25)</f>
        <v>10.924806</v>
      </c>
      <c r="H6535" s="22" t="n">
        <f aca="false">Sens!$G$6535*(1+sh_g)</f>
        <v>11.012204448</v>
      </c>
      <c r="I6535" s="22" t="n">
        <f aca="false">Sens!$H$6535*(1+sh_g)</f>
        <v>11.100302083584</v>
      </c>
      <c r="J6535" s="22" t="n">
        <f aca="false">Sens!$I$6535*(1+sh_g)</f>
        <v>11.1891045002527</v>
      </c>
      <c r="K6535" s="22" t="n">
        <f aca="false">Sens!$J$6535*(1+sh_g)</f>
        <v>11.2786173362547</v>
      </c>
      <c r="L6535" s="22" t="n">
        <f aca="false">Sens!$K$6535*(1+sh_g)</f>
        <v>11.3688462749447</v>
      </c>
      <c r="M6535" s="22" t="n">
        <f aca="false">Sens!$L$6535*(1+sh_g)</f>
        <v>11.4597970451443</v>
      </c>
      <c r="P6535" s="5" t="s">
        <v>755</v>
      </c>
    </row>
    <row r="6536" customFormat="false" ht="17.15" hidden="false" customHeight="false" outlineLevel="0" collapsed="false">
      <c r="A6536" s="5" t="s">
        <v>756</v>
      </c>
      <c r="B6536" s="0" t="s">
        <v>86</v>
      </c>
      <c r="C6536" s="38" t="n">
        <f aca="false">Sens!$C$6534+Sens!$C$6510*(1-tax)</f>
        <v>59.248</v>
      </c>
      <c r="D6536" s="38" t="n">
        <f aca="false">Sens!$D$6534+Sens!$D$6510*(1-tax)</f>
        <v>77.67</v>
      </c>
      <c r="E6536" s="38" t="n">
        <f aca="false">Sens!$E$6534+Sens!$E$6510*(1-tax)</f>
        <v>92.902</v>
      </c>
      <c r="F6536" s="38" t="n">
        <f aca="false">Sens!$F$6534+Sens!$F$6510*(1-tax)</f>
        <v>49.421977850263</v>
      </c>
      <c r="G6536" s="38" t="n">
        <f aca="false">Sens!$G$6534+Sens!$G$6510*(1-tax)</f>
        <v>142.323977850263</v>
      </c>
      <c r="H6536" s="38" t="n">
        <f aca="false">Sens!$H$6534+Sens!$H$6510*(1-tax)</f>
        <v>118.224131660605</v>
      </c>
      <c r="I6536" s="38" t="n">
        <f aca="false">Sens!$I$6534+Sens!$I$6510*(1-tax)</f>
        <v>141.02107006117</v>
      </c>
      <c r="J6536" s="38" t="n">
        <f aca="false">Sens!$J$6534+Sens!$J$6510*(1-tax)</f>
        <v>163.917534058375</v>
      </c>
      <c r="K6536" s="38" t="n">
        <f aca="false">Sens!$K$6534+Sens!$K$6510*(1-tax)</f>
        <v>181.633877275552</v>
      </c>
      <c r="L6536" s="38" t="n">
        <f aca="false">Sens!$L$6534+Sens!$L$6510*(1-tax)</f>
        <v>199.530402403778</v>
      </c>
      <c r="M6536" s="38" t="n">
        <f aca="false">Sens!$M$6534+Sens!$M$6510*(1-tax)</f>
        <v>216.302440383341</v>
      </c>
      <c r="N6536" s="38" t="n">
        <f aca="false">Sens!$N$6534+Sens!$N$6510*(1-tax)</f>
        <v>35.291</v>
      </c>
      <c r="O6536" s="38" t="n">
        <f aca="false">Sens!$O$6534+Sens!$O$6510*(1-tax)</f>
        <v>42.379</v>
      </c>
    </row>
    <row r="6537" customFormat="false" ht="17.15" hidden="false" customHeight="false" outlineLevel="0" collapsed="false">
      <c r="A6537" s="43" t="s">
        <v>757</v>
      </c>
      <c r="B6537" s="14" t="s">
        <v>27</v>
      </c>
      <c r="C6537" s="44" t="n">
        <f aca="false">Sens!$C$6536/Sens!$C$6535</f>
        <v>5.52635015390355</v>
      </c>
      <c r="D6537" s="44" t="n">
        <f aca="false">Sens!$D$6536/Sens!$D$6535</f>
        <v>7.1737323358271</v>
      </c>
      <c r="E6537" s="44" t="n">
        <f aca="false">Sens!$E$6536/Sens!$E$6535</f>
        <v>8.53212104513937</v>
      </c>
      <c r="F6537" s="14"/>
      <c r="G6537" s="44" t="n">
        <f aca="false">Sens!$G$6536/Sens!$G$6535</f>
        <v>13.0275977303636</v>
      </c>
      <c r="H6537" s="44" t="n">
        <f aca="false">Sens!$H$6536/Sens!$H$6535</f>
        <v>10.7357370832392</v>
      </c>
      <c r="I6537" s="44" t="n">
        <f aca="false">Sens!$I$6536/Sens!$I$6535</f>
        <v>12.7042551634449</v>
      </c>
      <c r="J6537" s="44" t="n">
        <f aca="false">Sens!$J$6536/Sens!$J$6535</f>
        <v>14.6497455676344</v>
      </c>
      <c r="K6537" s="44" t="n">
        <f aca="false">Sens!$K$6536/Sens!$K$6535</f>
        <v>16.104268090708</v>
      </c>
      <c r="L6537" s="44" t="n">
        <f aca="false">Sens!$L$6536/Sens!$L$6535</f>
        <v>17.5506289361581</v>
      </c>
      <c r="M6537" s="44" t="n">
        <f aca="false">Sens!$M$6536/Sens!$M$6535</f>
        <v>18.8748927691518</v>
      </c>
      <c r="N6537" s="14"/>
      <c r="O6537" s="14"/>
    </row>
    <row r="6538" customFormat="false" ht="17.15" hidden="false" customHeight="false" outlineLevel="0" collapsed="false">
      <c r="A6538" s="0" t="s">
        <v>758</v>
      </c>
      <c r="B6538" s="0" t="s">
        <v>27</v>
      </c>
      <c r="C6538" s="30" t="n">
        <f aca="false">Sens!$C$6534/Sens!$C$6535</f>
        <v>5.52635015390355</v>
      </c>
      <c r="D6538" s="30" t="n">
        <f aca="false">Sens!$D$6534/Sens!$D$6535</f>
        <v>7.1737323358271</v>
      </c>
      <c r="E6538" s="30" t="n">
        <f aca="false">Sens!$E$6534/Sens!$E$6535</f>
        <v>8.53212104513937</v>
      </c>
      <c r="G6538" s="30" t="n">
        <f aca="false">Sens!$G$6534/Sens!$G$6535</f>
        <v>12.7423208147233</v>
      </c>
      <c r="H6538" s="30" t="n">
        <f aca="false">Sens!$H$6534/Sens!$H$6535</f>
        <v>9.59778182509639</v>
      </c>
      <c r="I6538" s="30" t="n">
        <f aca="false">Sens!$I$6534/Sens!$I$6535</f>
        <v>10.799688520506</v>
      </c>
      <c r="J6538" s="30" t="n">
        <f aca="false">Sens!$J$6534/Sens!$J$6535</f>
        <v>11.9873844337644</v>
      </c>
      <c r="K6538" s="30" t="n">
        <f aca="false">Sens!$K$6534/Sens!$K$6535</f>
        <v>12.8088902453061</v>
      </c>
      <c r="L6538" s="30" t="n">
        <f aca="false">Sens!$L$6534/Sens!$L$6535</f>
        <v>13.8549085152432</v>
      </c>
      <c r="M6538" s="30" t="n">
        <f aca="false">Sens!$M$6534/Sens!$M$6535</f>
        <v>15.0066286091313</v>
      </c>
    </row>
    <row r="6539" customFormat="false" ht="17.15" hidden="false" customHeight="false" outlineLevel="0" collapsed="false">
      <c r="A6539" s="0" t="s">
        <v>759</v>
      </c>
      <c r="B6539" s="0" t="s">
        <v>27</v>
      </c>
      <c r="C6539" s="30" t="n">
        <f aca="false">(Sens!$C$6534-Sens!$C$6531*(1-tax))/Sens!$C$6535</f>
        <v>5.33926775917445</v>
      </c>
      <c r="D6539" s="30" t="n">
        <f aca="false">(Sens!$D$6534-Sens!$D$6531*(1-tax))/Sens!$D$6535</f>
        <v>5.67691812755503</v>
      </c>
      <c r="E6539" s="30" t="n">
        <f aca="false">(Sens!$E$6534-Sens!$E$6531*(1-tax))/Sens!$E$6535</f>
        <v>3.10602057006846</v>
      </c>
      <c r="G6539" s="30" t="n">
        <f aca="false">(Sens!$G$6534-Sens!$G$6531*(1-tax))/Sens!$G$6535</f>
        <v>7.33425269682635</v>
      </c>
      <c r="H6539" s="30" t="n">
        <f aca="false">(Sens!$H$6534-Sens!$H$6531*(1-tax))/Sens!$H$6535</f>
        <v>9.59778182509639</v>
      </c>
      <c r="I6539" s="30" t="n">
        <f aca="false">(Sens!$I$6534-Sens!$I$6531*(1-tax))/Sens!$I$6535</f>
        <v>10.799688520506</v>
      </c>
      <c r="J6539" s="30" t="n">
        <f aca="false">(Sens!$J$6534-Sens!$J$6531*(1-tax))/Sens!$J$6535</f>
        <v>11.9873844337644</v>
      </c>
      <c r="K6539" s="30" t="n">
        <f aca="false">(Sens!$K$6534-Sens!$K$6531*(1-tax))/Sens!$K$6535</f>
        <v>12.8088902453061</v>
      </c>
      <c r="L6539" s="30" t="n">
        <f aca="false">(Sens!$L$6534-Sens!$L$6531*(1-tax))/Sens!$L$6535</f>
        <v>13.8549085152432</v>
      </c>
      <c r="M6539" s="30" t="n">
        <f aca="false">(Sens!$M$6534-Sens!$M$6531*(1-tax))/Sens!$M$6535</f>
        <v>15.0066286091313</v>
      </c>
      <c r="P6539" s="5" t="s">
        <v>760</v>
      </c>
    </row>
    <row r="6540" customFormat="false" ht="17.15" hidden="false" customHeight="false" outlineLevel="0" collapsed="false">
      <c r="A6540" s="0" t="s">
        <v>761</v>
      </c>
      <c r="B6540" s="0" t="s">
        <v>52</v>
      </c>
      <c r="H6540" s="13" t="n">
        <f aca="false">Sens!$H$6537/Sens!$G$6537-1</f>
        <v>-0.175923504437261</v>
      </c>
      <c r="I6540" s="13" t="n">
        <f aca="false">Sens!$I$6537/Sens!$H$6537-1</f>
        <v>0.183361241519136</v>
      </c>
      <c r="J6540" s="13" t="n">
        <f aca="false">Sens!$J$6537/Sens!$I$6537-1</f>
        <v>0.153136911936991</v>
      </c>
      <c r="K6540" s="13" t="n">
        <f aca="false">Sens!$K$6537/Sens!$J$6537-1</f>
        <v>0.0992865382103958</v>
      </c>
      <c r="L6540" s="13" t="n">
        <f aca="false">Sens!$L$6537/Sens!$K$6537-1</f>
        <v>0.0898122682324627</v>
      </c>
      <c r="M6540" s="13" t="n">
        <f aca="false">Sens!$M$6537/Sens!$L$6537-1</f>
        <v>0.0754539246320329</v>
      </c>
    </row>
    <row r="6543" customFormat="false" ht="19.4" hidden="false" customHeight="false" outlineLevel="0" collapsed="false">
      <c r="A6543" s="31" t="s">
        <v>1268</v>
      </c>
    </row>
    <row r="6544" customFormat="false" ht="17.15" hidden="false" customHeight="false" outlineLevel="0" collapsed="false">
      <c r="A6544" s="6" t="s">
        <v>16</v>
      </c>
      <c r="B6544" s="6" t="s">
        <v>17</v>
      </c>
      <c r="C6544" s="20" t="s">
        <v>497</v>
      </c>
      <c r="D6544" s="20" t="s">
        <v>498</v>
      </c>
      <c r="E6544" s="20" t="s">
        <v>580</v>
      </c>
      <c r="F6544" s="20" t="s">
        <v>581</v>
      </c>
      <c r="G6544" s="20" t="s">
        <v>582</v>
      </c>
      <c r="H6544" s="20" t="s">
        <v>583</v>
      </c>
      <c r="I6544" s="20" t="s">
        <v>584</v>
      </c>
      <c r="J6544" s="20" t="s">
        <v>585</v>
      </c>
      <c r="K6544" s="20" t="s">
        <v>586</v>
      </c>
      <c r="L6544" s="20" t="s">
        <v>587</v>
      </c>
      <c r="M6544" s="20" t="s">
        <v>588</v>
      </c>
      <c r="N6544" s="20" t="s">
        <v>589</v>
      </c>
      <c r="O6544" s="20" t="s">
        <v>590</v>
      </c>
      <c r="P6544" s="6" t="s">
        <v>23</v>
      </c>
      <c r="R6544" s="20" t="n">
        <v>2023</v>
      </c>
      <c r="S6544" s="20" t="n">
        <v>2024</v>
      </c>
      <c r="T6544" s="20" t="n">
        <v>2025</v>
      </c>
      <c r="U6544" s="20" t="n">
        <v>2026</v>
      </c>
      <c r="V6544" s="20" t="n">
        <v>2027</v>
      </c>
      <c r="W6544" s="20" t="n">
        <v>2028</v>
      </c>
      <c r="X6544" s="20" t="n">
        <v>2029</v>
      </c>
      <c r="Y6544" s="20" t="n">
        <v>2030</v>
      </c>
      <c r="Z6544" s="20" t="n">
        <v>2031</v>
      </c>
      <c r="AA6544" s="20" t="n">
        <v>2032</v>
      </c>
    </row>
    <row r="6545" customFormat="false" ht="15" hidden="false" customHeight="false" outlineLevel="0" collapsed="false">
      <c r="A6545" s="5" t="s">
        <v>549</v>
      </c>
      <c r="B6545" s="0" t="s">
        <v>86</v>
      </c>
      <c r="C6545" s="38" t="n">
        <f aca="false">Sens!$C$6534</f>
        <v>59.248</v>
      </c>
      <c r="D6545" s="38" t="n">
        <f aca="false">Sens!$D$6534</f>
        <v>77.67</v>
      </c>
      <c r="E6545" s="38" t="n">
        <f aca="false">Sens!$E$6534</f>
        <v>92.902</v>
      </c>
      <c r="F6545" s="38" t="n">
        <f aca="false">Sens!$F$6534</f>
        <v>46.3053828906144</v>
      </c>
      <c r="G6545" s="38" t="n">
        <f aca="false">Sens!$G$6534</f>
        <v>139.207382890614</v>
      </c>
      <c r="H6545" s="38" t="n">
        <f aca="false">Sens!$H$6534</f>
        <v>105.69273570526</v>
      </c>
      <c r="I6545" s="38" t="n">
        <f aca="false">Sens!$I$6534</f>
        <v>119.879804986231</v>
      </c>
      <c r="J6545" s="38" t="n">
        <f aca="false">Sens!$J$6534</f>
        <v>134.128097114092</v>
      </c>
      <c r="K6545" s="38" t="n">
        <f aca="false">Sens!$K$6534</f>
        <v>144.466571578893</v>
      </c>
      <c r="L6545" s="38" t="n">
        <f aca="false">Sens!$L$6534</f>
        <v>157.514325063223</v>
      </c>
      <c r="M6545" s="38" t="n">
        <f aca="false">Sens!$M$6534</f>
        <v>171.9729181925</v>
      </c>
    </row>
    <row r="6546" customFormat="false" ht="17.15" hidden="false" customHeight="false" outlineLevel="0" collapsed="false">
      <c r="A6546" s="5" t="s">
        <v>784</v>
      </c>
      <c r="B6546" s="0" t="s">
        <v>86</v>
      </c>
      <c r="C6546" s="38" t="n">
        <f aca="false">Sens!$C$6522</f>
        <v>32.067</v>
      </c>
      <c r="D6546" s="38" t="n">
        <f aca="false">Sens!$D$6522</f>
        <v>41.86</v>
      </c>
      <c r="E6546" s="38" t="n">
        <f aca="false">Sens!$E$6522</f>
        <v>26.703</v>
      </c>
      <c r="F6546" s="38" t="n">
        <f aca="false">Sens!$F$6522</f>
        <v>28.2071421626285</v>
      </c>
      <c r="G6546" s="38" t="n">
        <f aca="false">Sens!$G$6522</f>
        <v>54.9101421626285</v>
      </c>
      <c r="H6546" s="38" t="n">
        <f aca="false">Sens!$H$6522</f>
        <v>78.1799395827871</v>
      </c>
      <c r="I6546" s="38" t="n">
        <f aca="false">Sens!$I$6522</f>
        <v>111.171125554384</v>
      </c>
      <c r="J6546" s="38" t="n">
        <f aca="false">Sens!$J$6522</f>
        <v>144.884406220971</v>
      </c>
      <c r="K6546" s="38" t="n">
        <f aca="false">Sens!$K$6522</f>
        <v>178.806419437999</v>
      </c>
      <c r="L6546" s="38" t="n">
        <f aca="false">Sens!$L$6522</f>
        <v>204.341339029663</v>
      </c>
      <c r="M6546" s="38" t="n">
        <f aca="false">Sens!$M$6522</f>
        <v>223.130577995387</v>
      </c>
    </row>
    <row r="6547" customFormat="false" ht="15" hidden="false" customHeight="false" outlineLevel="0" collapsed="false">
      <c r="A6547" s="5" t="s">
        <v>785</v>
      </c>
      <c r="B6547" s="0" t="s">
        <v>86</v>
      </c>
      <c r="C6547" s="38" t="n">
        <f aca="false">Q!$D$48</f>
        <v>22.011</v>
      </c>
      <c r="D6547" s="38" t="n">
        <f aca="false">Q!$E$48</f>
        <v>19.467</v>
      </c>
      <c r="E6547" s="38" t="n">
        <f aca="false">Q!$P$48</f>
        <v>10.07</v>
      </c>
      <c r="F6547" s="38" t="n">
        <f aca="false">sbc_r*Sens!$F$6464</f>
        <v>10.8507035798037</v>
      </c>
      <c r="G6547" s="38" t="n">
        <f aca="false">Sens!$E$6547+Sens!$F$6547</f>
        <v>20.9207035798037</v>
      </c>
      <c r="H6547" s="38" t="n">
        <f aca="false">sbc_r*Sens!$H$6464</f>
        <v>23.46224366345</v>
      </c>
      <c r="I6547" s="38" t="n">
        <f aca="false">sbc_r*Sens!$I$6464</f>
        <v>26.6125957111676</v>
      </c>
      <c r="J6547" s="38" t="n">
        <f aca="false">sbc_r*Sens!$J$6464</f>
        <v>29.6280801413323</v>
      </c>
      <c r="K6547" s="38" t="n">
        <f aca="false">sbc_r*Sens!$K$6464</f>
        <v>32.2712258901105</v>
      </c>
      <c r="L6547" s="38" t="n">
        <f aca="false">sbc_r*Sens!$L$6464</f>
        <v>34.7390505016737</v>
      </c>
      <c r="M6547" s="38" t="n">
        <f aca="false">sbc_r*Sens!$M$6464</f>
        <v>37.0405146906692</v>
      </c>
    </row>
    <row r="6548" customFormat="false" ht="17.15" hidden="false" customHeight="false" outlineLevel="0" collapsed="false">
      <c r="A6548" s="5" t="s">
        <v>786</v>
      </c>
      <c r="B6548" s="0" t="s">
        <v>86</v>
      </c>
      <c r="C6548" s="38" t="n">
        <f aca="false">Q!$D$44-Sens!$C$6545-Sens!$C$6546-Sens!$C$6547</f>
        <v>2.551</v>
      </c>
      <c r="D6548" s="38" t="n">
        <f aca="false">Q!$E$44-Sens!$D$6545-Sens!$D$6546-Sens!$D$6547</f>
        <v>0.51700000000001</v>
      </c>
      <c r="E6548" s="38" t="n">
        <f aca="false">Q!$P$44-Sens!$E$6545-Sens!$E$6546-Sens!$E$6547</f>
        <v>-58.256</v>
      </c>
      <c r="F6548" s="38" t="n">
        <f aca="false">oth_r*Sens!$F$6464</f>
        <v>5.22265251035878</v>
      </c>
      <c r="G6548" s="38" t="n">
        <f aca="false">Sens!$E$6548+Sens!$F$6548</f>
        <v>-53.0333474896412</v>
      </c>
      <c r="H6548" s="38" t="n">
        <f aca="false">oth_r*Sens!$H$6464</f>
        <v>11.2928295263397</v>
      </c>
      <c r="I6548" s="38" t="n">
        <f aca="false">oth_r*Sens!$I$6464</f>
        <v>12.8091546115766</v>
      </c>
      <c r="J6548" s="38" t="n">
        <f aca="false">oth_r*Sens!$J$6464</f>
        <v>14.2605653162668</v>
      </c>
      <c r="K6548" s="38" t="n">
        <f aca="false">oth_r*Sens!$K$6464</f>
        <v>15.5327622460396</v>
      </c>
      <c r="L6548" s="38" t="n">
        <f aca="false">oth_r*Sens!$L$6464</f>
        <v>16.720573737517</v>
      </c>
      <c r="M6548" s="38" t="n">
        <f aca="false">oth_r*Sens!$M$6464</f>
        <v>17.8283127551536</v>
      </c>
      <c r="P6548" s="8" t="s">
        <v>787</v>
      </c>
    </row>
    <row r="6549" customFormat="false" ht="15" hidden="false" customHeight="false" outlineLevel="0" collapsed="false">
      <c r="A6549" s="3" t="s">
        <v>555</v>
      </c>
      <c r="B6549" s="8" t="s">
        <v>86</v>
      </c>
      <c r="C6549" s="38" t="n">
        <f aca="false">Q!$D$44</f>
        <v>115.877</v>
      </c>
      <c r="D6549" s="38" t="n">
        <f aca="false">Q!$E$44</f>
        <v>139.514</v>
      </c>
      <c r="E6549" s="38" t="n">
        <f aca="false">Q!$P$44</f>
        <v>71.419</v>
      </c>
      <c r="F6549" s="38" t="n">
        <f aca="false">Sens!$F$6545+Sens!$F$6546+Sens!$F$6547+Sens!$F$6548</f>
        <v>90.5858811434053</v>
      </c>
      <c r="G6549" s="38" t="n">
        <f aca="false">Sens!$E$6549+Sens!$F$6549</f>
        <v>162.004881143405</v>
      </c>
      <c r="H6549" s="38" t="n">
        <f aca="false">Sens!$H$6545+Sens!$H$6546+Sens!$H$6547+Sens!$H$6548</f>
        <v>218.627748477837</v>
      </c>
      <c r="I6549" s="38" t="n">
        <f aca="false">Sens!$I$6545+Sens!$I$6546+Sens!$I$6547+Sens!$I$6548</f>
        <v>270.47268086336</v>
      </c>
      <c r="J6549" s="38" t="n">
        <f aca="false">Sens!$J$6545+Sens!$J$6546+Sens!$J$6547+Sens!$J$6548</f>
        <v>322.901148792662</v>
      </c>
      <c r="K6549" s="38" t="n">
        <f aca="false">Sens!$K$6545+Sens!$K$6546+Sens!$K$6547+Sens!$K$6548</f>
        <v>371.076979153043</v>
      </c>
      <c r="L6549" s="38" t="n">
        <f aca="false">Sens!$L$6545+Sens!$L$6546+Sens!$L$6547+Sens!$L$6548</f>
        <v>413.315288332076</v>
      </c>
      <c r="M6549" s="38" t="n">
        <f aca="false">Sens!$M$6545+Sens!$M$6546+Sens!$M$6547+Sens!$M$6548</f>
        <v>449.97232363371</v>
      </c>
    </row>
    <row r="6550" customFormat="false" ht="17.15" hidden="false" customHeight="false" outlineLevel="0" collapsed="false">
      <c r="A6550" s="5" t="s">
        <v>788</v>
      </c>
      <c r="B6550" s="0" t="s">
        <v>86</v>
      </c>
      <c r="C6550" s="38" t="n">
        <f aca="false">Sens!$C$6431</f>
        <v>25.2781053077374</v>
      </c>
      <c r="D6550" s="38" t="n">
        <f aca="false">Sens!$D$6431</f>
        <v>69.5686316310026</v>
      </c>
      <c r="E6550" s="38" t="n">
        <f aca="false">Sens!$E$6431</f>
        <v>64.1899206485108</v>
      </c>
      <c r="F6550" s="38" t="n">
        <f aca="false">Sens!$F$6431</f>
        <v>96.2481299895</v>
      </c>
      <c r="G6550" s="38" t="n">
        <f aca="false">Sens!$G$6431</f>
        <v>160.438050638011</v>
      </c>
      <c r="H6550" s="38" t="n">
        <f aca="false">Sens!$H$6431</f>
        <v>198.57136494475</v>
      </c>
      <c r="I6550" s="38" t="n">
        <f aca="false">Sens!$I$6431</f>
        <v>204.6464699105</v>
      </c>
      <c r="J6550" s="38" t="n">
        <f aca="false">Sens!$J$6431</f>
        <v>209.8832381105</v>
      </c>
      <c r="K6550" s="38" t="n">
        <f aca="false">Sens!$K$6431</f>
        <v>155.238385275201</v>
      </c>
      <c r="L6550" s="38" t="n">
        <f aca="false">Sens!$L$6431</f>
        <v>132.014141639902</v>
      </c>
      <c r="M6550" s="38" t="n">
        <f aca="false">Sens!$M$6431</f>
        <v>132.230981659852</v>
      </c>
    </row>
    <row r="6551" customFormat="false" ht="17.15" hidden="false" customHeight="false" outlineLevel="0" collapsed="false">
      <c r="A6551" s="5" t="s">
        <v>789</v>
      </c>
      <c r="B6551" s="0" t="s">
        <v>86</v>
      </c>
      <c r="C6551" s="38" t="n">
        <f aca="false">cx_awso*Sens!$C$6462</f>
        <v>21.0469989286053</v>
      </c>
      <c r="D6551" s="38" t="n">
        <f aca="false">cx_awso*Sens!$D$6462</f>
        <v>24.0042459822698</v>
      </c>
      <c r="E6551" s="38" t="n">
        <f aca="false">cx_awso*Sens!$E$6462</f>
        <v>14.261729404886</v>
      </c>
      <c r="F6551" s="38" t="n">
        <f aca="false">cx_awso*Sens!$F$6462</f>
        <v>14.3538599588493</v>
      </c>
      <c r="G6551" s="38" t="n">
        <f aca="false">Sens!$E$6551+Sens!$F$6551</f>
        <v>28.6155893637353</v>
      </c>
      <c r="H6551" s="38" t="n">
        <f aca="false">cx_awso*Sens!$H$6462</f>
        <v>32.2034154158406</v>
      </c>
      <c r="I6551" s="38" t="n">
        <f aca="false">cx_awso*Sens!$I$6462</f>
        <v>35.7539519042915</v>
      </c>
      <c r="J6551" s="38" t="n">
        <f aca="false">cx_awso*Sens!$J$6462</f>
        <v>39.1551076091815</v>
      </c>
      <c r="K6551" s="38" t="n">
        <f aca="false">cx_awso*Sens!$K$6462</f>
        <v>42.287516217916</v>
      </c>
      <c r="L6551" s="38" t="n">
        <f aca="false">cx_awso*Sens!$L$6462</f>
        <v>45.6705175153492</v>
      </c>
      <c r="M6551" s="38" t="n">
        <f aca="false">cx_awso*Sens!$M$6462</f>
        <v>49.3241589165772</v>
      </c>
    </row>
    <row r="6552" customFormat="false" ht="17.15" hidden="false" customHeight="false" outlineLevel="0" collapsed="false">
      <c r="A6552" s="5" t="s">
        <v>790</v>
      </c>
      <c r="B6552" s="0" t="s">
        <v>86</v>
      </c>
      <c r="C6552" s="38" t="n">
        <f aca="false">Q!$D$46-Sens!$C$6550-Sens!$C$6551</f>
        <v>31.3328957636573</v>
      </c>
      <c r="D6552" s="38" t="n">
        <f aca="false">Q!$E$46-Sens!$D$6550-Sens!$D$6551</f>
        <v>34.7471223867276</v>
      </c>
      <c r="E6552" s="38" t="n">
        <f aca="false">Q!$P$46-Sens!$E$6550-Sens!$E$6551</f>
        <v>17.8583499466032</v>
      </c>
      <c r="F6552" s="38" t="n">
        <f aca="false">cx_rt*Sens!$F$6394</f>
        <v>20.6195895799373</v>
      </c>
      <c r="G6552" s="38" t="n">
        <f aca="false">Sens!$E$6552+Sens!$F$6552</f>
        <v>38.4779395265405</v>
      </c>
      <c r="H6552" s="38" t="n">
        <f aca="false">cx_rt*Sens!$H$6394</f>
        <v>42.5978994743075</v>
      </c>
      <c r="I6552" s="38" t="n">
        <f aca="false">cx_rt*Sens!$I$6394</f>
        <v>46.5813904136335</v>
      </c>
      <c r="J6552" s="38" t="n">
        <f aca="false">cx_rt*Sens!$J$6394</f>
        <v>50.2781676586844</v>
      </c>
      <c r="K6552" s="38" t="n">
        <f aca="false">cx_rt*Sens!$K$6394</f>
        <v>53.5312440191755</v>
      </c>
      <c r="L6552" s="38" t="n">
        <f aca="false">cx_rt*Sens!$L$6394</f>
        <v>57.0116717051447</v>
      </c>
      <c r="M6552" s="38" t="n">
        <f aca="false">cx_rt*Sens!$M$6394</f>
        <v>60.7365554669226</v>
      </c>
    </row>
    <row r="6553" customFormat="false" ht="15" hidden="false" customHeight="false" outlineLevel="0" collapsed="false">
      <c r="A6553" s="3" t="s">
        <v>791</v>
      </c>
      <c r="B6553" s="8" t="s">
        <v>86</v>
      </c>
      <c r="C6553" s="38" t="n">
        <f aca="false">Q!$D$46</f>
        <v>77.658</v>
      </c>
      <c r="D6553" s="38" t="n">
        <f aca="false">Q!$E$46</f>
        <v>128.32</v>
      </c>
      <c r="E6553" s="38" t="n">
        <f aca="false">Q!$P$46</f>
        <v>96.31</v>
      </c>
      <c r="F6553" s="38" t="n">
        <f aca="false">Sens!$F$6550+Sens!$F$6551+Sens!$F$6552</f>
        <v>131.221579528287</v>
      </c>
      <c r="G6553" s="38" t="n">
        <f aca="false">Sens!$E$6553+Sens!$F$6553</f>
        <v>227.531579528287</v>
      </c>
      <c r="H6553" s="38" t="n">
        <f aca="false">Sens!$H$6550+Sens!$H$6551+Sens!$H$6552</f>
        <v>273.372679834898</v>
      </c>
      <c r="I6553" s="38" t="n">
        <f aca="false">Sens!$I$6550+Sens!$I$6551+Sens!$I$6552</f>
        <v>286.981812228425</v>
      </c>
      <c r="J6553" s="38" t="n">
        <f aca="false">Sens!$J$6550+Sens!$J$6551+Sens!$J$6552</f>
        <v>299.316513378366</v>
      </c>
      <c r="K6553" s="38" t="n">
        <f aca="false">Sens!$K$6550+Sens!$K$6551+Sens!$K$6552</f>
        <v>251.057145512292</v>
      </c>
      <c r="L6553" s="38" t="n">
        <f aca="false">Sens!$L$6550+Sens!$L$6551+Sens!$L$6552</f>
        <v>234.696330860396</v>
      </c>
      <c r="M6553" s="38" t="n">
        <f aca="false">Sens!$M$6550+Sens!$M$6551+Sens!$M$6552</f>
        <v>242.291696043352</v>
      </c>
    </row>
    <row r="6554" customFormat="false" ht="17.15" hidden="false" customHeight="false" outlineLevel="0" collapsed="false">
      <c r="A6554" s="5" t="s">
        <v>563</v>
      </c>
      <c r="B6554" s="0" t="s">
        <v>86</v>
      </c>
      <c r="C6554" s="38" t="n">
        <f aca="false">Q!$D$50</f>
        <v>2.043</v>
      </c>
      <c r="D6554" s="38" t="n">
        <f aca="false">Q!$E$50</f>
        <v>1.557</v>
      </c>
      <c r="E6554" s="38" t="n">
        <f aca="false">lease_pr/2</f>
        <v>0.8</v>
      </c>
      <c r="F6554" s="38" t="n">
        <f aca="false">lease_pr/2</f>
        <v>0.8</v>
      </c>
      <c r="G6554" s="38" t="n">
        <f aca="false">Sens!$E$6554+Sens!$F$6554</f>
        <v>1.6</v>
      </c>
      <c r="H6554" s="38" t="n">
        <f aca="false">lease_pr</f>
        <v>1.6</v>
      </c>
      <c r="I6554" s="38" t="n">
        <f aca="false">lease_pr</f>
        <v>1.6</v>
      </c>
      <c r="J6554" s="38" t="n">
        <f aca="false">lease_pr</f>
        <v>1.6</v>
      </c>
      <c r="K6554" s="38" t="n">
        <f aca="false">lease_pr</f>
        <v>1.6</v>
      </c>
      <c r="L6554" s="38" t="n">
        <f aca="false">lease_pr</f>
        <v>1.6</v>
      </c>
      <c r="M6554" s="38" t="n">
        <f aca="false">lease_pr</f>
        <v>1.6</v>
      </c>
      <c r="P6554" s="8" t="s">
        <v>792</v>
      </c>
    </row>
    <row r="6555" customFormat="false" ht="15" hidden="false" customHeight="false" outlineLevel="0" collapsed="false">
      <c r="A6555" s="47" t="s">
        <v>793</v>
      </c>
      <c r="B6555" s="14" t="s">
        <v>86</v>
      </c>
      <c r="C6555" s="48" t="n">
        <f aca="false">Sens!$C$6549-Sens!$C$6553-Sens!$C$6554</f>
        <v>36.176</v>
      </c>
      <c r="D6555" s="48" t="n">
        <f aca="false">Sens!$D$6549-Sens!$D$6553-Sens!$D$6554</f>
        <v>9.63700000000002</v>
      </c>
      <c r="E6555" s="48" t="n">
        <f aca="false">Sens!$E$6549-Sens!$E$6553-Sens!$E$6554</f>
        <v>-25.691</v>
      </c>
      <c r="F6555" s="48" t="n">
        <f aca="false">Sens!$F$6549-Sens!$F$6553-Sens!$F$6554</f>
        <v>-41.4356983848813</v>
      </c>
      <c r="G6555" s="48" t="n">
        <f aca="false">Sens!$G$6549-Sens!$G$6553-Sens!$G$6554</f>
        <v>-67.1266983848813</v>
      </c>
      <c r="H6555" s="48" t="n">
        <f aca="false">Sens!$H$6549-Sens!$H$6553-Sens!$H$6554</f>
        <v>-56.3449313570613</v>
      </c>
      <c r="I6555" s="48" t="n">
        <f aca="false">Sens!$I$6549-Sens!$I$6553-Sens!$I$6554</f>
        <v>-18.1091313650653</v>
      </c>
      <c r="J6555" s="48" t="n">
        <f aca="false">Sens!$J$6549-Sens!$J$6553-Sens!$J$6554</f>
        <v>21.9846354142961</v>
      </c>
      <c r="K6555" s="48" t="n">
        <f aca="false">Sens!$K$6549-Sens!$K$6553-Sens!$K$6554</f>
        <v>118.41983364075</v>
      </c>
      <c r="L6555" s="48" t="n">
        <f aca="false">Sens!$L$6549-Sens!$L$6553-Sens!$L$6554</f>
        <v>177.018957471681</v>
      </c>
      <c r="M6555" s="48" t="n">
        <f aca="false">Sens!$M$6549-Sens!$M$6553-Sens!$M$6554</f>
        <v>206.080627590357</v>
      </c>
      <c r="N6555" s="14"/>
      <c r="O6555" s="14"/>
    </row>
    <row r="6556" customFormat="false" ht="17.15" hidden="false" customHeight="false" outlineLevel="0" collapsed="false">
      <c r="A6556" s="5" t="s">
        <v>794</v>
      </c>
      <c r="B6556" s="0" t="s">
        <v>86</v>
      </c>
      <c r="C6556" s="38" t="n">
        <f aca="false">dps*Sens!$C$6535</f>
        <v>0</v>
      </c>
      <c r="D6556" s="38" t="n">
        <f aca="false">dps*Sens!$D$6535</f>
        <v>0</v>
      </c>
      <c r="E6556" s="38" t="n">
        <f aca="false">dps*Sens!$E$6535</f>
        <v>0</v>
      </c>
      <c r="F6556" s="38" t="n">
        <f aca="false">0</f>
        <v>0</v>
      </c>
      <c r="G6556" s="38" t="n">
        <f aca="false">dps*Sens!$G$6535</f>
        <v>0</v>
      </c>
      <c r="H6556" s="38" t="n">
        <f aca="false">dps*Sens!$H$6535</f>
        <v>0</v>
      </c>
      <c r="I6556" s="38" t="n">
        <f aca="false">dps*Sens!$I$6535</f>
        <v>0</v>
      </c>
      <c r="J6556" s="38" t="n">
        <f aca="false">dps*Sens!$J$6535</f>
        <v>0</v>
      </c>
      <c r="K6556" s="38" t="n">
        <f aca="false">dps*Sens!$K$6535</f>
        <v>0</v>
      </c>
      <c r="L6556" s="38" t="n">
        <f aca="false">dps*Sens!$L$6535</f>
        <v>0</v>
      </c>
      <c r="M6556" s="38" t="n">
        <f aca="false">dps*Sens!$M$6535</f>
        <v>0</v>
      </c>
      <c r="P6556" s="8" t="s">
        <v>795</v>
      </c>
    </row>
    <row r="6557" customFormat="false" ht="17.15" hidden="false" customHeight="false" outlineLevel="0" collapsed="false">
      <c r="A6557" s="5" t="s">
        <v>796</v>
      </c>
      <c r="B6557" s="0" t="s">
        <v>86</v>
      </c>
      <c r="C6557" s="38" t="n">
        <f aca="false">0</f>
        <v>0</v>
      </c>
      <c r="D6557" s="38" t="n">
        <f aca="false">0</f>
        <v>0</v>
      </c>
      <c r="E6557" s="38" t="n">
        <f aca="false">0</f>
        <v>0</v>
      </c>
      <c r="F6557" s="38" t="n">
        <f aca="false">0</f>
        <v>0</v>
      </c>
      <c r="G6557" s="38" t="n">
        <f aca="false">0</f>
        <v>0</v>
      </c>
      <c r="H6557" s="38" t="n">
        <f aca="false">0</f>
        <v>0</v>
      </c>
      <c r="I6557" s="38" t="n">
        <f aca="false">0</f>
        <v>0</v>
      </c>
      <c r="J6557" s="38" t="n">
        <f aca="false">0</f>
        <v>0</v>
      </c>
      <c r="K6557" s="38" t="n">
        <f aca="false">0</f>
        <v>0</v>
      </c>
      <c r="L6557" s="38" t="n">
        <f aca="false">0</f>
        <v>0</v>
      </c>
      <c r="M6557" s="38" t="n">
        <f aca="false">0</f>
        <v>0</v>
      </c>
      <c r="P6557" s="8" t="s">
        <v>797</v>
      </c>
    </row>
    <row r="6558" customFormat="false" ht="15" hidden="false" customHeight="false" outlineLevel="0" collapsed="false">
      <c r="A6558" s="3" t="s">
        <v>798</v>
      </c>
      <c r="B6558" s="8" t="s">
        <v>86</v>
      </c>
      <c r="C6558" s="38" t="n">
        <f aca="false">Sens!$C$6555-Sens!$C$6556</f>
        <v>36.176</v>
      </c>
      <c r="D6558" s="38" t="n">
        <f aca="false">Sens!$D$6555-Sens!$D$6556</f>
        <v>9.63700000000002</v>
      </c>
      <c r="E6558" s="38" t="n">
        <f aca="false">Sens!$E$6555-Sens!$E$6556</f>
        <v>-25.691</v>
      </c>
      <c r="F6558" s="38" t="n">
        <f aca="false">Sens!$F$6555-Sens!$F$6556</f>
        <v>-41.4356983848813</v>
      </c>
      <c r="G6558" s="38" t="n">
        <f aca="false">Sens!$G$6555-Sens!$G$6556</f>
        <v>-67.1266983848813</v>
      </c>
      <c r="H6558" s="38" t="n">
        <f aca="false">Sens!$H$6555-Sens!$H$6556</f>
        <v>-56.3449313570613</v>
      </c>
      <c r="I6558" s="38" t="n">
        <f aca="false">Sens!$I$6555-Sens!$I$6556</f>
        <v>-18.1091313650653</v>
      </c>
      <c r="J6558" s="38" t="n">
        <f aca="false">Sens!$J$6555-Sens!$J$6556</f>
        <v>21.9846354142961</v>
      </c>
      <c r="K6558" s="38" t="n">
        <f aca="false">Sens!$K$6555-Sens!$K$6556</f>
        <v>118.41983364075</v>
      </c>
      <c r="L6558" s="38" t="n">
        <f aca="false">Sens!$L$6555-Sens!$L$6556</f>
        <v>177.018957471681</v>
      </c>
      <c r="M6558" s="38" t="n">
        <f aca="false">Sens!$M$6555-Sens!$M$6556</f>
        <v>206.080627590357</v>
      </c>
    </row>
    <row r="6559" customFormat="false" ht="17.15" hidden="false" customHeight="false" outlineLevel="0" collapsed="false">
      <c r="A6559" s="5" t="s">
        <v>799</v>
      </c>
      <c r="B6559" s="0" t="s">
        <v>86</v>
      </c>
      <c r="E6559" s="38" t="n">
        <f aca="false">Q!$P$53</f>
        <v>39.767</v>
      </c>
      <c r="F6559" s="38" t="n">
        <f aca="false">inv_2h26</f>
        <v>21.3</v>
      </c>
      <c r="G6559" s="38" t="n">
        <f aca="false">Sens!$E$6559+Sens!$F$6559</f>
        <v>61.067</v>
      </c>
      <c r="H6559" s="39" t="n">
        <v>0</v>
      </c>
      <c r="I6559" s="39" t="n">
        <v>0</v>
      </c>
      <c r="J6559" s="39" t="n">
        <v>0</v>
      </c>
      <c r="K6559" s="39" t="n">
        <v>0</v>
      </c>
      <c r="L6559" s="39" t="n">
        <v>0</v>
      </c>
      <c r="M6559" s="39" t="n">
        <v>0</v>
      </c>
    </row>
    <row r="6560" customFormat="false" ht="17.15" hidden="false" customHeight="false" outlineLevel="0" collapsed="false">
      <c r="A6560" s="5" t="s">
        <v>800</v>
      </c>
      <c r="B6560" s="0" t="s">
        <v>86</v>
      </c>
      <c r="F6560" s="38" t="n">
        <f aca="false">iss_2h26</f>
        <v>29.249999</v>
      </c>
      <c r="G6560" s="38" t="n">
        <f aca="false">Sens!$F$6560</f>
        <v>29.249999</v>
      </c>
      <c r="H6560" s="39" t="n">
        <v>0</v>
      </c>
      <c r="I6560" s="39" t="n">
        <v>0</v>
      </c>
      <c r="J6560" s="39" t="n">
        <v>0</v>
      </c>
      <c r="K6560" s="39" t="n">
        <v>0</v>
      </c>
      <c r="L6560" s="39" t="n">
        <v>0</v>
      </c>
      <c r="M6560" s="39" t="n">
        <v>0</v>
      </c>
    </row>
    <row r="6561" customFormat="false" ht="17.15" hidden="false" customHeight="false" outlineLevel="0" collapsed="false">
      <c r="A6561" s="5" t="s">
        <v>801</v>
      </c>
      <c r="B6561" s="0" t="s">
        <v>86</v>
      </c>
      <c r="F6561" s="38" t="n">
        <f aca="false">cash_q2</f>
        <v>122.988</v>
      </c>
      <c r="G6561" s="38" t="n">
        <f aca="false">cash_q2</f>
        <v>122.988</v>
      </c>
      <c r="H6561" s="38" t="n">
        <f aca="false">Sens!$G$6564</f>
        <v>89.5023006151187</v>
      </c>
      <c r="I6561" s="38" t="n">
        <f aca="false">Sens!$H$6564</f>
        <v>50</v>
      </c>
      <c r="J6561" s="38" t="n">
        <f aca="false">Sens!$I$6564</f>
        <v>50</v>
      </c>
      <c r="K6561" s="38" t="n">
        <f aca="false">Sens!$J$6564</f>
        <v>71.9846354142962</v>
      </c>
      <c r="L6561" s="38" t="n">
        <f aca="false">Sens!$K$6564</f>
        <v>190.404469055046</v>
      </c>
      <c r="M6561" s="38" t="n">
        <f aca="false">Sens!$L$6564</f>
        <v>367.423426526727</v>
      </c>
    </row>
    <row r="6562" customFormat="false" ht="15" hidden="false" customHeight="false" outlineLevel="0" collapsed="false">
      <c r="A6562" s="5" t="s">
        <v>802</v>
      </c>
      <c r="B6562" s="0" t="s">
        <v>86</v>
      </c>
      <c r="F6562" s="38" t="n">
        <f aca="false">Sens!$F$6561+Sens!$F$6558-Sens!$F$6557-Sens!$F$6559+Sens!$F$6560</f>
        <v>89.5023006151187</v>
      </c>
      <c r="H6562" s="38" t="n">
        <f aca="false">Sens!$H$6561+Sens!$H$6558-Sens!$H$6557-Sens!$H$6559+Sens!$H$6560</f>
        <v>33.1573692580575</v>
      </c>
      <c r="I6562" s="38" t="n">
        <f aca="false">Sens!$I$6561+Sens!$I$6558-Sens!$I$6557-Sens!$I$6559+Sens!$I$6560</f>
        <v>31.8908686349347</v>
      </c>
      <c r="J6562" s="38" t="n">
        <f aca="false">Sens!$J$6561+Sens!$J$6558-Sens!$J$6557-Sens!$J$6559+Sens!$J$6560</f>
        <v>71.9846354142962</v>
      </c>
      <c r="K6562" s="38" t="n">
        <f aca="false">Sens!$K$6561+Sens!$K$6558-Sens!$K$6557-Sens!$K$6559+Sens!$K$6560</f>
        <v>190.404469055046</v>
      </c>
      <c r="L6562" s="38" t="n">
        <f aca="false">Sens!$L$6561+Sens!$L$6558-Sens!$L$6557-Sens!$L$6559+Sens!$L$6560</f>
        <v>367.423426526727</v>
      </c>
      <c r="M6562" s="38" t="n">
        <f aca="false">Sens!$M$6561+Sens!$M$6558-Sens!$M$6557-Sens!$M$6559+Sens!$M$6560</f>
        <v>573.504054117085</v>
      </c>
    </row>
    <row r="6563" customFormat="false" ht="17.15" hidden="false" customHeight="false" outlineLevel="0" collapsed="false">
      <c r="A6563" s="5" t="s">
        <v>803</v>
      </c>
      <c r="B6563" s="0" t="s">
        <v>86</v>
      </c>
      <c r="F6563" s="38" t="n">
        <f aca="false">MAX(0,min_cash-Sens!$F$6562)</f>
        <v>0</v>
      </c>
      <c r="G6563" s="38" t="n">
        <f aca="false">Sens!$F$6563</f>
        <v>0</v>
      </c>
      <c r="H6563" s="38" t="n">
        <f aca="false">MAX(0,min_cash-Sens!$H$6562)</f>
        <v>16.8426307419426</v>
      </c>
      <c r="I6563" s="38" t="n">
        <f aca="false">MAX(0,min_cash-Sens!$I$6562)</f>
        <v>18.1091313650653</v>
      </c>
      <c r="J6563" s="38" t="n">
        <f aca="false">MAX(0,min_cash-Sens!$J$6562)</f>
        <v>0</v>
      </c>
      <c r="K6563" s="38" t="n">
        <f aca="false">MAX(0,min_cash-Sens!$K$6562)</f>
        <v>0</v>
      </c>
      <c r="L6563" s="38" t="n">
        <f aca="false">MAX(0,min_cash-Sens!$L$6562)</f>
        <v>0</v>
      </c>
      <c r="M6563" s="38" t="n">
        <f aca="false">MAX(0,min_cash-Sens!$M$6562)</f>
        <v>0</v>
      </c>
      <c r="P6563" s="5" t="s">
        <v>804</v>
      </c>
    </row>
    <row r="6564" customFormat="false" ht="15" hidden="false" customHeight="false" outlineLevel="0" collapsed="false">
      <c r="A6564" s="5" t="s">
        <v>805</v>
      </c>
      <c r="B6564" s="0" t="s">
        <v>86</v>
      </c>
      <c r="D6564" s="38" t="n">
        <f aca="false">Q!$E$61</f>
        <v>123.029</v>
      </c>
      <c r="E6564" s="38" t="n">
        <f aca="false">Q!$M$61</f>
        <v>122.988</v>
      </c>
      <c r="F6564" s="38" t="n">
        <f aca="false">Sens!$F$6562+Sens!$F$6563</f>
        <v>89.5023006151187</v>
      </c>
      <c r="G6564" s="38" t="n">
        <f aca="false">Sens!$F$6564</f>
        <v>89.5023006151187</v>
      </c>
      <c r="H6564" s="38" t="n">
        <f aca="false">Sens!$H$6562+Sens!$H$6563</f>
        <v>50</v>
      </c>
      <c r="I6564" s="38" t="n">
        <f aca="false">Sens!$I$6562+Sens!$I$6563</f>
        <v>50</v>
      </c>
      <c r="J6564" s="38" t="n">
        <f aca="false">Sens!$J$6562+Sens!$J$6563</f>
        <v>71.9846354142962</v>
      </c>
      <c r="K6564" s="38" t="n">
        <f aca="false">Sens!$K$6562+Sens!$K$6563</f>
        <v>190.404469055046</v>
      </c>
      <c r="L6564" s="38" t="n">
        <f aca="false">Sens!$L$6562+Sens!$L$6563</f>
        <v>367.423426526727</v>
      </c>
      <c r="M6564" s="38" t="n">
        <f aca="false">Sens!$M$6562+Sens!$M$6563</f>
        <v>573.504054117085</v>
      </c>
    </row>
    <row r="6565" customFormat="false" ht="15" hidden="false" customHeight="false" outlineLevel="0" collapsed="false">
      <c r="A6565" s="5" t="s">
        <v>806</v>
      </c>
      <c r="B6565" s="0" t="s">
        <v>86</v>
      </c>
      <c r="D6565" s="38" t="n">
        <f aca="false">Q!$E$62</f>
        <v>68.836</v>
      </c>
      <c r="E6565" s="38" t="n">
        <f aca="false">Q!$M$62</f>
        <v>132.995</v>
      </c>
      <c r="F6565" s="38" t="n">
        <f aca="false">debt_q2+Sens!$F$6560+Sens!$F$6563</f>
        <v>162.244999</v>
      </c>
      <c r="G6565" s="38" t="n">
        <f aca="false">Sens!$F$6565</f>
        <v>162.244999</v>
      </c>
      <c r="H6565" s="38" t="n">
        <f aca="false">Sens!$G$6565+Sens!$H$6563</f>
        <v>179.087629741943</v>
      </c>
      <c r="I6565" s="38" t="n">
        <f aca="false">Sens!$H$6565+Sens!$I$6563</f>
        <v>197.196761107008</v>
      </c>
      <c r="J6565" s="38" t="n">
        <f aca="false">Sens!$I$6565+Sens!$J$6563</f>
        <v>197.196761107008</v>
      </c>
      <c r="K6565" s="38" t="n">
        <f aca="false">Sens!$J$6565+Sens!$K$6563</f>
        <v>197.196761107008</v>
      </c>
      <c r="L6565" s="38" t="n">
        <f aca="false">Sens!$K$6565+Sens!$L$6563</f>
        <v>197.196761107008</v>
      </c>
      <c r="M6565" s="38" t="n">
        <f aca="false">Sens!$L$6565+Sens!$M$6563</f>
        <v>197.196761107008</v>
      </c>
    </row>
    <row r="6566" customFormat="false" ht="15" hidden="false" customHeight="false" outlineLevel="0" collapsed="false">
      <c r="A6566" s="5" t="s">
        <v>807</v>
      </c>
      <c r="B6566" s="0" t="s">
        <v>86</v>
      </c>
      <c r="D6566" s="38" t="n">
        <f aca="false">Sens!$D$6565-Sens!$D$6564</f>
        <v>-54.193</v>
      </c>
      <c r="E6566" s="38" t="n">
        <f aca="false">Sens!$E$6565-Sens!$E$6564</f>
        <v>10.007</v>
      </c>
      <c r="F6566" s="38" t="n">
        <f aca="false">Sens!$F$6565-Sens!$F$6564</f>
        <v>72.7426983848813</v>
      </c>
      <c r="G6566" s="38" t="n">
        <f aca="false">Sens!$G$6565-Sens!$G$6564</f>
        <v>72.7426983848813</v>
      </c>
      <c r="H6566" s="38" t="n">
        <f aca="false">Sens!$H$6565-Sens!$H$6564</f>
        <v>129.087629741943</v>
      </c>
      <c r="I6566" s="38" t="n">
        <f aca="false">Sens!$I$6565-Sens!$I$6564</f>
        <v>147.196761107008</v>
      </c>
      <c r="J6566" s="38" t="n">
        <f aca="false">Sens!$J$6565-Sens!$J$6564</f>
        <v>125.212125692712</v>
      </c>
      <c r="K6566" s="38" t="n">
        <f aca="false">Sens!$K$6565-Sens!$K$6564</f>
        <v>6.79229205196145</v>
      </c>
      <c r="L6566" s="38" t="n">
        <f aca="false">Sens!$L$6565-Sens!$L$6564</f>
        <v>-170.226665419719</v>
      </c>
      <c r="M6566" s="38" t="n">
        <f aca="false">Sens!$M$6565-Sens!$M$6564</f>
        <v>-376.307293010077</v>
      </c>
    </row>
    <row r="6567" customFormat="false" ht="17.15" hidden="false" customHeight="false" outlineLevel="0" collapsed="false">
      <c r="A6567" s="5" t="s">
        <v>808</v>
      </c>
      <c r="B6567" s="0" t="s">
        <v>86</v>
      </c>
      <c r="F6567" s="38" t="n">
        <f aca="false">debt_q2*kd_book*0.5+iss_2h26*kd_new*iss_t</f>
        <v>3.24888962733561</v>
      </c>
      <c r="H6567" s="38" t="n">
        <f aca="false">debt_q2*kd_book+(Sens!$G$6565-debt_q2)*kd_new</f>
        <v>7.42354172302123</v>
      </c>
      <c r="I6567" s="38" t="n">
        <f aca="false">debt_q2*kd_book+(Sens!$H$6565-debt_q2)*kd_new</f>
        <v>8.48968024898619</v>
      </c>
      <c r="J6567" s="38" t="n">
        <f aca="false">debt_q2*kd_book+(Sens!$I$6565-debt_q2)*kd_new</f>
        <v>9.63598826439483</v>
      </c>
      <c r="K6567" s="38" t="n">
        <f aca="false">debt_q2*kd_book+(Sens!$J$6565-debt_q2)*kd_new</f>
        <v>9.63598826439483</v>
      </c>
      <c r="L6567" s="38" t="n">
        <f aca="false">debt_q2*kd_book+(Sens!$K$6565-debt_q2)*kd_new</f>
        <v>9.63598826439483</v>
      </c>
      <c r="M6567" s="38" t="n">
        <f aca="false">debt_q2*kd_book+(Sens!$L$6565-debt_q2)*kd_new</f>
        <v>9.63598826439483</v>
      </c>
    </row>
    <row r="6568" customFormat="false" ht="17.15" hidden="false" customHeight="false" outlineLevel="0" collapsed="false">
      <c r="A6568" s="5" t="s">
        <v>809</v>
      </c>
      <c r="B6568" s="0" t="s">
        <v>86</v>
      </c>
      <c r="F6568" s="38" t="n">
        <f aca="false">cash_q2*y_cash*0.5</f>
        <v>2.59</v>
      </c>
      <c r="H6568" s="38" t="n">
        <f aca="false">Sens!$G$6564*y_cash</f>
        <v>3.76965165045626</v>
      </c>
      <c r="I6568" s="38" t="n">
        <f aca="false">Sens!$H$6564*y_cash</f>
        <v>2.10589651022864</v>
      </c>
      <c r="J6568" s="38" t="n">
        <f aca="false">Sens!$I$6564*y_cash</f>
        <v>2.10589651022864</v>
      </c>
      <c r="K6568" s="38" t="n">
        <f aca="false">Sens!$J$6564*y_cash</f>
        <v>3.03184385018094</v>
      </c>
      <c r="L6568" s="38" t="n">
        <f aca="false">Sens!$K$6564*y_cash</f>
        <v>8.01944213829919</v>
      </c>
      <c r="M6568" s="38" t="n">
        <f aca="false">Sens!$L$6564*y_cash</f>
        <v>15.4751142339777</v>
      </c>
    </row>
    <row r="6569" customFormat="false" ht="17.15" hidden="false" customHeight="false" outlineLevel="0" collapsed="false">
      <c r="A6569" s="47" t="s">
        <v>810</v>
      </c>
      <c r="B6569" s="14" t="s">
        <v>86</v>
      </c>
      <c r="C6569" s="14"/>
      <c r="D6569" s="14"/>
      <c r="E6569" s="14"/>
      <c r="F6569" s="14"/>
      <c r="G6569" s="48" t="n">
        <f aca="false">SUM(Sens!$G$6558:$K$6558)</f>
        <v>-1.17629205196147</v>
      </c>
      <c r="H6569" s="14"/>
      <c r="I6569" s="14"/>
      <c r="J6569" s="14"/>
      <c r="K6569" s="14"/>
      <c r="L6569" s="14"/>
      <c r="M6569" s="14"/>
      <c r="N6569" s="14"/>
      <c r="O6569" s="14"/>
    </row>
    <row r="6570" customFormat="false" ht="17.15" hidden="false" customHeight="false" outlineLevel="0" collapsed="false">
      <c r="A6570" s="0" t="s">
        <v>776</v>
      </c>
      <c r="B6570" s="0" t="s">
        <v>86</v>
      </c>
      <c r="G6570" s="38" t="n">
        <f aca="false">SUM(Sens!$G$6563:$K$6563)</f>
        <v>34.9517621070079</v>
      </c>
    </row>
    <row r="6571" customFormat="false" ht="17.15" hidden="false" customHeight="false" outlineLevel="0" collapsed="false">
      <c r="A6571" s="24" t="s">
        <v>813</v>
      </c>
      <c r="B6571" s="25" t="s">
        <v>86</v>
      </c>
      <c r="C6571" s="25"/>
      <c r="D6571" s="25"/>
      <c r="E6571" s="25"/>
      <c r="F6571" s="25"/>
      <c r="G6571" s="41" t="n">
        <f aca="false">Sens!$G$6569-(Sens!$G$6558+Sens!$H$6558+Sens!$I$6558+Sens!$J$6558+Sens!$K$6558)</f>
        <v>-2.8421709430404E-014</v>
      </c>
      <c r="H6571" s="25"/>
      <c r="I6571" s="25"/>
      <c r="J6571" s="25"/>
      <c r="K6571" s="25"/>
      <c r="L6571" s="25"/>
      <c r="M6571" s="25"/>
      <c r="N6571" s="25"/>
      <c r="O6571" s="25"/>
    </row>
    <row r="6574" customFormat="false" ht="19.4" hidden="false" customHeight="false" outlineLevel="0" collapsed="false">
      <c r="A6574" s="31" t="s">
        <v>1269</v>
      </c>
    </row>
    <row r="6575" customFormat="false" ht="17.15" hidden="false" customHeight="false" outlineLevel="0" collapsed="false">
      <c r="A6575" s="6" t="s">
        <v>16</v>
      </c>
      <c r="B6575" s="6" t="s">
        <v>17</v>
      </c>
      <c r="C6575" s="20" t="s">
        <v>497</v>
      </c>
      <c r="D6575" s="20" t="s">
        <v>498</v>
      </c>
      <c r="E6575" s="20" t="s">
        <v>580</v>
      </c>
      <c r="F6575" s="20" t="s">
        <v>581</v>
      </c>
      <c r="G6575" s="20" t="s">
        <v>582</v>
      </c>
      <c r="H6575" s="20" t="s">
        <v>583</v>
      </c>
      <c r="I6575" s="20" t="s">
        <v>584</v>
      </c>
      <c r="J6575" s="20" t="s">
        <v>585</v>
      </c>
      <c r="K6575" s="20" t="s">
        <v>586</v>
      </c>
      <c r="L6575" s="20" t="s">
        <v>587</v>
      </c>
      <c r="M6575" s="20" t="s">
        <v>588</v>
      </c>
      <c r="N6575" s="20" t="s">
        <v>589</v>
      </c>
      <c r="O6575" s="20" t="s">
        <v>590</v>
      </c>
      <c r="P6575" s="6" t="s">
        <v>23</v>
      </c>
      <c r="R6575" s="20" t="n">
        <v>2023</v>
      </c>
      <c r="S6575" s="20" t="n">
        <v>2024</v>
      </c>
      <c r="T6575" s="20" t="n">
        <v>2025</v>
      </c>
      <c r="U6575" s="20" t="n">
        <v>2026</v>
      </c>
      <c r="V6575" s="20" t="n">
        <v>2027</v>
      </c>
      <c r="W6575" s="20" t="n">
        <v>2028</v>
      </c>
      <c r="X6575" s="20" t="n">
        <v>2029</v>
      </c>
      <c r="Y6575" s="20" t="n">
        <v>2030</v>
      </c>
      <c r="Z6575" s="20" t="n">
        <v>2031</v>
      </c>
      <c r="AA6575" s="20" t="n">
        <v>2032</v>
      </c>
    </row>
    <row r="6576" customFormat="false" ht="17.15" hidden="false" customHeight="false" outlineLevel="0" collapsed="false">
      <c r="A6576" s="1" t="s">
        <v>915</v>
      </c>
    </row>
    <row r="6577" customFormat="false" ht="17.15" hidden="false" customHeight="false" outlineLevel="0" collapsed="false">
      <c r="A6577" s="0" t="s">
        <v>916</v>
      </c>
      <c r="B6577" s="0" t="s">
        <v>86</v>
      </c>
      <c r="H6577" s="38" t="n">
        <f aca="false">Sens!$H$6511*(1-tax)</f>
        <v>121.243762954598</v>
      </c>
      <c r="I6577" s="38" t="n">
        <f aca="false">Sens!$I$6511*(1-tax)</f>
        <v>146.296727721585</v>
      </c>
      <c r="J6577" s="38" t="n">
        <f aca="false">Sens!$J$6511*(1-tax)</f>
        <v>170.140518399982</v>
      </c>
      <c r="K6577" s="38" t="n">
        <f aca="false">Sens!$K$6511*(1-tax)</f>
        <v>187.091644407888</v>
      </c>
      <c r="L6577" s="38" t="n">
        <f aca="false">Sens!$L$6511*(1-tax)</f>
        <v>200.866341135815</v>
      </c>
      <c r="M6577" s="38" t="n">
        <f aca="false">Sens!$M$6511*(1-tax)</f>
        <v>211.476896331068</v>
      </c>
    </row>
    <row r="6578" customFormat="false" ht="15" hidden="false" customHeight="false" outlineLevel="0" collapsed="false">
      <c r="A6578" s="5" t="s">
        <v>917</v>
      </c>
      <c r="B6578" s="0" t="s">
        <v>86</v>
      </c>
      <c r="H6578" s="38" t="n">
        <f aca="false">Sens!$H$6522</f>
        <v>78.1799395827871</v>
      </c>
      <c r="I6578" s="38" t="n">
        <f aca="false">Sens!$I$6522</f>
        <v>111.171125554384</v>
      </c>
      <c r="J6578" s="38" t="n">
        <f aca="false">Sens!$J$6522</f>
        <v>144.884406220971</v>
      </c>
      <c r="K6578" s="38" t="n">
        <f aca="false">Sens!$K$6522</f>
        <v>178.806419437999</v>
      </c>
      <c r="L6578" s="38" t="n">
        <f aca="false">Sens!$L$6522</f>
        <v>204.341339029663</v>
      </c>
      <c r="M6578" s="38" t="n">
        <f aca="false">Sens!$M$6522</f>
        <v>223.130577995387</v>
      </c>
    </row>
    <row r="6579" customFormat="false" ht="15" hidden="false" customHeight="false" outlineLevel="0" collapsed="false">
      <c r="A6579" s="5" t="s">
        <v>918</v>
      </c>
      <c r="B6579" s="0" t="s">
        <v>86</v>
      </c>
      <c r="H6579" s="38" t="n">
        <f aca="false">Sens!$H$6553</f>
        <v>273.372679834898</v>
      </c>
      <c r="I6579" s="38" t="n">
        <f aca="false">Sens!$I$6553</f>
        <v>286.981812228425</v>
      </c>
      <c r="J6579" s="38" t="n">
        <f aca="false">Sens!$J$6553</f>
        <v>299.316513378366</v>
      </c>
      <c r="K6579" s="38" t="n">
        <f aca="false">Sens!$K$6553</f>
        <v>251.057145512292</v>
      </c>
      <c r="L6579" s="38" t="n">
        <f aca="false">Sens!$L$6553</f>
        <v>234.696330860396</v>
      </c>
      <c r="M6579" s="38" t="n">
        <f aca="false">Sens!$M$6553</f>
        <v>242.291696043352</v>
      </c>
    </row>
    <row r="6580" customFormat="false" ht="15" hidden="false" customHeight="false" outlineLevel="0" collapsed="false">
      <c r="A6580" s="5" t="s">
        <v>919</v>
      </c>
      <c r="B6580" s="0" t="s">
        <v>86</v>
      </c>
      <c r="H6580" s="38" t="n">
        <f aca="false">Sens!$H$6554</f>
        <v>1.6</v>
      </c>
      <c r="I6580" s="38" t="n">
        <f aca="false">Sens!$I$6554</f>
        <v>1.6</v>
      </c>
      <c r="J6580" s="38" t="n">
        <f aca="false">Sens!$J$6554</f>
        <v>1.6</v>
      </c>
      <c r="K6580" s="38" t="n">
        <f aca="false">Sens!$K$6554</f>
        <v>1.6</v>
      </c>
      <c r="L6580" s="38" t="n">
        <f aca="false">Sens!$L$6554</f>
        <v>1.6</v>
      </c>
      <c r="M6580" s="38" t="n">
        <f aca="false">Sens!$M$6554</f>
        <v>1.6</v>
      </c>
    </row>
    <row r="6581" customFormat="false" ht="15" hidden="false" customHeight="false" outlineLevel="0" collapsed="false">
      <c r="A6581" s="5" t="s">
        <v>920</v>
      </c>
      <c r="B6581" s="0" t="s">
        <v>86</v>
      </c>
      <c r="H6581" s="38" t="n">
        <f aca="false">Sens!$H$6548</f>
        <v>11.2928295263397</v>
      </c>
      <c r="I6581" s="38" t="n">
        <f aca="false">Sens!$I$6548</f>
        <v>12.8091546115766</v>
      </c>
      <c r="J6581" s="38" t="n">
        <f aca="false">Sens!$J$6548</f>
        <v>14.2605653162668</v>
      </c>
      <c r="K6581" s="38" t="n">
        <f aca="false">Sens!$K$6548</f>
        <v>15.5327622460396</v>
      </c>
      <c r="L6581" s="38" t="n">
        <f aca="false">Sens!$L$6548</f>
        <v>16.720573737517</v>
      </c>
      <c r="M6581" s="38" t="n">
        <f aca="false">Sens!$M$6548</f>
        <v>17.8283127551536</v>
      </c>
    </row>
    <row r="6582" customFormat="false" ht="17.15" hidden="false" customHeight="false" outlineLevel="0" collapsed="false">
      <c r="A6582" s="1" t="s">
        <v>921</v>
      </c>
      <c r="B6582" s="8" t="s">
        <v>86</v>
      </c>
      <c r="H6582" s="38" t="n">
        <f aca="false">Sens!$H$6577+Sens!$H$6578-Sens!$H$6579+Sens!$H$6581</f>
        <v>-62.6561477711731</v>
      </c>
      <c r="I6582" s="38" t="n">
        <f aca="false">Sens!$I$6577+Sens!$I$6578-Sens!$I$6579+Sens!$I$6581</f>
        <v>-16.7048043408794</v>
      </c>
      <c r="J6582" s="38" t="n">
        <f aca="false">Sens!$J$6577+Sens!$J$6578-Sens!$J$6579+Sens!$J$6581</f>
        <v>29.9689765588539</v>
      </c>
      <c r="K6582" s="38" t="n">
        <f aca="false">Sens!$K$6577+Sens!$K$6578-Sens!$K$6579+Sens!$K$6581</f>
        <v>130.373680579634</v>
      </c>
      <c r="L6582" s="38" t="n">
        <f aca="false">Sens!$L$6577+Sens!$L$6578-Sens!$L$6579+Sens!$L$6581</f>
        <v>187.231923042598</v>
      </c>
      <c r="M6582" s="38" t="n">
        <f aca="false">Sens!$M$6577+Sens!$M$6578-Sens!$M$6579+Sens!$M$6581</f>
        <v>210.144091038257</v>
      </c>
    </row>
    <row r="6583" customFormat="false" ht="15" hidden="false" customHeight="false" outlineLevel="0" collapsed="false">
      <c r="A6583" s="5" t="s">
        <v>922</v>
      </c>
      <c r="B6583" s="0" t="s">
        <v>57</v>
      </c>
      <c r="H6583" s="40" t="n">
        <f aca="false">1/(1+wacc)^(2027-2026-0.5)</f>
        <v>0.947751320380232</v>
      </c>
      <c r="I6583" s="40" t="n">
        <f aca="false">1/(1+wacc)^(2028-2026-0.5)</f>
        <v>0.851301099754987</v>
      </c>
      <c r="J6583" s="40" t="n">
        <f aca="false">1/(1+wacc)^(2029-2026-0.5)</f>
        <v>0.764666370660713</v>
      </c>
      <c r="K6583" s="40" t="n">
        <f aca="false">1/(1+wacc)^(2030-2026-0.5)</f>
        <v>0.686848235703811</v>
      </c>
      <c r="L6583" s="40" t="n">
        <f aca="false">1/(1+wacc)^(2031-2026-0.5)</f>
        <v>0.616949452715975</v>
      </c>
      <c r="M6583" s="40" t="n">
        <f aca="false">1/(1+wacc)^(2032-2026-0.5)</f>
        <v>0.554164089562688</v>
      </c>
    </row>
    <row r="6584" customFormat="false" ht="15" hidden="false" customHeight="false" outlineLevel="0" collapsed="false">
      <c r="A6584" s="5" t="s">
        <v>923</v>
      </c>
      <c r="B6584" s="0" t="s">
        <v>86</v>
      </c>
      <c r="H6584" s="38" t="n">
        <f aca="false">Sens!$H$6582*Sens!$H$6583</f>
        <v>-59.3824467800682</v>
      </c>
      <c r="I6584" s="38" t="n">
        <f aca="false">Sens!$I$6582*Sens!$I$6583</f>
        <v>-14.2208183065825</v>
      </c>
      <c r="J6584" s="38" t="n">
        <f aca="false">Sens!$J$6582*Sens!$J$6583</f>
        <v>22.9162685376748</v>
      </c>
      <c r="K6584" s="38" t="n">
        <f aca="false">Sens!$K$6582*Sens!$K$6583</f>
        <v>89.5469324883341</v>
      </c>
      <c r="L6584" s="38" t="n">
        <f aca="false">Sens!$L$6582*Sens!$L$6583</f>
        <v>115.512632452091</v>
      </c>
      <c r="M6584" s="38" t="n">
        <f aca="false">Sens!$M$6582*Sens!$M$6583</f>
        <v>116.454308887194</v>
      </c>
    </row>
    <row r="6585" customFormat="false" ht="15" hidden="false" customHeight="false" outlineLevel="0" collapsed="false">
      <c r="A6585" s="5" t="s">
        <v>924</v>
      </c>
      <c r="B6585" s="0" t="s">
        <v>86</v>
      </c>
      <c r="C6585" s="38" t="n">
        <f aca="false">SUM(Sens!$H$6584:$M$6584)</f>
        <v>270.826877278643</v>
      </c>
    </row>
    <row r="6586" customFormat="false" ht="17.15" hidden="false" customHeight="false" outlineLevel="0" collapsed="false">
      <c r="A6586" s="5" t="s">
        <v>925</v>
      </c>
      <c r="B6586" s="0" t="s">
        <v>86</v>
      </c>
      <c r="C6586" s="38" t="n">
        <f aca="false">Sens!$M$6577*(1+tg)*(1-tg/ronic)/(wacc-tg)</f>
        <v>1922.56097134792</v>
      </c>
    </row>
    <row r="6587" customFormat="false" ht="15" hidden="false" customHeight="false" outlineLevel="0" collapsed="false">
      <c r="A6587" s="5" t="s">
        <v>926</v>
      </c>
      <c r="B6587" s="0" t="s">
        <v>86</v>
      </c>
      <c r="C6587" s="38" t="n">
        <f aca="false">Sens!$C$6586/(1+wacc)^6</f>
        <v>1009.74776248869</v>
      </c>
    </row>
    <row r="6588" customFormat="false" ht="17.15" hidden="false" customHeight="false" outlineLevel="0" collapsed="false">
      <c r="A6588" s="5" t="s">
        <v>927</v>
      </c>
      <c r="B6588" s="0" t="s">
        <v>86</v>
      </c>
      <c r="C6588" s="38" t="n">
        <f aca="false">Sens!$C$6585+Sens!$C$6587</f>
        <v>1280.57463976734</v>
      </c>
    </row>
    <row r="6589" customFormat="false" ht="17.15" hidden="false" customHeight="false" outlineLevel="0" collapsed="false">
      <c r="A6589" s="5" t="s">
        <v>928</v>
      </c>
      <c r="B6589" s="0" t="s">
        <v>52</v>
      </c>
      <c r="C6589" s="13" t="n">
        <f aca="false">Sens!$C$6587/Sens!$C$6588</f>
        <v>0.788511447229778</v>
      </c>
    </row>
    <row r="6590" customFormat="false" ht="17.15" hidden="false" customHeight="false" outlineLevel="0" collapsed="false">
      <c r="A6590" s="5" t="s">
        <v>929</v>
      </c>
      <c r="B6590" s="0" t="s">
        <v>86</v>
      </c>
      <c r="C6590" s="38" t="n">
        <f aca="false">Sens!$G$6566+fin_debt</f>
        <v>97.2636983848813</v>
      </c>
    </row>
    <row r="6591" customFormat="false" ht="17.15" hidden="false" customHeight="false" outlineLevel="0" collapsed="false">
      <c r="A6591" s="5" t="s">
        <v>930</v>
      </c>
      <c r="B6591" s="0" t="s">
        <v>86</v>
      </c>
      <c r="C6591" s="38" t="n">
        <f aca="false">(ant_val*ant_sh+oai_val*oai_sh)*(1-liq_disc)</f>
        <v>178.944</v>
      </c>
    </row>
    <row r="6592" customFormat="false" ht="15" hidden="false" customHeight="false" outlineLevel="0" collapsed="false">
      <c r="A6592" s="5" t="s">
        <v>931</v>
      </c>
      <c r="B6592" s="0" t="s">
        <v>86</v>
      </c>
      <c r="C6592" s="38" t="n">
        <f aca="false">Sens!$C$6588-Sens!$C$6590+Sens!$C$6591</f>
        <v>1362.25494138246</v>
      </c>
    </row>
    <row r="6593" customFormat="false" ht="17.15" hidden="false" customHeight="false" outlineLevel="0" collapsed="false">
      <c r="A6593" s="5" t="s">
        <v>932</v>
      </c>
      <c r="B6593" s="0" t="s">
        <v>27</v>
      </c>
      <c r="C6593" s="30" t="n">
        <f aca="false">Sens!$C$6592/sh_out</f>
        <v>126.294760321501</v>
      </c>
    </row>
    <row r="6594" customFormat="false" ht="17.15" hidden="false" customHeight="false" outlineLevel="0" collapsed="false">
      <c r="A6594" s="1" t="s">
        <v>933</v>
      </c>
      <c r="B6594" s="8" t="s">
        <v>27</v>
      </c>
      <c r="C6594" s="30" t="n">
        <f aca="false">Sens!$C$6593*(1+ke)^tp_yf-dps*tp_yf</f>
        <v>138.339345929154</v>
      </c>
    </row>
    <row r="6595" customFormat="false" ht="17.15" hidden="false" customHeight="false" outlineLevel="0" collapsed="false">
      <c r="A6595" s="3" t="s">
        <v>934</v>
      </c>
    </row>
    <row r="6596" customFormat="false" ht="17.15" hidden="false" customHeight="false" outlineLevel="0" collapsed="false">
      <c r="A6596" s="5" t="s">
        <v>935</v>
      </c>
      <c r="B6596" s="0" t="s">
        <v>86</v>
      </c>
      <c r="C6596" s="38" t="n">
        <f aca="false">(1-tp_yf)*(Sens!$H$6523+sbc_ab*Sens!$H$6547*Sens!$H$6387/Sens!$H$6464)+tp_yf*(Sens!$I$6523+sbc_ab*Sens!$I$6547*Sens!$I$6387/Sens!$I$6464)</f>
        <v>59.634664536349</v>
      </c>
    </row>
    <row r="6597" customFormat="false" ht="15" hidden="false" customHeight="false" outlineLevel="0" collapsed="false">
      <c r="A6597" s="5" t="s">
        <v>936</v>
      </c>
      <c r="B6597" s="0" t="s">
        <v>57</v>
      </c>
      <c r="C6597" s="30" t="n">
        <f aca="false">m_ads*m_x_hi</f>
        <v>10.932</v>
      </c>
    </row>
    <row r="6598" customFormat="false" ht="17.15" hidden="false" customHeight="false" outlineLevel="0" collapsed="false">
      <c r="A6598" s="5" t="s">
        <v>937</v>
      </c>
      <c r="B6598" s="0" t="s">
        <v>86</v>
      </c>
      <c r="C6598" s="38" t="n">
        <f aca="false">Sens!$C$6596*Sens!$C$6597</f>
        <v>651.926152711367</v>
      </c>
    </row>
    <row r="6599" customFormat="false" ht="17.15" hidden="false" customHeight="false" outlineLevel="0" collapsed="false">
      <c r="A6599" s="5" t="s">
        <v>938</v>
      </c>
      <c r="B6599" s="0" t="s">
        <v>86</v>
      </c>
      <c r="C6599" s="38" t="n">
        <f aca="false">(1-tp_yf)*(Sens!$H$6524+sbc_ab*Sens!$H$6547*(Sens!$H$6394-Sens!$H$6387)/Sens!$H$6464+IF(internal_ai_reading=2,1,0)*(1-ext_sh)*Sens!$H$6424)+tp_yf*(Sens!$I$6524+sbc_ab*Sens!$I$6547*(Sens!$I$6394-Sens!$I$6387)/Sens!$I$6464+IF(internal_ai_reading=2,1,0)*(1-ext_sh)*Sens!$I$6424)</f>
        <v>51.2224827206816</v>
      </c>
    </row>
    <row r="6600" customFormat="false" ht="17.15" hidden="false" customHeight="false" outlineLevel="0" collapsed="false">
      <c r="A6600" s="5" t="s">
        <v>939</v>
      </c>
      <c r="B6600" s="0" t="s">
        <v>57</v>
      </c>
      <c r="C6600" s="30" t="n">
        <f aca="false">m_retail*m_x_hi</f>
        <v>21.264</v>
      </c>
    </row>
    <row r="6601" customFormat="false" ht="17.15" hidden="false" customHeight="false" outlineLevel="0" collapsed="false">
      <c r="A6601" s="5" t="s">
        <v>940</v>
      </c>
      <c r="B6601" s="0" t="s">
        <v>86</v>
      </c>
      <c r="C6601" s="38" t="n">
        <f aca="false">Sens!$C$6599*Sens!$C$6600</f>
        <v>1089.19487257257</v>
      </c>
    </row>
    <row r="6602" customFormat="false" ht="17.15" hidden="false" customHeight="false" outlineLevel="0" collapsed="false">
      <c r="A6602" s="0" t="s">
        <v>941</v>
      </c>
      <c r="B6602" s="0" t="s">
        <v>86</v>
      </c>
      <c r="C6602" s="38" t="n">
        <f aca="false">(1-tp_yf)*(Sens!$H$6525+sbc_ab*Sens!$H$6547*Sens!$H$6462/Sens!$H$6464)+tp_yf*(Sens!$I$6525+sbc_ab*Sens!$I$6547*Sens!$I$6462/Sens!$I$6464)</f>
        <v>96.2439586897193</v>
      </c>
    </row>
    <row r="6603" customFormat="false" ht="17.15" hidden="false" customHeight="false" outlineLevel="0" collapsed="false">
      <c r="A6603" s="0" t="s">
        <v>942</v>
      </c>
      <c r="B6603" s="0" t="s">
        <v>57</v>
      </c>
      <c r="C6603" s="30" t="n">
        <f aca="false">m_cloud*m_x_hi</f>
        <v>16.584</v>
      </c>
    </row>
    <row r="6604" customFormat="false" ht="17.15" hidden="false" customHeight="false" outlineLevel="0" collapsed="false">
      <c r="A6604" s="0" t="s">
        <v>943</v>
      </c>
      <c r="B6604" s="0" t="s">
        <v>86</v>
      </c>
      <c r="C6604" s="38" t="n">
        <f aca="false">Sens!$C$6602*Sens!$C$6603</f>
        <v>1596.10981091031</v>
      </c>
    </row>
    <row r="6605" customFormat="false" ht="17.15" hidden="false" customHeight="false" outlineLevel="0" collapsed="false">
      <c r="A6605" s="0" t="s">
        <v>944</v>
      </c>
      <c r="B6605" s="0" t="s">
        <v>86</v>
      </c>
      <c r="H6605" s="38" t="n">
        <f aca="false">Sens!$H$6443-tax*Sens!$H$6444-ext_sh*Sens!$H$6431</f>
        <v>-115.885394236225</v>
      </c>
      <c r="I6605" s="38" t="n">
        <f aca="false">Sens!$I$6443-tax*Sens!$I$6444-ext_sh*Sens!$I$6431</f>
        <v>-89.5935137276694</v>
      </c>
      <c r="J6605" s="38" t="n">
        <f aca="false">Sens!$J$6443-tax*Sens!$J$6444-ext_sh*Sens!$J$6431</f>
        <v>-62.3510647460279</v>
      </c>
      <c r="K6605" s="38" t="n">
        <f aca="false">Sens!$K$6443-tax*Sens!$K$6444-ext_sh*Sens!$K$6431</f>
        <v>8.85932514072565</v>
      </c>
      <c r="L6605" s="38" t="n">
        <f aca="false">Sens!$L$6443-tax*Sens!$L$6444-ext_sh*Sens!$L$6431</f>
        <v>45.6968344120177</v>
      </c>
      <c r="M6605" s="38" t="n">
        <f aca="false">Sens!$M$6443-tax*Sens!$M$6444-ext_sh*Sens!$M$6431</f>
        <v>54.7466688757428</v>
      </c>
    </row>
    <row r="6606" customFormat="false" ht="17.15" hidden="false" customHeight="false" outlineLevel="0" collapsed="false">
      <c r="A6606" s="5" t="s">
        <v>945</v>
      </c>
      <c r="B6606" s="0" t="s">
        <v>86</v>
      </c>
      <c r="H6606" s="38" t="n">
        <f aca="false">Sens!$H$6605*Sens!$H$6583</f>
        <v>-109.830535400166</v>
      </c>
      <c r="I6606" s="38" t="n">
        <f aca="false">Sens!$I$6605*Sens!$I$6583</f>
        <v>-76.2710567672785</v>
      </c>
      <c r="J6606" s="38" t="n">
        <f aca="false">Sens!$J$6605*Sens!$J$6583</f>
        <v>-47.6777623861763</v>
      </c>
      <c r="K6606" s="38" t="n">
        <f aca="false">Sens!$K$6605*Sens!$K$6583</f>
        <v>6.08501184243383</v>
      </c>
      <c r="L6606" s="38" t="n">
        <f aca="false">Sens!$L$6605*Sens!$L$6583</f>
        <v>28.1926369813469</v>
      </c>
      <c r="M6606" s="38" t="n">
        <f aca="false">Sens!$M$6605*Sens!$M$6583</f>
        <v>30.338637914116</v>
      </c>
    </row>
    <row r="6607" customFormat="false" ht="17.15" hidden="false" customHeight="false" outlineLevel="0" collapsed="false">
      <c r="A6607" s="5" t="s">
        <v>946</v>
      </c>
      <c r="B6607" s="0" t="s">
        <v>86</v>
      </c>
      <c r="C6607" s="38" t="n">
        <f aca="false">Sens!$M$6444*(1-tax)*(1+tg)*(1-tg/ronic)/(wacc-tg)</f>
        <v>391.533160655061</v>
      </c>
    </row>
    <row r="6608" customFormat="false" ht="17.15" hidden="false" customHeight="false" outlineLevel="0" collapsed="false">
      <c r="A6608" s="0" t="s">
        <v>947</v>
      </c>
      <c r="B6608" s="0" t="s">
        <v>86</v>
      </c>
      <c r="C6608" s="38" t="n">
        <f aca="false">(SUM(Sens!$I$6606:$M$6606)+Sens!$C$6607/(1+wacc)^6)*(1+wacc)^tp_yf</f>
        <v>159.796867964901</v>
      </c>
    </row>
    <row r="6609" customFormat="false" ht="17.15" hidden="false" customHeight="false" outlineLevel="0" collapsed="false">
      <c r="A6609" s="5" t="s">
        <v>948</v>
      </c>
      <c r="B6609" s="0" t="s">
        <v>86</v>
      </c>
      <c r="C6609" s="38" t="n">
        <f aca="false">(1-tp_yf)*(Sens!$H$6526)+tp_yf*(Sens!$I$6526)</f>
        <v>74.6707041238437</v>
      </c>
    </row>
    <row r="6610" customFormat="false" ht="17.15" hidden="false" customHeight="false" outlineLevel="0" collapsed="false">
      <c r="A6610" s="5" t="s">
        <v>949</v>
      </c>
      <c r="B6610" s="0" t="s">
        <v>86</v>
      </c>
      <c r="C6610" s="38" t="n">
        <f aca="false">Sens!$C$6609*m_ai</f>
        <v>448.024224743062</v>
      </c>
    </row>
    <row r="6611" customFormat="false" ht="17.15" hidden="false" customHeight="false" outlineLevel="0" collapsed="false">
      <c r="A6611" s="0" t="s">
        <v>950</v>
      </c>
      <c r="B6611" s="0" t="s">
        <v>86</v>
      </c>
      <c r="C6611" s="38" t="n">
        <f aca="false">IF(ai_leg=1,Sens!$C$6608,Sens!$C$6610)</f>
        <v>159.796867964901</v>
      </c>
    </row>
    <row r="6612" customFormat="false" ht="17.15" hidden="false" customHeight="false" outlineLevel="0" collapsed="false">
      <c r="A6612" s="5" t="s">
        <v>951</v>
      </c>
      <c r="B6612" s="0" t="s">
        <v>86</v>
      </c>
      <c r="C6612" s="38" t="n">
        <f aca="false">Sens!$C$6598+Sens!$C$6601+Sens!$C$6604+Sens!$C$6611</f>
        <v>3497.02770415915</v>
      </c>
    </row>
    <row r="6613" customFormat="false" ht="17.15" hidden="false" customHeight="false" outlineLevel="0" collapsed="false">
      <c r="A6613" s="5" t="s">
        <v>952</v>
      </c>
      <c r="B6613" s="0" t="s">
        <v>86</v>
      </c>
      <c r="C6613" s="38" t="n">
        <f aca="false">Sens!$H$6566+fin_debt</f>
        <v>153.608629741943</v>
      </c>
    </row>
    <row r="6614" customFormat="false" ht="15" hidden="false" customHeight="false" outlineLevel="0" collapsed="false">
      <c r="A6614" s="5" t="s">
        <v>953</v>
      </c>
      <c r="B6614" s="0" t="s">
        <v>86</v>
      </c>
      <c r="C6614" s="38" t="n">
        <f aca="false">Sens!$C$6612-Sens!$C$6613+Sens!$C$6591</f>
        <v>3522.3630744172</v>
      </c>
    </row>
    <row r="6615" customFormat="false" ht="15" hidden="false" customHeight="false" outlineLevel="0" collapsed="false">
      <c r="A6615" s="3" t="s">
        <v>954</v>
      </c>
      <c r="B6615" s="8" t="s">
        <v>27</v>
      </c>
      <c r="C6615" s="30" t="n">
        <f aca="false">Sens!$C$6614/sh_val</f>
        <v>319.334796309262</v>
      </c>
    </row>
    <row r="6616" customFormat="false" ht="17.15" hidden="false" customHeight="false" outlineLevel="0" collapsed="false">
      <c r="A6616" s="47" t="s">
        <v>955</v>
      </c>
      <c r="B6616" s="14" t="s">
        <v>27</v>
      </c>
      <c r="C6616" s="44" t="n">
        <f aca="false">w_dcf*Sens!$C$6594+(1-w_dcf)*Sens!$C$6615</f>
        <v>228.837071119208</v>
      </c>
      <c r="D6616" s="14"/>
      <c r="E6616" s="14"/>
      <c r="F6616" s="14"/>
      <c r="G6616" s="14"/>
      <c r="H6616" s="14"/>
      <c r="I6616" s="14"/>
      <c r="J6616" s="14"/>
      <c r="K6616" s="14"/>
      <c r="L6616" s="14"/>
      <c r="M6616" s="14"/>
      <c r="N6616" s="14"/>
      <c r="O6616" s="14"/>
    </row>
    <row r="6617" customFormat="false" ht="17.15" hidden="false" customHeight="false" outlineLevel="0" collapsed="false">
      <c r="A6617" s="5" t="s">
        <v>956</v>
      </c>
      <c r="B6617" s="0" t="s">
        <v>27</v>
      </c>
      <c r="C6617" s="30" t="n">
        <f aca="false">v022_wdcf*Sens!$C$6594+(1-v022_wdcf)*Sens!$C$6615</f>
        <v>237.886843638213</v>
      </c>
    </row>
    <row r="6618" customFormat="false" ht="17.15" hidden="false" customHeight="false" outlineLevel="0" collapsed="false">
      <c r="A6618" s="5" t="s">
        <v>957</v>
      </c>
      <c r="B6618" s="0" t="s">
        <v>27</v>
      </c>
      <c r="C6618" s="30" t="n">
        <f aca="false">(Sens!$C$6614-Sens!$C$6611+Sens!$C$6610)/sh_val</f>
        <v>345.465272447853</v>
      </c>
    </row>
    <row r="6621" customFormat="false" ht="19.4" hidden="false" customHeight="false" outlineLevel="0" collapsed="false">
      <c r="A6621" s="31" t="s">
        <v>1270</v>
      </c>
    </row>
    <row r="6622" customFormat="false" ht="17.15" hidden="false" customHeight="false" outlineLevel="0" collapsed="false">
      <c r="A6622" s="6" t="s">
        <v>16</v>
      </c>
      <c r="B6622" s="6" t="s">
        <v>17</v>
      </c>
      <c r="C6622" s="20" t="s">
        <v>497</v>
      </c>
      <c r="D6622" s="20" t="s">
        <v>498</v>
      </c>
      <c r="E6622" s="20" t="s">
        <v>580</v>
      </c>
      <c r="F6622" s="20" t="s">
        <v>581</v>
      </c>
      <c r="G6622" s="20" t="s">
        <v>582</v>
      </c>
      <c r="H6622" s="20" t="s">
        <v>583</v>
      </c>
      <c r="I6622" s="20" t="s">
        <v>584</v>
      </c>
      <c r="J6622" s="20" t="s">
        <v>585</v>
      </c>
      <c r="K6622" s="20" t="s">
        <v>586</v>
      </c>
      <c r="L6622" s="20" t="s">
        <v>587</v>
      </c>
      <c r="M6622" s="20" t="s">
        <v>588</v>
      </c>
      <c r="N6622" s="20" t="s">
        <v>589</v>
      </c>
      <c r="O6622" s="20" t="s">
        <v>590</v>
      </c>
      <c r="P6622" s="6" t="s">
        <v>23</v>
      </c>
      <c r="R6622" s="20" t="n">
        <v>2023</v>
      </c>
      <c r="S6622" s="20" t="n">
        <v>2024</v>
      </c>
      <c r="T6622" s="20" t="n">
        <v>2025</v>
      </c>
      <c r="U6622" s="20" t="n">
        <v>2026</v>
      </c>
      <c r="V6622" s="20" t="n">
        <v>2027</v>
      </c>
      <c r="W6622" s="20" t="n">
        <v>2028</v>
      </c>
      <c r="X6622" s="20" t="n">
        <v>2029</v>
      </c>
      <c r="Y6622" s="20" t="n">
        <v>2030</v>
      </c>
      <c r="Z6622" s="20" t="n">
        <v>2031</v>
      </c>
      <c r="AA6622" s="20" t="n">
        <v>2032</v>
      </c>
    </row>
    <row r="6623" customFormat="false" ht="17.15" hidden="false" customHeight="false" outlineLevel="0" collapsed="false">
      <c r="A6623" s="1" t="s">
        <v>666</v>
      </c>
    </row>
    <row r="6624" customFormat="false" ht="17.15" hidden="false" customHeight="false" outlineLevel="0" collapsed="false">
      <c r="A6624" s="0" t="s">
        <v>519</v>
      </c>
      <c r="B6624" s="0" t="s">
        <v>86</v>
      </c>
      <c r="C6624" s="38" t="n">
        <f aca="false">Q!$D$10</f>
        <v>247.029</v>
      </c>
      <c r="D6624" s="38" t="n">
        <f aca="false">Q!$E$10</f>
        <v>269.287</v>
      </c>
      <c r="E6624" s="38" t="n">
        <f aca="false">Q!$P$10</f>
        <v>134.686</v>
      </c>
      <c r="F6624" s="38" t="n">
        <f aca="false">Sens!$O$6624*(1+Sens!$F$6625)*Sens!$F$6636</f>
        <v>158.293876822267</v>
      </c>
      <c r="G6624" s="38" t="n">
        <f aca="false">Sens!$E$6624+Sens!$F$6624</f>
        <v>292.979876822267</v>
      </c>
      <c r="H6624" s="38" t="n">
        <f aca="false">Sens!$G$6624*(1+Sens!$H$6625)</f>
        <v>318.184543087396</v>
      </c>
      <c r="I6624" s="38" t="n">
        <f aca="false">Sens!$H$6624*(1+Sens!$I$6625)</f>
        <v>341.736278761793</v>
      </c>
      <c r="J6624" s="38" t="n">
        <f aca="false">Sens!$I$6624*(1+Sens!$J$6625)</f>
        <v>362.927192787048</v>
      </c>
      <c r="K6624" s="38" t="n">
        <f aca="false">Sens!$J$6624*(1+Sens!$K$6625)</f>
        <v>381.0735524264</v>
      </c>
      <c r="L6624" s="38" t="n">
        <f aca="false">Sens!$K$6624*(1+Sens!$L$6625)</f>
        <v>400.12723004772</v>
      </c>
      <c r="M6624" s="38" t="n">
        <f aca="false">Sens!$L$6624*(1+Sens!$M$6625)</f>
        <v>420.133591550106</v>
      </c>
      <c r="N6624" s="38" t="n">
        <f aca="false">Q!$N$10</f>
        <v>118.892</v>
      </c>
      <c r="O6624" s="38" t="n">
        <f aca="false">Q!$O$10</f>
        <v>150.395</v>
      </c>
      <c r="P6624" s="8" t="s">
        <v>667</v>
      </c>
    </row>
    <row r="6625" customFormat="false" ht="17.15" hidden="false" customHeight="false" outlineLevel="0" collapsed="false">
      <c r="A6625" s="0" t="s">
        <v>668</v>
      </c>
      <c r="B6625" s="0" t="s">
        <v>52</v>
      </c>
      <c r="E6625" s="13" t="n">
        <f aca="false">Sens!$E$6624/Sens!$N$6624-1</f>
        <v>0.132843252699929</v>
      </c>
      <c r="F6625" s="13" t="n">
        <f aca="false">Sens!$O$6624/(Q!$F$10+Q!$G$10)-1</f>
        <v>0.0980382135842941</v>
      </c>
      <c r="G6625" s="13" t="n">
        <f aca="false">Sens!$G$6624/Sens!$D$6624-1</f>
        <v>0.0879837378791657</v>
      </c>
      <c r="H6625" s="13" t="n">
        <f aca="false">Sens!$F$6625+(g_os-Sens!$F$6625)*1/4</f>
        <v>0.0860286601882206</v>
      </c>
      <c r="I6625" s="13" t="n">
        <f aca="false">Sens!$F$6625+(g_os-Sens!$F$6625)*2/4</f>
        <v>0.074019106792147</v>
      </c>
      <c r="J6625" s="13" t="n">
        <f aca="false">Sens!$F$6625+(g_os-Sens!$F$6625)*3/4</f>
        <v>0.0620095533960735</v>
      </c>
      <c r="K6625" s="13" t="n">
        <f aca="false">Sens!$F$6625+(g_os-Sens!$F$6625)*4/4</f>
        <v>0.05</v>
      </c>
      <c r="L6625" s="13" t="n">
        <f aca="false">g_os</f>
        <v>0.05</v>
      </c>
      <c r="M6625" s="13" t="n">
        <f aca="false">g_os</f>
        <v>0.05</v>
      </c>
      <c r="P6625" s="8" t="s">
        <v>669</v>
      </c>
    </row>
    <row r="6626" customFormat="false" ht="17.15" hidden="false" customHeight="false" outlineLevel="0" collapsed="false">
      <c r="A6626" s="0" t="s">
        <v>520</v>
      </c>
      <c r="B6626" s="0" t="s">
        <v>86</v>
      </c>
      <c r="C6626" s="38" t="n">
        <f aca="false">Q!$D$11</f>
        <v>21.215</v>
      </c>
      <c r="D6626" s="38" t="n">
        <f aca="false">Q!$E$11</f>
        <v>22.561</v>
      </c>
      <c r="E6626" s="38" t="n">
        <f aca="false">Q!$P$11</f>
        <v>11.579</v>
      </c>
      <c r="F6626" s="38" t="n">
        <f aca="false">Sens!$O$6626*(1+Sens!$F$6627)*Sens!$F$6636</f>
        <v>11.5938724610325</v>
      </c>
      <c r="G6626" s="38" t="n">
        <f aca="false">Sens!$E$6626+Sens!$F$6626</f>
        <v>23.1728724610325</v>
      </c>
      <c r="H6626" s="38" t="n">
        <f aca="false">Sens!$G$6626*(1+Sens!$H$6627)</f>
        <v>24.353392759506</v>
      </c>
      <c r="I6626" s="38" t="n">
        <f aca="false">Sens!$H$6626*(1+Sens!$I$6627)</f>
        <v>25.4240338872015</v>
      </c>
      <c r="J6626" s="38" t="n">
        <f aca="false">Sens!$I$6626*(1+Sens!$J$6627)</f>
        <v>26.3642491017174</v>
      </c>
      <c r="K6626" s="38" t="n">
        <f aca="false">Sens!$J$6626*(1+Sens!$K$6627)</f>
        <v>27.155176574769</v>
      </c>
      <c r="L6626" s="38" t="n">
        <f aca="false">Sens!$K$6626*(1+Sens!$L$6627)</f>
        <v>27.969831872012</v>
      </c>
      <c r="M6626" s="38" t="n">
        <f aca="false">Sens!$L$6626*(1+Sens!$M$6627)</f>
        <v>28.8089268281724</v>
      </c>
      <c r="N6626" s="38" t="n">
        <f aca="false">Q!$N$11</f>
        <v>11.128</v>
      </c>
      <c r="O6626" s="38" t="n">
        <f aca="false">Q!$O$11</f>
        <v>11.433</v>
      </c>
      <c r="P6626" s="8" t="s">
        <v>667</v>
      </c>
    </row>
    <row r="6627" customFormat="false" ht="17.15" hidden="false" customHeight="false" outlineLevel="0" collapsed="false">
      <c r="A6627" s="0" t="s">
        <v>670</v>
      </c>
      <c r="B6627" s="0" t="s">
        <v>52</v>
      </c>
      <c r="E6627" s="13" t="n">
        <f aca="false">Sens!$E$6626/Sens!$N$6626-1</f>
        <v>0.0405283968368082</v>
      </c>
      <c r="F6627" s="13" t="n">
        <f aca="false">Sens!$O$6626/(Q!$F$11+Q!$G$11)-1</f>
        <v>0.0579254187100955</v>
      </c>
      <c r="G6627" s="13" t="n">
        <f aca="false">Sens!$G$6626/Sens!$D$6626-1</f>
        <v>0.0271208040881397</v>
      </c>
      <c r="H6627" s="13" t="n">
        <f aca="false">Sens!$F$6627+(g_ps-Sens!$F$6627)*1/4</f>
        <v>0.0509440640325716</v>
      </c>
      <c r="I6627" s="13" t="n">
        <f aca="false">Sens!$F$6627+(g_ps-Sens!$F$6627)*2/4</f>
        <v>0.0439627093550477</v>
      </c>
      <c r="J6627" s="13" t="n">
        <f aca="false">Sens!$F$6627+(g_ps-Sens!$F$6627)*3/4</f>
        <v>0.0369813546775239</v>
      </c>
      <c r="K6627" s="13" t="n">
        <f aca="false">Sens!$F$6627+(g_ps-Sens!$F$6627)*4/4</f>
        <v>0.03</v>
      </c>
      <c r="L6627" s="13" t="n">
        <f aca="false">g_ps</f>
        <v>0.03</v>
      </c>
      <c r="M6627" s="13" t="n">
        <f aca="false">g_ps</f>
        <v>0.03</v>
      </c>
      <c r="P6627" s="8" t="s">
        <v>671</v>
      </c>
    </row>
    <row r="6628" customFormat="false" ht="17.15" hidden="false" customHeight="false" outlineLevel="0" collapsed="false">
      <c r="A6628" s="0" t="s">
        <v>521</v>
      </c>
      <c r="B6628" s="0" t="s">
        <v>86</v>
      </c>
      <c r="C6628" s="38" t="n">
        <f aca="false">Q!$D$12</f>
        <v>156.146</v>
      </c>
      <c r="D6628" s="38" t="n">
        <f aca="false">Q!$E$12</f>
        <v>172.162</v>
      </c>
      <c r="E6628" s="38" t="n">
        <f aca="false">Q!$P$12</f>
        <v>88.358</v>
      </c>
      <c r="F6628" s="38" t="n">
        <f aca="false">Sens!$O$6628*(1+Sens!$F$6629)*Sens!$F$6636</f>
        <v>102.004388260171</v>
      </c>
      <c r="G6628" s="38" t="n">
        <f aca="false">Sens!$E$6628+Sens!$F$6628</f>
        <v>190.362388260171</v>
      </c>
      <c r="H6628" s="38" t="n">
        <f aca="false">Sens!$G$6628*(1+Sens!$H$6629)</f>
        <v>210.343106588311</v>
      </c>
      <c r="I6628" s="38" t="n">
        <f aca="false">Sens!$H$6628*(1+Sens!$I$6629)</f>
        <v>229.969728494648</v>
      </c>
      <c r="J6628" s="38" t="n">
        <f aca="false">Sens!$I$6628*(1+Sens!$J$6629)</f>
        <v>248.747636972598</v>
      </c>
      <c r="K6628" s="38" t="n">
        <f aca="false">Sens!$J$6628*(1+Sens!$K$6629)</f>
        <v>266.15997156068</v>
      </c>
      <c r="L6628" s="38" t="n">
        <f aca="false">Sens!$K$6628*(1+Sens!$L$6629)</f>
        <v>284.791169569927</v>
      </c>
      <c r="M6628" s="38" t="n">
        <f aca="false">Sens!$L$6628*(1+Sens!$M$6629)</f>
        <v>304.726551439822</v>
      </c>
      <c r="N6628" s="38" t="n">
        <f aca="false">Q!$N$12</f>
        <v>76.86</v>
      </c>
      <c r="O6628" s="38" t="n">
        <f aca="false">Q!$O$12</f>
        <v>95.302</v>
      </c>
      <c r="P6628" s="8" t="s">
        <v>667</v>
      </c>
    </row>
    <row r="6629" customFormat="false" ht="17.15" hidden="false" customHeight="false" outlineLevel="0" collapsed="false">
      <c r="A6629" s="0" t="s">
        <v>672</v>
      </c>
      <c r="B6629" s="0" t="s">
        <v>52</v>
      </c>
      <c r="E6629" s="13" t="n">
        <f aca="false">Sens!$E$6628/Sens!$N$6628-1</f>
        <v>0.1495966692688</v>
      </c>
      <c r="F6629" s="13" t="n">
        <f aca="false">Sens!$O$6628/(Q!$F$12+Q!$G$12)-1</f>
        <v>0.11661530890813</v>
      </c>
      <c r="G6629" s="13" t="n">
        <f aca="false">Sens!$G$6628/Sens!$D$6628-1</f>
        <v>0.105716640490767</v>
      </c>
      <c r="H6629" s="13" t="n">
        <f aca="false">Sens!$F$6629+(g_sp-Sens!$F$6629)*1/4</f>
        <v>0.104961481681098</v>
      </c>
      <c r="I6629" s="13" t="n">
        <f aca="false">Sens!$F$6629+(g_sp-Sens!$F$6629)*2/4</f>
        <v>0.0933076544540651</v>
      </c>
      <c r="J6629" s="13" t="n">
        <f aca="false">Sens!$F$6629+(g_sp-Sens!$F$6629)*3/4</f>
        <v>0.0816538272270325</v>
      </c>
      <c r="K6629" s="13" t="n">
        <f aca="false">Sens!$F$6629+(g_sp-Sens!$F$6629)*4/4</f>
        <v>0.07</v>
      </c>
      <c r="L6629" s="13" t="n">
        <f aca="false">g_sp</f>
        <v>0.07</v>
      </c>
      <c r="M6629" s="13" t="n">
        <f aca="false">g_sp</f>
        <v>0.07</v>
      </c>
      <c r="P6629" s="8" t="s">
        <v>673</v>
      </c>
    </row>
    <row r="6630" customFormat="false" ht="17.15" hidden="false" customHeight="false" outlineLevel="0" collapsed="false">
      <c r="A6630" s="0" t="s">
        <v>522</v>
      </c>
      <c r="B6630" s="0" t="s">
        <v>86</v>
      </c>
      <c r="C6630" s="38" t="n">
        <f aca="false">Q!$D$13</f>
        <v>56.214</v>
      </c>
      <c r="D6630" s="38" t="n">
        <f aca="false">Q!$E$13</f>
        <v>68.635</v>
      </c>
      <c r="E6630" s="38" t="n">
        <f aca="false">Q!$P$13</f>
        <v>37.052</v>
      </c>
      <c r="F6630" s="38" t="n">
        <f aca="false">Sens!$O$6630*(1+Sens!$F$6631)*Sens!$F$6636</f>
        <v>46.1572219944148</v>
      </c>
      <c r="G6630" s="38" t="n">
        <f aca="false">Sens!$E$6630+Sens!$F$6630</f>
        <v>83.2092219944148</v>
      </c>
      <c r="H6630" s="38" t="n">
        <f aca="false">Sens!$G$6630*(1+Sens!$H$6631)</f>
        <v>99.8969223878976</v>
      </c>
      <c r="I6630" s="38" t="n">
        <f aca="false">Sens!$H$6630*(1+Sens!$I$6631)</f>
        <v>116.583111095496</v>
      </c>
      <c r="J6630" s="38" t="n">
        <f aca="false">Sens!$I$6630*(1+Sens!$J$6631)</f>
        <v>132.148941941952</v>
      </c>
      <c r="K6630" s="38" t="n">
        <f aca="false">Sens!$J$6630*(1+Sens!$K$6631)</f>
        <v>145.363836136147</v>
      </c>
      <c r="L6630" s="38" t="n">
        <f aca="false">Sens!$K$6630*(1+Sens!$L$6631)</f>
        <v>159.900219749762</v>
      </c>
      <c r="M6630" s="38" t="n">
        <f aca="false">Sens!$L$6630*(1+Sens!$M$6631)</f>
        <v>175.890241724738</v>
      </c>
      <c r="N6630" s="38" t="n">
        <f aca="false">Q!$N$13</f>
        <v>29.615</v>
      </c>
      <c r="O6630" s="38" t="n">
        <f aca="false">Q!$O$13</f>
        <v>39.02</v>
      </c>
      <c r="P6630" s="8" t="s">
        <v>667</v>
      </c>
    </row>
    <row r="6631" customFormat="false" ht="17.15" hidden="false" customHeight="false" outlineLevel="0" collapsed="false">
      <c r="A6631" s="0" t="s">
        <v>674</v>
      </c>
      <c r="B6631" s="0" t="s">
        <v>52</v>
      </c>
      <c r="E6631" s="13" t="n">
        <f aca="false">Sens!$E$6630/Sens!$N$6630-1</f>
        <v>0.25112274185379</v>
      </c>
      <c r="F6631" s="13" t="n">
        <f aca="false">Sens!$O$6630/(Q!$F$13+Q!$G$13)-1</f>
        <v>0.234068123596572</v>
      </c>
      <c r="G6631" s="13" t="n">
        <f aca="false">Sens!$G$6630/Sens!$D$6630-1</f>
        <v>0.212343876949294</v>
      </c>
      <c r="H6631" s="13" t="n">
        <f aca="false">Sens!$F$6631+(g_ad-Sens!$F$6631)*1/4</f>
        <v>0.200551092697429</v>
      </c>
      <c r="I6631" s="13" t="n">
        <f aca="false">Sens!$F$6631+(g_ad-Sens!$F$6631)*2/4</f>
        <v>0.167034061798286</v>
      </c>
      <c r="J6631" s="13" t="n">
        <f aca="false">Sens!$F$6631+(g_ad-Sens!$F$6631)*3/4</f>
        <v>0.133517030899143</v>
      </c>
      <c r="K6631" s="13" t="n">
        <f aca="false">Sens!$F$6631+(g_ad-Sens!$F$6631)*4/4</f>
        <v>0.1</v>
      </c>
      <c r="L6631" s="13" t="n">
        <f aca="false">g_ad</f>
        <v>0.1</v>
      </c>
      <c r="M6631" s="13" t="n">
        <f aca="false">g_ad</f>
        <v>0.1</v>
      </c>
      <c r="P6631" s="8" t="s">
        <v>675</v>
      </c>
    </row>
    <row r="6632" customFormat="false" ht="17.15" hidden="false" customHeight="false" outlineLevel="0" collapsed="false">
      <c r="A6632" s="0" t="s">
        <v>523</v>
      </c>
      <c r="B6632" s="0" t="s">
        <v>86</v>
      </c>
      <c r="C6632" s="38" t="n">
        <f aca="false">Q!$D$14</f>
        <v>44.374</v>
      </c>
      <c r="D6632" s="38" t="n">
        <f aca="false">Q!$E$14</f>
        <v>49.619</v>
      </c>
      <c r="E6632" s="38" t="n">
        <f aca="false">Q!$P$14</f>
        <v>27.157</v>
      </c>
      <c r="F6632" s="38" t="n">
        <f aca="false">Sens!$O$6632*(1+Sens!$F$6633)*Sens!$F$6636</f>
        <v>27.7764165988154</v>
      </c>
      <c r="G6632" s="38" t="n">
        <f aca="false">Sens!$E$6632+Sens!$F$6632</f>
        <v>54.9334165988154</v>
      </c>
      <c r="H6632" s="38" t="n">
        <f aca="false">Sens!$G$6632*(1+Sens!$H$6633)</f>
        <v>61.1564112561829</v>
      </c>
      <c r="I6632" s="38" t="n">
        <f aca="false">Sens!$H$6632*(1+Sens!$I$6633)</f>
        <v>67.2020282103945</v>
      </c>
      <c r="J6632" s="38" t="n">
        <f aca="false">Sens!$I$6632*(1+Sens!$J$6633)</f>
        <v>72.8757274028885</v>
      </c>
      <c r="K6632" s="38" t="n">
        <f aca="false">Sens!$J$6632*(1+Sens!$K$6633)</f>
        <v>77.9770283210907</v>
      </c>
      <c r="L6632" s="38" t="n">
        <f aca="false">Sens!$K$6632*(1+Sens!$L$6633)</f>
        <v>83.4354203035671</v>
      </c>
      <c r="M6632" s="38" t="n">
        <f aca="false">Sens!$L$6632*(1+Sens!$M$6633)</f>
        <v>89.2758997248168</v>
      </c>
      <c r="N6632" s="38" t="n">
        <f aca="false">Q!$N$14</f>
        <v>23.923</v>
      </c>
      <c r="O6632" s="38" t="n">
        <f aca="false">Q!$O$14</f>
        <v>25.696</v>
      </c>
      <c r="P6632" s="8" t="s">
        <v>667</v>
      </c>
    </row>
    <row r="6633" customFormat="false" ht="17.15" hidden="false" customHeight="false" outlineLevel="0" collapsed="false">
      <c r="A6633" s="0" t="s">
        <v>676</v>
      </c>
      <c r="B6633" s="0" t="s">
        <v>52</v>
      </c>
      <c r="E6633" s="13" t="n">
        <f aca="false">Sens!$E$6632/Sens!$N$6632-1</f>
        <v>0.135183714417088</v>
      </c>
      <c r="F6633" s="13" t="n">
        <f aca="false">Sens!$O$6632/(Q!$F$14+Q!$G$14)-1</f>
        <v>0.127709997366804</v>
      </c>
      <c r="G6633" s="13" t="n">
        <f aca="false">Sens!$G$6632/Sens!$D$6632-1</f>
        <v>0.107104468022641</v>
      </c>
      <c r="H6633" s="13" t="n">
        <f aca="false">Sens!$F$6633+(g_sub-Sens!$F$6633)*1/4</f>
        <v>0.113282498025103</v>
      </c>
      <c r="I6633" s="13" t="n">
        <f aca="false">Sens!$F$6633+(g_sub-Sens!$F$6633)*2/4</f>
        <v>0.0988549986834021</v>
      </c>
      <c r="J6633" s="13" t="n">
        <f aca="false">Sens!$F$6633+(g_sub-Sens!$F$6633)*3/4</f>
        <v>0.084427499341701</v>
      </c>
      <c r="K6633" s="13" t="n">
        <f aca="false">Sens!$F$6633+(g_sub-Sens!$F$6633)*4/4</f>
        <v>0.07</v>
      </c>
      <c r="L6633" s="13" t="n">
        <f aca="false">g_sub</f>
        <v>0.07</v>
      </c>
      <c r="M6633" s="13" t="n">
        <f aca="false">g_sub</f>
        <v>0.07</v>
      </c>
      <c r="P6633" s="8" t="s">
        <v>677</v>
      </c>
    </row>
    <row r="6634" customFormat="false" ht="17.15" hidden="false" customHeight="false" outlineLevel="0" collapsed="false">
      <c r="A6634" s="0" t="s">
        <v>524</v>
      </c>
      <c r="B6634" s="0" t="s">
        <v>86</v>
      </c>
      <c r="C6634" s="38" t="n">
        <f aca="false">Q!$D$15</f>
        <v>5.425</v>
      </c>
      <c r="D6634" s="38" t="n">
        <f aca="false">Q!$E$15</f>
        <v>5.935</v>
      </c>
      <c r="E6634" s="38" t="n">
        <f aca="false">Q!$P$15</f>
        <v>3.474</v>
      </c>
      <c r="F6634" s="38" t="n">
        <f aca="false">Sens!$O$6634*(1+Sens!$F$6635)*Sens!$F$6636</f>
        <v>3.22246550883619</v>
      </c>
      <c r="G6634" s="38" t="n">
        <f aca="false">Sens!$E$6634+Sens!$F$6634</f>
        <v>6.69646550883619</v>
      </c>
      <c r="H6634" s="38" t="n">
        <f aca="false">Sens!$G$6634*(1+Sens!$H$6635)</f>
        <v>7.16251344209196</v>
      </c>
      <c r="I6634" s="38" t="n">
        <f aca="false">Sens!$H$6634*(1+Sens!$I$6635)</f>
        <v>7.61421070299826</v>
      </c>
      <c r="J6634" s="38" t="n">
        <f aca="false">Sens!$I$6634*(1+Sens!$J$6635)</f>
        <v>8.04465753523932</v>
      </c>
      <c r="K6634" s="38" t="n">
        <f aca="false">Sens!$J$6634*(1+Sens!$K$6635)</f>
        <v>8.44689041200128</v>
      </c>
      <c r="L6634" s="38" t="n">
        <f aca="false">Sens!$K$6634*(1+Sens!$L$6635)</f>
        <v>8.86923493260135</v>
      </c>
      <c r="M6634" s="38" t="n">
        <f aca="false">Sens!$L$6634*(1+Sens!$M$6635)</f>
        <v>9.31269667923142</v>
      </c>
      <c r="N6634" s="38" t="n">
        <f aca="false">Q!$N$15</f>
        <v>2.811</v>
      </c>
      <c r="O6634" s="38" t="n">
        <f aca="false">Q!$O$15</f>
        <v>3.124</v>
      </c>
      <c r="P6634" s="8" t="s">
        <v>667</v>
      </c>
    </row>
    <row r="6635" customFormat="false" ht="17.15" hidden="false" customHeight="false" outlineLevel="0" collapsed="false">
      <c r="A6635" s="0" t="s">
        <v>678</v>
      </c>
      <c r="B6635" s="0" t="s">
        <v>52</v>
      </c>
      <c r="E6635" s="13" t="n">
        <f aca="false">Sens!$E$6634/Sens!$N$6634-1</f>
        <v>0.235859124866596</v>
      </c>
      <c r="F6635" s="13" t="n">
        <f aca="false">Sens!$O$6634/(Q!$F$15+Q!$G$15)-1</f>
        <v>0.0761281433000345</v>
      </c>
      <c r="G6635" s="13" t="n">
        <f aca="false">Sens!$G$6634/Sens!$D$6634-1</f>
        <v>0.128300843948811</v>
      </c>
      <c r="H6635" s="13" t="n">
        <f aca="false">Sens!$F$6635+(g_ot-Sens!$F$6635)*1/4</f>
        <v>0.0695961074750259</v>
      </c>
      <c r="I6635" s="13" t="n">
        <f aca="false">Sens!$F$6635+(g_ot-Sens!$F$6635)*2/4</f>
        <v>0.0630640716500172</v>
      </c>
      <c r="J6635" s="13" t="n">
        <f aca="false">Sens!$F$6635+(g_ot-Sens!$F$6635)*3/4</f>
        <v>0.0565320358250086</v>
      </c>
      <c r="K6635" s="13" t="n">
        <f aca="false">Sens!$F$6635+(g_ot-Sens!$F$6635)*4/4</f>
        <v>0.05</v>
      </c>
      <c r="L6635" s="13" t="n">
        <f aca="false">g_ot</f>
        <v>0.05</v>
      </c>
      <c r="M6635" s="13" t="n">
        <f aca="false">g_ot</f>
        <v>0.05</v>
      </c>
      <c r="P6635" s="8" t="s">
        <v>679</v>
      </c>
    </row>
    <row r="6636" customFormat="false" ht="17.15" hidden="false" customHeight="false" outlineLevel="0" collapsed="false">
      <c r="A6636" s="0" t="s">
        <v>680</v>
      </c>
      <c r="B6636" s="0" t="s">
        <v>57</v>
      </c>
      <c r="F6636" s="40" t="n">
        <f aca="false">(g26q3_mid*Q!$O$8/Q!$J$8-Thesis!$F$86-Thesis!$F$90)/(Sens!$O$6624*(1+Sens!$F$6625)+Sens!$O$6626*(1+Sens!$F$6627)+Sens!$O$6628*(1+Sens!$F$6629)+Sens!$O$6630*(1+Sens!$F$6631)+Sens!$O$6632*(1+Sens!$F$6633)+Sens!$O$6634*(1+Sens!$F$6635))</f>
        <v>0.958546670622329</v>
      </c>
      <c r="P6636" s="8" t="s">
        <v>681</v>
      </c>
    </row>
    <row r="6637" customFormat="false" ht="17.15" hidden="false" customHeight="false" outlineLevel="0" collapsed="false">
      <c r="A6637" s="3" t="s">
        <v>682</v>
      </c>
      <c r="B6637" s="8" t="s">
        <v>86</v>
      </c>
      <c r="C6637" s="38" t="n">
        <f aca="false">Sens!$C$6624+Sens!$C$6626+Sens!$C$6628+Sens!$C$6630+Sens!$C$6632+Sens!$C$6634</f>
        <v>530.403</v>
      </c>
      <c r="D6637" s="38" t="n">
        <f aca="false">Sens!$D$6624+Sens!$D$6626+Sens!$D$6628+Sens!$D$6630+Sens!$D$6632+Sens!$D$6634</f>
        <v>588.199</v>
      </c>
      <c r="E6637" s="38" t="n">
        <f aca="false">Sens!$E$6624+Sens!$E$6626+Sens!$E$6628+Sens!$E$6630+Sens!$E$6632+Sens!$E$6634</f>
        <v>302.306</v>
      </c>
      <c r="F6637" s="38" t="n">
        <f aca="false">Sens!$F$6624+Sens!$F$6626+Sens!$F$6628+Sens!$F$6630+Sens!$F$6632+Sens!$F$6634</f>
        <v>349.048241645537</v>
      </c>
      <c r="G6637" s="38" t="n">
        <f aca="false">Sens!$G$6624+Sens!$G$6626+Sens!$G$6628+Sens!$G$6630+Sens!$G$6632+Sens!$G$6634</f>
        <v>651.354241645537</v>
      </c>
      <c r="H6637" s="38" t="n">
        <f aca="false">Sens!$H$6624+Sens!$H$6626+Sens!$H$6628+Sens!$H$6630+Sens!$H$6632+Sens!$H$6634</f>
        <v>721.096889521386</v>
      </c>
      <c r="I6637" s="38" t="n">
        <f aca="false">Sens!$I$6624+Sens!$I$6626+Sens!$I$6628+Sens!$I$6630+Sens!$I$6632+Sens!$I$6634</f>
        <v>788.529391152531</v>
      </c>
      <c r="J6637" s="38" t="n">
        <f aca="false">Sens!$J$6624+Sens!$J$6626+Sens!$J$6628+Sens!$J$6630+Sens!$J$6632+Sens!$J$6634</f>
        <v>851.108405741443</v>
      </c>
      <c r="K6637" s="38" t="n">
        <f aca="false">Sens!$K$6624+Sens!$K$6626+Sens!$K$6628+Sens!$K$6630+Sens!$K$6632+Sens!$K$6634</f>
        <v>906.176455431088</v>
      </c>
      <c r="L6637" s="38" t="n">
        <f aca="false">Sens!$L$6624+Sens!$L$6626+Sens!$L$6628+Sens!$L$6630+Sens!$L$6632+Sens!$L$6634</f>
        <v>965.093106475589</v>
      </c>
      <c r="M6637" s="38" t="n">
        <f aca="false">Sens!$M$6624+Sens!$M$6626+Sens!$M$6628+Sens!$M$6630+Sens!$M$6632+Sens!$M$6634</f>
        <v>1028.14790794689</v>
      </c>
      <c r="N6637" s="38" t="n">
        <f aca="false">Sens!$N$6624+Sens!$N$6626+Sens!$N$6628+Sens!$N$6630+Sens!$N$6632+Sens!$N$6634</f>
        <v>263.229</v>
      </c>
      <c r="O6637" s="38" t="n">
        <f aca="false">Sens!$O$6624+Sens!$O$6626+Sens!$O$6628+Sens!$O$6630+Sens!$O$6632+Sens!$O$6634</f>
        <v>324.97</v>
      </c>
    </row>
    <row r="6638" customFormat="false" ht="17.15" hidden="false" customHeight="false" outlineLevel="0" collapsed="false">
      <c r="A6638" s="5" t="s">
        <v>683</v>
      </c>
      <c r="B6638" s="0" t="s">
        <v>52</v>
      </c>
      <c r="C6638" s="13" t="n">
        <f aca="false">Q!$D$5/(Q!$D$5+Q!$D$6)</f>
        <v>0.730570905519011</v>
      </c>
      <c r="D6638" s="13" t="n">
        <f aca="false">Q!$E$5/(Q!$E$5+Q!$E$6)</f>
        <v>0.724763217890544</v>
      </c>
      <c r="E6638" s="13" t="n">
        <f aca="false">Q!$P$5/(Q!$P$5+Q!$P$6)</f>
        <v>0.728797972914861</v>
      </c>
      <c r="F6638" s="13" t="n">
        <f aca="false">Sens!$O$6638</f>
        <v>0.718066283041511</v>
      </c>
      <c r="G6638" s="13" t="n">
        <f aca="false">Sens!$G$6639/Sens!$G$6637</f>
        <v>0.723047066202847</v>
      </c>
      <c r="H6638" s="13" t="n">
        <f aca="false">Sens!$G$6638</f>
        <v>0.723047066202847</v>
      </c>
      <c r="I6638" s="13" t="n">
        <f aca="false">Sens!$G$6638</f>
        <v>0.723047066202847</v>
      </c>
      <c r="J6638" s="13" t="n">
        <f aca="false">Sens!$G$6638</f>
        <v>0.723047066202847</v>
      </c>
      <c r="K6638" s="13" t="n">
        <f aca="false">Sens!$G$6638</f>
        <v>0.723047066202847</v>
      </c>
      <c r="L6638" s="13" t="n">
        <f aca="false">Sens!$G$6638</f>
        <v>0.723047066202847</v>
      </c>
      <c r="M6638" s="13" t="n">
        <f aca="false">Sens!$G$6638</f>
        <v>0.723047066202847</v>
      </c>
      <c r="N6638" s="13" t="n">
        <f aca="false">Q!$N$5/(Q!$N$5+Q!$N$6)</f>
        <v>0.733030935041352</v>
      </c>
      <c r="O6638" s="13" t="n">
        <f aca="false">Q!$O$5/(Q!$O$5+Q!$O$6)</f>
        <v>0.718066283041511</v>
      </c>
      <c r="P6638" s="8" t="s">
        <v>684</v>
      </c>
    </row>
    <row r="6639" customFormat="false" ht="17.15" hidden="false" customHeight="false" outlineLevel="0" collapsed="false">
      <c r="A6639" s="1" t="s">
        <v>512</v>
      </c>
      <c r="B6639" s="8" t="s">
        <v>86</v>
      </c>
      <c r="C6639" s="38" t="n">
        <f aca="false">Q!$D$5</f>
        <v>387.497</v>
      </c>
      <c r="D6639" s="38" t="n">
        <f aca="false">Q!$E$5</f>
        <v>426.305</v>
      </c>
      <c r="E6639" s="38" t="n">
        <f aca="false">Q!$P$5</f>
        <v>220.32</v>
      </c>
      <c r="F6639" s="38" t="n">
        <f aca="false">Sens!$F$6637*Sens!$F$6638</f>
        <v>250.639773480586</v>
      </c>
      <c r="G6639" s="38" t="n">
        <f aca="false">Sens!$E$6639+Sens!$F$6639</f>
        <v>470.959773480586</v>
      </c>
      <c r="H6639" s="38" t="n">
        <f aca="false">Sens!$H$6637*Sens!$H$6638</f>
        <v>521.386990416437</v>
      </c>
      <c r="I6639" s="38" t="n">
        <f aca="false">Sens!$I$6637*Sens!$I$6638</f>
        <v>570.143862887555</v>
      </c>
      <c r="J6639" s="38" t="n">
        <f aca="false">Sens!$J$6637*Sens!$J$6638</f>
        <v>615.391435791933</v>
      </c>
      <c r="K6639" s="38" t="n">
        <f aca="false">Sens!$K$6637*Sens!$K$6638</f>
        <v>655.208227561543</v>
      </c>
      <c r="L6639" s="38" t="n">
        <f aca="false">Sens!$L$6637*Sens!$L$6638</f>
        <v>697.807739249767</v>
      </c>
      <c r="M6639" s="38" t="n">
        <f aca="false">Sens!$M$6637*Sens!$M$6638</f>
        <v>743.399328463592</v>
      </c>
      <c r="N6639" s="38" t="n">
        <f aca="false">Q!$N$5</f>
        <v>192.955</v>
      </c>
      <c r="O6639" s="38" t="n">
        <f aca="false">Q!$O$5</f>
        <v>233.35</v>
      </c>
      <c r="P6639" s="5" t="s">
        <v>685</v>
      </c>
    </row>
    <row r="6640" customFormat="false" ht="17.15" hidden="false" customHeight="false" outlineLevel="0" collapsed="false">
      <c r="A6640" s="1" t="s">
        <v>515</v>
      </c>
      <c r="B6640" s="8" t="s">
        <v>86</v>
      </c>
      <c r="C6640" s="38" t="n">
        <f aca="false">Q!$D$6</f>
        <v>142.906</v>
      </c>
      <c r="D6640" s="38" t="n">
        <f aca="false">Q!$E$6</f>
        <v>161.894</v>
      </c>
      <c r="E6640" s="38" t="n">
        <f aca="false">Q!$P$6</f>
        <v>81.986</v>
      </c>
      <c r="F6640" s="38" t="n">
        <f aca="false">Sens!$F$6637*(1-Sens!$F$6638)</f>
        <v>98.408468164951</v>
      </c>
      <c r="G6640" s="38" t="n">
        <f aca="false">Sens!$E$6640+Sens!$F$6640</f>
        <v>180.394468164951</v>
      </c>
      <c r="H6640" s="38" t="n">
        <f aca="false">Sens!$H$6637*(1-Sens!$H$6638)</f>
        <v>199.709899104949</v>
      </c>
      <c r="I6640" s="38" t="n">
        <f aca="false">Sens!$I$6637*(1-Sens!$I$6638)</f>
        <v>218.385528264976</v>
      </c>
      <c r="J6640" s="38" t="n">
        <f aca="false">Sens!$J$6637*(1-Sens!$J$6638)</f>
        <v>235.71696994951</v>
      </c>
      <c r="K6640" s="38" t="n">
        <f aca="false">Sens!$K$6637*(1-Sens!$K$6638)</f>
        <v>250.968227869545</v>
      </c>
      <c r="L6640" s="38" t="n">
        <f aca="false">Sens!$L$6637*(1-Sens!$L$6638)</f>
        <v>267.285367225822</v>
      </c>
      <c r="M6640" s="38" t="n">
        <f aca="false">Sens!$M$6637*(1-Sens!$M$6638)</f>
        <v>284.748579483295</v>
      </c>
      <c r="N6640" s="38" t="n">
        <f aca="false">Q!$N$6</f>
        <v>70.274</v>
      </c>
      <c r="O6640" s="38" t="n">
        <f aca="false">Q!$O$6</f>
        <v>91.62</v>
      </c>
      <c r="P6640" s="5" t="s">
        <v>686</v>
      </c>
    </row>
    <row r="6641" customFormat="false" ht="17.15" hidden="false" customHeight="false" outlineLevel="0" collapsed="false">
      <c r="A6641" s="5" t="s">
        <v>687</v>
      </c>
      <c r="B6641" s="0" t="s">
        <v>86</v>
      </c>
      <c r="C6641" s="38" t="n">
        <f aca="false">Sens!$C$6630*Sens!$C$6638</f>
        <v>41.0683128828457</v>
      </c>
      <c r="D6641" s="38" t="n">
        <f aca="false">Sens!$D$6630*Sens!$D$6638</f>
        <v>49.7441234599175</v>
      </c>
      <c r="E6641" s="38" t="n">
        <f aca="false">Sens!$E$6630*Sens!$E$6638</f>
        <v>27.0034224924414</v>
      </c>
      <c r="F6641" s="38" t="n">
        <f aca="false">Sens!$F$6630*Sens!$F$6638</f>
        <v>33.1439448330513</v>
      </c>
      <c r="G6641" s="38" t="n">
        <f aca="false">Sens!$G$6630*Sens!$G$6638</f>
        <v>60.164183844083</v>
      </c>
      <c r="H6641" s="38" t="n">
        <f aca="false">Sens!$H$6630*Sens!$H$6638</f>
        <v>72.2301766552629</v>
      </c>
      <c r="I6641" s="38" t="n">
        <f aca="false">Sens!$I$6630*Sens!$I$6638</f>
        <v>84.2950764463991</v>
      </c>
      <c r="J6641" s="38" t="n">
        <f aca="false">Sens!$J$6630*Sens!$J$6638</f>
        <v>95.5499047729386</v>
      </c>
      <c r="K6641" s="38" t="n">
        <f aca="false">Sens!$K$6630*Sens!$K$6638</f>
        <v>105.104895250232</v>
      </c>
      <c r="L6641" s="38" t="n">
        <f aca="false">Sens!$L$6630*Sens!$L$6638</f>
        <v>115.615384775256</v>
      </c>
      <c r="M6641" s="38" t="n">
        <f aca="false">Sens!$M$6630*Sens!$M$6638</f>
        <v>127.176923252781</v>
      </c>
      <c r="N6641" s="38" t="n">
        <f aca="false">Sens!$N$6630*Sens!$N$6638</f>
        <v>21.7087111412496</v>
      </c>
      <c r="O6641" s="38" t="n">
        <f aca="false">Sens!$O$6630*Sens!$O$6638</f>
        <v>28.0189463642798</v>
      </c>
      <c r="P6641" s="5" t="s">
        <v>688</v>
      </c>
    </row>
    <row r="6642" customFormat="false" ht="15" hidden="false" customHeight="false" outlineLevel="0" collapsed="false">
      <c r="A6642" s="5" t="s">
        <v>689</v>
      </c>
      <c r="B6642" s="0" t="s">
        <v>86</v>
      </c>
      <c r="C6642" s="38" t="n">
        <f aca="false">Sens!$C$6630-Sens!$C$6641</f>
        <v>15.1456871171543</v>
      </c>
      <c r="D6642" s="38" t="n">
        <f aca="false">Sens!$D$6630-Sens!$D$6641</f>
        <v>18.8908765400825</v>
      </c>
      <c r="E6642" s="38" t="n">
        <f aca="false">Sens!$E$6630-Sens!$E$6641</f>
        <v>10.0485775075586</v>
      </c>
      <c r="F6642" s="38" t="n">
        <f aca="false">Sens!$F$6630-Sens!$F$6641</f>
        <v>13.0132771613635</v>
      </c>
      <c r="G6642" s="38" t="n">
        <f aca="false">Sens!$G$6630-Sens!$G$6641</f>
        <v>23.0450381503318</v>
      </c>
      <c r="H6642" s="38" t="n">
        <f aca="false">Sens!$H$6630-Sens!$H$6641</f>
        <v>27.6667457326347</v>
      </c>
      <c r="I6642" s="38" t="n">
        <f aca="false">Sens!$I$6630-Sens!$I$6641</f>
        <v>32.2880346490971</v>
      </c>
      <c r="J6642" s="38" t="n">
        <f aca="false">Sens!$J$6630-Sens!$J$6641</f>
        <v>36.5990371690132</v>
      </c>
      <c r="K6642" s="38" t="n">
        <f aca="false">Sens!$K$6630-Sens!$K$6641</f>
        <v>40.2589408859145</v>
      </c>
      <c r="L6642" s="38" t="n">
        <f aca="false">Sens!$L$6630-Sens!$L$6641</f>
        <v>44.2848349745059</v>
      </c>
      <c r="M6642" s="38" t="n">
        <f aca="false">Sens!$M$6630-Sens!$M$6641</f>
        <v>48.7133184719565</v>
      </c>
      <c r="N6642" s="38" t="n">
        <f aca="false">Sens!$N$6630-Sens!$N$6641</f>
        <v>7.90628885875037</v>
      </c>
      <c r="O6642" s="38" t="n">
        <f aca="false">Sens!$O$6630-Sens!$O$6641</f>
        <v>11.0010536357202</v>
      </c>
    </row>
    <row r="6643" customFormat="false" ht="19.4" hidden="false" customHeight="false" outlineLevel="0" collapsed="false">
      <c r="A6643" s="31" t="s">
        <v>1271</v>
      </c>
    </row>
    <row r="6644" customFormat="false" ht="17.15" hidden="false" customHeight="false" outlineLevel="0" collapsed="false">
      <c r="A6644" s="6" t="s">
        <v>16</v>
      </c>
      <c r="B6644" s="6" t="s">
        <v>17</v>
      </c>
      <c r="C6644" s="20" t="s">
        <v>497</v>
      </c>
      <c r="D6644" s="20" t="s">
        <v>498</v>
      </c>
      <c r="E6644" s="20" t="s">
        <v>580</v>
      </c>
      <c r="F6644" s="20" t="s">
        <v>581</v>
      </c>
      <c r="G6644" s="20" t="s">
        <v>582</v>
      </c>
      <c r="H6644" s="20" t="s">
        <v>583</v>
      </c>
      <c r="I6644" s="20" t="s">
        <v>584</v>
      </c>
      <c r="J6644" s="20" t="s">
        <v>585</v>
      </c>
      <c r="K6644" s="20" t="s">
        <v>586</v>
      </c>
      <c r="L6644" s="20" t="s">
        <v>587</v>
      </c>
      <c r="M6644" s="20" t="s">
        <v>588</v>
      </c>
      <c r="N6644" s="20" t="s">
        <v>589</v>
      </c>
      <c r="O6644" s="20" t="s">
        <v>590</v>
      </c>
      <c r="P6644" s="6" t="s">
        <v>23</v>
      </c>
      <c r="R6644" s="20" t="n">
        <v>2023</v>
      </c>
      <c r="S6644" s="20" t="n">
        <v>2024</v>
      </c>
      <c r="T6644" s="20" t="n">
        <v>2025</v>
      </c>
      <c r="U6644" s="20" t="n">
        <v>2026</v>
      </c>
      <c r="V6644" s="20" t="n">
        <v>2027</v>
      </c>
      <c r="W6644" s="20" t="n">
        <v>2028</v>
      </c>
      <c r="X6644" s="20" t="n">
        <v>2029</v>
      </c>
      <c r="Y6644" s="20" t="n">
        <v>2030</v>
      </c>
      <c r="Z6644" s="20" t="n">
        <v>2031</v>
      </c>
      <c r="AA6644" s="20" t="n">
        <v>2032</v>
      </c>
    </row>
    <row r="6645" customFormat="false" ht="17.15" hidden="false" customHeight="false" outlineLevel="0" collapsed="false">
      <c r="A6645" s="1" t="s">
        <v>591</v>
      </c>
    </row>
    <row r="6646" customFormat="false" ht="17.15" hidden="false" customHeight="false" outlineLevel="0" collapsed="false">
      <c r="A6646" s="5" t="s">
        <v>592</v>
      </c>
      <c r="B6646" s="0" t="s">
        <v>144</v>
      </c>
      <c r="H6646" s="32" t="n">
        <f aca="false">pace_B</f>
        <v>3634.3</v>
      </c>
      <c r="I6646" s="32" t="n">
        <f aca="false">pace_B</f>
        <v>3634.3</v>
      </c>
      <c r="J6646" s="32" t="n">
        <f aca="false">pace_B</f>
        <v>3634.3</v>
      </c>
      <c r="K6646" s="32" t="n">
        <f aca="false">pace_B+(Sens!$J$6647*tg-pace_B)*1/3</f>
        <v>2570.86716666667</v>
      </c>
      <c r="L6646" s="32" t="n">
        <f aca="false">pace_B+(Sens!$J$6647*tg-pace_B)*2/3</f>
        <v>1507.43433333333</v>
      </c>
      <c r="M6646" s="32" t="n">
        <f aca="false">pace_B+(Sens!$J$6647*tg-pace_B)*3/3</f>
        <v>444.0015</v>
      </c>
      <c r="P6646" s="5" t="s">
        <v>593</v>
      </c>
    </row>
    <row r="6647" customFormat="false" ht="17.15" hidden="false" customHeight="false" outlineLevel="0" collapsed="false">
      <c r="A6647" s="15" t="s">
        <v>594</v>
      </c>
      <c r="B6647" s="14" t="s">
        <v>129</v>
      </c>
      <c r="C6647" s="33" t="n">
        <f aca="false">mw_ye24</f>
        <v>360</v>
      </c>
      <c r="D6647" s="33" t="n">
        <f aca="false">mw_ye25</f>
        <v>1440</v>
      </c>
      <c r="E6647" s="33" t="n">
        <f aca="false">mw_open</f>
        <v>2080</v>
      </c>
      <c r="F6647" s="33" t="n">
        <f aca="false">Sens!$E$6647+pace_B*0.5</f>
        <v>3897.15</v>
      </c>
      <c r="G6647" s="33" t="n">
        <f aca="false">Sens!$F$6647</f>
        <v>3897.15</v>
      </c>
      <c r="H6647" s="33" t="n">
        <f aca="false">Sens!$G$6647+Sens!$H$6646</f>
        <v>7531.45</v>
      </c>
      <c r="I6647" s="33" t="n">
        <f aca="false">Sens!$H$6647+Sens!$I$6646</f>
        <v>11165.75</v>
      </c>
      <c r="J6647" s="33" t="n">
        <f aca="false">Sens!$I$6647+Sens!$J$6646</f>
        <v>14800.05</v>
      </c>
      <c r="K6647" s="33" t="n">
        <f aca="false">Sens!$J$6647+Sens!$K$6646</f>
        <v>17370.9171666667</v>
      </c>
      <c r="L6647" s="33" t="n">
        <f aca="false">Sens!$K$6647+Sens!$L$6646</f>
        <v>18878.3515</v>
      </c>
      <c r="M6647" s="33" t="n">
        <f aca="false">Sens!$L$6647+Sens!$M$6646</f>
        <v>19322.353</v>
      </c>
      <c r="N6647" s="33" t="n">
        <f aca="false">(mw_ye24+mw_ye25)/2</f>
        <v>900</v>
      </c>
      <c r="O6647" s="33" t="n">
        <f aca="false">mw_ye25</f>
        <v>1440</v>
      </c>
      <c r="P6647" s="5" t="s">
        <v>595</v>
      </c>
    </row>
    <row r="6648" customFormat="false" ht="17.15" hidden="false" customHeight="false" outlineLevel="0" collapsed="false">
      <c r="A6648" s="5" t="s">
        <v>596</v>
      </c>
      <c r="B6648" s="0" t="s">
        <v>129</v>
      </c>
      <c r="C6648" s="32" t="n">
        <f aca="false">(mw_ye23+mw_ye24)/2</f>
        <v>240</v>
      </c>
      <c r="D6648" s="32" t="n">
        <f aca="false">(Sens!$C$6647+Sens!$D$6647)/2</f>
        <v>900</v>
      </c>
      <c r="E6648" s="32" t="n">
        <f aca="false">(Sens!$D$6647+Sens!$E$6647)/2</f>
        <v>1760</v>
      </c>
      <c r="F6648" s="32" t="n">
        <f aca="false">(Sens!$E$6647+Sens!$F$6647)/2</f>
        <v>2988.575</v>
      </c>
      <c r="G6648" s="32" t="n">
        <f aca="false">(Sens!$E$6648+Sens!$F$6648)/2</f>
        <v>2374.2875</v>
      </c>
      <c r="H6648" s="32" t="n">
        <f aca="false">(Sens!$G$6647+Sens!$H$6647)/2</f>
        <v>5714.3</v>
      </c>
      <c r="I6648" s="32" t="n">
        <f aca="false">(Sens!$H$6647+Sens!$I$6647)/2</f>
        <v>9348.6</v>
      </c>
      <c r="J6648" s="32" t="n">
        <f aca="false">(Sens!$I$6647+Sens!$J$6647)/2</f>
        <v>12982.9</v>
      </c>
      <c r="K6648" s="32" t="n">
        <f aca="false">(Sens!$J$6647+Sens!$K$6647)/2</f>
        <v>16085.4835833333</v>
      </c>
      <c r="L6648" s="32" t="n">
        <f aca="false">(Sens!$K$6647+Sens!$L$6647)/2</f>
        <v>18124.6343333333</v>
      </c>
      <c r="M6648" s="32" t="n">
        <f aca="false">(Sens!$L$6647+Sens!$M$6647)/2</f>
        <v>19100.35225</v>
      </c>
      <c r="N6648" s="32" t="n">
        <f aca="false">(Sens!$C$6647+Sens!$N$6647)/2</f>
        <v>630</v>
      </c>
      <c r="O6648" s="32" t="n">
        <f aca="false">(Sens!$N$6647+Sens!$O$6647)/2</f>
        <v>1170</v>
      </c>
    </row>
    <row r="6649" customFormat="false" ht="15" hidden="false" customHeight="false" outlineLevel="0" collapsed="false">
      <c r="A6649" s="5" t="s">
        <v>597</v>
      </c>
      <c r="B6649" s="5" t="s">
        <v>123</v>
      </c>
      <c r="C6649" s="34" t="n">
        <v>1</v>
      </c>
      <c r="D6649" s="34" t="n">
        <v>1</v>
      </c>
      <c r="E6649" s="34" t="n">
        <v>0.5</v>
      </c>
      <c r="F6649" s="34" t="n">
        <v>0.5</v>
      </c>
      <c r="G6649" s="34" t="n">
        <v>1</v>
      </c>
      <c r="H6649" s="34" t="n">
        <v>1</v>
      </c>
      <c r="I6649" s="34" t="n">
        <v>1</v>
      </c>
      <c r="J6649" s="34" t="n">
        <v>1</v>
      </c>
      <c r="K6649" s="34" t="n">
        <v>1</v>
      </c>
      <c r="L6649" s="34" t="n">
        <v>1</v>
      </c>
      <c r="M6649" s="34" t="n">
        <v>1</v>
      </c>
      <c r="N6649" s="34" t="n">
        <v>0.5</v>
      </c>
      <c r="O6649" s="34" t="n">
        <v>0.5</v>
      </c>
    </row>
    <row r="6650" customFormat="false" ht="17.15" hidden="false" customHeight="false" outlineLevel="0" collapsed="false">
      <c r="A6650" s="5" t="s">
        <v>598</v>
      </c>
      <c r="B6650" s="0" t="s">
        <v>129</v>
      </c>
      <c r="C6650" s="32" t="n">
        <f aca="false">Sens!$C$6647-mw_ye23</f>
        <v>240</v>
      </c>
      <c r="D6650" s="32" t="n">
        <f aca="false">Sens!$D$6647-Sens!$C$6647</f>
        <v>1080</v>
      </c>
      <c r="E6650" s="32" t="n">
        <f aca="false">Sens!$E$6647-Sens!$D$6647</f>
        <v>640</v>
      </c>
      <c r="F6650" s="32" t="n">
        <f aca="false">Sens!$F$6647-Sens!$E$6647</f>
        <v>1817.15</v>
      </c>
      <c r="G6650" s="32" t="n">
        <f aca="false">Sens!$E$6650+Sens!$F$6650</f>
        <v>2457.15</v>
      </c>
      <c r="H6650" s="32" t="n">
        <f aca="false">Sens!$H$6647-Sens!$G$6647</f>
        <v>3634.3</v>
      </c>
      <c r="I6650" s="32" t="n">
        <f aca="false">Sens!$I$6647-Sens!$H$6647</f>
        <v>3634.3</v>
      </c>
      <c r="J6650" s="32" t="n">
        <f aca="false">Sens!$J$6647-Sens!$I$6647</f>
        <v>3634.3</v>
      </c>
      <c r="K6650" s="32" t="n">
        <f aca="false">Sens!$K$6647-Sens!$J$6647</f>
        <v>2570.86716666667</v>
      </c>
      <c r="L6650" s="32" t="n">
        <f aca="false">Sens!$L$6647-Sens!$K$6647</f>
        <v>1507.43433333333</v>
      </c>
      <c r="M6650" s="32" t="n">
        <f aca="false">Sens!$M$6647-Sens!$L$6647</f>
        <v>444.001499999999</v>
      </c>
      <c r="N6650" s="32" t="n">
        <f aca="false">Sens!$N$6647-Sens!$C$6647</f>
        <v>540</v>
      </c>
      <c r="O6650" s="32" t="n">
        <f aca="false">Sens!$O$6647-Sens!$N$6647</f>
        <v>540</v>
      </c>
    </row>
    <row r="6651" customFormat="false" ht="17.15" hidden="false" customHeight="false" outlineLevel="0" collapsed="false">
      <c r="A6651" s="5" t="s">
        <v>599</v>
      </c>
      <c r="B6651" s="0" t="s">
        <v>129</v>
      </c>
      <c r="C6651" s="32" t="n">
        <f aca="false">Sens!$C$6650/ext_sh</f>
        <v>300</v>
      </c>
      <c r="D6651" s="32" t="n">
        <f aca="false">Sens!$D$6650/ext_sh</f>
        <v>1350</v>
      </c>
      <c r="E6651" s="32" t="n">
        <f aca="false">Sens!$E$6650/ext_sh</f>
        <v>800</v>
      </c>
      <c r="F6651" s="32" t="n">
        <f aca="false">Sens!$F$6650/ext_sh</f>
        <v>2271.4375</v>
      </c>
      <c r="G6651" s="32" t="n">
        <f aca="false">Sens!$G$6650/ext_sh</f>
        <v>3071.4375</v>
      </c>
      <c r="H6651" s="32" t="n">
        <f aca="false">Sens!$H$6650/ext_sh</f>
        <v>4542.875</v>
      </c>
      <c r="I6651" s="32" t="n">
        <f aca="false">Sens!$I$6650/ext_sh</f>
        <v>4542.875</v>
      </c>
      <c r="J6651" s="32" t="n">
        <f aca="false">Sens!$J$6650/ext_sh</f>
        <v>4542.875</v>
      </c>
      <c r="K6651" s="32" t="n">
        <f aca="false">Sens!$K$6650/ext_sh</f>
        <v>3213.58395833333</v>
      </c>
      <c r="L6651" s="32" t="n">
        <f aca="false">Sens!$L$6650/ext_sh</f>
        <v>1884.29291666667</v>
      </c>
      <c r="M6651" s="32" t="n">
        <f aca="false">Sens!$M$6650/ext_sh</f>
        <v>555.001874999998</v>
      </c>
      <c r="N6651" s="32" t="n">
        <f aca="false">Sens!$N$6650/ext_sh</f>
        <v>675</v>
      </c>
      <c r="O6651" s="32" t="n">
        <f aca="false">Sens!$O$6650/ext_sh</f>
        <v>675</v>
      </c>
      <c r="P6651" s="8" t="s">
        <v>600</v>
      </c>
      <c r="R6651" s="32" t="n">
        <f aca="false">mw_ye23/ext_sh</f>
        <v>150</v>
      </c>
      <c r="S6651" s="32" t="n">
        <f aca="false">Sens!$C$6651</f>
        <v>300</v>
      </c>
      <c r="T6651" s="32" t="n">
        <f aca="false">Sens!$D$6651</f>
        <v>1350</v>
      </c>
      <c r="U6651" s="32" t="n">
        <f aca="false">Sens!$G$6651</f>
        <v>3071.4375</v>
      </c>
      <c r="V6651" s="32" t="n">
        <f aca="false">Sens!$H$6651</f>
        <v>4542.875</v>
      </c>
      <c r="W6651" s="32" t="n">
        <f aca="false">Sens!$I$6651</f>
        <v>4542.875</v>
      </c>
      <c r="X6651" s="32" t="n">
        <f aca="false">Sens!$J$6651</f>
        <v>4542.875</v>
      </c>
      <c r="Y6651" s="32" t="n">
        <f aca="false">Sens!$K$6651</f>
        <v>3213.58395833333</v>
      </c>
      <c r="Z6651" s="32" t="n">
        <f aca="false">Sens!$L$6651</f>
        <v>1884.29291666667</v>
      </c>
      <c r="AA6651" s="32" t="n">
        <f aca="false">Sens!$M$6651</f>
        <v>555.001874999998</v>
      </c>
    </row>
    <row r="6652" customFormat="false" ht="17.15" hidden="false" customHeight="false" outlineLevel="0" collapsed="false">
      <c r="A6652" s="1" t="s">
        <v>601</v>
      </c>
    </row>
    <row r="6653" customFormat="false" ht="17.15" hidden="false" customHeight="false" outlineLevel="0" collapsed="false">
      <c r="A6653" s="0" t="s">
        <v>602</v>
      </c>
      <c r="B6653" s="0" t="s">
        <v>52</v>
      </c>
      <c r="F6653" s="35" t="n">
        <f aca="false">na_vr26</f>
        <v>0</v>
      </c>
      <c r="G6653" s="35" t="n">
        <f aca="false">na_vr26</f>
        <v>0</v>
      </c>
      <c r="H6653" s="35" t="n">
        <f aca="false">na_vr27</f>
        <v>0.5</v>
      </c>
      <c r="I6653" s="35" t="n">
        <f aca="false">na_vr28</f>
        <v>1</v>
      </c>
      <c r="J6653" s="35" t="n">
        <f aca="false">na_vr28</f>
        <v>1</v>
      </c>
      <c r="K6653" s="35" t="n">
        <f aca="false">na_vr28</f>
        <v>1</v>
      </c>
      <c r="L6653" s="35" t="n">
        <f aca="false">na_vr28</f>
        <v>1</v>
      </c>
      <c r="M6653" s="35" t="n">
        <f aca="false">na_vr28</f>
        <v>1</v>
      </c>
    </row>
    <row r="6654" customFormat="false" ht="17.15" hidden="false" customHeight="false" outlineLevel="0" collapsed="false">
      <c r="A6654" s="5" t="s">
        <v>603</v>
      </c>
      <c r="B6654" s="0" t="s">
        <v>173</v>
      </c>
      <c r="F6654" s="36" t="n">
        <f aca="false">cust_sh*tk_he_gb300*cf_chip+(1-cust_sh)*((1-Sens!$F$6653)*tk_he_gb300+Sens!$F$6653*tk_he_vr200)</f>
        <v>10.8864110021101</v>
      </c>
      <c r="G6654" s="36" t="n">
        <f aca="false">cust_sh*tk_he_gb300*cf_chip+(1-cust_sh)*((1-Sens!$G$6653)*tk_he_gb300+Sens!$G$6653*tk_he_vr200)</f>
        <v>10.8864110021101</v>
      </c>
      <c r="H6654" s="36" t="n">
        <f aca="false">cust_sh*tk_he_gb300*cf_chip+(1-cust_sh)*((1-Sens!$H$6653)*tk_he_gb300+Sens!$H$6653*tk_he_vr200)</f>
        <v>11.2211760027286</v>
      </c>
      <c r="I6654" s="36" t="n">
        <f aca="false">cust_sh*tk_he_gb300*cf_chip+(1-cust_sh)*((1-Sens!$I$6653)*tk_he_gb300+Sens!$I$6653*tk_he_vr200)</f>
        <v>11.5559410033471</v>
      </c>
      <c r="J6654" s="36" t="n">
        <f aca="false">cust_sh*tk_he_gb300*cf_chip+(1-cust_sh)*((1-Sens!$J$6653)*tk_he_gb300+Sens!$J$6653*tk_he_vr200)</f>
        <v>11.5559410033471</v>
      </c>
      <c r="K6654" s="36" t="n">
        <f aca="false">cust_sh*tk_he_gb300*cf_chip+(1-cust_sh)*((1-Sens!$K$6653)*tk_he_gb300+Sens!$K$6653*tk_he_vr200)</f>
        <v>11.5559410033471</v>
      </c>
      <c r="L6654" s="36" t="n">
        <f aca="false">cust_sh*tk_he_gb300*cf_chip+(1-cust_sh)*((1-Sens!$L$6653)*tk_he_gb300+Sens!$L$6653*tk_he_vr200)</f>
        <v>11.5559410033471</v>
      </c>
      <c r="M6654" s="36" t="n">
        <f aca="false">cust_sh*tk_he_gb300*cf_chip+(1-cust_sh)*((1-Sens!$M$6653)*tk_he_gb300+Sens!$M$6653*tk_he_vr200)</f>
        <v>11.5559410033471</v>
      </c>
    </row>
    <row r="6655" customFormat="false" ht="17.15" hidden="false" customHeight="false" outlineLevel="0" collapsed="false">
      <c r="A6655" s="5" t="s">
        <v>604</v>
      </c>
      <c r="B6655" s="0" t="s">
        <v>173</v>
      </c>
      <c r="F6655" s="36" t="n">
        <f aca="false">cust_sh*tk_ox_gb300+(1-cust_sh)*((1-Sens!$F$6653)*tk_ox_gb300+Sens!$F$6653*tk_ox_vr200)</f>
        <v>1.98263481314457</v>
      </c>
      <c r="G6655" s="36" t="n">
        <f aca="false">cust_sh*tk_ox_gb300+(1-cust_sh)*((1-Sens!$G$6653)*tk_ox_gb300+Sens!$G$6653*tk_ox_vr200)</f>
        <v>1.98263481314457</v>
      </c>
      <c r="H6655" s="36" t="n">
        <f aca="false">cust_sh*tk_ox_gb300+(1-cust_sh)*((1-Sens!$H$6653)*tk_ox_gb300+Sens!$H$6653*tk_ox_vr200)</f>
        <v>2.01034999693694</v>
      </c>
      <c r="I6655" s="36" t="n">
        <f aca="false">cust_sh*tk_ox_gb300+(1-cust_sh)*((1-Sens!$I$6653)*tk_ox_gb300+Sens!$I$6653*tk_ox_vr200)</f>
        <v>2.0380651807293</v>
      </c>
      <c r="J6655" s="36" t="n">
        <f aca="false">cust_sh*tk_ox_gb300+(1-cust_sh)*((1-Sens!$J$6653)*tk_ox_gb300+Sens!$J$6653*tk_ox_vr200)</f>
        <v>2.0380651807293</v>
      </c>
      <c r="K6655" s="36" t="n">
        <f aca="false">cust_sh*tk_ox_gb300+(1-cust_sh)*((1-Sens!$K$6653)*tk_ox_gb300+Sens!$K$6653*tk_ox_vr200)</f>
        <v>2.0380651807293</v>
      </c>
      <c r="L6655" s="36" t="n">
        <f aca="false">cust_sh*tk_ox_gb300+(1-cust_sh)*((1-Sens!$L$6653)*tk_ox_gb300+Sens!$L$6653*tk_ox_vr200)</f>
        <v>2.0380651807293</v>
      </c>
      <c r="M6655" s="36" t="n">
        <f aca="false">cust_sh*tk_ox_gb300+(1-cust_sh)*((1-Sens!$M$6653)*tk_ox_gb300+Sens!$M$6653*tk_ox_vr200)</f>
        <v>2.0380651807293</v>
      </c>
    </row>
    <row r="6656" customFormat="false" ht="17.15" hidden="false" customHeight="false" outlineLevel="0" collapsed="false">
      <c r="A6656" s="5" t="s">
        <v>605</v>
      </c>
      <c r="B6656" s="0" t="s">
        <v>192</v>
      </c>
      <c r="F6656" s="36" t="n">
        <f aca="false">cust_sh*tk_cx_gb300*cf_cx+(1-cust_sh)*((1-Sens!$F$6653)*tk_cx_gb300+Sens!$F$6653*tk_cx_vr200)</f>
        <v>32.237224</v>
      </c>
      <c r="G6656" s="36" t="n">
        <f aca="false">cust_sh*tk_cx_gb300*cf_cx+(1-cust_sh)*((1-Sens!$G$6653)*tk_cx_gb300+Sens!$G$6653*tk_cx_vr200)</f>
        <v>32.237224</v>
      </c>
      <c r="H6656" s="36" t="n">
        <f aca="false">cust_sh*tk_cx_gb300*cf_cx+(1-cust_sh)*((1-Sens!$H$6653)*tk_cx_gb300+Sens!$H$6653*tk_cx_vr200)</f>
        <v>33.574506</v>
      </c>
      <c r="I6656" s="36" t="n">
        <f aca="false">cust_sh*tk_cx_gb300*cf_cx+(1-cust_sh)*((1-Sens!$I$6653)*tk_cx_gb300+Sens!$I$6653*tk_cx_vr200)</f>
        <v>34.911788</v>
      </c>
      <c r="J6656" s="36" t="n">
        <f aca="false">cust_sh*tk_cx_gb300*cf_cx+(1-cust_sh)*((1-Sens!$J$6653)*tk_cx_gb300+Sens!$J$6653*tk_cx_vr200)</f>
        <v>34.911788</v>
      </c>
      <c r="K6656" s="36" t="n">
        <f aca="false">cust_sh*tk_cx_gb300*cf_cx+(1-cust_sh)*((1-Sens!$K$6653)*tk_cx_gb300+Sens!$K$6653*tk_cx_vr200)</f>
        <v>34.911788</v>
      </c>
      <c r="L6656" s="36" t="n">
        <f aca="false">cust_sh*tk_cx_gb300*cf_cx+(1-cust_sh)*((1-Sens!$L$6653)*tk_cx_gb300+Sens!$L$6653*tk_cx_vr200)</f>
        <v>34.911788</v>
      </c>
      <c r="M6656" s="36" t="n">
        <f aca="false">cust_sh*tk_cx_gb300*cf_cx+(1-cust_sh)*((1-Sens!$M$6653)*tk_cx_gb300+Sens!$M$6653*tk_cx_vr200)</f>
        <v>34.911788</v>
      </c>
    </row>
    <row r="6657" customFormat="false" ht="17.15" hidden="false" customHeight="false" outlineLevel="0" collapsed="false">
      <c r="A6657" s="5" t="s">
        <v>606</v>
      </c>
      <c r="B6657" s="0" t="s">
        <v>129</v>
      </c>
      <c r="F6657" s="32" t="n">
        <f aca="false">Sens!$F$6647-mw_open</f>
        <v>1817.15</v>
      </c>
      <c r="G6657" s="32" t="n">
        <f aca="false">Sens!$F$6657</f>
        <v>1817.15</v>
      </c>
      <c r="H6657" s="32" t="n">
        <f aca="false">Sens!$H$6647-mw_open</f>
        <v>5451.45</v>
      </c>
      <c r="I6657" s="32" t="n">
        <f aca="false">Sens!$I$6647-mw_open</f>
        <v>9085.75</v>
      </c>
      <c r="J6657" s="32" t="n">
        <f aca="false">Sens!$J$6647-mw_open</f>
        <v>12720.05</v>
      </c>
      <c r="K6657" s="32" t="n">
        <f aca="false">Sens!$K$6647-mw_open</f>
        <v>15290.9171666667</v>
      </c>
      <c r="L6657" s="32" t="n">
        <f aca="false">Sens!$L$6647-mw_open</f>
        <v>16798.3515</v>
      </c>
      <c r="M6657" s="32" t="n">
        <f aca="false">Sens!$M$6647-mw_open</f>
        <v>17242.353</v>
      </c>
    </row>
    <row r="6658" customFormat="false" ht="17.15" hidden="false" customHeight="false" outlineLevel="0" collapsed="false">
      <c r="A6658" s="0" t="s">
        <v>607</v>
      </c>
      <c r="B6658" s="0" t="s">
        <v>608</v>
      </c>
      <c r="F6658" s="32" t="n">
        <f aca="false">Sens!$F$6650*Sens!$F$6654</f>
        <v>19782.2417524844</v>
      </c>
      <c r="G6658" s="32" t="n">
        <f aca="false">Sens!$F$6658</f>
        <v>19782.2417524844</v>
      </c>
      <c r="H6658" s="32" t="n">
        <f aca="false">Sens!$G$6658+Sens!$H$6650*Sens!$H$6654</f>
        <v>60563.3616992009</v>
      </c>
      <c r="I6658" s="32" t="n">
        <f aca="false">Sens!$H$6658+Sens!$I$6650*Sens!$I$6654</f>
        <v>102561.118087665</v>
      </c>
      <c r="J6658" s="32" t="n">
        <f aca="false">Sens!$I$6658+Sens!$J$6650*Sens!$J$6654</f>
        <v>144558.87447613</v>
      </c>
      <c r="K6658" s="32" t="n">
        <f aca="false">Sens!$J$6658+Sens!$K$6650*Sens!$K$6654</f>
        <v>174267.663781572</v>
      </c>
      <c r="L6658" s="32" t="n">
        <f aca="false">Sens!$K$6658+Sens!$L$6650*Sens!$L$6654</f>
        <v>191687.486003992</v>
      </c>
      <c r="M6658" s="32" t="n">
        <f aca="false">Sens!$L$6658+Sens!$M$6650*Sens!$M$6654</f>
        <v>196818.341143389</v>
      </c>
    </row>
    <row r="6659" customFormat="false" ht="17.15" hidden="false" customHeight="false" outlineLevel="0" collapsed="false">
      <c r="A6659" s="0" t="s">
        <v>609</v>
      </c>
      <c r="B6659" s="0" t="s">
        <v>608</v>
      </c>
      <c r="F6659" s="32" t="n">
        <f aca="false">Sens!$F$6650*Sens!$F$6655</f>
        <v>3602.74485070566</v>
      </c>
      <c r="G6659" s="32" t="n">
        <f aca="false">Sens!$F$6659</f>
        <v>3602.74485070566</v>
      </c>
      <c r="H6659" s="32" t="n">
        <f aca="false">Sens!$G$6659+Sens!$H$6650*Sens!$H$6655</f>
        <v>10908.9598445736</v>
      </c>
      <c r="I6659" s="32" t="n">
        <f aca="false">Sens!$H$6659+Sens!$I$6650*Sens!$I$6655</f>
        <v>18315.9001308981</v>
      </c>
      <c r="J6659" s="32" t="n">
        <f aca="false">Sens!$I$6659+Sens!$J$6650*Sens!$J$6655</f>
        <v>25722.8404172225</v>
      </c>
      <c r="K6659" s="32" t="n">
        <f aca="false">Sens!$J$6659+Sens!$K$6650*Sens!$K$6655</f>
        <v>30962.4352738861</v>
      </c>
      <c r="L6659" s="32" t="n">
        <f aca="false">Sens!$K$6659+Sens!$L$6650*Sens!$L$6655</f>
        <v>34034.6847008886</v>
      </c>
      <c r="M6659" s="32" t="n">
        <f aca="false">Sens!$L$6659+Sens!$M$6650*Sens!$M$6655</f>
        <v>34939.5886982302</v>
      </c>
    </row>
    <row r="6660" customFormat="false" ht="17.15" hidden="false" customHeight="false" outlineLevel="0" collapsed="false">
      <c r="A6660" s="5" t="s">
        <v>610</v>
      </c>
      <c r="B6660" s="0" t="s">
        <v>173</v>
      </c>
      <c r="F6660" s="36" t="n">
        <f aca="false">IF(Sens!$F$6657&gt;0,Sens!$F$6658/Sens!$F$6657,Sens!$F$6654)</f>
        <v>10.8864110021101</v>
      </c>
      <c r="G6660" s="36" t="n">
        <f aca="false">IF(Sens!$G$6657&gt;0,Sens!$G$6658/Sens!$G$6657,Sens!$G$6654)</f>
        <v>10.8864110021101</v>
      </c>
      <c r="H6660" s="36" t="n">
        <f aca="false">IF(Sens!$H$6657&gt;0,Sens!$H$6658/Sens!$H$6657,Sens!$H$6654)</f>
        <v>11.1095876691891</v>
      </c>
      <c r="I6660" s="36" t="n">
        <f aca="false">IF(Sens!$I$6657&gt;0,Sens!$I$6658/Sens!$I$6657,Sens!$I$6654)</f>
        <v>11.2881290028523</v>
      </c>
      <c r="J6660" s="36" t="n">
        <f aca="false">IF(Sens!$J$6657&gt;0,Sens!$J$6658/Sens!$J$6657,Sens!$J$6654)</f>
        <v>11.3646467172794</v>
      </c>
      <c r="K6660" s="36" t="n">
        <f aca="false">IF(Sens!$K$6657&gt;0,Sens!$K$6658/Sens!$K$6657,Sens!$K$6654)</f>
        <v>11.3968090914432</v>
      </c>
      <c r="L6660" s="36" t="n">
        <f aca="false">IF(Sens!$L$6657&gt;0,Sens!$L$6658/Sens!$L$6657,Sens!$L$6654)</f>
        <v>11.4110891181192</v>
      </c>
      <c r="M6660" s="36" t="n">
        <f aca="false">IF(Sens!$M$6657&gt;0,Sens!$M$6658/Sens!$M$6657,Sens!$M$6654)</f>
        <v>11.4148191458201</v>
      </c>
    </row>
    <row r="6661" customFormat="false" ht="17.15" hidden="false" customHeight="false" outlineLevel="0" collapsed="false">
      <c r="A6661" s="5" t="s">
        <v>611</v>
      </c>
      <c r="B6661" s="0" t="s">
        <v>173</v>
      </c>
      <c r="F6661" s="36" t="n">
        <f aca="false">IF(Sens!$F$6657&gt;0,Sens!$F$6659/Sens!$F$6657,Sens!$F$6655)</f>
        <v>1.98263481314457</v>
      </c>
      <c r="G6661" s="36" t="n">
        <f aca="false">IF(Sens!$G$6657&gt;0,Sens!$G$6659/Sens!$G$6657,Sens!$G$6655)</f>
        <v>1.98263481314457</v>
      </c>
      <c r="H6661" s="36" t="n">
        <f aca="false">IF(Sens!$H$6657&gt;0,Sens!$H$6659/Sens!$H$6657,Sens!$H$6655)</f>
        <v>2.00111160233948</v>
      </c>
      <c r="I6661" s="36" t="n">
        <f aca="false">IF(Sens!$I$6657&gt;0,Sens!$I$6659/Sens!$I$6657,Sens!$I$6655)</f>
        <v>2.01589303369541</v>
      </c>
      <c r="J6661" s="36" t="n">
        <f aca="false">IF(Sens!$J$6657&gt;0,Sens!$J$6659/Sens!$J$6657,Sens!$J$6655)</f>
        <v>2.02222793284795</v>
      </c>
      <c r="K6661" s="36" t="n">
        <f aca="false">IF(Sens!$K$6657&gt;0,Sens!$K$6659/Sens!$K$6657,Sens!$K$6655)</f>
        <v>2.02489065478573</v>
      </c>
      <c r="L6661" s="36" t="n">
        <f aca="false">IF(Sens!$L$6657&gt;0,Sens!$L$6659/Sens!$L$6657,Sens!$L$6655)</f>
        <v>2.0260728977417</v>
      </c>
      <c r="M6661" s="36" t="n">
        <f aca="false">IF(Sens!$M$6657&gt;0,Sens!$M$6659/Sens!$M$6657,Sens!$M$6655)</f>
        <v>2.02638170661685</v>
      </c>
    </row>
    <row r="6662" customFormat="false" ht="17.15" hidden="false" customHeight="false" outlineLevel="0" collapsed="false">
      <c r="A6662" s="15" t="s">
        <v>612</v>
      </c>
      <c r="B6662" s="14" t="s">
        <v>173</v>
      </c>
      <c r="C6662" s="14"/>
      <c r="D6662" s="14"/>
      <c r="E6662" s="14"/>
      <c r="F6662" s="37" t="n">
        <f aca="false">Sens!$F$6660*k_B</f>
        <v>10.7987645808025</v>
      </c>
      <c r="G6662" s="37" t="n">
        <f aca="false">Sens!$G$6660*k_B</f>
        <v>10.7987645808025</v>
      </c>
      <c r="H6662" s="37" t="n">
        <f aca="false">Sens!$H$6660*k_B</f>
        <v>11.0201444540452</v>
      </c>
      <c r="I6662" s="37" t="n">
        <f aca="false">Sens!$I$6660*k_B</f>
        <v>11.1972483526393</v>
      </c>
      <c r="J6662" s="37" t="n">
        <f aca="false">Sens!$J$6660*k_B</f>
        <v>11.2731500234653</v>
      </c>
      <c r="K6662" s="37" t="n">
        <f aca="false">Sens!$K$6660*k_B</f>
        <v>11.3050534585724</v>
      </c>
      <c r="L6662" s="37" t="n">
        <f aca="false">Sens!$L$6660*k_B</f>
        <v>11.3192185168503</v>
      </c>
      <c r="M6662" s="37" t="n">
        <f aca="false">Sens!$M$6660*k_B</f>
        <v>11.3229185141234</v>
      </c>
      <c r="N6662" s="14"/>
      <c r="O6662" s="14"/>
      <c r="P6662" s="5" t="s">
        <v>613</v>
      </c>
    </row>
    <row r="6663" customFormat="false" ht="17.15" hidden="false" customHeight="false" outlineLevel="0" collapsed="false">
      <c r="A6663" s="5" t="s">
        <v>614</v>
      </c>
      <c r="B6663" s="0" t="s">
        <v>129</v>
      </c>
      <c r="F6663" s="32" t="n">
        <f aca="false">Sens!$F$6657/2</f>
        <v>908.575</v>
      </c>
      <c r="H6663" s="32" t="n">
        <f aca="false">(Sens!$G$6657+Sens!$H$6657)/2</f>
        <v>3634.3</v>
      </c>
      <c r="I6663" s="32" t="n">
        <f aca="false">(Sens!$H$6657+Sens!$I$6657)/2</f>
        <v>7268.6</v>
      </c>
      <c r="J6663" s="32" t="n">
        <f aca="false">(Sens!$I$6657+Sens!$J$6657)/2</f>
        <v>10902.9</v>
      </c>
      <c r="K6663" s="32" t="n">
        <f aca="false">(Sens!$J$6657+Sens!$K$6657)/2</f>
        <v>14005.4835833333</v>
      </c>
      <c r="L6663" s="32" t="n">
        <f aca="false">(Sens!$K$6657+Sens!$L$6657)/2</f>
        <v>16044.6343333333</v>
      </c>
      <c r="M6663" s="32" t="n">
        <f aca="false">(Sens!$L$6657+Sens!$M$6657)/2</f>
        <v>17020.35225</v>
      </c>
    </row>
    <row r="6664" customFormat="false" ht="17.15" hidden="false" customHeight="false" outlineLevel="0" collapsed="false">
      <c r="A6664" s="1" t="s">
        <v>615</v>
      </c>
    </row>
    <row r="6665" customFormat="false" ht="17.15" hidden="false" customHeight="false" outlineLevel="0" collapsed="false">
      <c r="A6665" s="1" t="s">
        <v>616</v>
      </c>
      <c r="B6665" s="8" t="s">
        <v>86</v>
      </c>
      <c r="C6665" s="38" t="n">
        <f aca="false">Sens!$C$6648*rpm_open*Sens!$C$6649/1000</f>
        <v>2.32100535697364</v>
      </c>
      <c r="D6665" s="38" t="n">
        <f aca="false">Sens!$D$6648*rpm_open*Sens!$D$6649/1000</f>
        <v>8.70377008865116</v>
      </c>
      <c r="E6665" s="38" t="n">
        <f aca="false">Sens!$E$6648*rpm_open*Sens!$E$6649/1000</f>
        <v>8.51035297557002</v>
      </c>
      <c r="F6665" s="38" t="n">
        <f aca="false">(mw_open*rpm_open+Sens!$F$6663*Sens!$F$6662)*Sens!$F$6649/1000</f>
        <v>14.9634336447205</v>
      </c>
      <c r="G6665" s="38" t="n">
        <f aca="false">Sens!$E$6665+Sens!$F$6665</f>
        <v>23.4737866202905</v>
      </c>
      <c r="H6665" s="38" t="n">
        <f aca="false">(mw_open*rpm_open+Sens!$H$6663*Sens!$H$6662)/1000</f>
        <v>60.1658907497746</v>
      </c>
      <c r="I6665" s="38" t="n">
        <f aca="false">(mw_open*rpm_open+Sens!$I$6663*Sens!$I$6662)/1000</f>
        <v>101.503699136432</v>
      </c>
      <c r="J6665" s="38" t="n">
        <f aca="false">(mw_open*rpm_open+Sens!$J$6663*Sens!$J$6662)/1000</f>
        <v>143.025407151278</v>
      </c>
      <c r="K6665" s="38" t="n">
        <f aca="false">(mw_open*rpm_open+Sens!$K$6663*Sens!$K$6662)/1000</f>
        <v>178.44812038318</v>
      </c>
      <c r="L6665" s="38" t="n">
        <f aca="false">(mw_open*rpm_open+Sens!$L$6663*Sens!$L$6662)/1000</f>
        <v>201.728101802396</v>
      </c>
      <c r="M6665" s="38" t="n">
        <f aca="false">(mw_open*rpm_open+Sens!$M$6663*Sens!$M$6662)/1000</f>
        <v>212.835441368865</v>
      </c>
      <c r="N6665" s="38" t="n">
        <f aca="false">Sens!$N$6648*rpm_open*Sens!$N$6649/1000</f>
        <v>3.04631953102791</v>
      </c>
      <c r="O6665" s="38" t="n">
        <f aca="false">Sens!$O$6648*rpm_open*Sens!$O$6649/1000</f>
        <v>5.65745055762326</v>
      </c>
      <c r="P6665" s="5" t="s">
        <v>617</v>
      </c>
    </row>
    <row r="6666" customFormat="false" ht="17.15" hidden="false" customHeight="false" outlineLevel="0" collapsed="false">
      <c r="A6666" s="5" t="s">
        <v>618</v>
      </c>
      <c r="B6666" s="0" t="s">
        <v>173</v>
      </c>
      <c r="C6666" s="36" t="n">
        <f aca="false">Sens!$C$6665*1000/(Sens!$C$6648*Sens!$C$6649)</f>
        <v>9.67085565405685</v>
      </c>
      <c r="D6666" s="36" t="n">
        <f aca="false">Sens!$D$6665*1000/(Sens!$D$6648*Sens!$D$6649)</f>
        <v>9.67085565405685</v>
      </c>
      <c r="E6666" s="36" t="n">
        <f aca="false">Sens!$E$6665*1000/(Sens!$E$6648*Sens!$E$6649)</f>
        <v>9.67085565405685</v>
      </c>
      <c r="F6666" s="36" t="n">
        <f aca="false">Sens!$F$6665*1000/(Sens!$F$6648*Sens!$F$6649)</f>
        <v>10.0137581588017</v>
      </c>
      <c r="G6666" s="36" t="n">
        <f aca="false">Sens!$G$6665*1000/(Sens!$G$6648*Sens!$G$6649)</f>
        <v>9.88666562928478</v>
      </c>
      <c r="H6666" s="36" t="n">
        <f aca="false">Sens!$H$6665*1000/(Sens!$H$6648*Sens!$H$6649)</f>
        <v>10.5290045586992</v>
      </c>
      <c r="I6666" s="36" t="n">
        <f aca="false">Sens!$I$6665*1000/(Sens!$I$6648*Sens!$I$6649)</f>
        <v>10.8576363451674</v>
      </c>
      <c r="J6666" s="36" t="n">
        <f aca="false">Sens!$J$6665*1000/(Sens!$J$6648*Sens!$J$6649)</f>
        <v>11.0164452588619</v>
      </c>
      <c r="K6666" s="36" t="n">
        <f aca="false">Sens!$K$6665*1000/(Sens!$K$6648*Sens!$K$6649)</f>
        <v>11.0937367508227</v>
      </c>
      <c r="L6666" s="36" t="n">
        <f aca="false">Sens!$L$6665*1000/(Sens!$L$6648*Sens!$L$6649)</f>
        <v>11.1300508519168</v>
      </c>
      <c r="M6666" s="36" t="n">
        <f aca="false">Sens!$M$6665*1000/(Sens!$M$6648*Sens!$M$6649)</f>
        <v>11.1430113216297</v>
      </c>
      <c r="N6666" s="36" t="n">
        <f aca="false">Sens!$N$6665*1000/(Sens!$N$6648*Sens!$N$6649)</f>
        <v>9.67085565405685</v>
      </c>
      <c r="O6666" s="36" t="n">
        <f aca="false">Sens!$O$6665*1000/(Sens!$O$6648*Sens!$O$6649)</f>
        <v>9.67085565405685</v>
      </c>
    </row>
    <row r="6667" customFormat="false" ht="17.15" hidden="false" customHeight="false" outlineLevel="0" collapsed="false">
      <c r="A6667" s="0" t="s">
        <v>619</v>
      </c>
      <c r="B6667" s="0" t="s">
        <v>86</v>
      </c>
      <c r="C6667" s="38" t="n">
        <f aca="false">Sens!$C$6648/ext_sh*(ox_open+rent_mw)*Sens!$C$6649/1000</f>
        <v>0.642569210675032</v>
      </c>
      <c r="D6667" s="38" t="n">
        <f aca="false">Sens!$D$6648/ext_sh*(ox_open+rent_mw)*Sens!$D$6649/1000</f>
        <v>2.40963454003137</v>
      </c>
      <c r="E6667" s="38" t="n">
        <f aca="false">Sens!$E$6648/ext_sh*(ox_open+rent_mw)*Sens!$E$6649/1000</f>
        <v>2.35608710580845</v>
      </c>
      <c r="F6667" s="38" t="n">
        <f aca="false">((mw_open*ox_open+Sens!$F$6663*Sens!$F$6661)/ext_sh+Sens!$F$6648/ext_sh*rent_mw)*Sens!$F$6649/1000</f>
        <v>4.05421991106232</v>
      </c>
      <c r="G6667" s="38" t="n">
        <f aca="false">Sens!$E$6667+Sens!$F$6667</f>
        <v>6.41030701687077</v>
      </c>
      <c r="H6667" s="38" t="n">
        <f aca="false">((mw_open*ox_open+Sens!$H$6663*Sens!$H$6661)/ext_sh+Sens!$H$6648/ext_sh*rent_mw)*Sens!$H$6649/1000</f>
        <v>15.8108975546616</v>
      </c>
      <c r="I6667" s="38" t="n">
        <f aca="false">((mw_open*ox_open+Sens!$I$6663*Sens!$I$6661)/ext_sh+Sens!$I$6648/ext_sh*rent_mw)*Sens!$I$6649/1000</f>
        <v>26.1871623400817</v>
      </c>
      <c r="J6667" s="38" t="n">
        <f aca="false">((mw_open*ox_open+Sens!$J$6663*Sens!$J$6661)/ext_sh+Sens!$J$6648/ext_sh*rent_mw)*Sens!$J$6649/1000</f>
        <v>36.5826128954935</v>
      </c>
      <c r="K6667" s="38" t="n">
        <f aca="false">((mw_open*ox_open+Sens!$K$6663*Sens!$K$6661)/ext_sh+Sens!$K$6648/ext_sh*rent_mw)*Sens!$K$6649/1000</f>
        <v>45.4546361137628</v>
      </c>
      <c r="L6667" s="38" t="n">
        <f aca="false">((mw_open*ox_open+Sens!$L$6663*Sens!$L$6661)/ext_sh+Sens!$L$6648/ext_sh*rent_mw)*Sens!$L$6649/1000</f>
        <v>51.2855695554452</v>
      </c>
      <c r="M6667" s="38" t="n">
        <f aca="false">((mw_open*ox_open+Sens!$M$6663*Sens!$M$6661)/ext_sh+Sens!$M$6648/ext_sh*rent_mw)*Sens!$M$6649/1000</f>
        <v>54.0722927838398</v>
      </c>
      <c r="N6667" s="38" t="n">
        <f aca="false">Sens!$N$6648/ext_sh*(ox_open+rent_mw)*Sens!$N$6649/1000</f>
        <v>0.84337208901098</v>
      </c>
      <c r="O6667" s="38" t="n">
        <f aca="false">Sens!$O$6648/ext_sh*(ox_open+rent_mw)*Sens!$O$6649/1000</f>
        <v>1.56626245102039</v>
      </c>
    </row>
    <row r="6668" customFormat="false" ht="17.15" hidden="false" customHeight="false" outlineLevel="0" collapsed="false">
      <c r="A6668" s="0" t="s">
        <v>620</v>
      </c>
      <c r="B6668" s="0" t="s">
        <v>86</v>
      </c>
      <c r="C6668" s="38" t="n">
        <f aca="false">Q!$D$7</f>
        <v>107.556</v>
      </c>
      <c r="D6668" s="38" t="n">
        <f aca="false">Q!$E$7</f>
        <v>128.725</v>
      </c>
      <c r="E6668" s="38" t="n">
        <f aca="false">Q!$P$7</f>
        <v>79.819</v>
      </c>
      <c r="N6668" s="38" t="n">
        <f aca="false">Q!$N$7</f>
        <v>60.14</v>
      </c>
      <c r="O6668" s="38" t="n">
        <f aca="false">Q!$O$7</f>
        <v>68.585</v>
      </c>
    </row>
    <row r="6669" customFormat="false" ht="17.15" hidden="false" customHeight="false" outlineLevel="0" collapsed="false">
      <c r="A6669" s="1" t="s">
        <v>621</v>
      </c>
      <c r="B6669" s="8" t="s">
        <v>86</v>
      </c>
      <c r="C6669" s="38" t="n">
        <f aca="false">Sens!$C$6668-Sens!$C$6665</f>
        <v>105.234994643026</v>
      </c>
      <c r="D6669" s="38" t="n">
        <f aca="false">Sens!$D$6668-Sens!$D$6665</f>
        <v>120.021229911349</v>
      </c>
      <c r="E6669" s="38" t="n">
        <f aca="false">Sens!$E$6668-Sens!$E$6665</f>
        <v>71.30864702443</v>
      </c>
      <c r="F6669" s="38" t="n">
        <f aca="false">Sens!$O$6669*(1+Sens!$F$6670)</f>
        <v>71.7692997942464</v>
      </c>
      <c r="G6669" s="38" t="n">
        <f aca="false">Sens!$E$6669+Sens!$F$6669</f>
        <v>143.077946818676</v>
      </c>
      <c r="H6669" s="38" t="n">
        <f aca="false">Sens!$G$6669*(1+Sens!$H$6670)</f>
        <v>161.017077079203</v>
      </c>
      <c r="I6669" s="38" t="n">
        <f aca="false">Sens!$H$6669*(1+Sens!$I$6670)</f>
        <v>178.769759521457</v>
      </c>
      <c r="J6669" s="38" t="n">
        <f aca="false">Sens!$I$6669*(1+Sens!$J$6670)</f>
        <v>195.775538045907</v>
      </c>
      <c r="K6669" s="38" t="n">
        <f aca="false">Sens!$J$6669*(1+Sens!$K$6670)</f>
        <v>211.43758108958</v>
      </c>
      <c r="L6669" s="38" t="n">
        <f aca="false">Sens!$K$6669*(1+Sens!$L$6670)</f>
        <v>228.352587576746</v>
      </c>
      <c r="M6669" s="38" t="n">
        <f aca="false">Sens!$L$6669*(1+Sens!$M$6670)</f>
        <v>246.620794582886</v>
      </c>
      <c r="N6669" s="38" t="n">
        <f aca="false">Sens!$N$6668-Sens!$N$6665</f>
        <v>57.0936804689721</v>
      </c>
      <c r="O6669" s="38" t="n">
        <f aca="false">Sens!$O$6668-Sens!$O$6665</f>
        <v>62.9275494423768</v>
      </c>
      <c r="P6669" s="5" t="s">
        <v>622</v>
      </c>
    </row>
    <row r="6670" customFormat="false" ht="17.15" hidden="false" customHeight="false" outlineLevel="0" collapsed="false">
      <c r="A6670" s="0" t="s">
        <v>623</v>
      </c>
      <c r="B6670" s="0" t="s">
        <v>52</v>
      </c>
      <c r="D6670" s="13" t="n">
        <f aca="false">Sens!$D$6669/Sens!$C$6669-1</f>
        <v>0.140506827776062</v>
      </c>
      <c r="E6670" s="13" t="n">
        <f aca="false">Sens!$E$6669/Sens!$N$6669-1</f>
        <v>0.248976181579029</v>
      </c>
      <c r="F6670" s="13" t="n">
        <f aca="false">Sens!$D$6670</f>
        <v>0.140506827776062</v>
      </c>
      <c r="G6670" s="13" t="n">
        <f aca="false">Sens!$G$6669/Sens!$D$6669-1</f>
        <v>0.19210532106993</v>
      </c>
      <c r="H6670" s="13" t="n">
        <f aca="false">Sens!$F$6670+(g_awso_lt-Sens!$F$6670)*1/4</f>
        <v>0.125380120832046</v>
      </c>
      <c r="I6670" s="13" t="n">
        <f aca="false">Sens!$F$6670+(g_awso_lt-Sens!$F$6670)*2/4</f>
        <v>0.110253413888031</v>
      </c>
      <c r="J6670" s="13" t="n">
        <f aca="false">Sens!$F$6670+(g_awso_lt-Sens!$F$6670)*3/4</f>
        <v>0.0951267069440154</v>
      </c>
      <c r="K6670" s="13" t="n">
        <f aca="false">Sens!$F$6670+(g_awso_lt-Sens!$F$6670)*4/4</f>
        <v>0.08</v>
      </c>
      <c r="L6670" s="13" t="n">
        <f aca="false">g_awso_lt</f>
        <v>0.08</v>
      </c>
      <c r="M6670" s="13" t="n">
        <f aca="false">g_awso_lt</f>
        <v>0.08</v>
      </c>
      <c r="P6670" s="5" t="s">
        <v>624</v>
      </c>
    </row>
    <row r="6671" customFormat="false" ht="17.15" hidden="false" customHeight="false" outlineLevel="0" collapsed="false">
      <c r="A6671" s="1" t="s">
        <v>625</v>
      </c>
    </row>
    <row r="6672" customFormat="false" ht="17.15" hidden="false" customHeight="false" outlineLevel="0" collapsed="false">
      <c r="A6672" s="0" t="s">
        <v>626</v>
      </c>
      <c r="B6672" s="0" t="s">
        <v>86</v>
      </c>
      <c r="F6672" s="38" t="n">
        <f aca="false">cx_rt*Sens!$F$6637+cx_awso*Sens!$F$6669</f>
        <v>34.9734495387866</v>
      </c>
    </row>
    <row r="6673" customFormat="false" ht="17.15" hidden="false" customHeight="false" outlineLevel="0" collapsed="false">
      <c r="A6673" s="0" t="s">
        <v>627</v>
      </c>
      <c r="B6673" s="0" t="s">
        <v>52</v>
      </c>
      <c r="C6673" s="13" t="n">
        <f aca="false">tk_cx_h100/(tk_cx_h100+tk_fac*(1-colo_sh))</f>
        <v>0.730756458006641</v>
      </c>
      <c r="D6673" s="13" t="n">
        <f aca="false">tk_cx_h100/(tk_cx_h100+tk_fac*(1-colo_sh))</f>
        <v>0.730756458006641</v>
      </c>
      <c r="E6673" s="13" t="n">
        <f aca="false">Sens!$F$6673</f>
        <v>0.760792334328868</v>
      </c>
      <c r="F6673" s="13" t="n">
        <f aca="false">Sens!$F$6656/(Sens!$F$6656+tk_fac*(1-colo_sh))</f>
        <v>0.760792334328868</v>
      </c>
      <c r="G6673" s="13" t="n">
        <f aca="false">Sens!$G$6656/(Sens!$G$6656+tk_fac*(1-colo_sh))</f>
        <v>0.760792334328868</v>
      </c>
      <c r="H6673" s="13" t="n">
        <f aca="false">Sens!$H$6656/(Sens!$H$6656+tk_fac*(1-colo_sh))</f>
        <v>0.768110668862996</v>
      </c>
      <c r="I6673" s="13" t="n">
        <f aca="false">Sens!$I$6656/(Sens!$I$6656+tk_fac*(1-colo_sh))</f>
        <v>0.77499450139483</v>
      </c>
      <c r="J6673" s="13" t="n">
        <f aca="false">Sens!$J$6656/(Sens!$J$6656+tk_fac*(1-colo_sh))</f>
        <v>0.77499450139483</v>
      </c>
      <c r="K6673" s="13" t="n">
        <f aca="false">Sens!$K$6656/(Sens!$K$6656+tk_fac*(1-colo_sh))</f>
        <v>0.77499450139483</v>
      </c>
      <c r="L6673" s="13" t="n">
        <f aca="false">Sens!$L$6656/(Sens!$L$6656+tk_fac*(1-colo_sh))</f>
        <v>0.77499450139483</v>
      </c>
      <c r="M6673" s="13" t="n">
        <f aca="false">Sens!$M$6656/(Sens!$M$6656+tk_fac*(1-colo_sh))</f>
        <v>0.77499450139483</v>
      </c>
    </row>
    <row r="6674" customFormat="false" ht="17.15" hidden="false" customHeight="false" outlineLevel="0" collapsed="false">
      <c r="A6674" s="1" t="s">
        <v>628</v>
      </c>
      <c r="B6674" s="8" t="s">
        <v>86</v>
      </c>
      <c r="C6674" s="38" t="n">
        <f aca="false">Q!$D$46-cx_rt*Q!$D$16-cx_awso*Sens!$C$6669</f>
        <v>25.2781053077374</v>
      </c>
      <c r="D6674" s="38" t="n">
        <f aca="false">Q!$E$46-cx_rt*Q!$E$16-cx_awso*Sens!$D$6669</f>
        <v>69.5686316310026</v>
      </c>
      <c r="E6674" s="38" t="n">
        <f aca="false">Q!$P$46-cx_rt*Q!$P$16-cx_awso*Sens!$E$6669</f>
        <v>64.1899206485108</v>
      </c>
      <c r="F6674" s="38" t="n">
        <f aca="false">MAX(Sens!$F$6651*(Sens!$F$6656+tk_fac*(1-colo_sh))/1000,capex_g26-Q!$P$46-Sens!$F$6672)</f>
        <v>96.2481299895</v>
      </c>
      <c r="G6674" s="38" t="n">
        <f aca="false">Sens!$E$6674+Sens!$F$6674</f>
        <v>160.438050638011</v>
      </c>
      <c r="H6674" s="38" t="n">
        <f aca="false">Sens!$H$6651*(Sens!$H$6656+tk_fac*(1-colo_sh))/1000+Sens!$H$6675</f>
        <v>198.57136494475</v>
      </c>
      <c r="I6674" s="38" t="n">
        <f aca="false">Sens!$I$6651*(Sens!$I$6656+tk_fac*(1-colo_sh))/1000+Sens!$I$6675</f>
        <v>204.6464699105</v>
      </c>
      <c r="J6674" s="38" t="n">
        <f aca="false">Sens!$J$6651*(Sens!$J$6656+tk_fac*(1-colo_sh))/1000+Sens!$J$6675</f>
        <v>209.8832381105</v>
      </c>
      <c r="K6674" s="38" t="n">
        <f aca="false">Sens!$K$6651*(Sens!$K$6656+tk_fac*(1-colo_sh))/1000+Sens!$K$6675</f>
        <v>155.238385275201</v>
      </c>
      <c r="L6674" s="38" t="n">
        <f aca="false">Sens!$L$6651*(Sens!$L$6656+tk_fac*(1-colo_sh))/1000+Sens!$L$6675</f>
        <v>132.014141639902</v>
      </c>
      <c r="M6674" s="38" t="n">
        <f aca="false">Sens!$M$6651*(Sens!$M$6656+tk_fac*(1-colo_sh))/1000+Sens!$M$6675</f>
        <v>132.230981659852</v>
      </c>
      <c r="P6674" s="5" t="s">
        <v>629</v>
      </c>
      <c r="R6674" s="38" t="n">
        <f aca="false">Q!$C$46-cx_rt*Q!$C$16-cx_awso*(Q!$C$7-mw_ye23/2*rpm_open/1000)</f>
        <v>1.50429979529945</v>
      </c>
      <c r="S6674" s="38" t="n">
        <f aca="false">Sens!$C$6674</f>
        <v>25.2781053077374</v>
      </c>
      <c r="T6674" s="38" t="n">
        <f aca="false">Sens!$D$6674</f>
        <v>69.5686316310026</v>
      </c>
      <c r="U6674" s="38" t="n">
        <f aca="false">Sens!$G$6674</f>
        <v>160.438050638011</v>
      </c>
      <c r="V6674" s="38" t="n">
        <f aca="false">Sens!$H$6674</f>
        <v>198.57136494475</v>
      </c>
      <c r="W6674" s="38" t="n">
        <f aca="false">Sens!$I$6674</f>
        <v>204.6464699105</v>
      </c>
      <c r="X6674" s="38" t="n">
        <f aca="false">Sens!$J$6674</f>
        <v>209.8832381105</v>
      </c>
      <c r="Y6674" s="38" t="n">
        <f aca="false">Sens!$K$6674</f>
        <v>155.238385275201</v>
      </c>
      <c r="Z6674" s="38" t="n">
        <f aca="false">Sens!$L$6674</f>
        <v>132.014141639902</v>
      </c>
      <c r="AA6674" s="38" t="n">
        <f aca="false">Sens!$M$6674</f>
        <v>132.230981659852</v>
      </c>
    </row>
    <row r="6675" customFormat="false" ht="17.15" hidden="false" customHeight="false" outlineLevel="0" collapsed="false">
      <c r="A6675" s="0" t="s">
        <v>630</v>
      </c>
      <c r="B6675" s="0" t="s">
        <v>86</v>
      </c>
      <c r="H6675" s="38" t="n">
        <f aca="false">SUMPRODUCT(--(Sens!$R$6644:$AA$6644=2027-tk_life),Sens!$R$6651:$AA$6651)*Sens!$H$6656/1000</f>
        <v>0</v>
      </c>
      <c r="I6675" s="38" t="n">
        <f aca="false">SUMPRODUCT(--(Sens!$R$6644:$AA$6644=2028-tk_life),Sens!$R$6651:$AA$6651)*Sens!$I$6656/1000</f>
        <v>0</v>
      </c>
      <c r="J6675" s="38" t="n">
        <f aca="false">SUMPRODUCT(--(Sens!$R$6644:$AA$6644=2029-tk_life),Sens!$R$6651:$AA$6651)*Sens!$J$6656/1000</f>
        <v>5.2367682</v>
      </c>
      <c r="K6675" s="38" t="n">
        <f aca="false">SUMPRODUCT(--(Sens!$R$6644:$AA$6644=2030-tk_life),Sens!$R$6651:$AA$6651)*Sens!$K$6656/1000</f>
        <v>10.4735364</v>
      </c>
      <c r="L6675" s="38" t="n">
        <f aca="false">SUMPRODUCT(--(Sens!$R$6644:$AA$6644=2031-tk_life),Sens!$R$6651:$AA$6651)*Sens!$L$6656/1000</f>
        <v>47.1309138</v>
      </c>
      <c r="M6675" s="38" t="n">
        <f aca="false">SUMPRODUCT(--(Sens!$R$6644:$AA$6644=2032-tk_life),Sens!$R$6651:$AA$6651)*Sens!$M$6656/1000</f>
        <v>107.22937485525</v>
      </c>
    </row>
    <row r="6676" customFormat="false" ht="17.15" hidden="false" customHeight="false" outlineLevel="0" collapsed="false">
      <c r="A6676" s="0" t="s">
        <v>631</v>
      </c>
      <c r="B6676" s="0" t="s">
        <v>86</v>
      </c>
      <c r="C6676" s="38" t="n">
        <f aca="false">MIN(Sens!$C$6674,Sens!$C$6651*(tk_cx_h100+tk_fac*(1-colo_sh))/1000)</f>
        <v>11.2938642</v>
      </c>
      <c r="D6676" s="38" t="n">
        <f aca="false">MIN(Sens!$D$6674,Sens!$D$6651*(tk_cx_h100+tk_fac*(1-colo_sh))/1000)</f>
        <v>50.8223889</v>
      </c>
      <c r="E6676" s="38" t="n">
        <f aca="false">MIN(Sens!$E$6674,Sens!$E$6651*(Sens!$F$6656+tk_fac*(1-colo_sh))/1000)</f>
        <v>33.8985792</v>
      </c>
      <c r="F6676" s="38" t="n">
        <f aca="false">Sens!$F$6674</f>
        <v>96.2481299895</v>
      </c>
      <c r="G6676" s="38" t="n">
        <f aca="false">Sens!$E$6676+Sens!$F$6676</f>
        <v>130.1467091895</v>
      </c>
      <c r="H6676" s="38" t="n">
        <f aca="false">Sens!$H$6674</f>
        <v>198.57136494475</v>
      </c>
      <c r="I6676" s="38" t="n">
        <f aca="false">Sens!$I$6674</f>
        <v>204.6464699105</v>
      </c>
      <c r="J6676" s="38" t="n">
        <f aca="false">Sens!$J$6674</f>
        <v>209.8832381105</v>
      </c>
      <c r="K6676" s="38" t="n">
        <f aca="false">Sens!$K$6674</f>
        <v>155.238385275201</v>
      </c>
      <c r="L6676" s="38" t="n">
        <f aca="false">Sens!$L$6674</f>
        <v>132.014141639902</v>
      </c>
      <c r="M6676" s="38" t="n">
        <f aca="false">Sens!$M$6674</f>
        <v>132.230981659852</v>
      </c>
      <c r="P6676" s="5" t="s">
        <v>632</v>
      </c>
      <c r="R6676" s="38" t="n">
        <f aca="false">MIN(Sens!$R$6674,Sens!$R$6651*(tk_cx_h100+tk_fac*(1-colo_sh))/1000)</f>
        <v>1.50429979529945</v>
      </c>
      <c r="S6676" s="38" t="n">
        <f aca="false">Sens!$C$6676</f>
        <v>11.2938642</v>
      </c>
      <c r="T6676" s="38" t="n">
        <f aca="false">Sens!$D$6676</f>
        <v>50.8223889</v>
      </c>
      <c r="U6676" s="38" t="n">
        <f aca="false">Sens!$G$6676</f>
        <v>130.1467091895</v>
      </c>
      <c r="V6676" s="38" t="n">
        <f aca="false">Sens!$H$6676</f>
        <v>198.57136494475</v>
      </c>
      <c r="W6676" s="38" t="n">
        <f aca="false">Sens!$I$6676</f>
        <v>204.6464699105</v>
      </c>
      <c r="X6676" s="38" t="n">
        <f aca="false">Sens!$J$6676</f>
        <v>209.8832381105</v>
      </c>
      <c r="Y6676" s="38" t="n">
        <f aca="false">Sens!$K$6676</f>
        <v>155.238385275201</v>
      </c>
      <c r="Z6676" s="38" t="n">
        <f aca="false">Sens!$L$6676</f>
        <v>132.014141639902</v>
      </c>
      <c r="AA6676" s="38" t="n">
        <f aca="false">Sens!$M$6676</f>
        <v>132.230981659852</v>
      </c>
    </row>
    <row r="6677" customFormat="false" ht="17.15" hidden="false" customHeight="false" outlineLevel="0" collapsed="false">
      <c r="A6677" s="5" t="s">
        <v>633</v>
      </c>
      <c r="B6677" s="0" t="s">
        <v>86</v>
      </c>
      <c r="C6677" s="38" t="n">
        <f aca="false">Sens!$C$6674-Sens!$C$6676</f>
        <v>13.9842411077374</v>
      </c>
      <c r="D6677" s="38" t="n">
        <f aca="false">Sens!$D$6674-Sens!$D$6676</f>
        <v>18.7462427310026</v>
      </c>
      <c r="E6677" s="38" t="n">
        <f aca="false">Sens!$E$6674-Sens!$E$6676</f>
        <v>30.2913414485108</v>
      </c>
      <c r="F6677" s="38" t="n">
        <f aca="false">Sens!$F$6674-Sens!$F$6676</f>
        <v>0</v>
      </c>
      <c r="G6677" s="38" t="n">
        <f aca="false">Sens!$G$6674-Sens!$G$6676</f>
        <v>30.2913414485108</v>
      </c>
      <c r="H6677" s="38" t="n">
        <f aca="false">Sens!$H$6674-Sens!$H$6676</f>
        <v>0</v>
      </c>
      <c r="I6677" s="38" t="n">
        <f aca="false">Sens!$I$6674-Sens!$I$6676</f>
        <v>0</v>
      </c>
      <c r="J6677" s="38" t="n">
        <f aca="false">Sens!$J$6674-Sens!$J$6676</f>
        <v>0</v>
      </c>
      <c r="K6677" s="38" t="n">
        <f aca="false">Sens!$K$6674-Sens!$K$6676</f>
        <v>0</v>
      </c>
      <c r="L6677" s="38" t="n">
        <f aca="false">Sens!$L$6674-Sens!$L$6676</f>
        <v>0</v>
      </c>
      <c r="M6677" s="38" t="n">
        <f aca="false">Sens!$M$6674-Sens!$M$6676</f>
        <v>0</v>
      </c>
    </row>
    <row r="6678" customFormat="false" ht="17.15" hidden="false" customHeight="false" outlineLevel="0" collapsed="false">
      <c r="A6678" s="5" t="s">
        <v>634</v>
      </c>
      <c r="B6678" s="0" t="s">
        <v>86</v>
      </c>
      <c r="C6678" s="38" t="n">
        <f aca="false">Sens!$C$6676*Sens!$C$6673</f>
        <v>8.2530642</v>
      </c>
      <c r="D6678" s="38" t="n">
        <f aca="false">Sens!$D$6676*Sens!$D$6673</f>
        <v>37.1387889</v>
      </c>
      <c r="E6678" s="38" t="n">
        <f aca="false">Sens!$E$6676*Sens!$E$6673</f>
        <v>25.7897792</v>
      </c>
      <c r="F6678" s="38" t="n">
        <f aca="false">Sens!$F$6676*Sens!$F$6673</f>
        <v>73.2248394895</v>
      </c>
      <c r="G6678" s="38" t="n">
        <f aca="false">Sens!$E$6678+Sens!$F$6678</f>
        <v>99.0146186895</v>
      </c>
      <c r="H6678" s="38" t="n">
        <f aca="false">(Sens!$H$6676-Sens!$H$6675)*Sens!$H$6673+Sens!$H$6675</f>
        <v>152.52478394475</v>
      </c>
      <c r="I6678" s="38" t="n">
        <f aca="false">(Sens!$I$6676-Sens!$I$6675)*Sens!$I$6673+Sens!$I$6675</f>
        <v>158.5998889105</v>
      </c>
      <c r="J6678" s="38" t="n">
        <f aca="false">(Sens!$J$6676-Sens!$J$6675)*Sens!$J$6673+Sens!$J$6675</f>
        <v>163.8366571105</v>
      </c>
      <c r="K6678" s="38" t="n">
        <f aca="false">(Sens!$K$6676-Sens!$K$6675)*Sens!$K$6673+Sens!$K$6675</f>
        <v>122.665498273534</v>
      </c>
      <c r="L6678" s="38" t="n">
        <f aca="false">(Sens!$L$6676-Sens!$L$6675)*Sens!$L$6673+Sens!$L$6675</f>
        <v>112.914948636568</v>
      </c>
      <c r="M6678" s="38" t="n">
        <f aca="false">(Sens!$M$6676-Sens!$M$6675)*Sens!$M$6673+Sens!$M$6675</f>
        <v>126.605482654852</v>
      </c>
      <c r="R6678" s="38" t="n">
        <f aca="false">Sens!$R$6676*Sens!$C$6673</f>
        <v>1.09927679019314</v>
      </c>
      <c r="S6678" s="38" t="n">
        <f aca="false">Sens!$C$6678</f>
        <v>8.2530642</v>
      </c>
      <c r="T6678" s="38" t="n">
        <f aca="false">Sens!$D$6678</f>
        <v>37.1387889</v>
      </c>
      <c r="U6678" s="38" t="n">
        <f aca="false">Sens!$G$6678</f>
        <v>99.0146186895</v>
      </c>
      <c r="V6678" s="38" t="n">
        <f aca="false">Sens!$H$6678</f>
        <v>152.52478394475</v>
      </c>
      <c r="W6678" s="38" t="n">
        <f aca="false">Sens!$I$6678</f>
        <v>158.5998889105</v>
      </c>
      <c r="X6678" s="38" t="n">
        <f aca="false">Sens!$J$6678</f>
        <v>163.8366571105</v>
      </c>
      <c r="Y6678" s="38" t="n">
        <f aca="false">Sens!$K$6678</f>
        <v>122.665498273534</v>
      </c>
      <c r="Z6678" s="38" t="n">
        <f aca="false">Sens!$L$6678</f>
        <v>112.914948636568</v>
      </c>
      <c r="AA6678" s="38" t="n">
        <f aca="false">Sens!$M$6678</f>
        <v>126.605482654852</v>
      </c>
    </row>
    <row r="6679" customFormat="false" ht="15" hidden="false" customHeight="false" outlineLevel="0" collapsed="false">
      <c r="A6679" s="5" t="s">
        <v>635</v>
      </c>
      <c r="B6679" s="0" t="s">
        <v>86</v>
      </c>
      <c r="C6679" s="38" t="n">
        <f aca="false">Sens!$C$6676-Sens!$C$6678</f>
        <v>3.0408</v>
      </c>
      <c r="D6679" s="38" t="n">
        <f aca="false">Sens!$D$6676-Sens!$D$6678</f>
        <v>13.6836</v>
      </c>
      <c r="E6679" s="38" t="n">
        <f aca="false">Sens!$E$6676-Sens!$E$6678</f>
        <v>8.1088</v>
      </c>
      <c r="F6679" s="38" t="n">
        <f aca="false">Sens!$F$6676-Sens!$F$6678</f>
        <v>23.0232905</v>
      </c>
      <c r="G6679" s="38" t="n">
        <f aca="false">Sens!$G$6676-Sens!$G$6678</f>
        <v>31.1320905</v>
      </c>
      <c r="H6679" s="38" t="n">
        <f aca="false">Sens!$H$6676-Sens!$H$6678</f>
        <v>46.046581</v>
      </c>
      <c r="I6679" s="38" t="n">
        <f aca="false">Sens!$I$6676-Sens!$I$6678</f>
        <v>46.046581</v>
      </c>
      <c r="J6679" s="38" t="n">
        <f aca="false">Sens!$J$6676-Sens!$J$6678</f>
        <v>46.046581</v>
      </c>
      <c r="K6679" s="38" t="n">
        <f aca="false">Sens!$K$6676-Sens!$K$6678</f>
        <v>32.5728870016667</v>
      </c>
      <c r="L6679" s="38" t="n">
        <f aca="false">Sens!$L$6676-Sens!$L$6678</f>
        <v>19.0991930033334</v>
      </c>
      <c r="M6679" s="38" t="n">
        <f aca="false">Sens!$M$6676-Sens!$M$6678</f>
        <v>5.62549900499998</v>
      </c>
      <c r="R6679" s="38" t="n">
        <f aca="false">Sens!$R$6676-Sens!$R$6678</f>
        <v>0.405023005106309</v>
      </c>
      <c r="S6679" s="38" t="n">
        <f aca="false">Sens!$S$6676-Sens!$S$6678</f>
        <v>3.0408</v>
      </c>
      <c r="T6679" s="38" t="n">
        <f aca="false">Sens!$T$6676-Sens!$T$6678</f>
        <v>13.6836</v>
      </c>
      <c r="U6679" s="38" t="n">
        <f aca="false">Sens!$U$6676-Sens!$U$6678</f>
        <v>31.1320905</v>
      </c>
      <c r="V6679" s="38" t="n">
        <f aca="false">Sens!$V$6676-Sens!$V$6678</f>
        <v>46.046581</v>
      </c>
      <c r="W6679" s="38" t="n">
        <f aca="false">Sens!$W$6676-Sens!$W$6678</f>
        <v>46.046581</v>
      </c>
      <c r="X6679" s="38" t="n">
        <f aca="false">Sens!$X$6676-Sens!$X$6678</f>
        <v>46.046581</v>
      </c>
      <c r="Y6679" s="38" t="n">
        <f aca="false">Sens!$Y$6676-Sens!$Y$6678</f>
        <v>32.5728870016667</v>
      </c>
      <c r="Z6679" s="38" t="n">
        <f aca="false">Sens!$Z$6676-Sens!$Z$6678</f>
        <v>19.0991930033334</v>
      </c>
      <c r="AA6679" s="38" t="n">
        <f aca="false">Sens!$AA$6676-Sens!$AA$6678</f>
        <v>5.62549900499998</v>
      </c>
    </row>
    <row r="6680" customFormat="false" ht="17.15" hidden="false" customHeight="false" outlineLevel="0" collapsed="false">
      <c r="A6680" s="0" t="s">
        <v>636</v>
      </c>
      <c r="B6680" s="0" t="s">
        <v>52</v>
      </c>
      <c r="C6680" s="13" t="n">
        <f aca="false">Sens!$C$6674/Sens!$C$6796</f>
        <v>0.325505489553393</v>
      </c>
      <c r="D6680" s="13" t="n">
        <f aca="false">Sens!$D$6674/Sens!$D$6796</f>
        <v>0.54214956071542</v>
      </c>
      <c r="E6680" s="13" t="n">
        <f aca="false">Sens!$E$6674/Sens!$E$6796</f>
        <v>0.666492790452817</v>
      </c>
      <c r="F6680" s="13" t="n">
        <f aca="false">Sens!$F$6674/Sens!$F$6796</f>
        <v>0.733477910687338</v>
      </c>
      <c r="G6680" s="13" t="n">
        <f aca="false">Sens!$G$6674/Sens!$G$6796</f>
        <v>0.705124321514523</v>
      </c>
      <c r="H6680" s="13" t="n">
        <f aca="false">Sens!$H$6674/Sens!$H$6796</f>
        <v>0.726376041178204</v>
      </c>
      <c r="I6680" s="13" t="n">
        <f aca="false">Sens!$I$6674/Sens!$I$6796</f>
        <v>0.713099092661699</v>
      </c>
      <c r="J6680" s="13" t="n">
        <f aca="false">Sens!$J$6674/Sens!$J$6796</f>
        <v>0.701208348786245</v>
      </c>
      <c r="K6680" s="13" t="n">
        <f aca="false">Sens!$K$6674/Sens!$K$6796</f>
        <v>0.618338844562383</v>
      </c>
      <c r="L6680" s="13" t="n">
        <f aca="false">Sens!$L$6674/Sens!$L$6796</f>
        <v>0.562489158462506</v>
      </c>
      <c r="M6680" s="13" t="n">
        <f aca="false">Sens!$M$6674/Sens!$M$6796</f>
        <v>0.545751190895923</v>
      </c>
    </row>
    <row r="6681" customFormat="false" ht="17.15" hidden="false" customHeight="false" outlineLevel="0" collapsed="false">
      <c r="A6681" s="0" t="s">
        <v>637</v>
      </c>
      <c r="B6681" s="0" t="s">
        <v>86</v>
      </c>
      <c r="C6681" s="38" t="n">
        <f aca="false">Sens!$S$6681</f>
        <v>0.183212798365523</v>
      </c>
      <c r="D6681" s="38" t="n">
        <f aca="false">Sens!$T$6681</f>
        <v>1.55872349836552</v>
      </c>
      <c r="E6681" s="38" t="n">
        <f aca="false">Sens!$G$6681/2</f>
        <v>3.87426082418276</v>
      </c>
      <c r="F6681" s="38" t="n">
        <f aca="false">Sens!$G$6681/2</f>
        <v>3.87426082418276</v>
      </c>
      <c r="G6681" s="38" t="n">
        <f aca="false">Sens!$U$6681</f>
        <v>7.74852164836552</v>
      </c>
      <c r="H6681" s="38" t="n">
        <f aca="false">Sens!$V$6681</f>
        <v>24.2509580966155</v>
      </c>
      <c r="I6681" s="38" t="n">
        <f aca="false">Sens!$W$6681</f>
        <v>49.6717554207405</v>
      </c>
      <c r="J6681" s="38" t="n">
        <f aca="false">Sens!$X$6681</f>
        <v>76.1050702391572</v>
      </c>
      <c r="K6681" s="38" t="n">
        <f aca="false">Sens!$Y$6681</f>
        <v>103.227966959208</v>
      </c>
      <c r="L6681" s="38" t="n">
        <f aca="false">Sens!$Z$6681</f>
        <v>122.296705971464</v>
      </c>
      <c r="M6681" s="38" t="n">
        <f aca="false">Sens!$AA$6681</f>
        <v>134.926065927559</v>
      </c>
      <c r="N6681" s="38" t="n">
        <f aca="false">Sens!$D$6681/2</f>
        <v>0.779361749182762</v>
      </c>
      <c r="O6681" s="38" t="n">
        <f aca="false">Sens!$D$6681/2</f>
        <v>0.779361749182762</v>
      </c>
      <c r="R6681" s="38" t="n">
        <f aca="false">SUMPRODUCT(--(Sens!$R$6644:$AA$6644&lt;Sens!R$6644),--(Sens!$R$6644:$AA$6644&gt;=Sens!R$6644-tk_life),Sens!$R$6678:$AA$6678)/tk_life</f>
        <v>0</v>
      </c>
      <c r="S6681" s="38" t="n">
        <f aca="false">SUMPRODUCT(--(Sens!$R$6644:$AA$6644&lt;Sens!S$6644),--(Sens!$R$6644:$AA$6644&gt;=Sens!S$6644-tk_life),Sens!$R$6678:$AA$6678)/tk_life</f>
        <v>0.183212798365523</v>
      </c>
      <c r="T6681" s="38" t="n">
        <f aca="false">SUMPRODUCT(--(Sens!$R$6644:$AA$6644&lt;Sens!T$6644),--(Sens!$R$6644:$AA$6644&gt;=Sens!T$6644-tk_life),Sens!$R$6678:$AA$6678)/tk_life</f>
        <v>1.55872349836552</v>
      </c>
      <c r="U6681" s="38" t="n">
        <f aca="false">SUMPRODUCT(--(Sens!$R$6644:$AA$6644&lt;Sens!U$6644),--(Sens!$R$6644:$AA$6644&gt;=Sens!U$6644-tk_life),Sens!$R$6678:$AA$6678)/tk_life</f>
        <v>7.74852164836552</v>
      </c>
      <c r="V6681" s="38" t="n">
        <f aca="false">SUMPRODUCT(--(Sens!$R$6644:$AA$6644&lt;Sens!V$6644),--(Sens!$R$6644:$AA$6644&gt;=Sens!V$6644-tk_life),Sens!$R$6678:$AA$6678)/tk_life</f>
        <v>24.2509580966155</v>
      </c>
      <c r="W6681" s="38" t="n">
        <f aca="false">SUMPRODUCT(--(Sens!$R$6644:$AA$6644&lt;Sens!W$6644),--(Sens!$R$6644:$AA$6644&gt;=Sens!W$6644-tk_life),Sens!$R$6678:$AA$6678)/tk_life</f>
        <v>49.6717554207405</v>
      </c>
      <c r="X6681" s="38" t="n">
        <f aca="false">SUMPRODUCT(--(Sens!$R$6644:$AA$6644&lt;Sens!X$6644),--(Sens!$R$6644:$AA$6644&gt;=Sens!X$6644-tk_life),Sens!$R$6678:$AA$6678)/tk_life</f>
        <v>76.1050702391572</v>
      </c>
      <c r="Y6681" s="38" t="n">
        <f aca="false">SUMPRODUCT(--(Sens!$R$6644:$AA$6644&lt;Sens!Y$6644),--(Sens!$R$6644:$AA$6644&gt;=Sens!Y$6644-tk_life),Sens!$R$6678:$AA$6678)/tk_life</f>
        <v>103.227966959208</v>
      </c>
      <c r="Z6681" s="38" t="n">
        <f aca="false">SUMPRODUCT(--(Sens!$R$6644:$AA$6644&lt;Sens!Z$6644),--(Sens!$R$6644:$AA$6644&gt;=Sens!Z$6644-tk_life),Sens!$R$6678:$AA$6678)/tk_life</f>
        <v>122.296705971464</v>
      </c>
      <c r="AA6681" s="38" t="n">
        <f aca="false">SUMPRODUCT(--(Sens!$R$6644:$AA$6644&lt;Sens!AA$6644),--(Sens!$R$6644:$AA$6644&gt;=Sens!AA$6644-tk_life),Sens!$R$6678:$AA$6678)/tk_life</f>
        <v>134.926065927559</v>
      </c>
    </row>
    <row r="6682" customFormat="false" ht="17.15" hidden="false" customHeight="false" outlineLevel="0" collapsed="false">
      <c r="A6682" s="0" t="s">
        <v>638</v>
      </c>
      <c r="B6682" s="0" t="s">
        <v>86</v>
      </c>
      <c r="C6682" s="38" t="n">
        <f aca="false">Sens!$S$6682</f>
        <v>0.0202511502553155</v>
      </c>
      <c r="D6682" s="38" t="n">
        <f aca="false">Sens!$T$6682</f>
        <v>0.172291150255315</v>
      </c>
      <c r="E6682" s="38" t="n">
        <f aca="false">Sens!$G$6682/2</f>
        <v>0.428235575127658</v>
      </c>
      <c r="F6682" s="38" t="n">
        <f aca="false">Sens!$G$6682/2</f>
        <v>0.428235575127658</v>
      </c>
      <c r="G6682" s="38" t="n">
        <f aca="false">Sens!$U$6682</f>
        <v>0.856471150255315</v>
      </c>
      <c r="H6682" s="38" t="n">
        <f aca="false">Sens!$V$6682</f>
        <v>2.41307567525532</v>
      </c>
      <c r="I6682" s="38" t="n">
        <f aca="false">Sens!$W$6682</f>
        <v>4.71540472525532</v>
      </c>
      <c r="J6682" s="38" t="n">
        <f aca="false">Sens!$X$6682</f>
        <v>7.01773377525532</v>
      </c>
      <c r="K6682" s="38" t="n">
        <f aca="false">Sens!$Y$6682</f>
        <v>9.32006282525532</v>
      </c>
      <c r="L6682" s="38" t="n">
        <f aca="false">Sens!$Z$6682</f>
        <v>10.9487071753387</v>
      </c>
      <c r="M6682" s="38" t="n">
        <f aca="false">Sens!$AA$6682</f>
        <v>11.9036668255053</v>
      </c>
      <c r="N6682" s="38" t="n">
        <f aca="false">Sens!$D$6682/2</f>
        <v>0.0861455751276577</v>
      </c>
      <c r="O6682" s="38" t="n">
        <f aca="false">Sens!$D$6682/2</f>
        <v>0.0861455751276577</v>
      </c>
      <c r="R6682" s="38" t="n">
        <f aca="false">SUMPRODUCT(--(Sens!$R$6644:$AA$6644&lt;Sens!R$6644),Sens!$R$6679:$AA$6679)/fac_life</f>
        <v>0</v>
      </c>
      <c r="S6682" s="38" t="n">
        <f aca="false">SUMPRODUCT(--(Sens!$R$6644:$AA$6644&lt;Sens!S$6644),Sens!$R$6679:$AA$6679)/fac_life</f>
        <v>0.0202511502553155</v>
      </c>
      <c r="T6682" s="38" t="n">
        <f aca="false">SUMPRODUCT(--(Sens!$R$6644:$AA$6644&lt;Sens!T$6644),Sens!$R$6679:$AA$6679)/fac_life</f>
        <v>0.172291150255315</v>
      </c>
      <c r="U6682" s="38" t="n">
        <f aca="false">SUMPRODUCT(--(Sens!$R$6644:$AA$6644&lt;Sens!U$6644),Sens!$R$6679:$AA$6679)/fac_life</f>
        <v>0.856471150255315</v>
      </c>
      <c r="V6682" s="38" t="n">
        <f aca="false">SUMPRODUCT(--(Sens!$R$6644:$AA$6644&lt;Sens!V$6644),Sens!$R$6679:$AA$6679)/fac_life</f>
        <v>2.41307567525532</v>
      </c>
      <c r="W6682" s="38" t="n">
        <f aca="false">SUMPRODUCT(--(Sens!$R$6644:$AA$6644&lt;Sens!W$6644),Sens!$R$6679:$AA$6679)/fac_life</f>
        <v>4.71540472525532</v>
      </c>
      <c r="X6682" s="38" t="n">
        <f aca="false">SUMPRODUCT(--(Sens!$R$6644:$AA$6644&lt;Sens!X$6644),Sens!$R$6679:$AA$6679)/fac_life</f>
        <v>7.01773377525532</v>
      </c>
      <c r="Y6682" s="38" t="n">
        <f aca="false">SUMPRODUCT(--(Sens!$R$6644:$AA$6644&lt;Sens!Y$6644),Sens!$R$6679:$AA$6679)/fac_life</f>
        <v>9.32006282525532</v>
      </c>
      <c r="Z6682" s="38" t="n">
        <f aca="false">SUMPRODUCT(--(Sens!$R$6644:$AA$6644&lt;Sens!Z$6644),Sens!$R$6679:$AA$6679)/fac_life</f>
        <v>10.9487071753387</v>
      </c>
      <c r="AA6682" s="38" t="n">
        <f aca="false">SUMPRODUCT(--(Sens!$R$6644:$AA$6644&lt;Sens!AA$6644),Sens!$R$6679:$AA$6679)/fac_life</f>
        <v>11.9036668255053</v>
      </c>
    </row>
    <row r="6683" customFormat="false" ht="17.15" hidden="false" customHeight="false" outlineLevel="0" collapsed="false">
      <c r="A6683" s="1" t="s">
        <v>639</v>
      </c>
      <c r="B6683" s="8" t="s">
        <v>86</v>
      </c>
      <c r="C6683" s="38" t="n">
        <f aca="false">Sens!$C$6681+Sens!$C$6682</f>
        <v>0.203463948620839</v>
      </c>
      <c r="D6683" s="38" t="n">
        <f aca="false">Sens!$D$6681+Sens!$D$6682</f>
        <v>1.73101464862084</v>
      </c>
      <c r="E6683" s="38" t="n">
        <f aca="false">Sens!$E$6681+Sens!$E$6682</f>
        <v>4.30249639931042</v>
      </c>
      <c r="F6683" s="38" t="n">
        <f aca="false">Sens!$F$6681+Sens!$F$6682</f>
        <v>4.30249639931042</v>
      </c>
      <c r="G6683" s="38" t="n">
        <f aca="false">Sens!$G$6681+Sens!$G$6682</f>
        <v>8.60499279862084</v>
      </c>
      <c r="H6683" s="38" t="n">
        <f aca="false">Sens!$H$6681+Sens!$H$6682</f>
        <v>26.6640337718708</v>
      </c>
      <c r="I6683" s="38" t="n">
        <f aca="false">Sens!$I$6681+Sens!$I$6682</f>
        <v>54.3871601459959</v>
      </c>
      <c r="J6683" s="38" t="n">
        <f aca="false">Sens!$J$6681+Sens!$J$6682</f>
        <v>83.1228040144125</v>
      </c>
      <c r="K6683" s="38" t="n">
        <f aca="false">Sens!$K$6681+Sens!$K$6682</f>
        <v>112.548029784464</v>
      </c>
      <c r="L6683" s="38" t="n">
        <f aca="false">Sens!$L$6681+Sens!$L$6682</f>
        <v>133.245413146803</v>
      </c>
      <c r="M6683" s="38" t="n">
        <f aca="false">Sens!$M$6681+Sens!$M$6682</f>
        <v>146.829732753064</v>
      </c>
      <c r="N6683" s="38" t="n">
        <f aca="false">Sens!$N$6681+Sens!$N$6682</f>
        <v>0.865507324310419</v>
      </c>
      <c r="O6683" s="38" t="n">
        <f aca="false">Sens!$O$6681+Sens!$O$6682</f>
        <v>0.865507324310419</v>
      </c>
      <c r="R6683" s="38" t="n">
        <f aca="false">Sens!$R$6681+Sens!$R$6682</f>
        <v>0</v>
      </c>
      <c r="S6683" s="38" t="n">
        <f aca="false">Sens!$S$6681+Sens!$S$6682</f>
        <v>0.203463948620839</v>
      </c>
      <c r="T6683" s="38" t="n">
        <f aca="false">Sens!$T$6681+Sens!$T$6682</f>
        <v>1.73101464862084</v>
      </c>
      <c r="U6683" s="38" t="n">
        <f aca="false">Sens!$U$6681+Sens!$U$6682</f>
        <v>8.60499279862084</v>
      </c>
      <c r="V6683" s="38" t="n">
        <f aca="false">Sens!$V$6681+Sens!$V$6682</f>
        <v>26.6640337718708</v>
      </c>
      <c r="W6683" s="38" t="n">
        <f aca="false">Sens!$W$6681+Sens!$W$6682</f>
        <v>54.3871601459959</v>
      </c>
      <c r="X6683" s="38" t="n">
        <f aca="false">Sens!$X$6681+Sens!$X$6682</f>
        <v>83.1228040144125</v>
      </c>
      <c r="Y6683" s="38" t="n">
        <f aca="false">Sens!$Y$6681+Sens!$Y$6682</f>
        <v>112.548029784464</v>
      </c>
      <c r="Z6683" s="38" t="n">
        <f aca="false">Sens!$Z$6681+Sens!$Z$6682</f>
        <v>133.245413146803</v>
      </c>
      <c r="AA6683" s="38" t="n">
        <f aca="false">Sens!$AA$6681+Sens!$AA$6682</f>
        <v>146.829732753064</v>
      </c>
    </row>
    <row r="6684" customFormat="false" ht="17.15" hidden="false" customHeight="false" outlineLevel="0" collapsed="false">
      <c r="A6684" s="0" t="s">
        <v>640</v>
      </c>
      <c r="B6684" s="0" t="s">
        <v>86</v>
      </c>
      <c r="C6684" s="38" t="n">
        <f aca="false">Sens!$S$6684</f>
        <v>12.5947000466786</v>
      </c>
      <c r="D6684" s="38" t="n">
        <f aca="false">Sens!$T$6684</f>
        <v>61.6860742980578</v>
      </c>
      <c r="G6684" s="38" t="n">
        <f aca="false">Sens!$U$6684</f>
        <v>183.227790688937</v>
      </c>
      <c r="H6684" s="38" t="n">
        <f aca="false">Sens!$V$6684</f>
        <v>355.135121861816</v>
      </c>
      <c r="I6684" s="38" t="n">
        <f aca="false">Sens!$W$6684</f>
        <v>505.39443162632</v>
      </c>
      <c r="J6684" s="38" t="n">
        <f aca="false">Sens!$X$6684</f>
        <v>632.154865722408</v>
      </c>
      <c r="K6684" s="38" t="n">
        <f aca="false">Sens!$Y$6684</f>
        <v>674.845221213145</v>
      </c>
      <c r="L6684" s="38" t="n">
        <f aca="false">Sens!$Z$6684</f>
        <v>673.613949706244</v>
      </c>
      <c r="M6684" s="38" t="n">
        <f aca="false">Sens!$AA$6684</f>
        <v>659.015198613032</v>
      </c>
      <c r="R6684" s="38" t="n">
        <f aca="false">SUM(Sens!$R$6676:$R$6676)-SUM(Sens!$R$6683:$R$6683)</f>
        <v>1.50429979529945</v>
      </c>
      <c r="S6684" s="38" t="n">
        <f aca="false">SUM(Sens!$R$6676:$S$6676)-SUM(Sens!$R$6683:$S$6683)</f>
        <v>12.5947000466786</v>
      </c>
      <c r="T6684" s="38" t="n">
        <f aca="false">SUM(Sens!$R$6676:$T$6676)-SUM(Sens!$R$6683:$T$6683)</f>
        <v>61.6860742980578</v>
      </c>
      <c r="U6684" s="38" t="n">
        <f aca="false">SUM(Sens!$R$6676:$U$6676)-SUM(Sens!$R$6683:$U$6683)</f>
        <v>183.227790688937</v>
      </c>
      <c r="V6684" s="38" t="n">
        <f aca="false">SUM(Sens!$R$6676:$V$6676)-SUM(Sens!$R$6683:$V$6683)</f>
        <v>355.135121861816</v>
      </c>
      <c r="W6684" s="38" t="n">
        <f aca="false">SUM(Sens!$R$6676:$W$6676)-SUM(Sens!$R$6683:$W$6683)</f>
        <v>505.39443162632</v>
      </c>
      <c r="X6684" s="38" t="n">
        <f aca="false">SUM(Sens!$R$6676:$X$6676)-SUM(Sens!$R$6683:$X$6683)</f>
        <v>632.154865722408</v>
      </c>
      <c r="Y6684" s="38" t="n">
        <f aca="false">SUM(Sens!$R$6676:$Y$6676)-SUM(Sens!$R$6683:$Y$6683)</f>
        <v>674.845221213145</v>
      </c>
      <c r="Z6684" s="38" t="n">
        <f aca="false">SUM(Sens!$R$6676:$Z$6676)-SUM(Sens!$R$6683:$Z$6683)</f>
        <v>673.613949706244</v>
      </c>
      <c r="AA6684" s="38" t="n">
        <f aca="false">SUM(Sens!$R$6676:$AA$6676)-SUM(Sens!$R$6683:$AA$6683)</f>
        <v>659.015198613032</v>
      </c>
    </row>
    <row r="6685" customFormat="false" ht="17.15" hidden="false" customHeight="false" outlineLevel="0" collapsed="false">
      <c r="A6685" s="1" t="s">
        <v>641</v>
      </c>
    </row>
    <row r="6686" customFormat="false" ht="17.15" hidden="false" customHeight="false" outlineLevel="0" collapsed="false">
      <c r="A6686" s="0" t="s">
        <v>642</v>
      </c>
      <c r="B6686" s="0" t="s">
        <v>86</v>
      </c>
      <c r="C6686" s="38" t="n">
        <f aca="false">Sens!$C$6665-ext_sh*Sens!$C$6667</f>
        <v>1.80694998843362</v>
      </c>
      <c r="D6686" s="38" t="n">
        <f aca="false">Sens!$D$6665-ext_sh*Sens!$D$6667</f>
        <v>6.77606245662607</v>
      </c>
      <c r="E6686" s="38" t="n">
        <f aca="false">Sens!$E$6665-ext_sh*Sens!$E$6667</f>
        <v>6.62548329092326</v>
      </c>
      <c r="F6686" s="38" t="n">
        <f aca="false">Sens!$F$6665-ext_sh*Sens!$F$6667</f>
        <v>11.7200577158706</v>
      </c>
      <c r="G6686" s="38" t="n">
        <f aca="false">Sens!$G$6665-ext_sh*Sens!$G$6667</f>
        <v>18.3455410067939</v>
      </c>
      <c r="H6686" s="38" t="n">
        <f aca="false">Sens!$H$6665-ext_sh*Sens!$H$6667</f>
        <v>47.5171727060453</v>
      </c>
      <c r="I6686" s="38" t="n">
        <f aca="false">Sens!$I$6665-ext_sh*Sens!$I$6667</f>
        <v>80.5539692643667</v>
      </c>
      <c r="J6686" s="38" t="n">
        <f aca="false">Sens!$J$6665-ext_sh*Sens!$J$6667</f>
        <v>113.759316834883</v>
      </c>
      <c r="K6686" s="38" t="n">
        <f aca="false">Sens!$K$6665-ext_sh*Sens!$K$6667</f>
        <v>142.084411492169</v>
      </c>
      <c r="L6686" s="38" t="n">
        <f aca="false">Sens!$L$6665-ext_sh*Sens!$L$6667</f>
        <v>160.69964615804</v>
      </c>
      <c r="M6686" s="38" t="n">
        <f aca="false">Sens!$M$6665-ext_sh*Sens!$M$6667</f>
        <v>169.577607141793</v>
      </c>
      <c r="N6686" s="38" t="n">
        <f aca="false">Sens!$N$6665-ext_sh*Sens!$N$6667</f>
        <v>2.37162185981912</v>
      </c>
      <c r="O6686" s="38" t="n">
        <f aca="false">Sens!$O$6665-ext_sh*Sens!$O$6667</f>
        <v>4.40444059680694</v>
      </c>
    </row>
    <row r="6687" customFormat="false" ht="17.15" hidden="false" customHeight="false" outlineLevel="0" collapsed="false">
      <c r="A6687" s="1" t="s">
        <v>643</v>
      </c>
      <c r="B6687" s="8" t="s">
        <v>86</v>
      </c>
      <c r="C6687" s="38" t="n">
        <f aca="false">Sens!$C$6686-ext_sh*Sens!$C$6683</f>
        <v>1.64417882953695</v>
      </c>
      <c r="D6687" s="38" t="n">
        <f aca="false">Sens!$D$6686-ext_sh*Sens!$D$6683</f>
        <v>5.39125073772939</v>
      </c>
      <c r="E6687" s="38" t="n">
        <f aca="false">Sens!$E$6686-ext_sh*Sens!$E$6683</f>
        <v>3.18348617147493</v>
      </c>
      <c r="F6687" s="38" t="n">
        <f aca="false">Sens!$F$6686-ext_sh*Sens!$F$6683</f>
        <v>8.27806059642226</v>
      </c>
      <c r="G6687" s="38" t="n">
        <f aca="false">Sens!$G$6686-ext_sh*Sens!$G$6683</f>
        <v>11.4615467678972</v>
      </c>
      <c r="H6687" s="38" t="n">
        <f aca="false">Sens!$H$6686-ext_sh*Sens!$H$6683</f>
        <v>26.1859456885487</v>
      </c>
      <c r="I6687" s="38" t="n">
        <f aca="false">Sens!$I$6686-ext_sh*Sens!$I$6683</f>
        <v>37.04424114757</v>
      </c>
      <c r="J6687" s="38" t="n">
        <f aca="false">Sens!$J$6686-ext_sh*Sens!$J$6683</f>
        <v>47.2610736233534</v>
      </c>
      <c r="K6687" s="38" t="n">
        <f aca="false">Sens!$K$6686-ext_sh*Sens!$K$6683</f>
        <v>52.0459876645985</v>
      </c>
      <c r="L6687" s="38" t="n">
        <f aca="false">Sens!$L$6686-ext_sh*Sens!$L$6683</f>
        <v>54.1033156405981</v>
      </c>
      <c r="M6687" s="38" t="n">
        <f aca="false">Sens!$M$6686-ext_sh*Sens!$M$6683</f>
        <v>52.1138209393421</v>
      </c>
      <c r="N6687" s="38" t="n">
        <f aca="false">Sens!$N$6686-ext_sh*Sens!$N$6683</f>
        <v>1.67921600037079</v>
      </c>
      <c r="O6687" s="38" t="n">
        <f aca="false">Sens!$O$6686-ext_sh*Sens!$O$6683</f>
        <v>3.71203473735861</v>
      </c>
    </row>
    <row r="6688" customFormat="false" ht="17.15" hidden="false" customHeight="false" outlineLevel="0" collapsed="false">
      <c r="A6688" s="0" t="s">
        <v>644</v>
      </c>
      <c r="B6688" s="0" t="s">
        <v>52</v>
      </c>
      <c r="C6688" s="13" t="n">
        <f aca="false">Sens!$C$6687/Sens!$C$6665</f>
        <v>0.708390794789371</v>
      </c>
      <c r="D6688" s="13" t="n">
        <f aca="false">Sens!$D$6687/Sens!$D$6665</f>
        <v>0.619415573115729</v>
      </c>
      <c r="E6688" s="13" t="n">
        <f aca="false">Sens!$E$6687/Sens!$E$6665</f>
        <v>0.374072166056273</v>
      </c>
      <c r="F6688" s="13" t="n">
        <f aca="false">Sens!$F$6687/Sens!$F$6665</f>
        <v>0.553219320710057</v>
      </c>
      <c r="G6688" s="13" t="n">
        <f aca="false">Sens!$G$6687/Sens!$G$6665</f>
        <v>0.488270041527512</v>
      </c>
      <c r="H6688" s="13" t="n">
        <f aca="false">Sens!$H$6687/Sens!$H$6665</f>
        <v>0.435229086816882</v>
      </c>
      <c r="I6688" s="13" t="n">
        <f aca="false">Sens!$I$6687/Sens!$I$6665</f>
        <v>0.364954592421095</v>
      </c>
      <c r="J6688" s="13" t="n">
        <f aca="false">Sens!$J$6687/Sens!$J$6665</f>
        <v>0.330438308582232</v>
      </c>
      <c r="K6688" s="13" t="n">
        <f aca="false">Sens!$K$6687/Sens!$K$6665</f>
        <v>0.2916589289528</v>
      </c>
      <c r="L6688" s="13" t="n">
        <f aca="false">Sens!$L$6687/Sens!$L$6665</f>
        <v>0.268199200593258</v>
      </c>
      <c r="M6688" s="13" t="n">
        <f aca="false">Sens!$M$6687/Sens!$M$6665</f>
        <v>0.244854995033574</v>
      </c>
      <c r="N6688" s="13" t="n">
        <f aca="false">Sens!$N$6687/Sens!$N$6665</f>
        <v>0.551227795793364</v>
      </c>
      <c r="O6688" s="13" t="n">
        <f aca="false">Sens!$O$6687/Sens!$O$6665</f>
        <v>0.656132068597002</v>
      </c>
    </row>
    <row r="6689" customFormat="false" ht="17.15" hidden="false" customHeight="false" outlineLevel="0" collapsed="false">
      <c r="A6689" s="5" t="s">
        <v>645</v>
      </c>
      <c r="B6689" s="0" t="s">
        <v>86</v>
      </c>
      <c r="C6689" s="39" t="n">
        <v>0</v>
      </c>
      <c r="D6689" s="39" t="n">
        <v>0</v>
      </c>
      <c r="E6689" s="39" t="n">
        <v>0</v>
      </c>
      <c r="F6689" s="38" t="n">
        <f aca="false">IF(internal_ai_reading=2,1,0)*(1-ext_sh)/ext_sh*(mw_open*he_open+Sens!$F$6663*Sens!$F$6660)*Sens!$F$6649/1000</f>
        <v>3.77122048175818</v>
      </c>
      <c r="G6689" s="38" t="n">
        <f aca="false">Sens!$E$6689+Sens!$F$6689</f>
        <v>3.77122048175818</v>
      </c>
      <c r="H6689" s="38" t="n">
        <f aca="false">IF(internal_ai_reading=2,1,0)*(1-ext_sh)/ext_sh*(mw_open*he_open+Sens!$H$6663*Sens!$H$6660)*Sens!$H$6649/1000</f>
        <v>15.1635543609893</v>
      </c>
      <c r="I6689" s="38" t="n">
        <f aca="false">IF(internal_ai_reading=2,1,0)*(1-ext_sh)/ext_sh*(mw_open*he_open+Sens!$I$6663*Sens!$I$6660)*Sens!$I$6649/1000</f>
        <v>25.5818843619889</v>
      </c>
      <c r="J6689" s="38" t="n">
        <f aca="false">IF(internal_ai_reading=2,1,0)*(1-ext_sh)/ext_sh*(mw_open*he_open+Sens!$J$6663*Sens!$J$6660)*Sens!$J$6649/1000</f>
        <v>36.0465624179122</v>
      </c>
      <c r="K6689" s="38" t="n">
        <f aca="false">IF(internal_ai_reading=2,1,0)*(1-ext_sh)/ext_sh*(mw_open*he_open+Sens!$K$6663*Sens!$K$6660)*Sens!$K$6649/1000</f>
        <v>44.9741164026038</v>
      </c>
      <c r="L6689" s="38" t="n">
        <f aca="false">IF(internal_ai_reading=2,1,0)*(1-ext_sh)/ext_sh*(mw_open*he_open+Sens!$L$6663*Sens!$L$6660)*Sens!$L$6649/1000</f>
        <v>50.8413488057813</v>
      </c>
      <c r="M6689" s="38" t="n">
        <f aca="false">IF(internal_ai_reading=2,1,0)*(1-ext_sh)/ext_sh*(mw_open*he_open+Sens!$M$6663*Sens!$M$6660)*Sens!$M$6649/1000</f>
        <v>53.6407214274315</v>
      </c>
      <c r="N6689" s="39" t="n">
        <v>0</v>
      </c>
      <c r="O6689" s="39" t="n">
        <v>0</v>
      </c>
      <c r="P6689" s="8" t="s">
        <v>646</v>
      </c>
    </row>
    <row r="6690" customFormat="false" ht="17.15" hidden="false" customHeight="false" outlineLevel="0" collapsed="false">
      <c r="A6690" s="5" t="s">
        <v>647</v>
      </c>
      <c r="B6690" s="0" t="s">
        <v>86</v>
      </c>
      <c r="C6690" s="38" t="n">
        <f aca="false">(1-ext_sh)*(Sens!$C$6667+Sens!$C$6683)</f>
        <v>0.169206631859174</v>
      </c>
      <c r="D6690" s="38" t="n">
        <f aca="false">(1-ext_sh)*(Sens!$D$6667+Sens!$D$6683)</f>
        <v>0.828129837730442</v>
      </c>
      <c r="E6690" s="38" t="n">
        <f aca="false">(1-ext_sh)*(Sens!$E$6667+Sens!$E$6683)</f>
        <v>1.33171670102377</v>
      </c>
      <c r="F6690" s="38" t="n">
        <f aca="false">(1-ext_sh)*(Sens!$F$6667+Sens!$F$6683)</f>
        <v>1.67134326207455</v>
      </c>
      <c r="G6690" s="38" t="n">
        <f aca="false">(1-ext_sh)*(Sens!$G$6667+Sens!$G$6683)</f>
        <v>3.00305996309832</v>
      </c>
      <c r="H6690" s="38" t="n">
        <f aca="false">(1-ext_sh)*(Sens!$H$6667+Sens!$H$6683)</f>
        <v>8.49498626530648</v>
      </c>
      <c r="I6690" s="38" t="n">
        <f aca="false">(1-ext_sh)*(Sens!$I$6667+Sens!$I$6683)</f>
        <v>16.1148644972155</v>
      </c>
      <c r="J6690" s="38" t="n">
        <f aca="false">(1-ext_sh)*(Sens!$J$6667+Sens!$J$6683)</f>
        <v>23.9410833819812</v>
      </c>
      <c r="K6690" s="38" t="n">
        <f aca="false">(1-ext_sh)*(Sens!$K$6667+Sens!$K$6683)</f>
        <v>31.6005331796453</v>
      </c>
      <c r="L6690" s="38" t="n">
        <f aca="false">(1-ext_sh)*(Sens!$L$6667+Sens!$L$6683)</f>
        <v>36.9061965404496</v>
      </c>
      <c r="M6690" s="38" t="n">
        <f aca="false">(1-ext_sh)*(Sens!$M$6667+Sens!$M$6683)</f>
        <v>40.1804051073808</v>
      </c>
      <c r="N6690" s="38" t="n">
        <f aca="false">(1-ext_sh)*(Sens!$N$6667+Sens!$N$6683)</f>
        <v>0.34177588266428</v>
      </c>
      <c r="O6690" s="38" t="n">
        <f aca="false">(1-ext_sh)*(Sens!$O$6667+Sens!$O$6683)</f>
        <v>0.486353955066162</v>
      </c>
    </row>
    <row r="6691" customFormat="false" ht="17.15" hidden="false" customHeight="false" outlineLevel="0" collapsed="false">
      <c r="A6691" s="0" t="s">
        <v>648</v>
      </c>
      <c r="B6691" s="0" t="s">
        <v>86</v>
      </c>
      <c r="C6691" s="38" t="n">
        <f aca="false">Q!$D$24</f>
        <v>39.834</v>
      </c>
      <c r="D6691" s="38" t="n">
        <f aca="false">Q!$E$24</f>
        <v>45.606</v>
      </c>
      <c r="E6691" s="38" t="n">
        <f aca="false">Q!$P$24</f>
        <v>30.782</v>
      </c>
      <c r="N6691" s="38" t="n">
        <f aca="false">Q!$N$24</f>
        <v>21.707</v>
      </c>
      <c r="O6691" s="38" t="n">
        <f aca="false">Q!$O$24</f>
        <v>23.899</v>
      </c>
    </row>
    <row r="6692" customFormat="false" ht="17.15" hidden="false" customHeight="false" outlineLevel="0" collapsed="false">
      <c r="A6692" s="0" t="s">
        <v>649</v>
      </c>
      <c r="B6692" s="0" t="s">
        <v>86</v>
      </c>
      <c r="C6692" s="38" t="n">
        <f aca="false">Sens!$C$6691-Sens!$C$6687</f>
        <v>38.1898211704631</v>
      </c>
      <c r="D6692" s="38" t="n">
        <f aca="false">Sens!$D$6691-Sens!$D$6687</f>
        <v>40.2147492622706</v>
      </c>
      <c r="E6692" s="38" t="n">
        <f aca="false">Sens!$E$6691-Sens!$E$6687</f>
        <v>27.5985138285251</v>
      </c>
      <c r="F6692" s="38" t="n">
        <f aca="false">Sens!$F$6669*Sens!$F$6693</f>
        <v>25.5484769754606</v>
      </c>
      <c r="G6692" s="38" t="n">
        <f aca="false">Sens!$E$6692+Sens!$F$6692</f>
        <v>53.1469908039857</v>
      </c>
      <c r="H6692" s="38" t="n">
        <f aca="false">Sens!$H$6669*Sens!$H$6693</f>
        <v>57.3189525076539</v>
      </c>
      <c r="I6692" s="38" t="n">
        <f aca="false">Sens!$I$6669*Sens!$I$6693</f>
        <v>63.6385627021087</v>
      </c>
      <c r="J6692" s="38" t="n">
        <f aca="false">Sens!$J$6669*Sens!$J$6693</f>
        <v>69.6922896066105</v>
      </c>
      <c r="K6692" s="38" t="n">
        <f aca="false">Sens!$K$6669*Sens!$K$6693</f>
        <v>75.2676727751394</v>
      </c>
      <c r="L6692" s="38" t="n">
        <f aca="false">Sens!$L$6669*Sens!$L$6693</f>
        <v>81.2890865971505</v>
      </c>
      <c r="M6692" s="38" t="n">
        <f aca="false">Sens!$M$6669*Sens!$M$6693</f>
        <v>87.7922135249226</v>
      </c>
      <c r="N6692" s="38" t="n">
        <f aca="false">Sens!$N$6691-Sens!$N$6687</f>
        <v>20.0277839996292</v>
      </c>
      <c r="O6692" s="38" t="n">
        <f aca="false">Sens!$O$6691-Sens!$O$6687</f>
        <v>20.1869652626414</v>
      </c>
      <c r="P6692" s="5" t="s">
        <v>650</v>
      </c>
    </row>
    <row r="6693" customFormat="false" ht="17.15" hidden="false" customHeight="false" outlineLevel="0" collapsed="false">
      <c r="A6693" s="0" t="s">
        <v>651</v>
      </c>
      <c r="B6693" s="0" t="s">
        <v>52</v>
      </c>
      <c r="C6693" s="13" t="n">
        <f aca="false">Sens!$C$6692/Sens!$C$6669</f>
        <v>0.362900395443635</v>
      </c>
      <c r="D6693" s="13" t="n">
        <f aca="false">Sens!$D$6692/Sens!$D$6669</f>
        <v>0.335063632425483</v>
      </c>
      <c r="E6693" s="13" t="n">
        <f aca="false">Sens!$E$6692/Sens!$E$6669</f>
        <v>0.387028992698038</v>
      </c>
      <c r="F6693" s="13" t="n">
        <f aca="false">(Sens!$O$6692+Sens!$E$6692)/(Sens!$O$6669+Sens!$E$6669)</f>
        <v>0.355980580118587</v>
      </c>
      <c r="G6693" s="13" t="n">
        <f aca="false">Sens!$G$6692/Sens!$G$6669</f>
        <v>0.371454804780916</v>
      </c>
      <c r="H6693" s="13" t="n">
        <f aca="false">Sens!$F$6693</f>
        <v>0.355980580118587</v>
      </c>
      <c r="I6693" s="13" t="n">
        <f aca="false">Sens!$F$6693</f>
        <v>0.355980580118587</v>
      </c>
      <c r="J6693" s="13" t="n">
        <f aca="false">Sens!$F$6693</f>
        <v>0.355980580118587</v>
      </c>
      <c r="K6693" s="13" t="n">
        <f aca="false">Sens!$F$6693</f>
        <v>0.355980580118587</v>
      </c>
      <c r="L6693" s="13" t="n">
        <f aca="false">Sens!$F$6693</f>
        <v>0.355980580118587</v>
      </c>
      <c r="M6693" s="13" t="n">
        <f aca="false">Sens!$F$6693</f>
        <v>0.355980580118587</v>
      </c>
      <c r="N6693" s="13" t="n">
        <f aca="false">Sens!$N$6692/Sens!$N$6669</f>
        <v>0.35078810535806</v>
      </c>
      <c r="O6693" s="13" t="n">
        <f aca="false">Sens!$O$6692/Sens!$O$6669</f>
        <v>0.320796939361619</v>
      </c>
      <c r="P6693" s="8" t="s">
        <v>652</v>
      </c>
    </row>
    <row r="6694" customFormat="false" ht="17.15" hidden="false" customHeight="false" outlineLevel="0" collapsed="false">
      <c r="A6694" s="0" t="s">
        <v>653</v>
      </c>
      <c r="B6694" s="0" t="s">
        <v>52</v>
      </c>
      <c r="D6694" s="13" t="n">
        <f aca="false">(Q!$E$31-ext_sh*Sens!$D$6683)/Sens!$D$6669</f>
        <v>0.167180325480118</v>
      </c>
    </row>
    <row r="6695" customFormat="false" ht="17.15" hidden="false" customHeight="false" outlineLevel="0" collapsed="false">
      <c r="A6695" s="0" t="s">
        <v>654</v>
      </c>
      <c r="B6695" s="0" t="s">
        <v>86</v>
      </c>
      <c r="C6695" s="38" t="n">
        <f aca="false">Q!$D$31</f>
        <v>13.32</v>
      </c>
      <c r="D6695" s="38" t="n">
        <f aca="false">Q!$E$31</f>
        <v>21.45</v>
      </c>
      <c r="E6695" s="38" t="n">
        <f aca="false">Q!$P$31</f>
        <v>15.353</v>
      </c>
      <c r="F6695" s="38" t="n">
        <f aca="false">ext_sh*Sens!$F$6683+Sens!$D$6694*Sens!$F$6669</f>
        <v>15.4404120185306</v>
      </c>
      <c r="G6695" s="38" t="n">
        <f aca="false">Sens!$E$6695+Sens!$F$6695</f>
        <v>30.7934120185306</v>
      </c>
      <c r="H6695" s="38" t="n">
        <f aca="false">ext_sh*Sens!$H$6683+Sens!$D$6694*Sens!$H$6669</f>
        <v>48.250114371455</v>
      </c>
      <c r="I6695" s="38" t="n">
        <f aca="false">ext_sh*Sens!$I$6683+Sens!$D$6694*Sens!$I$6669</f>
        <v>73.3965146995963</v>
      </c>
      <c r="J6695" s="38" t="n">
        <f aca="false">ext_sh*Sens!$J$6683+Sens!$D$6694*Sens!$J$6669</f>
        <v>99.22806138309</v>
      </c>
      <c r="K6695" s="38" t="n">
        <f aca="false">ext_sh*Sens!$K$6683+Sens!$D$6694*Sens!$K$6669</f>
        <v>125.386627452856</v>
      </c>
      <c r="L6695" s="38" t="n">
        <f aca="false">ext_sh*Sens!$L$6683+Sens!$D$6694*Sens!$L$6669</f>
        <v>144.77239043275</v>
      </c>
      <c r="M6695" s="38" t="n">
        <f aca="false">ext_sh*Sens!$M$6683+Sens!$D$6694*Sens!$M$6669</f>
        <v>158.693930910983</v>
      </c>
      <c r="N6695" s="38" t="n">
        <f aca="false">Q!$N$31</f>
        <v>9.234</v>
      </c>
      <c r="O6695" s="38" t="n">
        <f aca="false">Q!$O$31</f>
        <v>12.216</v>
      </c>
    </row>
    <row r="6696" customFormat="false" ht="17.15" hidden="false" customHeight="false" outlineLevel="0" collapsed="false">
      <c r="A6696" s="1" t="s">
        <v>655</v>
      </c>
    </row>
    <row r="6697" customFormat="false" ht="17.15" hidden="false" customHeight="false" outlineLevel="0" collapsed="false">
      <c r="A6697" s="15" t="s">
        <v>656</v>
      </c>
      <c r="B6697" s="14" t="s">
        <v>52</v>
      </c>
      <c r="C6697" s="14"/>
      <c r="D6697" s="14"/>
      <c r="E6697" s="14"/>
      <c r="F6697" s="14"/>
      <c r="G6697" s="17" t="n">
        <f aca="false">Sens!$G$6687*(1-tax)/(ext_sh*(Sens!$D$6684+Sens!$G$6684)/2)</f>
        <v>0.0966870495301478</v>
      </c>
      <c r="H6697" s="17" t="n">
        <f aca="false">Sens!$H$6687*(1-tax)/(ext_sh*(Sens!$G$6684+Sens!$H$6684)/2)</f>
        <v>0.100492020334136</v>
      </c>
      <c r="I6697" s="17" t="n">
        <f aca="false">Sens!$I$6687*(1-tax)/(ext_sh*(Sens!$H$6684+Sens!$I$6684)/2)</f>
        <v>0.0889392292218236</v>
      </c>
      <c r="J6697" s="17" t="n">
        <f aca="false">Sens!$J$6687*(1-tax)/(ext_sh*(Sens!$I$6684+Sens!$J$6684)/2)</f>
        <v>0.0858364613777012</v>
      </c>
      <c r="K6697" s="17" t="n">
        <f aca="false">Sens!$K$6687*(1-tax)/(ext_sh*(Sens!$J$6684+Sens!$K$6684)/2)</f>
        <v>0.08227162714687</v>
      </c>
      <c r="L6697" s="17" t="n">
        <f aca="false">Sens!$L$6687*(1-tax)/(ext_sh*(Sens!$K$6684+Sens!$L$6684)/2)</f>
        <v>0.0828942732763872</v>
      </c>
      <c r="M6697" s="17" t="n">
        <f aca="false">Sens!$M$6687*(1-tax)/(ext_sh*(Sens!$L$6684+Sens!$M$6684)/2)</f>
        <v>0.0807945482347635</v>
      </c>
      <c r="N6697" s="14"/>
      <c r="O6697" s="14"/>
      <c r="P6697" s="8" t="s">
        <v>657</v>
      </c>
    </row>
    <row r="6698" customFormat="false" ht="17.15" hidden="false" customHeight="false" outlineLevel="0" collapsed="false">
      <c r="A6698" s="5" t="s">
        <v>658</v>
      </c>
      <c r="B6698" s="0" t="s">
        <v>57</v>
      </c>
      <c r="H6698" s="36" t="n">
        <f aca="false">Sens!$H$6665*1000/(mw_open*he_open+Sens!$H$6663*Sens!$H$6660)</f>
        <v>0.991949006767191</v>
      </c>
      <c r="I6698" s="36" t="n">
        <f aca="false">Sens!$I$6665*1000/(mw_open*he_open+Sens!$I$6663*Sens!$I$6660)</f>
        <v>0.991949006767191</v>
      </c>
      <c r="J6698" s="36" t="n">
        <f aca="false">Sens!$J$6665*1000/(mw_open*he_open+Sens!$J$6663*Sens!$J$6660)</f>
        <v>0.991949006767191</v>
      </c>
      <c r="K6698" s="36" t="n">
        <f aca="false">Sens!$K$6665*1000/(mw_open*he_open+Sens!$K$6663*Sens!$K$6660)</f>
        <v>0.991949006767191</v>
      </c>
      <c r="L6698" s="36" t="n">
        <f aca="false">Sens!$L$6665*1000/(mw_open*he_open+Sens!$L$6663*Sens!$L$6660)</f>
        <v>0.991949006767191</v>
      </c>
      <c r="M6698" s="36" t="n">
        <f aca="false">Sens!$M$6665*1000/(mw_open*he_open+Sens!$M$6663*Sens!$M$6660)</f>
        <v>0.991949006767191</v>
      </c>
    </row>
    <row r="6699" customFormat="false" ht="17.15" hidden="false" customHeight="false" outlineLevel="0" collapsed="false">
      <c r="A6699" s="5" t="s">
        <v>659</v>
      </c>
      <c r="B6699" s="0" t="s">
        <v>57</v>
      </c>
      <c r="H6699" s="36" t="n">
        <f aca="false">Sens!$H$6698*(Sens!$H$6665+wacc*ext_sh*(Sens!$G$6684+Sens!$H$6684)/2/(1-tax)-Sens!$H$6687)/Sens!$H$6665</f>
        <v>1.04696246089529</v>
      </c>
      <c r="I6699" s="36" t="n">
        <f aca="false">Sens!$I$6698*(Sens!$I$6665+wacc*ext_sh*(Sens!$H$6684+Sens!$I$6684)/2/(1-tax)-Sens!$I$6687)/Sens!$I$6665</f>
        <v>1.09109607940198</v>
      </c>
      <c r="J6699" s="36" t="n">
        <f aca="false">Sens!$J$6698*(Sens!$J$6665+wacc*ext_sh*(Sens!$I$6684+Sens!$J$6684)/2/(1-tax)-Sens!$J$6687)/Sens!$J$6665</f>
        <v>1.09681234280071</v>
      </c>
      <c r="K6699" s="36" t="n">
        <f aca="false">Sens!$K$6698*(Sens!$K$6665+wacc*ext_sh*(Sens!$J$6684+Sens!$K$6684)/2/(1-tax)-Sens!$K$6687)/Sens!$K$6665</f>
        <v>1.10105220068984</v>
      </c>
      <c r="L6699" s="36" t="n">
        <f aca="false">Sens!$L$6698*(Sens!$L$6665+wacc*ext_sh*(Sens!$K$6684+Sens!$L$6684)/2/(1-tax)-Sens!$L$6687)/Sens!$L$6665</f>
        <v>1.08952452639895</v>
      </c>
      <c r="M6699" s="36" t="n">
        <f aca="false">Sens!$M$6698*(Sens!$M$6665+wacc*ext_sh*(Sens!$L$6684+Sens!$M$6684)/2/(1-tax)-Sens!$M$6687)/Sens!$M$6665</f>
        <v>1.08965878549519</v>
      </c>
    </row>
    <row r="6700" customFormat="false" ht="17.15" hidden="false" customHeight="false" outlineLevel="0" collapsed="false">
      <c r="A6700" s="5" t="s">
        <v>660</v>
      </c>
      <c r="B6700" s="0" t="s">
        <v>52</v>
      </c>
      <c r="C6700" s="13" t="n">
        <f aca="false">Sens!$C$6666/tk_pq</f>
        <v>0.195316432429398</v>
      </c>
      <c r="D6700" s="13" t="n">
        <f aca="false">Sens!$D$6666/tk_pq</f>
        <v>0.195316432429398</v>
      </c>
      <c r="E6700" s="13" t="n">
        <f aca="false">Sens!$E$6666/tk_pq</f>
        <v>0.195316432429398</v>
      </c>
      <c r="F6700" s="13" t="n">
        <f aca="false">Sens!$F$6666/tk_pq</f>
        <v>0.202241827274866</v>
      </c>
      <c r="G6700" s="13" t="n">
        <f aca="false">Sens!$G$6666/tk_pq</f>
        <v>0.199675016194063</v>
      </c>
      <c r="H6700" s="13" t="n">
        <f aca="false">Sens!$H$6666/tk_pq</f>
        <v>0.212647947710325</v>
      </c>
      <c r="I6700" s="13" t="n">
        <f aca="false">Sens!$I$6666/tk_pq</f>
        <v>0.219285125475351</v>
      </c>
      <c r="J6700" s="13" t="n">
        <f aca="false">Sens!$J$6666/tk_pq</f>
        <v>0.222492493217189</v>
      </c>
      <c r="K6700" s="13" t="n">
        <f aca="false">Sens!$K$6666/tk_pq</f>
        <v>0.224053502812094</v>
      </c>
      <c r="L6700" s="13" t="n">
        <f aca="false">Sens!$L$6666/tk_pq</f>
        <v>0.224786916785614</v>
      </c>
      <c r="M6700" s="13" t="n">
        <f aca="false">Sens!$M$6666/tk_pq</f>
        <v>0.225048671566937</v>
      </c>
      <c r="N6700" s="13" t="n">
        <f aca="false">Sens!$N$6666/tk_pq</f>
        <v>0.195316432429398</v>
      </c>
      <c r="O6700" s="13" t="n">
        <f aca="false">Sens!$O$6666/tk_pq</f>
        <v>0.195316432429398</v>
      </c>
      <c r="P6700" s="5" t="s">
        <v>661</v>
      </c>
    </row>
    <row r="6703" customFormat="false" ht="17.15" hidden="false" customHeight="false" outlineLevel="0" collapsed="false">
      <c r="A6703" s="1" t="s">
        <v>690</v>
      </c>
    </row>
    <row r="6704" customFormat="false" ht="17.15" hidden="false" customHeight="false" outlineLevel="0" collapsed="false">
      <c r="A6704" s="0" t="s">
        <v>691</v>
      </c>
      <c r="B6704" s="0" t="s">
        <v>86</v>
      </c>
      <c r="C6704" s="38" t="n">
        <f aca="false">Sens!$C$6665</f>
        <v>2.32100535697364</v>
      </c>
      <c r="D6704" s="38" t="n">
        <f aca="false">Sens!$D$6665</f>
        <v>8.70377008865116</v>
      </c>
      <c r="E6704" s="38" t="n">
        <f aca="false">Sens!$E$6665</f>
        <v>8.51035297557002</v>
      </c>
      <c r="F6704" s="38" t="n">
        <f aca="false">Sens!$F$6665</f>
        <v>14.9634336447205</v>
      </c>
      <c r="G6704" s="38" t="n">
        <f aca="false">Sens!$G$6665</f>
        <v>23.4737866202905</v>
      </c>
      <c r="H6704" s="38" t="n">
        <f aca="false">Sens!$H$6665</f>
        <v>60.1658907497746</v>
      </c>
      <c r="I6704" s="38" t="n">
        <f aca="false">Sens!$I$6665</f>
        <v>101.503699136432</v>
      </c>
      <c r="J6704" s="38" t="n">
        <f aca="false">Sens!$J$6665</f>
        <v>143.025407151278</v>
      </c>
      <c r="K6704" s="38" t="n">
        <f aca="false">Sens!$K$6665</f>
        <v>178.44812038318</v>
      </c>
      <c r="L6704" s="38" t="n">
        <f aca="false">Sens!$L$6665</f>
        <v>201.728101802396</v>
      </c>
      <c r="M6704" s="38" t="n">
        <f aca="false">Sens!$M$6665</f>
        <v>212.835441368865</v>
      </c>
      <c r="N6704" s="38" t="n">
        <f aca="false">Sens!$N$6665</f>
        <v>3.04631953102791</v>
      </c>
      <c r="O6704" s="38" t="n">
        <f aca="false">Sens!$O$6665</f>
        <v>5.65745055762326</v>
      </c>
      <c r="P6704" s="8" t="s">
        <v>692</v>
      </c>
    </row>
    <row r="6705" customFormat="false" ht="17.15" hidden="false" customHeight="false" outlineLevel="0" collapsed="false">
      <c r="A6705" s="0" t="s">
        <v>693</v>
      </c>
      <c r="B6705" s="0" t="s">
        <v>86</v>
      </c>
      <c r="C6705" s="38" t="n">
        <f aca="false">Sens!$C$6669</f>
        <v>105.234994643026</v>
      </c>
      <c r="D6705" s="38" t="n">
        <f aca="false">Sens!$D$6669</f>
        <v>120.021229911349</v>
      </c>
      <c r="E6705" s="38" t="n">
        <f aca="false">Sens!$E$6669</f>
        <v>71.30864702443</v>
      </c>
      <c r="F6705" s="38" t="n">
        <f aca="false">Sens!$F$6669</f>
        <v>71.7692997942464</v>
      </c>
      <c r="G6705" s="38" t="n">
        <f aca="false">Sens!$G$6669</f>
        <v>143.077946818676</v>
      </c>
      <c r="H6705" s="38" t="n">
        <f aca="false">Sens!$H$6669</f>
        <v>161.017077079203</v>
      </c>
      <c r="I6705" s="38" t="n">
        <f aca="false">Sens!$I$6669</f>
        <v>178.769759521457</v>
      </c>
      <c r="J6705" s="38" t="n">
        <f aca="false">Sens!$J$6669</f>
        <v>195.775538045907</v>
      </c>
      <c r="K6705" s="38" t="n">
        <f aca="false">Sens!$K$6669</f>
        <v>211.43758108958</v>
      </c>
      <c r="L6705" s="38" t="n">
        <f aca="false">Sens!$L$6669</f>
        <v>228.352587576746</v>
      </c>
      <c r="M6705" s="38" t="n">
        <f aca="false">Sens!$M$6669</f>
        <v>246.620794582886</v>
      </c>
      <c r="N6705" s="38" t="n">
        <f aca="false">Sens!$N$6669</f>
        <v>57.0936804689721</v>
      </c>
      <c r="O6705" s="38" t="n">
        <f aca="false">Sens!$O$6669</f>
        <v>62.9275494423768</v>
      </c>
      <c r="P6705" s="8" t="s">
        <v>692</v>
      </c>
    </row>
    <row r="6706" customFormat="false" ht="17.15" hidden="false" customHeight="false" outlineLevel="0" collapsed="false">
      <c r="A6706" s="1" t="s">
        <v>516</v>
      </c>
      <c r="B6706" s="8" t="s">
        <v>86</v>
      </c>
      <c r="C6706" s="38" t="n">
        <f aca="false">Q!$D$7</f>
        <v>107.556</v>
      </c>
      <c r="D6706" s="38" t="n">
        <f aca="false">Q!$E$7</f>
        <v>128.725</v>
      </c>
      <c r="E6706" s="38" t="n">
        <f aca="false">Q!$P$7</f>
        <v>79.819</v>
      </c>
      <c r="F6706" s="38" t="n">
        <f aca="false">Sens!$F$6704+Sens!$F$6705</f>
        <v>86.7327334389669</v>
      </c>
      <c r="G6706" s="38" t="n">
        <f aca="false">Sens!$G$6704+Sens!$G$6705</f>
        <v>166.551733438967</v>
      </c>
      <c r="H6706" s="38" t="n">
        <f aca="false">Sens!$H$6704+Sens!$H$6705</f>
        <v>221.182967828978</v>
      </c>
      <c r="I6706" s="38" t="n">
        <f aca="false">Sens!$I$6704+Sens!$I$6705</f>
        <v>280.27345865789</v>
      </c>
      <c r="J6706" s="38" t="n">
        <f aca="false">Sens!$J$6704+Sens!$J$6705</f>
        <v>338.800945197185</v>
      </c>
      <c r="K6706" s="38" t="n">
        <f aca="false">Sens!$K$6704+Sens!$K$6705</f>
        <v>389.88570147276</v>
      </c>
      <c r="L6706" s="38" t="n">
        <f aca="false">Sens!$L$6704+Sens!$L$6705</f>
        <v>430.080689379143</v>
      </c>
      <c r="M6706" s="38" t="n">
        <f aca="false">Sens!$M$6704+Sens!$M$6705</f>
        <v>459.456235951751</v>
      </c>
      <c r="N6706" s="38" t="n">
        <f aca="false">Q!$N$7</f>
        <v>60.14</v>
      </c>
      <c r="O6706" s="38" t="n">
        <f aca="false">Q!$O$7</f>
        <v>68.585</v>
      </c>
      <c r="P6706" s="5" t="s">
        <v>694</v>
      </c>
    </row>
    <row r="6707" customFormat="false" ht="15" hidden="false" customHeight="false" outlineLevel="0" collapsed="false">
      <c r="A6707" s="3" t="s">
        <v>695</v>
      </c>
      <c r="B6707" s="8" t="s">
        <v>86</v>
      </c>
      <c r="C6707" s="38" t="n">
        <f aca="false">Q!$D$8</f>
        <v>637.959</v>
      </c>
      <c r="D6707" s="38" t="n">
        <f aca="false">Q!$E$8</f>
        <v>716.924</v>
      </c>
      <c r="E6707" s="38" t="n">
        <f aca="false">Q!$P$8</f>
        <v>382.125</v>
      </c>
      <c r="F6707" s="38" t="n">
        <f aca="false">Sens!$F$6637+Sens!$F$6706</f>
        <v>435.780975084504</v>
      </c>
      <c r="G6707" s="38" t="n">
        <f aca="false">Sens!$G$6637+Sens!$G$6706</f>
        <v>817.905975084504</v>
      </c>
      <c r="H6707" s="38" t="n">
        <f aca="false">Sens!$H$6637+Sens!$H$6706</f>
        <v>942.279857350364</v>
      </c>
      <c r="I6707" s="38" t="n">
        <f aca="false">Sens!$I$6637+Sens!$I$6706</f>
        <v>1068.80284981042</v>
      </c>
      <c r="J6707" s="38" t="n">
        <f aca="false">Sens!$J$6637+Sens!$J$6706</f>
        <v>1189.90935093863</v>
      </c>
      <c r="K6707" s="38" t="n">
        <f aca="false">Sens!$K$6637+Sens!$K$6706</f>
        <v>1296.06215690385</v>
      </c>
      <c r="L6707" s="38" t="n">
        <f aca="false">Sens!$L$6637+Sens!$L$6706</f>
        <v>1395.17379585473</v>
      </c>
      <c r="M6707" s="38" t="n">
        <f aca="false">Sens!$M$6637+Sens!$M$6706</f>
        <v>1487.60414389864</v>
      </c>
      <c r="N6707" s="38" t="n">
        <f aca="false">Q!$N$8</f>
        <v>323.369</v>
      </c>
      <c r="O6707" s="38" t="n">
        <f aca="false">Q!$O$8</f>
        <v>393.555</v>
      </c>
    </row>
    <row r="6708" customFormat="false" ht="17.15" hidden="false" customHeight="false" outlineLevel="0" collapsed="false">
      <c r="A6708" s="24" t="s">
        <v>703</v>
      </c>
      <c r="B6708" s="25" t="s">
        <v>86</v>
      </c>
      <c r="C6708" s="41" t="n">
        <f aca="false">Sens!$C$6637-(Sens!$C$6639+Sens!$C$6640)</f>
        <v>0</v>
      </c>
      <c r="D6708" s="41" t="n">
        <f aca="false">Sens!$D$6637-(Sens!$D$6639+Sens!$D$6640)</f>
        <v>0</v>
      </c>
      <c r="E6708" s="41" t="n">
        <f aca="false">Sens!$E$6637-(Sens!$E$6639+Sens!$E$6640)</f>
        <v>0</v>
      </c>
      <c r="F6708" s="41" t="n">
        <f aca="false">Sens!$F$6637-(Sens!$F$6639+Sens!$F$6640)</f>
        <v>0</v>
      </c>
      <c r="G6708" s="41" t="n">
        <f aca="false">Sens!$G$6637-(Sens!$G$6639+Sens!$G$6640)</f>
        <v>0</v>
      </c>
      <c r="H6708" s="41" t="n">
        <f aca="false">Sens!$H$6637-(Sens!$H$6639+Sens!$H$6640)</f>
        <v>0</v>
      </c>
      <c r="I6708" s="41" t="n">
        <f aca="false">Sens!$I$6637-(Sens!$I$6639+Sens!$I$6640)</f>
        <v>0</v>
      </c>
      <c r="J6708" s="41" t="n">
        <f aca="false">Sens!$J$6637-(Sens!$J$6639+Sens!$J$6640)</f>
        <v>0</v>
      </c>
      <c r="K6708" s="41" t="n">
        <f aca="false">Sens!$K$6637-(Sens!$K$6639+Sens!$K$6640)</f>
        <v>0</v>
      </c>
      <c r="L6708" s="41" t="n">
        <f aca="false">Sens!$L$6637-(Sens!$L$6639+Sens!$L$6640)</f>
        <v>0</v>
      </c>
      <c r="M6708" s="41" t="n">
        <f aca="false">Sens!$M$6637-(Sens!$M$6639+Sens!$M$6640)</f>
        <v>0</v>
      </c>
      <c r="N6708" s="41" t="n">
        <f aca="false">Sens!$N$6637-(Sens!$N$6639+Sens!$N$6640)</f>
        <v>0</v>
      </c>
      <c r="O6708" s="41" t="n">
        <f aca="false">Sens!$O$6637-(Sens!$O$6639+Sens!$O$6640)</f>
        <v>0</v>
      </c>
    </row>
    <row r="6709" customFormat="false" ht="17.15" hidden="false" customHeight="false" outlineLevel="0" collapsed="false">
      <c r="A6709" s="24" t="s">
        <v>704</v>
      </c>
      <c r="B6709" s="25" t="s">
        <v>86</v>
      </c>
      <c r="C6709" s="41" t="n">
        <f aca="false">Sens!$C$6704+Sens!$C$6705-Sens!$C$6706</f>
        <v>0</v>
      </c>
      <c r="D6709" s="41" t="n">
        <f aca="false">Sens!$D$6704+Sens!$D$6705-Sens!$D$6706</f>
        <v>0</v>
      </c>
      <c r="E6709" s="41" t="n">
        <f aca="false">Sens!$E$6704+Sens!$E$6705-Sens!$E$6706</f>
        <v>0</v>
      </c>
      <c r="F6709" s="41" t="n">
        <f aca="false">Sens!$F$6704+Sens!$F$6705-Sens!$F$6706</f>
        <v>0</v>
      </c>
      <c r="G6709" s="41" t="n">
        <f aca="false">Sens!$G$6704+Sens!$G$6705-Sens!$G$6706</f>
        <v>0</v>
      </c>
      <c r="H6709" s="41" t="n">
        <f aca="false">Sens!$H$6704+Sens!$H$6705-Sens!$H$6706</f>
        <v>0</v>
      </c>
      <c r="I6709" s="41" t="n">
        <f aca="false">Sens!$I$6704+Sens!$I$6705-Sens!$I$6706</f>
        <v>0</v>
      </c>
      <c r="J6709" s="41" t="n">
        <f aca="false">Sens!$J$6704+Sens!$J$6705-Sens!$J$6706</f>
        <v>0</v>
      </c>
      <c r="K6709" s="41" t="n">
        <f aca="false">Sens!$K$6704+Sens!$K$6705-Sens!$K$6706</f>
        <v>0</v>
      </c>
      <c r="L6709" s="41" t="n">
        <f aca="false">Sens!$L$6704+Sens!$L$6705-Sens!$L$6706</f>
        <v>0</v>
      </c>
      <c r="M6709" s="41" t="n">
        <f aca="false">Sens!$M$6704+Sens!$M$6705-Sens!$M$6706</f>
        <v>0</v>
      </c>
      <c r="N6709" s="41" t="n">
        <f aca="false">Sens!$N$6704+Sens!$N$6705-Sens!$N$6706</f>
        <v>0</v>
      </c>
      <c r="O6709" s="41" t="n">
        <f aca="false">Sens!$O$6704+Sens!$O$6705-Sens!$O$6706</f>
        <v>0</v>
      </c>
    </row>
    <row r="6710" customFormat="false" ht="17.15" hidden="false" customHeight="false" outlineLevel="0" collapsed="false">
      <c r="A6710" s="24" t="s">
        <v>705</v>
      </c>
      <c r="B6710" s="25" t="s">
        <v>86</v>
      </c>
      <c r="C6710" s="41" t="n">
        <f aca="false">Sens!$C$6639+Sens!$C$6640+Sens!$C$6706-Sens!$C$6707</f>
        <v>0</v>
      </c>
      <c r="D6710" s="41" t="n">
        <f aca="false">Sens!$D$6639+Sens!$D$6640+Sens!$D$6706-Sens!$D$6707</f>
        <v>0</v>
      </c>
      <c r="E6710" s="41" t="n">
        <f aca="false">Sens!$E$6639+Sens!$E$6640+Sens!$E$6706-Sens!$E$6707</f>
        <v>0</v>
      </c>
      <c r="F6710" s="41" t="n">
        <f aca="false">Sens!$F$6639+Sens!$F$6640+Sens!$F$6706-Sens!$F$6707</f>
        <v>0</v>
      </c>
      <c r="G6710" s="41" t="n">
        <f aca="false">Sens!$G$6639+Sens!$G$6640+Sens!$G$6706-Sens!$G$6707</f>
        <v>0</v>
      </c>
      <c r="H6710" s="41" t="n">
        <f aca="false">Sens!$H$6639+Sens!$H$6640+Sens!$H$6706-Sens!$H$6707</f>
        <v>0</v>
      </c>
      <c r="I6710" s="41" t="n">
        <f aca="false">Sens!$I$6639+Sens!$I$6640+Sens!$I$6706-Sens!$I$6707</f>
        <v>0</v>
      </c>
      <c r="J6710" s="41" t="n">
        <f aca="false">Sens!$J$6639+Sens!$J$6640+Sens!$J$6706-Sens!$J$6707</f>
        <v>0</v>
      </c>
      <c r="K6710" s="41" t="n">
        <f aca="false">Sens!$K$6639+Sens!$K$6640+Sens!$K$6706-Sens!$K$6707</f>
        <v>0</v>
      </c>
      <c r="L6710" s="41" t="n">
        <f aca="false">Sens!$L$6639+Sens!$L$6640+Sens!$L$6706-Sens!$L$6707</f>
        <v>0</v>
      </c>
      <c r="M6710" s="41" t="n">
        <f aca="false">Sens!$M$6639+Sens!$M$6640+Sens!$M$6706-Sens!$M$6707</f>
        <v>0</v>
      </c>
      <c r="N6710" s="41" t="n">
        <f aca="false">Sens!$N$6639+Sens!$N$6640+Sens!$N$6706-Sens!$N$6707</f>
        <v>0</v>
      </c>
      <c r="O6710" s="41" t="n">
        <f aca="false">Sens!$O$6639+Sens!$O$6640+Sens!$O$6706-Sens!$O$6707</f>
        <v>0</v>
      </c>
    </row>
    <row r="6711" customFormat="false" ht="15" hidden="false" customHeight="false" outlineLevel="0" collapsed="false">
      <c r="A6711" s="5" t="s">
        <v>699</v>
      </c>
      <c r="B6711" s="0" t="s">
        <v>52</v>
      </c>
      <c r="G6711" s="13" t="n">
        <f aca="false">Sens!$G$6707/Sens!$D$6707-1</f>
        <v>0.140854504918937</v>
      </c>
      <c r="H6711" s="13" t="n">
        <f aca="false">Sens!$H$6707/Sens!$G$6707-1</f>
        <v>0.152063789793209</v>
      </c>
      <c r="I6711" s="13" t="n">
        <f aca="false">Sens!$I$6707/Sens!$H$6707-1</f>
        <v>0.134273264437417</v>
      </c>
      <c r="J6711" s="13" t="n">
        <f aca="false">Sens!$J$6707/Sens!$I$6707-1</f>
        <v>0.113310421234083</v>
      </c>
      <c r="K6711" s="13" t="n">
        <f aca="false">Sens!$K$6707/Sens!$J$6707-1</f>
        <v>0.0892108343223652</v>
      </c>
      <c r="L6711" s="13" t="n">
        <f aca="false">Sens!$L$6707/Sens!$K$6707-1</f>
        <v>0.076471362444261</v>
      </c>
      <c r="M6711" s="13" t="n">
        <f aca="false">Sens!$M$6707/Sens!$L$6707-1</f>
        <v>0.066250060256672</v>
      </c>
    </row>
    <row r="6712" customFormat="false" ht="17.15" hidden="false" customHeight="false" outlineLevel="0" collapsed="false">
      <c r="A6712" s="0" t="s">
        <v>700</v>
      </c>
      <c r="B6712" s="0" t="s">
        <v>52</v>
      </c>
      <c r="C6712" s="13" t="n">
        <f aca="false">Sens!$C$6706/Sens!$C$6707</f>
        <v>0.168593906504964</v>
      </c>
      <c r="D6712" s="13" t="n">
        <f aca="false">Sens!$D$6706/Sens!$D$6707</f>
        <v>0.179551807444025</v>
      </c>
      <c r="E6712" s="13" t="n">
        <f aca="false">Sens!$E$6706/Sens!$E$6707</f>
        <v>0.208881910369643</v>
      </c>
      <c r="F6712" s="13" t="n">
        <f aca="false">Sens!$F$6706/Sens!$F$6707</f>
        <v>0.199028269699356</v>
      </c>
      <c r="G6712" s="13" t="n">
        <f aca="false">Sens!$G$6706/Sens!$G$6707</f>
        <v>0.203631882529968</v>
      </c>
      <c r="H6712" s="13" t="n">
        <f aca="false">Sens!$H$6706/Sens!$H$6707</f>
        <v>0.234731715958496</v>
      </c>
      <c r="I6712" s="13" t="n">
        <f aca="false">Sens!$I$6706/Sens!$I$6707</f>
        <v>0.262231204480418</v>
      </c>
      <c r="J6712" s="13" t="n">
        <f aca="false">Sens!$J$6706/Sens!$J$6707</f>
        <v>0.284728366013706</v>
      </c>
      <c r="K6712" s="13" t="n">
        <f aca="false">Sens!$K$6706/Sens!$K$6707</f>
        <v>0.300823304959505</v>
      </c>
      <c r="L6712" s="13" t="n">
        <f aca="false">Sens!$L$6706/Sens!$L$6707</f>
        <v>0.308263164529735</v>
      </c>
      <c r="M6712" s="13" t="n">
        <f aca="false">Sens!$M$6706/Sens!$M$6707</f>
        <v>0.308856517936036</v>
      </c>
      <c r="N6712" s="13" t="n">
        <f aca="false">Sens!$N$6706/Sens!$N$6707</f>
        <v>0.185979484737251</v>
      </c>
      <c r="O6712" s="13" t="n">
        <f aca="false">Sens!$O$6706/Sens!$O$6707</f>
        <v>0.174270432341096</v>
      </c>
    </row>
    <row r="6713" customFormat="false" ht="17.15" hidden="false" customHeight="false" outlineLevel="0" collapsed="false">
      <c r="A6713" s="0" t="s">
        <v>701</v>
      </c>
      <c r="B6713" s="0" t="s">
        <v>52</v>
      </c>
      <c r="C6713" s="13" t="n">
        <f aca="false">Sens!$C$6704/Sens!$C$6706</f>
        <v>0.0215795060896058</v>
      </c>
      <c r="D6713" s="13" t="n">
        <f aca="false">Sens!$D$6704/Sens!$D$6706</f>
        <v>0.0676152269462122</v>
      </c>
      <c r="E6713" s="13" t="n">
        <f aca="false">Sens!$E$6704/Sens!$E$6706</f>
        <v>0.106620641395783</v>
      </c>
      <c r="F6713" s="13" t="n">
        <f aca="false">Sens!$F$6704/Sens!$F$6706</f>
        <v>0.172523487401099</v>
      </c>
      <c r="G6713" s="13" t="n">
        <f aca="false">Sens!$G$6704/Sens!$G$6706</f>
        <v>0.140939911795589</v>
      </c>
      <c r="H6713" s="13" t="n">
        <f aca="false">Sens!$H$6704/Sens!$H$6706</f>
        <v>0.272018642937714</v>
      </c>
      <c r="I6713" s="13" t="n">
        <f aca="false">Sens!$I$6704/Sens!$I$6706</f>
        <v>0.362159512436497</v>
      </c>
      <c r="J6713" s="13" t="n">
        <f aca="false">Sens!$J$6704/Sens!$J$6706</f>
        <v>0.422151735934609</v>
      </c>
      <c r="K6713" s="13" t="n">
        <f aca="false">Sens!$K$6704/Sens!$K$6706</f>
        <v>0.45769342068485</v>
      </c>
      <c r="L6713" s="13" t="n">
        <f aca="false">Sens!$L$6704/Sens!$L$6706</f>
        <v>0.469047103913472</v>
      </c>
      <c r="M6713" s="13" t="n">
        <f aca="false">Sens!$M$6704/Sens!$M$6706</f>
        <v>0.463233328258093</v>
      </c>
      <c r="N6713" s="13" t="n">
        <f aca="false">Sens!$N$6704/Sens!$N$6706</f>
        <v>0.0506537999838362</v>
      </c>
      <c r="O6713" s="13" t="n">
        <f aca="false">Sens!$O$6704/Sens!$O$6706</f>
        <v>0.0824881615167056</v>
      </c>
    </row>
    <row r="6716" customFormat="false" ht="19.4" hidden="false" customHeight="false" outlineLevel="0" collapsed="false">
      <c r="A6716" s="31" t="s">
        <v>1272</v>
      </c>
    </row>
    <row r="6717" customFormat="false" ht="17.15" hidden="false" customHeight="false" outlineLevel="0" collapsed="false">
      <c r="A6717" s="6" t="s">
        <v>16</v>
      </c>
      <c r="B6717" s="6" t="s">
        <v>17</v>
      </c>
      <c r="C6717" s="20" t="s">
        <v>497</v>
      </c>
      <c r="D6717" s="20" t="s">
        <v>498</v>
      </c>
      <c r="E6717" s="20" t="s">
        <v>580</v>
      </c>
      <c r="F6717" s="20" t="s">
        <v>581</v>
      </c>
      <c r="G6717" s="20" t="s">
        <v>582</v>
      </c>
      <c r="H6717" s="20" t="s">
        <v>583</v>
      </c>
      <c r="I6717" s="20" t="s">
        <v>584</v>
      </c>
      <c r="J6717" s="20" t="s">
        <v>585</v>
      </c>
      <c r="K6717" s="20" t="s">
        <v>586</v>
      </c>
      <c r="L6717" s="20" t="s">
        <v>587</v>
      </c>
      <c r="M6717" s="20" t="s">
        <v>588</v>
      </c>
      <c r="N6717" s="20" t="s">
        <v>589</v>
      </c>
      <c r="O6717" s="20" t="s">
        <v>590</v>
      </c>
      <c r="P6717" s="6" t="s">
        <v>23</v>
      </c>
      <c r="R6717" s="20" t="n">
        <v>2023</v>
      </c>
      <c r="S6717" s="20" t="n">
        <v>2024</v>
      </c>
      <c r="T6717" s="20" t="n">
        <v>2025</v>
      </c>
      <c r="U6717" s="20" t="n">
        <v>2026</v>
      </c>
      <c r="V6717" s="20" t="n">
        <v>2027</v>
      </c>
      <c r="W6717" s="20" t="n">
        <v>2028</v>
      </c>
      <c r="X6717" s="20" t="n">
        <v>2029</v>
      </c>
      <c r="Y6717" s="20" t="n">
        <v>2030</v>
      </c>
      <c r="Z6717" s="20" t="n">
        <v>2031</v>
      </c>
      <c r="AA6717" s="20" t="n">
        <v>2032</v>
      </c>
    </row>
    <row r="6718" customFormat="false" ht="17.15" hidden="false" customHeight="false" outlineLevel="0" collapsed="false">
      <c r="A6718" s="1" t="s">
        <v>716</v>
      </c>
    </row>
    <row r="6719" customFormat="false" ht="15" hidden="false" customHeight="false" outlineLevel="0" collapsed="false">
      <c r="A6719" s="0" t="s">
        <v>519</v>
      </c>
      <c r="B6719" s="0" t="s">
        <v>86</v>
      </c>
      <c r="C6719" s="38" t="n">
        <f aca="false">Sens!$C$6624</f>
        <v>247.029</v>
      </c>
      <c r="D6719" s="38" t="n">
        <f aca="false">Sens!$D$6624</f>
        <v>269.287</v>
      </c>
      <c r="E6719" s="38" t="n">
        <f aca="false">Sens!$E$6624</f>
        <v>134.686</v>
      </c>
      <c r="F6719" s="38" t="n">
        <f aca="false">Sens!$F$6624</f>
        <v>158.293876822267</v>
      </c>
      <c r="G6719" s="38" t="n">
        <f aca="false">Sens!$G$6624</f>
        <v>292.979876822267</v>
      </c>
      <c r="H6719" s="38" t="n">
        <f aca="false">Sens!$H$6624</f>
        <v>318.184543087396</v>
      </c>
      <c r="I6719" s="38" t="n">
        <f aca="false">Sens!$I$6624</f>
        <v>341.736278761793</v>
      </c>
      <c r="J6719" s="38" t="n">
        <f aca="false">Sens!$J$6624</f>
        <v>362.927192787048</v>
      </c>
      <c r="K6719" s="38" t="n">
        <f aca="false">Sens!$K$6624</f>
        <v>381.0735524264</v>
      </c>
      <c r="L6719" s="38" t="n">
        <f aca="false">Sens!$L$6624</f>
        <v>400.12723004772</v>
      </c>
      <c r="M6719" s="38" t="n">
        <f aca="false">Sens!$M$6624</f>
        <v>420.133591550106</v>
      </c>
      <c r="N6719" s="38" t="n">
        <f aca="false">Sens!$N$6624</f>
        <v>118.892</v>
      </c>
      <c r="O6719" s="38" t="n">
        <f aca="false">Sens!$O$6624</f>
        <v>150.395</v>
      </c>
    </row>
    <row r="6720" customFormat="false" ht="15" hidden="false" customHeight="false" outlineLevel="0" collapsed="false">
      <c r="A6720" s="0" t="s">
        <v>520</v>
      </c>
      <c r="B6720" s="0" t="s">
        <v>86</v>
      </c>
      <c r="C6720" s="38" t="n">
        <f aca="false">Sens!$C$6626</f>
        <v>21.215</v>
      </c>
      <c r="D6720" s="38" t="n">
        <f aca="false">Sens!$D$6626</f>
        <v>22.561</v>
      </c>
      <c r="E6720" s="38" t="n">
        <f aca="false">Sens!$E$6626</f>
        <v>11.579</v>
      </c>
      <c r="F6720" s="38" t="n">
        <f aca="false">Sens!$F$6626</f>
        <v>11.5938724610325</v>
      </c>
      <c r="G6720" s="38" t="n">
        <f aca="false">Sens!$G$6626</f>
        <v>23.1728724610325</v>
      </c>
      <c r="H6720" s="38" t="n">
        <f aca="false">Sens!$H$6626</f>
        <v>24.353392759506</v>
      </c>
      <c r="I6720" s="38" t="n">
        <f aca="false">Sens!$I$6626</f>
        <v>25.4240338872015</v>
      </c>
      <c r="J6720" s="38" t="n">
        <f aca="false">Sens!$J$6626</f>
        <v>26.3642491017174</v>
      </c>
      <c r="K6720" s="38" t="n">
        <f aca="false">Sens!$K$6626</f>
        <v>27.155176574769</v>
      </c>
      <c r="L6720" s="38" t="n">
        <f aca="false">Sens!$L$6626</f>
        <v>27.969831872012</v>
      </c>
      <c r="M6720" s="38" t="n">
        <f aca="false">Sens!$M$6626</f>
        <v>28.8089268281724</v>
      </c>
      <c r="N6720" s="38" t="n">
        <f aca="false">Sens!$N$6626</f>
        <v>11.128</v>
      </c>
      <c r="O6720" s="38" t="n">
        <f aca="false">Sens!$O$6626</f>
        <v>11.433</v>
      </c>
    </row>
    <row r="6721" customFormat="false" ht="15" hidden="false" customHeight="false" outlineLevel="0" collapsed="false">
      <c r="A6721" s="0" t="s">
        <v>521</v>
      </c>
      <c r="B6721" s="0" t="s">
        <v>86</v>
      </c>
      <c r="C6721" s="38" t="n">
        <f aca="false">Sens!$C$6628</f>
        <v>156.146</v>
      </c>
      <c r="D6721" s="38" t="n">
        <f aca="false">Sens!$D$6628</f>
        <v>172.162</v>
      </c>
      <c r="E6721" s="38" t="n">
        <f aca="false">Sens!$E$6628</f>
        <v>88.358</v>
      </c>
      <c r="F6721" s="38" t="n">
        <f aca="false">Sens!$F$6628</f>
        <v>102.004388260171</v>
      </c>
      <c r="G6721" s="38" t="n">
        <f aca="false">Sens!$G$6628</f>
        <v>190.362388260171</v>
      </c>
      <c r="H6721" s="38" t="n">
        <f aca="false">Sens!$H$6628</f>
        <v>210.343106588311</v>
      </c>
      <c r="I6721" s="38" t="n">
        <f aca="false">Sens!$I$6628</f>
        <v>229.969728494648</v>
      </c>
      <c r="J6721" s="38" t="n">
        <f aca="false">Sens!$J$6628</f>
        <v>248.747636972598</v>
      </c>
      <c r="K6721" s="38" t="n">
        <f aca="false">Sens!$K$6628</f>
        <v>266.15997156068</v>
      </c>
      <c r="L6721" s="38" t="n">
        <f aca="false">Sens!$L$6628</f>
        <v>284.791169569927</v>
      </c>
      <c r="M6721" s="38" t="n">
        <f aca="false">Sens!$M$6628</f>
        <v>304.726551439822</v>
      </c>
      <c r="N6721" s="38" t="n">
        <f aca="false">Sens!$N$6628</f>
        <v>76.86</v>
      </c>
      <c r="O6721" s="38" t="n">
        <f aca="false">Sens!$O$6628</f>
        <v>95.302</v>
      </c>
    </row>
    <row r="6722" customFormat="false" ht="15" hidden="false" customHeight="false" outlineLevel="0" collapsed="false">
      <c r="A6722" s="0" t="s">
        <v>522</v>
      </c>
      <c r="B6722" s="0" t="s">
        <v>86</v>
      </c>
      <c r="C6722" s="38" t="n">
        <f aca="false">Sens!$C$6630</f>
        <v>56.214</v>
      </c>
      <c r="D6722" s="38" t="n">
        <f aca="false">Sens!$D$6630</f>
        <v>68.635</v>
      </c>
      <c r="E6722" s="38" t="n">
        <f aca="false">Sens!$E$6630</f>
        <v>37.052</v>
      </c>
      <c r="F6722" s="38" t="n">
        <f aca="false">Sens!$F$6630</f>
        <v>46.1572219944148</v>
      </c>
      <c r="G6722" s="38" t="n">
        <f aca="false">Sens!$G$6630</f>
        <v>83.2092219944148</v>
      </c>
      <c r="H6722" s="38" t="n">
        <f aca="false">Sens!$H$6630</f>
        <v>99.8969223878976</v>
      </c>
      <c r="I6722" s="38" t="n">
        <f aca="false">Sens!$I$6630</f>
        <v>116.583111095496</v>
      </c>
      <c r="J6722" s="38" t="n">
        <f aca="false">Sens!$J$6630</f>
        <v>132.148941941952</v>
      </c>
      <c r="K6722" s="38" t="n">
        <f aca="false">Sens!$K$6630</f>
        <v>145.363836136147</v>
      </c>
      <c r="L6722" s="38" t="n">
        <f aca="false">Sens!$L$6630</f>
        <v>159.900219749762</v>
      </c>
      <c r="M6722" s="38" t="n">
        <f aca="false">Sens!$M$6630</f>
        <v>175.890241724738</v>
      </c>
      <c r="N6722" s="38" t="n">
        <f aca="false">Sens!$N$6630</f>
        <v>29.615</v>
      </c>
      <c r="O6722" s="38" t="n">
        <f aca="false">Sens!$O$6630</f>
        <v>39.02</v>
      </c>
    </row>
    <row r="6723" customFormat="false" ht="15" hidden="false" customHeight="false" outlineLevel="0" collapsed="false">
      <c r="A6723" s="0" t="s">
        <v>523</v>
      </c>
      <c r="B6723" s="0" t="s">
        <v>86</v>
      </c>
      <c r="C6723" s="38" t="n">
        <f aca="false">Sens!$C$6632</f>
        <v>44.374</v>
      </c>
      <c r="D6723" s="38" t="n">
        <f aca="false">Sens!$D$6632</f>
        <v>49.619</v>
      </c>
      <c r="E6723" s="38" t="n">
        <f aca="false">Sens!$E$6632</f>
        <v>27.157</v>
      </c>
      <c r="F6723" s="38" t="n">
        <f aca="false">Sens!$F$6632</f>
        <v>27.7764165988154</v>
      </c>
      <c r="G6723" s="38" t="n">
        <f aca="false">Sens!$G$6632</f>
        <v>54.9334165988154</v>
      </c>
      <c r="H6723" s="38" t="n">
        <f aca="false">Sens!$H$6632</f>
        <v>61.1564112561829</v>
      </c>
      <c r="I6723" s="38" t="n">
        <f aca="false">Sens!$I$6632</f>
        <v>67.2020282103945</v>
      </c>
      <c r="J6723" s="38" t="n">
        <f aca="false">Sens!$J$6632</f>
        <v>72.8757274028885</v>
      </c>
      <c r="K6723" s="38" t="n">
        <f aca="false">Sens!$K$6632</f>
        <v>77.9770283210907</v>
      </c>
      <c r="L6723" s="38" t="n">
        <f aca="false">Sens!$L$6632</f>
        <v>83.4354203035671</v>
      </c>
      <c r="M6723" s="38" t="n">
        <f aca="false">Sens!$M$6632</f>
        <v>89.2758997248168</v>
      </c>
      <c r="N6723" s="38" t="n">
        <f aca="false">Sens!$N$6632</f>
        <v>23.923</v>
      </c>
      <c r="O6723" s="38" t="n">
        <f aca="false">Sens!$O$6632</f>
        <v>25.696</v>
      </c>
    </row>
    <row r="6724" customFormat="false" ht="15" hidden="false" customHeight="false" outlineLevel="0" collapsed="false">
      <c r="A6724" s="0" t="s">
        <v>524</v>
      </c>
      <c r="B6724" s="0" t="s">
        <v>86</v>
      </c>
      <c r="C6724" s="38" t="n">
        <f aca="false">Sens!$C$6634</f>
        <v>5.425</v>
      </c>
      <c r="D6724" s="38" t="n">
        <f aca="false">Sens!$D$6634</f>
        <v>5.935</v>
      </c>
      <c r="E6724" s="38" t="n">
        <f aca="false">Sens!$E$6634</f>
        <v>3.474</v>
      </c>
      <c r="F6724" s="38" t="n">
        <f aca="false">Sens!$F$6634</f>
        <v>3.22246550883619</v>
      </c>
      <c r="G6724" s="38" t="n">
        <f aca="false">Sens!$G$6634</f>
        <v>6.69646550883619</v>
      </c>
      <c r="H6724" s="38" t="n">
        <f aca="false">Sens!$H$6634</f>
        <v>7.16251344209196</v>
      </c>
      <c r="I6724" s="38" t="n">
        <f aca="false">Sens!$I$6634</f>
        <v>7.61421070299826</v>
      </c>
      <c r="J6724" s="38" t="n">
        <f aca="false">Sens!$J$6634</f>
        <v>8.04465753523932</v>
      </c>
      <c r="K6724" s="38" t="n">
        <f aca="false">Sens!$K$6634</f>
        <v>8.44689041200128</v>
      </c>
      <c r="L6724" s="38" t="n">
        <f aca="false">Sens!$L$6634</f>
        <v>8.86923493260135</v>
      </c>
      <c r="M6724" s="38" t="n">
        <f aca="false">Sens!$M$6634</f>
        <v>9.31269667923142</v>
      </c>
      <c r="N6724" s="38" t="n">
        <f aca="false">Sens!$N$6634</f>
        <v>2.811</v>
      </c>
      <c r="O6724" s="38" t="n">
        <f aca="false">Sens!$O$6634</f>
        <v>3.124</v>
      </c>
    </row>
    <row r="6725" customFormat="false" ht="17.15" hidden="false" customHeight="false" outlineLevel="0" collapsed="false">
      <c r="A6725" s="0" t="s">
        <v>717</v>
      </c>
      <c r="B6725" s="0" t="s">
        <v>86</v>
      </c>
      <c r="C6725" s="38" t="n">
        <f aca="false">Sens!$C$6706</f>
        <v>107.556</v>
      </c>
      <c r="D6725" s="38" t="n">
        <f aca="false">Sens!$D$6706</f>
        <v>128.725</v>
      </c>
      <c r="E6725" s="38" t="n">
        <f aca="false">Sens!$E$6706</f>
        <v>79.819</v>
      </c>
      <c r="F6725" s="38" t="n">
        <f aca="false">Sens!$F$6706</f>
        <v>86.7327334389669</v>
      </c>
      <c r="G6725" s="38" t="n">
        <f aca="false">Sens!$G$6706</f>
        <v>166.551733438967</v>
      </c>
      <c r="H6725" s="38" t="n">
        <f aca="false">Sens!$H$6706</f>
        <v>221.182967828978</v>
      </c>
      <c r="I6725" s="38" t="n">
        <f aca="false">Sens!$I$6706</f>
        <v>280.27345865789</v>
      </c>
      <c r="J6725" s="38" t="n">
        <f aca="false">Sens!$J$6706</f>
        <v>338.800945197185</v>
      </c>
      <c r="K6725" s="38" t="n">
        <f aca="false">Sens!$K$6706</f>
        <v>389.88570147276</v>
      </c>
      <c r="L6725" s="38" t="n">
        <f aca="false">Sens!$L$6706</f>
        <v>430.080689379143</v>
      </c>
      <c r="M6725" s="38" t="n">
        <f aca="false">Sens!$M$6706</f>
        <v>459.456235951751</v>
      </c>
      <c r="N6725" s="38" t="n">
        <f aca="false">Sens!$N$6706</f>
        <v>60.14</v>
      </c>
      <c r="O6725" s="38" t="n">
        <f aca="false">Sens!$O$6706</f>
        <v>68.585</v>
      </c>
    </row>
    <row r="6726" customFormat="false" ht="15" hidden="false" customHeight="false" outlineLevel="0" collapsed="false">
      <c r="A6726" s="1" t="s">
        <v>512</v>
      </c>
      <c r="B6726" s="8" t="s">
        <v>86</v>
      </c>
      <c r="C6726" s="38" t="n">
        <f aca="false">Sens!$C$6639</f>
        <v>387.497</v>
      </c>
      <c r="D6726" s="38" t="n">
        <f aca="false">Sens!$D$6639</f>
        <v>426.305</v>
      </c>
      <c r="E6726" s="38" t="n">
        <f aca="false">Sens!$E$6639</f>
        <v>220.32</v>
      </c>
      <c r="F6726" s="38" t="n">
        <f aca="false">Sens!$F$6639</f>
        <v>250.639773480586</v>
      </c>
      <c r="G6726" s="38" t="n">
        <f aca="false">Sens!$G$6639</f>
        <v>470.959773480586</v>
      </c>
      <c r="H6726" s="38" t="n">
        <f aca="false">Sens!$H$6639</f>
        <v>521.386990416437</v>
      </c>
      <c r="I6726" s="38" t="n">
        <f aca="false">Sens!$I$6639</f>
        <v>570.143862887555</v>
      </c>
      <c r="J6726" s="38" t="n">
        <f aca="false">Sens!$J$6639</f>
        <v>615.391435791933</v>
      </c>
      <c r="K6726" s="38" t="n">
        <f aca="false">Sens!$K$6639</f>
        <v>655.208227561543</v>
      </c>
      <c r="L6726" s="38" t="n">
        <f aca="false">Sens!$L$6639</f>
        <v>697.807739249767</v>
      </c>
      <c r="M6726" s="38" t="n">
        <f aca="false">Sens!$M$6639</f>
        <v>743.399328463592</v>
      </c>
      <c r="N6726" s="38" t="n">
        <f aca="false">Sens!$N$6639</f>
        <v>192.955</v>
      </c>
      <c r="O6726" s="38" t="n">
        <f aca="false">Sens!$O$6639</f>
        <v>233.35</v>
      </c>
    </row>
    <row r="6727" customFormat="false" ht="15" hidden="false" customHeight="false" outlineLevel="0" collapsed="false">
      <c r="A6727" s="1" t="s">
        <v>515</v>
      </c>
      <c r="B6727" s="8" t="s">
        <v>86</v>
      </c>
      <c r="C6727" s="38" t="n">
        <f aca="false">Sens!$C$6640</f>
        <v>142.906</v>
      </c>
      <c r="D6727" s="38" t="n">
        <f aca="false">Sens!$D$6640</f>
        <v>161.894</v>
      </c>
      <c r="E6727" s="38" t="n">
        <f aca="false">Sens!$E$6640</f>
        <v>81.986</v>
      </c>
      <c r="F6727" s="38" t="n">
        <f aca="false">Sens!$F$6640</f>
        <v>98.408468164951</v>
      </c>
      <c r="G6727" s="38" t="n">
        <f aca="false">Sens!$G$6640</f>
        <v>180.394468164951</v>
      </c>
      <c r="H6727" s="38" t="n">
        <f aca="false">Sens!$H$6640</f>
        <v>199.709899104949</v>
      </c>
      <c r="I6727" s="38" t="n">
        <f aca="false">Sens!$I$6640</f>
        <v>218.385528264976</v>
      </c>
      <c r="J6727" s="38" t="n">
        <f aca="false">Sens!$J$6640</f>
        <v>235.71696994951</v>
      </c>
      <c r="K6727" s="38" t="n">
        <f aca="false">Sens!$K$6640</f>
        <v>250.968227869545</v>
      </c>
      <c r="L6727" s="38" t="n">
        <f aca="false">Sens!$L$6640</f>
        <v>267.285367225822</v>
      </c>
      <c r="M6727" s="38" t="n">
        <f aca="false">Sens!$M$6640</f>
        <v>284.748579483295</v>
      </c>
      <c r="N6727" s="38" t="n">
        <f aca="false">Sens!$N$6640</f>
        <v>70.274</v>
      </c>
      <c r="O6727" s="38" t="n">
        <f aca="false">Sens!$O$6640</f>
        <v>91.62</v>
      </c>
    </row>
    <row r="6728" customFormat="false" ht="15" hidden="false" customHeight="false" outlineLevel="0" collapsed="false">
      <c r="A6728" s="1" t="s">
        <v>516</v>
      </c>
      <c r="B6728" s="8" t="s">
        <v>86</v>
      </c>
      <c r="C6728" s="38" t="n">
        <f aca="false">Sens!$C$6706</f>
        <v>107.556</v>
      </c>
      <c r="D6728" s="38" t="n">
        <f aca="false">Sens!$D$6706</f>
        <v>128.725</v>
      </c>
      <c r="E6728" s="38" t="n">
        <f aca="false">Sens!$E$6706</f>
        <v>79.819</v>
      </c>
      <c r="F6728" s="38" t="n">
        <f aca="false">Sens!$F$6706</f>
        <v>86.7327334389669</v>
      </c>
      <c r="G6728" s="38" t="n">
        <f aca="false">Sens!$G$6706</f>
        <v>166.551733438967</v>
      </c>
      <c r="H6728" s="38" t="n">
        <f aca="false">Sens!$H$6706</f>
        <v>221.182967828978</v>
      </c>
      <c r="I6728" s="38" t="n">
        <f aca="false">Sens!$I$6706</f>
        <v>280.27345865789</v>
      </c>
      <c r="J6728" s="38" t="n">
        <f aca="false">Sens!$J$6706</f>
        <v>338.800945197185</v>
      </c>
      <c r="K6728" s="38" t="n">
        <f aca="false">Sens!$K$6706</f>
        <v>389.88570147276</v>
      </c>
      <c r="L6728" s="38" t="n">
        <f aca="false">Sens!$L$6706</f>
        <v>430.080689379143</v>
      </c>
      <c r="M6728" s="38" t="n">
        <f aca="false">Sens!$M$6706</f>
        <v>459.456235951751</v>
      </c>
      <c r="N6728" s="38" t="n">
        <f aca="false">Sens!$N$6706</f>
        <v>60.14</v>
      </c>
      <c r="O6728" s="38" t="n">
        <f aca="false">Sens!$O$6706</f>
        <v>68.585</v>
      </c>
    </row>
    <row r="6729" customFormat="false" ht="17.15" hidden="false" customHeight="false" outlineLevel="0" collapsed="false">
      <c r="A6729" s="0" t="s">
        <v>691</v>
      </c>
      <c r="B6729" s="0" t="s">
        <v>86</v>
      </c>
      <c r="C6729" s="38" t="n">
        <f aca="false">Sens!$C$6704</f>
        <v>2.32100535697364</v>
      </c>
      <c r="D6729" s="38" t="n">
        <f aca="false">Sens!$D$6704</f>
        <v>8.70377008865116</v>
      </c>
      <c r="E6729" s="38" t="n">
        <f aca="false">Sens!$E$6704</f>
        <v>8.51035297557002</v>
      </c>
      <c r="F6729" s="38" t="n">
        <f aca="false">Sens!$F$6704</f>
        <v>14.9634336447205</v>
      </c>
      <c r="G6729" s="38" t="n">
        <f aca="false">Sens!$G$6704</f>
        <v>23.4737866202905</v>
      </c>
      <c r="H6729" s="38" t="n">
        <f aca="false">Sens!$H$6704</f>
        <v>60.1658907497746</v>
      </c>
      <c r="I6729" s="38" t="n">
        <f aca="false">Sens!$I$6704</f>
        <v>101.503699136432</v>
      </c>
      <c r="J6729" s="38" t="n">
        <f aca="false">Sens!$J$6704</f>
        <v>143.025407151278</v>
      </c>
      <c r="K6729" s="38" t="n">
        <f aca="false">Sens!$K$6704</f>
        <v>178.44812038318</v>
      </c>
      <c r="L6729" s="38" t="n">
        <f aca="false">Sens!$L$6704</f>
        <v>201.728101802396</v>
      </c>
      <c r="M6729" s="38" t="n">
        <f aca="false">Sens!$M$6704</f>
        <v>212.835441368865</v>
      </c>
      <c r="N6729" s="38" t="n">
        <f aca="false">Sens!$N$6704</f>
        <v>3.04631953102791</v>
      </c>
      <c r="O6729" s="38" t="n">
        <f aca="false">Sens!$O$6704</f>
        <v>5.65745055762326</v>
      </c>
    </row>
    <row r="6730" customFormat="false" ht="17.15" hidden="false" customHeight="false" outlineLevel="0" collapsed="false">
      <c r="A6730" s="0" t="s">
        <v>693</v>
      </c>
      <c r="B6730" s="0" t="s">
        <v>86</v>
      </c>
      <c r="C6730" s="38" t="n">
        <f aca="false">Sens!$C$6705</f>
        <v>105.234994643026</v>
      </c>
      <c r="D6730" s="38" t="n">
        <f aca="false">Sens!$D$6705</f>
        <v>120.021229911349</v>
      </c>
      <c r="E6730" s="38" t="n">
        <f aca="false">Sens!$E$6705</f>
        <v>71.30864702443</v>
      </c>
      <c r="F6730" s="38" t="n">
        <f aca="false">Sens!$F$6705</f>
        <v>71.7692997942464</v>
      </c>
      <c r="G6730" s="38" t="n">
        <f aca="false">Sens!$G$6705</f>
        <v>143.077946818676</v>
      </c>
      <c r="H6730" s="38" t="n">
        <f aca="false">Sens!$H$6705</f>
        <v>161.017077079203</v>
      </c>
      <c r="I6730" s="38" t="n">
        <f aca="false">Sens!$I$6705</f>
        <v>178.769759521457</v>
      </c>
      <c r="J6730" s="38" t="n">
        <f aca="false">Sens!$J$6705</f>
        <v>195.775538045907</v>
      </c>
      <c r="K6730" s="38" t="n">
        <f aca="false">Sens!$K$6705</f>
        <v>211.43758108958</v>
      </c>
      <c r="L6730" s="38" t="n">
        <f aca="false">Sens!$L$6705</f>
        <v>228.352587576746</v>
      </c>
      <c r="M6730" s="38" t="n">
        <f aca="false">Sens!$M$6705</f>
        <v>246.620794582886</v>
      </c>
      <c r="N6730" s="38" t="n">
        <f aca="false">Sens!$N$6705</f>
        <v>57.0936804689721</v>
      </c>
      <c r="O6730" s="38" t="n">
        <f aca="false">Sens!$O$6705</f>
        <v>62.9275494423768</v>
      </c>
    </row>
    <row r="6731" customFormat="false" ht="15" hidden="false" customHeight="false" outlineLevel="0" collapsed="false">
      <c r="A6731" s="3" t="s">
        <v>517</v>
      </c>
      <c r="B6731" s="8" t="s">
        <v>86</v>
      </c>
      <c r="C6731" s="38" t="n">
        <f aca="false">Sens!$C$6707</f>
        <v>637.959</v>
      </c>
      <c r="D6731" s="38" t="n">
        <f aca="false">Sens!$D$6707</f>
        <v>716.924</v>
      </c>
      <c r="E6731" s="38" t="n">
        <f aca="false">Sens!$E$6707</f>
        <v>382.125</v>
      </c>
      <c r="F6731" s="38" t="n">
        <f aca="false">Sens!$F$6707</f>
        <v>435.780975084504</v>
      </c>
      <c r="G6731" s="38" t="n">
        <f aca="false">Sens!$G$6707</f>
        <v>817.905975084504</v>
      </c>
      <c r="H6731" s="38" t="n">
        <f aca="false">Sens!$H$6707</f>
        <v>942.279857350364</v>
      </c>
      <c r="I6731" s="38" t="n">
        <f aca="false">Sens!$I$6707</f>
        <v>1068.80284981042</v>
      </c>
      <c r="J6731" s="38" t="n">
        <f aca="false">Sens!$J$6707</f>
        <v>1189.90935093863</v>
      </c>
      <c r="K6731" s="38" t="n">
        <f aca="false">Sens!$K$6707</f>
        <v>1296.06215690385</v>
      </c>
      <c r="L6731" s="38" t="n">
        <f aca="false">Sens!$L$6707</f>
        <v>1395.17379585473</v>
      </c>
      <c r="M6731" s="38" t="n">
        <f aca="false">Sens!$M$6707</f>
        <v>1487.60414389864</v>
      </c>
      <c r="N6731" s="38" t="n">
        <f aca="false">Sens!$N$6707</f>
        <v>323.369</v>
      </c>
      <c r="O6731" s="38" t="n">
        <f aca="false">Sens!$O$6707</f>
        <v>393.555</v>
      </c>
    </row>
    <row r="6732" customFormat="false" ht="17.15" hidden="false" customHeight="false" outlineLevel="0" collapsed="false">
      <c r="A6732" s="24" t="s">
        <v>703</v>
      </c>
      <c r="B6732" s="25" t="s">
        <v>86</v>
      </c>
      <c r="C6732" s="41" t="n">
        <f aca="false">Sens!$C$6719+Sens!$C$6720+Sens!$C$6721+Sens!$C$6722+Sens!$C$6723+Sens!$C$6724-(Sens!$C$6726+Sens!$C$6727)</f>
        <v>0</v>
      </c>
      <c r="D6732" s="41" t="n">
        <f aca="false">Sens!$D$6719+Sens!$D$6720+Sens!$D$6721+Sens!$D$6722+Sens!$D$6723+Sens!$D$6724-(Sens!$D$6726+Sens!$D$6727)</f>
        <v>0</v>
      </c>
      <c r="E6732" s="41" t="n">
        <f aca="false">Sens!$E$6719+Sens!$E$6720+Sens!$E$6721+Sens!$E$6722+Sens!$E$6723+Sens!$E$6724-(Sens!$E$6726+Sens!$E$6727)</f>
        <v>0</v>
      </c>
      <c r="F6732" s="41" t="n">
        <f aca="false">Sens!$F$6719+Sens!$F$6720+Sens!$F$6721+Sens!$F$6722+Sens!$F$6723+Sens!$F$6724-(Sens!$F$6726+Sens!$F$6727)</f>
        <v>0</v>
      </c>
      <c r="G6732" s="41" t="n">
        <f aca="false">Sens!$G$6719+Sens!$G$6720+Sens!$G$6721+Sens!$G$6722+Sens!$G$6723+Sens!$G$6724-(Sens!$G$6726+Sens!$G$6727)</f>
        <v>0</v>
      </c>
      <c r="H6732" s="41" t="n">
        <f aca="false">Sens!$H$6719+Sens!$H$6720+Sens!$H$6721+Sens!$H$6722+Sens!$H$6723+Sens!$H$6724-(Sens!$H$6726+Sens!$H$6727)</f>
        <v>0</v>
      </c>
      <c r="I6732" s="41" t="n">
        <f aca="false">Sens!$I$6719+Sens!$I$6720+Sens!$I$6721+Sens!$I$6722+Sens!$I$6723+Sens!$I$6724-(Sens!$I$6726+Sens!$I$6727)</f>
        <v>0</v>
      </c>
      <c r="J6732" s="41" t="n">
        <f aca="false">Sens!$J$6719+Sens!$J$6720+Sens!$J$6721+Sens!$J$6722+Sens!$J$6723+Sens!$J$6724-(Sens!$J$6726+Sens!$J$6727)</f>
        <v>0</v>
      </c>
      <c r="K6732" s="41" t="n">
        <f aca="false">Sens!$K$6719+Sens!$K$6720+Sens!$K$6721+Sens!$K$6722+Sens!$K$6723+Sens!$K$6724-(Sens!$K$6726+Sens!$K$6727)</f>
        <v>0</v>
      </c>
      <c r="L6732" s="41" t="n">
        <f aca="false">Sens!$L$6719+Sens!$L$6720+Sens!$L$6721+Sens!$L$6722+Sens!$L$6723+Sens!$L$6724-(Sens!$L$6726+Sens!$L$6727)</f>
        <v>0</v>
      </c>
      <c r="M6732" s="41" t="n">
        <f aca="false">Sens!$M$6719+Sens!$M$6720+Sens!$M$6721+Sens!$M$6722+Sens!$M$6723+Sens!$M$6724-(Sens!$M$6726+Sens!$M$6727)</f>
        <v>0</v>
      </c>
      <c r="N6732" s="41" t="n">
        <f aca="false">Sens!$N$6719+Sens!$N$6720+Sens!$N$6721+Sens!$N$6722+Sens!$N$6723+Sens!$N$6724-(Sens!$N$6726+Sens!$N$6727)</f>
        <v>0</v>
      </c>
      <c r="O6732" s="41" t="n">
        <f aca="false">Sens!$O$6719+Sens!$O$6720+Sens!$O$6721+Sens!$O$6722+Sens!$O$6723+Sens!$O$6724-(Sens!$O$6726+Sens!$O$6727)</f>
        <v>0</v>
      </c>
    </row>
    <row r="6733" customFormat="false" ht="17.15" hidden="false" customHeight="false" outlineLevel="0" collapsed="false">
      <c r="A6733" s="24" t="s">
        <v>704</v>
      </c>
      <c r="B6733" s="25" t="s">
        <v>86</v>
      </c>
      <c r="C6733" s="41" t="n">
        <f aca="false">Sens!$C$6729+Sens!$C$6730-Sens!$C$6728</f>
        <v>0</v>
      </c>
      <c r="D6733" s="41" t="n">
        <f aca="false">Sens!$D$6729+Sens!$D$6730-Sens!$D$6728</f>
        <v>0</v>
      </c>
      <c r="E6733" s="41" t="n">
        <f aca="false">Sens!$E$6729+Sens!$E$6730-Sens!$E$6728</f>
        <v>0</v>
      </c>
      <c r="F6733" s="41" t="n">
        <f aca="false">Sens!$F$6729+Sens!$F$6730-Sens!$F$6728</f>
        <v>0</v>
      </c>
      <c r="G6733" s="41" t="n">
        <f aca="false">Sens!$G$6729+Sens!$G$6730-Sens!$G$6728</f>
        <v>0</v>
      </c>
      <c r="H6733" s="41" t="n">
        <f aca="false">Sens!$H$6729+Sens!$H$6730-Sens!$H$6728</f>
        <v>0</v>
      </c>
      <c r="I6733" s="41" t="n">
        <f aca="false">Sens!$I$6729+Sens!$I$6730-Sens!$I$6728</f>
        <v>0</v>
      </c>
      <c r="J6733" s="41" t="n">
        <f aca="false">Sens!$J$6729+Sens!$J$6730-Sens!$J$6728</f>
        <v>0</v>
      </c>
      <c r="K6733" s="41" t="n">
        <f aca="false">Sens!$K$6729+Sens!$K$6730-Sens!$K$6728</f>
        <v>0</v>
      </c>
      <c r="L6733" s="41" t="n">
        <f aca="false">Sens!$L$6729+Sens!$L$6730-Sens!$L$6728</f>
        <v>0</v>
      </c>
      <c r="M6733" s="41" t="n">
        <f aca="false">Sens!$M$6729+Sens!$M$6730-Sens!$M$6728</f>
        <v>0</v>
      </c>
      <c r="N6733" s="41" t="n">
        <f aca="false">Sens!$N$6729+Sens!$N$6730-Sens!$N$6728</f>
        <v>0</v>
      </c>
      <c r="O6733" s="41" t="n">
        <f aca="false">Sens!$O$6729+Sens!$O$6730-Sens!$O$6728</f>
        <v>0</v>
      </c>
    </row>
    <row r="6734" customFormat="false" ht="17.15" hidden="false" customHeight="false" outlineLevel="0" collapsed="false">
      <c r="A6734" s="24" t="s">
        <v>763</v>
      </c>
      <c r="B6734" s="25" t="s">
        <v>86</v>
      </c>
      <c r="C6734" s="41" t="n">
        <f aca="false">Sens!$C$6719+Sens!$C$6720+Sens!$C$6721+Sens!$C$6722+Sens!$C$6723+Sens!$C$6724+Sens!$C$6725-Sens!$C$6731</f>
        <v>0</v>
      </c>
      <c r="D6734" s="41" t="n">
        <f aca="false">Sens!$D$6719+Sens!$D$6720+Sens!$D$6721+Sens!$D$6722+Sens!$D$6723+Sens!$D$6724+Sens!$D$6725-Sens!$D$6731</f>
        <v>0</v>
      </c>
      <c r="E6734" s="41" t="n">
        <f aca="false">Sens!$E$6719+Sens!$E$6720+Sens!$E$6721+Sens!$E$6722+Sens!$E$6723+Sens!$E$6724+Sens!$E$6725-Sens!$E$6731</f>
        <v>0</v>
      </c>
      <c r="F6734" s="41" t="n">
        <f aca="false">Sens!$F$6719+Sens!$F$6720+Sens!$F$6721+Sens!$F$6722+Sens!$F$6723+Sens!$F$6724+Sens!$F$6725-Sens!$F$6731</f>
        <v>0</v>
      </c>
      <c r="G6734" s="41" t="n">
        <f aca="false">Sens!$G$6719+Sens!$G$6720+Sens!$G$6721+Sens!$G$6722+Sens!$G$6723+Sens!$G$6724+Sens!$G$6725-Sens!$G$6731</f>
        <v>0</v>
      </c>
      <c r="H6734" s="41" t="n">
        <f aca="false">Sens!$H$6719+Sens!$H$6720+Sens!$H$6721+Sens!$H$6722+Sens!$H$6723+Sens!$H$6724+Sens!$H$6725-Sens!$H$6731</f>
        <v>0</v>
      </c>
      <c r="I6734" s="41" t="n">
        <f aca="false">Sens!$I$6719+Sens!$I$6720+Sens!$I$6721+Sens!$I$6722+Sens!$I$6723+Sens!$I$6724+Sens!$I$6725-Sens!$I$6731</f>
        <v>0</v>
      </c>
      <c r="J6734" s="41" t="n">
        <f aca="false">Sens!$J$6719+Sens!$J$6720+Sens!$J$6721+Sens!$J$6722+Sens!$J$6723+Sens!$J$6724+Sens!$J$6725-Sens!$J$6731</f>
        <v>0</v>
      </c>
      <c r="K6734" s="41" t="n">
        <f aca="false">Sens!$K$6719+Sens!$K$6720+Sens!$K$6721+Sens!$K$6722+Sens!$K$6723+Sens!$K$6724+Sens!$K$6725-Sens!$K$6731</f>
        <v>0</v>
      </c>
      <c r="L6734" s="41" t="n">
        <f aca="false">Sens!$L$6719+Sens!$L$6720+Sens!$L$6721+Sens!$L$6722+Sens!$L$6723+Sens!$L$6724+Sens!$L$6725-Sens!$L$6731</f>
        <v>0</v>
      </c>
      <c r="M6734" s="41" t="n">
        <f aca="false">Sens!$M$6719+Sens!$M$6720+Sens!$M$6721+Sens!$M$6722+Sens!$M$6723+Sens!$M$6724+Sens!$M$6725-Sens!$M$6731</f>
        <v>0</v>
      </c>
      <c r="N6734" s="41" t="n">
        <f aca="false">Sens!$N$6719+Sens!$N$6720+Sens!$N$6721+Sens!$N$6722+Sens!$N$6723+Sens!$N$6724+Sens!$N$6725-Sens!$N$6731</f>
        <v>0</v>
      </c>
      <c r="O6734" s="41" t="n">
        <f aca="false">Sens!$O$6719+Sens!$O$6720+Sens!$O$6721+Sens!$O$6722+Sens!$O$6723+Sens!$O$6724+Sens!$O$6725-Sens!$O$6731</f>
        <v>0</v>
      </c>
    </row>
    <row r="6735" customFormat="false" ht="17.15" hidden="false" customHeight="false" outlineLevel="0" collapsed="false">
      <c r="A6735" s="24" t="s">
        <v>705</v>
      </c>
      <c r="B6735" s="25" t="s">
        <v>86</v>
      </c>
      <c r="C6735" s="41" t="n">
        <f aca="false">Sens!$C$6726+Sens!$C$6727+Sens!$C$6728-Sens!$C$6731</f>
        <v>0</v>
      </c>
      <c r="D6735" s="41" t="n">
        <f aca="false">Sens!$D$6726+Sens!$D$6727+Sens!$D$6728-Sens!$D$6731</f>
        <v>0</v>
      </c>
      <c r="E6735" s="41" t="n">
        <f aca="false">Sens!$E$6726+Sens!$E$6727+Sens!$E$6728-Sens!$E$6731</f>
        <v>0</v>
      </c>
      <c r="F6735" s="41" t="n">
        <f aca="false">Sens!$F$6726+Sens!$F$6727+Sens!$F$6728-Sens!$F$6731</f>
        <v>0</v>
      </c>
      <c r="G6735" s="41" t="n">
        <f aca="false">Sens!$G$6726+Sens!$G$6727+Sens!$G$6728-Sens!$G$6731</f>
        <v>0</v>
      </c>
      <c r="H6735" s="41" t="n">
        <f aca="false">Sens!$H$6726+Sens!$H$6727+Sens!$H$6728-Sens!$H$6731</f>
        <v>0</v>
      </c>
      <c r="I6735" s="41" t="n">
        <f aca="false">Sens!$I$6726+Sens!$I$6727+Sens!$I$6728-Sens!$I$6731</f>
        <v>0</v>
      </c>
      <c r="J6735" s="41" t="n">
        <f aca="false">Sens!$J$6726+Sens!$J$6727+Sens!$J$6728-Sens!$J$6731</f>
        <v>0</v>
      </c>
      <c r="K6735" s="41" t="n">
        <f aca="false">Sens!$K$6726+Sens!$K$6727+Sens!$K$6728-Sens!$K$6731</f>
        <v>0</v>
      </c>
      <c r="L6735" s="41" t="n">
        <f aca="false">Sens!$L$6726+Sens!$L$6727+Sens!$L$6728-Sens!$L$6731</f>
        <v>0</v>
      </c>
      <c r="M6735" s="41" t="n">
        <f aca="false">Sens!$M$6726+Sens!$M$6727+Sens!$M$6728-Sens!$M$6731</f>
        <v>0</v>
      </c>
      <c r="N6735" s="41" t="n">
        <f aca="false">Sens!$N$6726+Sens!$N$6727+Sens!$N$6728-Sens!$N$6731</f>
        <v>0</v>
      </c>
      <c r="O6735" s="41" t="n">
        <f aca="false">Sens!$O$6726+Sens!$O$6727+Sens!$O$6728-Sens!$O$6731</f>
        <v>0</v>
      </c>
    </row>
    <row r="6736" customFormat="false" ht="17.15" hidden="false" customHeight="false" outlineLevel="0" collapsed="false">
      <c r="A6736" s="1" t="s">
        <v>719</v>
      </c>
    </row>
    <row r="6737" customFormat="false" ht="17.15" hidden="false" customHeight="false" outlineLevel="0" collapsed="false">
      <c r="A6737" s="0" t="s">
        <v>720</v>
      </c>
      <c r="B6737" s="0" t="s">
        <v>86</v>
      </c>
      <c r="C6737" s="38" t="n">
        <f aca="false">Sens!$C$6641*m_ad</f>
        <v>20.5341564414228</v>
      </c>
      <c r="D6737" s="38" t="n">
        <f aca="false">Sens!$D$6641*m_ad</f>
        <v>24.8720617299587</v>
      </c>
      <c r="E6737" s="38" t="n">
        <f aca="false">Sens!$E$6641*m_ad</f>
        <v>13.5017112462207</v>
      </c>
      <c r="F6737" s="38" t="n">
        <f aca="false">Sens!$F$6641*m_ad</f>
        <v>16.5719724165257</v>
      </c>
      <c r="G6737" s="38" t="n">
        <f aca="false">Sens!$G$6641*m_ad</f>
        <v>30.0820919220415</v>
      </c>
      <c r="H6737" s="38" t="n">
        <f aca="false">Sens!$H$6641*m_ad</f>
        <v>36.1150883276314</v>
      </c>
      <c r="I6737" s="38" t="n">
        <f aca="false">Sens!$I$6641*m_ad</f>
        <v>42.1475382231996</v>
      </c>
      <c r="J6737" s="38" t="n">
        <f aca="false">Sens!$J$6641*m_ad</f>
        <v>47.7749523864693</v>
      </c>
      <c r="K6737" s="38" t="n">
        <f aca="false">Sens!$K$6641*m_ad</f>
        <v>52.5524476251162</v>
      </c>
      <c r="L6737" s="38" t="n">
        <f aca="false">Sens!$L$6641*m_ad</f>
        <v>57.8076923876279</v>
      </c>
      <c r="M6737" s="38" t="n">
        <f aca="false">Sens!$M$6641*m_ad</f>
        <v>63.5884616263907</v>
      </c>
      <c r="N6737" s="38" t="n">
        <f aca="false">Sens!$N$6641*m_ad</f>
        <v>10.8543555706248</v>
      </c>
      <c r="O6737" s="38" t="n">
        <f aca="false">Sens!$O$6641*m_ad</f>
        <v>14.0094731821399</v>
      </c>
    </row>
    <row r="6738" customFormat="false" ht="17.15" hidden="false" customHeight="false" outlineLevel="0" collapsed="false">
      <c r="A6738" s="0" t="s">
        <v>721</v>
      </c>
      <c r="B6738" s="0" t="s">
        <v>86</v>
      </c>
      <c r="C6738" s="38" t="n">
        <f aca="false">Sens!$C$6639-Sens!$C$6641</f>
        <v>346.428687117154</v>
      </c>
      <c r="D6738" s="38" t="n">
        <f aca="false">Sens!$D$6639-Sens!$D$6641</f>
        <v>376.560876540083</v>
      </c>
      <c r="E6738" s="38" t="n">
        <f aca="false">Sens!$E$6639-Sens!$E$6641</f>
        <v>193.316577507559</v>
      </c>
      <c r="F6738" s="38" t="n">
        <f aca="false">Sens!$F$6639-Sens!$F$6641</f>
        <v>217.495828647535</v>
      </c>
      <c r="G6738" s="38" t="n">
        <f aca="false">Sens!$G$6639-Sens!$G$6641</f>
        <v>410.795589636503</v>
      </c>
      <c r="H6738" s="38" t="n">
        <f aca="false">Sens!$H$6639-Sens!$H$6641</f>
        <v>449.156813761174</v>
      </c>
      <c r="I6738" s="38" t="n">
        <f aca="false">Sens!$I$6639-Sens!$I$6641</f>
        <v>485.848786441156</v>
      </c>
      <c r="J6738" s="38" t="n">
        <f aca="false">Sens!$J$6639-Sens!$J$6641</f>
        <v>519.841531018994</v>
      </c>
      <c r="K6738" s="38" t="n">
        <f aca="false">Sens!$K$6639-Sens!$K$6641</f>
        <v>550.103332311311</v>
      </c>
      <c r="L6738" s="38" t="n">
        <f aca="false">Sens!$L$6639-Sens!$L$6641</f>
        <v>582.192354474511</v>
      </c>
      <c r="M6738" s="38" t="n">
        <f aca="false">Sens!$M$6639-Sens!$M$6641</f>
        <v>616.22240521081</v>
      </c>
      <c r="N6738" s="38" t="n">
        <f aca="false">Sens!$N$6639-Sens!$N$6641</f>
        <v>171.24628885875</v>
      </c>
      <c r="O6738" s="38" t="n">
        <f aca="false">Sens!$O$6639-Sens!$O$6641</f>
        <v>205.33105363572</v>
      </c>
    </row>
    <row r="6739" customFormat="false" ht="17.15" hidden="false" customHeight="false" outlineLevel="0" collapsed="false">
      <c r="A6739" s="0" t="s">
        <v>722</v>
      </c>
      <c r="B6739" s="0" t="s">
        <v>86</v>
      </c>
      <c r="C6739" s="38" t="n">
        <f aca="false">Sens!$C$6690*Sens!$C$6638</f>
        <v>0.123617442257179</v>
      </c>
      <c r="D6739" s="38" t="n">
        <f aca="false">Sens!$D$6690*Sens!$D$6638</f>
        <v>0.600198046024689</v>
      </c>
      <c r="E6739" s="38" t="n">
        <f aca="false">Sens!$E$6690*Sens!$E$6638</f>
        <v>0.970552432202993</v>
      </c>
      <c r="F6739" s="38" t="n">
        <f aca="false">Sens!$F$6690*Sens!$F$6638</f>
        <v>1.20013524388435</v>
      </c>
      <c r="G6739" s="38" t="n">
        <f aca="false">Sens!$G$6690*Sens!$G$6638</f>
        <v>2.17135369594947</v>
      </c>
      <c r="H6739" s="38" t="n">
        <f aca="false">Sens!$H$6690*Sens!$H$6638</f>
        <v>6.14227489656333</v>
      </c>
      <c r="I6739" s="38" t="n">
        <f aca="false">Sens!$I$6690*Sens!$I$6638</f>
        <v>11.6518054969681</v>
      </c>
      <c r="J6739" s="38" t="n">
        <f aca="false">Sens!$J$6690*Sens!$J$6638</f>
        <v>17.3105301010592</v>
      </c>
      <c r="K6739" s="38" t="n">
        <f aca="false">Sens!$K$6690*Sens!$K$6638</f>
        <v>22.8486728059883</v>
      </c>
      <c r="L6739" s="38" t="n">
        <f aca="false">Sens!$L$6690*Sens!$L$6638</f>
        <v>26.6849171332777</v>
      </c>
      <c r="M6739" s="38" t="n">
        <f aca="false">Sens!$M$6690*Sens!$M$6638</f>
        <v>29.0523240317336</v>
      </c>
      <c r="N6739" s="38" t="n">
        <f aca="false">Sens!$N$6690*Sens!$N$6638</f>
        <v>0.25053229484398</v>
      </c>
      <c r="O6739" s="38" t="n">
        <f aca="false">Sens!$O$6690*Sens!$O$6638</f>
        <v>0.349234376756897</v>
      </c>
    </row>
    <row r="6740" customFormat="false" ht="17.15" hidden="false" customHeight="false" outlineLevel="0" collapsed="false">
      <c r="A6740" s="0" t="s">
        <v>723</v>
      </c>
      <c r="B6740" s="0" t="s">
        <v>52</v>
      </c>
      <c r="C6740" s="28" t="n">
        <f aca="false">(Sens!$C$6741-Sens!$C$6737+Sens!$C$6739)/Sens!$C$6738</f>
        <v>0.0131526665379575</v>
      </c>
      <c r="D6740" s="28" t="n">
        <f aca="false">(Sens!$D$6741-Sens!$D$6737+Sens!$D$6739)/Sens!$D$6738</f>
        <v>0.0141999252954702</v>
      </c>
      <c r="E6740" s="28" t="n">
        <f aca="false">(Sens!$E$6741-Sens!$E$6737+Sens!$E$6739)/Sens!$E$6738</f>
        <v>0.0251341154940129</v>
      </c>
      <c r="F6740" s="28" t="n">
        <f aca="false">Sens!$O$6740+(Sens!$E$6740-Sens!$N$6740)</f>
        <v>0.0217171685713677</v>
      </c>
      <c r="G6740" s="28" t="n">
        <f aca="false">(Sens!$G$6741-Sens!$G$6737+Sens!$G$6739)/Sens!$G$6738</f>
        <v>0.0233071940458981</v>
      </c>
      <c r="H6740" s="28" t="n">
        <f aca="false">Sens!$G$6740+step_na</f>
        <v>0.0263071940458981</v>
      </c>
      <c r="I6740" s="28" t="n">
        <f aca="false">Sens!$H$6740+step_na</f>
        <v>0.0293071940458981</v>
      </c>
      <c r="J6740" s="28" t="n">
        <f aca="false">Sens!$I$6740+step_na</f>
        <v>0.0323071940458981</v>
      </c>
      <c r="K6740" s="28" t="n">
        <f aca="false">Sens!$J$6740+step_na</f>
        <v>0.0353071940458981</v>
      </c>
      <c r="L6740" s="28" t="n">
        <f aca="false">Sens!$K$6740</f>
        <v>0.0353071940458981</v>
      </c>
      <c r="M6740" s="28" t="n">
        <f aca="false">Sens!$L$6740</f>
        <v>0.0353071940458981</v>
      </c>
      <c r="N6740" s="28" t="n">
        <f aca="false">(Sens!$N$6741-Sens!$N$6737+Sens!$N$6739)/Sens!$N$6738</f>
        <v>0.0160831323269779</v>
      </c>
      <c r="O6740" s="28" t="n">
        <f aca="false">(Sens!$O$6741-Sens!$O$6737+Sens!$O$6739)/Sens!$O$6738</f>
        <v>0.0126661854043327</v>
      </c>
      <c r="P6740" s="8" t="s">
        <v>724</v>
      </c>
    </row>
    <row r="6741" customFormat="false" ht="17.15" hidden="false" customHeight="false" outlineLevel="0" collapsed="false">
      <c r="A6741" s="1" t="s">
        <v>725</v>
      </c>
      <c r="B6741" s="8" t="s">
        <v>86</v>
      </c>
      <c r="C6741" s="38" t="n">
        <f aca="false">Q!$D$22</f>
        <v>24.967</v>
      </c>
      <c r="D6741" s="38" t="n">
        <f aca="false">Q!$E$22</f>
        <v>29.619</v>
      </c>
      <c r="E6741" s="38" t="n">
        <f aca="false">Q!$P$22</f>
        <v>17.39</v>
      </c>
      <c r="F6741" s="38" t="n">
        <f aca="false">Sens!$F$6737+Sens!$F$6738*Sens!$F$6740-Sens!$F$6739</f>
        <v>20.0952307469491</v>
      </c>
      <c r="G6741" s="38" t="n">
        <f aca="false">Sens!$E$6741+Sens!$F$6741</f>
        <v>37.4852307469491</v>
      </c>
      <c r="H6741" s="38" t="n">
        <f aca="false">Sens!$H$6737+Sens!$H$6738*Sens!$H$6740-Sens!$H$6739</f>
        <v>41.7888688877206</v>
      </c>
      <c r="I6741" s="38" t="n">
        <f aca="false">Sens!$I$6737+Sens!$I$6738*Sens!$I$6740-Sens!$I$6739</f>
        <v>44.7345973874265</v>
      </c>
      <c r="J6741" s="38" t="n">
        <f aca="false">Sens!$J$6737+Sens!$J$6738*Sens!$J$6740-Sens!$J$6739</f>
        <v>47.2590435011574</v>
      </c>
      <c r="K6741" s="38" t="n">
        <f aca="false">Sens!$K$6737+Sens!$K$6738*Sens!$K$6740-Sens!$K$6739</f>
        <v>49.1263799183386</v>
      </c>
      <c r="L6741" s="38" t="n">
        <f aca="false">Sens!$L$6737+Sens!$L$6738*Sens!$L$6740-Sens!$L$6739</f>
        <v>51.67835368582</v>
      </c>
      <c r="M6741" s="38" t="n">
        <f aca="false">Sens!$M$6737+Sens!$M$6738*Sens!$M$6740-Sens!$M$6739</f>
        <v>56.2932216308652</v>
      </c>
      <c r="N6741" s="38" t="n">
        <f aca="false">Q!$N$22</f>
        <v>13.358</v>
      </c>
      <c r="O6741" s="38" t="n">
        <f aca="false">Q!$O$22</f>
        <v>16.261</v>
      </c>
    </row>
    <row r="6742" customFormat="false" ht="17.15" hidden="false" customHeight="false" outlineLevel="0" collapsed="false">
      <c r="A6742" s="0" t="s">
        <v>726</v>
      </c>
      <c r="B6742" s="0" t="s">
        <v>86</v>
      </c>
      <c r="C6742" s="38" t="n">
        <f aca="false">Sens!$C$6642*m_ad</f>
        <v>7.57284355857716</v>
      </c>
      <c r="D6742" s="38" t="n">
        <f aca="false">Sens!$D$6642*m_ad</f>
        <v>9.44543827004127</v>
      </c>
      <c r="E6742" s="38" t="n">
        <f aca="false">Sens!$E$6642*m_ad</f>
        <v>5.02428875377928</v>
      </c>
      <c r="F6742" s="38" t="n">
        <f aca="false">Sens!$F$6642*m_ad</f>
        <v>6.50663858068173</v>
      </c>
      <c r="G6742" s="38" t="n">
        <f aca="false">Sens!$G$6642*m_ad</f>
        <v>11.5225190751659</v>
      </c>
      <c r="H6742" s="38" t="n">
        <f aca="false">Sens!$H$6642*m_ad</f>
        <v>13.8333728663174</v>
      </c>
      <c r="I6742" s="38" t="n">
        <f aca="false">Sens!$I$6642*m_ad</f>
        <v>16.1440173245485</v>
      </c>
      <c r="J6742" s="38" t="n">
        <f aca="false">Sens!$J$6642*m_ad</f>
        <v>18.2995185845066</v>
      </c>
      <c r="K6742" s="38" t="n">
        <f aca="false">Sens!$K$6642*m_ad</f>
        <v>20.1294704429572</v>
      </c>
      <c r="L6742" s="38" t="n">
        <f aca="false">Sens!$L$6642*m_ad</f>
        <v>22.142417487253</v>
      </c>
      <c r="M6742" s="38" t="n">
        <f aca="false">Sens!$M$6642*m_ad</f>
        <v>24.3566592359783</v>
      </c>
      <c r="N6742" s="38" t="n">
        <f aca="false">Sens!$N$6642*m_ad</f>
        <v>3.95314442937518</v>
      </c>
      <c r="O6742" s="38" t="n">
        <f aca="false">Sens!$O$6642*m_ad</f>
        <v>5.50052681786011</v>
      </c>
    </row>
    <row r="6743" customFormat="false" ht="17.15" hidden="false" customHeight="false" outlineLevel="0" collapsed="false">
      <c r="A6743" s="0" t="s">
        <v>727</v>
      </c>
      <c r="B6743" s="0" t="s">
        <v>86</v>
      </c>
      <c r="C6743" s="38" t="n">
        <f aca="false">Sens!$C$6640-Sens!$C$6642</f>
        <v>127.760312882846</v>
      </c>
      <c r="D6743" s="38" t="n">
        <f aca="false">Sens!$D$6640-Sens!$D$6642</f>
        <v>143.003123459917</v>
      </c>
      <c r="E6743" s="38" t="n">
        <f aca="false">Sens!$E$6640-Sens!$E$6642</f>
        <v>71.9374224924414</v>
      </c>
      <c r="F6743" s="38" t="n">
        <f aca="false">Sens!$F$6640-Sens!$F$6642</f>
        <v>85.3951910035875</v>
      </c>
      <c r="G6743" s="38" t="n">
        <f aca="false">Sens!$G$6640-Sens!$G$6642</f>
        <v>157.349430014619</v>
      </c>
      <c r="H6743" s="38" t="n">
        <f aca="false">Sens!$H$6640-Sens!$H$6642</f>
        <v>172.043153372315</v>
      </c>
      <c r="I6743" s="38" t="n">
        <f aca="false">Sens!$I$6640-Sens!$I$6642</f>
        <v>186.097493615879</v>
      </c>
      <c r="J6743" s="38" t="n">
        <f aca="false">Sens!$J$6640-Sens!$J$6642</f>
        <v>199.117932780497</v>
      </c>
      <c r="K6743" s="38" t="n">
        <f aca="false">Sens!$K$6640-Sens!$K$6642</f>
        <v>210.70928698363</v>
      </c>
      <c r="L6743" s="38" t="n">
        <f aca="false">Sens!$L$6640-Sens!$L$6642</f>
        <v>223.000532251316</v>
      </c>
      <c r="M6743" s="38" t="n">
        <f aca="false">Sens!$M$6640-Sens!$M$6642</f>
        <v>236.035261011339</v>
      </c>
      <c r="N6743" s="38" t="n">
        <f aca="false">Sens!$N$6640-Sens!$N$6642</f>
        <v>62.3677111412496</v>
      </c>
      <c r="O6743" s="38" t="n">
        <f aca="false">Sens!$O$6640-Sens!$O$6642</f>
        <v>80.6189463642798</v>
      </c>
    </row>
    <row r="6744" customFormat="false" ht="17.15" hidden="false" customHeight="false" outlineLevel="0" collapsed="false">
      <c r="A6744" s="0" t="s">
        <v>728</v>
      </c>
      <c r="B6744" s="0" t="s">
        <v>86</v>
      </c>
      <c r="C6744" s="38" t="n">
        <f aca="false">Sens!$C$6690*(1-Sens!$C$6638)</f>
        <v>0.0455891896019953</v>
      </c>
      <c r="D6744" s="38" t="n">
        <f aca="false">Sens!$D$6690*(1-Sens!$D$6638)</f>
        <v>0.227931791705753</v>
      </c>
      <c r="E6744" s="38" t="n">
        <f aca="false">Sens!$E$6690*(1-Sens!$E$6638)</f>
        <v>0.361164268820781</v>
      </c>
      <c r="F6744" s="38" t="n">
        <f aca="false">Sens!$F$6690*(1-Sens!$F$6638)</f>
        <v>0.471208018190203</v>
      </c>
      <c r="G6744" s="38" t="n">
        <f aca="false">Sens!$G$6690*(1-Sens!$G$6638)</f>
        <v>0.83170626714885</v>
      </c>
      <c r="H6744" s="38" t="n">
        <f aca="false">Sens!$H$6690*(1-Sens!$H$6638)</f>
        <v>2.35271136874315</v>
      </c>
      <c r="I6744" s="38" t="n">
        <f aca="false">Sens!$I$6690*(1-Sens!$I$6638)</f>
        <v>4.46305900024741</v>
      </c>
      <c r="J6744" s="38" t="n">
        <f aca="false">Sens!$J$6690*(1-Sens!$J$6638)</f>
        <v>6.63055328092195</v>
      </c>
      <c r="K6744" s="38" t="n">
        <f aca="false">Sens!$K$6690*(1-Sens!$K$6638)</f>
        <v>8.75186037365703</v>
      </c>
      <c r="L6744" s="38" t="n">
        <f aca="false">Sens!$L$6690*(1-Sens!$L$6638)</f>
        <v>10.2212794071718</v>
      </c>
      <c r="M6744" s="38" t="n">
        <f aca="false">Sens!$M$6690*(1-Sens!$M$6638)</f>
        <v>11.1280810756472</v>
      </c>
      <c r="N6744" s="38" t="n">
        <f aca="false">Sens!$N$6690*(1-Sens!$N$6638)</f>
        <v>0.0912435878202994</v>
      </c>
      <c r="O6744" s="38" t="n">
        <f aca="false">Sens!$O$6690*(1-Sens!$O$6638)</f>
        <v>0.137119578309265</v>
      </c>
    </row>
    <row r="6745" customFormat="false" ht="17.15" hidden="false" customHeight="false" outlineLevel="0" collapsed="false">
      <c r="A6745" s="0" t="s">
        <v>729</v>
      </c>
      <c r="B6745" s="0" t="s">
        <v>52</v>
      </c>
      <c r="C6745" s="28" t="n">
        <f aca="false">(Sens!$C$6746-Sens!$C$6742+Sens!$C$6744)/Sens!$C$6743</f>
        <v>-0.0292364215826579</v>
      </c>
      <c r="D6745" s="28" t="n">
        <f aca="false">(Sens!$D$6746-Sens!$D$6742+Sens!$D$6744)/Sens!$D$6743</f>
        <v>-0.0312406216748665</v>
      </c>
      <c r="E6745" s="28" t="n">
        <f aca="false">(Sens!$E$6746-Sens!$E$6742+Sens!$E$6744)/Sens!$E$6743</f>
        <v>-0.0211590078184749</v>
      </c>
      <c r="F6745" s="28" t="n">
        <f aca="false">Sens!$O$6745+(Sens!$E$6745-Sens!$N$6745)</f>
        <v>-0.0382539955245511</v>
      </c>
      <c r="G6745" s="28" t="n">
        <f aca="false">(Sens!$G$6746-Sens!$G$6742+Sens!$G$6744)/Sens!$G$6743</f>
        <v>-0.030385172031133</v>
      </c>
      <c r="H6745" s="28" t="n">
        <f aca="false">Sens!$G$6745+step_in</f>
        <v>-0.030385172031133</v>
      </c>
      <c r="I6745" s="28" t="n">
        <f aca="false">Sens!$H$6745+step_in</f>
        <v>-0.030385172031133</v>
      </c>
      <c r="J6745" s="28" t="n">
        <f aca="false">Sens!$I$6745+step_in</f>
        <v>-0.030385172031133</v>
      </c>
      <c r="K6745" s="28" t="n">
        <f aca="false">Sens!$J$6745+step_in</f>
        <v>-0.030385172031133</v>
      </c>
      <c r="L6745" s="28" t="n">
        <f aca="false">Sens!$K$6745</f>
        <v>-0.030385172031133</v>
      </c>
      <c r="M6745" s="28" t="n">
        <f aca="false">Sens!$L$6745</f>
        <v>-0.030385172031133</v>
      </c>
      <c r="N6745" s="28" t="n">
        <f aca="false">(Sens!$N$6746-Sens!$N$6742+Sens!$N$6744)/Sens!$N$6743</f>
        <v>-0.0216602600421776</v>
      </c>
      <c r="O6745" s="28" t="n">
        <f aca="false">(Sens!$O$6746-Sens!$O$6742+Sens!$O$6744)/Sens!$O$6743</f>
        <v>-0.0387552477482538</v>
      </c>
      <c r="P6745" s="8" t="s">
        <v>724</v>
      </c>
    </row>
    <row r="6746" customFormat="false" ht="17.15" hidden="false" customHeight="false" outlineLevel="0" collapsed="false">
      <c r="A6746" s="1" t="s">
        <v>730</v>
      </c>
      <c r="B6746" s="8" t="s">
        <v>86</v>
      </c>
      <c r="C6746" s="38" t="n">
        <f aca="false">Q!$D$23</f>
        <v>3.792</v>
      </c>
      <c r="D6746" s="38" t="n">
        <f aca="false">Q!$E$23</f>
        <v>4.75</v>
      </c>
      <c r="E6746" s="38" t="n">
        <f aca="false">Q!$P$23</f>
        <v>3.141</v>
      </c>
      <c r="F6746" s="38" t="n">
        <f aca="false">Sens!$F$6742+Sens!$F$6743*Sens!$F$6745-Sens!$F$6744</f>
        <v>2.7687233080221</v>
      </c>
      <c r="G6746" s="38" t="n">
        <f aca="false">Sens!$E$6746+Sens!$F$6746</f>
        <v>5.9097233080221</v>
      </c>
      <c r="H6746" s="38" t="n">
        <f aca="false">Sens!$H$6742+Sens!$H$6743*Sens!$H$6745-Sens!$H$6744</f>
        <v>6.25310068557783</v>
      </c>
      <c r="I6746" s="38" t="n">
        <f aca="false">Sens!$I$6742+Sens!$I$6743*Sens!$I$6745-Sens!$I$6744</f>
        <v>6.02635396621997</v>
      </c>
      <c r="J6746" s="38" t="n">
        <f aca="false">Sens!$J$6742+Sens!$J$6743*Sens!$J$6745-Sens!$J$6744</f>
        <v>5.61873266156566</v>
      </c>
      <c r="K6746" s="38" t="n">
        <f aca="false">Sens!$K$6742+Sens!$K$6743*Sens!$K$6745-Sens!$K$6744</f>
        <v>4.97517213574524</v>
      </c>
      <c r="L6746" s="38" t="n">
        <f aca="false">Sens!$L$6742+Sens!$L$6743*Sens!$L$6745-Sens!$L$6744</f>
        <v>5.14522854459066</v>
      </c>
      <c r="M6746" s="38" t="n">
        <f aca="false">Sens!$M$6742+Sens!$M$6743*Sens!$M$6745-Sens!$M$6744</f>
        <v>6.05660614908815</v>
      </c>
      <c r="N6746" s="38" t="n">
        <f aca="false">Q!$N$23</f>
        <v>2.511</v>
      </c>
      <c r="O6746" s="38" t="n">
        <f aca="false">Q!$O$23</f>
        <v>2.239</v>
      </c>
    </row>
    <row r="6747" customFormat="false" ht="17.15" hidden="false" customHeight="false" outlineLevel="0" collapsed="false">
      <c r="A6747" s="0" t="s">
        <v>731</v>
      </c>
      <c r="B6747" s="0" t="s">
        <v>86</v>
      </c>
      <c r="C6747" s="38" t="n">
        <f aca="false">Sens!$C$6687</f>
        <v>1.64417882953695</v>
      </c>
      <c r="D6747" s="38" t="n">
        <f aca="false">Sens!$D$6687</f>
        <v>5.39125073772939</v>
      </c>
      <c r="E6747" s="38" t="n">
        <f aca="false">Sens!$E$6687</f>
        <v>3.18348617147493</v>
      </c>
      <c r="F6747" s="38" t="n">
        <f aca="false">Sens!$F$6687</f>
        <v>8.27806059642226</v>
      </c>
      <c r="G6747" s="38" t="n">
        <f aca="false">Sens!$G$6687</f>
        <v>11.4615467678972</v>
      </c>
      <c r="H6747" s="38" t="n">
        <f aca="false">Sens!$H$6687</f>
        <v>26.1859456885487</v>
      </c>
      <c r="I6747" s="38" t="n">
        <f aca="false">Sens!$I$6687</f>
        <v>37.04424114757</v>
      </c>
      <c r="J6747" s="38" t="n">
        <f aca="false">Sens!$J$6687</f>
        <v>47.2610736233534</v>
      </c>
      <c r="K6747" s="38" t="n">
        <f aca="false">Sens!$K$6687</f>
        <v>52.0459876645985</v>
      </c>
      <c r="L6747" s="38" t="n">
        <f aca="false">Sens!$L$6687</f>
        <v>54.1033156405981</v>
      </c>
      <c r="M6747" s="38" t="n">
        <f aca="false">Sens!$M$6687</f>
        <v>52.1138209393421</v>
      </c>
      <c r="N6747" s="38" t="n">
        <f aca="false">Sens!$N$6687</f>
        <v>1.67921600037079</v>
      </c>
      <c r="O6747" s="38" t="n">
        <f aca="false">Sens!$O$6687</f>
        <v>3.71203473735861</v>
      </c>
    </row>
    <row r="6748" customFormat="false" ht="17.15" hidden="false" customHeight="false" outlineLevel="0" collapsed="false">
      <c r="A6748" s="0" t="s">
        <v>649</v>
      </c>
      <c r="B6748" s="0" t="s">
        <v>86</v>
      </c>
      <c r="C6748" s="38" t="n">
        <f aca="false">Sens!$C$6692</f>
        <v>38.1898211704631</v>
      </c>
      <c r="D6748" s="38" t="n">
        <f aca="false">Sens!$D$6692</f>
        <v>40.2147492622706</v>
      </c>
      <c r="E6748" s="38" t="n">
        <f aca="false">Sens!$E$6692</f>
        <v>27.5985138285251</v>
      </c>
      <c r="F6748" s="38" t="n">
        <f aca="false">Sens!$F$6692</f>
        <v>25.5484769754606</v>
      </c>
      <c r="G6748" s="38" t="n">
        <f aca="false">Sens!$G$6692</f>
        <v>53.1469908039857</v>
      </c>
      <c r="H6748" s="38" t="n">
        <f aca="false">Sens!$H$6692</f>
        <v>57.3189525076539</v>
      </c>
      <c r="I6748" s="38" t="n">
        <f aca="false">Sens!$I$6692</f>
        <v>63.6385627021087</v>
      </c>
      <c r="J6748" s="38" t="n">
        <f aca="false">Sens!$J$6692</f>
        <v>69.6922896066105</v>
      </c>
      <c r="K6748" s="38" t="n">
        <f aca="false">Sens!$K$6692</f>
        <v>75.2676727751394</v>
      </c>
      <c r="L6748" s="38" t="n">
        <f aca="false">Sens!$L$6692</f>
        <v>81.2890865971505</v>
      </c>
      <c r="M6748" s="38" t="n">
        <f aca="false">Sens!$M$6692</f>
        <v>87.7922135249226</v>
      </c>
      <c r="N6748" s="38" t="n">
        <f aca="false">Sens!$N$6692</f>
        <v>20.0277839996292</v>
      </c>
      <c r="O6748" s="38" t="n">
        <f aca="false">Sens!$O$6692</f>
        <v>20.1869652626414</v>
      </c>
    </row>
    <row r="6749" customFormat="false" ht="17.15" hidden="false" customHeight="false" outlineLevel="0" collapsed="false">
      <c r="A6749" s="1" t="s">
        <v>732</v>
      </c>
      <c r="B6749" s="8" t="s">
        <v>86</v>
      </c>
      <c r="C6749" s="38" t="n">
        <f aca="false">Q!$D$24</f>
        <v>39.834</v>
      </c>
      <c r="D6749" s="38" t="n">
        <f aca="false">Q!$E$24</f>
        <v>45.606</v>
      </c>
      <c r="E6749" s="38" t="n">
        <f aca="false">Q!$P$24</f>
        <v>30.782</v>
      </c>
      <c r="F6749" s="38" t="n">
        <f aca="false">Sens!$F$6747+Sens!$F$6748</f>
        <v>33.8265375718829</v>
      </c>
      <c r="G6749" s="38" t="n">
        <f aca="false">Sens!$G$6747+Sens!$G$6748</f>
        <v>64.6085375718829</v>
      </c>
      <c r="H6749" s="38" t="n">
        <f aca="false">Sens!$H$6747+Sens!$H$6748</f>
        <v>83.5048981962026</v>
      </c>
      <c r="I6749" s="38" t="n">
        <f aca="false">Sens!$I$6747+Sens!$I$6748</f>
        <v>100.682803849679</v>
      </c>
      <c r="J6749" s="38" t="n">
        <f aca="false">Sens!$J$6747+Sens!$J$6748</f>
        <v>116.953363229964</v>
      </c>
      <c r="K6749" s="38" t="n">
        <f aca="false">Sens!$K$6747+Sens!$K$6748</f>
        <v>127.313660439738</v>
      </c>
      <c r="L6749" s="38" t="n">
        <f aca="false">Sens!$L$6747+Sens!$L$6748</f>
        <v>135.392402237749</v>
      </c>
      <c r="M6749" s="38" t="n">
        <f aca="false">Sens!$M$6747+Sens!$M$6748</f>
        <v>139.906034464265</v>
      </c>
      <c r="N6749" s="38" t="n">
        <f aca="false">Q!$N$24</f>
        <v>21.707</v>
      </c>
      <c r="O6749" s="38" t="n">
        <f aca="false">Q!$O$24</f>
        <v>23.899</v>
      </c>
    </row>
    <row r="6750" customFormat="false" ht="17.15" hidden="false" customHeight="false" outlineLevel="0" collapsed="false">
      <c r="A6750" s="5" t="s">
        <v>733</v>
      </c>
      <c r="B6750" s="0" t="s">
        <v>86</v>
      </c>
      <c r="C6750" s="38" t="n">
        <f aca="false">Q!$D$26</f>
        <v>0</v>
      </c>
      <c r="D6750" s="38" t="n">
        <f aca="false">Q!$E$26</f>
        <v>0</v>
      </c>
      <c r="E6750" s="38" t="n">
        <f aca="false">Q!$P$26</f>
        <v>0</v>
      </c>
      <c r="F6750" s="39" t="n">
        <v>0</v>
      </c>
      <c r="G6750" s="38" t="n">
        <f aca="false">Sens!$E$6750+Sens!$F$6750</f>
        <v>0</v>
      </c>
      <c r="H6750" s="39" t="n">
        <v>0</v>
      </c>
      <c r="I6750" s="39" t="n">
        <v>0</v>
      </c>
      <c r="J6750" s="39" t="n">
        <v>0</v>
      </c>
      <c r="K6750" s="39" t="n">
        <v>0</v>
      </c>
      <c r="L6750" s="39" t="n">
        <v>0</v>
      </c>
      <c r="M6750" s="39" t="n">
        <v>0</v>
      </c>
      <c r="N6750" s="38" t="n">
        <f aca="false">Q!$N$26</f>
        <v>0</v>
      </c>
      <c r="O6750" s="38" t="n">
        <f aca="false">Q!$O$26</f>
        <v>0</v>
      </c>
    </row>
    <row r="6751" customFormat="false" ht="15" hidden="false" customHeight="false" outlineLevel="0" collapsed="false">
      <c r="A6751" s="3" t="s">
        <v>534</v>
      </c>
      <c r="B6751" s="8" t="s">
        <v>86</v>
      </c>
      <c r="C6751" s="38" t="n">
        <f aca="false">Q!$D$25</f>
        <v>68.593</v>
      </c>
      <c r="D6751" s="38" t="n">
        <f aca="false">Q!$E$25</f>
        <v>79.975</v>
      </c>
      <c r="E6751" s="38" t="n">
        <f aca="false">Q!$P$25</f>
        <v>51.313</v>
      </c>
      <c r="F6751" s="38" t="n">
        <f aca="false">Sens!$F$6741+Sens!$F$6746+Sens!$F$6749+Sens!$F$6750</f>
        <v>56.6904916268541</v>
      </c>
      <c r="G6751" s="38" t="n">
        <f aca="false">Sens!$G$6741+Sens!$G$6746+Sens!$G$6749+Sens!$G$6750</f>
        <v>108.003491626854</v>
      </c>
      <c r="H6751" s="38" t="n">
        <f aca="false">Sens!$H$6741+Sens!$H$6746+Sens!$H$6749+Sens!$H$6750</f>
        <v>131.546867769501</v>
      </c>
      <c r="I6751" s="38" t="n">
        <f aca="false">Sens!$I$6741+Sens!$I$6746+Sens!$I$6749+Sens!$I$6750</f>
        <v>151.443755203325</v>
      </c>
      <c r="J6751" s="38" t="n">
        <f aca="false">Sens!$J$6741+Sens!$J$6746+Sens!$J$6749+Sens!$J$6750</f>
        <v>169.831139392687</v>
      </c>
      <c r="K6751" s="38" t="n">
        <f aca="false">Sens!$K$6741+Sens!$K$6746+Sens!$K$6749+Sens!$K$6750</f>
        <v>181.415212493822</v>
      </c>
      <c r="L6751" s="38" t="n">
        <f aca="false">Sens!$L$6741+Sens!$L$6746+Sens!$L$6749+Sens!$L$6750</f>
        <v>192.215984468159</v>
      </c>
      <c r="M6751" s="38" t="n">
        <f aca="false">Sens!$M$6741+Sens!$M$6746+Sens!$M$6749+Sens!$M$6750</f>
        <v>202.255862244218</v>
      </c>
      <c r="N6751" s="38" t="n">
        <f aca="false">Q!$N$25</f>
        <v>37.576</v>
      </c>
      <c r="O6751" s="38" t="n">
        <f aca="false">Q!$O$25</f>
        <v>42.399</v>
      </c>
    </row>
    <row r="6752" customFormat="false" ht="17.15" hidden="false" customHeight="false" outlineLevel="0" collapsed="false">
      <c r="A6752" s="24" t="s">
        <v>764</v>
      </c>
      <c r="B6752" s="25" t="s">
        <v>86</v>
      </c>
      <c r="C6752" s="41" t="n">
        <f aca="false">Sens!$C$6741+Sens!$C$6746+Sens!$C$6749+Sens!$C$6750-Sens!$C$6751</f>
        <v>0</v>
      </c>
      <c r="D6752" s="41" t="n">
        <f aca="false">Sens!$D$6741+Sens!$D$6746+Sens!$D$6749+Sens!$D$6750-Sens!$D$6751</f>
        <v>0</v>
      </c>
      <c r="E6752" s="41" t="n">
        <f aca="false">Sens!$E$6741+Sens!$E$6746+Sens!$E$6749+Sens!$E$6750-Sens!$E$6751</f>
        <v>0</v>
      </c>
      <c r="F6752" s="41" t="n">
        <f aca="false">Sens!$F$6741+Sens!$F$6746+Sens!$F$6749+Sens!$F$6750-Sens!$F$6751</f>
        <v>0</v>
      </c>
      <c r="G6752" s="41" t="n">
        <f aca="false">Sens!$G$6741+Sens!$G$6746+Sens!$G$6749+Sens!$G$6750-Sens!$G$6751</f>
        <v>0</v>
      </c>
      <c r="H6752" s="41" t="n">
        <f aca="false">Sens!$H$6741+Sens!$H$6746+Sens!$H$6749+Sens!$H$6750-Sens!$H$6751</f>
        <v>0</v>
      </c>
      <c r="I6752" s="41" t="n">
        <f aca="false">Sens!$I$6741+Sens!$I$6746+Sens!$I$6749+Sens!$I$6750-Sens!$I$6751</f>
        <v>0</v>
      </c>
      <c r="J6752" s="41" t="n">
        <f aca="false">Sens!$J$6741+Sens!$J$6746+Sens!$J$6749+Sens!$J$6750-Sens!$J$6751</f>
        <v>0</v>
      </c>
      <c r="K6752" s="41" t="n">
        <f aca="false">Sens!$K$6741+Sens!$K$6746+Sens!$K$6749+Sens!$K$6750-Sens!$K$6751</f>
        <v>0</v>
      </c>
      <c r="L6752" s="41" t="n">
        <f aca="false">Sens!$L$6741+Sens!$L$6746+Sens!$L$6749+Sens!$L$6750-Sens!$L$6751</f>
        <v>0</v>
      </c>
      <c r="M6752" s="41" t="n">
        <f aca="false">Sens!$M$6741+Sens!$M$6746+Sens!$M$6749+Sens!$M$6750-Sens!$M$6751</f>
        <v>0</v>
      </c>
      <c r="N6752" s="41" t="n">
        <f aca="false">Sens!$N$6741+Sens!$N$6746+Sens!$N$6749+Sens!$N$6750-Sens!$N$6751</f>
        <v>0</v>
      </c>
      <c r="O6752" s="41" t="n">
        <f aca="false">Sens!$O$6741+Sens!$O$6746+Sens!$O$6749+Sens!$O$6750-Sens!$O$6751</f>
        <v>0</v>
      </c>
    </row>
    <row r="6753" customFormat="false" ht="17.15" hidden="false" customHeight="false" outlineLevel="0" collapsed="false">
      <c r="A6753" s="5" t="s">
        <v>735</v>
      </c>
      <c r="B6753" s="0" t="s">
        <v>86</v>
      </c>
      <c r="C6753" s="38" t="n">
        <f aca="false">Sens!$C$6689</f>
        <v>0</v>
      </c>
      <c r="D6753" s="38" t="n">
        <f aca="false">Sens!$D$6689</f>
        <v>0</v>
      </c>
      <c r="E6753" s="38" t="n">
        <f aca="false">Sens!$E$6689</f>
        <v>0</v>
      </c>
      <c r="F6753" s="38" t="n">
        <f aca="false">Sens!$F$6689</f>
        <v>3.77122048175818</v>
      </c>
      <c r="G6753" s="38" t="n">
        <f aca="false">Sens!$G$6689</f>
        <v>3.77122048175818</v>
      </c>
      <c r="H6753" s="38" t="n">
        <f aca="false">Sens!$H$6689</f>
        <v>15.1635543609893</v>
      </c>
      <c r="I6753" s="38" t="n">
        <f aca="false">Sens!$I$6689</f>
        <v>25.5818843619889</v>
      </c>
      <c r="J6753" s="38" t="n">
        <f aca="false">Sens!$J$6689</f>
        <v>36.0465624179122</v>
      </c>
      <c r="K6753" s="38" t="n">
        <f aca="false">Sens!$K$6689</f>
        <v>44.9741164026038</v>
      </c>
      <c r="L6753" s="38" t="n">
        <f aca="false">Sens!$L$6689</f>
        <v>50.8413488057813</v>
      </c>
      <c r="M6753" s="38" t="n">
        <f aca="false">Sens!$M$6689</f>
        <v>53.6407214274315</v>
      </c>
      <c r="N6753" s="38" t="n">
        <f aca="false">Sens!$N$6689</f>
        <v>0</v>
      </c>
      <c r="O6753" s="38" t="n">
        <f aca="false">Sens!$O$6689</f>
        <v>0</v>
      </c>
      <c r="P6753" s="5" t="s">
        <v>736</v>
      </c>
    </row>
    <row r="6754" customFormat="false" ht="17.15" hidden="false" customHeight="false" outlineLevel="0" collapsed="false">
      <c r="A6754" s="5" t="s">
        <v>737</v>
      </c>
      <c r="B6754" s="0" t="s">
        <v>86</v>
      </c>
      <c r="C6754" s="38" t="n">
        <f aca="false">Sens!$C$6751+Sens!$C$6753</f>
        <v>68.593</v>
      </c>
      <c r="D6754" s="38" t="n">
        <f aca="false">Sens!$D$6751+Sens!$D$6753</f>
        <v>79.975</v>
      </c>
      <c r="E6754" s="38" t="n">
        <f aca="false">Sens!$E$6751+Sens!$E$6753</f>
        <v>51.313</v>
      </c>
      <c r="F6754" s="38" t="n">
        <f aca="false">Sens!$F$6751+Sens!$F$6753</f>
        <v>60.4617121086123</v>
      </c>
      <c r="G6754" s="38" t="n">
        <f aca="false">Sens!$G$6751+Sens!$G$6753</f>
        <v>111.774712108612</v>
      </c>
      <c r="H6754" s="38" t="n">
        <f aca="false">Sens!$H$6751+Sens!$H$6753</f>
        <v>146.71042213049</v>
      </c>
      <c r="I6754" s="38" t="n">
        <f aca="false">Sens!$I$6751+Sens!$I$6753</f>
        <v>177.025639565314</v>
      </c>
      <c r="J6754" s="38" t="n">
        <f aca="false">Sens!$J$6751+Sens!$J$6753</f>
        <v>205.877701810599</v>
      </c>
      <c r="K6754" s="38" t="n">
        <f aca="false">Sens!$K$6751+Sens!$K$6753</f>
        <v>226.389328896426</v>
      </c>
      <c r="L6754" s="38" t="n">
        <f aca="false">Sens!$L$6751+Sens!$L$6753</f>
        <v>243.057333273941</v>
      </c>
      <c r="M6754" s="38" t="n">
        <f aca="false">Sens!$M$6751+Sens!$M$6753</f>
        <v>255.896583671649</v>
      </c>
      <c r="N6754" s="38" t="n">
        <f aca="false">Sens!$N$6751+Sens!$N$6753</f>
        <v>37.576</v>
      </c>
      <c r="O6754" s="38" t="n">
        <f aca="false">Sens!$O$6751+Sens!$O$6753</f>
        <v>42.399</v>
      </c>
    </row>
    <row r="6755" customFormat="false" ht="17.15" hidden="false" customHeight="false" outlineLevel="0" collapsed="false">
      <c r="A6755" s="0" t="s">
        <v>738</v>
      </c>
      <c r="B6755" s="0" t="s">
        <v>52</v>
      </c>
      <c r="C6755" s="13" t="n">
        <f aca="false">Sens!$C$6741/Sens!$C$6726</f>
        <v>0.0644314665661928</v>
      </c>
      <c r="D6755" s="13" t="n">
        <f aca="false">Sens!$D$6741/Sens!$D$6726</f>
        <v>0.0694784250712518</v>
      </c>
      <c r="E6755" s="13" t="n">
        <f aca="false">Sens!$E$6741/Sens!$E$6726</f>
        <v>0.0789306463326071</v>
      </c>
      <c r="F6755" s="13" t="n">
        <f aca="false">Sens!$F$6741/Sens!$F$6726</f>
        <v>0.0801757457241943</v>
      </c>
      <c r="G6755" s="13" t="n">
        <f aca="false">Sens!$G$6741/Sens!$G$6726</f>
        <v>0.0795932749625682</v>
      </c>
      <c r="H6755" s="13" t="n">
        <f aca="false">Sens!$H$6741/Sens!$H$6726</f>
        <v>0.0801494276915951</v>
      </c>
      <c r="I6755" s="13" t="n">
        <f aca="false">Sens!$I$6741/Sens!$I$6726</f>
        <v>0.0784619467108939</v>
      </c>
      <c r="J6755" s="13" t="n">
        <f aca="false">Sens!$J$6741/Sens!$J$6726</f>
        <v>0.0767950945569155</v>
      </c>
      <c r="K6755" s="13" t="n">
        <f aca="false">Sens!$K$6741/Sens!$K$6726</f>
        <v>0.0749782708028101</v>
      </c>
      <c r="L6755" s="13" t="n">
        <f aca="false">Sens!$L$6741/Sens!$L$6726</f>
        <v>0.0740581549602486</v>
      </c>
      <c r="M6755" s="13" t="n">
        <f aca="false">Sens!$M$6741/Sens!$M$6726</f>
        <v>0.075724068445432</v>
      </c>
      <c r="N6755" s="13" t="n">
        <f aca="false">Sens!$N$6741/Sens!$N$6726</f>
        <v>0.069228576611127</v>
      </c>
      <c r="O6755" s="13" t="n">
        <f aca="false">Sens!$O$6741/Sens!$O$6726</f>
        <v>0.069685022498393</v>
      </c>
    </row>
    <row r="6756" customFormat="false" ht="17.15" hidden="false" customHeight="false" outlineLevel="0" collapsed="false">
      <c r="A6756" s="0" t="s">
        <v>739</v>
      </c>
      <c r="B6756" s="0" t="s">
        <v>52</v>
      </c>
      <c r="C6756" s="13" t="n">
        <f aca="false">Sens!$C$6746/Sens!$C$6727</f>
        <v>0.026534925055631</v>
      </c>
      <c r="D6756" s="13" t="n">
        <f aca="false">Sens!$D$6746/Sens!$D$6727</f>
        <v>0.0293401855535103</v>
      </c>
      <c r="E6756" s="13" t="n">
        <f aca="false">Sens!$E$6746/Sens!$E$6727</f>
        <v>0.03831141902276</v>
      </c>
      <c r="F6756" s="13" t="n">
        <f aca="false">Sens!$F$6746/Sens!$F$6727</f>
        <v>0.0281350107328284</v>
      </c>
      <c r="G6756" s="13" t="n">
        <f aca="false">Sens!$G$6746/Sens!$G$6727</f>
        <v>0.0327600029432073</v>
      </c>
      <c r="H6756" s="13" t="n">
        <f aca="false">Sens!$H$6746/Sens!$H$6727</f>
        <v>0.031310920057557</v>
      </c>
      <c r="I6756" s="13" t="n">
        <f aca="false">Sens!$I$6746/Sens!$I$6727</f>
        <v>0.0275950243319601</v>
      </c>
      <c r="J6756" s="13" t="n">
        <f aca="false">Sens!$J$6746/Sens!$J$6727</f>
        <v>0.0238367762099147</v>
      </c>
      <c r="K6756" s="13" t="n">
        <f aca="false">Sens!$K$6746/Sens!$K$6727</f>
        <v>0.0198239122855479</v>
      </c>
      <c r="L6756" s="13" t="n">
        <f aca="false">Sens!$L$6746/Sens!$L$6727</f>
        <v>0.0192499447238486</v>
      </c>
      <c r="M6756" s="13" t="n">
        <f aca="false">Sens!$M$6746/Sens!$M$6727</f>
        <v>0.0212700135680342</v>
      </c>
      <c r="N6756" s="13" t="n">
        <f aca="false">Sens!$N$6746/Sens!$N$6727</f>
        <v>0.0357315650169337</v>
      </c>
      <c r="O6756" s="13" t="n">
        <f aca="false">Sens!$O$6746/Sens!$O$6727</f>
        <v>0.0244378956559703</v>
      </c>
    </row>
    <row r="6757" customFormat="false" ht="17.15" hidden="false" customHeight="false" outlineLevel="0" collapsed="false">
      <c r="A6757" s="14" t="s">
        <v>740</v>
      </c>
      <c r="B6757" s="14" t="s">
        <v>52</v>
      </c>
      <c r="C6757" s="17" t="n">
        <f aca="false">Sens!$C$6749/Sens!$C$6728</f>
        <v>0.370355907620217</v>
      </c>
      <c r="D6757" s="17" t="n">
        <f aca="false">Sens!$D$6749/Sens!$D$6728</f>
        <v>0.35429015342785</v>
      </c>
      <c r="E6757" s="17" t="n">
        <f aca="false">Sens!$E$6749/Sens!$E$6728</f>
        <v>0.385647527531039</v>
      </c>
      <c r="F6757" s="17" t="n">
        <f aca="false">Sens!$F$6749/Sens!$F$6728</f>
        <v>0.390008895496028</v>
      </c>
      <c r="G6757" s="17" t="n">
        <f aca="false">Sens!$G$6749/Sens!$G$6728</f>
        <v>0.387918733944362</v>
      </c>
      <c r="H6757" s="17" t="n">
        <f aca="false">Sens!$H$6749/Sens!$H$6728</f>
        <v>0.377537651365497</v>
      </c>
      <c r="I6757" s="17" t="n">
        <f aca="false">Sens!$I$6749/Sens!$I$6728</f>
        <v>0.359230604038662</v>
      </c>
      <c r="J6757" s="17" t="n">
        <f aca="false">Sens!$J$6749/Sens!$J$6728</f>
        <v>0.345197865849801</v>
      </c>
      <c r="K6757" s="17" t="n">
        <f aca="false">Sens!$K$6749/Sens!$K$6728</f>
        <v>0.32654098357242</v>
      </c>
      <c r="L6757" s="17" t="n">
        <f aca="false">Sens!$L$6749/Sens!$L$6728</f>
        <v>0.314806978274702</v>
      </c>
      <c r="M6757" s="17" t="n">
        <f aca="false">Sens!$M$6749/Sens!$M$6728</f>
        <v>0.304503505485029</v>
      </c>
      <c r="N6757" s="17" t="n">
        <f aca="false">Sens!$N$6749/Sens!$N$6728</f>
        <v>0.360941137346192</v>
      </c>
      <c r="O6757" s="17" t="n">
        <f aca="false">Sens!$O$6749/Sens!$O$6728</f>
        <v>0.348458117664212</v>
      </c>
    </row>
    <row r="6758" customFormat="false" ht="17.15" hidden="false" customHeight="false" outlineLevel="0" collapsed="false">
      <c r="A6758" s="0" t="s">
        <v>741</v>
      </c>
      <c r="B6758" s="0" t="s">
        <v>52</v>
      </c>
      <c r="C6758" s="13" t="n">
        <f aca="false">Sens!$C$6747/Sens!$C$6729</f>
        <v>0.708390794789371</v>
      </c>
      <c r="D6758" s="13" t="n">
        <f aca="false">Sens!$D$6747/Sens!$D$6729</f>
        <v>0.619415573115729</v>
      </c>
      <c r="E6758" s="13" t="n">
        <f aca="false">Sens!$E$6747/Sens!$E$6729</f>
        <v>0.374072166056273</v>
      </c>
      <c r="F6758" s="13" t="n">
        <f aca="false">Sens!$F$6747/Sens!$F$6729</f>
        <v>0.553219320710057</v>
      </c>
      <c r="G6758" s="13" t="n">
        <f aca="false">Sens!$G$6747/Sens!$G$6729</f>
        <v>0.488270041527512</v>
      </c>
      <c r="H6758" s="13" t="n">
        <f aca="false">Sens!$H$6747/Sens!$H$6729</f>
        <v>0.435229086816882</v>
      </c>
      <c r="I6758" s="13" t="n">
        <f aca="false">Sens!$I$6747/Sens!$I$6729</f>
        <v>0.364954592421095</v>
      </c>
      <c r="J6758" s="13" t="n">
        <f aca="false">Sens!$J$6747/Sens!$J$6729</f>
        <v>0.330438308582232</v>
      </c>
      <c r="K6758" s="13" t="n">
        <f aca="false">Sens!$K$6747/Sens!$K$6729</f>
        <v>0.2916589289528</v>
      </c>
      <c r="L6758" s="13" t="n">
        <f aca="false">Sens!$L$6747/Sens!$L$6729</f>
        <v>0.268199200593258</v>
      </c>
      <c r="M6758" s="13" t="n">
        <f aca="false">Sens!$M$6747/Sens!$M$6729</f>
        <v>0.244854995033574</v>
      </c>
      <c r="N6758" s="13" t="n">
        <f aca="false">Sens!$N$6747/Sens!$N$6729</f>
        <v>0.551227795793364</v>
      </c>
      <c r="O6758" s="13" t="n">
        <f aca="false">Sens!$O$6747/Sens!$O$6729</f>
        <v>0.656132068597002</v>
      </c>
    </row>
    <row r="6759" customFormat="false" ht="15" hidden="false" customHeight="false" outlineLevel="0" collapsed="false">
      <c r="A6759" s="5" t="s">
        <v>742</v>
      </c>
      <c r="B6759" s="0" t="s">
        <v>52</v>
      </c>
      <c r="C6759" s="13" t="n">
        <f aca="false">Sens!$C$6751/Sens!$C$6731</f>
        <v>0.107519448742004</v>
      </c>
      <c r="D6759" s="13" t="n">
        <f aca="false">Sens!$D$6751/Sens!$D$6731</f>
        <v>0.111552967957552</v>
      </c>
      <c r="E6759" s="13" t="n">
        <f aca="false">Sens!$E$6751/Sens!$E$6731</f>
        <v>0.13428328426562</v>
      </c>
      <c r="F6759" s="13" t="n">
        <f aca="false">Sens!$F$6751/Sens!$F$6731</f>
        <v>0.130089413875539</v>
      </c>
      <c r="G6759" s="13" t="n">
        <f aca="false">Sens!$G$6751/Sens!$G$6731</f>
        <v>0.132048786678316</v>
      </c>
      <c r="H6759" s="13" t="n">
        <f aca="false">Sens!$H$6751/Sens!$H$6731</f>
        <v>0.139604881440853</v>
      </c>
      <c r="I6759" s="13" t="n">
        <f aca="false">Sens!$I$6751/Sens!$I$6731</f>
        <v>0.141694752432769</v>
      </c>
      <c r="J6759" s="13" t="n">
        <f aca="false">Sens!$J$6751/Sens!$J$6731</f>
        <v>0.14272611544629</v>
      </c>
      <c r="K6759" s="13" t="n">
        <f aca="false">Sens!$K$6751/Sens!$K$6731</f>
        <v>0.139974160596744</v>
      </c>
      <c r="L6759" s="13" t="n">
        <f aca="false">Sens!$L$6751/Sens!$L$6731</f>
        <v>0.137772071866073</v>
      </c>
      <c r="M6759" s="13" t="n">
        <f aca="false">Sens!$M$6751/Sens!$M$6731</f>
        <v>0.13596080857516</v>
      </c>
      <c r="N6759" s="13" t="n">
        <f aca="false">Sens!$N$6751/Sens!$N$6731</f>
        <v>0.116201614873411</v>
      </c>
      <c r="O6759" s="13" t="n">
        <f aca="false">Sens!$O$6751/Sens!$O$6731</f>
        <v>0.107733353660861</v>
      </c>
    </row>
    <row r="6760" customFormat="false" ht="17.15" hidden="false" customHeight="false" outlineLevel="0" collapsed="false">
      <c r="A6760" s="1" t="s">
        <v>743</v>
      </c>
    </row>
    <row r="6761" customFormat="false" ht="17.15" hidden="false" customHeight="false" outlineLevel="0" collapsed="false">
      <c r="A6761" s="5" t="s">
        <v>744</v>
      </c>
      <c r="B6761" s="0" t="s">
        <v>52</v>
      </c>
      <c r="D6761" s="28" t="n">
        <f aca="false">(Q!$E$29+Q!$E$30-(1-ext_sh)*Sens!$D$6683)/Sens!$D$6637</f>
        <v>0.0341105596409988</v>
      </c>
    </row>
    <row r="6762" customFormat="false" ht="17.15" hidden="false" customHeight="false" outlineLevel="0" collapsed="false">
      <c r="A6762" s="0" t="s">
        <v>538</v>
      </c>
      <c r="B6762" s="0" t="s">
        <v>86</v>
      </c>
      <c r="C6762" s="38" t="n">
        <f aca="false">Q!$D$29</f>
        <v>14.285</v>
      </c>
      <c r="D6762" s="38" t="n">
        <f aca="false">Q!$E$29</f>
        <v>15.503</v>
      </c>
      <c r="E6762" s="38" t="n">
        <f aca="false">Q!$P$29</f>
        <v>8.78</v>
      </c>
      <c r="F6762" s="38" t="n">
        <f aca="false">(Sens!$D$6761*Sens!$F$6637+(1-ext_sh)*Sens!$F$6683)*Sens!$F$6638</f>
        <v>9.16735846116642</v>
      </c>
      <c r="G6762" s="38" t="n">
        <f aca="false">Sens!$E$6762+Sens!$F$6762</f>
        <v>17.9473584611664</v>
      </c>
      <c r="H6762" s="38" t="n">
        <f aca="false">(Sens!$D$6761*Sens!$H$6637+(1-ext_sh)*Sens!$H$6683)*Sens!$H$6638</f>
        <v>21.6406723110177</v>
      </c>
      <c r="I6762" s="38" t="n">
        <f aca="false">(Sens!$D$6761*Sens!$I$6637+(1-ext_sh)*Sens!$I$6683)*Sens!$I$6638</f>
        <v>27.3128215555087</v>
      </c>
      <c r="J6762" s="38" t="n">
        <f aca="false">(Sens!$D$6761*Sens!$J$6637+(1-ext_sh)*Sens!$J$6683)*Sens!$J$6638</f>
        <v>33.0116861885756</v>
      </c>
      <c r="K6762" s="38" t="n">
        <f aca="false">(Sens!$D$6761*Sens!$K$6637+(1-ext_sh)*Sens!$K$6683)*Sens!$K$6638</f>
        <v>38.6250238720245</v>
      </c>
      <c r="L6762" s="38" t="n">
        <f aca="false">(Sens!$D$6761*Sens!$L$6637+(1-ext_sh)*Sens!$L$6683)*Sens!$L$6638</f>
        <v>43.0711535197861</v>
      </c>
      <c r="M6762" s="38" t="n">
        <f aca="false">(Sens!$D$6761*Sens!$M$6637+(1-ext_sh)*Sens!$M$6683)*Sens!$M$6638</f>
        <v>46.590728630326</v>
      </c>
      <c r="N6762" s="38" t="n">
        <f aca="false">Q!$N$29</f>
        <v>7.272</v>
      </c>
      <c r="O6762" s="38" t="n">
        <f aca="false">Q!$O$29</f>
        <v>8.231</v>
      </c>
    </row>
    <row r="6763" customFormat="false" ht="17.15" hidden="false" customHeight="false" outlineLevel="0" collapsed="false">
      <c r="A6763" s="0" t="s">
        <v>540</v>
      </c>
      <c r="B6763" s="0" t="s">
        <v>86</v>
      </c>
      <c r="C6763" s="38" t="n">
        <f aca="false">Q!$D$30</f>
        <v>4.462</v>
      </c>
      <c r="D6763" s="38" t="n">
        <f aca="false">Q!$E$30</f>
        <v>4.907</v>
      </c>
      <c r="E6763" s="38" t="n">
        <f aca="false">Q!$P$30</f>
        <v>2.57</v>
      </c>
      <c r="F6763" s="38" t="n">
        <f aca="false">(Sens!$D$6761*Sens!$F$6637+(1-ext_sh)*Sens!$F$6683)*(1-Sens!$F$6638)</f>
        <v>3.59937168293151</v>
      </c>
      <c r="G6763" s="38" t="n">
        <f aca="false">Sens!$E$6763+Sens!$F$6763</f>
        <v>6.16937168293151</v>
      </c>
      <c r="H6763" s="38" t="n">
        <f aca="false">(Sens!$D$6761*Sens!$H$6637+(1-ext_sh)*Sens!$H$6683)*(1-Sens!$H$6638)</f>
        <v>8.28915290031442</v>
      </c>
      <c r="I6763" s="38" t="n">
        <f aca="false">(Sens!$D$6761*Sens!$I$6637+(1-ext_sh)*Sens!$I$6683)*(1-Sens!$I$6638)</f>
        <v>10.4617892992793</v>
      </c>
      <c r="J6763" s="38" t="n">
        <f aca="false">(Sens!$D$6761*Sens!$J$6637+(1-ext_sh)*Sens!$J$6683)*(1-Sens!$J$6638)</f>
        <v>12.6446586493057</v>
      </c>
      <c r="K6763" s="38" t="n">
        <f aca="false">(Sens!$D$6761*Sens!$K$6637+(1-ext_sh)*Sens!$K$6683)*(1-Sens!$K$6638)</f>
        <v>14.7947681131192</v>
      </c>
      <c r="L6763" s="38" t="n">
        <f aca="false">(Sens!$D$6761*Sens!$L$6637+(1-ext_sh)*Sens!$L$6683)*(1-Sens!$L$6638)</f>
        <v>16.4977950771268</v>
      </c>
      <c r="M6763" s="38" t="n">
        <f aca="false">(Sens!$D$6761*Sens!$M$6637+(1-ext_sh)*Sens!$M$6683)*(1-Sens!$M$6638)</f>
        <v>17.8459184540772</v>
      </c>
      <c r="N6763" s="38" t="n">
        <f aca="false">Q!$N$30</f>
        <v>2.316</v>
      </c>
      <c r="O6763" s="38" t="n">
        <f aca="false">Q!$O$30</f>
        <v>2.591</v>
      </c>
    </row>
    <row r="6764" customFormat="false" ht="17.15" hidden="false" customHeight="false" outlineLevel="0" collapsed="false">
      <c r="A6764" s="0" t="s">
        <v>541</v>
      </c>
      <c r="B6764" s="0" t="s">
        <v>86</v>
      </c>
      <c r="C6764" s="38" t="n">
        <f aca="false">Sens!$C$6695</f>
        <v>13.32</v>
      </c>
      <c r="D6764" s="38" t="n">
        <f aca="false">Sens!$D$6695</f>
        <v>21.45</v>
      </c>
      <c r="E6764" s="38" t="n">
        <f aca="false">Sens!$E$6695</f>
        <v>15.353</v>
      </c>
      <c r="F6764" s="38" t="n">
        <f aca="false">Sens!$F$6695</f>
        <v>15.4404120185306</v>
      </c>
      <c r="G6764" s="38" t="n">
        <f aca="false">Sens!$G$6695</f>
        <v>30.7934120185306</v>
      </c>
      <c r="H6764" s="38" t="n">
        <f aca="false">Sens!$H$6695</f>
        <v>48.250114371455</v>
      </c>
      <c r="I6764" s="38" t="n">
        <f aca="false">Sens!$I$6695</f>
        <v>73.3965146995963</v>
      </c>
      <c r="J6764" s="38" t="n">
        <f aca="false">Sens!$J$6695</f>
        <v>99.22806138309</v>
      </c>
      <c r="K6764" s="38" t="n">
        <f aca="false">Sens!$K$6695</f>
        <v>125.386627452856</v>
      </c>
      <c r="L6764" s="38" t="n">
        <f aca="false">Sens!$L$6695</f>
        <v>144.77239043275</v>
      </c>
      <c r="M6764" s="38" t="n">
        <f aca="false">Sens!$M$6695</f>
        <v>158.693930910983</v>
      </c>
      <c r="N6764" s="38" t="n">
        <f aca="false">Sens!$N$6695</f>
        <v>9.234</v>
      </c>
      <c r="O6764" s="38" t="n">
        <f aca="false">Sens!$O$6695</f>
        <v>12.216</v>
      </c>
    </row>
    <row r="6765" customFormat="false" ht="17.15" hidden="false" customHeight="false" outlineLevel="0" collapsed="false">
      <c r="A6765" s="5" t="s">
        <v>745</v>
      </c>
      <c r="B6765" s="0" t="s">
        <v>86</v>
      </c>
      <c r="C6765" s="38" t="n">
        <f aca="false">Sens!$C$6762+Sens!$C$6763+Sens!$C$6764</f>
        <v>32.067</v>
      </c>
      <c r="D6765" s="38" t="n">
        <f aca="false">Sens!$D$6762+Sens!$D$6763+Sens!$D$6764</f>
        <v>41.86</v>
      </c>
      <c r="E6765" s="38" t="n">
        <f aca="false">Sens!$E$6762+Sens!$E$6763+Sens!$E$6764</f>
        <v>26.703</v>
      </c>
      <c r="F6765" s="38" t="n">
        <f aca="false">Sens!$F$6762+Sens!$F$6763+Sens!$F$6764</f>
        <v>28.2071421626285</v>
      </c>
      <c r="G6765" s="38" t="n">
        <f aca="false">Sens!$G$6762+Sens!$G$6763+Sens!$G$6764</f>
        <v>54.9101421626285</v>
      </c>
      <c r="H6765" s="38" t="n">
        <f aca="false">Sens!$H$6762+Sens!$H$6763+Sens!$H$6764</f>
        <v>78.1799395827871</v>
      </c>
      <c r="I6765" s="38" t="n">
        <f aca="false">Sens!$I$6762+Sens!$I$6763+Sens!$I$6764</f>
        <v>111.171125554384</v>
      </c>
      <c r="J6765" s="38" t="n">
        <f aca="false">Sens!$J$6762+Sens!$J$6763+Sens!$J$6764</f>
        <v>144.884406220971</v>
      </c>
      <c r="K6765" s="38" t="n">
        <f aca="false">Sens!$K$6762+Sens!$K$6763+Sens!$K$6764</f>
        <v>178.806419437999</v>
      </c>
      <c r="L6765" s="38" t="n">
        <f aca="false">Sens!$L$6762+Sens!$L$6763+Sens!$L$6764</f>
        <v>204.341339029663</v>
      </c>
      <c r="M6765" s="38" t="n">
        <f aca="false">Sens!$M$6762+Sens!$M$6763+Sens!$M$6764</f>
        <v>223.130577995387</v>
      </c>
      <c r="N6765" s="38" t="n">
        <f aca="false">Sens!$N$6762+Sens!$N$6763+Sens!$N$6764</f>
        <v>18.822</v>
      </c>
      <c r="O6765" s="38" t="n">
        <f aca="false">Sens!$O$6762+Sens!$O$6763+Sens!$O$6764</f>
        <v>23.038</v>
      </c>
    </row>
    <row r="6766" customFormat="false" ht="17.15" hidden="false" customHeight="false" outlineLevel="0" collapsed="false">
      <c r="A6766" s="0" t="s">
        <v>746</v>
      </c>
      <c r="B6766" s="0" t="s">
        <v>86</v>
      </c>
      <c r="C6766" s="38" t="n">
        <f aca="false">Sens!$C$6737+Sens!$C$6742</f>
        <v>28.107</v>
      </c>
      <c r="D6766" s="38" t="n">
        <f aca="false">Sens!$D$6737+Sens!$D$6742</f>
        <v>34.3175</v>
      </c>
      <c r="E6766" s="38" t="n">
        <f aca="false">Sens!$E$6737+Sens!$E$6742</f>
        <v>18.526</v>
      </c>
      <c r="F6766" s="38" t="n">
        <f aca="false">Sens!$F$6737+Sens!$F$6742</f>
        <v>23.0786109972074</v>
      </c>
      <c r="G6766" s="38" t="n">
        <f aca="false">Sens!$G$6737+Sens!$G$6742</f>
        <v>41.6046109972074</v>
      </c>
      <c r="H6766" s="38" t="n">
        <f aca="false">Sens!$H$6737+Sens!$H$6742</f>
        <v>49.9484611939488</v>
      </c>
      <c r="I6766" s="38" t="n">
        <f aca="false">Sens!$I$6737+Sens!$I$6742</f>
        <v>58.2915555477481</v>
      </c>
      <c r="J6766" s="38" t="n">
        <f aca="false">Sens!$J$6737+Sens!$J$6742</f>
        <v>66.0744709709759</v>
      </c>
      <c r="K6766" s="38" t="n">
        <f aca="false">Sens!$K$6737+Sens!$K$6742</f>
        <v>72.6819180680735</v>
      </c>
      <c r="L6766" s="38" t="n">
        <f aca="false">Sens!$L$6737+Sens!$L$6742</f>
        <v>79.9501098748808</v>
      </c>
      <c r="M6766" s="38" t="n">
        <f aca="false">Sens!$M$6737+Sens!$M$6742</f>
        <v>87.9451208623689</v>
      </c>
      <c r="N6766" s="38" t="n">
        <f aca="false">Sens!$N$6737+Sens!$N$6742</f>
        <v>14.8075</v>
      </c>
      <c r="O6766" s="38" t="n">
        <f aca="false">Sens!$O$6737+Sens!$O$6742</f>
        <v>19.51</v>
      </c>
    </row>
    <row r="6767" customFormat="false" ht="17.15" hidden="false" customHeight="false" outlineLevel="0" collapsed="false">
      <c r="A6767" s="0" t="s">
        <v>747</v>
      </c>
      <c r="B6767" s="0" t="s">
        <v>86</v>
      </c>
      <c r="C6767" s="38" t="n">
        <f aca="false">Sens!$C$6741+Sens!$C$6746+Sens!$C$6762+Sens!$C$6763-Sens!$C$6766</f>
        <v>19.399</v>
      </c>
      <c r="D6767" s="38" t="n">
        <f aca="false">Sens!$D$6741+Sens!$D$6746+Sens!$D$6762+Sens!$D$6763-Sens!$D$6766</f>
        <v>20.4615</v>
      </c>
      <c r="E6767" s="38" t="n">
        <f aca="false">Sens!$E$6741+Sens!$E$6746+Sens!$E$6762+Sens!$E$6763-Sens!$E$6766</f>
        <v>13.355</v>
      </c>
      <c r="F6767" s="38" t="n">
        <f aca="false">Sens!$F$6741+Sens!$F$6746+Sens!$F$6762+Sens!$F$6763-Sens!$F$6766</f>
        <v>12.5520732018618</v>
      </c>
      <c r="G6767" s="38" t="n">
        <f aca="false">Sens!$G$6741+Sens!$G$6746+Sens!$G$6762+Sens!$G$6763-Sens!$G$6766</f>
        <v>25.9070732018618</v>
      </c>
      <c r="H6767" s="38" t="n">
        <f aca="false">Sens!$H$6741+Sens!$H$6746+Sens!$H$6762+Sens!$H$6763-Sens!$H$6766</f>
        <v>28.0233335906818</v>
      </c>
      <c r="I6767" s="38" t="n">
        <f aca="false">Sens!$I$6741+Sens!$I$6746+Sens!$I$6762+Sens!$I$6763-Sens!$I$6766</f>
        <v>30.2440066606864</v>
      </c>
      <c r="J6767" s="38" t="n">
        <f aca="false">Sens!$J$6741+Sens!$J$6746+Sens!$J$6762+Sens!$J$6763-Sens!$J$6766</f>
        <v>32.4596500296286</v>
      </c>
      <c r="K6767" s="38" t="n">
        <f aca="false">Sens!$K$6741+Sens!$K$6746+Sens!$K$6762+Sens!$K$6763-Sens!$K$6766</f>
        <v>34.839425971154</v>
      </c>
      <c r="L6767" s="38" t="n">
        <f aca="false">Sens!$L$6741+Sens!$L$6746+Sens!$L$6762+Sens!$L$6763-Sens!$L$6766</f>
        <v>36.4424209524427</v>
      </c>
      <c r="M6767" s="38" t="n">
        <f aca="false">Sens!$M$6741+Sens!$M$6746+Sens!$M$6762+Sens!$M$6763-Sens!$M$6766</f>
        <v>38.8413540019876</v>
      </c>
      <c r="N6767" s="38" t="n">
        <f aca="false">Sens!$N$6741+Sens!$N$6746+Sens!$N$6762+Sens!$N$6763-Sens!$N$6766</f>
        <v>10.6495</v>
      </c>
      <c r="O6767" s="38" t="n">
        <f aca="false">Sens!$O$6741+Sens!$O$6746+Sens!$O$6762+Sens!$O$6763-Sens!$O$6766</f>
        <v>9.81200000000001</v>
      </c>
    </row>
    <row r="6768" customFormat="false" ht="17.15" hidden="false" customHeight="false" outlineLevel="0" collapsed="false">
      <c r="A6768" s="0" t="s">
        <v>748</v>
      </c>
      <c r="B6768" s="0" t="s">
        <v>86</v>
      </c>
      <c r="C6768" s="38" t="n">
        <f aca="false">Sens!$C$6748+Sens!$C$6764-ext_sh*Sens!$C$6683</f>
        <v>51.3470500115664</v>
      </c>
      <c r="D6768" s="38" t="n">
        <f aca="false">Sens!$D$6748+Sens!$D$6764-ext_sh*Sens!$D$6683</f>
        <v>60.2799375433739</v>
      </c>
      <c r="E6768" s="38" t="n">
        <f aca="false">Sens!$E$6748+Sens!$E$6764-ext_sh*Sens!$E$6683</f>
        <v>39.5095167090767</v>
      </c>
      <c r="F6768" s="38" t="n">
        <f aca="false">Sens!$F$6748+Sens!$F$6764-ext_sh*Sens!$F$6683</f>
        <v>37.5468918745429</v>
      </c>
      <c r="G6768" s="38" t="n">
        <f aca="false">Sens!$G$6748+Sens!$G$6764-ext_sh*Sens!$G$6683</f>
        <v>77.0564085836196</v>
      </c>
      <c r="H6768" s="38" t="n">
        <f aca="false">Sens!$H$6748+Sens!$H$6764-ext_sh*Sens!$H$6683</f>
        <v>84.2378398616123</v>
      </c>
      <c r="I6768" s="38" t="n">
        <f aca="false">Sens!$I$6748+Sens!$I$6764-ext_sh*Sens!$I$6683</f>
        <v>93.5253492849083</v>
      </c>
      <c r="J6768" s="38" t="n">
        <f aca="false">Sens!$J$6748+Sens!$J$6764-ext_sh*Sens!$J$6683</f>
        <v>102.42210777817</v>
      </c>
      <c r="K6768" s="38" t="n">
        <f aca="false">Sens!$K$6748+Sens!$K$6764-ext_sh*Sens!$K$6683</f>
        <v>110.615876400424</v>
      </c>
      <c r="L6768" s="38" t="n">
        <f aca="false">Sens!$L$6748+Sens!$L$6764-ext_sh*Sens!$L$6683</f>
        <v>119.465146512458</v>
      </c>
      <c r="M6768" s="38" t="n">
        <f aca="false">Sens!$M$6748+Sens!$M$6764-ext_sh*Sens!$M$6683</f>
        <v>129.022358233455</v>
      </c>
      <c r="N6768" s="38" t="n">
        <f aca="false">Sens!$N$6748+Sens!$N$6764-ext_sh*Sens!$N$6683</f>
        <v>28.5693781401809</v>
      </c>
      <c r="O6768" s="38" t="n">
        <f aca="false">Sens!$O$6748+Sens!$O$6764-ext_sh*Sens!$O$6683</f>
        <v>31.7105594031931</v>
      </c>
    </row>
    <row r="6769" customFormat="false" ht="17.15" hidden="false" customHeight="false" outlineLevel="0" collapsed="false">
      <c r="A6769" s="0" t="s">
        <v>749</v>
      </c>
      <c r="B6769" s="0" t="s">
        <v>86</v>
      </c>
      <c r="C6769" s="38" t="n">
        <f aca="false">Sens!$C$6686</f>
        <v>1.80694998843362</v>
      </c>
      <c r="D6769" s="38" t="n">
        <f aca="false">Sens!$D$6686</f>
        <v>6.77606245662607</v>
      </c>
      <c r="E6769" s="38" t="n">
        <f aca="false">Sens!$E$6686</f>
        <v>6.62548329092326</v>
      </c>
      <c r="F6769" s="38" t="n">
        <f aca="false">Sens!$F$6686</f>
        <v>11.7200577158706</v>
      </c>
      <c r="G6769" s="38" t="n">
        <f aca="false">Sens!$G$6686</f>
        <v>18.3455410067939</v>
      </c>
      <c r="H6769" s="38" t="n">
        <f aca="false">Sens!$H$6686</f>
        <v>47.5171727060453</v>
      </c>
      <c r="I6769" s="38" t="n">
        <f aca="false">Sens!$I$6686</f>
        <v>80.5539692643667</v>
      </c>
      <c r="J6769" s="38" t="n">
        <f aca="false">Sens!$J$6686</f>
        <v>113.759316834883</v>
      </c>
      <c r="K6769" s="38" t="n">
        <f aca="false">Sens!$K$6686</f>
        <v>142.084411492169</v>
      </c>
      <c r="L6769" s="38" t="n">
        <f aca="false">Sens!$L$6686</f>
        <v>160.69964615804</v>
      </c>
      <c r="M6769" s="38" t="n">
        <f aca="false">Sens!$M$6686</f>
        <v>169.577607141793</v>
      </c>
      <c r="N6769" s="38" t="n">
        <f aca="false">Sens!$N$6686</f>
        <v>2.37162185981912</v>
      </c>
      <c r="O6769" s="38" t="n">
        <f aca="false">Sens!$O$6686</f>
        <v>4.40444059680694</v>
      </c>
    </row>
    <row r="6770" customFormat="false" ht="17.15" hidden="false" customHeight="false" outlineLevel="0" collapsed="false">
      <c r="A6770" s="0" t="s">
        <v>750</v>
      </c>
      <c r="B6770" s="0" t="s">
        <v>86</v>
      </c>
      <c r="C6770" s="38" t="n">
        <f aca="false">Sens!$C$6751+Sens!$C$6765</f>
        <v>100.66</v>
      </c>
      <c r="D6770" s="38" t="n">
        <f aca="false">Sens!$D$6751+Sens!$D$6765</f>
        <v>121.835</v>
      </c>
      <c r="E6770" s="38" t="n">
        <f aca="false">Sens!$E$6751+Sens!$E$6765</f>
        <v>78.016</v>
      </c>
      <c r="F6770" s="38" t="n">
        <f aca="false">Sens!$F$6751+Sens!$F$6765</f>
        <v>84.8976337894826</v>
      </c>
      <c r="G6770" s="38" t="n">
        <f aca="false">Sens!$G$6751+Sens!$G$6765</f>
        <v>162.913633789483</v>
      </c>
      <c r="H6770" s="38" t="n">
        <f aca="false">Sens!$H$6751+Sens!$H$6765</f>
        <v>209.726807352288</v>
      </c>
      <c r="I6770" s="38" t="n">
        <f aca="false">Sens!$I$6751+Sens!$I$6765</f>
        <v>262.61488075771</v>
      </c>
      <c r="J6770" s="38" t="n">
        <f aca="false">Sens!$J$6751+Sens!$J$6765</f>
        <v>314.715545613658</v>
      </c>
      <c r="K6770" s="38" t="n">
        <f aca="false">Sens!$K$6751+Sens!$K$6765</f>
        <v>360.221631931821</v>
      </c>
      <c r="L6770" s="38" t="n">
        <f aca="false">Sens!$L$6751+Sens!$L$6765</f>
        <v>396.557323497822</v>
      </c>
      <c r="M6770" s="38" t="n">
        <f aca="false">Sens!$M$6751+Sens!$M$6765</f>
        <v>425.386440239605</v>
      </c>
      <c r="N6770" s="38" t="n">
        <f aca="false">Sens!$N$6751+Sens!$N$6765</f>
        <v>56.398</v>
      </c>
      <c r="O6770" s="38" t="n">
        <f aca="false">Sens!$O$6751+Sens!$O$6765</f>
        <v>65.437</v>
      </c>
    </row>
    <row r="6771" customFormat="false" ht="17.15" hidden="false" customHeight="false" outlineLevel="0" collapsed="false">
      <c r="A6771" s="1" t="s">
        <v>751</v>
      </c>
    </row>
    <row r="6772" customFormat="false" ht="15" hidden="false" customHeight="false" outlineLevel="0" collapsed="false">
      <c r="A6772" s="5" t="s">
        <v>544</v>
      </c>
      <c r="B6772" s="0" t="s">
        <v>86</v>
      </c>
      <c r="C6772" s="38" t="n">
        <f aca="false">Q!$D$34</f>
        <v>2.406</v>
      </c>
      <c r="D6772" s="38" t="n">
        <f aca="false">Q!$E$34</f>
        <v>2.274</v>
      </c>
      <c r="E6772" s="38" t="n">
        <f aca="false">Q!$P$34</f>
        <v>2.114</v>
      </c>
      <c r="F6772" s="38" t="n">
        <f aca="false">Sens!$F$6810</f>
        <v>3.24888962733561</v>
      </c>
      <c r="G6772" s="38" t="n">
        <f aca="false">Sens!$E$6772+Sens!$F$6772</f>
        <v>5.36288962733561</v>
      </c>
      <c r="H6772" s="38" t="n">
        <f aca="false">Sens!$H$6810</f>
        <v>7.42354172302123</v>
      </c>
      <c r="I6772" s="38" t="n">
        <f aca="false">Sens!$I$6810</f>
        <v>8.48968024898619</v>
      </c>
      <c r="J6772" s="38" t="n">
        <f aca="false">Sens!$J$6810</f>
        <v>9.63598826439483</v>
      </c>
      <c r="K6772" s="38" t="n">
        <f aca="false">Sens!$K$6810</f>
        <v>9.63598826439483</v>
      </c>
      <c r="L6772" s="38" t="n">
        <f aca="false">Sens!$L$6810</f>
        <v>9.63598826439483</v>
      </c>
      <c r="M6772" s="38" t="n">
        <f aca="false">Sens!$M$6810</f>
        <v>9.63598826439483</v>
      </c>
      <c r="N6772" s="38" t="n">
        <f aca="false">Q!$N$34</f>
        <v>1.057</v>
      </c>
      <c r="O6772" s="38" t="n">
        <f aca="false">Q!$O$34</f>
        <v>1.217</v>
      </c>
    </row>
    <row r="6773" customFormat="false" ht="15" hidden="false" customHeight="false" outlineLevel="0" collapsed="false">
      <c r="A6773" s="5" t="s">
        <v>752</v>
      </c>
      <c r="B6773" s="0" t="s">
        <v>86</v>
      </c>
      <c r="F6773" s="38" t="n">
        <f aca="false">Sens!$F$6811</f>
        <v>2.59</v>
      </c>
      <c r="H6773" s="38" t="n">
        <f aca="false">Sens!$H$6811</f>
        <v>3.76965165045626</v>
      </c>
      <c r="I6773" s="38" t="n">
        <f aca="false">Sens!$I$6811</f>
        <v>2.10589651022864</v>
      </c>
      <c r="J6773" s="38" t="n">
        <f aca="false">Sens!$J$6811</f>
        <v>2.10589651022864</v>
      </c>
      <c r="K6773" s="38" t="n">
        <f aca="false">Sens!$K$6811</f>
        <v>3.03184385018094</v>
      </c>
      <c r="L6773" s="38" t="n">
        <f aca="false">Sens!$L$6811</f>
        <v>8.01944213829919</v>
      </c>
      <c r="M6773" s="38" t="n">
        <f aca="false">Sens!$M$6811</f>
        <v>15.4751142339777</v>
      </c>
    </row>
    <row r="6774" customFormat="false" ht="17.15" hidden="false" customHeight="false" outlineLevel="0" collapsed="false">
      <c r="A6774" s="5" t="s">
        <v>753</v>
      </c>
      <c r="B6774" s="0" t="s">
        <v>86</v>
      </c>
      <c r="C6774" s="38" t="n">
        <f aca="false">Q!$D$39</f>
        <v>2.427</v>
      </c>
      <c r="D6774" s="38" t="n">
        <f aca="false">Q!$E$39</f>
        <v>19.61</v>
      </c>
      <c r="E6774" s="38" t="n">
        <f aca="false">Q!$P$39</f>
        <v>71.492</v>
      </c>
      <c r="F6774" s="39" t="n">
        <v>0</v>
      </c>
      <c r="G6774" s="38" t="n">
        <f aca="false">Sens!$E$6774+Sens!$F$6774</f>
        <v>71.492</v>
      </c>
      <c r="H6774" s="39" t="n">
        <v>0</v>
      </c>
      <c r="I6774" s="39" t="n">
        <v>0</v>
      </c>
      <c r="J6774" s="39" t="n">
        <v>0</v>
      </c>
      <c r="K6774" s="39" t="n">
        <v>0</v>
      </c>
      <c r="L6774" s="39" t="n">
        <v>0</v>
      </c>
      <c r="M6774" s="39" t="n">
        <v>0</v>
      </c>
      <c r="N6774" s="38" t="n">
        <f aca="false">Q!$N$39</f>
        <v>6.017</v>
      </c>
      <c r="O6774" s="38" t="n">
        <f aca="false">Q!$O$39</f>
        <v>13.593</v>
      </c>
      <c r="P6774" s="5" t="s">
        <v>754</v>
      </c>
    </row>
    <row r="6775" customFormat="false" ht="15" hidden="false" customHeight="false" outlineLevel="0" collapsed="false">
      <c r="A6775" s="5" t="s">
        <v>547</v>
      </c>
      <c r="B6775" s="0" t="s">
        <v>86</v>
      </c>
      <c r="C6775" s="38" t="n">
        <f aca="false">Q!$D$36</f>
        <v>68.614</v>
      </c>
      <c r="D6775" s="38" t="n">
        <f aca="false">Q!$E$36</f>
        <v>97.311</v>
      </c>
      <c r="E6775" s="38" t="n">
        <f aca="false">Q!$P$36</f>
        <v>120.691</v>
      </c>
      <c r="F6775" s="38" t="n">
        <f aca="false">Sens!$F$6751-Sens!$F$6772+Sens!$F$6773+Sens!$F$6774</f>
        <v>56.0316019995185</v>
      </c>
      <c r="G6775" s="38" t="n">
        <f aca="false">Sens!$E$6775+Sens!$F$6775</f>
        <v>176.722601999518</v>
      </c>
      <c r="H6775" s="38" t="n">
        <f aca="false">Sens!$H$6751-Sens!$H$6772+Sens!$H$6773+Sens!$H$6774</f>
        <v>127.892977696936</v>
      </c>
      <c r="I6775" s="38" t="n">
        <f aca="false">Sens!$I$6751-Sens!$I$6772+Sens!$I$6773+Sens!$I$6774</f>
        <v>145.059971464568</v>
      </c>
      <c r="J6775" s="38" t="n">
        <f aca="false">Sens!$J$6751-Sens!$J$6772+Sens!$J$6773+Sens!$J$6774</f>
        <v>162.301047638521</v>
      </c>
      <c r="K6775" s="38" t="n">
        <f aca="false">Sens!$K$6751-Sens!$K$6772+Sens!$K$6773+Sens!$K$6774</f>
        <v>174.811068079608</v>
      </c>
      <c r="L6775" s="38" t="n">
        <f aca="false">Sens!$L$6751-Sens!$L$6772+Sens!$L$6773+Sens!$L$6774</f>
        <v>190.599438342064</v>
      </c>
      <c r="M6775" s="38" t="n">
        <f aca="false">Sens!$M$6751-Sens!$M$6772+Sens!$M$6773+Sens!$M$6774</f>
        <v>208.094988213801</v>
      </c>
      <c r="N6775" s="38" t="n">
        <f aca="false">Q!$N$36</f>
        <v>42.536</v>
      </c>
      <c r="O6775" s="38" t="n">
        <f aca="false">Q!$O$36</f>
        <v>54.775</v>
      </c>
    </row>
    <row r="6776" customFormat="false" ht="15" hidden="false" customHeight="false" outlineLevel="0" collapsed="false">
      <c r="A6776" s="5" t="s">
        <v>548</v>
      </c>
      <c r="B6776" s="0" t="s">
        <v>86</v>
      </c>
      <c r="C6776" s="38" t="n">
        <f aca="false">Q!$D$37</f>
        <v>9.265</v>
      </c>
      <c r="D6776" s="38" t="n">
        <f aca="false">Q!$E$37</f>
        <v>19.087</v>
      </c>
      <c r="E6776" s="38" t="n">
        <f aca="false">Q!$P$37</f>
        <v>27.759</v>
      </c>
      <c r="F6776" s="38" t="n">
        <f aca="false">Sens!$F$6775*tax</f>
        <v>9.72621910890414</v>
      </c>
      <c r="G6776" s="38" t="n">
        <f aca="false">Sens!$E$6776+Sens!$F$6776</f>
        <v>37.4852191089041</v>
      </c>
      <c r="H6776" s="38" t="n">
        <f aca="false">Sens!$H$6775*tax</f>
        <v>22.2002419916761</v>
      </c>
      <c r="I6776" s="38" t="n">
        <f aca="false">Sens!$I$6775*tax</f>
        <v>25.1801664783365</v>
      </c>
      <c r="J6776" s="38" t="n">
        <f aca="false">Sens!$J$6775*tax</f>
        <v>28.1729505244292</v>
      </c>
      <c r="K6776" s="38" t="n">
        <f aca="false">Sens!$K$6775*tax</f>
        <v>30.3444965007146</v>
      </c>
      <c r="L6776" s="38" t="n">
        <f aca="false">Sens!$L$6775*tax</f>
        <v>33.0851132788405</v>
      </c>
      <c r="M6776" s="38" t="n">
        <f aca="false">Sens!$M$6775*tax</f>
        <v>36.1220700213006</v>
      </c>
      <c r="N6776" s="38" t="n">
        <f aca="false">Q!$N$37</f>
        <v>7.231</v>
      </c>
      <c r="O6776" s="38" t="n">
        <f aca="false">Q!$O$37</f>
        <v>11.856</v>
      </c>
    </row>
    <row r="6777" customFormat="false" ht="15" hidden="false" customHeight="false" outlineLevel="0" collapsed="false">
      <c r="A6777" s="3" t="s">
        <v>549</v>
      </c>
      <c r="B6777" s="8" t="s">
        <v>86</v>
      </c>
      <c r="C6777" s="38" t="n">
        <f aca="false">Q!$D$38</f>
        <v>59.248</v>
      </c>
      <c r="D6777" s="38" t="n">
        <f aca="false">Q!$E$38</f>
        <v>77.67</v>
      </c>
      <c r="E6777" s="38" t="n">
        <f aca="false">Q!$P$38</f>
        <v>92.902</v>
      </c>
      <c r="F6777" s="38" t="n">
        <f aca="false">Sens!$F$6775-Sens!$F$6776</f>
        <v>46.3053828906144</v>
      </c>
      <c r="G6777" s="38" t="n">
        <f aca="false">Sens!$E$6777+Sens!$F$6777</f>
        <v>139.207382890614</v>
      </c>
      <c r="H6777" s="38" t="n">
        <f aca="false">Sens!$H$6775-Sens!$H$6776</f>
        <v>105.69273570526</v>
      </c>
      <c r="I6777" s="38" t="n">
        <f aca="false">Sens!$I$6775-Sens!$I$6776</f>
        <v>119.879804986231</v>
      </c>
      <c r="J6777" s="38" t="n">
        <f aca="false">Sens!$J$6775-Sens!$J$6776</f>
        <v>134.128097114092</v>
      </c>
      <c r="K6777" s="38" t="n">
        <f aca="false">Sens!$K$6775-Sens!$K$6776</f>
        <v>144.466571578893</v>
      </c>
      <c r="L6777" s="38" t="n">
        <f aca="false">Sens!$L$6775-Sens!$L$6776</f>
        <v>157.514325063223</v>
      </c>
      <c r="M6777" s="38" t="n">
        <f aca="false">Sens!$M$6775-Sens!$M$6776</f>
        <v>171.9729181925</v>
      </c>
      <c r="N6777" s="38" t="n">
        <f aca="false">Q!$N$38</f>
        <v>35.291</v>
      </c>
      <c r="O6777" s="38" t="n">
        <f aca="false">Q!$O$38</f>
        <v>42.379</v>
      </c>
    </row>
    <row r="6778" customFormat="false" ht="17.15" hidden="false" customHeight="false" outlineLevel="0" collapsed="false">
      <c r="A6778" s="5" t="s">
        <v>552</v>
      </c>
      <c r="B6778" s="5" t="s">
        <v>33</v>
      </c>
      <c r="C6778" s="22" t="n">
        <f aca="false">Q!$D$41</f>
        <v>10.721</v>
      </c>
      <c r="D6778" s="22" t="n">
        <f aca="false">Q!$E$41</f>
        <v>10.827</v>
      </c>
      <c r="E6778" s="22" t="n">
        <f aca="false">(Q!$L$41+Q!$M$41)/2</f>
        <v>10.8885</v>
      </c>
      <c r="F6778" s="22" t="n">
        <f aca="false">Sens!$G$6778</f>
        <v>10.924806</v>
      </c>
      <c r="G6778" s="22" t="n">
        <f aca="false">Q!$M$41*(1+sh_g*0.25)</f>
        <v>10.924806</v>
      </c>
      <c r="H6778" s="22" t="n">
        <f aca="false">Sens!$G$6778*(1+sh_g)</f>
        <v>11.012204448</v>
      </c>
      <c r="I6778" s="22" t="n">
        <f aca="false">Sens!$H$6778*(1+sh_g)</f>
        <v>11.100302083584</v>
      </c>
      <c r="J6778" s="22" t="n">
        <f aca="false">Sens!$I$6778*(1+sh_g)</f>
        <v>11.1891045002527</v>
      </c>
      <c r="K6778" s="22" t="n">
        <f aca="false">Sens!$J$6778*(1+sh_g)</f>
        <v>11.2786173362547</v>
      </c>
      <c r="L6778" s="22" t="n">
        <f aca="false">Sens!$K$6778*(1+sh_g)</f>
        <v>11.3688462749447</v>
      </c>
      <c r="M6778" s="22" t="n">
        <f aca="false">Sens!$L$6778*(1+sh_g)</f>
        <v>11.4597970451443</v>
      </c>
      <c r="P6778" s="5" t="s">
        <v>755</v>
      </c>
    </row>
    <row r="6779" customFormat="false" ht="17.15" hidden="false" customHeight="false" outlineLevel="0" collapsed="false">
      <c r="A6779" s="5" t="s">
        <v>756</v>
      </c>
      <c r="B6779" s="0" t="s">
        <v>86</v>
      </c>
      <c r="C6779" s="38" t="n">
        <f aca="false">Sens!$C$6777+Sens!$C$6753*(1-tax)</f>
        <v>59.248</v>
      </c>
      <c r="D6779" s="38" t="n">
        <f aca="false">Sens!$D$6777+Sens!$D$6753*(1-tax)</f>
        <v>77.67</v>
      </c>
      <c r="E6779" s="38" t="n">
        <f aca="false">Sens!$E$6777+Sens!$E$6753*(1-tax)</f>
        <v>92.902</v>
      </c>
      <c r="F6779" s="38" t="n">
        <f aca="false">Sens!$F$6777+Sens!$F$6753*(1-tax)</f>
        <v>49.421977850263</v>
      </c>
      <c r="G6779" s="38" t="n">
        <f aca="false">Sens!$G$6777+Sens!$G$6753*(1-tax)</f>
        <v>142.323977850263</v>
      </c>
      <c r="H6779" s="38" t="n">
        <f aca="false">Sens!$H$6777+Sens!$H$6753*(1-tax)</f>
        <v>118.224131660605</v>
      </c>
      <c r="I6779" s="38" t="n">
        <f aca="false">Sens!$I$6777+Sens!$I$6753*(1-tax)</f>
        <v>141.02107006117</v>
      </c>
      <c r="J6779" s="38" t="n">
        <f aca="false">Sens!$J$6777+Sens!$J$6753*(1-tax)</f>
        <v>163.917534058375</v>
      </c>
      <c r="K6779" s="38" t="n">
        <f aca="false">Sens!$K$6777+Sens!$K$6753*(1-tax)</f>
        <v>181.633877275552</v>
      </c>
      <c r="L6779" s="38" t="n">
        <f aca="false">Sens!$L$6777+Sens!$L$6753*(1-tax)</f>
        <v>199.530402403778</v>
      </c>
      <c r="M6779" s="38" t="n">
        <f aca="false">Sens!$M$6777+Sens!$M$6753*(1-tax)</f>
        <v>216.302440383341</v>
      </c>
      <c r="N6779" s="38" t="n">
        <f aca="false">Sens!$N$6777+Sens!$N$6753*(1-tax)</f>
        <v>35.291</v>
      </c>
      <c r="O6779" s="38" t="n">
        <f aca="false">Sens!$O$6777+Sens!$O$6753*(1-tax)</f>
        <v>42.379</v>
      </c>
    </row>
    <row r="6780" customFormat="false" ht="17.15" hidden="false" customHeight="false" outlineLevel="0" collapsed="false">
      <c r="A6780" s="43" t="s">
        <v>757</v>
      </c>
      <c r="B6780" s="14" t="s">
        <v>27</v>
      </c>
      <c r="C6780" s="44" t="n">
        <f aca="false">Sens!$C$6779/Sens!$C$6778</f>
        <v>5.52635015390355</v>
      </c>
      <c r="D6780" s="44" t="n">
        <f aca="false">Sens!$D$6779/Sens!$D$6778</f>
        <v>7.1737323358271</v>
      </c>
      <c r="E6780" s="44" t="n">
        <f aca="false">Sens!$E$6779/Sens!$E$6778</f>
        <v>8.53212104513937</v>
      </c>
      <c r="F6780" s="14"/>
      <c r="G6780" s="44" t="n">
        <f aca="false">Sens!$G$6779/Sens!$G$6778</f>
        <v>13.0275977303636</v>
      </c>
      <c r="H6780" s="44" t="n">
        <f aca="false">Sens!$H$6779/Sens!$H$6778</f>
        <v>10.7357370832392</v>
      </c>
      <c r="I6780" s="44" t="n">
        <f aca="false">Sens!$I$6779/Sens!$I$6778</f>
        <v>12.7042551634449</v>
      </c>
      <c r="J6780" s="44" t="n">
        <f aca="false">Sens!$J$6779/Sens!$J$6778</f>
        <v>14.6497455676344</v>
      </c>
      <c r="K6780" s="44" t="n">
        <f aca="false">Sens!$K$6779/Sens!$K$6778</f>
        <v>16.104268090708</v>
      </c>
      <c r="L6780" s="44" t="n">
        <f aca="false">Sens!$L$6779/Sens!$L$6778</f>
        <v>17.5506289361581</v>
      </c>
      <c r="M6780" s="44" t="n">
        <f aca="false">Sens!$M$6779/Sens!$M$6778</f>
        <v>18.8748927691518</v>
      </c>
      <c r="N6780" s="14"/>
      <c r="O6780" s="14"/>
    </row>
    <row r="6781" customFormat="false" ht="17.15" hidden="false" customHeight="false" outlineLevel="0" collapsed="false">
      <c r="A6781" s="0" t="s">
        <v>758</v>
      </c>
      <c r="B6781" s="0" t="s">
        <v>27</v>
      </c>
      <c r="C6781" s="30" t="n">
        <f aca="false">Sens!$C$6777/Sens!$C$6778</f>
        <v>5.52635015390355</v>
      </c>
      <c r="D6781" s="30" t="n">
        <f aca="false">Sens!$D$6777/Sens!$D$6778</f>
        <v>7.1737323358271</v>
      </c>
      <c r="E6781" s="30" t="n">
        <f aca="false">Sens!$E$6777/Sens!$E$6778</f>
        <v>8.53212104513937</v>
      </c>
      <c r="G6781" s="30" t="n">
        <f aca="false">Sens!$G$6777/Sens!$G$6778</f>
        <v>12.7423208147233</v>
      </c>
      <c r="H6781" s="30" t="n">
        <f aca="false">Sens!$H$6777/Sens!$H$6778</f>
        <v>9.59778182509639</v>
      </c>
      <c r="I6781" s="30" t="n">
        <f aca="false">Sens!$I$6777/Sens!$I$6778</f>
        <v>10.799688520506</v>
      </c>
      <c r="J6781" s="30" t="n">
        <f aca="false">Sens!$J$6777/Sens!$J$6778</f>
        <v>11.9873844337644</v>
      </c>
      <c r="K6781" s="30" t="n">
        <f aca="false">Sens!$K$6777/Sens!$K$6778</f>
        <v>12.8088902453061</v>
      </c>
      <c r="L6781" s="30" t="n">
        <f aca="false">Sens!$L$6777/Sens!$L$6778</f>
        <v>13.8549085152432</v>
      </c>
      <c r="M6781" s="30" t="n">
        <f aca="false">Sens!$M$6777/Sens!$M$6778</f>
        <v>15.0066286091313</v>
      </c>
    </row>
    <row r="6782" customFormat="false" ht="17.15" hidden="false" customHeight="false" outlineLevel="0" collapsed="false">
      <c r="A6782" s="0" t="s">
        <v>759</v>
      </c>
      <c r="B6782" s="0" t="s">
        <v>27</v>
      </c>
      <c r="C6782" s="30" t="n">
        <f aca="false">(Sens!$C$6777-Sens!$C$6774*(1-tax))/Sens!$C$6778</f>
        <v>5.33926775917445</v>
      </c>
      <c r="D6782" s="30" t="n">
        <f aca="false">(Sens!$D$6777-Sens!$D$6774*(1-tax))/Sens!$D$6778</f>
        <v>5.67691812755503</v>
      </c>
      <c r="E6782" s="30" t="n">
        <f aca="false">(Sens!$E$6777-Sens!$E$6774*(1-tax))/Sens!$E$6778</f>
        <v>3.10602057006846</v>
      </c>
      <c r="G6782" s="30" t="n">
        <f aca="false">(Sens!$G$6777-Sens!$G$6774*(1-tax))/Sens!$G$6778</f>
        <v>7.33425269682635</v>
      </c>
      <c r="H6782" s="30" t="n">
        <f aca="false">(Sens!$H$6777-Sens!$H$6774*(1-tax))/Sens!$H$6778</f>
        <v>9.59778182509639</v>
      </c>
      <c r="I6782" s="30" t="n">
        <f aca="false">(Sens!$I$6777-Sens!$I$6774*(1-tax))/Sens!$I$6778</f>
        <v>10.799688520506</v>
      </c>
      <c r="J6782" s="30" t="n">
        <f aca="false">(Sens!$J$6777-Sens!$J$6774*(1-tax))/Sens!$J$6778</f>
        <v>11.9873844337644</v>
      </c>
      <c r="K6782" s="30" t="n">
        <f aca="false">(Sens!$K$6777-Sens!$K$6774*(1-tax))/Sens!$K$6778</f>
        <v>12.8088902453061</v>
      </c>
      <c r="L6782" s="30" t="n">
        <f aca="false">(Sens!$L$6777-Sens!$L$6774*(1-tax))/Sens!$L$6778</f>
        <v>13.8549085152432</v>
      </c>
      <c r="M6782" s="30" t="n">
        <f aca="false">(Sens!$M$6777-Sens!$M$6774*(1-tax))/Sens!$M$6778</f>
        <v>15.0066286091313</v>
      </c>
      <c r="P6782" s="5" t="s">
        <v>760</v>
      </c>
    </row>
    <row r="6783" customFormat="false" ht="17.15" hidden="false" customHeight="false" outlineLevel="0" collapsed="false">
      <c r="A6783" s="0" t="s">
        <v>761</v>
      </c>
      <c r="B6783" s="0" t="s">
        <v>52</v>
      </c>
      <c r="H6783" s="13" t="n">
        <f aca="false">Sens!$H$6780/Sens!$G$6780-1</f>
        <v>-0.175923504437261</v>
      </c>
      <c r="I6783" s="13" t="n">
        <f aca="false">Sens!$I$6780/Sens!$H$6780-1</f>
        <v>0.183361241519136</v>
      </c>
      <c r="J6783" s="13" t="n">
        <f aca="false">Sens!$J$6780/Sens!$I$6780-1</f>
        <v>0.153136911936991</v>
      </c>
      <c r="K6783" s="13" t="n">
        <f aca="false">Sens!$K$6780/Sens!$J$6780-1</f>
        <v>0.0992865382103958</v>
      </c>
      <c r="L6783" s="13" t="n">
        <f aca="false">Sens!$L$6780/Sens!$K$6780-1</f>
        <v>0.0898122682324627</v>
      </c>
      <c r="M6783" s="13" t="n">
        <f aca="false">Sens!$M$6780/Sens!$L$6780-1</f>
        <v>0.0754539246320329</v>
      </c>
    </row>
    <row r="6786" customFormat="false" ht="19.4" hidden="false" customHeight="false" outlineLevel="0" collapsed="false">
      <c r="A6786" s="31" t="s">
        <v>1273</v>
      </c>
    </row>
    <row r="6787" customFormat="false" ht="17.15" hidden="false" customHeight="false" outlineLevel="0" collapsed="false">
      <c r="A6787" s="6" t="s">
        <v>16</v>
      </c>
      <c r="B6787" s="6" t="s">
        <v>17</v>
      </c>
      <c r="C6787" s="20" t="s">
        <v>497</v>
      </c>
      <c r="D6787" s="20" t="s">
        <v>498</v>
      </c>
      <c r="E6787" s="20" t="s">
        <v>580</v>
      </c>
      <c r="F6787" s="20" t="s">
        <v>581</v>
      </c>
      <c r="G6787" s="20" t="s">
        <v>582</v>
      </c>
      <c r="H6787" s="20" t="s">
        <v>583</v>
      </c>
      <c r="I6787" s="20" t="s">
        <v>584</v>
      </c>
      <c r="J6787" s="20" t="s">
        <v>585</v>
      </c>
      <c r="K6787" s="20" t="s">
        <v>586</v>
      </c>
      <c r="L6787" s="20" t="s">
        <v>587</v>
      </c>
      <c r="M6787" s="20" t="s">
        <v>588</v>
      </c>
      <c r="N6787" s="20" t="s">
        <v>589</v>
      </c>
      <c r="O6787" s="20" t="s">
        <v>590</v>
      </c>
      <c r="P6787" s="6" t="s">
        <v>23</v>
      </c>
      <c r="R6787" s="20" t="n">
        <v>2023</v>
      </c>
      <c r="S6787" s="20" t="n">
        <v>2024</v>
      </c>
      <c r="T6787" s="20" t="n">
        <v>2025</v>
      </c>
      <c r="U6787" s="20" t="n">
        <v>2026</v>
      </c>
      <c r="V6787" s="20" t="n">
        <v>2027</v>
      </c>
      <c r="W6787" s="20" t="n">
        <v>2028</v>
      </c>
      <c r="X6787" s="20" t="n">
        <v>2029</v>
      </c>
      <c r="Y6787" s="20" t="n">
        <v>2030</v>
      </c>
      <c r="Z6787" s="20" t="n">
        <v>2031</v>
      </c>
      <c r="AA6787" s="20" t="n">
        <v>2032</v>
      </c>
    </row>
    <row r="6788" customFormat="false" ht="15" hidden="false" customHeight="false" outlineLevel="0" collapsed="false">
      <c r="A6788" s="5" t="s">
        <v>549</v>
      </c>
      <c r="B6788" s="0" t="s">
        <v>86</v>
      </c>
      <c r="C6788" s="38" t="n">
        <f aca="false">Sens!$C$6777</f>
        <v>59.248</v>
      </c>
      <c r="D6788" s="38" t="n">
        <f aca="false">Sens!$D$6777</f>
        <v>77.67</v>
      </c>
      <c r="E6788" s="38" t="n">
        <f aca="false">Sens!$E$6777</f>
        <v>92.902</v>
      </c>
      <c r="F6788" s="38" t="n">
        <f aca="false">Sens!$F$6777</f>
        <v>46.3053828906144</v>
      </c>
      <c r="G6788" s="38" t="n">
        <f aca="false">Sens!$G$6777</f>
        <v>139.207382890614</v>
      </c>
      <c r="H6788" s="38" t="n">
        <f aca="false">Sens!$H$6777</f>
        <v>105.69273570526</v>
      </c>
      <c r="I6788" s="38" t="n">
        <f aca="false">Sens!$I$6777</f>
        <v>119.879804986231</v>
      </c>
      <c r="J6788" s="38" t="n">
        <f aca="false">Sens!$J$6777</f>
        <v>134.128097114092</v>
      </c>
      <c r="K6788" s="38" t="n">
        <f aca="false">Sens!$K$6777</f>
        <v>144.466571578893</v>
      </c>
      <c r="L6788" s="38" t="n">
        <f aca="false">Sens!$L$6777</f>
        <v>157.514325063223</v>
      </c>
      <c r="M6788" s="38" t="n">
        <f aca="false">Sens!$M$6777</f>
        <v>171.9729181925</v>
      </c>
    </row>
    <row r="6789" customFormat="false" ht="17.15" hidden="false" customHeight="false" outlineLevel="0" collapsed="false">
      <c r="A6789" s="5" t="s">
        <v>784</v>
      </c>
      <c r="B6789" s="0" t="s">
        <v>86</v>
      </c>
      <c r="C6789" s="38" t="n">
        <f aca="false">Sens!$C$6765</f>
        <v>32.067</v>
      </c>
      <c r="D6789" s="38" t="n">
        <f aca="false">Sens!$D$6765</f>
        <v>41.86</v>
      </c>
      <c r="E6789" s="38" t="n">
        <f aca="false">Sens!$E$6765</f>
        <v>26.703</v>
      </c>
      <c r="F6789" s="38" t="n">
        <f aca="false">Sens!$F$6765</f>
        <v>28.2071421626285</v>
      </c>
      <c r="G6789" s="38" t="n">
        <f aca="false">Sens!$G$6765</f>
        <v>54.9101421626285</v>
      </c>
      <c r="H6789" s="38" t="n">
        <f aca="false">Sens!$H$6765</f>
        <v>78.1799395827871</v>
      </c>
      <c r="I6789" s="38" t="n">
        <f aca="false">Sens!$I$6765</f>
        <v>111.171125554384</v>
      </c>
      <c r="J6789" s="38" t="n">
        <f aca="false">Sens!$J$6765</f>
        <v>144.884406220971</v>
      </c>
      <c r="K6789" s="38" t="n">
        <f aca="false">Sens!$K$6765</f>
        <v>178.806419437999</v>
      </c>
      <c r="L6789" s="38" t="n">
        <f aca="false">Sens!$L$6765</f>
        <v>204.341339029663</v>
      </c>
      <c r="M6789" s="38" t="n">
        <f aca="false">Sens!$M$6765</f>
        <v>223.130577995387</v>
      </c>
    </row>
    <row r="6790" customFormat="false" ht="15" hidden="false" customHeight="false" outlineLevel="0" collapsed="false">
      <c r="A6790" s="5" t="s">
        <v>785</v>
      </c>
      <c r="B6790" s="0" t="s">
        <v>86</v>
      </c>
      <c r="C6790" s="38" t="n">
        <f aca="false">Q!$D$48</f>
        <v>22.011</v>
      </c>
      <c r="D6790" s="38" t="n">
        <f aca="false">Q!$E$48</f>
        <v>19.467</v>
      </c>
      <c r="E6790" s="38" t="n">
        <f aca="false">Q!$P$48</f>
        <v>10.07</v>
      </c>
      <c r="F6790" s="38" t="n">
        <f aca="false">sbc_r*Sens!$F$6707</f>
        <v>10.8507035798037</v>
      </c>
      <c r="G6790" s="38" t="n">
        <f aca="false">Sens!$E$6790+Sens!$F$6790</f>
        <v>20.9207035798037</v>
      </c>
      <c r="H6790" s="38" t="n">
        <f aca="false">sbc_r*Sens!$H$6707</f>
        <v>23.46224366345</v>
      </c>
      <c r="I6790" s="38" t="n">
        <f aca="false">sbc_r*Sens!$I$6707</f>
        <v>26.6125957111676</v>
      </c>
      <c r="J6790" s="38" t="n">
        <f aca="false">sbc_r*Sens!$J$6707</f>
        <v>29.6280801413323</v>
      </c>
      <c r="K6790" s="38" t="n">
        <f aca="false">sbc_r*Sens!$K$6707</f>
        <v>32.2712258901105</v>
      </c>
      <c r="L6790" s="38" t="n">
        <f aca="false">sbc_r*Sens!$L$6707</f>
        <v>34.7390505016737</v>
      </c>
      <c r="M6790" s="38" t="n">
        <f aca="false">sbc_r*Sens!$M$6707</f>
        <v>37.0405146906692</v>
      </c>
    </row>
    <row r="6791" customFormat="false" ht="17.15" hidden="false" customHeight="false" outlineLevel="0" collapsed="false">
      <c r="A6791" s="5" t="s">
        <v>786</v>
      </c>
      <c r="B6791" s="0" t="s">
        <v>86</v>
      </c>
      <c r="C6791" s="38" t="n">
        <f aca="false">Q!$D$44-Sens!$C$6788-Sens!$C$6789-Sens!$C$6790</f>
        <v>2.551</v>
      </c>
      <c r="D6791" s="38" t="n">
        <f aca="false">Q!$E$44-Sens!$D$6788-Sens!$D$6789-Sens!$D$6790</f>
        <v>0.51700000000001</v>
      </c>
      <c r="E6791" s="38" t="n">
        <f aca="false">Q!$P$44-Sens!$E$6788-Sens!$E$6789-Sens!$E$6790</f>
        <v>-58.256</v>
      </c>
      <c r="F6791" s="38" t="n">
        <f aca="false">oth_r*Sens!$F$6707</f>
        <v>5.22265251035878</v>
      </c>
      <c r="G6791" s="38" t="n">
        <f aca="false">Sens!$E$6791+Sens!$F$6791</f>
        <v>-53.0333474896412</v>
      </c>
      <c r="H6791" s="38" t="n">
        <f aca="false">oth_r*Sens!$H$6707</f>
        <v>11.2928295263397</v>
      </c>
      <c r="I6791" s="38" t="n">
        <f aca="false">oth_r*Sens!$I$6707</f>
        <v>12.8091546115766</v>
      </c>
      <c r="J6791" s="38" t="n">
        <f aca="false">oth_r*Sens!$J$6707</f>
        <v>14.2605653162668</v>
      </c>
      <c r="K6791" s="38" t="n">
        <f aca="false">oth_r*Sens!$K$6707</f>
        <v>15.5327622460396</v>
      </c>
      <c r="L6791" s="38" t="n">
        <f aca="false">oth_r*Sens!$L$6707</f>
        <v>16.720573737517</v>
      </c>
      <c r="M6791" s="38" t="n">
        <f aca="false">oth_r*Sens!$M$6707</f>
        <v>17.8283127551536</v>
      </c>
      <c r="P6791" s="8" t="s">
        <v>787</v>
      </c>
    </row>
    <row r="6792" customFormat="false" ht="15" hidden="false" customHeight="false" outlineLevel="0" collapsed="false">
      <c r="A6792" s="3" t="s">
        <v>555</v>
      </c>
      <c r="B6792" s="8" t="s">
        <v>86</v>
      </c>
      <c r="C6792" s="38" t="n">
        <f aca="false">Q!$D$44</f>
        <v>115.877</v>
      </c>
      <c r="D6792" s="38" t="n">
        <f aca="false">Q!$E$44</f>
        <v>139.514</v>
      </c>
      <c r="E6792" s="38" t="n">
        <f aca="false">Q!$P$44</f>
        <v>71.419</v>
      </c>
      <c r="F6792" s="38" t="n">
        <f aca="false">Sens!$F$6788+Sens!$F$6789+Sens!$F$6790+Sens!$F$6791</f>
        <v>90.5858811434053</v>
      </c>
      <c r="G6792" s="38" t="n">
        <f aca="false">Sens!$E$6792+Sens!$F$6792</f>
        <v>162.004881143405</v>
      </c>
      <c r="H6792" s="38" t="n">
        <f aca="false">Sens!$H$6788+Sens!$H$6789+Sens!$H$6790+Sens!$H$6791</f>
        <v>218.627748477837</v>
      </c>
      <c r="I6792" s="38" t="n">
        <f aca="false">Sens!$I$6788+Sens!$I$6789+Sens!$I$6790+Sens!$I$6791</f>
        <v>270.47268086336</v>
      </c>
      <c r="J6792" s="38" t="n">
        <f aca="false">Sens!$J$6788+Sens!$J$6789+Sens!$J$6790+Sens!$J$6791</f>
        <v>322.901148792662</v>
      </c>
      <c r="K6792" s="38" t="n">
        <f aca="false">Sens!$K$6788+Sens!$K$6789+Sens!$K$6790+Sens!$K$6791</f>
        <v>371.076979153043</v>
      </c>
      <c r="L6792" s="38" t="n">
        <f aca="false">Sens!$L$6788+Sens!$L$6789+Sens!$L$6790+Sens!$L$6791</f>
        <v>413.315288332076</v>
      </c>
      <c r="M6792" s="38" t="n">
        <f aca="false">Sens!$M$6788+Sens!$M$6789+Sens!$M$6790+Sens!$M$6791</f>
        <v>449.97232363371</v>
      </c>
    </row>
    <row r="6793" customFormat="false" ht="17.15" hidden="false" customHeight="false" outlineLevel="0" collapsed="false">
      <c r="A6793" s="5" t="s">
        <v>788</v>
      </c>
      <c r="B6793" s="0" t="s">
        <v>86</v>
      </c>
      <c r="C6793" s="38" t="n">
        <f aca="false">Sens!$C$6674</f>
        <v>25.2781053077374</v>
      </c>
      <c r="D6793" s="38" t="n">
        <f aca="false">Sens!$D$6674</f>
        <v>69.5686316310026</v>
      </c>
      <c r="E6793" s="38" t="n">
        <f aca="false">Sens!$E$6674</f>
        <v>64.1899206485108</v>
      </c>
      <c r="F6793" s="38" t="n">
        <f aca="false">Sens!$F$6674</f>
        <v>96.2481299895</v>
      </c>
      <c r="G6793" s="38" t="n">
        <f aca="false">Sens!$G$6674</f>
        <v>160.438050638011</v>
      </c>
      <c r="H6793" s="38" t="n">
        <f aca="false">Sens!$H$6674</f>
        <v>198.57136494475</v>
      </c>
      <c r="I6793" s="38" t="n">
        <f aca="false">Sens!$I$6674</f>
        <v>204.6464699105</v>
      </c>
      <c r="J6793" s="38" t="n">
        <f aca="false">Sens!$J$6674</f>
        <v>209.8832381105</v>
      </c>
      <c r="K6793" s="38" t="n">
        <f aca="false">Sens!$K$6674</f>
        <v>155.238385275201</v>
      </c>
      <c r="L6793" s="38" t="n">
        <f aca="false">Sens!$L$6674</f>
        <v>132.014141639902</v>
      </c>
      <c r="M6793" s="38" t="n">
        <f aca="false">Sens!$M$6674</f>
        <v>132.230981659852</v>
      </c>
    </row>
    <row r="6794" customFormat="false" ht="17.15" hidden="false" customHeight="false" outlineLevel="0" collapsed="false">
      <c r="A6794" s="5" t="s">
        <v>789</v>
      </c>
      <c r="B6794" s="0" t="s">
        <v>86</v>
      </c>
      <c r="C6794" s="38" t="n">
        <f aca="false">cx_awso*Sens!$C$6705</f>
        <v>21.0469989286053</v>
      </c>
      <c r="D6794" s="38" t="n">
        <f aca="false">cx_awso*Sens!$D$6705</f>
        <v>24.0042459822698</v>
      </c>
      <c r="E6794" s="38" t="n">
        <f aca="false">cx_awso*Sens!$E$6705</f>
        <v>14.261729404886</v>
      </c>
      <c r="F6794" s="38" t="n">
        <f aca="false">cx_awso*Sens!$F$6705</f>
        <v>14.3538599588493</v>
      </c>
      <c r="G6794" s="38" t="n">
        <f aca="false">Sens!$E$6794+Sens!$F$6794</f>
        <v>28.6155893637353</v>
      </c>
      <c r="H6794" s="38" t="n">
        <f aca="false">cx_awso*Sens!$H$6705</f>
        <v>32.2034154158406</v>
      </c>
      <c r="I6794" s="38" t="n">
        <f aca="false">cx_awso*Sens!$I$6705</f>
        <v>35.7539519042915</v>
      </c>
      <c r="J6794" s="38" t="n">
        <f aca="false">cx_awso*Sens!$J$6705</f>
        <v>39.1551076091815</v>
      </c>
      <c r="K6794" s="38" t="n">
        <f aca="false">cx_awso*Sens!$K$6705</f>
        <v>42.287516217916</v>
      </c>
      <c r="L6794" s="38" t="n">
        <f aca="false">cx_awso*Sens!$L$6705</f>
        <v>45.6705175153492</v>
      </c>
      <c r="M6794" s="38" t="n">
        <f aca="false">cx_awso*Sens!$M$6705</f>
        <v>49.3241589165772</v>
      </c>
    </row>
    <row r="6795" customFormat="false" ht="17.15" hidden="false" customHeight="false" outlineLevel="0" collapsed="false">
      <c r="A6795" s="5" t="s">
        <v>790</v>
      </c>
      <c r="B6795" s="0" t="s">
        <v>86</v>
      </c>
      <c r="C6795" s="38" t="n">
        <f aca="false">Q!$D$46-Sens!$C$6793-Sens!$C$6794</f>
        <v>31.3328957636573</v>
      </c>
      <c r="D6795" s="38" t="n">
        <f aca="false">Q!$E$46-Sens!$D$6793-Sens!$D$6794</f>
        <v>34.7471223867276</v>
      </c>
      <c r="E6795" s="38" t="n">
        <f aca="false">Q!$P$46-Sens!$E$6793-Sens!$E$6794</f>
        <v>17.8583499466032</v>
      </c>
      <c r="F6795" s="38" t="n">
        <f aca="false">cx_rt*Sens!$F$6637</f>
        <v>20.6195895799373</v>
      </c>
      <c r="G6795" s="38" t="n">
        <f aca="false">Sens!$E$6795+Sens!$F$6795</f>
        <v>38.4779395265405</v>
      </c>
      <c r="H6795" s="38" t="n">
        <f aca="false">cx_rt*Sens!$H$6637</f>
        <v>42.5978994743075</v>
      </c>
      <c r="I6795" s="38" t="n">
        <f aca="false">cx_rt*Sens!$I$6637</f>
        <v>46.5813904136335</v>
      </c>
      <c r="J6795" s="38" t="n">
        <f aca="false">cx_rt*Sens!$J$6637</f>
        <v>50.2781676586844</v>
      </c>
      <c r="K6795" s="38" t="n">
        <f aca="false">cx_rt*Sens!$K$6637</f>
        <v>53.5312440191755</v>
      </c>
      <c r="L6795" s="38" t="n">
        <f aca="false">cx_rt*Sens!$L$6637</f>
        <v>57.0116717051447</v>
      </c>
      <c r="M6795" s="38" t="n">
        <f aca="false">cx_rt*Sens!$M$6637</f>
        <v>60.7365554669226</v>
      </c>
    </row>
    <row r="6796" customFormat="false" ht="15" hidden="false" customHeight="false" outlineLevel="0" collapsed="false">
      <c r="A6796" s="3" t="s">
        <v>791</v>
      </c>
      <c r="B6796" s="8" t="s">
        <v>86</v>
      </c>
      <c r="C6796" s="38" t="n">
        <f aca="false">Q!$D$46</f>
        <v>77.658</v>
      </c>
      <c r="D6796" s="38" t="n">
        <f aca="false">Q!$E$46</f>
        <v>128.32</v>
      </c>
      <c r="E6796" s="38" t="n">
        <f aca="false">Q!$P$46</f>
        <v>96.31</v>
      </c>
      <c r="F6796" s="38" t="n">
        <f aca="false">Sens!$F$6793+Sens!$F$6794+Sens!$F$6795</f>
        <v>131.221579528287</v>
      </c>
      <c r="G6796" s="38" t="n">
        <f aca="false">Sens!$E$6796+Sens!$F$6796</f>
        <v>227.531579528287</v>
      </c>
      <c r="H6796" s="38" t="n">
        <f aca="false">Sens!$H$6793+Sens!$H$6794+Sens!$H$6795</f>
        <v>273.372679834898</v>
      </c>
      <c r="I6796" s="38" t="n">
        <f aca="false">Sens!$I$6793+Sens!$I$6794+Sens!$I$6795</f>
        <v>286.981812228425</v>
      </c>
      <c r="J6796" s="38" t="n">
        <f aca="false">Sens!$J$6793+Sens!$J$6794+Sens!$J$6795</f>
        <v>299.316513378366</v>
      </c>
      <c r="K6796" s="38" t="n">
        <f aca="false">Sens!$K$6793+Sens!$K$6794+Sens!$K$6795</f>
        <v>251.057145512292</v>
      </c>
      <c r="L6796" s="38" t="n">
        <f aca="false">Sens!$L$6793+Sens!$L$6794+Sens!$L$6795</f>
        <v>234.696330860396</v>
      </c>
      <c r="M6796" s="38" t="n">
        <f aca="false">Sens!$M$6793+Sens!$M$6794+Sens!$M$6795</f>
        <v>242.291696043352</v>
      </c>
    </row>
    <row r="6797" customFormat="false" ht="17.15" hidden="false" customHeight="false" outlineLevel="0" collapsed="false">
      <c r="A6797" s="5" t="s">
        <v>563</v>
      </c>
      <c r="B6797" s="0" t="s">
        <v>86</v>
      </c>
      <c r="C6797" s="38" t="n">
        <f aca="false">Q!$D$50</f>
        <v>2.043</v>
      </c>
      <c r="D6797" s="38" t="n">
        <f aca="false">Q!$E$50</f>
        <v>1.557</v>
      </c>
      <c r="E6797" s="38" t="n">
        <f aca="false">lease_pr/2</f>
        <v>0.8</v>
      </c>
      <c r="F6797" s="38" t="n">
        <f aca="false">lease_pr/2</f>
        <v>0.8</v>
      </c>
      <c r="G6797" s="38" t="n">
        <f aca="false">Sens!$E$6797+Sens!$F$6797</f>
        <v>1.6</v>
      </c>
      <c r="H6797" s="38" t="n">
        <f aca="false">lease_pr</f>
        <v>1.6</v>
      </c>
      <c r="I6797" s="38" t="n">
        <f aca="false">lease_pr</f>
        <v>1.6</v>
      </c>
      <c r="J6797" s="38" t="n">
        <f aca="false">lease_pr</f>
        <v>1.6</v>
      </c>
      <c r="K6797" s="38" t="n">
        <f aca="false">lease_pr</f>
        <v>1.6</v>
      </c>
      <c r="L6797" s="38" t="n">
        <f aca="false">lease_pr</f>
        <v>1.6</v>
      </c>
      <c r="M6797" s="38" t="n">
        <f aca="false">lease_pr</f>
        <v>1.6</v>
      </c>
      <c r="P6797" s="8" t="s">
        <v>792</v>
      </c>
    </row>
    <row r="6798" customFormat="false" ht="15" hidden="false" customHeight="false" outlineLevel="0" collapsed="false">
      <c r="A6798" s="47" t="s">
        <v>793</v>
      </c>
      <c r="B6798" s="14" t="s">
        <v>86</v>
      </c>
      <c r="C6798" s="48" t="n">
        <f aca="false">Sens!$C$6792-Sens!$C$6796-Sens!$C$6797</f>
        <v>36.176</v>
      </c>
      <c r="D6798" s="48" t="n">
        <f aca="false">Sens!$D$6792-Sens!$D$6796-Sens!$D$6797</f>
        <v>9.63700000000002</v>
      </c>
      <c r="E6798" s="48" t="n">
        <f aca="false">Sens!$E$6792-Sens!$E$6796-Sens!$E$6797</f>
        <v>-25.691</v>
      </c>
      <c r="F6798" s="48" t="n">
        <f aca="false">Sens!$F$6792-Sens!$F$6796-Sens!$F$6797</f>
        <v>-41.4356983848813</v>
      </c>
      <c r="G6798" s="48" t="n">
        <f aca="false">Sens!$G$6792-Sens!$G$6796-Sens!$G$6797</f>
        <v>-67.1266983848813</v>
      </c>
      <c r="H6798" s="48" t="n">
        <f aca="false">Sens!$H$6792-Sens!$H$6796-Sens!$H$6797</f>
        <v>-56.3449313570613</v>
      </c>
      <c r="I6798" s="48" t="n">
        <f aca="false">Sens!$I$6792-Sens!$I$6796-Sens!$I$6797</f>
        <v>-18.1091313650653</v>
      </c>
      <c r="J6798" s="48" t="n">
        <f aca="false">Sens!$J$6792-Sens!$J$6796-Sens!$J$6797</f>
        <v>21.9846354142961</v>
      </c>
      <c r="K6798" s="48" t="n">
        <f aca="false">Sens!$K$6792-Sens!$K$6796-Sens!$K$6797</f>
        <v>118.41983364075</v>
      </c>
      <c r="L6798" s="48" t="n">
        <f aca="false">Sens!$L$6792-Sens!$L$6796-Sens!$L$6797</f>
        <v>177.018957471681</v>
      </c>
      <c r="M6798" s="48" t="n">
        <f aca="false">Sens!$M$6792-Sens!$M$6796-Sens!$M$6797</f>
        <v>206.080627590357</v>
      </c>
      <c r="N6798" s="14"/>
      <c r="O6798" s="14"/>
    </row>
    <row r="6799" customFormat="false" ht="17.15" hidden="false" customHeight="false" outlineLevel="0" collapsed="false">
      <c r="A6799" s="5" t="s">
        <v>794</v>
      </c>
      <c r="B6799" s="0" t="s">
        <v>86</v>
      </c>
      <c r="C6799" s="38" t="n">
        <f aca="false">dps*Sens!$C$6778</f>
        <v>0</v>
      </c>
      <c r="D6799" s="38" t="n">
        <f aca="false">dps*Sens!$D$6778</f>
        <v>0</v>
      </c>
      <c r="E6799" s="38" t="n">
        <f aca="false">dps*Sens!$E$6778</f>
        <v>0</v>
      </c>
      <c r="F6799" s="38" t="n">
        <f aca="false">0</f>
        <v>0</v>
      </c>
      <c r="G6799" s="38" t="n">
        <f aca="false">dps*Sens!$G$6778</f>
        <v>0</v>
      </c>
      <c r="H6799" s="38" t="n">
        <f aca="false">dps*Sens!$H$6778</f>
        <v>0</v>
      </c>
      <c r="I6799" s="38" t="n">
        <f aca="false">dps*Sens!$I$6778</f>
        <v>0</v>
      </c>
      <c r="J6799" s="38" t="n">
        <f aca="false">dps*Sens!$J$6778</f>
        <v>0</v>
      </c>
      <c r="K6799" s="38" t="n">
        <f aca="false">dps*Sens!$K$6778</f>
        <v>0</v>
      </c>
      <c r="L6799" s="38" t="n">
        <f aca="false">dps*Sens!$L$6778</f>
        <v>0</v>
      </c>
      <c r="M6799" s="38" t="n">
        <f aca="false">dps*Sens!$M$6778</f>
        <v>0</v>
      </c>
      <c r="P6799" s="8" t="s">
        <v>795</v>
      </c>
    </row>
    <row r="6800" customFormat="false" ht="17.15" hidden="false" customHeight="false" outlineLevel="0" collapsed="false">
      <c r="A6800" s="5" t="s">
        <v>796</v>
      </c>
      <c r="B6800" s="0" t="s">
        <v>86</v>
      </c>
      <c r="C6800" s="38" t="n">
        <f aca="false">0</f>
        <v>0</v>
      </c>
      <c r="D6800" s="38" t="n">
        <f aca="false">0</f>
        <v>0</v>
      </c>
      <c r="E6800" s="38" t="n">
        <f aca="false">0</f>
        <v>0</v>
      </c>
      <c r="F6800" s="38" t="n">
        <f aca="false">0</f>
        <v>0</v>
      </c>
      <c r="G6800" s="38" t="n">
        <f aca="false">0</f>
        <v>0</v>
      </c>
      <c r="H6800" s="38" t="n">
        <f aca="false">0</f>
        <v>0</v>
      </c>
      <c r="I6800" s="38" t="n">
        <f aca="false">0</f>
        <v>0</v>
      </c>
      <c r="J6800" s="38" t="n">
        <f aca="false">0</f>
        <v>0</v>
      </c>
      <c r="K6800" s="38" t="n">
        <f aca="false">0</f>
        <v>0</v>
      </c>
      <c r="L6800" s="38" t="n">
        <f aca="false">0</f>
        <v>0</v>
      </c>
      <c r="M6800" s="38" t="n">
        <f aca="false">0</f>
        <v>0</v>
      </c>
      <c r="P6800" s="8" t="s">
        <v>797</v>
      </c>
    </row>
    <row r="6801" customFormat="false" ht="15" hidden="false" customHeight="false" outlineLevel="0" collapsed="false">
      <c r="A6801" s="3" t="s">
        <v>798</v>
      </c>
      <c r="B6801" s="8" t="s">
        <v>86</v>
      </c>
      <c r="C6801" s="38" t="n">
        <f aca="false">Sens!$C$6798-Sens!$C$6799</f>
        <v>36.176</v>
      </c>
      <c r="D6801" s="38" t="n">
        <f aca="false">Sens!$D$6798-Sens!$D$6799</f>
        <v>9.63700000000002</v>
      </c>
      <c r="E6801" s="38" t="n">
        <f aca="false">Sens!$E$6798-Sens!$E$6799</f>
        <v>-25.691</v>
      </c>
      <c r="F6801" s="38" t="n">
        <f aca="false">Sens!$F$6798-Sens!$F$6799</f>
        <v>-41.4356983848813</v>
      </c>
      <c r="G6801" s="38" t="n">
        <f aca="false">Sens!$G$6798-Sens!$G$6799</f>
        <v>-67.1266983848813</v>
      </c>
      <c r="H6801" s="38" t="n">
        <f aca="false">Sens!$H$6798-Sens!$H$6799</f>
        <v>-56.3449313570613</v>
      </c>
      <c r="I6801" s="38" t="n">
        <f aca="false">Sens!$I$6798-Sens!$I$6799</f>
        <v>-18.1091313650653</v>
      </c>
      <c r="J6801" s="38" t="n">
        <f aca="false">Sens!$J$6798-Sens!$J$6799</f>
        <v>21.9846354142961</v>
      </c>
      <c r="K6801" s="38" t="n">
        <f aca="false">Sens!$K$6798-Sens!$K$6799</f>
        <v>118.41983364075</v>
      </c>
      <c r="L6801" s="38" t="n">
        <f aca="false">Sens!$L$6798-Sens!$L$6799</f>
        <v>177.018957471681</v>
      </c>
      <c r="M6801" s="38" t="n">
        <f aca="false">Sens!$M$6798-Sens!$M$6799</f>
        <v>206.080627590357</v>
      </c>
    </row>
    <row r="6802" customFormat="false" ht="17.15" hidden="false" customHeight="false" outlineLevel="0" collapsed="false">
      <c r="A6802" s="5" t="s">
        <v>799</v>
      </c>
      <c r="B6802" s="0" t="s">
        <v>86</v>
      </c>
      <c r="E6802" s="38" t="n">
        <f aca="false">Q!$P$53</f>
        <v>39.767</v>
      </c>
      <c r="F6802" s="38" t="n">
        <f aca="false">inv_2h26</f>
        <v>21.3</v>
      </c>
      <c r="G6802" s="38" t="n">
        <f aca="false">Sens!$E$6802+Sens!$F$6802</f>
        <v>61.067</v>
      </c>
      <c r="H6802" s="39" t="n">
        <v>0</v>
      </c>
      <c r="I6802" s="39" t="n">
        <v>0</v>
      </c>
      <c r="J6802" s="39" t="n">
        <v>0</v>
      </c>
      <c r="K6802" s="39" t="n">
        <v>0</v>
      </c>
      <c r="L6802" s="39" t="n">
        <v>0</v>
      </c>
      <c r="M6802" s="39" t="n">
        <v>0</v>
      </c>
    </row>
    <row r="6803" customFormat="false" ht="17.15" hidden="false" customHeight="false" outlineLevel="0" collapsed="false">
      <c r="A6803" s="5" t="s">
        <v>800</v>
      </c>
      <c r="B6803" s="0" t="s">
        <v>86</v>
      </c>
      <c r="F6803" s="38" t="n">
        <f aca="false">iss_2h26</f>
        <v>29.249999</v>
      </c>
      <c r="G6803" s="38" t="n">
        <f aca="false">Sens!$F$6803</f>
        <v>29.249999</v>
      </c>
      <c r="H6803" s="39" t="n">
        <v>0</v>
      </c>
      <c r="I6803" s="39" t="n">
        <v>0</v>
      </c>
      <c r="J6803" s="39" t="n">
        <v>0</v>
      </c>
      <c r="K6803" s="39" t="n">
        <v>0</v>
      </c>
      <c r="L6803" s="39" t="n">
        <v>0</v>
      </c>
      <c r="M6803" s="39" t="n">
        <v>0</v>
      </c>
    </row>
    <row r="6804" customFormat="false" ht="17.15" hidden="false" customHeight="false" outlineLevel="0" collapsed="false">
      <c r="A6804" s="5" t="s">
        <v>801</v>
      </c>
      <c r="B6804" s="0" t="s">
        <v>86</v>
      </c>
      <c r="F6804" s="38" t="n">
        <f aca="false">cash_q2</f>
        <v>122.988</v>
      </c>
      <c r="G6804" s="38" t="n">
        <f aca="false">cash_q2</f>
        <v>122.988</v>
      </c>
      <c r="H6804" s="38" t="n">
        <f aca="false">Sens!$G$6807</f>
        <v>89.5023006151187</v>
      </c>
      <c r="I6804" s="38" t="n">
        <f aca="false">Sens!$H$6807</f>
        <v>50</v>
      </c>
      <c r="J6804" s="38" t="n">
        <f aca="false">Sens!$I$6807</f>
        <v>50</v>
      </c>
      <c r="K6804" s="38" t="n">
        <f aca="false">Sens!$J$6807</f>
        <v>71.9846354142962</v>
      </c>
      <c r="L6804" s="38" t="n">
        <f aca="false">Sens!$K$6807</f>
        <v>190.404469055046</v>
      </c>
      <c r="M6804" s="38" t="n">
        <f aca="false">Sens!$L$6807</f>
        <v>367.423426526727</v>
      </c>
    </row>
    <row r="6805" customFormat="false" ht="15" hidden="false" customHeight="false" outlineLevel="0" collapsed="false">
      <c r="A6805" s="5" t="s">
        <v>802</v>
      </c>
      <c r="B6805" s="0" t="s">
        <v>86</v>
      </c>
      <c r="F6805" s="38" t="n">
        <f aca="false">Sens!$F$6804+Sens!$F$6801-Sens!$F$6800-Sens!$F$6802+Sens!$F$6803</f>
        <v>89.5023006151187</v>
      </c>
      <c r="H6805" s="38" t="n">
        <f aca="false">Sens!$H$6804+Sens!$H$6801-Sens!$H$6800-Sens!$H$6802+Sens!$H$6803</f>
        <v>33.1573692580575</v>
      </c>
      <c r="I6805" s="38" t="n">
        <f aca="false">Sens!$I$6804+Sens!$I$6801-Sens!$I$6800-Sens!$I$6802+Sens!$I$6803</f>
        <v>31.8908686349347</v>
      </c>
      <c r="J6805" s="38" t="n">
        <f aca="false">Sens!$J$6804+Sens!$J$6801-Sens!$J$6800-Sens!$J$6802+Sens!$J$6803</f>
        <v>71.9846354142962</v>
      </c>
      <c r="K6805" s="38" t="n">
        <f aca="false">Sens!$K$6804+Sens!$K$6801-Sens!$K$6800-Sens!$K$6802+Sens!$K$6803</f>
        <v>190.404469055046</v>
      </c>
      <c r="L6805" s="38" t="n">
        <f aca="false">Sens!$L$6804+Sens!$L$6801-Sens!$L$6800-Sens!$L$6802+Sens!$L$6803</f>
        <v>367.423426526727</v>
      </c>
      <c r="M6805" s="38" t="n">
        <f aca="false">Sens!$M$6804+Sens!$M$6801-Sens!$M$6800-Sens!$M$6802+Sens!$M$6803</f>
        <v>573.504054117085</v>
      </c>
    </row>
    <row r="6806" customFormat="false" ht="17.15" hidden="false" customHeight="false" outlineLevel="0" collapsed="false">
      <c r="A6806" s="5" t="s">
        <v>803</v>
      </c>
      <c r="B6806" s="0" t="s">
        <v>86</v>
      </c>
      <c r="F6806" s="38" t="n">
        <f aca="false">MAX(0,min_cash-Sens!$F$6805)</f>
        <v>0</v>
      </c>
      <c r="G6806" s="38" t="n">
        <f aca="false">Sens!$F$6806</f>
        <v>0</v>
      </c>
      <c r="H6806" s="38" t="n">
        <f aca="false">MAX(0,min_cash-Sens!$H$6805)</f>
        <v>16.8426307419426</v>
      </c>
      <c r="I6806" s="38" t="n">
        <f aca="false">MAX(0,min_cash-Sens!$I$6805)</f>
        <v>18.1091313650653</v>
      </c>
      <c r="J6806" s="38" t="n">
        <f aca="false">MAX(0,min_cash-Sens!$J$6805)</f>
        <v>0</v>
      </c>
      <c r="K6806" s="38" t="n">
        <f aca="false">MAX(0,min_cash-Sens!$K$6805)</f>
        <v>0</v>
      </c>
      <c r="L6806" s="38" t="n">
        <f aca="false">MAX(0,min_cash-Sens!$L$6805)</f>
        <v>0</v>
      </c>
      <c r="M6806" s="38" t="n">
        <f aca="false">MAX(0,min_cash-Sens!$M$6805)</f>
        <v>0</v>
      </c>
      <c r="P6806" s="5" t="s">
        <v>804</v>
      </c>
    </row>
    <row r="6807" customFormat="false" ht="15" hidden="false" customHeight="false" outlineLevel="0" collapsed="false">
      <c r="A6807" s="5" t="s">
        <v>805</v>
      </c>
      <c r="B6807" s="0" t="s">
        <v>86</v>
      </c>
      <c r="D6807" s="38" t="n">
        <f aca="false">Q!$E$61</f>
        <v>123.029</v>
      </c>
      <c r="E6807" s="38" t="n">
        <f aca="false">Q!$M$61</f>
        <v>122.988</v>
      </c>
      <c r="F6807" s="38" t="n">
        <f aca="false">Sens!$F$6805+Sens!$F$6806</f>
        <v>89.5023006151187</v>
      </c>
      <c r="G6807" s="38" t="n">
        <f aca="false">Sens!$F$6807</f>
        <v>89.5023006151187</v>
      </c>
      <c r="H6807" s="38" t="n">
        <f aca="false">Sens!$H$6805+Sens!$H$6806</f>
        <v>50</v>
      </c>
      <c r="I6807" s="38" t="n">
        <f aca="false">Sens!$I$6805+Sens!$I$6806</f>
        <v>50</v>
      </c>
      <c r="J6807" s="38" t="n">
        <f aca="false">Sens!$J$6805+Sens!$J$6806</f>
        <v>71.9846354142962</v>
      </c>
      <c r="K6807" s="38" t="n">
        <f aca="false">Sens!$K$6805+Sens!$K$6806</f>
        <v>190.404469055046</v>
      </c>
      <c r="L6807" s="38" t="n">
        <f aca="false">Sens!$L$6805+Sens!$L$6806</f>
        <v>367.423426526727</v>
      </c>
      <c r="M6807" s="38" t="n">
        <f aca="false">Sens!$M$6805+Sens!$M$6806</f>
        <v>573.504054117085</v>
      </c>
    </row>
    <row r="6808" customFormat="false" ht="15" hidden="false" customHeight="false" outlineLevel="0" collapsed="false">
      <c r="A6808" s="5" t="s">
        <v>806</v>
      </c>
      <c r="B6808" s="0" t="s">
        <v>86</v>
      </c>
      <c r="D6808" s="38" t="n">
        <f aca="false">Q!$E$62</f>
        <v>68.836</v>
      </c>
      <c r="E6808" s="38" t="n">
        <f aca="false">Q!$M$62</f>
        <v>132.995</v>
      </c>
      <c r="F6808" s="38" t="n">
        <f aca="false">debt_q2+Sens!$F$6803+Sens!$F$6806</f>
        <v>162.244999</v>
      </c>
      <c r="G6808" s="38" t="n">
        <f aca="false">Sens!$F$6808</f>
        <v>162.244999</v>
      </c>
      <c r="H6808" s="38" t="n">
        <f aca="false">Sens!$G$6808+Sens!$H$6806</f>
        <v>179.087629741943</v>
      </c>
      <c r="I6808" s="38" t="n">
        <f aca="false">Sens!$H$6808+Sens!$I$6806</f>
        <v>197.196761107008</v>
      </c>
      <c r="J6808" s="38" t="n">
        <f aca="false">Sens!$I$6808+Sens!$J$6806</f>
        <v>197.196761107008</v>
      </c>
      <c r="K6808" s="38" t="n">
        <f aca="false">Sens!$J$6808+Sens!$K$6806</f>
        <v>197.196761107008</v>
      </c>
      <c r="L6808" s="38" t="n">
        <f aca="false">Sens!$K$6808+Sens!$L$6806</f>
        <v>197.196761107008</v>
      </c>
      <c r="M6808" s="38" t="n">
        <f aca="false">Sens!$L$6808+Sens!$M$6806</f>
        <v>197.196761107008</v>
      </c>
    </row>
    <row r="6809" customFormat="false" ht="15" hidden="false" customHeight="false" outlineLevel="0" collapsed="false">
      <c r="A6809" s="5" t="s">
        <v>807</v>
      </c>
      <c r="B6809" s="0" t="s">
        <v>86</v>
      </c>
      <c r="D6809" s="38" t="n">
        <f aca="false">Sens!$D$6808-Sens!$D$6807</f>
        <v>-54.193</v>
      </c>
      <c r="E6809" s="38" t="n">
        <f aca="false">Sens!$E$6808-Sens!$E$6807</f>
        <v>10.007</v>
      </c>
      <c r="F6809" s="38" t="n">
        <f aca="false">Sens!$F$6808-Sens!$F$6807</f>
        <v>72.7426983848813</v>
      </c>
      <c r="G6809" s="38" t="n">
        <f aca="false">Sens!$G$6808-Sens!$G$6807</f>
        <v>72.7426983848813</v>
      </c>
      <c r="H6809" s="38" t="n">
        <f aca="false">Sens!$H$6808-Sens!$H$6807</f>
        <v>129.087629741943</v>
      </c>
      <c r="I6809" s="38" t="n">
        <f aca="false">Sens!$I$6808-Sens!$I$6807</f>
        <v>147.196761107008</v>
      </c>
      <c r="J6809" s="38" t="n">
        <f aca="false">Sens!$J$6808-Sens!$J$6807</f>
        <v>125.212125692712</v>
      </c>
      <c r="K6809" s="38" t="n">
        <f aca="false">Sens!$K$6808-Sens!$K$6807</f>
        <v>6.79229205196145</v>
      </c>
      <c r="L6809" s="38" t="n">
        <f aca="false">Sens!$L$6808-Sens!$L$6807</f>
        <v>-170.226665419719</v>
      </c>
      <c r="M6809" s="38" t="n">
        <f aca="false">Sens!$M$6808-Sens!$M$6807</f>
        <v>-376.307293010077</v>
      </c>
    </row>
    <row r="6810" customFormat="false" ht="17.15" hidden="false" customHeight="false" outlineLevel="0" collapsed="false">
      <c r="A6810" s="5" t="s">
        <v>808</v>
      </c>
      <c r="B6810" s="0" t="s">
        <v>86</v>
      </c>
      <c r="F6810" s="38" t="n">
        <f aca="false">debt_q2*kd_book*0.5+iss_2h26*kd_new*iss_t</f>
        <v>3.24888962733561</v>
      </c>
      <c r="H6810" s="38" t="n">
        <f aca="false">debt_q2*kd_book+(Sens!$G$6808-debt_q2)*kd_new</f>
        <v>7.42354172302123</v>
      </c>
      <c r="I6810" s="38" t="n">
        <f aca="false">debt_q2*kd_book+(Sens!$H$6808-debt_q2)*kd_new</f>
        <v>8.48968024898619</v>
      </c>
      <c r="J6810" s="38" t="n">
        <f aca="false">debt_q2*kd_book+(Sens!$I$6808-debt_q2)*kd_new</f>
        <v>9.63598826439483</v>
      </c>
      <c r="K6810" s="38" t="n">
        <f aca="false">debt_q2*kd_book+(Sens!$J$6808-debt_q2)*kd_new</f>
        <v>9.63598826439483</v>
      </c>
      <c r="L6810" s="38" t="n">
        <f aca="false">debt_q2*kd_book+(Sens!$K$6808-debt_q2)*kd_new</f>
        <v>9.63598826439483</v>
      </c>
      <c r="M6810" s="38" t="n">
        <f aca="false">debt_q2*kd_book+(Sens!$L$6808-debt_q2)*kd_new</f>
        <v>9.63598826439483</v>
      </c>
    </row>
    <row r="6811" customFormat="false" ht="17.15" hidden="false" customHeight="false" outlineLevel="0" collapsed="false">
      <c r="A6811" s="5" t="s">
        <v>809</v>
      </c>
      <c r="B6811" s="0" t="s">
        <v>86</v>
      </c>
      <c r="F6811" s="38" t="n">
        <f aca="false">cash_q2*y_cash*0.5</f>
        <v>2.59</v>
      </c>
      <c r="H6811" s="38" t="n">
        <f aca="false">Sens!$G$6807*y_cash</f>
        <v>3.76965165045626</v>
      </c>
      <c r="I6811" s="38" t="n">
        <f aca="false">Sens!$H$6807*y_cash</f>
        <v>2.10589651022864</v>
      </c>
      <c r="J6811" s="38" t="n">
        <f aca="false">Sens!$I$6807*y_cash</f>
        <v>2.10589651022864</v>
      </c>
      <c r="K6811" s="38" t="n">
        <f aca="false">Sens!$J$6807*y_cash</f>
        <v>3.03184385018094</v>
      </c>
      <c r="L6811" s="38" t="n">
        <f aca="false">Sens!$K$6807*y_cash</f>
        <v>8.01944213829919</v>
      </c>
      <c r="M6811" s="38" t="n">
        <f aca="false">Sens!$L$6807*y_cash</f>
        <v>15.4751142339777</v>
      </c>
    </row>
    <row r="6812" customFormat="false" ht="17.15" hidden="false" customHeight="false" outlineLevel="0" collapsed="false">
      <c r="A6812" s="47" t="s">
        <v>810</v>
      </c>
      <c r="B6812" s="14" t="s">
        <v>86</v>
      </c>
      <c r="C6812" s="14"/>
      <c r="D6812" s="14"/>
      <c r="E6812" s="14"/>
      <c r="F6812" s="14"/>
      <c r="G6812" s="48" t="n">
        <f aca="false">SUM(Sens!$G$6801:$K$6801)</f>
        <v>-1.17629205196147</v>
      </c>
      <c r="H6812" s="14"/>
      <c r="I6812" s="14"/>
      <c r="J6812" s="14"/>
      <c r="K6812" s="14"/>
      <c r="L6812" s="14"/>
      <c r="M6812" s="14"/>
      <c r="N6812" s="14"/>
      <c r="O6812" s="14"/>
    </row>
    <row r="6813" customFormat="false" ht="17.15" hidden="false" customHeight="false" outlineLevel="0" collapsed="false">
      <c r="A6813" s="0" t="s">
        <v>776</v>
      </c>
      <c r="B6813" s="0" t="s">
        <v>86</v>
      </c>
      <c r="G6813" s="38" t="n">
        <f aca="false">SUM(Sens!$G$6806:$K$6806)</f>
        <v>34.9517621070079</v>
      </c>
    </row>
    <row r="6814" customFormat="false" ht="17.15" hidden="false" customHeight="false" outlineLevel="0" collapsed="false">
      <c r="A6814" s="24" t="s">
        <v>813</v>
      </c>
      <c r="B6814" s="25" t="s">
        <v>86</v>
      </c>
      <c r="C6814" s="25"/>
      <c r="D6814" s="25"/>
      <c r="E6814" s="25"/>
      <c r="F6814" s="25"/>
      <c r="G6814" s="41" t="n">
        <f aca="false">Sens!$G$6812-(Sens!$G$6801+Sens!$H$6801+Sens!$I$6801+Sens!$J$6801+Sens!$K$6801)</f>
        <v>-2.8421709430404E-014</v>
      </c>
      <c r="H6814" s="25"/>
      <c r="I6814" s="25"/>
      <c r="J6814" s="25"/>
      <c r="K6814" s="25"/>
      <c r="L6814" s="25"/>
      <c r="M6814" s="25"/>
      <c r="N6814" s="25"/>
      <c r="O6814" s="25"/>
    </row>
    <row r="6817" customFormat="false" ht="19.4" hidden="false" customHeight="false" outlineLevel="0" collapsed="false">
      <c r="A6817" s="31" t="s">
        <v>1274</v>
      </c>
    </row>
    <row r="6818" customFormat="false" ht="17.15" hidden="false" customHeight="false" outlineLevel="0" collapsed="false">
      <c r="A6818" s="6" t="s">
        <v>16</v>
      </c>
      <c r="B6818" s="6" t="s">
        <v>17</v>
      </c>
      <c r="C6818" s="20" t="s">
        <v>497</v>
      </c>
      <c r="D6818" s="20" t="s">
        <v>498</v>
      </c>
      <c r="E6818" s="20" t="s">
        <v>580</v>
      </c>
      <c r="F6818" s="20" t="s">
        <v>581</v>
      </c>
      <c r="G6818" s="20" t="s">
        <v>582</v>
      </c>
      <c r="H6818" s="20" t="s">
        <v>583</v>
      </c>
      <c r="I6818" s="20" t="s">
        <v>584</v>
      </c>
      <c r="J6818" s="20" t="s">
        <v>585</v>
      </c>
      <c r="K6818" s="20" t="s">
        <v>586</v>
      </c>
      <c r="L6818" s="20" t="s">
        <v>587</v>
      </c>
      <c r="M6818" s="20" t="s">
        <v>588</v>
      </c>
      <c r="N6818" s="20" t="s">
        <v>589</v>
      </c>
      <c r="O6818" s="20" t="s">
        <v>590</v>
      </c>
      <c r="P6818" s="6" t="s">
        <v>23</v>
      </c>
      <c r="R6818" s="20" t="n">
        <v>2023</v>
      </c>
      <c r="S6818" s="20" t="n">
        <v>2024</v>
      </c>
      <c r="T6818" s="20" t="n">
        <v>2025</v>
      </c>
      <c r="U6818" s="20" t="n">
        <v>2026</v>
      </c>
      <c r="V6818" s="20" t="n">
        <v>2027</v>
      </c>
      <c r="W6818" s="20" t="n">
        <v>2028</v>
      </c>
      <c r="X6818" s="20" t="n">
        <v>2029</v>
      </c>
      <c r="Y6818" s="20" t="n">
        <v>2030</v>
      </c>
      <c r="Z6818" s="20" t="n">
        <v>2031</v>
      </c>
      <c r="AA6818" s="20" t="n">
        <v>2032</v>
      </c>
    </row>
    <row r="6819" customFormat="false" ht="17.15" hidden="false" customHeight="false" outlineLevel="0" collapsed="false">
      <c r="A6819" s="1" t="s">
        <v>915</v>
      </c>
    </row>
    <row r="6820" customFormat="false" ht="17.15" hidden="false" customHeight="false" outlineLevel="0" collapsed="false">
      <c r="A6820" s="0" t="s">
        <v>916</v>
      </c>
      <c r="B6820" s="0" t="s">
        <v>86</v>
      </c>
      <c r="H6820" s="38" t="n">
        <f aca="false">Sens!$H$6754*(1-tax)</f>
        <v>121.243762954598</v>
      </c>
      <c r="I6820" s="38" t="n">
        <f aca="false">Sens!$I$6754*(1-tax)</f>
        <v>146.296727721585</v>
      </c>
      <c r="J6820" s="38" t="n">
        <f aca="false">Sens!$J$6754*(1-tax)</f>
        <v>170.140518399982</v>
      </c>
      <c r="K6820" s="38" t="n">
        <f aca="false">Sens!$K$6754*(1-tax)</f>
        <v>187.091644407888</v>
      </c>
      <c r="L6820" s="38" t="n">
        <f aca="false">Sens!$L$6754*(1-tax)</f>
        <v>200.866341135815</v>
      </c>
      <c r="M6820" s="38" t="n">
        <f aca="false">Sens!$M$6754*(1-tax)</f>
        <v>211.476896331068</v>
      </c>
    </row>
    <row r="6821" customFormat="false" ht="15" hidden="false" customHeight="false" outlineLevel="0" collapsed="false">
      <c r="A6821" s="5" t="s">
        <v>917</v>
      </c>
      <c r="B6821" s="0" t="s">
        <v>86</v>
      </c>
      <c r="H6821" s="38" t="n">
        <f aca="false">Sens!$H$6765</f>
        <v>78.1799395827871</v>
      </c>
      <c r="I6821" s="38" t="n">
        <f aca="false">Sens!$I$6765</f>
        <v>111.171125554384</v>
      </c>
      <c r="J6821" s="38" t="n">
        <f aca="false">Sens!$J$6765</f>
        <v>144.884406220971</v>
      </c>
      <c r="K6821" s="38" t="n">
        <f aca="false">Sens!$K$6765</f>
        <v>178.806419437999</v>
      </c>
      <c r="L6821" s="38" t="n">
        <f aca="false">Sens!$L$6765</f>
        <v>204.341339029663</v>
      </c>
      <c r="M6821" s="38" t="n">
        <f aca="false">Sens!$M$6765</f>
        <v>223.130577995387</v>
      </c>
    </row>
    <row r="6822" customFormat="false" ht="15" hidden="false" customHeight="false" outlineLevel="0" collapsed="false">
      <c r="A6822" s="5" t="s">
        <v>918</v>
      </c>
      <c r="B6822" s="0" t="s">
        <v>86</v>
      </c>
      <c r="H6822" s="38" t="n">
        <f aca="false">Sens!$H$6796</f>
        <v>273.372679834898</v>
      </c>
      <c r="I6822" s="38" t="n">
        <f aca="false">Sens!$I$6796</f>
        <v>286.981812228425</v>
      </c>
      <c r="J6822" s="38" t="n">
        <f aca="false">Sens!$J$6796</f>
        <v>299.316513378366</v>
      </c>
      <c r="K6822" s="38" t="n">
        <f aca="false">Sens!$K$6796</f>
        <v>251.057145512292</v>
      </c>
      <c r="L6822" s="38" t="n">
        <f aca="false">Sens!$L$6796</f>
        <v>234.696330860396</v>
      </c>
      <c r="M6822" s="38" t="n">
        <f aca="false">Sens!$M$6796</f>
        <v>242.291696043352</v>
      </c>
    </row>
    <row r="6823" customFormat="false" ht="15" hidden="false" customHeight="false" outlineLevel="0" collapsed="false">
      <c r="A6823" s="5" t="s">
        <v>919</v>
      </c>
      <c r="B6823" s="0" t="s">
        <v>86</v>
      </c>
      <c r="H6823" s="38" t="n">
        <f aca="false">Sens!$H$6797</f>
        <v>1.6</v>
      </c>
      <c r="I6823" s="38" t="n">
        <f aca="false">Sens!$I$6797</f>
        <v>1.6</v>
      </c>
      <c r="J6823" s="38" t="n">
        <f aca="false">Sens!$J$6797</f>
        <v>1.6</v>
      </c>
      <c r="K6823" s="38" t="n">
        <f aca="false">Sens!$K$6797</f>
        <v>1.6</v>
      </c>
      <c r="L6823" s="38" t="n">
        <f aca="false">Sens!$L$6797</f>
        <v>1.6</v>
      </c>
      <c r="M6823" s="38" t="n">
        <f aca="false">Sens!$M$6797</f>
        <v>1.6</v>
      </c>
    </row>
    <row r="6824" customFormat="false" ht="15" hidden="false" customHeight="false" outlineLevel="0" collapsed="false">
      <c r="A6824" s="5" t="s">
        <v>920</v>
      </c>
      <c r="B6824" s="0" t="s">
        <v>86</v>
      </c>
      <c r="H6824" s="38" t="n">
        <f aca="false">Sens!$H$6791</f>
        <v>11.2928295263397</v>
      </c>
      <c r="I6824" s="38" t="n">
        <f aca="false">Sens!$I$6791</f>
        <v>12.8091546115766</v>
      </c>
      <c r="J6824" s="38" t="n">
        <f aca="false">Sens!$J$6791</f>
        <v>14.2605653162668</v>
      </c>
      <c r="K6824" s="38" t="n">
        <f aca="false">Sens!$K$6791</f>
        <v>15.5327622460396</v>
      </c>
      <c r="L6824" s="38" t="n">
        <f aca="false">Sens!$L$6791</f>
        <v>16.720573737517</v>
      </c>
      <c r="M6824" s="38" t="n">
        <f aca="false">Sens!$M$6791</f>
        <v>17.8283127551536</v>
      </c>
    </row>
    <row r="6825" customFormat="false" ht="17.15" hidden="false" customHeight="false" outlineLevel="0" collapsed="false">
      <c r="A6825" s="1" t="s">
        <v>921</v>
      </c>
      <c r="B6825" s="8" t="s">
        <v>86</v>
      </c>
      <c r="H6825" s="38" t="n">
        <f aca="false">Sens!$H$6820+Sens!$H$6821-Sens!$H$6822+Sens!$H$6824</f>
        <v>-62.6561477711731</v>
      </c>
      <c r="I6825" s="38" t="n">
        <f aca="false">Sens!$I$6820+Sens!$I$6821-Sens!$I$6822+Sens!$I$6824</f>
        <v>-16.7048043408794</v>
      </c>
      <c r="J6825" s="38" t="n">
        <f aca="false">Sens!$J$6820+Sens!$J$6821-Sens!$J$6822+Sens!$J$6824</f>
        <v>29.9689765588539</v>
      </c>
      <c r="K6825" s="38" t="n">
        <f aca="false">Sens!$K$6820+Sens!$K$6821-Sens!$K$6822+Sens!$K$6824</f>
        <v>130.373680579634</v>
      </c>
      <c r="L6825" s="38" t="n">
        <f aca="false">Sens!$L$6820+Sens!$L$6821-Sens!$L$6822+Sens!$L$6824</f>
        <v>187.231923042598</v>
      </c>
      <c r="M6825" s="38" t="n">
        <f aca="false">Sens!$M$6820+Sens!$M$6821-Sens!$M$6822+Sens!$M$6824</f>
        <v>210.144091038257</v>
      </c>
    </row>
    <row r="6826" customFormat="false" ht="15" hidden="false" customHeight="false" outlineLevel="0" collapsed="false">
      <c r="A6826" s="5" t="s">
        <v>922</v>
      </c>
      <c r="B6826" s="0" t="s">
        <v>57</v>
      </c>
      <c r="H6826" s="40" t="n">
        <f aca="false">1/(1+wacc)^(2027-2026-0.5)</f>
        <v>0.947751320380232</v>
      </c>
      <c r="I6826" s="40" t="n">
        <f aca="false">1/(1+wacc)^(2028-2026-0.5)</f>
        <v>0.851301099754987</v>
      </c>
      <c r="J6826" s="40" t="n">
        <f aca="false">1/(1+wacc)^(2029-2026-0.5)</f>
        <v>0.764666370660713</v>
      </c>
      <c r="K6826" s="40" t="n">
        <f aca="false">1/(1+wacc)^(2030-2026-0.5)</f>
        <v>0.686848235703811</v>
      </c>
      <c r="L6826" s="40" t="n">
        <f aca="false">1/(1+wacc)^(2031-2026-0.5)</f>
        <v>0.616949452715975</v>
      </c>
      <c r="M6826" s="40" t="n">
        <f aca="false">1/(1+wacc)^(2032-2026-0.5)</f>
        <v>0.554164089562688</v>
      </c>
    </row>
    <row r="6827" customFormat="false" ht="15" hidden="false" customHeight="false" outlineLevel="0" collapsed="false">
      <c r="A6827" s="5" t="s">
        <v>923</v>
      </c>
      <c r="B6827" s="0" t="s">
        <v>86</v>
      </c>
      <c r="H6827" s="38" t="n">
        <f aca="false">Sens!$H$6825*Sens!$H$6826</f>
        <v>-59.3824467800682</v>
      </c>
      <c r="I6827" s="38" t="n">
        <f aca="false">Sens!$I$6825*Sens!$I$6826</f>
        <v>-14.2208183065825</v>
      </c>
      <c r="J6827" s="38" t="n">
        <f aca="false">Sens!$J$6825*Sens!$J$6826</f>
        <v>22.9162685376748</v>
      </c>
      <c r="K6827" s="38" t="n">
        <f aca="false">Sens!$K$6825*Sens!$K$6826</f>
        <v>89.5469324883341</v>
      </c>
      <c r="L6827" s="38" t="n">
        <f aca="false">Sens!$L$6825*Sens!$L$6826</f>
        <v>115.512632452091</v>
      </c>
      <c r="M6827" s="38" t="n">
        <f aca="false">Sens!$M$6825*Sens!$M$6826</f>
        <v>116.454308887194</v>
      </c>
    </row>
    <row r="6828" customFormat="false" ht="15" hidden="false" customHeight="false" outlineLevel="0" collapsed="false">
      <c r="A6828" s="5" t="s">
        <v>924</v>
      </c>
      <c r="B6828" s="0" t="s">
        <v>86</v>
      </c>
      <c r="C6828" s="38" t="n">
        <f aca="false">SUM(Sens!$H$6827:$M$6827)</f>
        <v>270.826877278643</v>
      </c>
    </row>
    <row r="6829" customFormat="false" ht="17.15" hidden="false" customHeight="false" outlineLevel="0" collapsed="false">
      <c r="A6829" s="5" t="s">
        <v>925</v>
      </c>
      <c r="B6829" s="0" t="s">
        <v>86</v>
      </c>
      <c r="C6829" s="38" t="n">
        <f aca="false">Sens!$M$6820*(1+tg)*(1-tg/ronic)/(wacc-tg)</f>
        <v>1922.56097134792</v>
      </c>
    </row>
    <row r="6830" customFormat="false" ht="15" hidden="false" customHeight="false" outlineLevel="0" collapsed="false">
      <c r="A6830" s="5" t="s">
        <v>926</v>
      </c>
      <c r="B6830" s="0" t="s">
        <v>86</v>
      </c>
      <c r="C6830" s="38" t="n">
        <f aca="false">Sens!$C$6829/(1+wacc)^6</f>
        <v>1009.74776248869</v>
      </c>
    </row>
    <row r="6831" customFormat="false" ht="17.15" hidden="false" customHeight="false" outlineLevel="0" collapsed="false">
      <c r="A6831" s="5" t="s">
        <v>927</v>
      </c>
      <c r="B6831" s="0" t="s">
        <v>86</v>
      </c>
      <c r="C6831" s="38" t="n">
        <f aca="false">Sens!$C$6828+Sens!$C$6830</f>
        <v>1280.57463976734</v>
      </c>
    </row>
    <row r="6832" customFormat="false" ht="17.15" hidden="false" customHeight="false" outlineLevel="0" collapsed="false">
      <c r="A6832" s="5" t="s">
        <v>928</v>
      </c>
      <c r="B6832" s="0" t="s">
        <v>52</v>
      </c>
      <c r="C6832" s="13" t="n">
        <f aca="false">Sens!$C$6830/Sens!$C$6831</f>
        <v>0.788511447229778</v>
      </c>
    </row>
    <row r="6833" customFormat="false" ht="17.15" hidden="false" customHeight="false" outlineLevel="0" collapsed="false">
      <c r="A6833" s="5" t="s">
        <v>929</v>
      </c>
      <c r="B6833" s="0" t="s">
        <v>86</v>
      </c>
      <c r="C6833" s="38" t="n">
        <f aca="false">Sens!$G$6809+fin_debt</f>
        <v>97.2636983848813</v>
      </c>
    </row>
    <row r="6834" customFormat="false" ht="17.15" hidden="false" customHeight="false" outlineLevel="0" collapsed="false">
      <c r="A6834" s="5" t="s">
        <v>930</v>
      </c>
      <c r="B6834" s="0" t="s">
        <v>86</v>
      </c>
      <c r="C6834" s="38" t="n">
        <f aca="false">(ant_val*ant_sh+oai_val*oai_sh)*(1-liq_disc)</f>
        <v>178.944</v>
      </c>
    </row>
    <row r="6835" customFormat="false" ht="15" hidden="false" customHeight="false" outlineLevel="0" collapsed="false">
      <c r="A6835" s="5" t="s">
        <v>931</v>
      </c>
      <c r="B6835" s="0" t="s">
        <v>86</v>
      </c>
      <c r="C6835" s="38" t="n">
        <f aca="false">Sens!$C$6831-Sens!$C$6833+Sens!$C$6834</f>
        <v>1362.25494138246</v>
      </c>
    </row>
    <row r="6836" customFormat="false" ht="17.15" hidden="false" customHeight="false" outlineLevel="0" collapsed="false">
      <c r="A6836" s="5" t="s">
        <v>932</v>
      </c>
      <c r="B6836" s="0" t="s">
        <v>27</v>
      </c>
      <c r="C6836" s="30" t="n">
        <f aca="false">Sens!$C$6835/sh_out</f>
        <v>126.294760321501</v>
      </c>
    </row>
    <row r="6837" customFormat="false" ht="17.15" hidden="false" customHeight="false" outlineLevel="0" collapsed="false">
      <c r="A6837" s="1" t="s">
        <v>933</v>
      </c>
      <c r="B6837" s="8" t="s">
        <v>27</v>
      </c>
      <c r="C6837" s="30" t="n">
        <f aca="false">Sens!$C$6836*(1+ke)^tp_yf-dps*tp_yf</f>
        <v>138.339345929154</v>
      </c>
    </row>
    <row r="6838" customFormat="false" ht="17.15" hidden="false" customHeight="false" outlineLevel="0" collapsed="false">
      <c r="A6838" s="3" t="s">
        <v>934</v>
      </c>
    </row>
    <row r="6839" customFormat="false" ht="17.15" hidden="false" customHeight="false" outlineLevel="0" collapsed="false">
      <c r="A6839" s="5" t="s">
        <v>935</v>
      </c>
      <c r="B6839" s="0" t="s">
        <v>86</v>
      </c>
      <c r="C6839" s="38" t="n">
        <f aca="false">(1-tp_yf)*(Sens!$H$6766+sbc_ab*Sens!$H$6790*Sens!$H$6630/Sens!$H$6707)+tp_yf*(Sens!$I$6766+sbc_ab*Sens!$I$6790*Sens!$I$6630/Sens!$I$6707)</f>
        <v>59.634664536349</v>
      </c>
    </row>
    <row r="6840" customFormat="false" ht="15" hidden="false" customHeight="false" outlineLevel="0" collapsed="false">
      <c r="A6840" s="5" t="s">
        <v>936</v>
      </c>
      <c r="B6840" s="0" t="s">
        <v>57</v>
      </c>
      <c r="C6840" s="30" t="n">
        <f aca="false">m_ads*m_x</f>
        <v>9.11</v>
      </c>
    </row>
    <row r="6841" customFormat="false" ht="17.15" hidden="false" customHeight="false" outlineLevel="0" collapsed="false">
      <c r="A6841" s="5" t="s">
        <v>937</v>
      </c>
      <c r="B6841" s="0" t="s">
        <v>86</v>
      </c>
      <c r="C6841" s="38" t="n">
        <f aca="false">Sens!$C$6839*Sens!$C$6840</f>
        <v>543.271793926139</v>
      </c>
    </row>
    <row r="6842" customFormat="false" ht="17.15" hidden="false" customHeight="false" outlineLevel="0" collapsed="false">
      <c r="A6842" s="5" t="s">
        <v>938</v>
      </c>
      <c r="B6842" s="0" t="s">
        <v>86</v>
      </c>
      <c r="C6842" s="38" t="n">
        <f aca="false">(1-tp_yf)*(Sens!$H$6767+sbc_ab*Sens!$H$6790*(Sens!$H$6637-Sens!$H$6630)/Sens!$H$6707+IF(internal_ai_reading=2,1,0)*(1-ext_sh)*Sens!$H$6667)+tp_yf*(Sens!$I$6767+sbc_ab*Sens!$I$6790*(Sens!$I$6637-Sens!$I$6630)/Sens!$I$6707+IF(internal_ai_reading=2,1,0)*(1-ext_sh)*Sens!$I$6667)</f>
        <v>51.2224827206816</v>
      </c>
    </row>
    <row r="6843" customFormat="false" ht="17.15" hidden="false" customHeight="false" outlineLevel="0" collapsed="false">
      <c r="A6843" s="5" t="s">
        <v>939</v>
      </c>
      <c r="B6843" s="0" t="s">
        <v>57</v>
      </c>
      <c r="C6843" s="30" t="n">
        <f aca="false">m_retail*m_x</f>
        <v>17.72</v>
      </c>
    </row>
    <row r="6844" customFormat="false" ht="17.15" hidden="false" customHeight="false" outlineLevel="0" collapsed="false">
      <c r="A6844" s="5" t="s">
        <v>940</v>
      </c>
      <c r="B6844" s="0" t="s">
        <v>86</v>
      </c>
      <c r="C6844" s="38" t="n">
        <f aca="false">Sens!$C$6842*Sens!$C$6843</f>
        <v>907.662393810478</v>
      </c>
    </row>
    <row r="6845" customFormat="false" ht="17.15" hidden="false" customHeight="false" outlineLevel="0" collapsed="false">
      <c r="A6845" s="0" t="s">
        <v>941</v>
      </c>
      <c r="B6845" s="0" t="s">
        <v>86</v>
      </c>
      <c r="C6845" s="38" t="n">
        <f aca="false">(1-tp_yf)*(Sens!$H$6768+sbc_ab*Sens!$H$6790*Sens!$H$6705/Sens!$H$6707)+tp_yf*(Sens!$I$6768+sbc_ab*Sens!$I$6790*Sens!$I$6705/Sens!$I$6707)</f>
        <v>96.2439586897193</v>
      </c>
    </row>
    <row r="6846" customFormat="false" ht="17.15" hidden="false" customHeight="false" outlineLevel="0" collapsed="false">
      <c r="A6846" s="0" t="s">
        <v>942</v>
      </c>
      <c r="B6846" s="0" t="s">
        <v>57</v>
      </c>
      <c r="C6846" s="30" t="n">
        <f aca="false">m_cloud*m_x</f>
        <v>13.82</v>
      </c>
    </row>
    <row r="6847" customFormat="false" ht="17.15" hidden="false" customHeight="false" outlineLevel="0" collapsed="false">
      <c r="A6847" s="0" t="s">
        <v>943</v>
      </c>
      <c r="B6847" s="0" t="s">
        <v>86</v>
      </c>
      <c r="C6847" s="38" t="n">
        <f aca="false">Sens!$C$6845*Sens!$C$6846</f>
        <v>1330.09150909192</v>
      </c>
    </row>
    <row r="6848" customFormat="false" ht="17.15" hidden="false" customHeight="false" outlineLevel="0" collapsed="false">
      <c r="A6848" s="0" t="s">
        <v>944</v>
      </c>
      <c r="B6848" s="0" t="s">
        <v>86</v>
      </c>
      <c r="H6848" s="38" t="n">
        <f aca="false">Sens!$H$6686-tax*Sens!$H$6687-ext_sh*Sens!$H$6674</f>
        <v>-115.885394236225</v>
      </c>
      <c r="I6848" s="38" t="n">
        <f aca="false">Sens!$I$6686-tax*Sens!$I$6687-ext_sh*Sens!$I$6674</f>
        <v>-89.5935137276694</v>
      </c>
      <c r="J6848" s="38" t="n">
        <f aca="false">Sens!$J$6686-tax*Sens!$J$6687-ext_sh*Sens!$J$6674</f>
        <v>-62.3510647460279</v>
      </c>
      <c r="K6848" s="38" t="n">
        <f aca="false">Sens!$K$6686-tax*Sens!$K$6687-ext_sh*Sens!$K$6674</f>
        <v>8.85932514072565</v>
      </c>
      <c r="L6848" s="38" t="n">
        <f aca="false">Sens!$L$6686-tax*Sens!$L$6687-ext_sh*Sens!$L$6674</f>
        <v>45.6968344120177</v>
      </c>
      <c r="M6848" s="38" t="n">
        <f aca="false">Sens!$M$6686-tax*Sens!$M$6687-ext_sh*Sens!$M$6674</f>
        <v>54.7466688757428</v>
      </c>
    </row>
    <row r="6849" customFormat="false" ht="17.15" hidden="false" customHeight="false" outlineLevel="0" collapsed="false">
      <c r="A6849" s="5" t="s">
        <v>945</v>
      </c>
      <c r="B6849" s="0" t="s">
        <v>86</v>
      </c>
      <c r="H6849" s="38" t="n">
        <f aca="false">Sens!$H$6848*Sens!$H$6826</f>
        <v>-109.830535400166</v>
      </c>
      <c r="I6849" s="38" t="n">
        <f aca="false">Sens!$I$6848*Sens!$I$6826</f>
        <v>-76.2710567672785</v>
      </c>
      <c r="J6849" s="38" t="n">
        <f aca="false">Sens!$J$6848*Sens!$J$6826</f>
        <v>-47.6777623861763</v>
      </c>
      <c r="K6849" s="38" t="n">
        <f aca="false">Sens!$K$6848*Sens!$K$6826</f>
        <v>6.08501184243383</v>
      </c>
      <c r="L6849" s="38" t="n">
        <f aca="false">Sens!$L$6848*Sens!$L$6826</f>
        <v>28.1926369813469</v>
      </c>
      <c r="M6849" s="38" t="n">
        <f aca="false">Sens!$M$6848*Sens!$M$6826</f>
        <v>30.338637914116</v>
      </c>
    </row>
    <row r="6850" customFormat="false" ht="17.15" hidden="false" customHeight="false" outlineLevel="0" collapsed="false">
      <c r="A6850" s="5" t="s">
        <v>946</v>
      </c>
      <c r="B6850" s="0" t="s">
        <v>86</v>
      </c>
      <c r="C6850" s="38" t="n">
        <f aca="false">Sens!$M$6687*(1-tax)*(1+tg)*(1-tg/ronic)/(wacc-tg)</f>
        <v>391.533160655061</v>
      </c>
    </row>
    <row r="6851" customFormat="false" ht="17.15" hidden="false" customHeight="false" outlineLevel="0" collapsed="false">
      <c r="A6851" s="0" t="s">
        <v>947</v>
      </c>
      <c r="B6851" s="0" t="s">
        <v>86</v>
      </c>
      <c r="C6851" s="38" t="n">
        <f aca="false">(SUM(Sens!$I$6849:$M$6849)+Sens!$C$6850/(1+wacc)^6)*(1+wacc)^tp_yf</f>
        <v>159.796867964901</v>
      </c>
    </row>
    <row r="6852" customFormat="false" ht="17.15" hidden="false" customHeight="false" outlineLevel="0" collapsed="false">
      <c r="A6852" s="5" t="s">
        <v>948</v>
      </c>
      <c r="B6852" s="0" t="s">
        <v>86</v>
      </c>
      <c r="C6852" s="38" t="n">
        <f aca="false">(1-tp_yf)*(Sens!$H$6769)+tp_yf*(Sens!$I$6769)</f>
        <v>74.6707041238437</v>
      </c>
    </row>
    <row r="6853" customFormat="false" ht="17.15" hidden="false" customHeight="false" outlineLevel="0" collapsed="false">
      <c r="A6853" s="5" t="s">
        <v>949</v>
      </c>
      <c r="B6853" s="0" t="s">
        <v>86</v>
      </c>
      <c r="C6853" s="38" t="n">
        <f aca="false">Sens!$C$6852*m_ai</f>
        <v>448.024224743062</v>
      </c>
    </row>
    <row r="6854" customFormat="false" ht="17.15" hidden="false" customHeight="false" outlineLevel="0" collapsed="false">
      <c r="A6854" s="0" t="s">
        <v>950</v>
      </c>
      <c r="B6854" s="0" t="s">
        <v>86</v>
      </c>
      <c r="C6854" s="38" t="n">
        <f aca="false">IF(0=1,Sens!$C$6851,Sens!$C$6853)</f>
        <v>448.024224743062</v>
      </c>
    </row>
    <row r="6855" customFormat="false" ht="17.15" hidden="false" customHeight="false" outlineLevel="0" collapsed="false">
      <c r="A6855" s="5" t="s">
        <v>951</v>
      </c>
      <c r="B6855" s="0" t="s">
        <v>86</v>
      </c>
      <c r="C6855" s="38" t="n">
        <f aca="false">Sens!$C$6841+Sens!$C$6844+Sens!$C$6847+Sens!$C$6854</f>
        <v>3229.0499215716</v>
      </c>
    </row>
    <row r="6856" customFormat="false" ht="17.15" hidden="false" customHeight="false" outlineLevel="0" collapsed="false">
      <c r="A6856" s="5" t="s">
        <v>952</v>
      </c>
      <c r="B6856" s="0" t="s">
        <v>86</v>
      </c>
      <c r="C6856" s="38" t="n">
        <f aca="false">Sens!$H$6809+fin_debt</f>
        <v>153.608629741943</v>
      </c>
    </row>
    <row r="6857" customFormat="false" ht="15" hidden="false" customHeight="false" outlineLevel="0" collapsed="false">
      <c r="A6857" s="5" t="s">
        <v>953</v>
      </c>
      <c r="B6857" s="0" t="s">
        <v>86</v>
      </c>
      <c r="C6857" s="38" t="n">
        <f aca="false">Sens!$C$6855-Sens!$C$6856+Sens!$C$6834</f>
        <v>3254.38529182966</v>
      </c>
    </row>
    <row r="6858" customFormat="false" ht="15" hidden="false" customHeight="false" outlineLevel="0" collapsed="false">
      <c r="A6858" s="3" t="s">
        <v>954</v>
      </c>
      <c r="B6858" s="8" t="s">
        <v>27</v>
      </c>
      <c r="C6858" s="30" t="n">
        <f aca="false">Sens!$C$6857/sh_val</f>
        <v>295.040131389701</v>
      </c>
    </row>
    <row r="6859" customFormat="false" ht="17.15" hidden="false" customHeight="false" outlineLevel="0" collapsed="false">
      <c r="A6859" s="47" t="s">
        <v>955</v>
      </c>
      <c r="B6859" s="14" t="s">
        <v>27</v>
      </c>
      <c r="C6859" s="44" t="n">
        <f aca="false">w_dcf*Sens!$C$6837+(1-w_dcf)*Sens!$C$6858</f>
        <v>216.689738659427</v>
      </c>
      <c r="D6859" s="14"/>
      <c r="E6859" s="14"/>
      <c r="F6859" s="14"/>
      <c r="G6859" s="14"/>
      <c r="H6859" s="14"/>
      <c r="I6859" s="14"/>
      <c r="J6859" s="14"/>
      <c r="K6859" s="14"/>
      <c r="L6859" s="14"/>
      <c r="M6859" s="14"/>
      <c r="N6859" s="14"/>
      <c r="O6859" s="14"/>
    </row>
    <row r="6860" customFormat="false" ht="17.15" hidden="false" customHeight="false" outlineLevel="0" collapsed="false">
      <c r="A6860" s="5" t="s">
        <v>956</v>
      </c>
      <c r="B6860" s="0" t="s">
        <v>27</v>
      </c>
      <c r="C6860" s="30" t="n">
        <f aca="false">v022_wdcf*Sens!$C$6837+(1-v022_wdcf)*Sens!$C$6858</f>
        <v>224.524777932455</v>
      </c>
    </row>
    <row r="6861" customFormat="false" ht="17.15" hidden="false" customHeight="false" outlineLevel="0" collapsed="false">
      <c r="A6861" s="5" t="s">
        <v>957</v>
      </c>
      <c r="B6861" s="0" t="s">
        <v>27</v>
      </c>
      <c r="C6861" s="30" t="n">
        <f aca="false">(Sens!$C$6857-Sens!$C$6854+Sens!$C$6853)/sh_val</f>
        <v>295.040131389701</v>
      </c>
    </row>
    <row r="6864" customFormat="false" ht="19.4" hidden="false" customHeight="false" outlineLevel="0" collapsed="false">
      <c r="A6864" s="31" t="s">
        <v>1275</v>
      </c>
    </row>
    <row r="6865" customFormat="false" ht="17.15" hidden="false" customHeight="false" outlineLevel="0" collapsed="false">
      <c r="A6865" s="6" t="s">
        <v>16</v>
      </c>
      <c r="B6865" s="6" t="s">
        <v>17</v>
      </c>
      <c r="C6865" s="20" t="s">
        <v>497</v>
      </c>
      <c r="D6865" s="20" t="s">
        <v>498</v>
      </c>
      <c r="E6865" s="20" t="s">
        <v>580</v>
      </c>
      <c r="F6865" s="20" t="s">
        <v>581</v>
      </c>
      <c r="G6865" s="20" t="s">
        <v>582</v>
      </c>
      <c r="H6865" s="20" t="s">
        <v>583</v>
      </c>
      <c r="I6865" s="20" t="s">
        <v>584</v>
      </c>
      <c r="J6865" s="20" t="s">
        <v>585</v>
      </c>
      <c r="K6865" s="20" t="s">
        <v>586</v>
      </c>
      <c r="L6865" s="20" t="s">
        <v>587</v>
      </c>
      <c r="M6865" s="20" t="s">
        <v>588</v>
      </c>
      <c r="N6865" s="20" t="s">
        <v>589</v>
      </c>
      <c r="O6865" s="20" t="s">
        <v>590</v>
      </c>
      <c r="P6865" s="6" t="s">
        <v>23</v>
      </c>
      <c r="R6865" s="20" t="n">
        <v>2023</v>
      </c>
      <c r="S6865" s="20" t="n">
        <v>2024</v>
      </c>
      <c r="T6865" s="20" t="n">
        <v>2025</v>
      </c>
      <c r="U6865" s="20" t="n">
        <v>2026</v>
      </c>
      <c r="V6865" s="20" t="n">
        <v>2027</v>
      </c>
      <c r="W6865" s="20" t="n">
        <v>2028</v>
      </c>
      <c r="X6865" s="20" t="n">
        <v>2029</v>
      </c>
      <c r="Y6865" s="20" t="n">
        <v>2030</v>
      </c>
      <c r="Z6865" s="20" t="n">
        <v>2031</v>
      </c>
      <c r="AA6865" s="20" t="n">
        <v>2032</v>
      </c>
    </row>
    <row r="6866" customFormat="false" ht="17.15" hidden="false" customHeight="false" outlineLevel="0" collapsed="false">
      <c r="A6866" s="1" t="s">
        <v>666</v>
      </c>
    </row>
    <row r="6867" customFormat="false" ht="17.15" hidden="false" customHeight="false" outlineLevel="0" collapsed="false">
      <c r="A6867" s="0" t="s">
        <v>519</v>
      </c>
      <c r="B6867" s="0" t="s">
        <v>86</v>
      </c>
      <c r="C6867" s="38" t="n">
        <f aca="false">Q!$D$10</f>
        <v>247.029</v>
      </c>
      <c r="D6867" s="38" t="n">
        <f aca="false">Q!$E$10</f>
        <v>269.287</v>
      </c>
      <c r="E6867" s="38" t="n">
        <f aca="false">Q!$P$10</f>
        <v>134.686</v>
      </c>
      <c r="F6867" s="38" t="n">
        <f aca="false">Sens!$O$6867*(1+Sens!$F$6868)*Sens!$F$6879</f>
        <v>158.293876822267</v>
      </c>
      <c r="G6867" s="38" t="n">
        <f aca="false">Sens!$E$6867+Sens!$F$6867</f>
        <v>292.979876822267</v>
      </c>
      <c r="H6867" s="38" t="n">
        <f aca="false">Sens!$G$6867*(1+Sens!$H$6868)</f>
        <v>318.184543087396</v>
      </c>
      <c r="I6867" s="38" t="n">
        <f aca="false">Sens!$H$6867*(1+Sens!$I$6868)</f>
        <v>341.736278761793</v>
      </c>
      <c r="J6867" s="38" t="n">
        <f aca="false">Sens!$I$6867*(1+Sens!$J$6868)</f>
        <v>362.927192787048</v>
      </c>
      <c r="K6867" s="38" t="n">
        <f aca="false">Sens!$J$6867*(1+Sens!$K$6868)</f>
        <v>381.0735524264</v>
      </c>
      <c r="L6867" s="38" t="n">
        <f aca="false">Sens!$K$6867*(1+Sens!$L$6868)</f>
        <v>400.12723004772</v>
      </c>
      <c r="M6867" s="38" t="n">
        <f aca="false">Sens!$L$6867*(1+Sens!$M$6868)</f>
        <v>420.133591550106</v>
      </c>
      <c r="N6867" s="38" t="n">
        <f aca="false">Q!$N$10</f>
        <v>118.892</v>
      </c>
      <c r="O6867" s="38" t="n">
        <f aca="false">Q!$O$10</f>
        <v>150.395</v>
      </c>
      <c r="P6867" s="8" t="s">
        <v>667</v>
      </c>
    </row>
    <row r="6868" customFormat="false" ht="17.15" hidden="false" customHeight="false" outlineLevel="0" collapsed="false">
      <c r="A6868" s="0" t="s">
        <v>668</v>
      </c>
      <c r="B6868" s="0" t="s">
        <v>52</v>
      </c>
      <c r="E6868" s="13" t="n">
        <f aca="false">Sens!$E$6867/Sens!$N$6867-1</f>
        <v>0.132843252699929</v>
      </c>
      <c r="F6868" s="13" t="n">
        <f aca="false">Sens!$O$6867/(Q!$F$10+Q!$G$10)-1</f>
        <v>0.0980382135842941</v>
      </c>
      <c r="G6868" s="13" t="n">
        <f aca="false">Sens!$G$6867/Sens!$D$6867-1</f>
        <v>0.0879837378791657</v>
      </c>
      <c r="H6868" s="13" t="n">
        <f aca="false">Sens!$F$6868+(g_os-Sens!$F$6868)*1/4</f>
        <v>0.0860286601882206</v>
      </c>
      <c r="I6868" s="13" t="n">
        <f aca="false">Sens!$F$6868+(g_os-Sens!$F$6868)*2/4</f>
        <v>0.074019106792147</v>
      </c>
      <c r="J6868" s="13" t="n">
        <f aca="false">Sens!$F$6868+(g_os-Sens!$F$6868)*3/4</f>
        <v>0.0620095533960735</v>
      </c>
      <c r="K6868" s="13" t="n">
        <f aca="false">Sens!$F$6868+(g_os-Sens!$F$6868)*4/4</f>
        <v>0.05</v>
      </c>
      <c r="L6868" s="13" t="n">
        <f aca="false">g_os</f>
        <v>0.05</v>
      </c>
      <c r="M6868" s="13" t="n">
        <f aca="false">g_os</f>
        <v>0.05</v>
      </c>
      <c r="P6868" s="8" t="s">
        <v>669</v>
      </c>
    </row>
    <row r="6869" customFormat="false" ht="17.15" hidden="false" customHeight="false" outlineLevel="0" collapsed="false">
      <c r="A6869" s="0" t="s">
        <v>520</v>
      </c>
      <c r="B6869" s="0" t="s">
        <v>86</v>
      </c>
      <c r="C6869" s="38" t="n">
        <f aca="false">Q!$D$11</f>
        <v>21.215</v>
      </c>
      <c r="D6869" s="38" t="n">
        <f aca="false">Q!$E$11</f>
        <v>22.561</v>
      </c>
      <c r="E6869" s="38" t="n">
        <f aca="false">Q!$P$11</f>
        <v>11.579</v>
      </c>
      <c r="F6869" s="38" t="n">
        <f aca="false">Sens!$O$6869*(1+Sens!$F$6870)*Sens!$F$6879</f>
        <v>11.5938724610325</v>
      </c>
      <c r="G6869" s="38" t="n">
        <f aca="false">Sens!$E$6869+Sens!$F$6869</f>
        <v>23.1728724610325</v>
      </c>
      <c r="H6869" s="38" t="n">
        <f aca="false">Sens!$G$6869*(1+Sens!$H$6870)</f>
        <v>24.353392759506</v>
      </c>
      <c r="I6869" s="38" t="n">
        <f aca="false">Sens!$H$6869*(1+Sens!$I$6870)</f>
        <v>25.4240338872015</v>
      </c>
      <c r="J6869" s="38" t="n">
        <f aca="false">Sens!$I$6869*(1+Sens!$J$6870)</f>
        <v>26.3642491017174</v>
      </c>
      <c r="K6869" s="38" t="n">
        <f aca="false">Sens!$J$6869*(1+Sens!$K$6870)</f>
        <v>27.155176574769</v>
      </c>
      <c r="L6869" s="38" t="n">
        <f aca="false">Sens!$K$6869*(1+Sens!$L$6870)</f>
        <v>27.969831872012</v>
      </c>
      <c r="M6869" s="38" t="n">
        <f aca="false">Sens!$L$6869*(1+Sens!$M$6870)</f>
        <v>28.8089268281724</v>
      </c>
      <c r="N6869" s="38" t="n">
        <f aca="false">Q!$N$11</f>
        <v>11.128</v>
      </c>
      <c r="O6869" s="38" t="n">
        <f aca="false">Q!$O$11</f>
        <v>11.433</v>
      </c>
      <c r="P6869" s="8" t="s">
        <v>667</v>
      </c>
    </row>
    <row r="6870" customFormat="false" ht="17.15" hidden="false" customHeight="false" outlineLevel="0" collapsed="false">
      <c r="A6870" s="0" t="s">
        <v>670</v>
      </c>
      <c r="B6870" s="0" t="s">
        <v>52</v>
      </c>
      <c r="E6870" s="13" t="n">
        <f aca="false">Sens!$E$6869/Sens!$N$6869-1</f>
        <v>0.0405283968368082</v>
      </c>
      <c r="F6870" s="13" t="n">
        <f aca="false">Sens!$O$6869/(Q!$F$11+Q!$G$11)-1</f>
        <v>0.0579254187100955</v>
      </c>
      <c r="G6870" s="13" t="n">
        <f aca="false">Sens!$G$6869/Sens!$D$6869-1</f>
        <v>0.0271208040881397</v>
      </c>
      <c r="H6870" s="13" t="n">
        <f aca="false">Sens!$F$6870+(g_ps-Sens!$F$6870)*1/4</f>
        <v>0.0509440640325716</v>
      </c>
      <c r="I6870" s="13" t="n">
        <f aca="false">Sens!$F$6870+(g_ps-Sens!$F$6870)*2/4</f>
        <v>0.0439627093550477</v>
      </c>
      <c r="J6870" s="13" t="n">
        <f aca="false">Sens!$F$6870+(g_ps-Sens!$F$6870)*3/4</f>
        <v>0.0369813546775239</v>
      </c>
      <c r="K6870" s="13" t="n">
        <f aca="false">Sens!$F$6870+(g_ps-Sens!$F$6870)*4/4</f>
        <v>0.03</v>
      </c>
      <c r="L6870" s="13" t="n">
        <f aca="false">g_ps</f>
        <v>0.03</v>
      </c>
      <c r="M6870" s="13" t="n">
        <f aca="false">g_ps</f>
        <v>0.03</v>
      </c>
      <c r="P6870" s="8" t="s">
        <v>671</v>
      </c>
    </row>
    <row r="6871" customFormat="false" ht="17.15" hidden="false" customHeight="false" outlineLevel="0" collapsed="false">
      <c r="A6871" s="0" t="s">
        <v>521</v>
      </c>
      <c r="B6871" s="0" t="s">
        <v>86</v>
      </c>
      <c r="C6871" s="38" t="n">
        <f aca="false">Q!$D$12</f>
        <v>156.146</v>
      </c>
      <c r="D6871" s="38" t="n">
        <f aca="false">Q!$E$12</f>
        <v>172.162</v>
      </c>
      <c r="E6871" s="38" t="n">
        <f aca="false">Q!$P$12</f>
        <v>88.358</v>
      </c>
      <c r="F6871" s="38" t="n">
        <f aca="false">Sens!$O$6871*(1+Sens!$F$6872)*Sens!$F$6879</f>
        <v>102.004388260171</v>
      </c>
      <c r="G6871" s="38" t="n">
        <f aca="false">Sens!$E$6871+Sens!$F$6871</f>
        <v>190.362388260171</v>
      </c>
      <c r="H6871" s="38" t="n">
        <f aca="false">Sens!$G$6871*(1+Sens!$H$6872)</f>
        <v>210.343106588311</v>
      </c>
      <c r="I6871" s="38" t="n">
        <f aca="false">Sens!$H$6871*(1+Sens!$I$6872)</f>
        <v>229.969728494648</v>
      </c>
      <c r="J6871" s="38" t="n">
        <f aca="false">Sens!$I$6871*(1+Sens!$J$6872)</f>
        <v>248.747636972598</v>
      </c>
      <c r="K6871" s="38" t="n">
        <f aca="false">Sens!$J$6871*(1+Sens!$K$6872)</f>
        <v>266.15997156068</v>
      </c>
      <c r="L6871" s="38" t="n">
        <f aca="false">Sens!$K$6871*(1+Sens!$L$6872)</f>
        <v>284.791169569927</v>
      </c>
      <c r="M6871" s="38" t="n">
        <f aca="false">Sens!$L$6871*(1+Sens!$M$6872)</f>
        <v>304.726551439822</v>
      </c>
      <c r="N6871" s="38" t="n">
        <f aca="false">Q!$N$12</f>
        <v>76.86</v>
      </c>
      <c r="O6871" s="38" t="n">
        <f aca="false">Q!$O$12</f>
        <v>95.302</v>
      </c>
      <c r="P6871" s="8" t="s">
        <v>667</v>
      </c>
    </row>
    <row r="6872" customFormat="false" ht="17.15" hidden="false" customHeight="false" outlineLevel="0" collapsed="false">
      <c r="A6872" s="0" t="s">
        <v>672</v>
      </c>
      <c r="B6872" s="0" t="s">
        <v>52</v>
      </c>
      <c r="E6872" s="13" t="n">
        <f aca="false">Sens!$E$6871/Sens!$N$6871-1</f>
        <v>0.1495966692688</v>
      </c>
      <c r="F6872" s="13" t="n">
        <f aca="false">Sens!$O$6871/(Q!$F$12+Q!$G$12)-1</f>
        <v>0.11661530890813</v>
      </c>
      <c r="G6872" s="13" t="n">
        <f aca="false">Sens!$G$6871/Sens!$D$6871-1</f>
        <v>0.105716640490767</v>
      </c>
      <c r="H6872" s="13" t="n">
        <f aca="false">Sens!$F$6872+(g_sp-Sens!$F$6872)*1/4</f>
        <v>0.104961481681098</v>
      </c>
      <c r="I6872" s="13" t="n">
        <f aca="false">Sens!$F$6872+(g_sp-Sens!$F$6872)*2/4</f>
        <v>0.0933076544540651</v>
      </c>
      <c r="J6872" s="13" t="n">
        <f aca="false">Sens!$F$6872+(g_sp-Sens!$F$6872)*3/4</f>
        <v>0.0816538272270325</v>
      </c>
      <c r="K6872" s="13" t="n">
        <f aca="false">Sens!$F$6872+(g_sp-Sens!$F$6872)*4/4</f>
        <v>0.07</v>
      </c>
      <c r="L6872" s="13" t="n">
        <f aca="false">g_sp</f>
        <v>0.07</v>
      </c>
      <c r="M6872" s="13" t="n">
        <f aca="false">g_sp</f>
        <v>0.07</v>
      </c>
      <c r="P6872" s="8" t="s">
        <v>673</v>
      </c>
    </row>
    <row r="6873" customFormat="false" ht="17.15" hidden="false" customHeight="false" outlineLevel="0" collapsed="false">
      <c r="A6873" s="0" t="s">
        <v>522</v>
      </c>
      <c r="B6873" s="0" t="s">
        <v>86</v>
      </c>
      <c r="C6873" s="38" t="n">
        <f aca="false">Q!$D$13</f>
        <v>56.214</v>
      </c>
      <c r="D6873" s="38" t="n">
        <f aca="false">Q!$E$13</f>
        <v>68.635</v>
      </c>
      <c r="E6873" s="38" t="n">
        <f aca="false">Q!$P$13</f>
        <v>37.052</v>
      </c>
      <c r="F6873" s="38" t="n">
        <f aca="false">Sens!$O$6873*(1+Sens!$F$6874)*Sens!$F$6879</f>
        <v>46.1572219944148</v>
      </c>
      <c r="G6873" s="38" t="n">
        <f aca="false">Sens!$E$6873+Sens!$F$6873</f>
        <v>83.2092219944148</v>
      </c>
      <c r="H6873" s="38" t="n">
        <f aca="false">Sens!$G$6873*(1+Sens!$H$6874)</f>
        <v>99.8969223878976</v>
      </c>
      <c r="I6873" s="38" t="n">
        <f aca="false">Sens!$H$6873*(1+Sens!$I$6874)</f>
        <v>116.583111095496</v>
      </c>
      <c r="J6873" s="38" t="n">
        <f aca="false">Sens!$I$6873*(1+Sens!$J$6874)</f>
        <v>132.148941941952</v>
      </c>
      <c r="K6873" s="38" t="n">
        <f aca="false">Sens!$J$6873*(1+Sens!$K$6874)</f>
        <v>145.363836136147</v>
      </c>
      <c r="L6873" s="38" t="n">
        <f aca="false">Sens!$K$6873*(1+Sens!$L$6874)</f>
        <v>159.900219749762</v>
      </c>
      <c r="M6873" s="38" t="n">
        <f aca="false">Sens!$L$6873*(1+Sens!$M$6874)</f>
        <v>175.890241724738</v>
      </c>
      <c r="N6873" s="38" t="n">
        <f aca="false">Q!$N$13</f>
        <v>29.615</v>
      </c>
      <c r="O6873" s="38" t="n">
        <f aca="false">Q!$O$13</f>
        <v>39.02</v>
      </c>
      <c r="P6873" s="8" t="s">
        <v>667</v>
      </c>
    </row>
    <row r="6874" customFormat="false" ht="17.15" hidden="false" customHeight="false" outlineLevel="0" collapsed="false">
      <c r="A6874" s="0" t="s">
        <v>674</v>
      </c>
      <c r="B6874" s="0" t="s">
        <v>52</v>
      </c>
      <c r="E6874" s="13" t="n">
        <f aca="false">Sens!$E$6873/Sens!$N$6873-1</f>
        <v>0.25112274185379</v>
      </c>
      <c r="F6874" s="13" t="n">
        <f aca="false">Sens!$O$6873/(Q!$F$13+Q!$G$13)-1</f>
        <v>0.234068123596572</v>
      </c>
      <c r="G6874" s="13" t="n">
        <f aca="false">Sens!$G$6873/Sens!$D$6873-1</f>
        <v>0.212343876949294</v>
      </c>
      <c r="H6874" s="13" t="n">
        <f aca="false">Sens!$F$6874+(g_ad-Sens!$F$6874)*1/4</f>
        <v>0.200551092697429</v>
      </c>
      <c r="I6874" s="13" t="n">
        <f aca="false">Sens!$F$6874+(g_ad-Sens!$F$6874)*2/4</f>
        <v>0.167034061798286</v>
      </c>
      <c r="J6874" s="13" t="n">
        <f aca="false">Sens!$F$6874+(g_ad-Sens!$F$6874)*3/4</f>
        <v>0.133517030899143</v>
      </c>
      <c r="K6874" s="13" t="n">
        <f aca="false">Sens!$F$6874+(g_ad-Sens!$F$6874)*4/4</f>
        <v>0.1</v>
      </c>
      <c r="L6874" s="13" t="n">
        <f aca="false">g_ad</f>
        <v>0.1</v>
      </c>
      <c r="M6874" s="13" t="n">
        <f aca="false">g_ad</f>
        <v>0.1</v>
      </c>
      <c r="P6874" s="8" t="s">
        <v>675</v>
      </c>
    </row>
    <row r="6875" customFormat="false" ht="17.15" hidden="false" customHeight="false" outlineLevel="0" collapsed="false">
      <c r="A6875" s="0" t="s">
        <v>523</v>
      </c>
      <c r="B6875" s="0" t="s">
        <v>86</v>
      </c>
      <c r="C6875" s="38" t="n">
        <f aca="false">Q!$D$14</f>
        <v>44.374</v>
      </c>
      <c r="D6875" s="38" t="n">
        <f aca="false">Q!$E$14</f>
        <v>49.619</v>
      </c>
      <c r="E6875" s="38" t="n">
        <f aca="false">Q!$P$14</f>
        <v>27.157</v>
      </c>
      <c r="F6875" s="38" t="n">
        <f aca="false">Sens!$O$6875*(1+Sens!$F$6876)*Sens!$F$6879</f>
        <v>27.7764165988154</v>
      </c>
      <c r="G6875" s="38" t="n">
        <f aca="false">Sens!$E$6875+Sens!$F$6875</f>
        <v>54.9334165988154</v>
      </c>
      <c r="H6875" s="38" t="n">
        <f aca="false">Sens!$G$6875*(1+Sens!$H$6876)</f>
        <v>61.1564112561829</v>
      </c>
      <c r="I6875" s="38" t="n">
        <f aca="false">Sens!$H$6875*(1+Sens!$I$6876)</f>
        <v>67.2020282103945</v>
      </c>
      <c r="J6875" s="38" t="n">
        <f aca="false">Sens!$I$6875*(1+Sens!$J$6876)</f>
        <v>72.8757274028885</v>
      </c>
      <c r="K6875" s="38" t="n">
        <f aca="false">Sens!$J$6875*(1+Sens!$K$6876)</f>
        <v>77.9770283210907</v>
      </c>
      <c r="L6875" s="38" t="n">
        <f aca="false">Sens!$K$6875*(1+Sens!$L$6876)</f>
        <v>83.4354203035671</v>
      </c>
      <c r="M6875" s="38" t="n">
        <f aca="false">Sens!$L$6875*(1+Sens!$M$6876)</f>
        <v>89.2758997248168</v>
      </c>
      <c r="N6875" s="38" t="n">
        <f aca="false">Q!$N$14</f>
        <v>23.923</v>
      </c>
      <c r="O6875" s="38" t="n">
        <f aca="false">Q!$O$14</f>
        <v>25.696</v>
      </c>
      <c r="P6875" s="8" t="s">
        <v>667</v>
      </c>
    </row>
    <row r="6876" customFormat="false" ht="17.15" hidden="false" customHeight="false" outlineLevel="0" collapsed="false">
      <c r="A6876" s="0" t="s">
        <v>676</v>
      </c>
      <c r="B6876" s="0" t="s">
        <v>52</v>
      </c>
      <c r="E6876" s="13" t="n">
        <f aca="false">Sens!$E$6875/Sens!$N$6875-1</f>
        <v>0.135183714417088</v>
      </c>
      <c r="F6876" s="13" t="n">
        <f aca="false">Sens!$O$6875/(Q!$F$14+Q!$G$14)-1</f>
        <v>0.127709997366804</v>
      </c>
      <c r="G6876" s="13" t="n">
        <f aca="false">Sens!$G$6875/Sens!$D$6875-1</f>
        <v>0.107104468022641</v>
      </c>
      <c r="H6876" s="13" t="n">
        <f aca="false">Sens!$F$6876+(g_sub-Sens!$F$6876)*1/4</f>
        <v>0.113282498025103</v>
      </c>
      <c r="I6876" s="13" t="n">
        <f aca="false">Sens!$F$6876+(g_sub-Sens!$F$6876)*2/4</f>
        <v>0.0988549986834021</v>
      </c>
      <c r="J6876" s="13" t="n">
        <f aca="false">Sens!$F$6876+(g_sub-Sens!$F$6876)*3/4</f>
        <v>0.084427499341701</v>
      </c>
      <c r="K6876" s="13" t="n">
        <f aca="false">Sens!$F$6876+(g_sub-Sens!$F$6876)*4/4</f>
        <v>0.07</v>
      </c>
      <c r="L6876" s="13" t="n">
        <f aca="false">g_sub</f>
        <v>0.07</v>
      </c>
      <c r="M6876" s="13" t="n">
        <f aca="false">g_sub</f>
        <v>0.07</v>
      </c>
      <c r="P6876" s="8" t="s">
        <v>677</v>
      </c>
    </row>
    <row r="6877" customFormat="false" ht="17.15" hidden="false" customHeight="false" outlineLevel="0" collapsed="false">
      <c r="A6877" s="0" t="s">
        <v>524</v>
      </c>
      <c r="B6877" s="0" t="s">
        <v>86</v>
      </c>
      <c r="C6877" s="38" t="n">
        <f aca="false">Q!$D$15</f>
        <v>5.425</v>
      </c>
      <c r="D6877" s="38" t="n">
        <f aca="false">Q!$E$15</f>
        <v>5.935</v>
      </c>
      <c r="E6877" s="38" t="n">
        <f aca="false">Q!$P$15</f>
        <v>3.474</v>
      </c>
      <c r="F6877" s="38" t="n">
        <f aca="false">Sens!$O$6877*(1+Sens!$F$6878)*Sens!$F$6879</f>
        <v>3.22246550883619</v>
      </c>
      <c r="G6877" s="38" t="n">
        <f aca="false">Sens!$E$6877+Sens!$F$6877</f>
        <v>6.69646550883619</v>
      </c>
      <c r="H6877" s="38" t="n">
        <f aca="false">Sens!$G$6877*(1+Sens!$H$6878)</f>
        <v>7.16251344209196</v>
      </c>
      <c r="I6877" s="38" t="n">
        <f aca="false">Sens!$H$6877*(1+Sens!$I$6878)</f>
        <v>7.61421070299826</v>
      </c>
      <c r="J6877" s="38" t="n">
        <f aca="false">Sens!$I$6877*(1+Sens!$J$6878)</f>
        <v>8.04465753523932</v>
      </c>
      <c r="K6877" s="38" t="n">
        <f aca="false">Sens!$J$6877*(1+Sens!$K$6878)</f>
        <v>8.44689041200128</v>
      </c>
      <c r="L6877" s="38" t="n">
        <f aca="false">Sens!$K$6877*(1+Sens!$L$6878)</f>
        <v>8.86923493260135</v>
      </c>
      <c r="M6877" s="38" t="n">
        <f aca="false">Sens!$L$6877*(1+Sens!$M$6878)</f>
        <v>9.31269667923142</v>
      </c>
      <c r="N6877" s="38" t="n">
        <f aca="false">Q!$N$15</f>
        <v>2.811</v>
      </c>
      <c r="O6877" s="38" t="n">
        <f aca="false">Q!$O$15</f>
        <v>3.124</v>
      </c>
      <c r="P6877" s="8" t="s">
        <v>667</v>
      </c>
    </row>
    <row r="6878" customFormat="false" ht="17.15" hidden="false" customHeight="false" outlineLevel="0" collapsed="false">
      <c r="A6878" s="0" t="s">
        <v>678</v>
      </c>
      <c r="B6878" s="0" t="s">
        <v>52</v>
      </c>
      <c r="E6878" s="13" t="n">
        <f aca="false">Sens!$E$6877/Sens!$N$6877-1</f>
        <v>0.235859124866596</v>
      </c>
      <c r="F6878" s="13" t="n">
        <f aca="false">Sens!$O$6877/(Q!$F$15+Q!$G$15)-1</f>
        <v>0.0761281433000345</v>
      </c>
      <c r="G6878" s="13" t="n">
        <f aca="false">Sens!$G$6877/Sens!$D$6877-1</f>
        <v>0.128300843948811</v>
      </c>
      <c r="H6878" s="13" t="n">
        <f aca="false">Sens!$F$6878+(g_ot-Sens!$F$6878)*1/4</f>
        <v>0.0695961074750259</v>
      </c>
      <c r="I6878" s="13" t="n">
        <f aca="false">Sens!$F$6878+(g_ot-Sens!$F$6878)*2/4</f>
        <v>0.0630640716500172</v>
      </c>
      <c r="J6878" s="13" t="n">
        <f aca="false">Sens!$F$6878+(g_ot-Sens!$F$6878)*3/4</f>
        <v>0.0565320358250086</v>
      </c>
      <c r="K6878" s="13" t="n">
        <f aca="false">Sens!$F$6878+(g_ot-Sens!$F$6878)*4/4</f>
        <v>0.05</v>
      </c>
      <c r="L6878" s="13" t="n">
        <f aca="false">g_ot</f>
        <v>0.05</v>
      </c>
      <c r="M6878" s="13" t="n">
        <f aca="false">g_ot</f>
        <v>0.05</v>
      </c>
      <c r="P6878" s="8" t="s">
        <v>679</v>
      </c>
    </row>
    <row r="6879" customFormat="false" ht="17.15" hidden="false" customHeight="false" outlineLevel="0" collapsed="false">
      <c r="A6879" s="0" t="s">
        <v>680</v>
      </c>
      <c r="B6879" s="0" t="s">
        <v>57</v>
      </c>
      <c r="F6879" s="40" t="n">
        <f aca="false">(g26q3_mid*Q!$O$8/Q!$J$8-Thesis!$F$86-Thesis!$F$90)/(Sens!$O$6867*(1+Sens!$F$6868)+Sens!$O$6869*(1+Sens!$F$6870)+Sens!$O$6871*(1+Sens!$F$6872)+Sens!$O$6873*(1+Sens!$F$6874)+Sens!$O$6875*(1+Sens!$F$6876)+Sens!$O$6877*(1+Sens!$F$6878))</f>
        <v>0.958546670622329</v>
      </c>
      <c r="P6879" s="8" t="s">
        <v>681</v>
      </c>
    </row>
    <row r="6880" customFormat="false" ht="17.15" hidden="false" customHeight="false" outlineLevel="0" collapsed="false">
      <c r="A6880" s="3" t="s">
        <v>682</v>
      </c>
      <c r="B6880" s="8" t="s">
        <v>86</v>
      </c>
      <c r="C6880" s="38" t="n">
        <f aca="false">Sens!$C$6867+Sens!$C$6869+Sens!$C$6871+Sens!$C$6873+Sens!$C$6875+Sens!$C$6877</f>
        <v>530.403</v>
      </c>
      <c r="D6880" s="38" t="n">
        <f aca="false">Sens!$D$6867+Sens!$D$6869+Sens!$D$6871+Sens!$D$6873+Sens!$D$6875+Sens!$D$6877</f>
        <v>588.199</v>
      </c>
      <c r="E6880" s="38" t="n">
        <f aca="false">Sens!$E$6867+Sens!$E$6869+Sens!$E$6871+Sens!$E$6873+Sens!$E$6875+Sens!$E$6877</f>
        <v>302.306</v>
      </c>
      <c r="F6880" s="38" t="n">
        <f aca="false">Sens!$F$6867+Sens!$F$6869+Sens!$F$6871+Sens!$F$6873+Sens!$F$6875+Sens!$F$6877</f>
        <v>349.048241645537</v>
      </c>
      <c r="G6880" s="38" t="n">
        <f aca="false">Sens!$G$6867+Sens!$G$6869+Sens!$G$6871+Sens!$G$6873+Sens!$G$6875+Sens!$G$6877</f>
        <v>651.354241645537</v>
      </c>
      <c r="H6880" s="38" t="n">
        <f aca="false">Sens!$H$6867+Sens!$H$6869+Sens!$H$6871+Sens!$H$6873+Sens!$H$6875+Sens!$H$6877</f>
        <v>721.096889521386</v>
      </c>
      <c r="I6880" s="38" t="n">
        <f aca="false">Sens!$I$6867+Sens!$I$6869+Sens!$I$6871+Sens!$I$6873+Sens!$I$6875+Sens!$I$6877</f>
        <v>788.529391152531</v>
      </c>
      <c r="J6880" s="38" t="n">
        <f aca="false">Sens!$J$6867+Sens!$J$6869+Sens!$J$6871+Sens!$J$6873+Sens!$J$6875+Sens!$J$6877</f>
        <v>851.108405741443</v>
      </c>
      <c r="K6880" s="38" t="n">
        <f aca="false">Sens!$K$6867+Sens!$K$6869+Sens!$K$6871+Sens!$K$6873+Sens!$K$6875+Sens!$K$6877</f>
        <v>906.176455431088</v>
      </c>
      <c r="L6880" s="38" t="n">
        <f aca="false">Sens!$L$6867+Sens!$L$6869+Sens!$L$6871+Sens!$L$6873+Sens!$L$6875+Sens!$L$6877</f>
        <v>965.093106475589</v>
      </c>
      <c r="M6880" s="38" t="n">
        <f aca="false">Sens!$M$6867+Sens!$M$6869+Sens!$M$6871+Sens!$M$6873+Sens!$M$6875+Sens!$M$6877</f>
        <v>1028.14790794689</v>
      </c>
      <c r="N6880" s="38" t="n">
        <f aca="false">Sens!$N$6867+Sens!$N$6869+Sens!$N$6871+Sens!$N$6873+Sens!$N$6875+Sens!$N$6877</f>
        <v>263.229</v>
      </c>
      <c r="O6880" s="38" t="n">
        <f aca="false">Sens!$O$6867+Sens!$O$6869+Sens!$O$6871+Sens!$O$6873+Sens!$O$6875+Sens!$O$6877</f>
        <v>324.97</v>
      </c>
    </row>
    <row r="6881" customFormat="false" ht="17.15" hidden="false" customHeight="false" outlineLevel="0" collapsed="false">
      <c r="A6881" s="5" t="s">
        <v>683</v>
      </c>
      <c r="B6881" s="0" t="s">
        <v>52</v>
      </c>
      <c r="C6881" s="13" t="n">
        <f aca="false">Q!$D$5/(Q!$D$5+Q!$D$6)</f>
        <v>0.730570905519011</v>
      </c>
      <c r="D6881" s="13" t="n">
        <f aca="false">Q!$E$5/(Q!$E$5+Q!$E$6)</f>
        <v>0.724763217890544</v>
      </c>
      <c r="E6881" s="13" t="n">
        <f aca="false">Q!$P$5/(Q!$P$5+Q!$P$6)</f>
        <v>0.728797972914861</v>
      </c>
      <c r="F6881" s="13" t="n">
        <f aca="false">Sens!$O$6881</f>
        <v>0.718066283041511</v>
      </c>
      <c r="G6881" s="13" t="n">
        <f aca="false">Sens!$G$6882/Sens!$G$6880</f>
        <v>0.723047066202847</v>
      </c>
      <c r="H6881" s="13" t="n">
        <f aca="false">Sens!$G$6881</f>
        <v>0.723047066202847</v>
      </c>
      <c r="I6881" s="13" t="n">
        <f aca="false">Sens!$G$6881</f>
        <v>0.723047066202847</v>
      </c>
      <c r="J6881" s="13" t="n">
        <f aca="false">Sens!$G$6881</f>
        <v>0.723047066202847</v>
      </c>
      <c r="K6881" s="13" t="n">
        <f aca="false">Sens!$G$6881</f>
        <v>0.723047066202847</v>
      </c>
      <c r="L6881" s="13" t="n">
        <f aca="false">Sens!$G$6881</f>
        <v>0.723047066202847</v>
      </c>
      <c r="M6881" s="13" t="n">
        <f aca="false">Sens!$G$6881</f>
        <v>0.723047066202847</v>
      </c>
      <c r="N6881" s="13" t="n">
        <f aca="false">Q!$N$5/(Q!$N$5+Q!$N$6)</f>
        <v>0.733030935041352</v>
      </c>
      <c r="O6881" s="13" t="n">
        <f aca="false">Q!$O$5/(Q!$O$5+Q!$O$6)</f>
        <v>0.718066283041511</v>
      </c>
      <c r="P6881" s="8" t="s">
        <v>684</v>
      </c>
    </row>
    <row r="6882" customFormat="false" ht="17.15" hidden="false" customHeight="false" outlineLevel="0" collapsed="false">
      <c r="A6882" s="1" t="s">
        <v>512</v>
      </c>
      <c r="B6882" s="8" t="s">
        <v>86</v>
      </c>
      <c r="C6882" s="38" t="n">
        <f aca="false">Q!$D$5</f>
        <v>387.497</v>
      </c>
      <c r="D6882" s="38" t="n">
        <f aca="false">Q!$E$5</f>
        <v>426.305</v>
      </c>
      <c r="E6882" s="38" t="n">
        <f aca="false">Q!$P$5</f>
        <v>220.32</v>
      </c>
      <c r="F6882" s="38" t="n">
        <f aca="false">Sens!$F$6880*Sens!$F$6881</f>
        <v>250.639773480586</v>
      </c>
      <c r="G6882" s="38" t="n">
        <f aca="false">Sens!$E$6882+Sens!$F$6882</f>
        <v>470.959773480586</v>
      </c>
      <c r="H6882" s="38" t="n">
        <f aca="false">Sens!$H$6880*Sens!$H$6881</f>
        <v>521.386990416437</v>
      </c>
      <c r="I6882" s="38" t="n">
        <f aca="false">Sens!$I$6880*Sens!$I$6881</f>
        <v>570.143862887555</v>
      </c>
      <c r="J6882" s="38" t="n">
        <f aca="false">Sens!$J$6880*Sens!$J$6881</f>
        <v>615.391435791933</v>
      </c>
      <c r="K6882" s="38" t="n">
        <f aca="false">Sens!$K$6880*Sens!$K$6881</f>
        <v>655.208227561543</v>
      </c>
      <c r="L6882" s="38" t="n">
        <f aca="false">Sens!$L$6880*Sens!$L$6881</f>
        <v>697.807739249767</v>
      </c>
      <c r="M6882" s="38" t="n">
        <f aca="false">Sens!$M$6880*Sens!$M$6881</f>
        <v>743.399328463592</v>
      </c>
      <c r="N6882" s="38" t="n">
        <f aca="false">Q!$N$5</f>
        <v>192.955</v>
      </c>
      <c r="O6882" s="38" t="n">
        <f aca="false">Q!$O$5</f>
        <v>233.35</v>
      </c>
      <c r="P6882" s="5" t="s">
        <v>685</v>
      </c>
    </row>
    <row r="6883" customFormat="false" ht="17.15" hidden="false" customHeight="false" outlineLevel="0" collapsed="false">
      <c r="A6883" s="1" t="s">
        <v>515</v>
      </c>
      <c r="B6883" s="8" t="s">
        <v>86</v>
      </c>
      <c r="C6883" s="38" t="n">
        <f aca="false">Q!$D$6</f>
        <v>142.906</v>
      </c>
      <c r="D6883" s="38" t="n">
        <f aca="false">Q!$E$6</f>
        <v>161.894</v>
      </c>
      <c r="E6883" s="38" t="n">
        <f aca="false">Q!$P$6</f>
        <v>81.986</v>
      </c>
      <c r="F6883" s="38" t="n">
        <f aca="false">Sens!$F$6880*(1-Sens!$F$6881)</f>
        <v>98.408468164951</v>
      </c>
      <c r="G6883" s="38" t="n">
        <f aca="false">Sens!$E$6883+Sens!$F$6883</f>
        <v>180.394468164951</v>
      </c>
      <c r="H6883" s="38" t="n">
        <f aca="false">Sens!$H$6880*(1-Sens!$H$6881)</f>
        <v>199.709899104949</v>
      </c>
      <c r="I6883" s="38" t="n">
        <f aca="false">Sens!$I$6880*(1-Sens!$I$6881)</f>
        <v>218.385528264976</v>
      </c>
      <c r="J6883" s="38" t="n">
        <f aca="false">Sens!$J$6880*(1-Sens!$J$6881)</f>
        <v>235.71696994951</v>
      </c>
      <c r="K6883" s="38" t="n">
        <f aca="false">Sens!$K$6880*(1-Sens!$K$6881)</f>
        <v>250.968227869545</v>
      </c>
      <c r="L6883" s="38" t="n">
        <f aca="false">Sens!$L$6880*(1-Sens!$L$6881)</f>
        <v>267.285367225822</v>
      </c>
      <c r="M6883" s="38" t="n">
        <f aca="false">Sens!$M$6880*(1-Sens!$M$6881)</f>
        <v>284.748579483295</v>
      </c>
      <c r="N6883" s="38" t="n">
        <f aca="false">Q!$N$6</f>
        <v>70.274</v>
      </c>
      <c r="O6883" s="38" t="n">
        <f aca="false">Q!$O$6</f>
        <v>91.62</v>
      </c>
      <c r="P6883" s="5" t="s">
        <v>686</v>
      </c>
    </row>
    <row r="6884" customFormat="false" ht="17.15" hidden="false" customHeight="false" outlineLevel="0" collapsed="false">
      <c r="A6884" s="5" t="s">
        <v>687</v>
      </c>
      <c r="B6884" s="0" t="s">
        <v>86</v>
      </c>
      <c r="C6884" s="38" t="n">
        <f aca="false">Sens!$C$6873*Sens!$C$6881</f>
        <v>41.0683128828457</v>
      </c>
      <c r="D6884" s="38" t="n">
        <f aca="false">Sens!$D$6873*Sens!$D$6881</f>
        <v>49.7441234599175</v>
      </c>
      <c r="E6884" s="38" t="n">
        <f aca="false">Sens!$E$6873*Sens!$E$6881</f>
        <v>27.0034224924414</v>
      </c>
      <c r="F6884" s="38" t="n">
        <f aca="false">Sens!$F$6873*Sens!$F$6881</f>
        <v>33.1439448330513</v>
      </c>
      <c r="G6884" s="38" t="n">
        <f aca="false">Sens!$G$6873*Sens!$G$6881</f>
        <v>60.164183844083</v>
      </c>
      <c r="H6884" s="38" t="n">
        <f aca="false">Sens!$H$6873*Sens!$H$6881</f>
        <v>72.2301766552629</v>
      </c>
      <c r="I6884" s="38" t="n">
        <f aca="false">Sens!$I$6873*Sens!$I$6881</f>
        <v>84.2950764463991</v>
      </c>
      <c r="J6884" s="38" t="n">
        <f aca="false">Sens!$J$6873*Sens!$J$6881</f>
        <v>95.5499047729386</v>
      </c>
      <c r="K6884" s="38" t="n">
        <f aca="false">Sens!$K$6873*Sens!$K$6881</f>
        <v>105.104895250232</v>
      </c>
      <c r="L6884" s="38" t="n">
        <f aca="false">Sens!$L$6873*Sens!$L$6881</f>
        <v>115.615384775256</v>
      </c>
      <c r="M6884" s="38" t="n">
        <f aca="false">Sens!$M$6873*Sens!$M$6881</f>
        <v>127.176923252781</v>
      </c>
      <c r="N6884" s="38" t="n">
        <f aca="false">Sens!$N$6873*Sens!$N$6881</f>
        <v>21.7087111412496</v>
      </c>
      <c r="O6884" s="38" t="n">
        <f aca="false">Sens!$O$6873*Sens!$O$6881</f>
        <v>28.0189463642798</v>
      </c>
      <c r="P6884" s="5" t="s">
        <v>688</v>
      </c>
    </row>
    <row r="6885" customFormat="false" ht="15" hidden="false" customHeight="false" outlineLevel="0" collapsed="false">
      <c r="A6885" s="5" t="s">
        <v>689</v>
      </c>
      <c r="B6885" s="0" t="s">
        <v>86</v>
      </c>
      <c r="C6885" s="38" t="n">
        <f aca="false">Sens!$C$6873-Sens!$C$6884</f>
        <v>15.1456871171543</v>
      </c>
      <c r="D6885" s="38" t="n">
        <f aca="false">Sens!$D$6873-Sens!$D$6884</f>
        <v>18.8908765400825</v>
      </c>
      <c r="E6885" s="38" t="n">
        <f aca="false">Sens!$E$6873-Sens!$E$6884</f>
        <v>10.0485775075586</v>
      </c>
      <c r="F6885" s="38" t="n">
        <f aca="false">Sens!$F$6873-Sens!$F$6884</f>
        <v>13.0132771613635</v>
      </c>
      <c r="G6885" s="38" t="n">
        <f aca="false">Sens!$G$6873-Sens!$G$6884</f>
        <v>23.0450381503318</v>
      </c>
      <c r="H6885" s="38" t="n">
        <f aca="false">Sens!$H$6873-Sens!$H$6884</f>
        <v>27.6667457326347</v>
      </c>
      <c r="I6885" s="38" t="n">
        <f aca="false">Sens!$I$6873-Sens!$I$6884</f>
        <v>32.2880346490971</v>
      </c>
      <c r="J6885" s="38" t="n">
        <f aca="false">Sens!$J$6873-Sens!$J$6884</f>
        <v>36.5990371690132</v>
      </c>
      <c r="K6885" s="38" t="n">
        <f aca="false">Sens!$K$6873-Sens!$K$6884</f>
        <v>40.2589408859145</v>
      </c>
      <c r="L6885" s="38" t="n">
        <f aca="false">Sens!$L$6873-Sens!$L$6884</f>
        <v>44.2848349745059</v>
      </c>
      <c r="M6885" s="38" t="n">
        <f aca="false">Sens!$M$6873-Sens!$M$6884</f>
        <v>48.7133184719565</v>
      </c>
      <c r="N6885" s="38" t="n">
        <f aca="false">Sens!$N$6873-Sens!$N$6884</f>
        <v>7.90628885875037</v>
      </c>
      <c r="O6885" s="38" t="n">
        <f aca="false">Sens!$O$6873-Sens!$O$6884</f>
        <v>11.0010536357202</v>
      </c>
    </row>
    <row r="6886" customFormat="false" ht="19.4" hidden="false" customHeight="false" outlineLevel="0" collapsed="false">
      <c r="A6886" s="31" t="s">
        <v>1276</v>
      </c>
    </row>
    <row r="6887" customFormat="false" ht="17.15" hidden="false" customHeight="false" outlineLevel="0" collapsed="false">
      <c r="A6887" s="6" t="s">
        <v>16</v>
      </c>
      <c r="B6887" s="6" t="s">
        <v>17</v>
      </c>
      <c r="C6887" s="20" t="s">
        <v>497</v>
      </c>
      <c r="D6887" s="20" t="s">
        <v>498</v>
      </c>
      <c r="E6887" s="20" t="s">
        <v>580</v>
      </c>
      <c r="F6887" s="20" t="s">
        <v>581</v>
      </c>
      <c r="G6887" s="20" t="s">
        <v>582</v>
      </c>
      <c r="H6887" s="20" t="s">
        <v>583</v>
      </c>
      <c r="I6887" s="20" t="s">
        <v>584</v>
      </c>
      <c r="J6887" s="20" t="s">
        <v>585</v>
      </c>
      <c r="K6887" s="20" t="s">
        <v>586</v>
      </c>
      <c r="L6887" s="20" t="s">
        <v>587</v>
      </c>
      <c r="M6887" s="20" t="s">
        <v>588</v>
      </c>
      <c r="N6887" s="20" t="s">
        <v>589</v>
      </c>
      <c r="O6887" s="20" t="s">
        <v>590</v>
      </c>
      <c r="P6887" s="6" t="s">
        <v>23</v>
      </c>
      <c r="R6887" s="20" t="n">
        <v>2023</v>
      </c>
      <c r="S6887" s="20" t="n">
        <v>2024</v>
      </c>
      <c r="T6887" s="20" t="n">
        <v>2025</v>
      </c>
      <c r="U6887" s="20" t="n">
        <v>2026</v>
      </c>
      <c r="V6887" s="20" t="n">
        <v>2027</v>
      </c>
      <c r="W6887" s="20" t="n">
        <v>2028</v>
      </c>
      <c r="X6887" s="20" t="n">
        <v>2029</v>
      </c>
      <c r="Y6887" s="20" t="n">
        <v>2030</v>
      </c>
      <c r="Z6887" s="20" t="n">
        <v>2031</v>
      </c>
      <c r="AA6887" s="20" t="n">
        <v>2032</v>
      </c>
    </row>
    <row r="6888" customFormat="false" ht="17.15" hidden="false" customHeight="false" outlineLevel="0" collapsed="false">
      <c r="A6888" s="1" t="s">
        <v>591</v>
      </c>
    </row>
    <row r="6889" customFormat="false" ht="17.15" hidden="false" customHeight="false" outlineLevel="0" collapsed="false">
      <c r="A6889" s="5" t="s">
        <v>592</v>
      </c>
      <c r="B6889" s="0" t="s">
        <v>144</v>
      </c>
      <c r="H6889" s="32" t="n">
        <f aca="false">pace_B</f>
        <v>3634.3</v>
      </c>
      <c r="I6889" s="32" t="n">
        <f aca="false">pace_B</f>
        <v>3634.3</v>
      </c>
      <c r="J6889" s="32" t="n">
        <f aca="false">pace_B</f>
        <v>3634.3</v>
      </c>
      <c r="K6889" s="32" t="n">
        <f aca="false">pace_B+(Sens!$J$6890*tg-pace_B)*1/3</f>
        <v>2570.86716666667</v>
      </c>
      <c r="L6889" s="32" t="n">
        <f aca="false">pace_B+(Sens!$J$6890*tg-pace_B)*2/3</f>
        <v>1507.43433333333</v>
      </c>
      <c r="M6889" s="32" t="n">
        <f aca="false">pace_B+(Sens!$J$6890*tg-pace_B)*3/3</f>
        <v>444.0015</v>
      </c>
      <c r="P6889" s="5" t="s">
        <v>593</v>
      </c>
    </row>
    <row r="6890" customFormat="false" ht="17.15" hidden="false" customHeight="false" outlineLevel="0" collapsed="false">
      <c r="A6890" s="15" t="s">
        <v>594</v>
      </c>
      <c r="B6890" s="14" t="s">
        <v>129</v>
      </c>
      <c r="C6890" s="33" t="n">
        <f aca="false">mw_ye24</f>
        <v>360</v>
      </c>
      <c r="D6890" s="33" t="n">
        <f aca="false">mw_ye25</f>
        <v>1440</v>
      </c>
      <c r="E6890" s="33" t="n">
        <f aca="false">mw_open</f>
        <v>2080</v>
      </c>
      <c r="F6890" s="33" t="n">
        <f aca="false">Sens!$E$6890+pace_B*0.5</f>
        <v>3897.15</v>
      </c>
      <c r="G6890" s="33" t="n">
        <f aca="false">Sens!$F$6890</f>
        <v>3897.15</v>
      </c>
      <c r="H6890" s="33" t="n">
        <f aca="false">Sens!$G$6890+Sens!$H$6889</f>
        <v>7531.45</v>
      </c>
      <c r="I6890" s="33" t="n">
        <f aca="false">Sens!$H$6890+Sens!$I$6889</f>
        <v>11165.75</v>
      </c>
      <c r="J6890" s="33" t="n">
        <f aca="false">Sens!$I$6890+Sens!$J$6889</f>
        <v>14800.05</v>
      </c>
      <c r="K6890" s="33" t="n">
        <f aca="false">Sens!$J$6890+Sens!$K$6889</f>
        <v>17370.9171666667</v>
      </c>
      <c r="L6890" s="33" t="n">
        <f aca="false">Sens!$K$6890+Sens!$L$6889</f>
        <v>18878.3515</v>
      </c>
      <c r="M6890" s="33" t="n">
        <f aca="false">Sens!$L$6890+Sens!$M$6889</f>
        <v>19322.353</v>
      </c>
      <c r="N6890" s="33" t="n">
        <f aca="false">(mw_ye24+mw_ye25)/2</f>
        <v>900</v>
      </c>
      <c r="O6890" s="33" t="n">
        <f aca="false">mw_ye25</f>
        <v>1440</v>
      </c>
      <c r="P6890" s="5" t="s">
        <v>595</v>
      </c>
    </row>
    <row r="6891" customFormat="false" ht="17.15" hidden="false" customHeight="false" outlineLevel="0" collapsed="false">
      <c r="A6891" s="5" t="s">
        <v>596</v>
      </c>
      <c r="B6891" s="0" t="s">
        <v>129</v>
      </c>
      <c r="C6891" s="32" t="n">
        <f aca="false">(mw_ye23+mw_ye24)/2</f>
        <v>240</v>
      </c>
      <c r="D6891" s="32" t="n">
        <f aca="false">(Sens!$C$6890+Sens!$D$6890)/2</f>
        <v>900</v>
      </c>
      <c r="E6891" s="32" t="n">
        <f aca="false">(Sens!$D$6890+Sens!$E$6890)/2</f>
        <v>1760</v>
      </c>
      <c r="F6891" s="32" t="n">
        <f aca="false">(Sens!$E$6890+Sens!$F$6890)/2</f>
        <v>2988.575</v>
      </c>
      <c r="G6891" s="32" t="n">
        <f aca="false">(Sens!$E$6891+Sens!$F$6891)/2</f>
        <v>2374.2875</v>
      </c>
      <c r="H6891" s="32" t="n">
        <f aca="false">(Sens!$G$6890+Sens!$H$6890)/2</f>
        <v>5714.3</v>
      </c>
      <c r="I6891" s="32" t="n">
        <f aca="false">(Sens!$H$6890+Sens!$I$6890)/2</f>
        <v>9348.6</v>
      </c>
      <c r="J6891" s="32" t="n">
        <f aca="false">(Sens!$I$6890+Sens!$J$6890)/2</f>
        <v>12982.9</v>
      </c>
      <c r="K6891" s="32" t="n">
        <f aca="false">(Sens!$J$6890+Sens!$K$6890)/2</f>
        <v>16085.4835833333</v>
      </c>
      <c r="L6891" s="32" t="n">
        <f aca="false">(Sens!$K$6890+Sens!$L$6890)/2</f>
        <v>18124.6343333333</v>
      </c>
      <c r="M6891" s="32" t="n">
        <f aca="false">(Sens!$L$6890+Sens!$M$6890)/2</f>
        <v>19100.35225</v>
      </c>
      <c r="N6891" s="32" t="n">
        <f aca="false">(Sens!$C$6890+Sens!$N$6890)/2</f>
        <v>630</v>
      </c>
      <c r="O6891" s="32" t="n">
        <f aca="false">(Sens!$N$6890+Sens!$O$6890)/2</f>
        <v>1170</v>
      </c>
    </row>
    <row r="6892" customFormat="false" ht="15" hidden="false" customHeight="false" outlineLevel="0" collapsed="false">
      <c r="A6892" s="5" t="s">
        <v>597</v>
      </c>
      <c r="B6892" s="5" t="s">
        <v>123</v>
      </c>
      <c r="C6892" s="34" t="n">
        <v>1</v>
      </c>
      <c r="D6892" s="34" t="n">
        <v>1</v>
      </c>
      <c r="E6892" s="34" t="n">
        <v>0.5</v>
      </c>
      <c r="F6892" s="34" t="n">
        <v>0.5</v>
      </c>
      <c r="G6892" s="34" t="n">
        <v>1</v>
      </c>
      <c r="H6892" s="34" t="n">
        <v>1</v>
      </c>
      <c r="I6892" s="34" t="n">
        <v>1</v>
      </c>
      <c r="J6892" s="34" t="n">
        <v>1</v>
      </c>
      <c r="K6892" s="34" t="n">
        <v>1</v>
      </c>
      <c r="L6892" s="34" t="n">
        <v>1</v>
      </c>
      <c r="M6892" s="34" t="n">
        <v>1</v>
      </c>
      <c r="N6892" s="34" t="n">
        <v>0.5</v>
      </c>
      <c r="O6892" s="34" t="n">
        <v>0.5</v>
      </c>
    </row>
    <row r="6893" customFormat="false" ht="17.15" hidden="false" customHeight="false" outlineLevel="0" collapsed="false">
      <c r="A6893" s="5" t="s">
        <v>598</v>
      </c>
      <c r="B6893" s="0" t="s">
        <v>129</v>
      </c>
      <c r="C6893" s="32" t="n">
        <f aca="false">Sens!$C$6890-mw_ye23</f>
        <v>240</v>
      </c>
      <c r="D6893" s="32" t="n">
        <f aca="false">Sens!$D$6890-Sens!$C$6890</f>
        <v>1080</v>
      </c>
      <c r="E6893" s="32" t="n">
        <f aca="false">Sens!$E$6890-Sens!$D$6890</f>
        <v>640</v>
      </c>
      <c r="F6893" s="32" t="n">
        <f aca="false">Sens!$F$6890-Sens!$E$6890</f>
        <v>1817.15</v>
      </c>
      <c r="G6893" s="32" t="n">
        <f aca="false">Sens!$E$6893+Sens!$F$6893</f>
        <v>2457.15</v>
      </c>
      <c r="H6893" s="32" t="n">
        <f aca="false">Sens!$H$6890-Sens!$G$6890</f>
        <v>3634.3</v>
      </c>
      <c r="I6893" s="32" t="n">
        <f aca="false">Sens!$I$6890-Sens!$H$6890</f>
        <v>3634.3</v>
      </c>
      <c r="J6893" s="32" t="n">
        <f aca="false">Sens!$J$6890-Sens!$I$6890</f>
        <v>3634.3</v>
      </c>
      <c r="K6893" s="32" t="n">
        <f aca="false">Sens!$K$6890-Sens!$J$6890</f>
        <v>2570.86716666667</v>
      </c>
      <c r="L6893" s="32" t="n">
        <f aca="false">Sens!$L$6890-Sens!$K$6890</f>
        <v>1507.43433333333</v>
      </c>
      <c r="M6893" s="32" t="n">
        <f aca="false">Sens!$M$6890-Sens!$L$6890</f>
        <v>444.001499999999</v>
      </c>
      <c r="N6893" s="32" t="n">
        <f aca="false">Sens!$N$6890-Sens!$C$6890</f>
        <v>540</v>
      </c>
      <c r="O6893" s="32" t="n">
        <f aca="false">Sens!$O$6890-Sens!$N$6890</f>
        <v>540</v>
      </c>
    </row>
    <row r="6894" customFormat="false" ht="17.15" hidden="false" customHeight="false" outlineLevel="0" collapsed="false">
      <c r="A6894" s="5" t="s">
        <v>599</v>
      </c>
      <c r="B6894" s="0" t="s">
        <v>129</v>
      </c>
      <c r="C6894" s="32" t="n">
        <f aca="false">Sens!$C$6893/ext_sh</f>
        <v>300</v>
      </c>
      <c r="D6894" s="32" t="n">
        <f aca="false">Sens!$D$6893/ext_sh</f>
        <v>1350</v>
      </c>
      <c r="E6894" s="32" t="n">
        <f aca="false">Sens!$E$6893/ext_sh</f>
        <v>800</v>
      </c>
      <c r="F6894" s="32" t="n">
        <f aca="false">Sens!$F$6893/ext_sh</f>
        <v>2271.4375</v>
      </c>
      <c r="G6894" s="32" t="n">
        <f aca="false">Sens!$G$6893/ext_sh</f>
        <v>3071.4375</v>
      </c>
      <c r="H6894" s="32" t="n">
        <f aca="false">Sens!$H$6893/ext_sh</f>
        <v>4542.875</v>
      </c>
      <c r="I6894" s="32" t="n">
        <f aca="false">Sens!$I$6893/ext_sh</f>
        <v>4542.875</v>
      </c>
      <c r="J6894" s="32" t="n">
        <f aca="false">Sens!$J$6893/ext_sh</f>
        <v>4542.875</v>
      </c>
      <c r="K6894" s="32" t="n">
        <f aca="false">Sens!$K$6893/ext_sh</f>
        <v>3213.58395833333</v>
      </c>
      <c r="L6894" s="32" t="n">
        <f aca="false">Sens!$L$6893/ext_sh</f>
        <v>1884.29291666667</v>
      </c>
      <c r="M6894" s="32" t="n">
        <f aca="false">Sens!$M$6893/ext_sh</f>
        <v>555.001874999998</v>
      </c>
      <c r="N6894" s="32" t="n">
        <f aca="false">Sens!$N$6893/ext_sh</f>
        <v>675</v>
      </c>
      <c r="O6894" s="32" t="n">
        <f aca="false">Sens!$O$6893/ext_sh</f>
        <v>675</v>
      </c>
      <c r="P6894" s="8" t="s">
        <v>600</v>
      </c>
      <c r="R6894" s="32" t="n">
        <f aca="false">mw_ye23/ext_sh</f>
        <v>150</v>
      </c>
      <c r="S6894" s="32" t="n">
        <f aca="false">Sens!$C$6894</f>
        <v>300</v>
      </c>
      <c r="T6894" s="32" t="n">
        <f aca="false">Sens!$D$6894</f>
        <v>1350</v>
      </c>
      <c r="U6894" s="32" t="n">
        <f aca="false">Sens!$G$6894</f>
        <v>3071.4375</v>
      </c>
      <c r="V6894" s="32" t="n">
        <f aca="false">Sens!$H$6894</f>
        <v>4542.875</v>
      </c>
      <c r="W6894" s="32" t="n">
        <f aca="false">Sens!$I$6894</f>
        <v>4542.875</v>
      </c>
      <c r="X6894" s="32" t="n">
        <f aca="false">Sens!$J$6894</f>
        <v>4542.875</v>
      </c>
      <c r="Y6894" s="32" t="n">
        <f aca="false">Sens!$K$6894</f>
        <v>3213.58395833333</v>
      </c>
      <c r="Z6894" s="32" t="n">
        <f aca="false">Sens!$L$6894</f>
        <v>1884.29291666667</v>
      </c>
      <c r="AA6894" s="32" t="n">
        <f aca="false">Sens!$M$6894</f>
        <v>555.001874999998</v>
      </c>
    </row>
    <row r="6895" customFormat="false" ht="17.15" hidden="false" customHeight="false" outlineLevel="0" collapsed="false">
      <c r="A6895" s="1" t="s">
        <v>601</v>
      </c>
    </row>
    <row r="6896" customFormat="false" ht="17.15" hidden="false" customHeight="false" outlineLevel="0" collapsed="false">
      <c r="A6896" s="0" t="s">
        <v>602</v>
      </c>
      <c r="B6896" s="0" t="s">
        <v>52</v>
      </c>
      <c r="F6896" s="35" t="n">
        <f aca="false">na_vr26</f>
        <v>0</v>
      </c>
      <c r="G6896" s="35" t="n">
        <f aca="false">na_vr26</f>
        <v>0</v>
      </c>
      <c r="H6896" s="35" t="n">
        <f aca="false">na_vr27</f>
        <v>0.5</v>
      </c>
      <c r="I6896" s="35" t="n">
        <f aca="false">na_vr28</f>
        <v>1</v>
      </c>
      <c r="J6896" s="35" t="n">
        <f aca="false">na_vr28</f>
        <v>1</v>
      </c>
      <c r="K6896" s="35" t="n">
        <f aca="false">na_vr28</f>
        <v>1</v>
      </c>
      <c r="L6896" s="35" t="n">
        <f aca="false">na_vr28</f>
        <v>1</v>
      </c>
      <c r="M6896" s="35" t="n">
        <f aca="false">na_vr28</f>
        <v>1</v>
      </c>
    </row>
    <row r="6897" customFormat="false" ht="17.15" hidden="false" customHeight="false" outlineLevel="0" collapsed="false">
      <c r="A6897" s="5" t="s">
        <v>603</v>
      </c>
      <c r="B6897" s="0" t="s">
        <v>173</v>
      </c>
      <c r="F6897" s="36" t="n">
        <f aca="false">cust_sh*tk_he_gb300*cf_chip+(1-cust_sh)*((1-Sens!$F$6896)*tk_he_gb300+Sens!$F$6896*tk_he_vr200)</f>
        <v>10.8864110021101</v>
      </c>
      <c r="G6897" s="36" t="n">
        <f aca="false">cust_sh*tk_he_gb300*cf_chip+(1-cust_sh)*((1-Sens!$G$6896)*tk_he_gb300+Sens!$G$6896*tk_he_vr200)</f>
        <v>10.8864110021101</v>
      </c>
      <c r="H6897" s="36" t="n">
        <f aca="false">cust_sh*tk_he_gb300*cf_chip+(1-cust_sh)*((1-Sens!$H$6896)*tk_he_gb300+Sens!$H$6896*tk_he_vr200)</f>
        <v>11.2211760027286</v>
      </c>
      <c r="I6897" s="36" t="n">
        <f aca="false">cust_sh*tk_he_gb300*cf_chip+(1-cust_sh)*((1-Sens!$I$6896)*tk_he_gb300+Sens!$I$6896*tk_he_vr200)</f>
        <v>11.5559410033471</v>
      </c>
      <c r="J6897" s="36" t="n">
        <f aca="false">cust_sh*tk_he_gb300*cf_chip+(1-cust_sh)*((1-Sens!$J$6896)*tk_he_gb300+Sens!$J$6896*tk_he_vr200)</f>
        <v>11.5559410033471</v>
      </c>
      <c r="K6897" s="36" t="n">
        <f aca="false">cust_sh*tk_he_gb300*cf_chip+(1-cust_sh)*((1-Sens!$K$6896)*tk_he_gb300+Sens!$K$6896*tk_he_vr200)</f>
        <v>11.5559410033471</v>
      </c>
      <c r="L6897" s="36" t="n">
        <f aca="false">cust_sh*tk_he_gb300*cf_chip+(1-cust_sh)*((1-Sens!$L$6896)*tk_he_gb300+Sens!$L$6896*tk_he_vr200)</f>
        <v>11.5559410033471</v>
      </c>
      <c r="M6897" s="36" t="n">
        <f aca="false">cust_sh*tk_he_gb300*cf_chip+(1-cust_sh)*((1-Sens!$M$6896)*tk_he_gb300+Sens!$M$6896*tk_he_vr200)</f>
        <v>11.5559410033471</v>
      </c>
    </row>
    <row r="6898" customFormat="false" ht="17.15" hidden="false" customHeight="false" outlineLevel="0" collapsed="false">
      <c r="A6898" s="5" t="s">
        <v>604</v>
      </c>
      <c r="B6898" s="0" t="s">
        <v>173</v>
      </c>
      <c r="F6898" s="36" t="n">
        <f aca="false">cust_sh*tk_ox_gb300+(1-cust_sh)*((1-Sens!$F$6896)*tk_ox_gb300+Sens!$F$6896*tk_ox_vr200)</f>
        <v>1.98263481314457</v>
      </c>
      <c r="G6898" s="36" t="n">
        <f aca="false">cust_sh*tk_ox_gb300+(1-cust_sh)*((1-Sens!$G$6896)*tk_ox_gb300+Sens!$G$6896*tk_ox_vr200)</f>
        <v>1.98263481314457</v>
      </c>
      <c r="H6898" s="36" t="n">
        <f aca="false">cust_sh*tk_ox_gb300+(1-cust_sh)*((1-Sens!$H$6896)*tk_ox_gb300+Sens!$H$6896*tk_ox_vr200)</f>
        <v>2.01034999693694</v>
      </c>
      <c r="I6898" s="36" t="n">
        <f aca="false">cust_sh*tk_ox_gb300+(1-cust_sh)*((1-Sens!$I$6896)*tk_ox_gb300+Sens!$I$6896*tk_ox_vr200)</f>
        <v>2.0380651807293</v>
      </c>
      <c r="J6898" s="36" t="n">
        <f aca="false">cust_sh*tk_ox_gb300+(1-cust_sh)*((1-Sens!$J$6896)*tk_ox_gb300+Sens!$J$6896*tk_ox_vr200)</f>
        <v>2.0380651807293</v>
      </c>
      <c r="K6898" s="36" t="n">
        <f aca="false">cust_sh*tk_ox_gb300+(1-cust_sh)*((1-Sens!$K$6896)*tk_ox_gb300+Sens!$K$6896*tk_ox_vr200)</f>
        <v>2.0380651807293</v>
      </c>
      <c r="L6898" s="36" t="n">
        <f aca="false">cust_sh*tk_ox_gb300+(1-cust_sh)*((1-Sens!$L$6896)*tk_ox_gb300+Sens!$L$6896*tk_ox_vr200)</f>
        <v>2.0380651807293</v>
      </c>
      <c r="M6898" s="36" t="n">
        <f aca="false">cust_sh*tk_ox_gb300+(1-cust_sh)*((1-Sens!$M$6896)*tk_ox_gb300+Sens!$M$6896*tk_ox_vr200)</f>
        <v>2.0380651807293</v>
      </c>
    </row>
    <row r="6899" customFormat="false" ht="17.15" hidden="false" customHeight="false" outlineLevel="0" collapsed="false">
      <c r="A6899" s="5" t="s">
        <v>605</v>
      </c>
      <c r="B6899" s="0" t="s">
        <v>192</v>
      </c>
      <c r="F6899" s="36" t="n">
        <f aca="false">cust_sh*tk_cx_gb300*cf_cx+(1-cust_sh)*((1-Sens!$F$6896)*tk_cx_gb300+Sens!$F$6896*tk_cx_vr200)</f>
        <v>32.237224</v>
      </c>
      <c r="G6899" s="36" t="n">
        <f aca="false">cust_sh*tk_cx_gb300*cf_cx+(1-cust_sh)*((1-Sens!$G$6896)*tk_cx_gb300+Sens!$G$6896*tk_cx_vr200)</f>
        <v>32.237224</v>
      </c>
      <c r="H6899" s="36" t="n">
        <f aca="false">cust_sh*tk_cx_gb300*cf_cx+(1-cust_sh)*((1-Sens!$H$6896)*tk_cx_gb300+Sens!$H$6896*tk_cx_vr200)</f>
        <v>33.574506</v>
      </c>
      <c r="I6899" s="36" t="n">
        <f aca="false">cust_sh*tk_cx_gb300*cf_cx+(1-cust_sh)*((1-Sens!$I$6896)*tk_cx_gb300+Sens!$I$6896*tk_cx_vr200)</f>
        <v>34.911788</v>
      </c>
      <c r="J6899" s="36" t="n">
        <f aca="false">cust_sh*tk_cx_gb300*cf_cx+(1-cust_sh)*((1-Sens!$J$6896)*tk_cx_gb300+Sens!$J$6896*tk_cx_vr200)</f>
        <v>34.911788</v>
      </c>
      <c r="K6899" s="36" t="n">
        <f aca="false">cust_sh*tk_cx_gb300*cf_cx+(1-cust_sh)*((1-Sens!$K$6896)*tk_cx_gb300+Sens!$K$6896*tk_cx_vr200)</f>
        <v>34.911788</v>
      </c>
      <c r="L6899" s="36" t="n">
        <f aca="false">cust_sh*tk_cx_gb300*cf_cx+(1-cust_sh)*((1-Sens!$L$6896)*tk_cx_gb300+Sens!$L$6896*tk_cx_vr200)</f>
        <v>34.911788</v>
      </c>
      <c r="M6899" s="36" t="n">
        <f aca="false">cust_sh*tk_cx_gb300*cf_cx+(1-cust_sh)*((1-Sens!$M$6896)*tk_cx_gb300+Sens!$M$6896*tk_cx_vr200)</f>
        <v>34.911788</v>
      </c>
    </row>
    <row r="6900" customFormat="false" ht="17.15" hidden="false" customHeight="false" outlineLevel="0" collapsed="false">
      <c r="A6900" s="5" t="s">
        <v>606</v>
      </c>
      <c r="B6900" s="0" t="s">
        <v>129</v>
      </c>
      <c r="F6900" s="32" t="n">
        <f aca="false">Sens!$F$6890-mw_open</f>
        <v>1817.15</v>
      </c>
      <c r="G6900" s="32" t="n">
        <f aca="false">Sens!$F$6900</f>
        <v>1817.15</v>
      </c>
      <c r="H6900" s="32" t="n">
        <f aca="false">Sens!$H$6890-mw_open</f>
        <v>5451.45</v>
      </c>
      <c r="I6900" s="32" t="n">
        <f aca="false">Sens!$I$6890-mw_open</f>
        <v>9085.75</v>
      </c>
      <c r="J6900" s="32" t="n">
        <f aca="false">Sens!$J$6890-mw_open</f>
        <v>12720.05</v>
      </c>
      <c r="K6900" s="32" t="n">
        <f aca="false">Sens!$K$6890-mw_open</f>
        <v>15290.9171666667</v>
      </c>
      <c r="L6900" s="32" t="n">
        <f aca="false">Sens!$L$6890-mw_open</f>
        <v>16798.3515</v>
      </c>
      <c r="M6900" s="32" t="n">
        <f aca="false">Sens!$M$6890-mw_open</f>
        <v>17242.353</v>
      </c>
    </row>
    <row r="6901" customFormat="false" ht="17.15" hidden="false" customHeight="false" outlineLevel="0" collapsed="false">
      <c r="A6901" s="0" t="s">
        <v>607</v>
      </c>
      <c r="B6901" s="0" t="s">
        <v>608</v>
      </c>
      <c r="F6901" s="32" t="n">
        <f aca="false">Sens!$F$6893*Sens!$F$6897</f>
        <v>19782.2417524844</v>
      </c>
      <c r="G6901" s="32" t="n">
        <f aca="false">Sens!$F$6901</f>
        <v>19782.2417524844</v>
      </c>
      <c r="H6901" s="32" t="n">
        <f aca="false">Sens!$G$6901+Sens!$H$6893*Sens!$H$6897</f>
        <v>60563.3616992009</v>
      </c>
      <c r="I6901" s="32" t="n">
        <f aca="false">Sens!$H$6901+Sens!$I$6893*Sens!$I$6897</f>
        <v>102561.118087665</v>
      </c>
      <c r="J6901" s="32" t="n">
        <f aca="false">Sens!$I$6901+Sens!$J$6893*Sens!$J$6897</f>
        <v>144558.87447613</v>
      </c>
      <c r="K6901" s="32" t="n">
        <f aca="false">Sens!$J$6901+Sens!$K$6893*Sens!$K$6897</f>
        <v>174267.663781572</v>
      </c>
      <c r="L6901" s="32" t="n">
        <f aca="false">Sens!$K$6901+Sens!$L$6893*Sens!$L$6897</f>
        <v>191687.486003992</v>
      </c>
      <c r="M6901" s="32" t="n">
        <f aca="false">Sens!$L$6901+Sens!$M$6893*Sens!$M$6897</f>
        <v>196818.341143389</v>
      </c>
    </row>
    <row r="6902" customFormat="false" ht="17.15" hidden="false" customHeight="false" outlineLevel="0" collapsed="false">
      <c r="A6902" s="0" t="s">
        <v>609</v>
      </c>
      <c r="B6902" s="0" t="s">
        <v>608</v>
      </c>
      <c r="F6902" s="32" t="n">
        <f aca="false">Sens!$F$6893*Sens!$F$6898</f>
        <v>3602.74485070566</v>
      </c>
      <c r="G6902" s="32" t="n">
        <f aca="false">Sens!$F$6902</f>
        <v>3602.74485070566</v>
      </c>
      <c r="H6902" s="32" t="n">
        <f aca="false">Sens!$G$6902+Sens!$H$6893*Sens!$H$6898</f>
        <v>10908.9598445736</v>
      </c>
      <c r="I6902" s="32" t="n">
        <f aca="false">Sens!$H$6902+Sens!$I$6893*Sens!$I$6898</f>
        <v>18315.9001308981</v>
      </c>
      <c r="J6902" s="32" t="n">
        <f aca="false">Sens!$I$6902+Sens!$J$6893*Sens!$J$6898</f>
        <v>25722.8404172225</v>
      </c>
      <c r="K6902" s="32" t="n">
        <f aca="false">Sens!$J$6902+Sens!$K$6893*Sens!$K$6898</f>
        <v>30962.4352738861</v>
      </c>
      <c r="L6902" s="32" t="n">
        <f aca="false">Sens!$K$6902+Sens!$L$6893*Sens!$L$6898</f>
        <v>34034.6847008886</v>
      </c>
      <c r="M6902" s="32" t="n">
        <f aca="false">Sens!$L$6902+Sens!$M$6893*Sens!$M$6898</f>
        <v>34939.5886982302</v>
      </c>
    </row>
    <row r="6903" customFormat="false" ht="17.15" hidden="false" customHeight="false" outlineLevel="0" collapsed="false">
      <c r="A6903" s="5" t="s">
        <v>610</v>
      </c>
      <c r="B6903" s="0" t="s">
        <v>173</v>
      </c>
      <c r="F6903" s="36" t="n">
        <f aca="false">IF(Sens!$F$6900&gt;0,Sens!$F$6901/Sens!$F$6900,Sens!$F$6897)</f>
        <v>10.8864110021101</v>
      </c>
      <c r="G6903" s="36" t="n">
        <f aca="false">IF(Sens!$G$6900&gt;0,Sens!$G$6901/Sens!$G$6900,Sens!$G$6897)</f>
        <v>10.8864110021101</v>
      </c>
      <c r="H6903" s="36" t="n">
        <f aca="false">IF(Sens!$H$6900&gt;0,Sens!$H$6901/Sens!$H$6900,Sens!$H$6897)</f>
        <v>11.1095876691891</v>
      </c>
      <c r="I6903" s="36" t="n">
        <f aca="false">IF(Sens!$I$6900&gt;0,Sens!$I$6901/Sens!$I$6900,Sens!$I$6897)</f>
        <v>11.2881290028523</v>
      </c>
      <c r="J6903" s="36" t="n">
        <f aca="false">IF(Sens!$J$6900&gt;0,Sens!$J$6901/Sens!$J$6900,Sens!$J$6897)</f>
        <v>11.3646467172794</v>
      </c>
      <c r="K6903" s="36" t="n">
        <f aca="false">IF(Sens!$K$6900&gt;0,Sens!$K$6901/Sens!$K$6900,Sens!$K$6897)</f>
        <v>11.3968090914432</v>
      </c>
      <c r="L6903" s="36" t="n">
        <f aca="false">IF(Sens!$L$6900&gt;0,Sens!$L$6901/Sens!$L$6900,Sens!$L$6897)</f>
        <v>11.4110891181192</v>
      </c>
      <c r="M6903" s="36" t="n">
        <f aca="false">IF(Sens!$M$6900&gt;0,Sens!$M$6901/Sens!$M$6900,Sens!$M$6897)</f>
        <v>11.4148191458201</v>
      </c>
    </row>
    <row r="6904" customFormat="false" ht="17.15" hidden="false" customHeight="false" outlineLevel="0" collapsed="false">
      <c r="A6904" s="5" t="s">
        <v>611</v>
      </c>
      <c r="B6904" s="0" t="s">
        <v>173</v>
      </c>
      <c r="F6904" s="36" t="n">
        <f aca="false">IF(Sens!$F$6900&gt;0,Sens!$F$6902/Sens!$F$6900,Sens!$F$6898)</f>
        <v>1.98263481314457</v>
      </c>
      <c r="G6904" s="36" t="n">
        <f aca="false">IF(Sens!$G$6900&gt;0,Sens!$G$6902/Sens!$G$6900,Sens!$G$6898)</f>
        <v>1.98263481314457</v>
      </c>
      <c r="H6904" s="36" t="n">
        <f aca="false">IF(Sens!$H$6900&gt;0,Sens!$H$6902/Sens!$H$6900,Sens!$H$6898)</f>
        <v>2.00111160233948</v>
      </c>
      <c r="I6904" s="36" t="n">
        <f aca="false">IF(Sens!$I$6900&gt;0,Sens!$I$6902/Sens!$I$6900,Sens!$I$6898)</f>
        <v>2.01589303369541</v>
      </c>
      <c r="J6904" s="36" t="n">
        <f aca="false">IF(Sens!$J$6900&gt;0,Sens!$J$6902/Sens!$J$6900,Sens!$J$6898)</f>
        <v>2.02222793284795</v>
      </c>
      <c r="K6904" s="36" t="n">
        <f aca="false">IF(Sens!$K$6900&gt;0,Sens!$K$6902/Sens!$K$6900,Sens!$K$6898)</f>
        <v>2.02489065478573</v>
      </c>
      <c r="L6904" s="36" t="n">
        <f aca="false">IF(Sens!$L$6900&gt;0,Sens!$L$6902/Sens!$L$6900,Sens!$L$6898)</f>
        <v>2.0260728977417</v>
      </c>
      <c r="M6904" s="36" t="n">
        <f aca="false">IF(Sens!$M$6900&gt;0,Sens!$M$6902/Sens!$M$6900,Sens!$M$6898)</f>
        <v>2.02638170661685</v>
      </c>
    </row>
    <row r="6905" customFormat="false" ht="17.15" hidden="false" customHeight="false" outlineLevel="0" collapsed="false">
      <c r="A6905" s="15" t="s">
        <v>612</v>
      </c>
      <c r="B6905" s="14" t="s">
        <v>173</v>
      </c>
      <c r="C6905" s="14"/>
      <c r="D6905" s="14"/>
      <c r="E6905" s="14"/>
      <c r="F6905" s="37" t="n">
        <f aca="false">Sens!$F$6903*k_B</f>
        <v>10.7987645808025</v>
      </c>
      <c r="G6905" s="37" t="n">
        <f aca="false">Sens!$G$6903*k_B</f>
        <v>10.7987645808025</v>
      </c>
      <c r="H6905" s="37" t="n">
        <f aca="false">Sens!$H$6903*k_B</f>
        <v>11.0201444540452</v>
      </c>
      <c r="I6905" s="37" t="n">
        <f aca="false">Sens!$I$6903*k_B</f>
        <v>11.1972483526393</v>
      </c>
      <c r="J6905" s="37" t="n">
        <f aca="false">Sens!$J$6903*k_B</f>
        <v>11.2731500234653</v>
      </c>
      <c r="K6905" s="37" t="n">
        <f aca="false">Sens!$K$6903*k_B</f>
        <v>11.3050534585724</v>
      </c>
      <c r="L6905" s="37" t="n">
        <f aca="false">Sens!$L$6903*k_B</f>
        <v>11.3192185168503</v>
      </c>
      <c r="M6905" s="37" t="n">
        <f aca="false">Sens!$M$6903*k_B</f>
        <v>11.3229185141234</v>
      </c>
      <c r="N6905" s="14"/>
      <c r="O6905" s="14"/>
      <c r="P6905" s="5" t="s">
        <v>613</v>
      </c>
    </row>
    <row r="6906" customFormat="false" ht="17.15" hidden="false" customHeight="false" outlineLevel="0" collapsed="false">
      <c r="A6906" s="5" t="s">
        <v>614</v>
      </c>
      <c r="B6906" s="0" t="s">
        <v>129</v>
      </c>
      <c r="F6906" s="32" t="n">
        <f aca="false">Sens!$F$6900/2</f>
        <v>908.575</v>
      </c>
      <c r="H6906" s="32" t="n">
        <f aca="false">(Sens!$G$6900+Sens!$H$6900)/2</f>
        <v>3634.3</v>
      </c>
      <c r="I6906" s="32" t="n">
        <f aca="false">(Sens!$H$6900+Sens!$I$6900)/2</f>
        <v>7268.6</v>
      </c>
      <c r="J6906" s="32" t="n">
        <f aca="false">(Sens!$I$6900+Sens!$J$6900)/2</f>
        <v>10902.9</v>
      </c>
      <c r="K6906" s="32" t="n">
        <f aca="false">(Sens!$J$6900+Sens!$K$6900)/2</f>
        <v>14005.4835833333</v>
      </c>
      <c r="L6906" s="32" t="n">
        <f aca="false">(Sens!$K$6900+Sens!$L$6900)/2</f>
        <v>16044.6343333333</v>
      </c>
      <c r="M6906" s="32" t="n">
        <f aca="false">(Sens!$L$6900+Sens!$M$6900)/2</f>
        <v>17020.35225</v>
      </c>
    </row>
    <row r="6907" customFormat="false" ht="17.15" hidden="false" customHeight="false" outlineLevel="0" collapsed="false">
      <c r="A6907" s="1" t="s">
        <v>615</v>
      </c>
    </row>
    <row r="6908" customFormat="false" ht="17.15" hidden="false" customHeight="false" outlineLevel="0" collapsed="false">
      <c r="A6908" s="1" t="s">
        <v>616</v>
      </c>
      <c r="B6908" s="8" t="s">
        <v>86</v>
      </c>
      <c r="C6908" s="38" t="n">
        <f aca="false">Sens!$C$6891*rpm_open*Sens!$C$6892/1000</f>
        <v>2.32100535697364</v>
      </c>
      <c r="D6908" s="38" t="n">
        <f aca="false">Sens!$D$6891*rpm_open*Sens!$D$6892/1000</f>
        <v>8.70377008865116</v>
      </c>
      <c r="E6908" s="38" t="n">
        <f aca="false">Sens!$E$6891*rpm_open*Sens!$E$6892/1000</f>
        <v>8.51035297557002</v>
      </c>
      <c r="F6908" s="38" t="n">
        <f aca="false">(mw_open*rpm_open+Sens!$F$6906*Sens!$F$6905)*Sens!$F$6892/1000</f>
        <v>14.9634336447205</v>
      </c>
      <c r="G6908" s="38" t="n">
        <f aca="false">Sens!$E$6908+Sens!$F$6908</f>
        <v>23.4737866202905</v>
      </c>
      <c r="H6908" s="38" t="n">
        <f aca="false">(mw_open*rpm_open+Sens!$H$6906*Sens!$H$6905)/1000</f>
        <v>60.1658907497746</v>
      </c>
      <c r="I6908" s="38" t="n">
        <f aca="false">(mw_open*rpm_open+Sens!$I$6906*Sens!$I$6905)/1000</f>
        <v>101.503699136432</v>
      </c>
      <c r="J6908" s="38" t="n">
        <f aca="false">(mw_open*rpm_open+Sens!$J$6906*Sens!$J$6905)/1000</f>
        <v>143.025407151278</v>
      </c>
      <c r="K6908" s="38" t="n">
        <f aca="false">(mw_open*rpm_open+Sens!$K$6906*Sens!$K$6905)/1000</f>
        <v>178.44812038318</v>
      </c>
      <c r="L6908" s="38" t="n">
        <f aca="false">(mw_open*rpm_open+Sens!$L$6906*Sens!$L$6905)/1000</f>
        <v>201.728101802396</v>
      </c>
      <c r="M6908" s="38" t="n">
        <f aca="false">(mw_open*rpm_open+Sens!$M$6906*Sens!$M$6905)/1000</f>
        <v>212.835441368865</v>
      </c>
      <c r="N6908" s="38" t="n">
        <f aca="false">Sens!$N$6891*rpm_open*Sens!$N$6892/1000</f>
        <v>3.04631953102791</v>
      </c>
      <c r="O6908" s="38" t="n">
        <f aca="false">Sens!$O$6891*rpm_open*Sens!$O$6892/1000</f>
        <v>5.65745055762326</v>
      </c>
      <c r="P6908" s="5" t="s">
        <v>617</v>
      </c>
    </row>
    <row r="6909" customFormat="false" ht="17.15" hidden="false" customHeight="false" outlineLevel="0" collapsed="false">
      <c r="A6909" s="5" t="s">
        <v>618</v>
      </c>
      <c r="B6909" s="0" t="s">
        <v>173</v>
      </c>
      <c r="C6909" s="36" t="n">
        <f aca="false">Sens!$C$6908*1000/(Sens!$C$6891*Sens!$C$6892)</f>
        <v>9.67085565405685</v>
      </c>
      <c r="D6909" s="36" t="n">
        <f aca="false">Sens!$D$6908*1000/(Sens!$D$6891*Sens!$D$6892)</f>
        <v>9.67085565405685</v>
      </c>
      <c r="E6909" s="36" t="n">
        <f aca="false">Sens!$E$6908*1000/(Sens!$E$6891*Sens!$E$6892)</f>
        <v>9.67085565405685</v>
      </c>
      <c r="F6909" s="36" t="n">
        <f aca="false">Sens!$F$6908*1000/(Sens!$F$6891*Sens!$F$6892)</f>
        <v>10.0137581588017</v>
      </c>
      <c r="G6909" s="36" t="n">
        <f aca="false">Sens!$G$6908*1000/(Sens!$G$6891*Sens!$G$6892)</f>
        <v>9.88666562928478</v>
      </c>
      <c r="H6909" s="36" t="n">
        <f aca="false">Sens!$H$6908*1000/(Sens!$H$6891*Sens!$H$6892)</f>
        <v>10.5290045586992</v>
      </c>
      <c r="I6909" s="36" t="n">
        <f aca="false">Sens!$I$6908*1000/(Sens!$I$6891*Sens!$I$6892)</f>
        <v>10.8576363451674</v>
      </c>
      <c r="J6909" s="36" t="n">
        <f aca="false">Sens!$J$6908*1000/(Sens!$J$6891*Sens!$J$6892)</f>
        <v>11.0164452588619</v>
      </c>
      <c r="K6909" s="36" t="n">
        <f aca="false">Sens!$K$6908*1000/(Sens!$K$6891*Sens!$K$6892)</f>
        <v>11.0937367508227</v>
      </c>
      <c r="L6909" s="36" t="n">
        <f aca="false">Sens!$L$6908*1000/(Sens!$L$6891*Sens!$L$6892)</f>
        <v>11.1300508519168</v>
      </c>
      <c r="M6909" s="36" t="n">
        <f aca="false">Sens!$M$6908*1000/(Sens!$M$6891*Sens!$M$6892)</f>
        <v>11.1430113216297</v>
      </c>
      <c r="N6909" s="36" t="n">
        <f aca="false">Sens!$N$6908*1000/(Sens!$N$6891*Sens!$N$6892)</f>
        <v>9.67085565405685</v>
      </c>
      <c r="O6909" s="36" t="n">
        <f aca="false">Sens!$O$6908*1000/(Sens!$O$6891*Sens!$O$6892)</f>
        <v>9.67085565405685</v>
      </c>
    </row>
    <row r="6910" customFormat="false" ht="17.15" hidden="false" customHeight="false" outlineLevel="0" collapsed="false">
      <c r="A6910" s="0" t="s">
        <v>619</v>
      </c>
      <c r="B6910" s="0" t="s">
        <v>86</v>
      </c>
      <c r="C6910" s="38" t="n">
        <f aca="false">Sens!$C$6891/ext_sh*(ox_open+rent_mw)*Sens!$C$6892/1000</f>
        <v>0.642569210675032</v>
      </c>
      <c r="D6910" s="38" t="n">
        <f aca="false">Sens!$D$6891/ext_sh*(ox_open+rent_mw)*Sens!$D$6892/1000</f>
        <v>2.40963454003137</v>
      </c>
      <c r="E6910" s="38" t="n">
        <f aca="false">Sens!$E$6891/ext_sh*(ox_open+rent_mw)*Sens!$E$6892/1000</f>
        <v>2.35608710580845</v>
      </c>
      <c r="F6910" s="38" t="n">
        <f aca="false">((mw_open*ox_open+Sens!$F$6906*Sens!$F$6904)/ext_sh+Sens!$F$6891/ext_sh*rent_mw)*Sens!$F$6892/1000</f>
        <v>4.05421991106232</v>
      </c>
      <c r="G6910" s="38" t="n">
        <f aca="false">Sens!$E$6910+Sens!$F$6910</f>
        <v>6.41030701687077</v>
      </c>
      <c r="H6910" s="38" t="n">
        <f aca="false">((mw_open*ox_open+Sens!$H$6906*Sens!$H$6904)/ext_sh+Sens!$H$6891/ext_sh*rent_mw)*Sens!$H$6892/1000</f>
        <v>15.8108975546616</v>
      </c>
      <c r="I6910" s="38" t="n">
        <f aca="false">((mw_open*ox_open+Sens!$I$6906*Sens!$I$6904)/ext_sh+Sens!$I$6891/ext_sh*rent_mw)*Sens!$I$6892/1000</f>
        <v>26.1871623400817</v>
      </c>
      <c r="J6910" s="38" t="n">
        <f aca="false">((mw_open*ox_open+Sens!$J$6906*Sens!$J$6904)/ext_sh+Sens!$J$6891/ext_sh*rent_mw)*Sens!$J$6892/1000</f>
        <v>36.5826128954935</v>
      </c>
      <c r="K6910" s="38" t="n">
        <f aca="false">((mw_open*ox_open+Sens!$K$6906*Sens!$K$6904)/ext_sh+Sens!$K$6891/ext_sh*rent_mw)*Sens!$K$6892/1000</f>
        <v>45.4546361137628</v>
      </c>
      <c r="L6910" s="38" t="n">
        <f aca="false">((mw_open*ox_open+Sens!$L$6906*Sens!$L$6904)/ext_sh+Sens!$L$6891/ext_sh*rent_mw)*Sens!$L$6892/1000</f>
        <v>51.2855695554452</v>
      </c>
      <c r="M6910" s="38" t="n">
        <f aca="false">((mw_open*ox_open+Sens!$M$6906*Sens!$M$6904)/ext_sh+Sens!$M$6891/ext_sh*rent_mw)*Sens!$M$6892/1000</f>
        <v>54.0722927838398</v>
      </c>
      <c r="N6910" s="38" t="n">
        <f aca="false">Sens!$N$6891/ext_sh*(ox_open+rent_mw)*Sens!$N$6892/1000</f>
        <v>0.84337208901098</v>
      </c>
      <c r="O6910" s="38" t="n">
        <f aca="false">Sens!$O$6891/ext_sh*(ox_open+rent_mw)*Sens!$O$6892/1000</f>
        <v>1.56626245102039</v>
      </c>
    </row>
    <row r="6911" customFormat="false" ht="17.15" hidden="false" customHeight="false" outlineLevel="0" collapsed="false">
      <c r="A6911" s="0" t="s">
        <v>620</v>
      </c>
      <c r="B6911" s="0" t="s">
        <v>86</v>
      </c>
      <c r="C6911" s="38" t="n">
        <f aca="false">Q!$D$7</f>
        <v>107.556</v>
      </c>
      <c r="D6911" s="38" t="n">
        <f aca="false">Q!$E$7</f>
        <v>128.725</v>
      </c>
      <c r="E6911" s="38" t="n">
        <f aca="false">Q!$P$7</f>
        <v>79.819</v>
      </c>
      <c r="N6911" s="38" t="n">
        <f aca="false">Q!$N$7</f>
        <v>60.14</v>
      </c>
      <c r="O6911" s="38" t="n">
        <f aca="false">Q!$O$7</f>
        <v>68.585</v>
      </c>
    </row>
    <row r="6912" customFormat="false" ht="17.15" hidden="false" customHeight="false" outlineLevel="0" collapsed="false">
      <c r="A6912" s="1" t="s">
        <v>621</v>
      </c>
      <c r="B6912" s="8" t="s">
        <v>86</v>
      </c>
      <c r="C6912" s="38" t="n">
        <f aca="false">Sens!$C$6911-Sens!$C$6908</f>
        <v>105.234994643026</v>
      </c>
      <c r="D6912" s="38" t="n">
        <f aca="false">Sens!$D$6911-Sens!$D$6908</f>
        <v>120.021229911349</v>
      </c>
      <c r="E6912" s="38" t="n">
        <f aca="false">Sens!$E$6911-Sens!$E$6908</f>
        <v>71.30864702443</v>
      </c>
      <c r="F6912" s="38" t="n">
        <f aca="false">Sens!$O$6912*(1+Sens!$F$6913)</f>
        <v>71.7692997942464</v>
      </c>
      <c r="G6912" s="38" t="n">
        <f aca="false">Sens!$E$6912+Sens!$F$6912</f>
        <v>143.077946818676</v>
      </c>
      <c r="H6912" s="38" t="n">
        <f aca="false">Sens!$G$6912*(1+Sens!$H$6913)</f>
        <v>161.017077079203</v>
      </c>
      <c r="I6912" s="38" t="n">
        <f aca="false">Sens!$H$6912*(1+Sens!$I$6913)</f>
        <v>178.769759521457</v>
      </c>
      <c r="J6912" s="38" t="n">
        <f aca="false">Sens!$I$6912*(1+Sens!$J$6913)</f>
        <v>195.775538045907</v>
      </c>
      <c r="K6912" s="38" t="n">
        <f aca="false">Sens!$J$6912*(1+Sens!$K$6913)</f>
        <v>211.43758108958</v>
      </c>
      <c r="L6912" s="38" t="n">
        <f aca="false">Sens!$K$6912*(1+Sens!$L$6913)</f>
        <v>228.352587576746</v>
      </c>
      <c r="M6912" s="38" t="n">
        <f aca="false">Sens!$L$6912*(1+Sens!$M$6913)</f>
        <v>246.620794582886</v>
      </c>
      <c r="N6912" s="38" t="n">
        <f aca="false">Sens!$N$6911-Sens!$N$6908</f>
        <v>57.0936804689721</v>
      </c>
      <c r="O6912" s="38" t="n">
        <f aca="false">Sens!$O$6911-Sens!$O$6908</f>
        <v>62.9275494423768</v>
      </c>
      <c r="P6912" s="5" t="s">
        <v>622</v>
      </c>
    </row>
    <row r="6913" customFormat="false" ht="17.15" hidden="false" customHeight="false" outlineLevel="0" collapsed="false">
      <c r="A6913" s="0" t="s">
        <v>623</v>
      </c>
      <c r="B6913" s="0" t="s">
        <v>52</v>
      </c>
      <c r="D6913" s="13" t="n">
        <f aca="false">Sens!$D$6912/Sens!$C$6912-1</f>
        <v>0.140506827776062</v>
      </c>
      <c r="E6913" s="13" t="n">
        <f aca="false">Sens!$E$6912/Sens!$N$6912-1</f>
        <v>0.248976181579029</v>
      </c>
      <c r="F6913" s="13" t="n">
        <f aca="false">Sens!$D$6913</f>
        <v>0.140506827776062</v>
      </c>
      <c r="G6913" s="13" t="n">
        <f aca="false">Sens!$G$6912/Sens!$D$6912-1</f>
        <v>0.19210532106993</v>
      </c>
      <c r="H6913" s="13" t="n">
        <f aca="false">Sens!$F$6913+(g_awso_lt-Sens!$F$6913)*1/4</f>
        <v>0.125380120832046</v>
      </c>
      <c r="I6913" s="13" t="n">
        <f aca="false">Sens!$F$6913+(g_awso_lt-Sens!$F$6913)*2/4</f>
        <v>0.110253413888031</v>
      </c>
      <c r="J6913" s="13" t="n">
        <f aca="false">Sens!$F$6913+(g_awso_lt-Sens!$F$6913)*3/4</f>
        <v>0.0951267069440154</v>
      </c>
      <c r="K6913" s="13" t="n">
        <f aca="false">Sens!$F$6913+(g_awso_lt-Sens!$F$6913)*4/4</f>
        <v>0.08</v>
      </c>
      <c r="L6913" s="13" t="n">
        <f aca="false">g_awso_lt</f>
        <v>0.08</v>
      </c>
      <c r="M6913" s="13" t="n">
        <f aca="false">g_awso_lt</f>
        <v>0.08</v>
      </c>
      <c r="P6913" s="5" t="s">
        <v>624</v>
      </c>
    </row>
    <row r="6914" customFormat="false" ht="17.15" hidden="false" customHeight="false" outlineLevel="0" collapsed="false">
      <c r="A6914" s="1" t="s">
        <v>625</v>
      </c>
    </row>
    <row r="6915" customFormat="false" ht="17.15" hidden="false" customHeight="false" outlineLevel="0" collapsed="false">
      <c r="A6915" s="0" t="s">
        <v>626</v>
      </c>
      <c r="B6915" s="0" t="s">
        <v>86</v>
      </c>
      <c r="F6915" s="38" t="n">
        <f aca="false">cx_rt*Sens!$F$6880+cx_awso*Sens!$F$6912</f>
        <v>34.9734495387866</v>
      </c>
    </row>
    <row r="6916" customFormat="false" ht="17.15" hidden="false" customHeight="false" outlineLevel="0" collapsed="false">
      <c r="A6916" s="0" t="s">
        <v>627</v>
      </c>
      <c r="B6916" s="0" t="s">
        <v>52</v>
      </c>
      <c r="C6916" s="13" t="n">
        <f aca="false">tk_cx_h100/(tk_cx_h100+tk_fac*(1-colo_sh))</f>
        <v>0.730756458006641</v>
      </c>
      <c r="D6916" s="13" t="n">
        <f aca="false">tk_cx_h100/(tk_cx_h100+tk_fac*(1-colo_sh))</f>
        <v>0.730756458006641</v>
      </c>
      <c r="E6916" s="13" t="n">
        <f aca="false">Sens!$F$6916</f>
        <v>0.760792334328868</v>
      </c>
      <c r="F6916" s="13" t="n">
        <f aca="false">Sens!$F$6899/(Sens!$F$6899+tk_fac*(1-colo_sh))</f>
        <v>0.760792334328868</v>
      </c>
      <c r="G6916" s="13" t="n">
        <f aca="false">Sens!$G$6899/(Sens!$G$6899+tk_fac*(1-colo_sh))</f>
        <v>0.760792334328868</v>
      </c>
      <c r="H6916" s="13" t="n">
        <f aca="false">Sens!$H$6899/(Sens!$H$6899+tk_fac*(1-colo_sh))</f>
        <v>0.768110668862996</v>
      </c>
      <c r="I6916" s="13" t="n">
        <f aca="false">Sens!$I$6899/(Sens!$I$6899+tk_fac*(1-colo_sh))</f>
        <v>0.77499450139483</v>
      </c>
      <c r="J6916" s="13" t="n">
        <f aca="false">Sens!$J$6899/(Sens!$J$6899+tk_fac*(1-colo_sh))</f>
        <v>0.77499450139483</v>
      </c>
      <c r="K6916" s="13" t="n">
        <f aca="false">Sens!$K$6899/(Sens!$K$6899+tk_fac*(1-colo_sh))</f>
        <v>0.77499450139483</v>
      </c>
      <c r="L6916" s="13" t="n">
        <f aca="false">Sens!$L$6899/(Sens!$L$6899+tk_fac*(1-colo_sh))</f>
        <v>0.77499450139483</v>
      </c>
      <c r="M6916" s="13" t="n">
        <f aca="false">Sens!$M$6899/(Sens!$M$6899+tk_fac*(1-colo_sh))</f>
        <v>0.77499450139483</v>
      </c>
    </row>
    <row r="6917" customFormat="false" ht="17.15" hidden="false" customHeight="false" outlineLevel="0" collapsed="false">
      <c r="A6917" s="1" t="s">
        <v>628</v>
      </c>
      <c r="B6917" s="8" t="s">
        <v>86</v>
      </c>
      <c r="C6917" s="38" t="n">
        <f aca="false">Q!$D$46-cx_rt*Q!$D$16-cx_awso*Sens!$C$6912</f>
        <v>25.2781053077374</v>
      </c>
      <c r="D6917" s="38" t="n">
        <f aca="false">Q!$E$46-cx_rt*Q!$E$16-cx_awso*Sens!$D$6912</f>
        <v>69.5686316310026</v>
      </c>
      <c r="E6917" s="38" t="n">
        <f aca="false">Q!$P$46-cx_rt*Q!$P$16-cx_awso*Sens!$E$6912</f>
        <v>64.1899206485108</v>
      </c>
      <c r="F6917" s="38" t="n">
        <f aca="false">MAX(Sens!$F$6894*(Sens!$F$6899+tk_fac*(1-colo_sh))/1000,capex_g26-Q!$P$46-Sens!$F$6915)</f>
        <v>96.2481299895</v>
      </c>
      <c r="G6917" s="38" t="n">
        <f aca="false">Sens!$E$6917+Sens!$F$6917</f>
        <v>160.438050638011</v>
      </c>
      <c r="H6917" s="38" t="n">
        <f aca="false">Sens!$H$6894*(Sens!$H$6899+tk_fac*(1-colo_sh))/1000+Sens!$H$6918</f>
        <v>198.57136494475</v>
      </c>
      <c r="I6917" s="38" t="n">
        <f aca="false">Sens!$I$6894*(Sens!$I$6899+tk_fac*(1-colo_sh))/1000+Sens!$I$6918</f>
        <v>204.6464699105</v>
      </c>
      <c r="J6917" s="38" t="n">
        <f aca="false">Sens!$J$6894*(Sens!$J$6899+tk_fac*(1-colo_sh))/1000+Sens!$J$6918</f>
        <v>209.8832381105</v>
      </c>
      <c r="K6917" s="38" t="n">
        <f aca="false">Sens!$K$6894*(Sens!$K$6899+tk_fac*(1-colo_sh))/1000+Sens!$K$6918</f>
        <v>155.238385275201</v>
      </c>
      <c r="L6917" s="38" t="n">
        <f aca="false">Sens!$L$6894*(Sens!$L$6899+tk_fac*(1-colo_sh))/1000+Sens!$L$6918</f>
        <v>132.014141639902</v>
      </c>
      <c r="M6917" s="38" t="n">
        <f aca="false">Sens!$M$6894*(Sens!$M$6899+tk_fac*(1-colo_sh))/1000+Sens!$M$6918</f>
        <v>132.230981659852</v>
      </c>
      <c r="P6917" s="5" t="s">
        <v>629</v>
      </c>
      <c r="R6917" s="38" t="n">
        <f aca="false">Q!$C$46-cx_rt*Q!$C$16-cx_awso*(Q!$C$7-mw_ye23/2*rpm_open/1000)</f>
        <v>1.50429979529945</v>
      </c>
      <c r="S6917" s="38" t="n">
        <f aca="false">Sens!$C$6917</f>
        <v>25.2781053077374</v>
      </c>
      <c r="T6917" s="38" t="n">
        <f aca="false">Sens!$D$6917</f>
        <v>69.5686316310026</v>
      </c>
      <c r="U6917" s="38" t="n">
        <f aca="false">Sens!$G$6917</f>
        <v>160.438050638011</v>
      </c>
      <c r="V6917" s="38" t="n">
        <f aca="false">Sens!$H$6917</f>
        <v>198.57136494475</v>
      </c>
      <c r="W6917" s="38" t="n">
        <f aca="false">Sens!$I$6917</f>
        <v>204.6464699105</v>
      </c>
      <c r="X6917" s="38" t="n">
        <f aca="false">Sens!$J$6917</f>
        <v>209.8832381105</v>
      </c>
      <c r="Y6917" s="38" t="n">
        <f aca="false">Sens!$K$6917</f>
        <v>155.238385275201</v>
      </c>
      <c r="Z6917" s="38" t="n">
        <f aca="false">Sens!$L$6917</f>
        <v>132.014141639902</v>
      </c>
      <c r="AA6917" s="38" t="n">
        <f aca="false">Sens!$M$6917</f>
        <v>132.230981659852</v>
      </c>
    </row>
    <row r="6918" customFormat="false" ht="17.15" hidden="false" customHeight="false" outlineLevel="0" collapsed="false">
      <c r="A6918" s="0" t="s">
        <v>630</v>
      </c>
      <c r="B6918" s="0" t="s">
        <v>86</v>
      </c>
      <c r="H6918" s="38" t="n">
        <f aca="false">SUMPRODUCT(--(Sens!$R$6887:$AA$6887=2027-tk_life),Sens!$R$6894:$AA$6894)*Sens!$H$6899/1000</f>
        <v>0</v>
      </c>
      <c r="I6918" s="38" t="n">
        <f aca="false">SUMPRODUCT(--(Sens!$R$6887:$AA$6887=2028-tk_life),Sens!$R$6894:$AA$6894)*Sens!$I$6899/1000</f>
        <v>0</v>
      </c>
      <c r="J6918" s="38" t="n">
        <f aca="false">SUMPRODUCT(--(Sens!$R$6887:$AA$6887=2029-tk_life),Sens!$R$6894:$AA$6894)*Sens!$J$6899/1000</f>
        <v>5.2367682</v>
      </c>
      <c r="K6918" s="38" t="n">
        <f aca="false">SUMPRODUCT(--(Sens!$R$6887:$AA$6887=2030-tk_life),Sens!$R$6894:$AA$6894)*Sens!$K$6899/1000</f>
        <v>10.4735364</v>
      </c>
      <c r="L6918" s="38" t="n">
        <f aca="false">SUMPRODUCT(--(Sens!$R$6887:$AA$6887=2031-tk_life),Sens!$R$6894:$AA$6894)*Sens!$L$6899/1000</f>
        <v>47.1309138</v>
      </c>
      <c r="M6918" s="38" t="n">
        <f aca="false">SUMPRODUCT(--(Sens!$R$6887:$AA$6887=2032-tk_life),Sens!$R$6894:$AA$6894)*Sens!$M$6899/1000</f>
        <v>107.22937485525</v>
      </c>
    </row>
    <row r="6919" customFormat="false" ht="17.15" hidden="false" customHeight="false" outlineLevel="0" collapsed="false">
      <c r="A6919" s="0" t="s">
        <v>631</v>
      </c>
      <c r="B6919" s="0" t="s">
        <v>86</v>
      </c>
      <c r="C6919" s="38" t="n">
        <f aca="false">MIN(Sens!$C$6917,Sens!$C$6894*(tk_cx_h100+tk_fac*(1-colo_sh))/1000)</f>
        <v>11.2938642</v>
      </c>
      <c r="D6919" s="38" t="n">
        <f aca="false">MIN(Sens!$D$6917,Sens!$D$6894*(tk_cx_h100+tk_fac*(1-colo_sh))/1000)</f>
        <v>50.8223889</v>
      </c>
      <c r="E6919" s="38" t="n">
        <f aca="false">MIN(Sens!$E$6917,Sens!$E$6894*(Sens!$F$6899+tk_fac*(1-colo_sh))/1000)</f>
        <v>33.8985792</v>
      </c>
      <c r="F6919" s="38" t="n">
        <f aca="false">Sens!$F$6917</f>
        <v>96.2481299895</v>
      </c>
      <c r="G6919" s="38" t="n">
        <f aca="false">Sens!$E$6919+Sens!$F$6919</f>
        <v>130.1467091895</v>
      </c>
      <c r="H6919" s="38" t="n">
        <f aca="false">Sens!$H$6917</f>
        <v>198.57136494475</v>
      </c>
      <c r="I6919" s="38" t="n">
        <f aca="false">Sens!$I$6917</f>
        <v>204.6464699105</v>
      </c>
      <c r="J6919" s="38" t="n">
        <f aca="false">Sens!$J$6917</f>
        <v>209.8832381105</v>
      </c>
      <c r="K6919" s="38" t="n">
        <f aca="false">Sens!$K$6917</f>
        <v>155.238385275201</v>
      </c>
      <c r="L6919" s="38" t="n">
        <f aca="false">Sens!$L$6917</f>
        <v>132.014141639902</v>
      </c>
      <c r="M6919" s="38" t="n">
        <f aca="false">Sens!$M$6917</f>
        <v>132.230981659852</v>
      </c>
      <c r="P6919" s="5" t="s">
        <v>632</v>
      </c>
      <c r="R6919" s="38" t="n">
        <f aca="false">MIN(Sens!$R$6917,Sens!$R$6894*(tk_cx_h100+tk_fac*(1-colo_sh))/1000)</f>
        <v>1.50429979529945</v>
      </c>
      <c r="S6919" s="38" t="n">
        <f aca="false">Sens!$C$6919</f>
        <v>11.2938642</v>
      </c>
      <c r="T6919" s="38" t="n">
        <f aca="false">Sens!$D$6919</f>
        <v>50.8223889</v>
      </c>
      <c r="U6919" s="38" t="n">
        <f aca="false">Sens!$G$6919</f>
        <v>130.1467091895</v>
      </c>
      <c r="V6919" s="38" t="n">
        <f aca="false">Sens!$H$6919</f>
        <v>198.57136494475</v>
      </c>
      <c r="W6919" s="38" t="n">
        <f aca="false">Sens!$I$6919</f>
        <v>204.6464699105</v>
      </c>
      <c r="X6919" s="38" t="n">
        <f aca="false">Sens!$J$6919</f>
        <v>209.8832381105</v>
      </c>
      <c r="Y6919" s="38" t="n">
        <f aca="false">Sens!$K$6919</f>
        <v>155.238385275201</v>
      </c>
      <c r="Z6919" s="38" t="n">
        <f aca="false">Sens!$L$6919</f>
        <v>132.014141639902</v>
      </c>
      <c r="AA6919" s="38" t="n">
        <f aca="false">Sens!$M$6919</f>
        <v>132.230981659852</v>
      </c>
    </row>
    <row r="6920" customFormat="false" ht="17.15" hidden="false" customHeight="false" outlineLevel="0" collapsed="false">
      <c r="A6920" s="5" t="s">
        <v>633</v>
      </c>
      <c r="B6920" s="0" t="s">
        <v>86</v>
      </c>
      <c r="C6920" s="38" t="n">
        <f aca="false">Sens!$C$6917-Sens!$C$6919</f>
        <v>13.9842411077374</v>
      </c>
      <c r="D6920" s="38" t="n">
        <f aca="false">Sens!$D$6917-Sens!$D$6919</f>
        <v>18.7462427310026</v>
      </c>
      <c r="E6920" s="38" t="n">
        <f aca="false">Sens!$E$6917-Sens!$E$6919</f>
        <v>30.2913414485108</v>
      </c>
      <c r="F6920" s="38" t="n">
        <f aca="false">Sens!$F$6917-Sens!$F$6919</f>
        <v>0</v>
      </c>
      <c r="G6920" s="38" t="n">
        <f aca="false">Sens!$G$6917-Sens!$G$6919</f>
        <v>30.2913414485108</v>
      </c>
      <c r="H6920" s="38" t="n">
        <f aca="false">Sens!$H$6917-Sens!$H$6919</f>
        <v>0</v>
      </c>
      <c r="I6920" s="38" t="n">
        <f aca="false">Sens!$I$6917-Sens!$I$6919</f>
        <v>0</v>
      </c>
      <c r="J6920" s="38" t="n">
        <f aca="false">Sens!$J$6917-Sens!$J$6919</f>
        <v>0</v>
      </c>
      <c r="K6920" s="38" t="n">
        <f aca="false">Sens!$K$6917-Sens!$K$6919</f>
        <v>0</v>
      </c>
      <c r="L6920" s="38" t="n">
        <f aca="false">Sens!$L$6917-Sens!$L$6919</f>
        <v>0</v>
      </c>
      <c r="M6920" s="38" t="n">
        <f aca="false">Sens!$M$6917-Sens!$M$6919</f>
        <v>0</v>
      </c>
    </row>
    <row r="6921" customFormat="false" ht="17.15" hidden="false" customHeight="false" outlineLevel="0" collapsed="false">
      <c r="A6921" s="5" t="s">
        <v>634</v>
      </c>
      <c r="B6921" s="0" t="s">
        <v>86</v>
      </c>
      <c r="C6921" s="38" t="n">
        <f aca="false">Sens!$C$6919*Sens!$C$6916</f>
        <v>8.2530642</v>
      </c>
      <c r="D6921" s="38" t="n">
        <f aca="false">Sens!$D$6919*Sens!$D$6916</f>
        <v>37.1387889</v>
      </c>
      <c r="E6921" s="38" t="n">
        <f aca="false">Sens!$E$6919*Sens!$E$6916</f>
        <v>25.7897792</v>
      </c>
      <c r="F6921" s="38" t="n">
        <f aca="false">Sens!$F$6919*Sens!$F$6916</f>
        <v>73.2248394895</v>
      </c>
      <c r="G6921" s="38" t="n">
        <f aca="false">Sens!$E$6921+Sens!$F$6921</f>
        <v>99.0146186895</v>
      </c>
      <c r="H6921" s="38" t="n">
        <f aca="false">(Sens!$H$6919-Sens!$H$6918)*Sens!$H$6916+Sens!$H$6918</f>
        <v>152.52478394475</v>
      </c>
      <c r="I6921" s="38" t="n">
        <f aca="false">(Sens!$I$6919-Sens!$I$6918)*Sens!$I$6916+Sens!$I$6918</f>
        <v>158.5998889105</v>
      </c>
      <c r="J6921" s="38" t="n">
        <f aca="false">(Sens!$J$6919-Sens!$J$6918)*Sens!$J$6916+Sens!$J$6918</f>
        <v>163.8366571105</v>
      </c>
      <c r="K6921" s="38" t="n">
        <f aca="false">(Sens!$K$6919-Sens!$K$6918)*Sens!$K$6916+Sens!$K$6918</f>
        <v>122.665498273534</v>
      </c>
      <c r="L6921" s="38" t="n">
        <f aca="false">(Sens!$L$6919-Sens!$L$6918)*Sens!$L$6916+Sens!$L$6918</f>
        <v>112.914948636568</v>
      </c>
      <c r="M6921" s="38" t="n">
        <f aca="false">(Sens!$M$6919-Sens!$M$6918)*Sens!$M$6916+Sens!$M$6918</f>
        <v>126.605482654852</v>
      </c>
      <c r="R6921" s="38" t="n">
        <f aca="false">Sens!$R$6919*Sens!$C$6916</f>
        <v>1.09927679019314</v>
      </c>
      <c r="S6921" s="38" t="n">
        <f aca="false">Sens!$C$6921</f>
        <v>8.2530642</v>
      </c>
      <c r="T6921" s="38" t="n">
        <f aca="false">Sens!$D$6921</f>
        <v>37.1387889</v>
      </c>
      <c r="U6921" s="38" t="n">
        <f aca="false">Sens!$G$6921</f>
        <v>99.0146186895</v>
      </c>
      <c r="V6921" s="38" t="n">
        <f aca="false">Sens!$H$6921</f>
        <v>152.52478394475</v>
      </c>
      <c r="W6921" s="38" t="n">
        <f aca="false">Sens!$I$6921</f>
        <v>158.5998889105</v>
      </c>
      <c r="X6921" s="38" t="n">
        <f aca="false">Sens!$J$6921</f>
        <v>163.8366571105</v>
      </c>
      <c r="Y6921" s="38" t="n">
        <f aca="false">Sens!$K$6921</f>
        <v>122.665498273534</v>
      </c>
      <c r="Z6921" s="38" t="n">
        <f aca="false">Sens!$L$6921</f>
        <v>112.914948636568</v>
      </c>
      <c r="AA6921" s="38" t="n">
        <f aca="false">Sens!$M$6921</f>
        <v>126.605482654852</v>
      </c>
    </row>
    <row r="6922" customFormat="false" ht="15" hidden="false" customHeight="false" outlineLevel="0" collapsed="false">
      <c r="A6922" s="5" t="s">
        <v>635</v>
      </c>
      <c r="B6922" s="0" t="s">
        <v>86</v>
      </c>
      <c r="C6922" s="38" t="n">
        <f aca="false">Sens!$C$6919-Sens!$C$6921</f>
        <v>3.0408</v>
      </c>
      <c r="D6922" s="38" t="n">
        <f aca="false">Sens!$D$6919-Sens!$D$6921</f>
        <v>13.6836</v>
      </c>
      <c r="E6922" s="38" t="n">
        <f aca="false">Sens!$E$6919-Sens!$E$6921</f>
        <v>8.1088</v>
      </c>
      <c r="F6922" s="38" t="n">
        <f aca="false">Sens!$F$6919-Sens!$F$6921</f>
        <v>23.0232905</v>
      </c>
      <c r="G6922" s="38" t="n">
        <f aca="false">Sens!$G$6919-Sens!$G$6921</f>
        <v>31.1320905</v>
      </c>
      <c r="H6922" s="38" t="n">
        <f aca="false">Sens!$H$6919-Sens!$H$6921</f>
        <v>46.046581</v>
      </c>
      <c r="I6922" s="38" t="n">
        <f aca="false">Sens!$I$6919-Sens!$I$6921</f>
        <v>46.046581</v>
      </c>
      <c r="J6922" s="38" t="n">
        <f aca="false">Sens!$J$6919-Sens!$J$6921</f>
        <v>46.046581</v>
      </c>
      <c r="K6922" s="38" t="n">
        <f aca="false">Sens!$K$6919-Sens!$K$6921</f>
        <v>32.5728870016667</v>
      </c>
      <c r="L6922" s="38" t="n">
        <f aca="false">Sens!$L$6919-Sens!$L$6921</f>
        <v>19.0991930033334</v>
      </c>
      <c r="M6922" s="38" t="n">
        <f aca="false">Sens!$M$6919-Sens!$M$6921</f>
        <v>5.62549900499998</v>
      </c>
      <c r="R6922" s="38" t="n">
        <f aca="false">Sens!$R$6919-Sens!$R$6921</f>
        <v>0.405023005106309</v>
      </c>
      <c r="S6922" s="38" t="n">
        <f aca="false">Sens!$S$6919-Sens!$S$6921</f>
        <v>3.0408</v>
      </c>
      <c r="T6922" s="38" t="n">
        <f aca="false">Sens!$T$6919-Sens!$T$6921</f>
        <v>13.6836</v>
      </c>
      <c r="U6922" s="38" t="n">
        <f aca="false">Sens!$U$6919-Sens!$U$6921</f>
        <v>31.1320905</v>
      </c>
      <c r="V6922" s="38" t="n">
        <f aca="false">Sens!$V$6919-Sens!$V$6921</f>
        <v>46.046581</v>
      </c>
      <c r="W6922" s="38" t="n">
        <f aca="false">Sens!$W$6919-Sens!$W$6921</f>
        <v>46.046581</v>
      </c>
      <c r="X6922" s="38" t="n">
        <f aca="false">Sens!$X$6919-Sens!$X$6921</f>
        <v>46.046581</v>
      </c>
      <c r="Y6922" s="38" t="n">
        <f aca="false">Sens!$Y$6919-Sens!$Y$6921</f>
        <v>32.5728870016667</v>
      </c>
      <c r="Z6922" s="38" t="n">
        <f aca="false">Sens!$Z$6919-Sens!$Z$6921</f>
        <v>19.0991930033334</v>
      </c>
      <c r="AA6922" s="38" t="n">
        <f aca="false">Sens!$AA$6919-Sens!$AA$6921</f>
        <v>5.62549900499998</v>
      </c>
    </row>
    <row r="6923" customFormat="false" ht="17.15" hidden="false" customHeight="false" outlineLevel="0" collapsed="false">
      <c r="A6923" s="0" t="s">
        <v>636</v>
      </c>
      <c r="B6923" s="0" t="s">
        <v>52</v>
      </c>
      <c r="C6923" s="13" t="n">
        <f aca="false">Sens!$C$6917/Sens!$C$7039</f>
        <v>0.325505489553393</v>
      </c>
      <c r="D6923" s="13" t="n">
        <f aca="false">Sens!$D$6917/Sens!$D$7039</f>
        <v>0.54214956071542</v>
      </c>
      <c r="E6923" s="13" t="n">
        <f aca="false">Sens!$E$6917/Sens!$E$7039</f>
        <v>0.666492790452817</v>
      </c>
      <c r="F6923" s="13" t="n">
        <f aca="false">Sens!$F$6917/Sens!$F$7039</f>
        <v>0.733477910687338</v>
      </c>
      <c r="G6923" s="13" t="n">
        <f aca="false">Sens!$G$6917/Sens!$G$7039</f>
        <v>0.705124321514523</v>
      </c>
      <c r="H6923" s="13" t="n">
        <f aca="false">Sens!$H$6917/Sens!$H$7039</f>
        <v>0.726376041178204</v>
      </c>
      <c r="I6923" s="13" t="n">
        <f aca="false">Sens!$I$6917/Sens!$I$7039</f>
        <v>0.713099092661699</v>
      </c>
      <c r="J6923" s="13" t="n">
        <f aca="false">Sens!$J$6917/Sens!$J$7039</f>
        <v>0.701208348786245</v>
      </c>
      <c r="K6923" s="13" t="n">
        <f aca="false">Sens!$K$6917/Sens!$K$7039</f>
        <v>0.618338844562383</v>
      </c>
      <c r="L6923" s="13" t="n">
        <f aca="false">Sens!$L$6917/Sens!$L$7039</f>
        <v>0.562489158462506</v>
      </c>
      <c r="M6923" s="13" t="n">
        <f aca="false">Sens!$M$6917/Sens!$M$7039</f>
        <v>0.545751190895923</v>
      </c>
    </row>
    <row r="6924" customFormat="false" ht="17.15" hidden="false" customHeight="false" outlineLevel="0" collapsed="false">
      <c r="A6924" s="0" t="s">
        <v>637</v>
      </c>
      <c r="B6924" s="0" t="s">
        <v>86</v>
      </c>
      <c r="C6924" s="38" t="n">
        <f aca="false">Sens!$S$6924</f>
        <v>0.183212798365523</v>
      </c>
      <c r="D6924" s="38" t="n">
        <f aca="false">Sens!$T$6924</f>
        <v>1.55872349836552</v>
      </c>
      <c r="E6924" s="38" t="n">
        <f aca="false">Sens!$G$6924/2</f>
        <v>3.87426082418276</v>
      </c>
      <c r="F6924" s="38" t="n">
        <f aca="false">Sens!$G$6924/2</f>
        <v>3.87426082418276</v>
      </c>
      <c r="G6924" s="38" t="n">
        <f aca="false">Sens!$U$6924</f>
        <v>7.74852164836552</v>
      </c>
      <c r="H6924" s="38" t="n">
        <f aca="false">Sens!$V$6924</f>
        <v>24.2509580966155</v>
      </c>
      <c r="I6924" s="38" t="n">
        <f aca="false">Sens!$W$6924</f>
        <v>49.6717554207405</v>
      </c>
      <c r="J6924" s="38" t="n">
        <f aca="false">Sens!$X$6924</f>
        <v>76.1050702391572</v>
      </c>
      <c r="K6924" s="38" t="n">
        <f aca="false">Sens!$Y$6924</f>
        <v>103.227966959208</v>
      </c>
      <c r="L6924" s="38" t="n">
        <f aca="false">Sens!$Z$6924</f>
        <v>122.296705971464</v>
      </c>
      <c r="M6924" s="38" t="n">
        <f aca="false">Sens!$AA$6924</f>
        <v>134.926065927559</v>
      </c>
      <c r="N6924" s="38" t="n">
        <f aca="false">Sens!$D$6924/2</f>
        <v>0.779361749182762</v>
      </c>
      <c r="O6924" s="38" t="n">
        <f aca="false">Sens!$D$6924/2</f>
        <v>0.779361749182762</v>
      </c>
      <c r="R6924" s="38" t="n">
        <f aca="false">SUMPRODUCT(--(Sens!$R$6887:$AA$6887&lt;Sens!R$6887),--(Sens!$R$6887:$AA$6887&gt;=Sens!R$6887-tk_life),Sens!$R$6921:$AA$6921)/tk_life</f>
        <v>0</v>
      </c>
      <c r="S6924" s="38" t="n">
        <f aca="false">SUMPRODUCT(--(Sens!$R$6887:$AA$6887&lt;Sens!S$6887),--(Sens!$R$6887:$AA$6887&gt;=Sens!S$6887-tk_life),Sens!$R$6921:$AA$6921)/tk_life</f>
        <v>0.183212798365523</v>
      </c>
      <c r="T6924" s="38" t="n">
        <f aca="false">SUMPRODUCT(--(Sens!$R$6887:$AA$6887&lt;Sens!T$6887),--(Sens!$R$6887:$AA$6887&gt;=Sens!T$6887-tk_life),Sens!$R$6921:$AA$6921)/tk_life</f>
        <v>1.55872349836552</v>
      </c>
      <c r="U6924" s="38" t="n">
        <f aca="false">SUMPRODUCT(--(Sens!$R$6887:$AA$6887&lt;Sens!U$6887),--(Sens!$R$6887:$AA$6887&gt;=Sens!U$6887-tk_life),Sens!$R$6921:$AA$6921)/tk_life</f>
        <v>7.74852164836552</v>
      </c>
      <c r="V6924" s="38" t="n">
        <f aca="false">SUMPRODUCT(--(Sens!$R$6887:$AA$6887&lt;Sens!V$6887),--(Sens!$R$6887:$AA$6887&gt;=Sens!V$6887-tk_life),Sens!$R$6921:$AA$6921)/tk_life</f>
        <v>24.2509580966155</v>
      </c>
      <c r="W6924" s="38" t="n">
        <f aca="false">SUMPRODUCT(--(Sens!$R$6887:$AA$6887&lt;Sens!W$6887),--(Sens!$R$6887:$AA$6887&gt;=Sens!W$6887-tk_life),Sens!$R$6921:$AA$6921)/tk_life</f>
        <v>49.6717554207405</v>
      </c>
      <c r="X6924" s="38" t="n">
        <f aca="false">SUMPRODUCT(--(Sens!$R$6887:$AA$6887&lt;Sens!X$6887),--(Sens!$R$6887:$AA$6887&gt;=Sens!X$6887-tk_life),Sens!$R$6921:$AA$6921)/tk_life</f>
        <v>76.1050702391572</v>
      </c>
      <c r="Y6924" s="38" t="n">
        <f aca="false">SUMPRODUCT(--(Sens!$R$6887:$AA$6887&lt;Sens!Y$6887),--(Sens!$R$6887:$AA$6887&gt;=Sens!Y$6887-tk_life),Sens!$R$6921:$AA$6921)/tk_life</f>
        <v>103.227966959208</v>
      </c>
      <c r="Z6924" s="38" t="n">
        <f aca="false">SUMPRODUCT(--(Sens!$R$6887:$AA$6887&lt;Sens!Z$6887),--(Sens!$R$6887:$AA$6887&gt;=Sens!Z$6887-tk_life),Sens!$R$6921:$AA$6921)/tk_life</f>
        <v>122.296705971464</v>
      </c>
      <c r="AA6924" s="38" t="n">
        <f aca="false">SUMPRODUCT(--(Sens!$R$6887:$AA$6887&lt;Sens!AA$6887),--(Sens!$R$6887:$AA$6887&gt;=Sens!AA$6887-tk_life),Sens!$R$6921:$AA$6921)/tk_life</f>
        <v>134.926065927559</v>
      </c>
    </row>
    <row r="6925" customFormat="false" ht="17.15" hidden="false" customHeight="false" outlineLevel="0" collapsed="false">
      <c r="A6925" s="0" t="s">
        <v>638</v>
      </c>
      <c r="B6925" s="0" t="s">
        <v>86</v>
      </c>
      <c r="C6925" s="38" t="n">
        <f aca="false">Sens!$S$6925</f>
        <v>0.0202511502553155</v>
      </c>
      <c r="D6925" s="38" t="n">
        <f aca="false">Sens!$T$6925</f>
        <v>0.172291150255315</v>
      </c>
      <c r="E6925" s="38" t="n">
        <f aca="false">Sens!$G$6925/2</f>
        <v>0.428235575127658</v>
      </c>
      <c r="F6925" s="38" t="n">
        <f aca="false">Sens!$G$6925/2</f>
        <v>0.428235575127658</v>
      </c>
      <c r="G6925" s="38" t="n">
        <f aca="false">Sens!$U$6925</f>
        <v>0.856471150255315</v>
      </c>
      <c r="H6925" s="38" t="n">
        <f aca="false">Sens!$V$6925</f>
        <v>2.41307567525532</v>
      </c>
      <c r="I6925" s="38" t="n">
        <f aca="false">Sens!$W$6925</f>
        <v>4.71540472525532</v>
      </c>
      <c r="J6925" s="38" t="n">
        <f aca="false">Sens!$X$6925</f>
        <v>7.01773377525532</v>
      </c>
      <c r="K6925" s="38" t="n">
        <f aca="false">Sens!$Y$6925</f>
        <v>9.32006282525532</v>
      </c>
      <c r="L6925" s="38" t="n">
        <f aca="false">Sens!$Z$6925</f>
        <v>10.9487071753387</v>
      </c>
      <c r="M6925" s="38" t="n">
        <f aca="false">Sens!$AA$6925</f>
        <v>11.9036668255053</v>
      </c>
      <c r="N6925" s="38" t="n">
        <f aca="false">Sens!$D$6925/2</f>
        <v>0.0861455751276577</v>
      </c>
      <c r="O6925" s="38" t="n">
        <f aca="false">Sens!$D$6925/2</f>
        <v>0.0861455751276577</v>
      </c>
      <c r="R6925" s="38" t="n">
        <f aca="false">SUMPRODUCT(--(Sens!$R$6887:$AA$6887&lt;Sens!R$6887),Sens!$R$6922:$AA$6922)/fac_life</f>
        <v>0</v>
      </c>
      <c r="S6925" s="38" t="n">
        <f aca="false">SUMPRODUCT(--(Sens!$R$6887:$AA$6887&lt;Sens!S$6887),Sens!$R$6922:$AA$6922)/fac_life</f>
        <v>0.0202511502553155</v>
      </c>
      <c r="T6925" s="38" t="n">
        <f aca="false">SUMPRODUCT(--(Sens!$R$6887:$AA$6887&lt;Sens!T$6887),Sens!$R$6922:$AA$6922)/fac_life</f>
        <v>0.172291150255315</v>
      </c>
      <c r="U6925" s="38" t="n">
        <f aca="false">SUMPRODUCT(--(Sens!$R$6887:$AA$6887&lt;Sens!U$6887),Sens!$R$6922:$AA$6922)/fac_life</f>
        <v>0.856471150255315</v>
      </c>
      <c r="V6925" s="38" t="n">
        <f aca="false">SUMPRODUCT(--(Sens!$R$6887:$AA$6887&lt;Sens!V$6887),Sens!$R$6922:$AA$6922)/fac_life</f>
        <v>2.41307567525532</v>
      </c>
      <c r="W6925" s="38" t="n">
        <f aca="false">SUMPRODUCT(--(Sens!$R$6887:$AA$6887&lt;Sens!W$6887),Sens!$R$6922:$AA$6922)/fac_life</f>
        <v>4.71540472525532</v>
      </c>
      <c r="X6925" s="38" t="n">
        <f aca="false">SUMPRODUCT(--(Sens!$R$6887:$AA$6887&lt;Sens!X$6887),Sens!$R$6922:$AA$6922)/fac_life</f>
        <v>7.01773377525532</v>
      </c>
      <c r="Y6925" s="38" t="n">
        <f aca="false">SUMPRODUCT(--(Sens!$R$6887:$AA$6887&lt;Sens!Y$6887),Sens!$R$6922:$AA$6922)/fac_life</f>
        <v>9.32006282525532</v>
      </c>
      <c r="Z6925" s="38" t="n">
        <f aca="false">SUMPRODUCT(--(Sens!$R$6887:$AA$6887&lt;Sens!Z$6887),Sens!$R$6922:$AA$6922)/fac_life</f>
        <v>10.9487071753387</v>
      </c>
      <c r="AA6925" s="38" t="n">
        <f aca="false">SUMPRODUCT(--(Sens!$R$6887:$AA$6887&lt;Sens!AA$6887),Sens!$R$6922:$AA$6922)/fac_life</f>
        <v>11.9036668255053</v>
      </c>
    </row>
    <row r="6926" customFormat="false" ht="17.15" hidden="false" customHeight="false" outlineLevel="0" collapsed="false">
      <c r="A6926" s="1" t="s">
        <v>639</v>
      </c>
      <c r="B6926" s="8" t="s">
        <v>86</v>
      </c>
      <c r="C6926" s="38" t="n">
        <f aca="false">Sens!$C$6924+Sens!$C$6925</f>
        <v>0.203463948620839</v>
      </c>
      <c r="D6926" s="38" t="n">
        <f aca="false">Sens!$D$6924+Sens!$D$6925</f>
        <v>1.73101464862084</v>
      </c>
      <c r="E6926" s="38" t="n">
        <f aca="false">Sens!$E$6924+Sens!$E$6925</f>
        <v>4.30249639931042</v>
      </c>
      <c r="F6926" s="38" t="n">
        <f aca="false">Sens!$F$6924+Sens!$F$6925</f>
        <v>4.30249639931042</v>
      </c>
      <c r="G6926" s="38" t="n">
        <f aca="false">Sens!$G$6924+Sens!$G$6925</f>
        <v>8.60499279862084</v>
      </c>
      <c r="H6926" s="38" t="n">
        <f aca="false">Sens!$H$6924+Sens!$H$6925</f>
        <v>26.6640337718708</v>
      </c>
      <c r="I6926" s="38" t="n">
        <f aca="false">Sens!$I$6924+Sens!$I$6925</f>
        <v>54.3871601459959</v>
      </c>
      <c r="J6926" s="38" t="n">
        <f aca="false">Sens!$J$6924+Sens!$J$6925</f>
        <v>83.1228040144125</v>
      </c>
      <c r="K6926" s="38" t="n">
        <f aca="false">Sens!$K$6924+Sens!$K$6925</f>
        <v>112.548029784464</v>
      </c>
      <c r="L6926" s="38" t="n">
        <f aca="false">Sens!$L$6924+Sens!$L$6925</f>
        <v>133.245413146803</v>
      </c>
      <c r="M6926" s="38" t="n">
        <f aca="false">Sens!$M$6924+Sens!$M$6925</f>
        <v>146.829732753064</v>
      </c>
      <c r="N6926" s="38" t="n">
        <f aca="false">Sens!$N$6924+Sens!$N$6925</f>
        <v>0.865507324310419</v>
      </c>
      <c r="O6926" s="38" t="n">
        <f aca="false">Sens!$O$6924+Sens!$O$6925</f>
        <v>0.865507324310419</v>
      </c>
      <c r="R6926" s="38" t="n">
        <f aca="false">Sens!$R$6924+Sens!$R$6925</f>
        <v>0</v>
      </c>
      <c r="S6926" s="38" t="n">
        <f aca="false">Sens!$S$6924+Sens!$S$6925</f>
        <v>0.203463948620839</v>
      </c>
      <c r="T6926" s="38" t="n">
        <f aca="false">Sens!$T$6924+Sens!$T$6925</f>
        <v>1.73101464862084</v>
      </c>
      <c r="U6926" s="38" t="n">
        <f aca="false">Sens!$U$6924+Sens!$U$6925</f>
        <v>8.60499279862084</v>
      </c>
      <c r="V6926" s="38" t="n">
        <f aca="false">Sens!$V$6924+Sens!$V$6925</f>
        <v>26.6640337718708</v>
      </c>
      <c r="W6926" s="38" t="n">
        <f aca="false">Sens!$W$6924+Sens!$W$6925</f>
        <v>54.3871601459959</v>
      </c>
      <c r="X6926" s="38" t="n">
        <f aca="false">Sens!$X$6924+Sens!$X$6925</f>
        <v>83.1228040144125</v>
      </c>
      <c r="Y6926" s="38" t="n">
        <f aca="false">Sens!$Y$6924+Sens!$Y$6925</f>
        <v>112.548029784464</v>
      </c>
      <c r="Z6926" s="38" t="n">
        <f aca="false">Sens!$Z$6924+Sens!$Z$6925</f>
        <v>133.245413146803</v>
      </c>
      <c r="AA6926" s="38" t="n">
        <f aca="false">Sens!$AA$6924+Sens!$AA$6925</f>
        <v>146.829732753064</v>
      </c>
    </row>
    <row r="6927" customFormat="false" ht="17.15" hidden="false" customHeight="false" outlineLevel="0" collapsed="false">
      <c r="A6927" s="0" t="s">
        <v>640</v>
      </c>
      <c r="B6927" s="0" t="s">
        <v>86</v>
      </c>
      <c r="C6927" s="38" t="n">
        <f aca="false">Sens!$S$6927</f>
        <v>12.5947000466786</v>
      </c>
      <c r="D6927" s="38" t="n">
        <f aca="false">Sens!$T$6927</f>
        <v>61.6860742980578</v>
      </c>
      <c r="G6927" s="38" t="n">
        <f aca="false">Sens!$U$6927</f>
        <v>183.227790688937</v>
      </c>
      <c r="H6927" s="38" t="n">
        <f aca="false">Sens!$V$6927</f>
        <v>355.135121861816</v>
      </c>
      <c r="I6927" s="38" t="n">
        <f aca="false">Sens!$W$6927</f>
        <v>505.39443162632</v>
      </c>
      <c r="J6927" s="38" t="n">
        <f aca="false">Sens!$X$6927</f>
        <v>632.154865722408</v>
      </c>
      <c r="K6927" s="38" t="n">
        <f aca="false">Sens!$Y$6927</f>
        <v>674.845221213145</v>
      </c>
      <c r="L6927" s="38" t="n">
        <f aca="false">Sens!$Z$6927</f>
        <v>673.613949706244</v>
      </c>
      <c r="M6927" s="38" t="n">
        <f aca="false">Sens!$AA$6927</f>
        <v>659.015198613032</v>
      </c>
      <c r="R6927" s="38" t="n">
        <f aca="false">SUM(Sens!$R$6919:$R$6919)-SUM(Sens!$R$6926:$R$6926)</f>
        <v>1.50429979529945</v>
      </c>
      <c r="S6927" s="38" t="n">
        <f aca="false">SUM(Sens!$R$6919:$S$6919)-SUM(Sens!$R$6926:$S$6926)</f>
        <v>12.5947000466786</v>
      </c>
      <c r="T6927" s="38" t="n">
        <f aca="false">SUM(Sens!$R$6919:$T$6919)-SUM(Sens!$R$6926:$T$6926)</f>
        <v>61.6860742980578</v>
      </c>
      <c r="U6927" s="38" t="n">
        <f aca="false">SUM(Sens!$R$6919:$U$6919)-SUM(Sens!$R$6926:$U$6926)</f>
        <v>183.227790688937</v>
      </c>
      <c r="V6927" s="38" t="n">
        <f aca="false">SUM(Sens!$R$6919:$V$6919)-SUM(Sens!$R$6926:$V$6926)</f>
        <v>355.135121861816</v>
      </c>
      <c r="W6927" s="38" t="n">
        <f aca="false">SUM(Sens!$R$6919:$W$6919)-SUM(Sens!$R$6926:$W$6926)</f>
        <v>505.39443162632</v>
      </c>
      <c r="X6927" s="38" t="n">
        <f aca="false">SUM(Sens!$R$6919:$X$6919)-SUM(Sens!$R$6926:$X$6926)</f>
        <v>632.154865722408</v>
      </c>
      <c r="Y6927" s="38" t="n">
        <f aca="false">SUM(Sens!$R$6919:$Y$6919)-SUM(Sens!$R$6926:$Y$6926)</f>
        <v>674.845221213145</v>
      </c>
      <c r="Z6927" s="38" t="n">
        <f aca="false">SUM(Sens!$R$6919:$Z$6919)-SUM(Sens!$R$6926:$Z$6926)</f>
        <v>673.613949706244</v>
      </c>
      <c r="AA6927" s="38" t="n">
        <f aca="false">SUM(Sens!$R$6919:$AA$6919)-SUM(Sens!$R$6926:$AA$6926)</f>
        <v>659.015198613032</v>
      </c>
    </row>
    <row r="6928" customFormat="false" ht="17.15" hidden="false" customHeight="false" outlineLevel="0" collapsed="false">
      <c r="A6928" s="1" t="s">
        <v>641</v>
      </c>
    </row>
    <row r="6929" customFormat="false" ht="17.15" hidden="false" customHeight="false" outlineLevel="0" collapsed="false">
      <c r="A6929" s="0" t="s">
        <v>642</v>
      </c>
      <c r="B6929" s="0" t="s">
        <v>86</v>
      </c>
      <c r="C6929" s="38" t="n">
        <f aca="false">Sens!$C$6908-ext_sh*Sens!$C$6910</f>
        <v>1.80694998843362</v>
      </c>
      <c r="D6929" s="38" t="n">
        <f aca="false">Sens!$D$6908-ext_sh*Sens!$D$6910</f>
        <v>6.77606245662607</v>
      </c>
      <c r="E6929" s="38" t="n">
        <f aca="false">Sens!$E$6908-ext_sh*Sens!$E$6910</f>
        <v>6.62548329092326</v>
      </c>
      <c r="F6929" s="38" t="n">
        <f aca="false">Sens!$F$6908-ext_sh*Sens!$F$6910</f>
        <v>11.7200577158706</v>
      </c>
      <c r="G6929" s="38" t="n">
        <f aca="false">Sens!$G$6908-ext_sh*Sens!$G$6910</f>
        <v>18.3455410067939</v>
      </c>
      <c r="H6929" s="38" t="n">
        <f aca="false">Sens!$H$6908-ext_sh*Sens!$H$6910</f>
        <v>47.5171727060453</v>
      </c>
      <c r="I6929" s="38" t="n">
        <f aca="false">Sens!$I$6908-ext_sh*Sens!$I$6910</f>
        <v>80.5539692643667</v>
      </c>
      <c r="J6929" s="38" t="n">
        <f aca="false">Sens!$J$6908-ext_sh*Sens!$J$6910</f>
        <v>113.759316834883</v>
      </c>
      <c r="K6929" s="38" t="n">
        <f aca="false">Sens!$K$6908-ext_sh*Sens!$K$6910</f>
        <v>142.084411492169</v>
      </c>
      <c r="L6929" s="38" t="n">
        <f aca="false">Sens!$L$6908-ext_sh*Sens!$L$6910</f>
        <v>160.69964615804</v>
      </c>
      <c r="M6929" s="38" t="n">
        <f aca="false">Sens!$M$6908-ext_sh*Sens!$M$6910</f>
        <v>169.577607141793</v>
      </c>
      <c r="N6929" s="38" t="n">
        <f aca="false">Sens!$N$6908-ext_sh*Sens!$N$6910</f>
        <v>2.37162185981912</v>
      </c>
      <c r="O6929" s="38" t="n">
        <f aca="false">Sens!$O$6908-ext_sh*Sens!$O$6910</f>
        <v>4.40444059680694</v>
      </c>
    </row>
    <row r="6930" customFormat="false" ht="17.15" hidden="false" customHeight="false" outlineLevel="0" collapsed="false">
      <c r="A6930" s="1" t="s">
        <v>643</v>
      </c>
      <c r="B6930" s="8" t="s">
        <v>86</v>
      </c>
      <c r="C6930" s="38" t="n">
        <f aca="false">Sens!$C$6929-ext_sh*Sens!$C$6926</f>
        <v>1.64417882953695</v>
      </c>
      <c r="D6930" s="38" t="n">
        <f aca="false">Sens!$D$6929-ext_sh*Sens!$D$6926</f>
        <v>5.39125073772939</v>
      </c>
      <c r="E6930" s="38" t="n">
        <f aca="false">Sens!$E$6929-ext_sh*Sens!$E$6926</f>
        <v>3.18348617147493</v>
      </c>
      <c r="F6930" s="38" t="n">
        <f aca="false">Sens!$F$6929-ext_sh*Sens!$F$6926</f>
        <v>8.27806059642226</v>
      </c>
      <c r="G6930" s="38" t="n">
        <f aca="false">Sens!$G$6929-ext_sh*Sens!$G$6926</f>
        <v>11.4615467678972</v>
      </c>
      <c r="H6930" s="38" t="n">
        <f aca="false">Sens!$H$6929-ext_sh*Sens!$H$6926</f>
        <v>26.1859456885487</v>
      </c>
      <c r="I6930" s="38" t="n">
        <f aca="false">Sens!$I$6929-ext_sh*Sens!$I$6926</f>
        <v>37.04424114757</v>
      </c>
      <c r="J6930" s="38" t="n">
        <f aca="false">Sens!$J$6929-ext_sh*Sens!$J$6926</f>
        <v>47.2610736233534</v>
      </c>
      <c r="K6930" s="38" t="n">
        <f aca="false">Sens!$K$6929-ext_sh*Sens!$K$6926</f>
        <v>52.0459876645985</v>
      </c>
      <c r="L6930" s="38" t="n">
        <f aca="false">Sens!$L$6929-ext_sh*Sens!$L$6926</f>
        <v>54.1033156405981</v>
      </c>
      <c r="M6930" s="38" t="n">
        <f aca="false">Sens!$M$6929-ext_sh*Sens!$M$6926</f>
        <v>52.1138209393421</v>
      </c>
      <c r="N6930" s="38" t="n">
        <f aca="false">Sens!$N$6929-ext_sh*Sens!$N$6926</f>
        <v>1.67921600037079</v>
      </c>
      <c r="O6930" s="38" t="n">
        <f aca="false">Sens!$O$6929-ext_sh*Sens!$O$6926</f>
        <v>3.71203473735861</v>
      </c>
    </row>
    <row r="6931" customFormat="false" ht="17.15" hidden="false" customHeight="false" outlineLevel="0" collapsed="false">
      <c r="A6931" s="0" t="s">
        <v>644</v>
      </c>
      <c r="B6931" s="0" t="s">
        <v>52</v>
      </c>
      <c r="C6931" s="13" t="n">
        <f aca="false">Sens!$C$6930/Sens!$C$6908</f>
        <v>0.708390794789371</v>
      </c>
      <c r="D6931" s="13" t="n">
        <f aca="false">Sens!$D$6930/Sens!$D$6908</f>
        <v>0.619415573115729</v>
      </c>
      <c r="E6931" s="13" t="n">
        <f aca="false">Sens!$E$6930/Sens!$E$6908</f>
        <v>0.374072166056273</v>
      </c>
      <c r="F6931" s="13" t="n">
        <f aca="false">Sens!$F$6930/Sens!$F$6908</f>
        <v>0.553219320710057</v>
      </c>
      <c r="G6931" s="13" t="n">
        <f aca="false">Sens!$G$6930/Sens!$G$6908</f>
        <v>0.488270041527512</v>
      </c>
      <c r="H6931" s="13" t="n">
        <f aca="false">Sens!$H$6930/Sens!$H$6908</f>
        <v>0.435229086816882</v>
      </c>
      <c r="I6931" s="13" t="n">
        <f aca="false">Sens!$I$6930/Sens!$I$6908</f>
        <v>0.364954592421095</v>
      </c>
      <c r="J6931" s="13" t="n">
        <f aca="false">Sens!$J$6930/Sens!$J$6908</f>
        <v>0.330438308582232</v>
      </c>
      <c r="K6931" s="13" t="n">
        <f aca="false">Sens!$K$6930/Sens!$K$6908</f>
        <v>0.2916589289528</v>
      </c>
      <c r="L6931" s="13" t="n">
        <f aca="false">Sens!$L$6930/Sens!$L$6908</f>
        <v>0.268199200593258</v>
      </c>
      <c r="M6931" s="13" t="n">
        <f aca="false">Sens!$M$6930/Sens!$M$6908</f>
        <v>0.244854995033574</v>
      </c>
      <c r="N6931" s="13" t="n">
        <f aca="false">Sens!$N$6930/Sens!$N$6908</f>
        <v>0.551227795793364</v>
      </c>
      <c r="O6931" s="13" t="n">
        <f aca="false">Sens!$O$6930/Sens!$O$6908</f>
        <v>0.656132068597002</v>
      </c>
    </row>
    <row r="6932" customFormat="false" ht="17.15" hidden="false" customHeight="false" outlineLevel="0" collapsed="false">
      <c r="A6932" s="5" t="s">
        <v>645</v>
      </c>
      <c r="B6932" s="0" t="s">
        <v>86</v>
      </c>
      <c r="C6932" s="39" t="n">
        <v>0</v>
      </c>
      <c r="D6932" s="39" t="n">
        <v>0</v>
      </c>
      <c r="E6932" s="39" t="n">
        <v>0</v>
      </c>
      <c r="F6932" s="38" t="n">
        <f aca="false">IF(internal_ai_reading=2,1,0)*(1-ext_sh)/ext_sh*(mw_open*he_open+Sens!$F$6906*Sens!$F$6903)*Sens!$F$6892/1000</f>
        <v>3.77122048175818</v>
      </c>
      <c r="G6932" s="38" t="n">
        <f aca="false">Sens!$E$6932+Sens!$F$6932</f>
        <v>3.77122048175818</v>
      </c>
      <c r="H6932" s="38" t="n">
        <f aca="false">IF(internal_ai_reading=2,1,0)*(1-ext_sh)/ext_sh*(mw_open*he_open+Sens!$H$6906*Sens!$H$6903)*Sens!$H$6892/1000</f>
        <v>15.1635543609893</v>
      </c>
      <c r="I6932" s="38" t="n">
        <f aca="false">IF(internal_ai_reading=2,1,0)*(1-ext_sh)/ext_sh*(mw_open*he_open+Sens!$I$6906*Sens!$I$6903)*Sens!$I$6892/1000</f>
        <v>25.5818843619889</v>
      </c>
      <c r="J6932" s="38" t="n">
        <f aca="false">IF(internal_ai_reading=2,1,0)*(1-ext_sh)/ext_sh*(mw_open*he_open+Sens!$J$6906*Sens!$J$6903)*Sens!$J$6892/1000</f>
        <v>36.0465624179122</v>
      </c>
      <c r="K6932" s="38" t="n">
        <f aca="false">IF(internal_ai_reading=2,1,0)*(1-ext_sh)/ext_sh*(mw_open*he_open+Sens!$K$6906*Sens!$K$6903)*Sens!$K$6892/1000</f>
        <v>44.9741164026038</v>
      </c>
      <c r="L6932" s="38" t="n">
        <f aca="false">IF(internal_ai_reading=2,1,0)*(1-ext_sh)/ext_sh*(mw_open*he_open+Sens!$L$6906*Sens!$L$6903)*Sens!$L$6892/1000</f>
        <v>50.8413488057813</v>
      </c>
      <c r="M6932" s="38" t="n">
        <f aca="false">IF(internal_ai_reading=2,1,0)*(1-ext_sh)/ext_sh*(mw_open*he_open+Sens!$M$6906*Sens!$M$6903)*Sens!$M$6892/1000</f>
        <v>53.6407214274315</v>
      </c>
      <c r="N6932" s="39" t="n">
        <v>0</v>
      </c>
      <c r="O6932" s="39" t="n">
        <v>0</v>
      </c>
      <c r="P6932" s="8" t="s">
        <v>646</v>
      </c>
    </row>
    <row r="6933" customFormat="false" ht="17.15" hidden="false" customHeight="false" outlineLevel="0" collapsed="false">
      <c r="A6933" s="5" t="s">
        <v>647</v>
      </c>
      <c r="B6933" s="0" t="s">
        <v>86</v>
      </c>
      <c r="C6933" s="38" t="n">
        <f aca="false">(1-ext_sh)*(Sens!$C$6910+Sens!$C$6926)</f>
        <v>0.169206631859174</v>
      </c>
      <c r="D6933" s="38" t="n">
        <f aca="false">(1-ext_sh)*(Sens!$D$6910+Sens!$D$6926)</f>
        <v>0.828129837730442</v>
      </c>
      <c r="E6933" s="38" t="n">
        <f aca="false">(1-ext_sh)*(Sens!$E$6910+Sens!$E$6926)</f>
        <v>1.33171670102377</v>
      </c>
      <c r="F6933" s="38" t="n">
        <f aca="false">(1-ext_sh)*(Sens!$F$6910+Sens!$F$6926)</f>
        <v>1.67134326207455</v>
      </c>
      <c r="G6933" s="38" t="n">
        <f aca="false">(1-ext_sh)*(Sens!$G$6910+Sens!$G$6926)</f>
        <v>3.00305996309832</v>
      </c>
      <c r="H6933" s="38" t="n">
        <f aca="false">(1-ext_sh)*(Sens!$H$6910+Sens!$H$6926)</f>
        <v>8.49498626530648</v>
      </c>
      <c r="I6933" s="38" t="n">
        <f aca="false">(1-ext_sh)*(Sens!$I$6910+Sens!$I$6926)</f>
        <v>16.1148644972155</v>
      </c>
      <c r="J6933" s="38" t="n">
        <f aca="false">(1-ext_sh)*(Sens!$J$6910+Sens!$J$6926)</f>
        <v>23.9410833819812</v>
      </c>
      <c r="K6933" s="38" t="n">
        <f aca="false">(1-ext_sh)*(Sens!$K$6910+Sens!$K$6926)</f>
        <v>31.6005331796453</v>
      </c>
      <c r="L6933" s="38" t="n">
        <f aca="false">(1-ext_sh)*(Sens!$L$6910+Sens!$L$6926)</f>
        <v>36.9061965404496</v>
      </c>
      <c r="M6933" s="38" t="n">
        <f aca="false">(1-ext_sh)*(Sens!$M$6910+Sens!$M$6926)</f>
        <v>40.1804051073808</v>
      </c>
      <c r="N6933" s="38" t="n">
        <f aca="false">(1-ext_sh)*(Sens!$N$6910+Sens!$N$6926)</f>
        <v>0.34177588266428</v>
      </c>
      <c r="O6933" s="38" t="n">
        <f aca="false">(1-ext_sh)*(Sens!$O$6910+Sens!$O$6926)</f>
        <v>0.486353955066162</v>
      </c>
    </row>
    <row r="6934" customFormat="false" ht="17.15" hidden="false" customHeight="false" outlineLevel="0" collapsed="false">
      <c r="A6934" s="0" t="s">
        <v>648</v>
      </c>
      <c r="B6934" s="0" t="s">
        <v>86</v>
      </c>
      <c r="C6934" s="38" t="n">
        <f aca="false">Q!$D$24</f>
        <v>39.834</v>
      </c>
      <c r="D6934" s="38" t="n">
        <f aca="false">Q!$E$24</f>
        <v>45.606</v>
      </c>
      <c r="E6934" s="38" t="n">
        <f aca="false">Q!$P$24</f>
        <v>30.782</v>
      </c>
      <c r="N6934" s="38" t="n">
        <f aca="false">Q!$N$24</f>
        <v>21.707</v>
      </c>
      <c r="O6934" s="38" t="n">
        <f aca="false">Q!$O$24</f>
        <v>23.899</v>
      </c>
    </row>
    <row r="6935" customFormat="false" ht="17.15" hidden="false" customHeight="false" outlineLevel="0" collapsed="false">
      <c r="A6935" s="0" t="s">
        <v>649</v>
      </c>
      <c r="B6935" s="0" t="s">
        <v>86</v>
      </c>
      <c r="C6935" s="38" t="n">
        <f aca="false">Sens!$C$6934-Sens!$C$6930</f>
        <v>38.1898211704631</v>
      </c>
      <c r="D6935" s="38" t="n">
        <f aca="false">Sens!$D$6934-Sens!$D$6930</f>
        <v>40.2147492622706</v>
      </c>
      <c r="E6935" s="38" t="n">
        <f aca="false">Sens!$E$6934-Sens!$E$6930</f>
        <v>27.5985138285251</v>
      </c>
      <c r="F6935" s="38" t="n">
        <f aca="false">Sens!$F$6912*Sens!$F$6936</f>
        <v>25.5484769754606</v>
      </c>
      <c r="G6935" s="38" t="n">
        <f aca="false">Sens!$E$6935+Sens!$F$6935</f>
        <v>53.1469908039857</v>
      </c>
      <c r="H6935" s="38" t="n">
        <f aca="false">Sens!$H$6912*Sens!$H$6936</f>
        <v>57.3189525076539</v>
      </c>
      <c r="I6935" s="38" t="n">
        <f aca="false">Sens!$I$6912*Sens!$I$6936</f>
        <v>63.6385627021087</v>
      </c>
      <c r="J6935" s="38" t="n">
        <f aca="false">Sens!$J$6912*Sens!$J$6936</f>
        <v>69.6922896066105</v>
      </c>
      <c r="K6935" s="38" t="n">
        <f aca="false">Sens!$K$6912*Sens!$K$6936</f>
        <v>75.2676727751394</v>
      </c>
      <c r="L6935" s="38" t="n">
        <f aca="false">Sens!$L$6912*Sens!$L$6936</f>
        <v>81.2890865971505</v>
      </c>
      <c r="M6935" s="38" t="n">
        <f aca="false">Sens!$M$6912*Sens!$M$6936</f>
        <v>87.7922135249226</v>
      </c>
      <c r="N6935" s="38" t="n">
        <f aca="false">Sens!$N$6934-Sens!$N$6930</f>
        <v>20.0277839996292</v>
      </c>
      <c r="O6935" s="38" t="n">
        <f aca="false">Sens!$O$6934-Sens!$O$6930</f>
        <v>20.1869652626414</v>
      </c>
      <c r="P6935" s="5" t="s">
        <v>650</v>
      </c>
    </row>
    <row r="6936" customFormat="false" ht="17.15" hidden="false" customHeight="false" outlineLevel="0" collapsed="false">
      <c r="A6936" s="0" t="s">
        <v>651</v>
      </c>
      <c r="B6936" s="0" t="s">
        <v>52</v>
      </c>
      <c r="C6936" s="13" t="n">
        <f aca="false">Sens!$C$6935/Sens!$C$6912</f>
        <v>0.362900395443635</v>
      </c>
      <c r="D6936" s="13" t="n">
        <f aca="false">Sens!$D$6935/Sens!$D$6912</f>
        <v>0.335063632425483</v>
      </c>
      <c r="E6936" s="13" t="n">
        <f aca="false">Sens!$E$6935/Sens!$E$6912</f>
        <v>0.387028992698038</v>
      </c>
      <c r="F6936" s="13" t="n">
        <f aca="false">(Sens!$O$6935+Sens!$E$6935)/(Sens!$O$6912+Sens!$E$6912)</f>
        <v>0.355980580118587</v>
      </c>
      <c r="G6936" s="13" t="n">
        <f aca="false">Sens!$G$6935/Sens!$G$6912</f>
        <v>0.371454804780916</v>
      </c>
      <c r="H6936" s="13" t="n">
        <f aca="false">Sens!$F$6936</f>
        <v>0.355980580118587</v>
      </c>
      <c r="I6936" s="13" t="n">
        <f aca="false">Sens!$F$6936</f>
        <v>0.355980580118587</v>
      </c>
      <c r="J6936" s="13" t="n">
        <f aca="false">Sens!$F$6936</f>
        <v>0.355980580118587</v>
      </c>
      <c r="K6936" s="13" t="n">
        <f aca="false">Sens!$F$6936</f>
        <v>0.355980580118587</v>
      </c>
      <c r="L6936" s="13" t="n">
        <f aca="false">Sens!$F$6936</f>
        <v>0.355980580118587</v>
      </c>
      <c r="M6936" s="13" t="n">
        <f aca="false">Sens!$F$6936</f>
        <v>0.355980580118587</v>
      </c>
      <c r="N6936" s="13" t="n">
        <f aca="false">Sens!$N$6935/Sens!$N$6912</f>
        <v>0.35078810535806</v>
      </c>
      <c r="O6936" s="13" t="n">
        <f aca="false">Sens!$O$6935/Sens!$O$6912</f>
        <v>0.320796939361619</v>
      </c>
      <c r="P6936" s="8" t="s">
        <v>652</v>
      </c>
    </row>
    <row r="6937" customFormat="false" ht="17.15" hidden="false" customHeight="false" outlineLevel="0" collapsed="false">
      <c r="A6937" s="0" t="s">
        <v>653</v>
      </c>
      <c r="B6937" s="0" t="s">
        <v>52</v>
      </c>
      <c r="D6937" s="13" t="n">
        <f aca="false">(Q!$E$31-ext_sh*Sens!$D$6926)/Sens!$D$6912</f>
        <v>0.167180325480118</v>
      </c>
    </row>
    <row r="6938" customFormat="false" ht="17.15" hidden="false" customHeight="false" outlineLevel="0" collapsed="false">
      <c r="A6938" s="0" t="s">
        <v>654</v>
      </c>
      <c r="B6938" s="0" t="s">
        <v>86</v>
      </c>
      <c r="C6938" s="38" t="n">
        <f aca="false">Q!$D$31</f>
        <v>13.32</v>
      </c>
      <c r="D6938" s="38" t="n">
        <f aca="false">Q!$E$31</f>
        <v>21.45</v>
      </c>
      <c r="E6938" s="38" t="n">
        <f aca="false">Q!$P$31</f>
        <v>15.353</v>
      </c>
      <c r="F6938" s="38" t="n">
        <f aca="false">ext_sh*Sens!$F$6926+Sens!$D$6937*Sens!$F$6912</f>
        <v>15.4404120185306</v>
      </c>
      <c r="G6938" s="38" t="n">
        <f aca="false">Sens!$E$6938+Sens!$F$6938</f>
        <v>30.7934120185306</v>
      </c>
      <c r="H6938" s="38" t="n">
        <f aca="false">ext_sh*Sens!$H$6926+Sens!$D$6937*Sens!$H$6912</f>
        <v>48.250114371455</v>
      </c>
      <c r="I6938" s="38" t="n">
        <f aca="false">ext_sh*Sens!$I$6926+Sens!$D$6937*Sens!$I$6912</f>
        <v>73.3965146995963</v>
      </c>
      <c r="J6938" s="38" t="n">
        <f aca="false">ext_sh*Sens!$J$6926+Sens!$D$6937*Sens!$J$6912</f>
        <v>99.22806138309</v>
      </c>
      <c r="K6938" s="38" t="n">
        <f aca="false">ext_sh*Sens!$K$6926+Sens!$D$6937*Sens!$K$6912</f>
        <v>125.386627452856</v>
      </c>
      <c r="L6938" s="38" t="n">
        <f aca="false">ext_sh*Sens!$L$6926+Sens!$D$6937*Sens!$L$6912</f>
        <v>144.77239043275</v>
      </c>
      <c r="M6938" s="38" t="n">
        <f aca="false">ext_sh*Sens!$M$6926+Sens!$D$6937*Sens!$M$6912</f>
        <v>158.693930910983</v>
      </c>
      <c r="N6938" s="38" t="n">
        <f aca="false">Q!$N$31</f>
        <v>9.234</v>
      </c>
      <c r="O6938" s="38" t="n">
        <f aca="false">Q!$O$31</f>
        <v>12.216</v>
      </c>
    </row>
    <row r="6939" customFormat="false" ht="17.15" hidden="false" customHeight="false" outlineLevel="0" collapsed="false">
      <c r="A6939" s="1" t="s">
        <v>655</v>
      </c>
    </row>
    <row r="6940" customFormat="false" ht="17.15" hidden="false" customHeight="false" outlineLevel="0" collapsed="false">
      <c r="A6940" s="15" t="s">
        <v>656</v>
      </c>
      <c r="B6940" s="14" t="s">
        <v>52</v>
      </c>
      <c r="C6940" s="14"/>
      <c r="D6940" s="14"/>
      <c r="E6940" s="14"/>
      <c r="F6940" s="14"/>
      <c r="G6940" s="17" t="n">
        <f aca="false">Sens!$G$6930*(1-tax)/(ext_sh*(Sens!$D$6927+Sens!$G$6927)/2)</f>
        <v>0.0966870495301478</v>
      </c>
      <c r="H6940" s="17" t="n">
        <f aca="false">Sens!$H$6930*(1-tax)/(ext_sh*(Sens!$G$6927+Sens!$H$6927)/2)</f>
        <v>0.100492020334136</v>
      </c>
      <c r="I6940" s="17" t="n">
        <f aca="false">Sens!$I$6930*(1-tax)/(ext_sh*(Sens!$H$6927+Sens!$I$6927)/2)</f>
        <v>0.0889392292218236</v>
      </c>
      <c r="J6940" s="17" t="n">
        <f aca="false">Sens!$J$6930*(1-tax)/(ext_sh*(Sens!$I$6927+Sens!$J$6927)/2)</f>
        <v>0.0858364613777012</v>
      </c>
      <c r="K6940" s="17" t="n">
        <f aca="false">Sens!$K$6930*(1-tax)/(ext_sh*(Sens!$J$6927+Sens!$K$6927)/2)</f>
        <v>0.08227162714687</v>
      </c>
      <c r="L6940" s="17" t="n">
        <f aca="false">Sens!$L$6930*(1-tax)/(ext_sh*(Sens!$K$6927+Sens!$L$6927)/2)</f>
        <v>0.0828942732763872</v>
      </c>
      <c r="M6940" s="17" t="n">
        <f aca="false">Sens!$M$6930*(1-tax)/(ext_sh*(Sens!$L$6927+Sens!$M$6927)/2)</f>
        <v>0.0807945482347635</v>
      </c>
      <c r="N6940" s="14"/>
      <c r="O6940" s="14"/>
      <c r="P6940" s="8" t="s">
        <v>657</v>
      </c>
    </row>
    <row r="6941" customFormat="false" ht="17.15" hidden="false" customHeight="false" outlineLevel="0" collapsed="false">
      <c r="A6941" s="5" t="s">
        <v>658</v>
      </c>
      <c r="B6941" s="0" t="s">
        <v>57</v>
      </c>
      <c r="H6941" s="36" t="n">
        <f aca="false">Sens!$H$6908*1000/(mw_open*he_open+Sens!$H$6906*Sens!$H$6903)</f>
        <v>0.991949006767191</v>
      </c>
      <c r="I6941" s="36" t="n">
        <f aca="false">Sens!$I$6908*1000/(mw_open*he_open+Sens!$I$6906*Sens!$I$6903)</f>
        <v>0.991949006767191</v>
      </c>
      <c r="J6941" s="36" t="n">
        <f aca="false">Sens!$J$6908*1000/(mw_open*he_open+Sens!$J$6906*Sens!$J$6903)</f>
        <v>0.991949006767191</v>
      </c>
      <c r="K6941" s="36" t="n">
        <f aca="false">Sens!$K$6908*1000/(mw_open*he_open+Sens!$K$6906*Sens!$K$6903)</f>
        <v>0.991949006767191</v>
      </c>
      <c r="L6941" s="36" t="n">
        <f aca="false">Sens!$L$6908*1000/(mw_open*he_open+Sens!$L$6906*Sens!$L$6903)</f>
        <v>0.991949006767191</v>
      </c>
      <c r="M6941" s="36" t="n">
        <f aca="false">Sens!$M$6908*1000/(mw_open*he_open+Sens!$M$6906*Sens!$M$6903)</f>
        <v>0.991949006767191</v>
      </c>
    </row>
    <row r="6942" customFormat="false" ht="17.15" hidden="false" customHeight="false" outlineLevel="0" collapsed="false">
      <c r="A6942" s="5" t="s">
        <v>659</v>
      </c>
      <c r="B6942" s="0" t="s">
        <v>57</v>
      </c>
      <c r="H6942" s="36" t="n">
        <f aca="false">Sens!$H$6941*(Sens!$H$6908+wacc*ext_sh*(Sens!$G$6927+Sens!$H$6927)/2/(1-tax)-Sens!$H$6930)/Sens!$H$6908</f>
        <v>1.04696246089529</v>
      </c>
      <c r="I6942" s="36" t="n">
        <f aca="false">Sens!$I$6941*(Sens!$I$6908+wacc*ext_sh*(Sens!$H$6927+Sens!$I$6927)/2/(1-tax)-Sens!$I$6930)/Sens!$I$6908</f>
        <v>1.09109607940198</v>
      </c>
      <c r="J6942" s="36" t="n">
        <f aca="false">Sens!$J$6941*(Sens!$J$6908+wacc*ext_sh*(Sens!$I$6927+Sens!$J$6927)/2/(1-tax)-Sens!$J$6930)/Sens!$J$6908</f>
        <v>1.09681234280071</v>
      </c>
      <c r="K6942" s="36" t="n">
        <f aca="false">Sens!$K$6941*(Sens!$K$6908+wacc*ext_sh*(Sens!$J$6927+Sens!$K$6927)/2/(1-tax)-Sens!$K$6930)/Sens!$K$6908</f>
        <v>1.10105220068984</v>
      </c>
      <c r="L6942" s="36" t="n">
        <f aca="false">Sens!$L$6941*(Sens!$L$6908+wacc*ext_sh*(Sens!$K$6927+Sens!$L$6927)/2/(1-tax)-Sens!$L$6930)/Sens!$L$6908</f>
        <v>1.08952452639895</v>
      </c>
      <c r="M6942" s="36" t="n">
        <f aca="false">Sens!$M$6941*(Sens!$M$6908+wacc*ext_sh*(Sens!$L$6927+Sens!$M$6927)/2/(1-tax)-Sens!$M$6930)/Sens!$M$6908</f>
        <v>1.08965878549519</v>
      </c>
    </row>
    <row r="6943" customFormat="false" ht="17.15" hidden="false" customHeight="false" outlineLevel="0" collapsed="false">
      <c r="A6943" s="5" t="s">
        <v>660</v>
      </c>
      <c r="B6943" s="0" t="s">
        <v>52</v>
      </c>
      <c r="C6943" s="13" t="n">
        <f aca="false">Sens!$C$6909/tk_pq</f>
        <v>0.195316432429398</v>
      </c>
      <c r="D6943" s="13" t="n">
        <f aca="false">Sens!$D$6909/tk_pq</f>
        <v>0.195316432429398</v>
      </c>
      <c r="E6943" s="13" t="n">
        <f aca="false">Sens!$E$6909/tk_pq</f>
        <v>0.195316432429398</v>
      </c>
      <c r="F6943" s="13" t="n">
        <f aca="false">Sens!$F$6909/tk_pq</f>
        <v>0.202241827274866</v>
      </c>
      <c r="G6943" s="13" t="n">
        <f aca="false">Sens!$G$6909/tk_pq</f>
        <v>0.199675016194063</v>
      </c>
      <c r="H6943" s="13" t="n">
        <f aca="false">Sens!$H$6909/tk_pq</f>
        <v>0.212647947710325</v>
      </c>
      <c r="I6943" s="13" t="n">
        <f aca="false">Sens!$I$6909/tk_pq</f>
        <v>0.219285125475351</v>
      </c>
      <c r="J6943" s="13" t="n">
        <f aca="false">Sens!$J$6909/tk_pq</f>
        <v>0.222492493217189</v>
      </c>
      <c r="K6943" s="13" t="n">
        <f aca="false">Sens!$K$6909/tk_pq</f>
        <v>0.224053502812094</v>
      </c>
      <c r="L6943" s="13" t="n">
        <f aca="false">Sens!$L$6909/tk_pq</f>
        <v>0.224786916785614</v>
      </c>
      <c r="M6943" s="13" t="n">
        <f aca="false">Sens!$M$6909/tk_pq</f>
        <v>0.225048671566937</v>
      </c>
      <c r="N6943" s="13" t="n">
        <f aca="false">Sens!$N$6909/tk_pq</f>
        <v>0.195316432429398</v>
      </c>
      <c r="O6943" s="13" t="n">
        <f aca="false">Sens!$O$6909/tk_pq</f>
        <v>0.195316432429398</v>
      </c>
      <c r="P6943" s="5" t="s">
        <v>661</v>
      </c>
    </row>
    <row r="6946" customFormat="false" ht="17.15" hidden="false" customHeight="false" outlineLevel="0" collapsed="false">
      <c r="A6946" s="1" t="s">
        <v>690</v>
      </c>
    </row>
    <row r="6947" customFormat="false" ht="17.15" hidden="false" customHeight="false" outlineLevel="0" collapsed="false">
      <c r="A6947" s="0" t="s">
        <v>691</v>
      </c>
      <c r="B6947" s="0" t="s">
        <v>86</v>
      </c>
      <c r="C6947" s="38" t="n">
        <f aca="false">Sens!$C$6908</f>
        <v>2.32100535697364</v>
      </c>
      <c r="D6947" s="38" t="n">
        <f aca="false">Sens!$D$6908</f>
        <v>8.70377008865116</v>
      </c>
      <c r="E6947" s="38" t="n">
        <f aca="false">Sens!$E$6908</f>
        <v>8.51035297557002</v>
      </c>
      <c r="F6947" s="38" t="n">
        <f aca="false">Sens!$F$6908</f>
        <v>14.9634336447205</v>
      </c>
      <c r="G6947" s="38" t="n">
        <f aca="false">Sens!$G$6908</f>
        <v>23.4737866202905</v>
      </c>
      <c r="H6947" s="38" t="n">
        <f aca="false">Sens!$H$6908</f>
        <v>60.1658907497746</v>
      </c>
      <c r="I6947" s="38" t="n">
        <f aca="false">Sens!$I$6908</f>
        <v>101.503699136432</v>
      </c>
      <c r="J6947" s="38" t="n">
        <f aca="false">Sens!$J$6908</f>
        <v>143.025407151278</v>
      </c>
      <c r="K6947" s="38" t="n">
        <f aca="false">Sens!$K$6908</f>
        <v>178.44812038318</v>
      </c>
      <c r="L6947" s="38" t="n">
        <f aca="false">Sens!$L$6908</f>
        <v>201.728101802396</v>
      </c>
      <c r="M6947" s="38" t="n">
        <f aca="false">Sens!$M$6908</f>
        <v>212.835441368865</v>
      </c>
      <c r="N6947" s="38" t="n">
        <f aca="false">Sens!$N$6908</f>
        <v>3.04631953102791</v>
      </c>
      <c r="O6947" s="38" t="n">
        <f aca="false">Sens!$O$6908</f>
        <v>5.65745055762326</v>
      </c>
      <c r="P6947" s="8" t="s">
        <v>692</v>
      </c>
    </row>
    <row r="6948" customFormat="false" ht="17.15" hidden="false" customHeight="false" outlineLevel="0" collapsed="false">
      <c r="A6948" s="0" t="s">
        <v>693</v>
      </c>
      <c r="B6948" s="0" t="s">
        <v>86</v>
      </c>
      <c r="C6948" s="38" t="n">
        <f aca="false">Sens!$C$6912</f>
        <v>105.234994643026</v>
      </c>
      <c r="D6948" s="38" t="n">
        <f aca="false">Sens!$D$6912</f>
        <v>120.021229911349</v>
      </c>
      <c r="E6948" s="38" t="n">
        <f aca="false">Sens!$E$6912</f>
        <v>71.30864702443</v>
      </c>
      <c r="F6948" s="38" t="n">
        <f aca="false">Sens!$F$6912</f>
        <v>71.7692997942464</v>
      </c>
      <c r="G6948" s="38" t="n">
        <f aca="false">Sens!$G$6912</f>
        <v>143.077946818676</v>
      </c>
      <c r="H6948" s="38" t="n">
        <f aca="false">Sens!$H$6912</f>
        <v>161.017077079203</v>
      </c>
      <c r="I6948" s="38" t="n">
        <f aca="false">Sens!$I$6912</f>
        <v>178.769759521457</v>
      </c>
      <c r="J6948" s="38" t="n">
        <f aca="false">Sens!$J$6912</f>
        <v>195.775538045907</v>
      </c>
      <c r="K6948" s="38" t="n">
        <f aca="false">Sens!$K$6912</f>
        <v>211.43758108958</v>
      </c>
      <c r="L6948" s="38" t="n">
        <f aca="false">Sens!$L$6912</f>
        <v>228.352587576746</v>
      </c>
      <c r="M6948" s="38" t="n">
        <f aca="false">Sens!$M$6912</f>
        <v>246.620794582886</v>
      </c>
      <c r="N6948" s="38" t="n">
        <f aca="false">Sens!$N$6912</f>
        <v>57.0936804689721</v>
      </c>
      <c r="O6948" s="38" t="n">
        <f aca="false">Sens!$O$6912</f>
        <v>62.9275494423768</v>
      </c>
      <c r="P6948" s="8" t="s">
        <v>692</v>
      </c>
    </row>
    <row r="6949" customFormat="false" ht="17.15" hidden="false" customHeight="false" outlineLevel="0" collapsed="false">
      <c r="A6949" s="1" t="s">
        <v>516</v>
      </c>
      <c r="B6949" s="8" t="s">
        <v>86</v>
      </c>
      <c r="C6949" s="38" t="n">
        <f aca="false">Q!$D$7</f>
        <v>107.556</v>
      </c>
      <c r="D6949" s="38" t="n">
        <f aca="false">Q!$E$7</f>
        <v>128.725</v>
      </c>
      <c r="E6949" s="38" t="n">
        <f aca="false">Q!$P$7</f>
        <v>79.819</v>
      </c>
      <c r="F6949" s="38" t="n">
        <f aca="false">Sens!$F$6947+Sens!$F$6948</f>
        <v>86.7327334389669</v>
      </c>
      <c r="G6949" s="38" t="n">
        <f aca="false">Sens!$G$6947+Sens!$G$6948</f>
        <v>166.551733438967</v>
      </c>
      <c r="H6949" s="38" t="n">
        <f aca="false">Sens!$H$6947+Sens!$H$6948</f>
        <v>221.182967828978</v>
      </c>
      <c r="I6949" s="38" t="n">
        <f aca="false">Sens!$I$6947+Sens!$I$6948</f>
        <v>280.27345865789</v>
      </c>
      <c r="J6949" s="38" t="n">
        <f aca="false">Sens!$J$6947+Sens!$J$6948</f>
        <v>338.800945197185</v>
      </c>
      <c r="K6949" s="38" t="n">
        <f aca="false">Sens!$K$6947+Sens!$K$6948</f>
        <v>389.88570147276</v>
      </c>
      <c r="L6949" s="38" t="n">
        <f aca="false">Sens!$L$6947+Sens!$L$6948</f>
        <v>430.080689379143</v>
      </c>
      <c r="M6949" s="38" t="n">
        <f aca="false">Sens!$M$6947+Sens!$M$6948</f>
        <v>459.456235951751</v>
      </c>
      <c r="N6949" s="38" t="n">
        <f aca="false">Q!$N$7</f>
        <v>60.14</v>
      </c>
      <c r="O6949" s="38" t="n">
        <f aca="false">Q!$O$7</f>
        <v>68.585</v>
      </c>
      <c r="P6949" s="5" t="s">
        <v>694</v>
      </c>
    </row>
    <row r="6950" customFormat="false" ht="15" hidden="false" customHeight="false" outlineLevel="0" collapsed="false">
      <c r="A6950" s="3" t="s">
        <v>695</v>
      </c>
      <c r="B6950" s="8" t="s">
        <v>86</v>
      </c>
      <c r="C6950" s="38" t="n">
        <f aca="false">Q!$D$8</f>
        <v>637.959</v>
      </c>
      <c r="D6950" s="38" t="n">
        <f aca="false">Q!$E$8</f>
        <v>716.924</v>
      </c>
      <c r="E6950" s="38" t="n">
        <f aca="false">Q!$P$8</f>
        <v>382.125</v>
      </c>
      <c r="F6950" s="38" t="n">
        <f aca="false">Sens!$F$6880+Sens!$F$6949</f>
        <v>435.780975084504</v>
      </c>
      <c r="G6950" s="38" t="n">
        <f aca="false">Sens!$G$6880+Sens!$G$6949</f>
        <v>817.905975084504</v>
      </c>
      <c r="H6950" s="38" t="n">
        <f aca="false">Sens!$H$6880+Sens!$H$6949</f>
        <v>942.279857350364</v>
      </c>
      <c r="I6950" s="38" t="n">
        <f aca="false">Sens!$I$6880+Sens!$I$6949</f>
        <v>1068.80284981042</v>
      </c>
      <c r="J6950" s="38" t="n">
        <f aca="false">Sens!$J$6880+Sens!$J$6949</f>
        <v>1189.90935093863</v>
      </c>
      <c r="K6950" s="38" t="n">
        <f aca="false">Sens!$K$6880+Sens!$K$6949</f>
        <v>1296.06215690385</v>
      </c>
      <c r="L6950" s="38" t="n">
        <f aca="false">Sens!$L$6880+Sens!$L$6949</f>
        <v>1395.17379585473</v>
      </c>
      <c r="M6950" s="38" t="n">
        <f aca="false">Sens!$M$6880+Sens!$M$6949</f>
        <v>1487.60414389864</v>
      </c>
      <c r="N6950" s="38" t="n">
        <f aca="false">Q!$N$8</f>
        <v>323.369</v>
      </c>
      <c r="O6950" s="38" t="n">
        <f aca="false">Q!$O$8</f>
        <v>393.555</v>
      </c>
    </row>
    <row r="6951" customFormat="false" ht="17.15" hidden="false" customHeight="false" outlineLevel="0" collapsed="false">
      <c r="A6951" s="24" t="s">
        <v>703</v>
      </c>
      <c r="B6951" s="25" t="s">
        <v>86</v>
      </c>
      <c r="C6951" s="41" t="n">
        <f aca="false">Sens!$C$6880-(Sens!$C$6882+Sens!$C$6883)</f>
        <v>0</v>
      </c>
      <c r="D6951" s="41" t="n">
        <f aca="false">Sens!$D$6880-(Sens!$D$6882+Sens!$D$6883)</f>
        <v>0</v>
      </c>
      <c r="E6951" s="41" t="n">
        <f aca="false">Sens!$E$6880-(Sens!$E$6882+Sens!$E$6883)</f>
        <v>0</v>
      </c>
      <c r="F6951" s="41" t="n">
        <f aca="false">Sens!$F$6880-(Sens!$F$6882+Sens!$F$6883)</f>
        <v>0</v>
      </c>
      <c r="G6951" s="41" t="n">
        <f aca="false">Sens!$G$6880-(Sens!$G$6882+Sens!$G$6883)</f>
        <v>0</v>
      </c>
      <c r="H6951" s="41" t="n">
        <f aca="false">Sens!$H$6880-(Sens!$H$6882+Sens!$H$6883)</f>
        <v>0</v>
      </c>
      <c r="I6951" s="41" t="n">
        <f aca="false">Sens!$I$6880-(Sens!$I$6882+Sens!$I$6883)</f>
        <v>0</v>
      </c>
      <c r="J6951" s="41" t="n">
        <f aca="false">Sens!$J$6880-(Sens!$J$6882+Sens!$J$6883)</f>
        <v>0</v>
      </c>
      <c r="K6951" s="41" t="n">
        <f aca="false">Sens!$K$6880-(Sens!$K$6882+Sens!$K$6883)</f>
        <v>0</v>
      </c>
      <c r="L6951" s="41" t="n">
        <f aca="false">Sens!$L$6880-(Sens!$L$6882+Sens!$L$6883)</f>
        <v>0</v>
      </c>
      <c r="M6951" s="41" t="n">
        <f aca="false">Sens!$M$6880-(Sens!$M$6882+Sens!$M$6883)</f>
        <v>0</v>
      </c>
      <c r="N6951" s="41" t="n">
        <f aca="false">Sens!$N$6880-(Sens!$N$6882+Sens!$N$6883)</f>
        <v>0</v>
      </c>
      <c r="O6951" s="41" t="n">
        <f aca="false">Sens!$O$6880-(Sens!$O$6882+Sens!$O$6883)</f>
        <v>0</v>
      </c>
    </row>
    <row r="6952" customFormat="false" ht="17.15" hidden="false" customHeight="false" outlineLevel="0" collapsed="false">
      <c r="A6952" s="24" t="s">
        <v>704</v>
      </c>
      <c r="B6952" s="25" t="s">
        <v>86</v>
      </c>
      <c r="C6952" s="41" t="n">
        <f aca="false">Sens!$C$6947+Sens!$C$6948-Sens!$C$6949</f>
        <v>0</v>
      </c>
      <c r="D6952" s="41" t="n">
        <f aca="false">Sens!$D$6947+Sens!$D$6948-Sens!$D$6949</f>
        <v>0</v>
      </c>
      <c r="E6952" s="41" t="n">
        <f aca="false">Sens!$E$6947+Sens!$E$6948-Sens!$E$6949</f>
        <v>0</v>
      </c>
      <c r="F6952" s="41" t="n">
        <f aca="false">Sens!$F$6947+Sens!$F$6948-Sens!$F$6949</f>
        <v>0</v>
      </c>
      <c r="G6952" s="41" t="n">
        <f aca="false">Sens!$G$6947+Sens!$G$6948-Sens!$G$6949</f>
        <v>0</v>
      </c>
      <c r="H6952" s="41" t="n">
        <f aca="false">Sens!$H$6947+Sens!$H$6948-Sens!$H$6949</f>
        <v>0</v>
      </c>
      <c r="I6952" s="41" t="n">
        <f aca="false">Sens!$I$6947+Sens!$I$6948-Sens!$I$6949</f>
        <v>0</v>
      </c>
      <c r="J6952" s="41" t="n">
        <f aca="false">Sens!$J$6947+Sens!$J$6948-Sens!$J$6949</f>
        <v>0</v>
      </c>
      <c r="K6952" s="41" t="n">
        <f aca="false">Sens!$K$6947+Sens!$K$6948-Sens!$K$6949</f>
        <v>0</v>
      </c>
      <c r="L6952" s="41" t="n">
        <f aca="false">Sens!$L$6947+Sens!$L$6948-Sens!$L$6949</f>
        <v>0</v>
      </c>
      <c r="M6952" s="41" t="n">
        <f aca="false">Sens!$M$6947+Sens!$M$6948-Sens!$M$6949</f>
        <v>0</v>
      </c>
      <c r="N6952" s="41" t="n">
        <f aca="false">Sens!$N$6947+Sens!$N$6948-Sens!$N$6949</f>
        <v>0</v>
      </c>
      <c r="O6952" s="41" t="n">
        <f aca="false">Sens!$O$6947+Sens!$O$6948-Sens!$O$6949</f>
        <v>0</v>
      </c>
    </row>
    <row r="6953" customFormat="false" ht="17.15" hidden="false" customHeight="false" outlineLevel="0" collapsed="false">
      <c r="A6953" s="24" t="s">
        <v>705</v>
      </c>
      <c r="B6953" s="25" t="s">
        <v>86</v>
      </c>
      <c r="C6953" s="41" t="n">
        <f aca="false">Sens!$C$6882+Sens!$C$6883+Sens!$C$6949-Sens!$C$6950</f>
        <v>0</v>
      </c>
      <c r="D6953" s="41" t="n">
        <f aca="false">Sens!$D$6882+Sens!$D$6883+Sens!$D$6949-Sens!$D$6950</f>
        <v>0</v>
      </c>
      <c r="E6953" s="41" t="n">
        <f aca="false">Sens!$E$6882+Sens!$E$6883+Sens!$E$6949-Sens!$E$6950</f>
        <v>0</v>
      </c>
      <c r="F6953" s="41" t="n">
        <f aca="false">Sens!$F$6882+Sens!$F$6883+Sens!$F$6949-Sens!$F$6950</f>
        <v>0</v>
      </c>
      <c r="G6953" s="41" t="n">
        <f aca="false">Sens!$G$6882+Sens!$G$6883+Sens!$G$6949-Sens!$G$6950</f>
        <v>0</v>
      </c>
      <c r="H6953" s="41" t="n">
        <f aca="false">Sens!$H$6882+Sens!$H$6883+Sens!$H$6949-Sens!$H$6950</f>
        <v>0</v>
      </c>
      <c r="I6953" s="41" t="n">
        <f aca="false">Sens!$I$6882+Sens!$I$6883+Sens!$I$6949-Sens!$I$6950</f>
        <v>0</v>
      </c>
      <c r="J6953" s="41" t="n">
        <f aca="false">Sens!$J$6882+Sens!$J$6883+Sens!$J$6949-Sens!$J$6950</f>
        <v>0</v>
      </c>
      <c r="K6953" s="41" t="n">
        <f aca="false">Sens!$K$6882+Sens!$K$6883+Sens!$K$6949-Sens!$K$6950</f>
        <v>0</v>
      </c>
      <c r="L6953" s="41" t="n">
        <f aca="false">Sens!$L$6882+Sens!$L$6883+Sens!$L$6949-Sens!$L$6950</f>
        <v>0</v>
      </c>
      <c r="M6953" s="41" t="n">
        <f aca="false">Sens!$M$6882+Sens!$M$6883+Sens!$M$6949-Sens!$M$6950</f>
        <v>0</v>
      </c>
      <c r="N6953" s="41" t="n">
        <f aca="false">Sens!$N$6882+Sens!$N$6883+Sens!$N$6949-Sens!$N$6950</f>
        <v>0</v>
      </c>
      <c r="O6953" s="41" t="n">
        <f aca="false">Sens!$O$6882+Sens!$O$6883+Sens!$O$6949-Sens!$O$6950</f>
        <v>0</v>
      </c>
    </row>
    <row r="6954" customFormat="false" ht="15" hidden="false" customHeight="false" outlineLevel="0" collapsed="false">
      <c r="A6954" s="5" t="s">
        <v>699</v>
      </c>
      <c r="B6954" s="0" t="s">
        <v>52</v>
      </c>
      <c r="G6954" s="13" t="n">
        <f aca="false">Sens!$G$6950/Sens!$D$6950-1</f>
        <v>0.140854504918937</v>
      </c>
      <c r="H6954" s="13" t="n">
        <f aca="false">Sens!$H$6950/Sens!$G$6950-1</f>
        <v>0.152063789793209</v>
      </c>
      <c r="I6954" s="13" t="n">
        <f aca="false">Sens!$I$6950/Sens!$H$6950-1</f>
        <v>0.134273264437417</v>
      </c>
      <c r="J6954" s="13" t="n">
        <f aca="false">Sens!$J$6950/Sens!$I$6950-1</f>
        <v>0.113310421234083</v>
      </c>
      <c r="K6954" s="13" t="n">
        <f aca="false">Sens!$K$6950/Sens!$J$6950-1</f>
        <v>0.0892108343223652</v>
      </c>
      <c r="L6954" s="13" t="n">
        <f aca="false">Sens!$L$6950/Sens!$K$6950-1</f>
        <v>0.076471362444261</v>
      </c>
      <c r="M6954" s="13" t="n">
        <f aca="false">Sens!$M$6950/Sens!$L$6950-1</f>
        <v>0.066250060256672</v>
      </c>
    </row>
    <row r="6955" customFormat="false" ht="17.15" hidden="false" customHeight="false" outlineLevel="0" collapsed="false">
      <c r="A6955" s="0" t="s">
        <v>700</v>
      </c>
      <c r="B6955" s="0" t="s">
        <v>52</v>
      </c>
      <c r="C6955" s="13" t="n">
        <f aca="false">Sens!$C$6949/Sens!$C$6950</f>
        <v>0.168593906504964</v>
      </c>
      <c r="D6955" s="13" t="n">
        <f aca="false">Sens!$D$6949/Sens!$D$6950</f>
        <v>0.179551807444025</v>
      </c>
      <c r="E6955" s="13" t="n">
        <f aca="false">Sens!$E$6949/Sens!$E$6950</f>
        <v>0.208881910369643</v>
      </c>
      <c r="F6955" s="13" t="n">
        <f aca="false">Sens!$F$6949/Sens!$F$6950</f>
        <v>0.199028269699356</v>
      </c>
      <c r="G6955" s="13" t="n">
        <f aca="false">Sens!$G$6949/Sens!$G$6950</f>
        <v>0.203631882529968</v>
      </c>
      <c r="H6955" s="13" t="n">
        <f aca="false">Sens!$H$6949/Sens!$H$6950</f>
        <v>0.234731715958496</v>
      </c>
      <c r="I6955" s="13" t="n">
        <f aca="false">Sens!$I$6949/Sens!$I$6950</f>
        <v>0.262231204480418</v>
      </c>
      <c r="J6955" s="13" t="n">
        <f aca="false">Sens!$J$6949/Sens!$J$6950</f>
        <v>0.284728366013706</v>
      </c>
      <c r="K6955" s="13" t="n">
        <f aca="false">Sens!$K$6949/Sens!$K$6950</f>
        <v>0.300823304959505</v>
      </c>
      <c r="L6955" s="13" t="n">
        <f aca="false">Sens!$L$6949/Sens!$L$6950</f>
        <v>0.308263164529735</v>
      </c>
      <c r="M6955" s="13" t="n">
        <f aca="false">Sens!$M$6949/Sens!$M$6950</f>
        <v>0.308856517936036</v>
      </c>
      <c r="N6955" s="13" t="n">
        <f aca="false">Sens!$N$6949/Sens!$N$6950</f>
        <v>0.185979484737251</v>
      </c>
      <c r="O6955" s="13" t="n">
        <f aca="false">Sens!$O$6949/Sens!$O$6950</f>
        <v>0.174270432341096</v>
      </c>
    </row>
    <row r="6956" customFormat="false" ht="17.15" hidden="false" customHeight="false" outlineLevel="0" collapsed="false">
      <c r="A6956" s="0" t="s">
        <v>701</v>
      </c>
      <c r="B6956" s="0" t="s">
        <v>52</v>
      </c>
      <c r="C6956" s="13" t="n">
        <f aca="false">Sens!$C$6947/Sens!$C$6949</f>
        <v>0.0215795060896058</v>
      </c>
      <c r="D6956" s="13" t="n">
        <f aca="false">Sens!$D$6947/Sens!$D$6949</f>
        <v>0.0676152269462122</v>
      </c>
      <c r="E6956" s="13" t="n">
        <f aca="false">Sens!$E$6947/Sens!$E$6949</f>
        <v>0.106620641395783</v>
      </c>
      <c r="F6956" s="13" t="n">
        <f aca="false">Sens!$F$6947/Sens!$F$6949</f>
        <v>0.172523487401099</v>
      </c>
      <c r="G6956" s="13" t="n">
        <f aca="false">Sens!$G$6947/Sens!$G$6949</f>
        <v>0.140939911795589</v>
      </c>
      <c r="H6956" s="13" t="n">
        <f aca="false">Sens!$H$6947/Sens!$H$6949</f>
        <v>0.272018642937714</v>
      </c>
      <c r="I6956" s="13" t="n">
        <f aca="false">Sens!$I$6947/Sens!$I$6949</f>
        <v>0.362159512436497</v>
      </c>
      <c r="J6956" s="13" t="n">
        <f aca="false">Sens!$J$6947/Sens!$J$6949</f>
        <v>0.422151735934609</v>
      </c>
      <c r="K6956" s="13" t="n">
        <f aca="false">Sens!$K$6947/Sens!$K$6949</f>
        <v>0.45769342068485</v>
      </c>
      <c r="L6956" s="13" t="n">
        <f aca="false">Sens!$L$6947/Sens!$L$6949</f>
        <v>0.469047103913472</v>
      </c>
      <c r="M6956" s="13" t="n">
        <f aca="false">Sens!$M$6947/Sens!$M$6949</f>
        <v>0.463233328258093</v>
      </c>
      <c r="N6956" s="13" t="n">
        <f aca="false">Sens!$N$6947/Sens!$N$6949</f>
        <v>0.0506537999838362</v>
      </c>
      <c r="O6956" s="13" t="n">
        <f aca="false">Sens!$O$6947/Sens!$O$6949</f>
        <v>0.0824881615167056</v>
      </c>
    </row>
    <row r="6959" customFormat="false" ht="19.4" hidden="false" customHeight="false" outlineLevel="0" collapsed="false">
      <c r="A6959" s="31" t="s">
        <v>1277</v>
      </c>
    </row>
    <row r="6960" customFormat="false" ht="17.15" hidden="false" customHeight="false" outlineLevel="0" collapsed="false">
      <c r="A6960" s="6" t="s">
        <v>16</v>
      </c>
      <c r="B6960" s="6" t="s">
        <v>17</v>
      </c>
      <c r="C6960" s="20" t="s">
        <v>497</v>
      </c>
      <c r="D6960" s="20" t="s">
        <v>498</v>
      </c>
      <c r="E6960" s="20" t="s">
        <v>580</v>
      </c>
      <c r="F6960" s="20" t="s">
        <v>581</v>
      </c>
      <c r="G6960" s="20" t="s">
        <v>582</v>
      </c>
      <c r="H6960" s="20" t="s">
        <v>583</v>
      </c>
      <c r="I6960" s="20" t="s">
        <v>584</v>
      </c>
      <c r="J6960" s="20" t="s">
        <v>585</v>
      </c>
      <c r="K6960" s="20" t="s">
        <v>586</v>
      </c>
      <c r="L6960" s="20" t="s">
        <v>587</v>
      </c>
      <c r="M6960" s="20" t="s">
        <v>588</v>
      </c>
      <c r="N6960" s="20" t="s">
        <v>589</v>
      </c>
      <c r="O6960" s="20" t="s">
        <v>590</v>
      </c>
      <c r="P6960" s="6" t="s">
        <v>23</v>
      </c>
      <c r="R6960" s="20" t="n">
        <v>2023</v>
      </c>
      <c r="S6960" s="20" t="n">
        <v>2024</v>
      </c>
      <c r="T6960" s="20" t="n">
        <v>2025</v>
      </c>
      <c r="U6960" s="20" t="n">
        <v>2026</v>
      </c>
      <c r="V6960" s="20" t="n">
        <v>2027</v>
      </c>
      <c r="W6960" s="20" t="n">
        <v>2028</v>
      </c>
      <c r="X6960" s="20" t="n">
        <v>2029</v>
      </c>
      <c r="Y6960" s="20" t="n">
        <v>2030</v>
      </c>
      <c r="Z6960" s="20" t="n">
        <v>2031</v>
      </c>
      <c r="AA6960" s="20" t="n">
        <v>2032</v>
      </c>
    </row>
    <row r="6961" customFormat="false" ht="17.15" hidden="false" customHeight="false" outlineLevel="0" collapsed="false">
      <c r="A6961" s="1" t="s">
        <v>716</v>
      </c>
    </row>
    <row r="6962" customFormat="false" ht="15" hidden="false" customHeight="false" outlineLevel="0" collapsed="false">
      <c r="A6962" s="0" t="s">
        <v>519</v>
      </c>
      <c r="B6962" s="0" t="s">
        <v>86</v>
      </c>
      <c r="C6962" s="38" t="n">
        <f aca="false">Sens!$C$6867</f>
        <v>247.029</v>
      </c>
      <c r="D6962" s="38" t="n">
        <f aca="false">Sens!$D$6867</f>
        <v>269.287</v>
      </c>
      <c r="E6962" s="38" t="n">
        <f aca="false">Sens!$E$6867</f>
        <v>134.686</v>
      </c>
      <c r="F6962" s="38" t="n">
        <f aca="false">Sens!$F$6867</f>
        <v>158.293876822267</v>
      </c>
      <c r="G6962" s="38" t="n">
        <f aca="false">Sens!$G$6867</f>
        <v>292.979876822267</v>
      </c>
      <c r="H6962" s="38" t="n">
        <f aca="false">Sens!$H$6867</f>
        <v>318.184543087396</v>
      </c>
      <c r="I6962" s="38" t="n">
        <f aca="false">Sens!$I$6867</f>
        <v>341.736278761793</v>
      </c>
      <c r="J6962" s="38" t="n">
        <f aca="false">Sens!$J$6867</f>
        <v>362.927192787048</v>
      </c>
      <c r="K6962" s="38" t="n">
        <f aca="false">Sens!$K$6867</f>
        <v>381.0735524264</v>
      </c>
      <c r="L6962" s="38" t="n">
        <f aca="false">Sens!$L$6867</f>
        <v>400.12723004772</v>
      </c>
      <c r="M6962" s="38" t="n">
        <f aca="false">Sens!$M$6867</f>
        <v>420.133591550106</v>
      </c>
      <c r="N6962" s="38" t="n">
        <f aca="false">Sens!$N$6867</f>
        <v>118.892</v>
      </c>
      <c r="O6962" s="38" t="n">
        <f aca="false">Sens!$O$6867</f>
        <v>150.395</v>
      </c>
    </row>
    <row r="6963" customFormat="false" ht="15" hidden="false" customHeight="false" outlineLevel="0" collapsed="false">
      <c r="A6963" s="0" t="s">
        <v>520</v>
      </c>
      <c r="B6963" s="0" t="s">
        <v>86</v>
      </c>
      <c r="C6963" s="38" t="n">
        <f aca="false">Sens!$C$6869</f>
        <v>21.215</v>
      </c>
      <c r="D6963" s="38" t="n">
        <f aca="false">Sens!$D$6869</f>
        <v>22.561</v>
      </c>
      <c r="E6963" s="38" t="n">
        <f aca="false">Sens!$E$6869</f>
        <v>11.579</v>
      </c>
      <c r="F6963" s="38" t="n">
        <f aca="false">Sens!$F$6869</f>
        <v>11.5938724610325</v>
      </c>
      <c r="G6963" s="38" t="n">
        <f aca="false">Sens!$G$6869</f>
        <v>23.1728724610325</v>
      </c>
      <c r="H6963" s="38" t="n">
        <f aca="false">Sens!$H$6869</f>
        <v>24.353392759506</v>
      </c>
      <c r="I6963" s="38" t="n">
        <f aca="false">Sens!$I$6869</f>
        <v>25.4240338872015</v>
      </c>
      <c r="J6963" s="38" t="n">
        <f aca="false">Sens!$J$6869</f>
        <v>26.3642491017174</v>
      </c>
      <c r="K6963" s="38" t="n">
        <f aca="false">Sens!$K$6869</f>
        <v>27.155176574769</v>
      </c>
      <c r="L6963" s="38" t="n">
        <f aca="false">Sens!$L$6869</f>
        <v>27.969831872012</v>
      </c>
      <c r="M6963" s="38" t="n">
        <f aca="false">Sens!$M$6869</f>
        <v>28.8089268281724</v>
      </c>
      <c r="N6963" s="38" t="n">
        <f aca="false">Sens!$N$6869</f>
        <v>11.128</v>
      </c>
      <c r="O6963" s="38" t="n">
        <f aca="false">Sens!$O$6869</f>
        <v>11.433</v>
      </c>
    </row>
    <row r="6964" customFormat="false" ht="15" hidden="false" customHeight="false" outlineLevel="0" collapsed="false">
      <c r="A6964" s="0" t="s">
        <v>521</v>
      </c>
      <c r="B6964" s="0" t="s">
        <v>86</v>
      </c>
      <c r="C6964" s="38" t="n">
        <f aca="false">Sens!$C$6871</f>
        <v>156.146</v>
      </c>
      <c r="D6964" s="38" t="n">
        <f aca="false">Sens!$D$6871</f>
        <v>172.162</v>
      </c>
      <c r="E6964" s="38" t="n">
        <f aca="false">Sens!$E$6871</f>
        <v>88.358</v>
      </c>
      <c r="F6964" s="38" t="n">
        <f aca="false">Sens!$F$6871</f>
        <v>102.004388260171</v>
      </c>
      <c r="G6964" s="38" t="n">
        <f aca="false">Sens!$G$6871</f>
        <v>190.362388260171</v>
      </c>
      <c r="H6964" s="38" t="n">
        <f aca="false">Sens!$H$6871</f>
        <v>210.343106588311</v>
      </c>
      <c r="I6964" s="38" t="n">
        <f aca="false">Sens!$I$6871</f>
        <v>229.969728494648</v>
      </c>
      <c r="J6964" s="38" t="n">
        <f aca="false">Sens!$J$6871</f>
        <v>248.747636972598</v>
      </c>
      <c r="K6964" s="38" t="n">
        <f aca="false">Sens!$K$6871</f>
        <v>266.15997156068</v>
      </c>
      <c r="L6964" s="38" t="n">
        <f aca="false">Sens!$L$6871</f>
        <v>284.791169569927</v>
      </c>
      <c r="M6964" s="38" t="n">
        <f aca="false">Sens!$M$6871</f>
        <v>304.726551439822</v>
      </c>
      <c r="N6964" s="38" t="n">
        <f aca="false">Sens!$N$6871</f>
        <v>76.86</v>
      </c>
      <c r="O6964" s="38" t="n">
        <f aca="false">Sens!$O$6871</f>
        <v>95.302</v>
      </c>
    </row>
    <row r="6965" customFormat="false" ht="15" hidden="false" customHeight="false" outlineLevel="0" collapsed="false">
      <c r="A6965" s="0" t="s">
        <v>522</v>
      </c>
      <c r="B6965" s="0" t="s">
        <v>86</v>
      </c>
      <c r="C6965" s="38" t="n">
        <f aca="false">Sens!$C$6873</f>
        <v>56.214</v>
      </c>
      <c r="D6965" s="38" t="n">
        <f aca="false">Sens!$D$6873</f>
        <v>68.635</v>
      </c>
      <c r="E6965" s="38" t="n">
        <f aca="false">Sens!$E$6873</f>
        <v>37.052</v>
      </c>
      <c r="F6965" s="38" t="n">
        <f aca="false">Sens!$F$6873</f>
        <v>46.1572219944148</v>
      </c>
      <c r="G6965" s="38" t="n">
        <f aca="false">Sens!$G$6873</f>
        <v>83.2092219944148</v>
      </c>
      <c r="H6965" s="38" t="n">
        <f aca="false">Sens!$H$6873</f>
        <v>99.8969223878976</v>
      </c>
      <c r="I6965" s="38" t="n">
        <f aca="false">Sens!$I$6873</f>
        <v>116.583111095496</v>
      </c>
      <c r="J6965" s="38" t="n">
        <f aca="false">Sens!$J$6873</f>
        <v>132.148941941952</v>
      </c>
      <c r="K6965" s="38" t="n">
        <f aca="false">Sens!$K$6873</f>
        <v>145.363836136147</v>
      </c>
      <c r="L6965" s="38" t="n">
        <f aca="false">Sens!$L$6873</f>
        <v>159.900219749762</v>
      </c>
      <c r="M6965" s="38" t="n">
        <f aca="false">Sens!$M$6873</f>
        <v>175.890241724738</v>
      </c>
      <c r="N6965" s="38" t="n">
        <f aca="false">Sens!$N$6873</f>
        <v>29.615</v>
      </c>
      <c r="O6965" s="38" t="n">
        <f aca="false">Sens!$O$6873</f>
        <v>39.02</v>
      </c>
    </row>
    <row r="6966" customFormat="false" ht="15" hidden="false" customHeight="false" outlineLevel="0" collapsed="false">
      <c r="A6966" s="0" t="s">
        <v>523</v>
      </c>
      <c r="B6966" s="0" t="s">
        <v>86</v>
      </c>
      <c r="C6966" s="38" t="n">
        <f aca="false">Sens!$C$6875</f>
        <v>44.374</v>
      </c>
      <c r="D6966" s="38" t="n">
        <f aca="false">Sens!$D$6875</f>
        <v>49.619</v>
      </c>
      <c r="E6966" s="38" t="n">
        <f aca="false">Sens!$E$6875</f>
        <v>27.157</v>
      </c>
      <c r="F6966" s="38" t="n">
        <f aca="false">Sens!$F$6875</f>
        <v>27.7764165988154</v>
      </c>
      <c r="G6966" s="38" t="n">
        <f aca="false">Sens!$G$6875</f>
        <v>54.9334165988154</v>
      </c>
      <c r="H6966" s="38" t="n">
        <f aca="false">Sens!$H$6875</f>
        <v>61.1564112561829</v>
      </c>
      <c r="I6966" s="38" t="n">
        <f aca="false">Sens!$I$6875</f>
        <v>67.2020282103945</v>
      </c>
      <c r="J6966" s="38" t="n">
        <f aca="false">Sens!$J$6875</f>
        <v>72.8757274028885</v>
      </c>
      <c r="K6966" s="38" t="n">
        <f aca="false">Sens!$K$6875</f>
        <v>77.9770283210907</v>
      </c>
      <c r="L6966" s="38" t="n">
        <f aca="false">Sens!$L$6875</f>
        <v>83.4354203035671</v>
      </c>
      <c r="M6966" s="38" t="n">
        <f aca="false">Sens!$M$6875</f>
        <v>89.2758997248168</v>
      </c>
      <c r="N6966" s="38" t="n">
        <f aca="false">Sens!$N$6875</f>
        <v>23.923</v>
      </c>
      <c r="O6966" s="38" t="n">
        <f aca="false">Sens!$O$6875</f>
        <v>25.696</v>
      </c>
    </row>
    <row r="6967" customFormat="false" ht="15" hidden="false" customHeight="false" outlineLevel="0" collapsed="false">
      <c r="A6967" s="0" t="s">
        <v>524</v>
      </c>
      <c r="B6967" s="0" t="s">
        <v>86</v>
      </c>
      <c r="C6967" s="38" t="n">
        <f aca="false">Sens!$C$6877</f>
        <v>5.425</v>
      </c>
      <c r="D6967" s="38" t="n">
        <f aca="false">Sens!$D$6877</f>
        <v>5.935</v>
      </c>
      <c r="E6967" s="38" t="n">
        <f aca="false">Sens!$E$6877</f>
        <v>3.474</v>
      </c>
      <c r="F6967" s="38" t="n">
        <f aca="false">Sens!$F$6877</f>
        <v>3.22246550883619</v>
      </c>
      <c r="G6967" s="38" t="n">
        <f aca="false">Sens!$G$6877</f>
        <v>6.69646550883619</v>
      </c>
      <c r="H6967" s="38" t="n">
        <f aca="false">Sens!$H$6877</f>
        <v>7.16251344209196</v>
      </c>
      <c r="I6967" s="38" t="n">
        <f aca="false">Sens!$I$6877</f>
        <v>7.61421070299826</v>
      </c>
      <c r="J6967" s="38" t="n">
        <f aca="false">Sens!$J$6877</f>
        <v>8.04465753523932</v>
      </c>
      <c r="K6967" s="38" t="n">
        <f aca="false">Sens!$K$6877</f>
        <v>8.44689041200128</v>
      </c>
      <c r="L6967" s="38" t="n">
        <f aca="false">Sens!$L$6877</f>
        <v>8.86923493260135</v>
      </c>
      <c r="M6967" s="38" t="n">
        <f aca="false">Sens!$M$6877</f>
        <v>9.31269667923142</v>
      </c>
      <c r="N6967" s="38" t="n">
        <f aca="false">Sens!$N$6877</f>
        <v>2.811</v>
      </c>
      <c r="O6967" s="38" t="n">
        <f aca="false">Sens!$O$6877</f>
        <v>3.124</v>
      </c>
    </row>
    <row r="6968" customFormat="false" ht="17.15" hidden="false" customHeight="false" outlineLevel="0" collapsed="false">
      <c r="A6968" s="0" t="s">
        <v>717</v>
      </c>
      <c r="B6968" s="0" t="s">
        <v>86</v>
      </c>
      <c r="C6968" s="38" t="n">
        <f aca="false">Sens!$C$6949</f>
        <v>107.556</v>
      </c>
      <c r="D6968" s="38" t="n">
        <f aca="false">Sens!$D$6949</f>
        <v>128.725</v>
      </c>
      <c r="E6968" s="38" t="n">
        <f aca="false">Sens!$E$6949</f>
        <v>79.819</v>
      </c>
      <c r="F6968" s="38" t="n">
        <f aca="false">Sens!$F$6949</f>
        <v>86.7327334389669</v>
      </c>
      <c r="G6968" s="38" t="n">
        <f aca="false">Sens!$G$6949</f>
        <v>166.551733438967</v>
      </c>
      <c r="H6968" s="38" t="n">
        <f aca="false">Sens!$H$6949</f>
        <v>221.182967828978</v>
      </c>
      <c r="I6968" s="38" t="n">
        <f aca="false">Sens!$I$6949</f>
        <v>280.27345865789</v>
      </c>
      <c r="J6968" s="38" t="n">
        <f aca="false">Sens!$J$6949</f>
        <v>338.800945197185</v>
      </c>
      <c r="K6968" s="38" t="n">
        <f aca="false">Sens!$K$6949</f>
        <v>389.88570147276</v>
      </c>
      <c r="L6968" s="38" t="n">
        <f aca="false">Sens!$L$6949</f>
        <v>430.080689379143</v>
      </c>
      <c r="M6968" s="38" t="n">
        <f aca="false">Sens!$M$6949</f>
        <v>459.456235951751</v>
      </c>
      <c r="N6968" s="38" t="n">
        <f aca="false">Sens!$N$6949</f>
        <v>60.14</v>
      </c>
      <c r="O6968" s="38" t="n">
        <f aca="false">Sens!$O$6949</f>
        <v>68.585</v>
      </c>
    </row>
    <row r="6969" customFormat="false" ht="15" hidden="false" customHeight="false" outlineLevel="0" collapsed="false">
      <c r="A6969" s="1" t="s">
        <v>512</v>
      </c>
      <c r="B6969" s="8" t="s">
        <v>86</v>
      </c>
      <c r="C6969" s="38" t="n">
        <f aca="false">Sens!$C$6882</f>
        <v>387.497</v>
      </c>
      <c r="D6969" s="38" t="n">
        <f aca="false">Sens!$D$6882</f>
        <v>426.305</v>
      </c>
      <c r="E6969" s="38" t="n">
        <f aca="false">Sens!$E$6882</f>
        <v>220.32</v>
      </c>
      <c r="F6969" s="38" t="n">
        <f aca="false">Sens!$F$6882</f>
        <v>250.639773480586</v>
      </c>
      <c r="G6969" s="38" t="n">
        <f aca="false">Sens!$G$6882</f>
        <v>470.959773480586</v>
      </c>
      <c r="H6969" s="38" t="n">
        <f aca="false">Sens!$H$6882</f>
        <v>521.386990416437</v>
      </c>
      <c r="I6969" s="38" t="n">
        <f aca="false">Sens!$I$6882</f>
        <v>570.143862887555</v>
      </c>
      <c r="J6969" s="38" t="n">
        <f aca="false">Sens!$J$6882</f>
        <v>615.391435791933</v>
      </c>
      <c r="K6969" s="38" t="n">
        <f aca="false">Sens!$K$6882</f>
        <v>655.208227561543</v>
      </c>
      <c r="L6969" s="38" t="n">
        <f aca="false">Sens!$L$6882</f>
        <v>697.807739249767</v>
      </c>
      <c r="M6969" s="38" t="n">
        <f aca="false">Sens!$M$6882</f>
        <v>743.399328463592</v>
      </c>
      <c r="N6969" s="38" t="n">
        <f aca="false">Sens!$N$6882</f>
        <v>192.955</v>
      </c>
      <c r="O6969" s="38" t="n">
        <f aca="false">Sens!$O$6882</f>
        <v>233.35</v>
      </c>
    </row>
    <row r="6970" customFormat="false" ht="15" hidden="false" customHeight="false" outlineLevel="0" collapsed="false">
      <c r="A6970" s="1" t="s">
        <v>515</v>
      </c>
      <c r="B6970" s="8" t="s">
        <v>86</v>
      </c>
      <c r="C6970" s="38" t="n">
        <f aca="false">Sens!$C$6883</f>
        <v>142.906</v>
      </c>
      <c r="D6970" s="38" t="n">
        <f aca="false">Sens!$D$6883</f>
        <v>161.894</v>
      </c>
      <c r="E6970" s="38" t="n">
        <f aca="false">Sens!$E$6883</f>
        <v>81.986</v>
      </c>
      <c r="F6970" s="38" t="n">
        <f aca="false">Sens!$F$6883</f>
        <v>98.408468164951</v>
      </c>
      <c r="G6970" s="38" t="n">
        <f aca="false">Sens!$G$6883</f>
        <v>180.394468164951</v>
      </c>
      <c r="H6970" s="38" t="n">
        <f aca="false">Sens!$H$6883</f>
        <v>199.709899104949</v>
      </c>
      <c r="I6970" s="38" t="n">
        <f aca="false">Sens!$I$6883</f>
        <v>218.385528264976</v>
      </c>
      <c r="J6970" s="38" t="n">
        <f aca="false">Sens!$J$6883</f>
        <v>235.71696994951</v>
      </c>
      <c r="K6970" s="38" t="n">
        <f aca="false">Sens!$K$6883</f>
        <v>250.968227869545</v>
      </c>
      <c r="L6970" s="38" t="n">
        <f aca="false">Sens!$L$6883</f>
        <v>267.285367225822</v>
      </c>
      <c r="M6970" s="38" t="n">
        <f aca="false">Sens!$M$6883</f>
        <v>284.748579483295</v>
      </c>
      <c r="N6970" s="38" t="n">
        <f aca="false">Sens!$N$6883</f>
        <v>70.274</v>
      </c>
      <c r="O6970" s="38" t="n">
        <f aca="false">Sens!$O$6883</f>
        <v>91.62</v>
      </c>
    </row>
    <row r="6971" customFormat="false" ht="15" hidden="false" customHeight="false" outlineLevel="0" collapsed="false">
      <c r="A6971" s="1" t="s">
        <v>516</v>
      </c>
      <c r="B6971" s="8" t="s">
        <v>86</v>
      </c>
      <c r="C6971" s="38" t="n">
        <f aca="false">Sens!$C$6949</f>
        <v>107.556</v>
      </c>
      <c r="D6971" s="38" t="n">
        <f aca="false">Sens!$D$6949</f>
        <v>128.725</v>
      </c>
      <c r="E6971" s="38" t="n">
        <f aca="false">Sens!$E$6949</f>
        <v>79.819</v>
      </c>
      <c r="F6971" s="38" t="n">
        <f aca="false">Sens!$F$6949</f>
        <v>86.7327334389669</v>
      </c>
      <c r="G6971" s="38" t="n">
        <f aca="false">Sens!$G$6949</f>
        <v>166.551733438967</v>
      </c>
      <c r="H6971" s="38" t="n">
        <f aca="false">Sens!$H$6949</f>
        <v>221.182967828978</v>
      </c>
      <c r="I6971" s="38" t="n">
        <f aca="false">Sens!$I$6949</f>
        <v>280.27345865789</v>
      </c>
      <c r="J6971" s="38" t="n">
        <f aca="false">Sens!$J$6949</f>
        <v>338.800945197185</v>
      </c>
      <c r="K6971" s="38" t="n">
        <f aca="false">Sens!$K$6949</f>
        <v>389.88570147276</v>
      </c>
      <c r="L6971" s="38" t="n">
        <f aca="false">Sens!$L$6949</f>
        <v>430.080689379143</v>
      </c>
      <c r="M6971" s="38" t="n">
        <f aca="false">Sens!$M$6949</f>
        <v>459.456235951751</v>
      </c>
      <c r="N6971" s="38" t="n">
        <f aca="false">Sens!$N$6949</f>
        <v>60.14</v>
      </c>
      <c r="O6971" s="38" t="n">
        <f aca="false">Sens!$O$6949</f>
        <v>68.585</v>
      </c>
    </row>
    <row r="6972" customFormat="false" ht="17.15" hidden="false" customHeight="false" outlineLevel="0" collapsed="false">
      <c r="A6972" s="0" t="s">
        <v>691</v>
      </c>
      <c r="B6972" s="0" t="s">
        <v>86</v>
      </c>
      <c r="C6972" s="38" t="n">
        <f aca="false">Sens!$C$6947</f>
        <v>2.32100535697364</v>
      </c>
      <c r="D6972" s="38" t="n">
        <f aca="false">Sens!$D$6947</f>
        <v>8.70377008865116</v>
      </c>
      <c r="E6972" s="38" t="n">
        <f aca="false">Sens!$E$6947</f>
        <v>8.51035297557002</v>
      </c>
      <c r="F6972" s="38" t="n">
        <f aca="false">Sens!$F$6947</f>
        <v>14.9634336447205</v>
      </c>
      <c r="G6972" s="38" t="n">
        <f aca="false">Sens!$G$6947</f>
        <v>23.4737866202905</v>
      </c>
      <c r="H6972" s="38" t="n">
        <f aca="false">Sens!$H$6947</f>
        <v>60.1658907497746</v>
      </c>
      <c r="I6972" s="38" t="n">
        <f aca="false">Sens!$I$6947</f>
        <v>101.503699136432</v>
      </c>
      <c r="J6972" s="38" t="n">
        <f aca="false">Sens!$J$6947</f>
        <v>143.025407151278</v>
      </c>
      <c r="K6972" s="38" t="n">
        <f aca="false">Sens!$K$6947</f>
        <v>178.44812038318</v>
      </c>
      <c r="L6972" s="38" t="n">
        <f aca="false">Sens!$L$6947</f>
        <v>201.728101802396</v>
      </c>
      <c r="M6972" s="38" t="n">
        <f aca="false">Sens!$M$6947</f>
        <v>212.835441368865</v>
      </c>
      <c r="N6972" s="38" t="n">
        <f aca="false">Sens!$N$6947</f>
        <v>3.04631953102791</v>
      </c>
      <c r="O6972" s="38" t="n">
        <f aca="false">Sens!$O$6947</f>
        <v>5.65745055762326</v>
      </c>
    </row>
    <row r="6973" customFormat="false" ht="17.15" hidden="false" customHeight="false" outlineLevel="0" collapsed="false">
      <c r="A6973" s="0" t="s">
        <v>693</v>
      </c>
      <c r="B6973" s="0" t="s">
        <v>86</v>
      </c>
      <c r="C6973" s="38" t="n">
        <f aca="false">Sens!$C$6948</f>
        <v>105.234994643026</v>
      </c>
      <c r="D6973" s="38" t="n">
        <f aca="false">Sens!$D$6948</f>
        <v>120.021229911349</v>
      </c>
      <c r="E6973" s="38" t="n">
        <f aca="false">Sens!$E$6948</f>
        <v>71.30864702443</v>
      </c>
      <c r="F6973" s="38" t="n">
        <f aca="false">Sens!$F$6948</f>
        <v>71.7692997942464</v>
      </c>
      <c r="G6973" s="38" t="n">
        <f aca="false">Sens!$G$6948</f>
        <v>143.077946818676</v>
      </c>
      <c r="H6973" s="38" t="n">
        <f aca="false">Sens!$H$6948</f>
        <v>161.017077079203</v>
      </c>
      <c r="I6973" s="38" t="n">
        <f aca="false">Sens!$I$6948</f>
        <v>178.769759521457</v>
      </c>
      <c r="J6973" s="38" t="n">
        <f aca="false">Sens!$J$6948</f>
        <v>195.775538045907</v>
      </c>
      <c r="K6973" s="38" t="n">
        <f aca="false">Sens!$K$6948</f>
        <v>211.43758108958</v>
      </c>
      <c r="L6973" s="38" t="n">
        <f aca="false">Sens!$L$6948</f>
        <v>228.352587576746</v>
      </c>
      <c r="M6973" s="38" t="n">
        <f aca="false">Sens!$M$6948</f>
        <v>246.620794582886</v>
      </c>
      <c r="N6973" s="38" t="n">
        <f aca="false">Sens!$N$6948</f>
        <v>57.0936804689721</v>
      </c>
      <c r="O6973" s="38" t="n">
        <f aca="false">Sens!$O$6948</f>
        <v>62.9275494423768</v>
      </c>
    </row>
    <row r="6974" customFormat="false" ht="15" hidden="false" customHeight="false" outlineLevel="0" collapsed="false">
      <c r="A6974" s="3" t="s">
        <v>517</v>
      </c>
      <c r="B6974" s="8" t="s">
        <v>86</v>
      </c>
      <c r="C6974" s="38" t="n">
        <f aca="false">Sens!$C$6950</f>
        <v>637.959</v>
      </c>
      <c r="D6974" s="38" t="n">
        <f aca="false">Sens!$D$6950</f>
        <v>716.924</v>
      </c>
      <c r="E6974" s="38" t="n">
        <f aca="false">Sens!$E$6950</f>
        <v>382.125</v>
      </c>
      <c r="F6974" s="38" t="n">
        <f aca="false">Sens!$F$6950</f>
        <v>435.780975084504</v>
      </c>
      <c r="G6974" s="38" t="n">
        <f aca="false">Sens!$G$6950</f>
        <v>817.905975084504</v>
      </c>
      <c r="H6974" s="38" t="n">
        <f aca="false">Sens!$H$6950</f>
        <v>942.279857350364</v>
      </c>
      <c r="I6974" s="38" t="n">
        <f aca="false">Sens!$I$6950</f>
        <v>1068.80284981042</v>
      </c>
      <c r="J6974" s="38" t="n">
        <f aca="false">Sens!$J$6950</f>
        <v>1189.90935093863</v>
      </c>
      <c r="K6974" s="38" t="n">
        <f aca="false">Sens!$K$6950</f>
        <v>1296.06215690385</v>
      </c>
      <c r="L6974" s="38" t="n">
        <f aca="false">Sens!$L$6950</f>
        <v>1395.17379585473</v>
      </c>
      <c r="M6974" s="38" t="n">
        <f aca="false">Sens!$M$6950</f>
        <v>1487.60414389864</v>
      </c>
      <c r="N6974" s="38" t="n">
        <f aca="false">Sens!$N$6950</f>
        <v>323.369</v>
      </c>
      <c r="O6974" s="38" t="n">
        <f aca="false">Sens!$O$6950</f>
        <v>393.555</v>
      </c>
    </row>
    <row r="6975" customFormat="false" ht="17.15" hidden="false" customHeight="false" outlineLevel="0" collapsed="false">
      <c r="A6975" s="24" t="s">
        <v>703</v>
      </c>
      <c r="B6975" s="25" t="s">
        <v>86</v>
      </c>
      <c r="C6975" s="41" t="n">
        <f aca="false">Sens!$C$6962+Sens!$C$6963+Sens!$C$6964+Sens!$C$6965+Sens!$C$6966+Sens!$C$6967-(Sens!$C$6969+Sens!$C$6970)</f>
        <v>0</v>
      </c>
      <c r="D6975" s="41" t="n">
        <f aca="false">Sens!$D$6962+Sens!$D$6963+Sens!$D$6964+Sens!$D$6965+Sens!$D$6966+Sens!$D$6967-(Sens!$D$6969+Sens!$D$6970)</f>
        <v>0</v>
      </c>
      <c r="E6975" s="41" t="n">
        <f aca="false">Sens!$E$6962+Sens!$E$6963+Sens!$E$6964+Sens!$E$6965+Sens!$E$6966+Sens!$E$6967-(Sens!$E$6969+Sens!$E$6970)</f>
        <v>0</v>
      </c>
      <c r="F6975" s="41" t="n">
        <f aca="false">Sens!$F$6962+Sens!$F$6963+Sens!$F$6964+Sens!$F$6965+Sens!$F$6966+Sens!$F$6967-(Sens!$F$6969+Sens!$F$6970)</f>
        <v>0</v>
      </c>
      <c r="G6975" s="41" t="n">
        <f aca="false">Sens!$G$6962+Sens!$G$6963+Sens!$G$6964+Sens!$G$6965+Sens!$G$6966+Sens!$G$6967-(Sens!$G$6969+Sens!$G$6970)</f>
        <v>0</v>
      </c>
      <c r="H6975" s="41" t="n">
        <f aca="false">Sens!$H$6962+Sens!$H$6963+Sens!$H$6964+Sens!$H$6965+Sens!$H$6966+Sens!$H$6967-(Sens!$H$6969+Sens!$H$6970)</f>
        <v>0</v>
      </c>
      <c r="I6975" s="41" t="n">
        <f aca="false">Sens!$I$6962+Sens!$I$6963+Sens!$I$6964+Sens!$I$6965+Sens!$I$6966+Sens!$I$6967-(Sens!$I$6969+Sens!$I$6970)</f>
        <v>0</v>
      </c>
      <c r="J6975" s="41" t="n">
        <f aca="false">Sens!$J$6962+Sens!$J$6963+Sens!$J$6964+Sens!$J$6965+Sens!$J$6966+Sens!$J$6967-(Sens!$J$6969+Sens!$J$6970)</f>
        <v>0</v>
      </c>
      <c r="K6975" s="41" t="n">
        <f aca="false">Sens!$K$6962+Sens!$K$6963+Sens!$K$6964+Sens!$K$6965+Sens!$K$6966+Sens!$K$6967-(Sens!$K$6969+Sens!$K$6970)</f>
        <v>0</v>
      </c>
      <c r="L6975" s="41" t="n">
        <f aca="false">Sens!$L$6962+Sens!$L$6963+Sens!$L$6964+Sens!$L$6965+Sens!$L$6966+Sens!$L$6967-(Sens!$L$6969+Sens!$L$6970)</f>
        <v>0</v>
      </c>
      <c r="M6975" s="41" t="n">
        <f aca="false">Sens!$M$6962+Sens!$M$6963+Sens!$M$6964+Sens!$M$6965+Sens!$M$6966+Sens!$M$6967-(Sens!$M$6969+Sens!$M$6970)</f>
        <v>0</v>
      </c>
      <c r="N6975" s="41" t="n">
        <f aca="false">Sens!$N$6962+Sens!$N$6963+Sens!$N$6964+Sens!$N$6965+Sens!$N$6966+Sens!$N$6967-(Sens!$N$6969+Sens!$N$6970)</f>
        <v>0</v>
      </c>
      <c r="O6975" s="41" t="n">
        <f aca="false">Sens!$O$6962+Sens!$O$6963+Sens!$O$6964+Sens!$O$6965+Sens!$O$6966+Sens!$O$6967-(Sens!$O$6969+Sens!$O$6970)</f>
        <v>0</v>
      </c>
    </row>
    <row r="6976" customFormat="false" ht="17.15" hidden="false" customHeight="false" outlineLevel="0" collapsed="false">
      <c r="A6976" s="24" t="s">
        <v>704</v>
      </c>
      <c r="B6976" s="25" t="s">
        <v>86</v>
      </c>
      <c r="C6976" s="41" t="n">
        <f aca="false">Sens!$C$6972+Sens!$C$6973-Sens!$C$6971</f>
        <v>0</v>
      </c>
      <c r="D6976" s="41" t="n">
        <f aca="false">Sens!$D$6972+Sens!$D$6973-Sens!$D$6971</f>
        <v>0</v>
      </c>
      <c r="E6976" s="41" t="n">
        <f aca="false">Sens!$E$6972+Sens!$E$6973-Sens!$E$6971</f>
        <v>0</v>
      </c>
      <c r="F6976" s="41" t="n">
        <f aca="false">Sens!$F$6972+Sens!$F$6973-Sens!$F$6971</f>
        <v>0</v>
      </c>
      <c r="G6976" s="41" t="n">
        <f aca="false">Sens!$G$6972+Sens!$G$6973-Sens!$G$6971</f>
        <v>0</v>
      </c>
      <c r="H6976" s="41" t="n">
        <f aca="false">Sens!$H$6972+Sens!$H$6973-Sens!$H$6971</f>
        <v>0</v>
      </c>
      <c r="I6976" s="41" t="n">
        <f aca="false">Sens!$I$6972+Sens!$I$6973-Sens!$I$6971</f>
        <v>0</v>
      </c>
      <c r="J6976" s="41" t="n">
        <f aca="false">Sens!$J$6972+Sens!$J$6973-Sens!$J$6971</f>
        <v>0</v>
      </c>
      <c r="K6976" s="41" t="n">
        <f aca="false">Sens!$K$6972+Sens!$K$6973-Sens!$K$6971</f>
        <v>0</v>
      </c>
      <c r="L6976" s="41" t="n">
        <f aca="false">Sens!$L$6972+Sens!$L$6973-Sens!$L$6971</f>
        <v>0</v>
      </c>
      <c r="M6976" s="41" t="n">
        <f aca="false">Sens!$M$6972+Sens!$M$6973-Sens!$M$6971</f>
        <v>0</v>
      </c>
      <c r="N6976" s="41" t="n">
        <f aca="false">Sens!$N$6972+Sens!$N$6973-Sens!$N$6971</f>
        <v>0</v>
      </c>
      <c r="O6976" s="41" t="n">
        <f aca="false">Sens!$O$6972+Sens!$O$6973-Sens!$O$6971</f>
        <v>0</v>
      </c>
    </row>
    <row r="6977" customFormat="false" ht="17.15" hidden="false" customHeight="false" outlineLevel="0" collapsed="false">
      <c r="A6977" s="24" t="s">
        <v>763</v>
      </c>
      <c r="B6977" s="25" t="s">
        <v>86</v>
      </c>
      <c r="C6977" s="41" t="n">
        <f aca="false">Sens!$C$6962+Sens!$C$6963+Sens!$C$6964+Sens!$C$6965+Sens!$C$6966+Sens!$C$6967+Sens!$C$6968-Sens!$C$6974</f>
        <v>0</v>
      </c>
      <c r="D6977" s="41" t="n">
        <f aca="false">Sens!$D$6962+Sens!$D$6963+Sens!$D$6964+Sens!$D$6965+Sens!$D$6966+Sens!$D$6967+Sens!$D$6968-Sens!$D$6974</f>
        <v>0</v>
      </c>
      <c r="E6977" s="41" t="n">
        <f aca="false">Sens!$E$6962+Sens!$E$6963+Sens!$E$6964+Sens!$E$6965+Sens!$E$6966+Sens!$E$6967+Sens!$E$6968-Sens!$E$6974</f>
        <v>0</v>
      </c>
      <c r="F6977" s="41" t="n">
        <f aca="false">Sens!$F$6962+Sens!$F$6963+Sens!$F$6964+Sens!$F$6965+Sens!$F$6966+Sens!$F$6967+Sens!$F$6968-Sens!$F$6974</f>
        <v>0</v>
      </c>
      <c r="G6977" s="41" t="n">
        <f aca="false">Sens!$G$6962+Sens!$G$6963+Sens!$G$6964+Sens!$G$6965+Sens!$G$6966+Sens!$G$6967+Sens!$G$6968-Sens!$G$6974</f>
        <v>0</v>
      </c>
      <c r="H6977" s="41" t="n">
        <f aca="false">Sens!$H$6962+Sens!$H$6963+Sens!$H$6964+Sens!$H$6965+Sens!$H$6966+Sens!$H$6967+Sens!$H$6968-Sens!$H$6974</f>
        <v>0</v>
      </c>
      <c r="I6977" s="41" t="n">
        <f aca="false">Sens!$I$6962+Sens!$I$6963+Sens!$I$6964+Sens!$I$6965+Sens!$I$6966+Sens!$I$6967+Sens!$I$6968-Sens!$I$6974</f>
        <v>0</v>
      </c>
      <c r="J6977" s="41" t="n">
        <f aca="false">Sens!$J$6962+Sens!$J$6963+Sens!$J$6964+Sens!$J$6965+Sens!$J$6966+Sens!$J$6967+Sens!$J$6968-Sens!$J$6974</f>
        <v>0</v>
      </c>
      <c r="K6977" s="41" t="n">
        <f aca="false">Sens!$K$6962+Sens!$K$6963+Sens!$K$6964+Sens!$K$6965+Sens!$K$6966+Sens!$K$6967+Sens!$K$6968-Sens!$K$6974</f>
        <v>0</v>
      </c>
      <c r="L6977" s="41" t="n">
        <f aca="false">Sens!$L$6962+Sens!$L$6963+Sens!$L$6964+Sens!$L$6965+Sens!$L$6966+Sens!$L$6967+Sens!$L$6968-Sens!$L$6974</f>
        <v>0</v>
      </c>
      <c r="M6977" s="41" t="n">
        <f aca="false">Sens!$M$6962+Sens!$M$6963+Sens!$M$6964+Sens!$M$6965+Sens!$M$6966+Sens!$M$6967+Sens!$M$6968-Sens!$M$6974</f>
        <v>0</v>
      </c>
      <c r="N6977" s="41" t="n">
        <f aca="false">Sens!$N$6962+Sens!$N$6963+Sens!$N$6964+Sens!$N$6965+Sens!$N$6966+Sens!$N$6967+Sens!$N$6968-Sens!$N$6974</f>
        <v>0</v>
      </c>
      <c r="O6977" s="41" t="n">
        <f aca="false">Sens!$O$6962+Sens!$O$6963+Sens!$O$6964+Sens!$O$6965+Sens!$O$6966+Sens!$O$6967+Sens!$O$6968-Sens!$O$6974</f>
        <v>0</v>
      </c>
    </row>
    <row r="6978" customFormat="false" ht="17.15" hidden="false" customHeight="false" outlineLevel="0" collapsed="false">
      <c r="A6978" s="24" t="s">
        <v>705</v>
      </c>
      <c r="B6978" s="25" t="s">
        <v>86</v>
      </c>
      <c r="C6978" s="41" t="n">
        <f aca="false">Sens!$C$6969+Sens!$C$6970+Sens!$C$6971-Sens!$C$6974</f>
        <v>0</v>
      </c>
      <c r="D6978" s="41" t="n">
        <f aca="false">Sens!$D$6969+Sens!$D$6970+Sens!$D$6971-Sens!$D$6974</f>
        <v>0</v>
      </c>
      <c r="E6978" s="41" t="n">
        <f aca="false">Sens!$E$6969+Sens!$E$6970+Sens!$E$6971-Sens!$E$6974</f>
        <v>0</v>
      </c>
      <c r="F6978" s="41" t="n">
        <f aca="false">Sens!$F$6969+Sens!$F$6970+Sens!$F$6971-Sens!$F$6974</f>
        <v>0</v>
      </c>
      <c r="G6978" s="41" t="n">
        <f aca="false">Sens!$G$6969+Sens!$G$6970+Sens!$G$6971-Sens!$G$6974</f>
        <v>0</v>
      </c>
      <c r="H6978" s="41" t="n">
        <f aca="false">Sens!$H$6969+Sens!$H$6970+Sens!$H$6971-Sens!$H$6974</f>
        <v>0</v>
      </c>
      <c r="I6978" s="41" t="n">
        <f aca="false">Sens!$I$6969+Sens!$I$6970+Sens!$I$6971-Sens!$I$6974</f>
        <v>0</v>
      </c>
      <c r="J6978" s="41" t="n">
        <f aca="false">Sens!$J$6969+Sens!$J$6970+Sens!$J$6971-Sens!$J$6974</f>
        <v>0</v>
      </c>
      <c r="K6978" s="41" t="n">
        <f aca="false">Sens!$K$6969+Sens!$K$6970+Sens!$K$6971-Sens!$K$6974</f>
        <v>0</v>
      </c>
      <c r="L6978" s="41" t="n">
        <f aca="false">Sens!$L$6969+Sens!$L$6970+Sens!$L$6971-Sens!$L$6974</f>
        <v>0</v>
      </c>
      <c r="M6978" s="41" t="n">
        <f aca="false">Sens!$M$6969+Sens!$M$6970+Sens!$M$6971-Sens!$M$6974</f>
        <v>0</v>
      </c>
      <c r="N6978" s="41" t="n">
        <f aca="false">Sens!$N$6969+Sens!$N$6970+Sens!$N$6971-Sens!$N$6974</f>
        <v>0</v>
      </c>
      <c r="O6978" s="41" t="n">
        <f aca="false">Sens!$O$6969+Sens!$O$6970+Sens!$O$6971-Sens!$O$6974</f>
        <v>0</v>
      </c>
    </row>
    <row r="6979" customFormat="false" ht="17.15" hidden="false" customHeight="false" outlineLevel="0" collapsed="false">
      <c r="A6979" s="1" t="s">
        <v>719</v>
      </c>
    </row>
    <row r="6980" customFormat="false" ht="17.15" hidden="false" customHeight="false" outlineLevel="0" collapsed="false">
      <c r="A6980" s="0" t="s">
        <v>720</v>
      </c>
      <c r="B6980" s="0" t="s">
        <v>86</v>
      </c>
      <c r="C6980" s="38" t="n">
        <f aca="false">Sens!$C$6884*m_ad</f>
        <v>20.5341564414228</v>
      </c>
      <c r="D6980" s="38" t="n">
        <f aca="false">Sens!$D$6884*m_ad</f>
        <v>24.8720617299587</v>
      </c>
      <c r="E6980" s="38" t="n">
        <f aca="false">Sens!$E$6884*m_ad</f>
        <v>13.5017112462207</v>
      </c>
      <c r="F6980" s="38" t="n">
        <f aca="false">Sens!$F$6884*m_ad</f>
        <v>16.5719724165257</v>
      </c>
      <c r="G6980" s="38" t="n">
        <f aca="false">Sens!$G$6884*m_ad</f>
        <v>30.0820919220415</v>
      </c>
      <c r="H6980" s="38" t="n">
        <f aca="false">Sens!$H$6884*m_ad</f>
        <v>36.1150883276314</v>
      </c>
      <c r="I6980" s="38" t="n">
        <f aca="false">Sens!$I$6884*m_ad</f>
        <v>42.1475382231996</v>
      </c>
      <c r="J6980" s="38" t="n">
        <f aca="false">Sens!$J$6884*m_ad</f>
        <v>47.7749523864693</v>
      </c>
      <c r="K6980" s="38" t="n">
        <f aca="false">Sens!$K$6884*m_ad</f>
        <v>52.5524476251162</v>
      </c>
      <c r="L6980" s="38" t="n">
        <f aca="false">Sens!$L$6884*m_ad</f>
        <v>57.8076923876279</v>
      </c>
      <c r="M6980" s="38" t="n">
        <f aca="false">Sens!$M$6884*m_ad</f>
        <v>63.5884616263907</v>
      </c>
      <c r="N6980" s="38" t="n">
        <f aca="false">Sens!$N$6884*m_ad</f>
        <v>10.8543555706248</v>
      </c>
      <c r="O6980" s="38" t="n">
        <f aca="false">Sens!$O$6884*m_ad</f>
        <v>14.0094731821399</v>
      </c>
    </row>
    <row r="6981" customFormat="false" ht="17.15" hidden="false" customHeight="false" outlineLevel="0" collapsed="false">
      <c r="A6981" s="0" t="s">
        <v>721</v>
      </c>
      <c r="B6981" s="0" t="s">
        <v>86</v>
      </c>
      <c r="C6981" s="38" t="n">
        <f aca="false">Sens!$C$6882-Sens!$C$6884</f>
        <v>346.428687117154</v>
      </c>
      <c r="D6981" s="38" t="n">
        <f aca="false">Sens!$D$6882-Sens!$D$6884</f>
        <v>376.560876540083</v>
      </c>
      <c r="E6981" s="38" t="n">
        <f aca="false">Sens!$E$6882-Sens!$E$6884</f>
        <v>193.316577507559</v>
      </c>
      <c r="F6981" s="38" t="n">
        <f aca="false">Sens!$F$6882-Sens!$F$6884</f>
        <v>217.495828647535</v>
      </c>
      <c r="G6981" s="38" t="n">
        <f aca="false">Sens!$G$6882-Sens!$G$6884</f>
        <v>410.795589636503</v>
      </c>
      <c r="H6981" s="38" t="n">
        <f aca="false">Sens!$H$6882-Sens!$H$6884</f>
        <v>449.156813761174</v>
      </c>
      <c r="I6981" s="38" t="n">
        <f aca="false">Sens!$I$6882-Sens!$I$6884</f>
        <v>485.848786441156</v>
      </c>
      <c r="J6981" s="38" t="n">
        <f aca="false">Sens!$J$6882-Sens!$J$6884</f>
        <v>519.841531018994</v>
      </c>
      <c r="K6981" s="38" t="n">
        <f aca="false">Sens!$K$6882-Sens!$K$6884</f>
        <v>550.103332311311</v>
      </c>
      <c r="L6981" s="38" t="n">
        <f aca="false">Sens!$L$6882-Sens!$L$6884</f>
        <v>582.192354474511</v>
      </c>
      <c r="M6981" s="38" t="n">
        <f aca="false">Sens!$M$6882-Sens!$M$6884</f>
        <v>616.22240521081</v>
      </c>
      <c r="N6981" s="38" t="n">
        <f aca="false">Sens!$N$6882-Sens!$N$6884</f>
        <v>171.24628885875</v>
      </c>
      <c r="O6981" s="38" t="n">
        <f aca="false">Sens!$O$6882-Sens!$O$6884</f>
        <v>205.33105363572</v>
      </c>
    </row>
    <row r="6982" customFormat="false" ht="17.15" hidden="false" customHeight="false" outlineLevel="0" collapsed="false">
      <c r="A6982" s="0" t="s">
        <v>722</v>
      </c>
      <c r="B6982" s="0" t="s">
        <v>86</v>
      </c>
      <c r="C6982" s="38" t="n">
        <f aca="false">Sens!$C$6933*Sens!$C$6881</f>
        <v>0.123617442257179</v>
      </c>
      <c r="D6982" s="38" t="n">
        <f aca="false">Sens!$D$6933*Sens!$D$6881</f>
        <v>0.600198046024689</v>
      </c>
      <c r="E6982" s="38" t="n">
        <f aca="false">Sens!$E$6933*Sens!$E$6881</f>
        <v>0.970552432202993</v>
      </c>
      <c r="F6982" s="38" t="n">
        <f aca="false">Sens!$F$6933*Sens!$F$6881</f>
        <v>1.20013524388435</v>
      </c>
      <c r="G6982" s="38" t="n">
        <f aca="false">Sens!$G$6933*Sens!$G$6881</f>
        <v>2.17135369594947</v>
      </c>
      <c r="H6982" s="38" t="n">
        <f aca="false">Sens!$H$6933*Sens!$H$6881</f>
        <v>6.14227489656333</v>
      </c>
      <c r="I6982" s="38" t="n">
        <f aca="false">Sens!$I$6933*Sens!$I$6881</f>
        <v>11.6518054969681</v>
      </c>
      <c r="J6982" s="38" t="n">
        <f aca="false">Sens!$J$6933*Sens!$J$6881</f>
        <v>17.3105301010592</v>
      </c>
      <c r="K6982" s="38" t="n">
        <f aca="false">Sens!$K$6933*Sens!$K$6881</f>
        <v>22.8486728059883</v>
      </c>
      <c r="L6982" s="38" t="n">
        <f aca="false">Sens!$L$6933*Sens!$L$6881</f>
        <v>26.6849171332777</v>
      </c>
      <c r="M6982" s="38" t="n">
        <f aca="false">Sens!$M$6933*Sens!$M$6881</f>
        <v>29.0523240317336</v>
      </c>
      <c r="N6982" s="38" t="n">
        <f aca="false">Sens!$N$6933*Sens!$N$6881</f>
        <v>0.25053229484398</v>
      </c>
      <c r="O6982" s="38" t="n">
        <f aca="false">Sens!$O$6933*Sens!$O$6881</f>
        <v>0.349234376756897</v>
      </c>
    </row>
    <row r="6983" customFormat="false" ht="17.15" hidden="false" customHeight="false" outlineLevel="0" collapsed="false">
      <c r="A6983" s="0" t="s">
        <v>723</v>
      </c>
      <c r="B6983" s="0" t="s">
        <v>52</v>
      </c>
      <c r="C6983" s="28" t="n">
        <f aca="false">(Sens!$C$6984-Sens!$C$6980+Sens!$C$6982)/Sens!$C$6981</f>
        <v>0.0131526665379575</v>
      </c>
      <c r="D6983" s="28" t="n">
        <f aca="false">(Sens!$D$6984-Sens!$D$6980+Sens!$D$6982)/Sens!$D$6981</f>
        <v>0.0141999252954702</v>
      </c>
      <c r="E6983" s="28" t="n">
        <f aca="false">(Sens!$E$6984-Sens!$E$6980+Sens!$E$6982)/Sens!$E$6981</f>
        <v>0.0251341154940129</v>
      </c>
      <c r="F6983" s="28" t="n">
        <f aca="false">Sens!$O$6983+(Sens!$E$6983-Sens!$N$6983)</f>
        <v>0.0217171685713677</v>
      </c>
      <c r="G6983" s="28" t="n">
        <f aca="false">(Sens!$G$6984-Sens!$G$6980+Sens!$G$6982)/Sens!$G$6981</f>
        <v>0.0233071940458981</v>
      </c>
      <c r="H6983" s="28" t="n">
        <f aca="false">Sens!$G$6983+step_na</f>
        <v>0.0263071940458981</v>
      </c>
      <c r="I6983" s="28" t="n">
        <f aca="false">Sens!$H$6983+step_na</f>
        <v>0.0293071940458981</v>
      </c>
      <c r="J6983" s="28" t="n">
        <f aca="false">Sens!$I$6983+step_na</f>
        <v>0.0323071940458981</v>
      </c>
      <c r="K6983" s="28" t="n">
        <f aca="false">Sens!$J$6983+step_na</f>
        <v>0.0353071940458981</v>
      </c>
      <c r="L6983" s="28" t="n">
        <f aca="false">Sens!$K$6983</f>
        <v>0.0353071940458981</v>
      </c>
      <c r="M6983" s="28" t="n">
        <f aca="false">Sens!$L$6983</f>
        <v>0.0353071940458981</v>
      </c>
      <c r="N6983" s="28" t="n">
        <f aca="false">(Sens!$N$6984-Sens!$N$6980+Sens!$N$6982)/Sens!$N$6981</f>
        <v>0.0160831323269779</v>
      </c>
      <c r="O6983" s="28" t="n">
        <f aca="false">(Sens!$O$6984-Sens!$O$6980+Sens!$O$6982)/Sens!$O$6981</f>
        <v>0.0126661854043327</v>
      </c>
      <c r="P6983" s="8" t="s">
        <v>724</v>
      </c>
    </row>
    <row r="6984" customFormat="false" ht="17.15" hidden="false" customHeight="false" outlineLevel="0" collapsed="false">
      <c r="A6984" s="1" t="s">
        <v>725</v>
      </c>
      <c r="B6984" s="8" t="s">
        <v>86</v>
      </c>
      <c r="C6984" s="38" t="n">
        <f aca="false">Q!$D$22</f>
        <v>24.967</v>
      </c>
      <c r="D6984" s="38" t="n">
        <f aca="false">Q!$E$22</f>
        <v>29.619</v>
      </c>
      <c r="E6984" s="38" t="n">
        <f aca="false">Q!$P$22</f>
        <v>17.39</v>
      </c>
      <c r="F6984" s="38" t="n">
        <f aca="false">Sens!$F$6980+Sens!$F$6981*Sens!$F$6983-Sens!$F$6982</f>
        <v>20.0952307469491</v>
      </c>
      <c r="G6984" s="38" t="n">
        <f aca="false">Sens!$E$6984+Sens!$F$6984</f>
        <v>37.4852307469491</v>
      </c>
      <c r="H6984" s="38" t="n">
        <f aca="false">Sens!$H$6980+Sens!$H$6981*Sens!$H$6983-Sens!$H$6982</f>
        <v>41.7888688877206</v>
      </c>
      <c r="I6984" s="38" t="n">
        <f aca="false">Sens!$I$6980+Sens!$I$6981*Sens!$I$6983-Sens!$I$6982</f>
        <v>44.7345973874265</v>
      </c>
      <c r="J6984" s="38" t="n">
        <f aca="false">Sens!$J$6980+Sens!$J$6981*Sens!$J$6983-Sens!$J$6982</f>
        <v>47.2590435011574</v>
      </c>
      <c r="K6984" s="38" t="n">
        <f aca="false">Sens!$K$6980+Sens!$K$6981*Sens!$K$6983-Sens!$K$6982</f>
        <v>49.1263799183386</v>
      </c>
      <c r="L6984" s="38" t="n">
        <f aca="false">Sens!$L$6980+Sens!$L$6981*Sens!$L$6983-Sens!$L$6982</f>
        <v>51.67835368582</v>
      </c>
      <c r="M6984" s="38" t="n">
        <f aca="false">Sens!$M$6980+Sens!$M$6981*Sens!$M$6983-Sens!$M$6982</f>
        <v>56.2932216308652</v>
      </c>
      <c r="N6984" s="38" t="n">
        <f aca="false">Q!$N$22</f>
        <v>13.358</v>
      </c>
      <c r="O6984" s="38" t="n">
        <f aca="false">Q!$O$22</f>
        <v>16.261</v>
      </c>
    </row>
    <row r="6985" customFormat="false" ht="17.15" hidden="false" customHeight="false" outlineLevel="0" collapsed="false">
      <c r="A6985" s="0" t="s">
        <v>726</v>
      </c>
      <c r="B6985" s="0" t="s">
        <v>86</v>
      </c>
      <c r="C6985" s="38" t="n">
        <f aca="false">Sens!$C$6885*m_ad</f>
        <v>7.57284355857716</v>
      </c>
      <c r="D6985" s="38" t="n">
        <f aca="false">Sens!$D$6885*m_ad</f>
        <v>9.44543827004127</v>
      </c>
      <c r="E6985" s="38" t="n">
        <f aca="false">Sens!$E$6885*m_ad</f>
        <v>5.02428875377928</v>
      </c>
      <c r="F6985" s="38" t="n">
        <f aca="false">Sens!$F$6885*m_ad</f>
        <v>6.50663858068173</v>
      </c>
      <c r="G6985" s="38" t="n">
        <f aca="false">Sens!$G$6885*m_ad</f>
        <v>11.5225190751659</v>
      </c>
      <c r="H6985" s="38" t="n">
        <f aca="false">Sens!$H$6885*m_ad</f>
        <v>13.8333728663174</v>
      </c>
      <c r="I6985" s="38" t="n">
        <f aca="false">Sens!$I$6885*m_ad</f>
        <v>16.1440173245485</v>
      </c>
      <c r="J6985" s="38" t="n">
        <f aca="false">Sens!$J$6885*m_ad</f>
        <v>18.2995185845066</v>
      </c>
      <c r="K6985" s="38" t="n">
        <f aca="false">Sens!$K$6885*m_ad</f>
        <v>20.1294704429572</v>
      </c>
      <c r="L6985" s="38" t="n">
        <f aca="false">Sens!$L$6885*m_ad</f>
        <v>22.142417487253</v>
      </c>
      <c r="M6985" s="38" t="n">
        <f aca="false">Sens!$M$6885*m_ad</f>
        <v>24.3566592359783</v>
      </c>
      <c r="N6985" s="38" t="n">
        <f aca="false">Sens!$N$6885*m_ad</f>
        <v>3.95314442937518</v>
      </c>
      <c r="O6985" s="38" t="n">
        <f aca="false">Sens!$O$6885*m_ad</f>
        <v>5.50052681786011</v>
      </c>
    </row>
    <row r="6986" customFormat="false" ht="17.15" hidden="false" customHeight="false" outlineLevel="0" collapsed="false">
      <c r="A6986" s="0" t="s">
        <v>727</v>
      </c>
      <c r="B6986" s="0" t="s">
        <v>86</v>
      </c>
      <c r="C6986" s="38" t="n">
        <f aca="false">Sens!$C$6883-Sens!$C$6885</f>
        <v>127.760312882846</v>
      </c>
      <c r="D6986" s="38" t="n">
        <f aca="false">Sens!$D$6883-Sens!$D$6885</f>
        <v>143.003123459917</v>
      </c>
      <c r="E6986" s="38" t="n">
        <f aca="false">Sens!$E$6883-Sens!$E$6885</f>
        <v>71.9374224924414</v>
      </c>
      <c r="F6986" s="38" t="n">
        <f aca="false">Sens!$F$6883-Sens!$F$6885</f>
        <v>85.3951910035875</v>
      </c>
      <c r="G6986" s="38" t="n">
        <f aca="false">Sens!$G$6883-Sens!$G$6885</f>
        <v>157.349430014619</v>
      </c>
      <c r="H6986" s="38" t="n">
        <f aca="false">Sens!$H$6883-Sens!$H$6885</f>
        <v>172.043153372315</v>
      </c>
      <c r="I6986" s="38" t="n">
        <f aca="false">Sens!$I$6883-Sens!$I$6885</f>
        <v>186.097493615879</v>
      </c>
      <c r="J6986" s="38" t="n">
        <f aca="false">Sens!$J$6883-Sens!$J$6885</f>
        <v>199.117932780497</v>
      </c>
      <c r="K6986" s="38" t="n">
        <f aca="false">Sens!$K$6883-Sens!$K$6885</f>
        <v>210.70928698363</v>
      </c>
      <c r="L6986" s="38" t="n">
        <f aca="false">Sens!$L$6883-Sens!$L$6885</f>
        <v>223.000532251316</v>
      </c>
      <c r="M6986" s="38" t="n">
        <f aca="false">Sens!$M$6883-Sens!$M$6885</f>
        <v>236.035261011339</v>
      </c>
      <c r="N6986" s="38" t="n">
        <f aca="false">Sens!$N$6883-Sens!$N$6885</f>
        <v>62.3677111412496</v>
      </c>
      <c r="O6986" s="38" t="n">
        <f aca="false">Sens!$O$6883-Sens!$O$6885</f>
        <v>80.6189463642798</v>
      </c>
    </row>
    <row r="6987" customFormat="false" ht="17.15" hidden="false" customHeight="false" outlineLevel="0" collapsed="false">
      <c r="A6987" s="0" t="s">
        <v>728</v>
      </c>
      <c r="B6987" s="0" t="s">
        <v>86</v>
      </c>
      <c r="C6987" s="38" t="n">
        <f aca="false">Sens!$C$6933*(1-Sens!$C$6881)</f>
        <v>0.0455891896019953</v>
      </c>
      <c r="D6987" s="38" t="n">
        <f aca="false">Sens!$D$6933*(1-Sens!$D$6881)</f>
        <v>0.227931791705753</v>
      </c>
      <c r="E6987" s="38" t="n">
        <f aca="false">Sens!$E$6933*(1-Sens!$E$6881)</f>
        <v>0.361164268820781</v>
      </c>
      <c r="F6987" s="38" t="n">
        <f aca="false">Sens!$F$6933*(1-Sens!$F$6881)</f>
        <v>0.471208018190203</v>
      </c>
      <c r="G6987" s="38" t="n">
        <f aca="false">Sens!$G$6933*(1-Sens!$G$6881)</f>
        <v>0.83170626714885</v>
      </c>
      <c r="H6987" s="38" t="n">
        <f aca="false">Sens!$H$6933*(1-Sens!$H$6881)</f>
        <v>2.35271136874315</v>
      </c>
      <c r="I6987" s="38" t="n">
        <f aca="false">Sens!$I$6933*(1-Sens!$I$6881)</f>
        <v>4.46305900024741</v>
      </c>
      <c r="J6987" s="38" t="n">
        <f aca="false">Sens!$J$6933*(1-Sens!$J$6881)</f>
        <v>6.63055328092195</v>
      </c>
      <c r="K6987" s="38" t="n">
        <f aca="false">Sens!$K$6933*(1-Sens!$K$6881)</f>
        <v>8.75186037365703</v>
      </c>
      <c r="L6987" s="38" t="n">
        <f aca="false">Sens!$L$6933*(1-Sens!$L$6881)</f>
        <v>10.2212794071718</v>
      </c>
      <c r="M6987" s="38" t="n">
        <f aca="false">Sens!$M$6933*(1-Sens!$M$6881)</f>
        <v>11.1280810756472</v>
      </c>
      <c r="N6987" s="38" t="n">
        <f aca="false">Sens!$N$6933*(1-Sens!$N$6881)</f>
        <v>0.0912435878202994</v>
      </c>
      <c r="O6987" s="38" t="n">
        <f aca="false">Sens!$O$6933*(1-Sens!$O$6881)</f>
        <v>0.137119578309265</v>
      </c>
    </row>
    <row r="6988" customFormat="false" ht="17.15" hidden="false" customHeight="false" outlineLevel="0" collapsed="false">
      <c r="A6988" s="0" t="s">
        <v>729</v>
      </c>
      <c r="B6988" s="0" t="s">
        <v>52</v>
      </c>
      <c r="C6988" s="28" t="n">
        <f aca="false">(Sens!$C$6989-Sens!$C$6985+Sens!$C$6987)/Sens!$C$6986</f>
        <v>-0.0292364215826579</v>
      </c>
      <c r="D6988" s="28" t="n">
        <f aca="false">(Sens!$D$6989-Sens!$D$6985+Sens!$D$6987)/Sens!$D$6986</f>
        <v>-0.0312406216748665</v>
      </c>
      <c r="E6988" s="28" t="n">
        <f aca="false">(Sens!$E$6989-Sens!$E$6985+Sens!$E$6987)/Sens!$E$6986</f>
        <v>-0.0211590078184749</v>
      </c>
      <c r="F6988" s="28" t="n">
        <f aca="false">Sens!$O$6988+(Sens!$E$6988-Sens!$N$6988)</f>
        <v>-0.0382539955245511</v>
      </c>
      <c r="G6988" s="28" t="n">
        <f aca="false">(Sens!$G$6989-Sens!$G$6985+Sens!$G$6987)/Sens!$G$6986</f>
        <v>-0.030385172031133</v>
      </c>
      <c r="H6988" s="28" t="n">
        <f aca="false">Sens!$G$6988+step_in</f>
        <v>-0.030385172031133</v>
      </c>
      <c r="I6988" s="28" t="n">
        <f aca="false">Sens!$H$6988+step_in</f>
        <v>-0.030385172031133</v>
      </c>
      <c r="J6988" s="28" t="n">
        <f aca="false">Sens!$I$6988+step_in</f>
        <v>-0.030385172031133</v>
      </c>
      <c r="K6988" s="28" t="n">
        <f aca="false">Sens!$J$6988+step_in</f>
        <v>-0.030385172031133</v>
      </c>
      <c r="L6988" s="28" t="n">
        <f aca="false">Sens!$K$6988</f>
        <v>-0.030385172031133</v>
      </c>
      <c r="M6988" s="28" t="n">
        <f aca="false">Sens!$L$6988</f>
        <v>-0.030385172031133</v>
      </c>
      <c r="N6988" s="28" t="n">
        <f aca="false">(Sens!$N$6989-Sens!$N$6985+Sens!$N$6987)/Sens!$N$6986</f>
        <v>-0.0216602600421776</v>
      </c>
      <c r="O6988" s="28" t="n">
        <f aca="false">(Sens!$O$6989-Sens!$O$6985+Sens!$O$6987)/Sens!$O$6986</f>
        <v>-0.0387552477482538</v>
      </c>
      <c r="P6988" s="8" t="s">
        <v>724</v>
      </c>
    </row>
    <row r="6989" customFormat="false" ht="17.15" hidden="false" customHeight="false" outlineLevel="0" collapsed="false">
      <c r="A6989" s="1" t="s">
        <v>730</v>
      </c>
      <c r="B6989" s="8" t="s">
        <v>86</v>
      </c>
      <c r="C6989" s="38" t="n">
        <f aca="false">Q!$D$23</f>
        <v>3.792</v>
      </c>
      <c r="D6989" s="38" t="n">
        <f aca="false">Q!$E$23</f>
        <v>4.75</v>
      </c>
      <c r="E6989" s="38" t="n">
        <f aca="false">Q!$P$23</f>
        <v>3.141</v>
      </c>
      <c r="F6989" s="38" t="n">
        <f aca="false">Sens!$F$6985+Sens!$F$6986*Sens!$F$6988-Sens!$F$6987</f>
        <v>2.7687233080221</v>
      </c>
      <c r="G6989" s="38" t="n">
        <f aca="false">Sens!$E$6989+Sens!$F$6989</f>
        <v>5.9097233080221</v>
      </c>
      <c r="H6989" s="38" t="n">
        <f aca="false">Sens!$H$6985+Sens!$H$6986*Sens!$H$6988-Sens!$H$6987</f>
        <v>6.25310068557783</v>
      </c>
      <c r="I6989" s="38" t="n">
        <f aca="false">Sens!$I$6985+Sens!$I$6986*Sens!$I$6988-Sens!$I$6987</f>
        <v>6.02635396621997</v>
      </c>
      <c r="J6989" s="38" t="n">
        <f aca="false">Sens!$J$6985+Sens!$J$6986*Sens!$J$6988-Sens!$J$6987</f>
        <v>5.61873266156566</v>
      </c>
      <c r="K6989" s="38" t="n">
        <f aca="false">Sens!$K$6985+Sens!$K$6986*Sens!$K$6988-Sens!$K$6987</f>
        <v>4.97517213574524</v>
      </c>
      <c r="L6989" s="38" t="n">
        <f aca="false">Sens!$L$6985+Sens!$L$6986*Sens!$L$6988-Sens!$L$6987</f>
        <v>5.14522854459066</v>
      </c>
      <c r="M6989" s="38" t="n">
        <f aca="false">Sens!$M$6985+Sens!$M$6986*Sens!$M$6988-Sens!$M$6987</f>
        <v>6.05660614908815</v>
      </c>
      <c r="N6989" s="38" t="n">
        <f aca="false">Q!$N$23</f>
        <v>2.511</v>
      </c>
      <c r="O6989" s="38" t="n">
        <f aca="false">Q!$O$23</f>
        <v>2.239</v>
      </c>
    </row>
    <row r="6990" customFormat="false" ht="17.15" hidden="false" customHeight="false" outlineLevel="0" collapsed="false">
      <c r="A6990" s="0" t="s">
        <v>731</v>
      </c>
      <c r="B6990" s="0" t="s">
        <v>86</v>
      </c>
      <c r="C6990" s="38" t="n">
        <f aca="false">Sens!$C$6930</f>
        <v>1.64417882953695</v>
      </c>
      <c r="D6990" s="38" t="n">
        <f aca="false">Sens!$D$6930</f>
        <v>5.39125073772939</v>
      </c>
      <c r="E6990" s="38" t="n">
        <f aca="false">Sens!$E$6930</f>
        <v>3.18348617147493</v>
      </c>
      <c r="F6990" s="38" t="n">
        <f aca="false">Sens!$F$6930</f>
        <v>8.27806059642226</v>
      </c>
      <c r="G6990" s="38" t="n">
        <f aca="false">Sens!$G$6930</f>
        <v>11.4615467678972</v>
      </c>
      <c r="H6990" s="38" t="n">
        <f aca="false">Sens!$H$6930</f>
        <v>26.1859456885487</v>
      </c>
      <c r="I6990" s="38" t="n">
        <f aca="false">Sens!$I$6930</f>
        <v>37.04424114757</v>
      </c>
      <c r="J6990" s="38" t="n">
        <f aca="false">Sens!$J$6930</f>
        <v>47.2610736233534</v>
      </c>
      <c r="K6990" s="38" t="n">
        <f aca="false">Sens!$K$6930</f>
        <v>52.0459876645985</v>
      </c>
      <c r="L6990" s="38" t="n">
        <f aca="false">Sens!$L$6930</f>
        <v>54.1033156405981</v>
      </c>
      <c r="M6990" s="38" t="n">
        <f aca="false">Sens!$M$6930</f>
        <v>52.1138209393421</v>
      </c>
      <c r="N6990" s="38" t="n">
        <f aca="false">Sens!$N$6930</f>
        <v>1.67921600037079</v>
      </c>
      <c r="O6990" s="38" t="n">
        <f aca="false">Sens!$O$6930</f>
        <v>3.71203473735861</v>
      </c>
    </row>
    <row r="6991" customFormat="false" ht="17.15" hidden="false" customHeight="false" outlineLevel="0" collapsed="false">
      <c r="A6991" s="0" t="s">
        <v>649</v>
      </c>
      <c r="B6991" s="0" t="s">
        <v>86</v>
      </c>
      <c r="C6991" s="38" t="n">
        <f aca="false">Sens!$C$6935</f>
        <v>38.1898211704631</v>
      </c>
      <c r="D6991" s="38" t="n">
        <f aca="false">Sens!$D$6935</f>
        <v>40.2147492622706</v>
      </c>
      <c r="E6991" s="38" t="n">
        <f aca="false">Sens!$E$6935</f>
        <v>27.5985138285251</v>
      </c>
      <c r="F6991" s="38" t="n">
        <f aca="false">Sens!$F$6935</f>
        <v>25.5484769754606</v>
      </c>
      <c r="G6991" s="38" t="n">
        <f aca="false">Sens!$G$6935</f>
        <v>53.1469908039857</v>
      </c>
      <c r="H6991" s="38" t="n">
        <f aca="false">Sens!$H$6935</f>
        <v>57.3189525076539</v>
      </c>
      <c r="I6991" s="38" t="n">
        <f aca="false">Sens!$I$6935</f>
        <v>63.6385627021087</v>
      </c>
      <c r="J6991" s="38" t="n">
        <f aca="false">Sens!$J$6935</f>
        <v>69.6922896066105</v>
      </c>
      <c r="K6991" s="38" t="n">
        <f aca="false">Sens!$K$6935</f>
        <v>75.2676727751394</v>
      </c>
      <c r="L6991" s="38" t="n">
        <f aca="false">Sens!$L$6935</f>
        <v>81.2890865971505</v>
      </c>
      <c r="M6991" s="38" t="n">
        <f aca="false">Sens!$M$6935</f>
        <v>87.7922135249226</v>
      </c>
      <c r="N6991" s="38" t="n">
        <f aca="false">Sens!$N$6935</f>
        <v>20.0277839996292</v>
      </c>
      <c r="O6991" s="38" t="n">
        <f aca="false">Sens!$O$6935</f>
        <v>20.1869652626414</v>
      </c>
    </row>
    <row r="6992" customFormat="false" ht="17.15" hidden="false" customHeight="false" outlineLevel="0" collapsed="false">
      <c r="A6992" s="1" t="s">
        <v>732</v>
      </c>
      <c r="B6992" s="8" t="s">
        <v>86</v>
      </c>
      <c r="C6992" s="38" t="n">
        <f aca="false">Q!$D$24</f>
        <v>39.834</v>
      </c>
      <c r="D6992" s="38" t="n">
        <f aca="false">Q!$E$24</f>
        <v>45.606</v>
      </c>
      <c r="E6992" s="38" t="n">
        <f aca="false">Q!$P$24</f>
        <v>30.782</v>
      </c>
      <c r="F6992" s="38" t="n">
        <f aca="false">Sens!$F$6990+Sens!$F$6991</f>
        <v>33.8265375718829</v>
      </c>
      <c r="G6992" s="38" t="n">
        <f aca="false">Sens!$G$6990+Sens!$G$6991</f>
        <v>64.6085375718829</v>
      </c>
      <c r="H6992" s="38" t="n">
        <f aca="false">Sens!$H$6990+Sens!$H$6991</f>
        <v>83.5048981962026</v>
      </c>
      <c r="I6992" s="38" t="n">
        <f aca="false">Sens!$I$6990+Sens!$I$6991</f>
        <v>100.682803849679</v>
      </c>
      <c r="J6992" s="38" t="n">
        <f aca="false">Sens!$J$6990+Sens!$J$6991</f>
        <v>116.953363229964</v>
      </c>
      <c r="K6992" s="38" t="n">
        <f aca="false">Sens!$K$6990+Sens!$K$6991</f>
        <v>127.313660439738</v>
      </c>
      <c r="L6992" s="38" t="n">
        <f aca="false">Sens!$L$6990+Sens!$L$6991</f>
        <v>135.392402237749</v>
      </c>
      <c r="M6992" s="38" t="n">
        <f aca="false">Sens!$M$6990+Sens!$M$6991</f>
        <v>139.906034464265</v>
      </c>
      <c r="N6992" s="38" t="n">
        <f aca="false">Q!$N$24</f>
        <v>21.707</v>
      </c>
      <c r="O6992" s="38" t="n">
        <f aca="false">Q!$O$24</f>
        <v>23.899</v>
      </c>
    </row>
    <row r="6993" customFormat="false" ht="17.15" hidden="false" customHeight="false" outlineLevel="0" collapsed="false">
      <c r="A6993" s="5" t="s">
        <v>733</v>
      </c>
      <c r="B6993" s="0" t="s">
        <v>86</v>
      </c>
      <c r="C6993" s="38" t="n">
        <f aca="false">Q!$D$26</f>
        <v>0</v>
      </c>
      <c r="D6993" s="38" t="n">
        <f aca="false">Q!$E$26</f>
        <v>0</v>
      </c>
      <c r="E6993" s="38" t="n">
        <f aca="false">Q!$P$26</f>
        <v>0</v>
      </c>
      <c r="F6993" s="39" t="n">
        <v>0</v>
      </c>
      <c r="G6993" s="38" t="n">
        <f aca="false">Sens!$E$6993+Sens!$F$6993</f>
        <v>0</v>
      </c>
      <c r="H6993" s="39" t="n">
        <v>0</v>
      </c>
      <c r="I6993" s="39" t="n">
        <v>0</v>
      </c>
      <c r="J6993" s="39" t="n">
        <v>0</v>
      </c>
      <c r="K6993" s="39" t="n">
        <v>0</v>
      </c>
      <c r="L6993" s="39" t="n">
        <v>0</v>
      </c>
      <c r="M6993" s="39" t="n">
        <v>0</v>
      </c>
      <c r="N6993" s="38" t="n">
        <f aca="false">Q!$N$26</f>
        <v>0</v>
      </c>
      <c r="O6993" s="38" t="n">
        <f aca="false">Q!$O$26</f>
        <v>0</v>
      </c>
    </row>
    <row r="6994" customFormat="false" ht="15" hidden="false" customHeight="false" outlineLevel="0" collapsed="false">
      <c r="A6994" s="3" t="s">
        <v>534</v>
      </c>
      <c r="B6994" s="8" t="s">
        <v>86</v>
      </c>
      <c r="C6994" s="38" t="n">
        <f aca="false">Q!$D$25</f>
        <v>68.593</v>
      </c>
      <c r="D6994" s="38" t="n">
        <f aca="false">Q!$E$25</f>
        <v>79.975</v>
      </c>
      <c r="E6994" s="38" t="n">
        <f aca="false">Q!$P$25</f>
        <v>51.313</v>
      </c>
      <c r="F6994" s="38" t="n">
        <f aca="false">Sens!$F$6984+Sens!$F$6989+Sens!$F$6992+Sens!$F$6993</f>
        <v>56.6904916268541</v>
      </c>
      <c r="G6994" s="38" t="n">
        <f aca="false">Sens!$G$6984+Sens!$G$6989+Sens!$G$6992+Sens!$G$6993</f>
        <v>108.003491626854</v>
      </c>
      <c r="H6994" s="38" t="n">
        <f aca="false">Sens!$H$6984+Sens!$H$6989+Sens!$H$6992+Sens!$H$6993</f>
        <v>131.546867769501</v>
      </c>
      <c r="I6994" s="38" t="n">
        <f aca="false">Sens!$I$6984+Sens!$I$6989+Sens!$I$6992+Sens!$I$6993</f>
        <v>151.443755203325</v>
      </c>
      <c r="J6994" s="38" t="n">
        <f aca="false">Sens!$J$6984+Sens!$J$6989+Sens!$J$6992+Sens!$J$6993</f>
        <v>169.831139392687</v>
      </c>
      <c r="K6994" s="38" t="n">
        <f aca="false">Sens!$K$6984+Sens!$K$6989+Sens!$K$6992+Sens!$K$6993</f>
        <v>181.415212493822</v>
      </c>
      <c r="L6994" s="38" t="n">
        <f aca="false">Sens!$L$6984+Sens!$L$6989+Sens!$L$6992+Sens!$L$6993</f>
        <v>192.215984468159</v>
      </c>
      <c r="M6994" s="38" t="n">
        <f aca="false">Sens!$M$6984+Sens!$M$6989+Sens!$M$6992+Sens!$M$6993</f>
        <v>202.255862244218</v>
      </c>
      <c r="N6994" s="38" t="n">
        <f aca="false">Q!$N$25</f>
        <v>37.576</v>
      </c>
      <c r="O6994" s="38" t="n">
        <f aca="false">Q!$O$25</f>
        <v>42.399</v>
      </c>
    </row>
    <row r="6995" customFormat="false" ht="17.15" hidden="false" customHeight="false" outlineLevel="0" collapsed="false">
      <c r="A6995" s="24" t="s">
        <v>764</v>
      </c>
      <c r="B6995" s="25" t="s">
        <v>86</v>
      </c>
      <c r="C6995" s="41" t="n">
        <f aca="false">Sens!$C$6984+Sens!$C$6989+Sens!$C$6992+Sens!$C$6993-Sens!$C$6994</f>
        <v>0</v>
      </c>
      <c r="D6995" s="41" t="n">
        <f aca="false">Sens!$D$6984+Sens!$D$6989+Sens!$D$6992+Sens!$D$6993-Sens!$D$6994</f>
        <v>0</v>
      </c>
      <c r="E6995" s="41" t="n">
        <f aca="false">Sens!$E$6984+Sens!$E$6989+Sens!$E$6992+Sens!$E$6993-Sens!$E$6994</f>
        <v>0</v>
      </c>
      <c r="F6995" s="41" t="n">
        <f aca="false">Sens!$F$6984+Sens!$F$6989+Sens!$F$6992+Sens!$F$6993-Sens!$F$6994</f>
        <v>0</v>
      </c>
      <c r="G6995" s="41" t="n">
        <f aca="false">Sens!$G$6984+Sens!$G$6989+Sens!$G$6992+Sens!$G$6993-Sens!$G$6994</f>
        <v>0</v>
      </c>
      <c r="H6995" s="41" t="n">
        <f aca="false">Sens!$H$6984+Sens!$H$6989+Sens!$H$6992+Sens!$H$6993-Sens!$H$6994</f>
        <v>0</v>
      </c>
      <c r="I6995" s="41" t="n">
        <f aca="false">Sens!$I$6984+Sens!$I$6989+Sens!$I$6992+Sens!$I$6993-Sens!$I$6994</f>
        <v>0</v>
      </c>
      <c r="J6995" s="41" t="n">
        <f aca="false">Sens!$J$6984+Sens!$J$6989+Sens!$J$6992+Sens!$J$6993-Sens!$J$6994</f>
        <v>0</v>
      </c>
      <c r="K6995" s="41" t="n">
        <f aca="false">Sens!$K$6984+Sens!$K$6989+Sens!$K$6992+Sens!$K$6993-Sens!$K$6994</f>
        <v>0</v>
      </c>
      <c r="L6995" s="41" t="n">
        <f aca="false">Sens!$L$6984+Sens!$L$6989+Sens!$L$6992+Sens!$L$6993-Sens!$L$6994</f>
        <v>0</v>
      </c>
      <c r="M6995" s="41" t="n">
        <f aca="false">Sens!$M$6984+Sens!$M$6989+Sens!$M$6992+Sens!$M$6993-Sens!$M$6994</f>
        <v>0</v>
      </c>
      <c r="N6995" s="41" t="n">
        <f aca="false">Sens!$N$6984+Sens!$N$6989+Sens!$N$6992+Sens!$N$6993-Sens!$N$6994</f>
        <v>0</v>
      </c>
      <c r="O6995" s="41" t="n">
        <f aca="false">Sens!$O$6984+Sens!$O$6989+Sens!$O$6992+Sens!$O$6993-Sens!$O$6994</f>
        <v>0</v>
      </c>
    </row>
    <row r="6996" customFormat="false" ht="17.15" hidden="false" customHeight="false" outlineLevel="0" collapsed="false">
      <c r="A6996" s="5" t="s">
        <v>735</v>
      </c>
      <c r="B6996" s="0" t="s">
        <v>86</v>
      </c>
      <c r="C6996" s="38" t="n">
        <f aca="false">Sens!$C$6932</f>
        <v>0</v>
      </c>
      <c r="D6996" s="38" t="n">
        <f aca="false">Sens!$D$6932</f>
        <v>0</v>
      </c>
      <c r="E6996" s="38" t="n">
        <f aca="false">Sens!$E$6932</f>
        <v>0</v>
      </c>
      <c r="F6996" s="38" t="n">
        <f aca="false">Sens!$F$6932</f>
        <v>3.77122048175818</v>
      </c>
      <c r="G6996" s="38" t="n">
        <f aca="false">Sens!$G$6932</f>
        <v>3.77122048175818</v>
      </c>
      <c r="H6996" s="38" t="n">
        <f aca="false">Sens!$H$6932</f>
        <v>15.1635543609893</v>
      </c>
      <c r="I6996" s="38" t="n">
        <f aca="false">Sens!$I$6932</f>
        <v>25.5818843619889</v>
      </c>
      <c r="J6996" s="38" t="n">
        <f aca="false">Sens!$J$6932</f>
        <v>36.0465624179122</v>
      </c>
      <c r="K6996" s="38" t="n">
        <f aca="false">Sens!$K$6932</f>
        <v>44.9741164026038</v>
      </c>
      <c r="L6996" s="38" t="n">
        <f aca="false">Sens!$L$6932</f>
        <v>50.8413488057813</v>
      </c>
      <c r="M6996" s="38" t="n">
        <f aca="false">Sens!$M$6932</f>
        <v>53.6407214274315</v>
      </c>
      <c r="N6996" s="38" t="n">
        <f aca="false">Sens!$N$6932</f>
        <v>0</v>
      </c>
      <c r="O6996" s="38" t="n">
        <f aca="false">Sens!$O$6932</f>
        <v>0</v>
      </c>
      <c r="P6996" s="5" t="s">
        <v>736</v>
      </c>
    </row>
    <row r="6997" customFormat="false" ht="17.15" hidden="false" customHeight="false" outlineLevel="0" collapsed="false">
      <c r="A6997" s="5" t="s">
        <v>737</v>
      </c>
      <c r="B6997" s="0" t="s">
        <v>86</v>
      </c>
      <c r="C6997" s="38" t="n">
        <f aca="false">Sens!$C$6994+Sens!$C$6996</f>
        <v>68.593</v>
      </c>
      <c r="D6997" s="38" t="n">
        <f aca="false">Sens!$D$6994+Sens!$D$6996</f>
        <v>79.975</v>
      </c>
      <c r="E6997" s="38" t="n">
        <f aca="false">Sens!$E$6994+Sens!$E$6996</f>
        <v>51.313</v>
      </c>
      <c r="F6997" s="38" t="n">
        <f aca="false">Sens!$F$6994+Sens!$F$6996</f>
        <v>60.4617121086123</v>
      </c>
      <c r="G6997" s="38" t="n">
        <f aca="false">Sens!$G$6994+Sens!$G$6996</f>
        <v>111.774712108612</v>
      </c>
      <c r="H6997" s="38" t="n">
        <f aca="false">Sens!$H$6994+Sens!$H$6996</f>
        <v>146.71042213049</v>
      </c>
      <c r="I6997" s="38" t="n">
        <f aca="false">Sens!$I$6994+Sens!$I$6996</f>
        <v>177.025639565314</v>
      </c>
      <c r="J6997" s="38" t="n">
        <f aca="false">Sens!$J$6994+Sens!$J$6996</f>
        <v>205.877701810599</v>
      </c>
      <c r="K6997" s="38" t="n">
        <f aca="false">Sens!$K$6994+Sens!$K$6996</f>
        <v>226.389328896426</v>
      </c>
      <c r="L6997" s="38" t="n">
        <f aca="false">Sens!$L$6994+Sens!$L$6996</f>
        <v>243.057333273941</v>
      </c>
      <c r="M6997" s="38" t="n">
        <f aca="false">Sens!$M$6994+Sens!$M$6996</f>
        <v>255.896583671649</v>
      </c>
      <c r="N6997" s="38" t="n">
        <f aca="false">Sens!$N$6994+Sens!$N$6996</f>
        <v>37.576</v>
      </c>
      <c r="O6997" s="38" t="n">
        <f aca="false">Sens!$O$6994+Sens!$O$6996</f>
        <v>42.399</v>
      </c>
    </row>
    <row r="6998" customFormat="false" ht="17.15" hidden="false" customHeight="false" outlineLevel="0" collapsed="false">
      <c r="A6998" s="0" t="s">
        <v>738</v>
      </c>
      <c r="B6998" s="0" t="s">
        <v>52</v>
      </c>
      <c r="C6998" s="13" t="n">
        <f aca="false">Sens!$C$6984/Sens!$C$6969</f>
        <v>0.0644314665661928</v>
      </c>
      <c r="D6998" s="13" t="n">
        <f aca="false">Sens!$D$6984/Sens!$D$6969</f>
        <v>0.0694784250712518</v>
      </c>
      <c r="E6998" s="13" t="n">
        <f aca="false">Sens!$E$6984/Sens!$E$6969</f>
        <v>0.0789306463326071</v>
      </c>
      <c r="F6998" s="13" t="n">
        <f aca="false">Sens!$F$6984/Sens!$F$6969</f>
        <v>0.0801757457241943</v>
      </c>
      <c r="G6998" s="13" t="n">
        <f aca="false">Sens!$G$6984/Sens!$G$6969</f>
        <v>0.0795932749625682</v>
      </c>
      <c r="H6998" s="13" t="n">
        <f aca="false">Sens!$H$6984/Sens!$H$6969</f>
        <v>0.0801494276915951</v>
      </c>
      <c r="I6998" s="13" t="n">
        <f aca="false">Sens!$I$6984/Sens!$I$6969</f>
        <v>0.0784619467108939</v>
      </c>
      <c r="J6998" s="13" t="n">
        <f aca="false">Sens!$J$6984/Sens!$J$6969</f>
        <v>0.0767950945569155</v>
      </c>
      <c r="K6998" s="13" t="n">
        <f aca="false">Sens!$K$6984/Sens!$K$6969</f>
        <v>0.0749782708028101</v>
      </c>
      <c r="L6998" s="13" t="n">
        <f aca="false">Sens!$L$6984/Sens!$L$6969</f>
        <v>0.0740581549602486</v>
      </c>
      <c r="M6998" s="13" t="n">
        <f aca="false">Sens!$M$6984/Sens!$M$6969</f>
        <v>0.075724068445432</v>
      </c>
      <c r="N6998" s="13" t="n">
        <f aca="false">Sens!$N$6984/Sens!$N$6969</f>
        <v>0.069228576611127</v>
      </c>
      <c r="O6998" s="13" t="n">
        <f aca="false">Sens!$O$6984/Sens!$O$6969</f>
        <v>0.069685022498393</v>
      </c>
    </row>
    <row r="6999" customFormat="false" ht="17.15" hidden="false" customHeight="false" outlineLevel="0" collapsed="false">
      <c r="A6999" s="0" t="s">
        <v>739</v>
      </c>
      <c r="B6999" s="0" t="s">
        <v>52</v>
      </c>
      <c r="C6999" s="13" t="n">
        <f aca="false">Sens!$C$6989/Sens!$C$6970</f>
        <v>0.026534925055631</v>
      </c>
      <c r="D6999" s="13" t="n">
        <f aca="false">Sens!$D$6989/Sens!$D$6970</f>
        <v>0.0293401855535103</v>
      </c>
      <c r="E6999" s="13" t="n">
        <f aca="false">Sens!$E$6989/Sens!$E$6970</f>
        <v>0.03831141902276</v>
      </c>
      <c r="F6999" s="13" t="n">
        <f aca="false">Sens!$F$6989/Sens!$F$6970</f>
        <v>0.0281350107328284</v>
      </c>
      <c r="G6999" s="13" t="n">
        <f aca="false">Sens!$G$6989/Sens!$G$6970</f>
        <v>0.0327600029432073</v>
      </c>
      <c r="H6999" s="13" t="n">
        <f aca="false">Sens!$H$6989/Sens!$H$6970</f>
        <v>0.031310920057557</v>
      </c>
      <c r="I6999" s="13" t="n">
        <f aca="false">Sens!$I$6989/Sens!$I$6970</f>
        <v>0.0275950243319601</v>
      </c>
      <c r="J6999" s="13" t="n">
        <f aca="false">Sens!$J$6989/Sens!$J$6970</f>
        <v>0.0238367762099147</v>
      </c>
      <c r="K6999" s="13" t="n">
        <f aca="false">Sens!$K$6989/Sens!$K$6970</f>
        <v>0.0198239122855479</v>
      </c>
      <c r="L6999" s="13" t="n">
        <f aca="false">Sens!$L$6989/Sens!$L$6970</f>
        <v>0.0192499447238486</v>
      </c>
      <c r="M6999" s="13" t="n">
        <f aca="false">Sens!$M$6989/Sens!$M$6970</f>
        <v>0.0212700135680342</v>
      </c>
      <c r="N6999" s="13" t="n">
        <f aca="false">Sens!$N$6989/Sens!$N$6970</f>
        <v>0.0357315650169337</v>
      </c>
      <c r="O6999" s="13" t="n">
        <f aca="false">Sens!$O$6989/Sens!$O$6970</f>
        <v>0.0244378956559703</v>
      </c>
    </row>
    <row r="7000" customFormat="false" ht="17.15" hidden="false" customHeight="false" outlineLevel="0" collapsed="false">
      <c r="A7000" s="14" t="s">
        <v>740</v>
      </c>
      <c r="B7000" s="14" t="s">
        <v>52</v>
      </c>
      <c r="C7000" s="17" t="n">
        <f aca="false">Sens!$C$6992/Sens!$C$6971</f>
        <v>0.370355907620217</v>
      </c>
      <c r="D7000" s="17" t="n">
        <f aca="false">Sens!$D$6992/Sens!$D$6971</f>
        <v>0.35429015342785</v>
      </c>
      <c r="E7000" s="17" t="n">
        <f aca="false">Sens!$E$6992/Sens!$E$6971</f>
        <v>0.385647527531039</v>
      </c>
      <c r="F7000" s="17" t="n">
        <f aca="false">Sens!$F$6992/Sens!$F$6971</f>
        <v>0.390008895496028</v>
      </c>
      <c r="G7000" s="17" t="n">
        <f aca="false">Sens!$G$6992/Sens!$G$6971</f>
        <v>0.387918733944362</v>
      </c>
      <c r="H7000" s="17" t="n">
        <f aca="false">Sens!$H$6992/Sens!$H$6971</f>
        <v>0.377537651365497</v>
      </c>
      <c r="I7000" s="17" t="n">
        <f aca="false">Sens!$I$6992/Sens!$I$6971</f>
        <v>0.359230604038662</v>
      </c>
      <c r="J7000" s="17" t="n">
        <f aca="false">Sens!$J$6992/Sens!$J$6971</f>
        <v>0.345197865849801</v>
      </c>
      <c r="K7000" s="17" t="n">
        <f aca="false">Sens!$K$6992/Sens!$K$6971</f>
        <v>0.32654098357242</v>
      </c>
      <c r="L7000" s="17" t="n">
        <f aca="false">Sens!$L$6992/Sens!$L$6971</f>
        <v>0.314806978274702</v>
      </c>
      <c r="M7000" s="17" t="n">
        <f aca="false">Sens!$M$6992/Sens!$M$6971</f>
        <v>0.304503505485029</v>
      </c>
      <c r="N7000" s="17" t="n">
        <f aca="false">Sens!$N$6992/Sens!$N$6971</f>
        <v>0.360941137346192</v>
      </c>
      <c r="O7000" s="17" t="n">
        <f aca="false">Sens!$O$6992/Sens!$O$6971</f>
        <v>0.348458117664212</v>
      </c>
    </row>
    <row r="7001" customFormat="false" ht="17.15" hidden="false" customHeight="false" outlineLevel="0" collapsed="false">
      <c r="A7001" s="0" t="s">
        <v>741</v>
      </c>
      <c r="B7001" s="0" t="s">
        <v>52</v>
      </c>
      <c r="C7001" s="13" t="n">
        <f aca="false">Sens!$C$6990/Sens!$C$6972</f>
        <v>0.708390794789371</v>
      </c>
      <c r="D7001" s="13" t="n">
        <f aca="false">Sens!$D$6990/Sens!$D$6972</f>
        <v>0.619415573115729</v>
      </c>
      <c r="E7001" s="13" t="n">
        <f aca="false">Sens!$E$6990/Sens!$E$6972</f>
        <v>0.374072166056273</v>
      </c>
      <c r="F7001" s="13" t="n">
        <f aca="false">Sens!$F$6990/Sens!$F$6972</f>
        <v>0.553219320710057</v>
      </c>
      <c r="G7001" s="13" t="n">
        <f aca="false">Sens!$G$6990/Sens!$G$6972</f>
        <v>0.488270041527512</v>
      </c>
      <c r="H7001" s="13" t="n">
        <f aca="false">Sens!$H$6990/Sens!$H$6972</f>
        <v>0.435229086816882</v>
      </c>
      <c r="I7001" s="13" t="n">
        <f aca="false">Sens!$I$6990/Sens!$I$6972</f>
        <v>0.364954592421095</v>
      </c>
      <c r="J7001" s="13" t="n">
        <f aca="false">Sens!$J$6990/Sens!$J$6972</f>
        <v>0.330438308582232</v>
      </c>
      <c r="K7001" s="13" t="n">
        <f aca="false">Sens!$K$6990/Sens!$K$6972</f>
        <v>0.2916589289528</v>
      </c>
      <c r="L7001" s="13" t="n">
        <f aca="false">Sens!$L$6990/Sens!$L$6972</f>
        <v>0.268199200593258</v>
      </c>
      <c r="M7001" s="13" t="n">
        <f aca="false">Sens!$M$6990/Sens!$M$6972</f>
        <v>0.244854995033574</v>
      </c>
      <c r="N7001" s="13" t="n">
        <f aca="false">Sens!$N$6990/Sens!$N$6972</f>
        <v>0.551227795793364</v>
      </c>
      <c r="O7001" s="13" t="n">
        <f aca="false">Sens!$O$6990/Sens!$O$6972</f>
        <v>0.656132068597002</v>
      </c>
    </row>
    <row r="7002" customFormat="false" ht="15" hidden="false" customHeight="false" outlineLevel="0" collapsed="false">
      <c r="A7002" s="5" t="s">
        <v>742</v>
      </c>
      <c r="B7002" s="0" t="s">
        <v>52</v>
      </c>
      <c r="C7002" s="13" t="n">
        <f aca="false">Sens!$C$6994/Sens!$C$6974</f>
        <v>0.107519448742004</v>
      </c>
      <c r="D7002" s="13" t="n">
        <f aca="false">Sens!$D$6994/Sens!$D$6974</f>
        <v>0.111552967957552</v>
      </c>
      <c r="E7002" s="13" t="n">
        <f aca="false">Sens!$E$6994/Sens!$E$6974</f>
        <v>0.13428328426562</v>
      </c>
      <c r="F7002" s="13" t="n">
        <f aca="false">Sens!$F$6994/Sens!$F$6974</f>
        <v>0.130089413875539</v>
      </c>
      <c r="G7002" s="13" t="n">
        <f aca="false">Sens!$G$6994/Sens!$G$6974</f>
        <v>0.132048786678316</v>
      </c>
      <c r="H7002" s="13" t="n">
        <f aca="false">Sens!$H$6994/Sens!$H$6974</f>
        <v>0.139604881440853</v>
      </c>
      <c r="I7002" s="13" t="n">
        <f aca="false">Sens!$I$6994/Sens!$I$6974</f>
        <v>0.141694752432769</v>
      </c>
      <c r="J7002" s="13" t="n">
        <f aca="false">Sens!$J$6994/Sens!$J$6974</f>
        <v>0.14272611544629</v>
      </c>
      <c r="K7002" s="13" t="n">
        <f aca="false">Sens!$K$6994/Sens!$K$6974</f>
        <v>0.139974160596744</v>
      </c>
      <c r="L7002" s="13" t="n">
        <f aca="false">Sens!$L$6994/Sens!$L$6974</f>
        <v>0.137772071866073</v>
      </c>
      <c r="M7002" s="13" t="n">
        <f aca="false">Sens!$M$6994/Sens!$M$6974</f>
        <v>0.13596080857516</v>
      </c>
      <c r="N7002" s="13" t="n">
        <f aca="false">Sens!$N$6994/Sens!$N$6974</f>
        <v>0.116201614873411</v>
      </c>
      <c r="O7002" s="13" t="n">
        <f aca="false">Sens!$O$6994/Sens!$O$6974</f>
        <v>0.107733353660861</v>
      </c>
    </row>
    <row r="7003" customFormat="false" ht="17.15" hidden="false" customHeight="false" outlineLevel="0" collapsed="false">
      <c r="A7003" s="1" t="s">
        <v>743</v>
      </c>
    </row>
    <row r="7004" customFormat="false" ht="17.15" hidden="false" customHeight="false" outlineLevel="0" collapsed="false">
      <c r="A7004" s="5" t="s">
        <v>744</v>
      </c>
      <c r="B7004" s="0" t="s">
        <v>52</v>
      </c>
      <c r="D7004" s="28" t="n">
        <f aca="false">(Q!$E$29+Q!$E$30-(1-ext_sh)*Sens!$D$6926)/Sens!$D$6880</f>
        <v>0.0341105596409988</v>
      </c>
    </row>
    <row r="7005" customFormat="false" ht="17.15" hidden="false" customHeight="false" outlineLevel="0" collapsed="false">
      <c r="A7005" s="0" t="s">
        <v>538</v>
      </c>
      <c r="B7005" s="0" t="s">
        <v>86</v>
      </c>
      <c r="C7005" s="38" t="n">
        <f aca="false">Q!$D$29</f>
        <v>14.285</v>
      </c>
      <c r="D7005" s="38" t="n">
        <f aca="false">Q!$E$29</f>
        <v>15.503</v>
      </c>
      <c r="E7005" s="38" t="n">
        <f aca="false">Q!$P$29</f>
        <v>8.78</v>
      </c>
      <c r="F7005" s="38" t="n">
        <f aca="false">(Sens!$D$7004*Sens!$F$6880+(1-ext_sh)*Sens!$F$6926)*Sens!$F$6881</f>
        <v>9.16735846116642</v>
      </c>
      <c r="G7005" s="38" t="n">
        <f aca="false">Sens!$E$7005+Sens!$F$7005</f>
        <v>17.9473584611664</v>
      </c>
      <c r="H7005" s="38" t="n">
        <f aca="false">(Sens!$D$7004*Sens!$H$6880+(1-ext_sh)*Sens!$H$6926)*Sens!$H$6881</f>
        <v>21.6406723110177</v>
      </c>
      <c r="I7005" s="38" t="n">
        <f aca="false">(Sens!$D$7004*Sens!$I$6880+(1-ext_sh)*Sens!$I$6926)*Sens!$I$6881</f>
        <v>27.3128215555087</v>
      </c>
      <c r="J7005" s="38" t="n">
        <f aca="false">(Sens!$D$7004*Sens!$J$6880+(1-ext_sh)*Sens!$J$6926)*Sens!$J$6881</f>
        <v>33.0116861885756</v>
      </c>
      <c r="K7005" s="38" t="n">
        <f aca="false">(Sens!$D$7004*Sens!$K$6880+(1-ext_sh)*Sens!$K$6926)*Sens!$K$6881</f>
        <v>38.6250238720245</v>
      </c>
      <c r="L7005" s="38" t="n">
        <f aca="false">(Sens!$D$7004*Sens!$L$6880+(1-ext_sh)*Sens!$L$6926)*Sens!$L$6881</f>
        <v>43.0711535197861</v>
      </c>
      <c r="M7005" s="38" t="n">
        <f aca="false">(Sens!$D$7004*Sens!$M$6880+(1-ext_sh)*Sens!$M$6926)*Sens!$M$6881</f>
        <v>46.590728630326</v>
      </c>
      <c r="N7005" s="38" t="n">
        <f aca="false">Q!$N$29</f>
        <v>7.272</v>
      </c>
      <c r="O7005" s="38" t="n">
        <f aca="false">Q!$O$29</f>
        <v>8.231</v>
      </c>
    </row>
    <row r="7006" customFormat="false" ht="17.15" hidden="false" customHeight="false" outlineLevel="0" collapsed="false">
      <c r="A7006" s="0" t="s">
        <v>540</v>
      </c>
      <c r="B7006" s="0" t="s">
        <v>86</v>
      </c>
      <c r="C7006" s="38" t="n">
        <f aca="false">Q!$D$30</f>
        <v>4.462</v>
      </c>
      <c r="D7006" s="38" t="n">
        <f aca="false">Q!$E$30</f>
        <v>4.907</v>
      </c>
      <c r="E7006" s="38" t="n">
        <f aca="false">Q!$P$30</f>
        <v>2.57</v>
      </c>
      <c r="F7006" s="38" t="n">
        <f aca="false">(Sens!$D$7004*Sens!$F$6880+(1-ext_sh)*Sens!$F$6926)*(1-Sens!$F$6881)</f>
        <v>3.59937168293151</v>
      </c>
      <c r="G7006" s="38" t="n">
        <f aca="false">Sens!$E$7006+Sens!$F$7006</f>
        <v>6.16937168293151</v>
      </c>
      <c r="H7006" s="38" t="n">
        <f aca="false">(Sens!$D$7004*Sens!$H$6880+(1-ext_sh)*Sens!$H$6926)*(1-Sens!$H$6881)</f>
        <v>8.28915290031442</v>
      </c>
      <c r="I7006" s="38" t="n">
        <f aca="false">(Sens!$D$7004*Sens!$I$6880+(1-ext_sh)*Sens!$I$6926)*(1-Sens!$I$6881)</f>
        <v>10.4617892992793</v>
      </c>
      <c r="J7006" s="38" t="n">
        <f aca="false">(Sens!$D$7004*Sens!$J$6880+(1-ext_sh)*Sens!$J$6926)*(1-Sens!$J$6881)</f>
        <v>12.6446586493057</v>
      </c>
      <c r="K7006" s="38" t="n">
        <f aca="false">(Sens!$D$7004*Sens!$K$6880+(1-ext_sh)*Sens!$K$6926)*(1-Sens!$K$6881)</f>
        <v>14.7947681131192</v>
      </c>
      <c r="L7006" s="38" t="n">
        <f aca="false">(Sens!$D$7004*Sens!$L$6880+(1-ext_sh)*Sens!$L$6926)*(1-Sens!$L$6881)</f>
        <v>16.4977950771268</v>
      </c>
      <c r="M7006" s="38" t="n">
        <f aca="false">(Sens!$D$7004*Sens!$M$6880+(1-ext_sh)*Sens!$M$6926)*(1-Sens!$M$6881)</f>
        <v>17.8459184540772</v>
      </c>
      <c r="N7006" s="38" t="n">
        <f aca="false">Q!$N$30</f>
        <v>2.316</v>
      </c>
      <c r="O7006" s="38" t="n">
        <f aca="false">Q!$O$30</f>
        <v>2.591</v>
      </c>
    </row>
    <row r="7007" customFormat="false" ht="17.15" hidden="false" customHeight="false" outlineLevel="0" collapsed="false">
      <c r="A7007" s="0" t="s">
        <v>541</v>
      </c>
      <c r="B7007" s="0" t="s">
        <v>86</v>
      </c>
      <c r="C7007" s="38" t="n">
        <f aca="false">Sens!$C$6938</f>
        <v>13.32</v>
      </c>
      <c r="D7007" s="38" t="n">
        <f aca="false">Sens!$D$6938</f>
        <v>21.45</v>
      </c>
      <c r="E7007" s="38" t="n">
        <f aca="false">Sens!$E$6938</f>
        <v>15.353</v>
      </c>
      <c r="F7007" s="38" t="n">
        <f aca="false">Sens!$F$6938</f>
        <v>15.4404120185306</v>
      </c>
      <c r="G7007" s="38" t="n">
        <f aca="false">Sens!$G$6938</f>
        <v>30.7934120185306</v>
      </c>
      <c r="H7007" s="38" t="n">
        <f aca="false">Sens!$H$6938</f>
        <v>48.250114371455</v>
      </c>
      <c r="I7007" s="38" t="n">
        <f aca="false">Sens!$I$6938</f>
        <v>73.3965146995963</v>
      </c>
      <c r="J7007" s="38" t="n">
        <f aca="false">Sens!$J$6938</f>
        <v>99.22806138309</v>
      </c>
      <c r="K7007" s="38" t="n">
        <f aca="false">Sens!$K$6938</f>
        <v>125.386627452856</v>
      </c>
      <c r="L7007" s="38" t="n">
        <f aca="false">Sens!$L$6938</f>
        <v>144.77239043275</v>
      </c>
      <c r="M7007" s="38" t="n">
        <f aca="false">Sens!$M$6938</f>
        <v>158.693930910983</v>
      </c>
      <c r="N7007" s="38" t="n">
        <f aca="false">Sens!$N$6938</f>
        <v>9.234</v>
      </c>
      <c r="O7007" s="38" t="n">
        <f aca="false">Sens!$O$6938</f>
        <v>12.216</v>
      </c>
    </row>
    <row r="7008" customFormat="false" ht="17.15" hidden="false" customHeight="false" outlineLevel="0" collapsed="false">
      <c r="A7008" s="5" t="s">
        <v>745</v>
      </c>
      <c r="B7008" s="0" t="s">
        <v>86</v>
      </c>
      <c r="C7008" s="38" t="n">
        <f aca="false">Sens!$C$7005+Sens!$C$7006+Sens!$C$7007</f>
        <v>32.067</v>
      </c>
      <c r="D7008" s="38" t="n">
        <f aca="false">Sens!$D$7005+Sens!$D$7006+Sens!$D$7007</f>
        <v>41.86</v>
      </c>
      <c r="E7008" s="38" t="n">
        <f aca="false">Sens!$E$7005+Sens!$E$7006+Sens!$E$7007</f>
        <v>26.703</v>
      </c>
      <c r="F7008" s="38" t="n">
        <f aca="false">Sens!$F$7005+Sens!$F$7006+Sens!$F$7007</f>
        <v>28.2071421626285</v>
      </c>
      <c r="G7008" s="38" t="n">
        <f aca="false">Sens!$G$7005+Sens!$G$7006+Sens!$G$7007</f>
        <v>54.9101421626285</v>
      </c>
      <c r="H7008" s="38" t="n">
        <f aca="false">Sens!$H$7005+Sens!$H$7006+Sens!$H$7007</f>
        <v>78.1799395827871</v>
      </c>
      <c r="I7008" s="38" t="n">
        <f aca="false">Sens!$I$7005+Sens!$I$7006+Sens!$I$7007</f>
        <v>111.171125554384</v>
      </c>
      <c r="J7008" s="38" t="n">
        <f aca="false">Sens!$J$7005+Sens!$J$7006+Sens!$J$7007</f>
        <v>144.884406220971</v>
      </c>
      <c r="K7008" s="38" t="n">
        <f aca="false">Sens!$K$7005+Sens!$K$7006+Sens!$K$7007</f>
        <v>178.806419437999</v>
      </c>
      <c r="L7008" s="38" t="n">
        <f aca="false">Sens!$L$7005+Sens!$L$7006+Sens!$L$7007</f>
        <v>204.341339029663</v>
      </c>
      <c r="M7008" s="38" t="n">
        <f aca="false">Sens!$M$7005+Sens!$M$7006+Sens!$M$7007</f>
        <v>223.130577995387</v>
      </c>
      <c r="N7008" s="38" t="n">
        <f aca="false">Sens!$N$7005+Sens!$N$7006+Sens!$N$7007</f>
        <v>18.822</v>
      </c>
      <c r="O7008" s="38" t="n">
        <f aca="false">Sens!$O$7005+Sens!$O$7006+Sens!$O$7007</f>
        <v>23.038</v>
      </c>
    </row>
    <row r="7009" customFormat="false" ht="17.15" hidden="false" customHeight="false" outlineLevel="0" collapsed="false">
      <c r="A7009" s="0" t="s">
        <v>746</v>
      </c>
      <c r="B7009" s="0" t="s">
        <v>86</v>
      </c>
      <c r="C7009" s="38" t="n">
        <f aca="false">Sens!$C$6980+Sens!$C$6985</f>
        <v>28.107</v>
      </c>
      <c r="D7009" s="38" t="n">
        <f aca="false">Sens!$D$6980+Sens!$D$6985</f>
        <v>34.3175</v>
      </c>
      <c r="E7009" s="38" t="n">
        <f aca="false">Sens!$E$6980+Sens!$E$6985</f>
        <v>18.526</v>
      </c>
      <c r="F7009" s="38" t="n">
        <f aca="false">Sens!$F$6980+Sens!$F$6985</f>
        <v>23.0786109972074</v>
      </c>
      <c r="G7009" s="38" t="n">
        <f aca="false">Sens!$G$6980+Sens!$G$6985</f>
        <v>41.6046109972074</v>
      </c>
      <c r="H7009" s="38" t="n">
        <f aca="false">Sens!$H$6980+Sens!$H$6985</f>
        <v>49.9484611939488</v>
      </c>
      <c r="I7009" s="38" t="n">
        <f aca="false">Sens!$I$6980+Sens!$I$6985</f>
        <v>58.2915555477481</v>
      </c>
      <c r="J7009" s="38" t="n">
        <f aca="false">Sens!$J$6980+Sens!$J$6985</f>
        <v>66.0744709709759</v>
      </c>
      <c r="K7009" s="38" t="n">
        <f aca="false">Sens!$K$6980+Sens!$K$6985</f>
        <v>72.6819180680735</v>
      </c>
      <c r="L7009" s="38" t="n">
        <f aca="false">Sens!$L$6980+Sens!$L$6985</f>
        <v>79.9501098748808</v>
      </c>
      <c r="M7009" s="38" t="n">
        <f aca="false">Sens!$M$6980+Sens!$M$6985</f>
        <v>87.9451208623689</v>
      </c>
      <c r="N7009" s="38" t="n">
        <f aca="false">Sens!$N$6980+Sens!$N$6985</f>
        <v>14.8075</v>
      </c>
      <c r="O7009" s="38" t="n">
        <f aca="false">Sens!$O$6980+Sens!$O$6985</f>
        <v>19.51</v>
      </c>
    </row>
    <row r="7010" customFormat="false" ht="17.15" hidden="false" customHeight="false" outlineLevel="0" collapsed="false">
      <c r="A7010" s="0" t="s">
        <v>747</v>
      </c>
      <c r="B7010" s="0" t="s">
        <v>86</v>
      </c>
      <c r="C7010" s="38" t="n">
        <f aca="false">Sens!$C$6984+Sens!$C$6989+Sens!$C$7005+Sens!$C$7006-Sens!$C$7009</f>
        <v>19.399</v>
      </c>
      <c r="D7010" s="38" t="n">
        <f aca="false">Sens!$D$6984+Sens!$D$6989+Sens!$D$7005+Sens!$D$7006-Sens!$D$7009</f>
        <v>20.4615</v>
      </c>
      <c r="E7010" s="38" t="n">
        <f aca="false">Sens!$E$6984+Sens!$E$6989+Sens!$E$7005+Sens!$E$7006-Sens!$E$7009</f>
        <v>13.355</v>
      </c>
      <c r="F7010" s="38" t="n">
        <f aca="false">Sens!$F$6984+Sens!$F$6989+Sens!$F$7005+Sens!$F$7006-Sens!$F$7009</f>
        <v>12.5520732018618</v>
      </c>
      <c r="G7010" s="38" t="n">
        <f aca="false">Sens!$G$6984+Sens!$G$6989+Sens!$G$7005+Sens!$G$7006-Sens!$G$7009</f>
        <v>25.9070732018618</v>
      </c>
      <c r="H7010" s="38" t="n">
        <f aca="false">Sens!$H$6984+Sens!$H$6989+Sens!$H$7005+Sens!$H$7006-Sens!$H$7009</f>
        <v>28.0233335906818</v>
      </c>
      <c r="I7010" s="38" t="n">
        <f aca="false">Sens!$I$6984+Sens!$I$6989+Sens!$I$7005+Sens!$I$7006-Sens!$I$7009</f>
        <v>30.2440066606864</v>
      </c>
      <c r="J7010" s="38" t="n">
        <f aca="false">Sens!$J$6984+Sens!$J$6989+Sens!$J$7005+Sens!$J$7006-Sens!$J$7009</f>
        <v>32.4596500296286</v>
      </c>
      <c r="K7010" s="38" t="n">
        <f aca="false">Sens!$K$6984+Sens!$K$6989+Sens!$K$7005+Sens!$K$7006-Sens!$K$7009</f>
        <v>34.839425971154</v>
      </c>
      <c r="L7010" s="38" t="n">
        <f aca="false">Sens!$L$6984+Sens!$L$6989+Sens!$L$7005+Sens!$L$7006-Sens!$L$7009</f>
        <v>36.4424209524427</v>
      </c>
      <c r="M7010" s="38" t="n">
        <f aca="false">Sens!$M$6984+Sens!$M$6989+Sens!$M$7005+Sens!$M$7006-Sens!$M$7009</f>
        <v>38.8413540019876</v>
      </c>
      <c r="N7010" s="38" t="n">
        <f aca="false">Sens!$N$6984+Sens!$N$6989+Sens!$N$7005+Sens!$N$7006-Sens!$N$7009</f>
        <v>10.6495</v>
      </c>
      <c r="O7010" s="38" t="n">
        <f aca="false">Sens!$O$6984+Sens!$O$6989+Sens!$O$7005+Sens!$O$7006-Sens!$O$7009</f>
        <v>9.81200000000001</v>
      </c>
    </row>
    <row r="7011" customFormat="false" ht="17.15" hidden="false" customHeight="false" outlineLevel="0" collapsed="false">
      <c r="A7011" s="0" t="s">
        <v>748</v>
      </c>
      <c r="B7011" s="0" t="s">
        <v>86</v>
      </c>
      <c r="C7011" s="38" t="n">
        <f aca="false">Sens!$C$6991+Sens!$C$7007-ext_sh*Sens!$C$6926</f>
        <v>51.3470500115664</v>
      </c>
      <c r="D7011" s="38" t="n">
        <f aca="false">Sens!$D$6991+Sens!$D$7007-ext_sh*Sens!$D$6926</f>
        <v>60.2799375433739</v>
      </c>
      <c r="E7011" s="38" t="n">
        <f aca="false">Sens!$E$6991+Sens!$E$7007-ext_sh*Sens!$E$6926</f>
        <v>39.5095167090767</v>
      </c>
      <c r="F7011" s="38" t="n">
        <f aca="false">Sens!$F$6991+Sens!$F$7007-ext_sh*Sens!$F$6926</f>
        <v>37.5468918745429</v>
      </c>
      <c r="G7011" s="38" t="n">
        <f aca="false">Sens!$G$6991+Sens!$G$7007-ext_sh*Sens!$G$6926</f>
        <v>77.0564085836196</v>
      </c>
      <c r="H7011" s="38" t="n">
        <f aca="false">Sens!$H$6991+Sens!$H$7007-ext_sh*Sens!$H$6926</f>
        <v>84.2378398616123</v>
      </c>
      <c r="I7011" s="38" t="n">
        <f aca="false">Sens!$I$6991+Sens!$I$7007-ext_sh*Sens!$I$6926</f>
        <v>93.5253492849083</v>
      </c>
      <c r="J7011" s="38" t="n">
        <f aca="false">Sens!$J$6991+Sens!$J$7007-ext_sh*Sens!$J$6926</f>
        <v>102.42210777817</v>
      </c>
      <c r="K7011" s="38" t="n">
        <f aca="false">Sens!$K$6991+Sens!$K$7007-ext_sh*Sens!$K$6926</f>
        <v>110.615876400424</v>
      </c>
      <c r="L7011" s="38" t="n">
        <f aca="false">Sens!$L$6991+Sens!$L$7007-ext_sh*Sens!$L$6926</f>
        <v>119.465146512458</v>
      </c>
      <c r="M7011" s="38" t="n">
        <f aca="false">Sens!$M$6991+Sens!$M$7007-ext_sh*Sens!$M$6926</f>
        <v>129.022358233455</v>
      </c>
      <c r="N7011" s="38" t="n">
        <f aca="false">Sens!$N$6991+Sens!$N$7007-ext_sh*Sens!$N$6926</f>
        <v>28.5693781401809</v>
      </c>
      <c r="O7011" s="38" t="n">
        <f aca="false">Sens!$O$6991+Sens!$O$7007-ext_sh*Sens!$O$6926</f>
        <v>31.7105594031931</v>
      </c>
    </row>
    <row r="7012" customFormat="false" ht="17.15" hidden="false" customHeight="false" outlineLevel="0" collapsed="false">
      <c r="A7012" s="0" t="s">
        <v>749</v>
      </c>
      <c r="B7012" s="0" t="s">
        <v>86</v>
      </c>
      <c r="C7012" s="38" t="n">
        <f aca="false">Sens!$C$6929</f>
        <v>1.80694998843362</v>
      </c>
      <c r="D7012" s="38" t="n">
        <f aca="false">Sens!$D$6929</f>
        <v>6.77606245662607</v>
      </c>
      <c r="E7012" s="38" t="n">
        <f aca="false">Sens!$E$6929</f>
        <v>6.62548329092326</v>
      </c>
      <c r="F7012" s="38" t="n">
        <f aca="false">Sens!$F$6929</f>
        <v>11.7200577158706</v>
      </c>
      <c r="G7012" s="38" t="n">
        <f aca="false">Sens!$G$6929</f>
        <v>18.3455410067939</v>
      </c>
      <c r="H7012" s="38" t="n">
        <f aca="false">Sens!$H$6929</f>
        <v>47.5171727060453</v>
      </c>
      <c r="I7012" s="38" t="n">
        <f aca="false">Sens!$I$6929</f>
        <v>80.5539692643667</v>
      </c>
      <c r="J7012" s="38" t="n">
        <f aca="false">Sens!$J$6929</f>
        <v>113.759316834883</v>
      </c>
      <c r="K7012" s="38" t="n">
        <f aca="false">Sens!$K$6929</f>
        <v>142.084411492169</v>
      </c>
      <c r="L7012" s="38" t="n">
        <f aca="false">Sens!$L$6929</f>
        <v>160.69964615804</v>
      </c>
      <c r="M7012" s="38" t="n">
        <f aca="false">Sens!$M$6929</f>
        <v>169.577607141793</v>
      </c>
      <c r="N7012" s="38" t="n">
        <f aca="false">Sens!$N$6929</f>
        <v>2.37162185981912</v>
      </c>
      <c r="O7012" s="38" t="n">
        <f aca="false">Sens!$O$6929</f>
        <v>4.40444059680694</v>
      </c>
    </row>
    <row r="7013" customFormat="false" ht="17.15" hidden="false" customHeight="false" outlineLevel="0" collapsed="false">
      <c r="A7013" s="0" t="s">
        <v>750</v>
      </c>
      <c r="B7013" s="0" t="s">
        <v>86</v>
      </c>
      <c r="C7013" s="38" t="n">
        <f aca="false">Sens!$C$6994+Sens!$C$7008</f>
        <v>100.66</v>
      </c>
      <c r="D7013" s="38" t="n">
        <f aca="false">Sens!$D$6994+Sens!$D$7008</f>
        <v>121.835</v>
      </c>
      <c r="E7013" s="38" t="n">
        <f aca="false">Sens!$E$6994+Sens!$E$7008</f>
        <v>78.016</v>
      </c>
      <c r="F7013" s="38" t="n">
        <f aca="false">Sens!$F$6994+Sens!$F$7008</f>
        <v>84.8976337894826</v>
      </c>
      <c r="G7013" s="38" t="n">
        <f aca="false">Sens!$G$6994+Sens!$G$7008</f>
        <v>162.913633789483</v>
      </c>
      <c r="H7013" s="38" t="n">
        <f aca="false">Sens!$H$6994+Sens!$H$7008</f>
        <v>209.726807352288</v>
      </c>
      <c r="I7013" s="38" t="n">
        <f aca="false">Sens!$I$6994+Sens!$I$7008</f>
        <v>262.61488075771</v>
      </c>
      <c r="J7013" s="38" t="n">
        <f aca="false">Sens!$J$6994+Sens!$J$7008</f>
        <v>314.715545613658</v>
      </c>
      <c r="K7013" s="38" t="n">
        <f aca="false">Sens!$K$6994+Sens!$K$7008</f>
        <v>360.221631931821</v>
      </c>
      <c r="L7013" s="38" t="n">
        <f aca="false">Sens!$L$6994+Sens!$L$7008</f>
        <v>396.557323497822</v>
      </c>
      <c r="M7013" s="38" t="n">
        <f aca="false">Sens!$M$6994+Sens!$M$7008</f>
        <v>425.386440239605</v>
      </c>
      <c r="N7013" s="38" t="n">
        <f aca="false">Sens!$N$6994+Sens!$N$7008</f>
        <v>56.398</v>
      </c>
      <c r="O7013" s="38" t="n">
        <f aca="false">Sens!$O$6994+Sens!$O$7008</f>
        <v>65.437</v>
      </c>
    </row>
    <row r="7014" customFormat="false" ht="17.15" hidden="false" customHeight="false" outlineLevel="0" collapsed="false">
      <c r="A7014" s="1" t="s">
        <v>751</v>
      </c>
    </row>
    <row r="7015" customFormat="false" ht="15" hidden="false" customHeight="false" outlineLevel="0" collapsed="false">
      <c r="A7015" s="5" t="s">
        <v>544</v>
      </c>
      <c r="B7015" s="0" t="s">
        <v>86</v>
      </c>
      <c r="C7015" s="38" t="n">
        <f aca="false">Q!$D$34</f>
        <v>2.406</v>
      </c>
      <c r="D7015" s="38" t="n">
        <f aca="false">Q!$E$34</f>
        <v>2.274</v>
      </c>
      <c r="E7015" s="38" t="n">
        <f aca="false">Q!$P$34</f>
        <v>2.114</v>
      </c>
      <c r="F7015" s="38" t="n">
        <f aca="false">Sens!$F$7053</f>
        <v>3.24888962733561</v>
      </c>
      <c r="G7015" s="38" t="n">
        <f aca="false">Sens!$E$7015+Sens!$F$7015</f>
        <v>5.36288962733561</v>
      </c>
      <c r="H7015" s="38" t="n">
        <f aca="false">Sens!$H$7053</f>
        <v>7.42354172302123</v>
      </c>
      <c r="I7015" s="38" t="n">
        <f aca="false">Sens!$I$7053</f>
        <v>8.48968024898619</v>
      </c>
      <c r="J7015" s="38" t="n">
        <f aca="false">Sens!$J$7053</f>
        <v>9.63598826439483</v>
      </c>
      <c r="K7015" s="38" t="n">
        <f aca="false">Sens!$K$7053</f>
        <v>9.63598826439483</v>
      </c>
      <c r="L7015" s="38" t="n">
        <f aca="false">Sens!$L$7053</f>
        <v>9.63598826439483</v>
      </c>
      <c r="M7015" s="38" t="n">
        <f aca="false">Sens!$M$7053</f>
        <v>9.63598826439483</v>
      </c>
      <c r="N7015" s="38" t="n">
        <f aca="false">Q!$N$34</f>
        <v>1.057</v>
      </c>
      <c r="O7015" s="38" t="n">
        <f aca="false">Q!$O$34</f>
        <v>1.217</v>
      </c>
    </row>
    <row r="7016" customFormat="false" ht="15" hidden="false" customHeight="false" outlineLevel="0" collapsed="false">
      <c r="A7016" s="5" t="s">
        <v>752</v>
      </c>
      <c r="B7016" s="0" t="s">
        <v>86</v>
      </c>
      <c r="F7016" s="38" t="n">
        <f aca="false">Sens!$F$7054</f>
        <v>2.59</v>
      </c>
      <c r="H7016" s="38" t="n">
        <f aca="false">Sens!$H$7054</f>
        <v>3.76965165045626</v>
      </c>
      <c r="I7016" s="38" t="n">
        <f aca="false">Sens!$I$7054</f>
        <v>2.10589651022864</v>
      </c>
      <c r="J7016" s="38" t="n">
        <f aca="false">Sens!$J$7054</f>
        <v>2.10589651022864</v>
      </c>
      <c r="K7016" s="38" t="n">
        <f aca="false">Sens!$K$7054</f>
        <v>3.03184385018094</v>
      </c>
      <c r="L7016" s="38" t="n">
        <f aca="false">Sens!$L$7054</f>
        <v>8.01944213829919</v>
      </c>
      <c r="M7016" s="38" t="n">
        <f aca="false">Sens!$M$7054</f>
        <v>15.4751142339777</v>
      </c>
    </row>
    <row r="7017" customFormat="false" ht="17.15" hidden="false" customHeight="false" outlineLevel="0" collapsed="false">
      <c r="A7017" s="5" t="s">
        <v>753</v>
      </c>
      <c r="B7017" s="0" t="s">
        <v>86</v>
      </c>
      <c r="C7017" s="38" t="n">
        <f aca="false">Q!$D$39</f>
        <v>2.427</v>
      </c>
      <c r="D7017" s="38" t="n">
        <f aca="false">Q!$E$39</f>
        <v>19.61</v>
      </c>
      <c r="E7017" s="38" t="n">
        <f aca="false">Q!$P$39</f>
        <v>71.492</v>
      </c>
      <c r="F7017" s="39" t="n">
        <v>0</v>
      </c>
      <c r="G7017" s="38" t="n">
        <f aca="false">Sens!$E$7017+Sens!$F$7017</f>
        <v>71.492</v>
      </c>
      <c r="H7017" s="39" t="n">
        <v>0</v>
      </c>
      <c r="I7017" s="39" t="n">
        <v>0</v>
      </c>
      <c r="J7017" s="39" t="n">
        <v>0</v>
      </c>
      <c r="K7017" s="39" t="n">
        <v>0</v>
      </c>
      <c r="L7017" s="39" t="n">
        <v>0</v>
      </c>
      <c r="M7017" s="39" t="n">
        <v>0</v>
      </c>
      <c r="N7017" s="38" t="n">
        <f aca="false">Q!$N$39</f>
        <v>6.017</v>
      </c>
      <c r="O7017" s="38" t="n">
        <f aca="false">Q!$O$39</f>
        <v>13.593</v>
      </c>
      <c r="P7017" s="5" t="s">
        <v>754</v>
      </c>
    </row>
    <row r="7018" customFormat="false" ht="15" hidden="false" customHeight="false" outlineLevel="0" collapsed="false">
      <c r="A7018" s="5" t="s">
        <v>547</v>
      </c>
      <c r="B7018" s="0" t="s">
        <v>86</v>
      </c>
      <c r="C7018" s="38" t="n">
        <f aca="false">Q!$D$36</f>
        <v>68.614</v>
      </c>
      <c r="D7018" s="38" t="n">
        <f aca="false">Q!$E$36</f>
        <v>97.311</v>
      </c>
      <c r="E7018" s="38" t="n">
        <f aca="false">Q!$P$36</f>
        <v>120.691</v>
      </c>
      <c r="F7018" s="38" t="n">
        <f aca="false">Sens!$F$6994-Sens!$F$7015+Sens!$F$7016+Sens!$F$7017</f>
        <v>56.0316019995185</v>
      </c>
      <c r="G7018" s="38" t="n">
        <f aca="false">Sens!$E$7018+Sens!$F$7018</f>
        <v>176.722601999518</v>
      </c>
      <c r="H7018" s="38" t="n">
        <f aca="false">Sens!$H$6994-Sens!$H$7015+Sens!$H$7016+Sens!$H$7017</f>
        <v>127.892977696936</v>
      </c>
      <c r="I7018" s="38" t="n">
        <f aca="false">Sens!$I$6994-Sens!$I$7015+Sens!$I$7016+Sens!$I$7017</f>
        <v>145.059971464568</v>
      </c>
      <c r="J7018" s="38" t="n">
        <f aca="false">Sens!$J$6994-Sens!$J$7015+Sens!$J$7016+Sens!$J$7017</f>
        <v>162.301047638521</v>
      </c>
      <c r="K7018" s="38" t="n">
        <f aca="false">Sens!$K$6994-Sens!$K$7015+Sens!$K$7016+Sens!$K$7017</f>
        <v>174.811068079608</v>
      </c>
      <c r="L7018" s="38" t="n">
        <f aca="false">Sens!$L$6994-Sens!$L$7015+Sens!$L$7016+Sens!$L$7017</f>
        <v>190.599438342064</v>
      </c>
      <c r="M7018" s="38" t="n">
        <f aca="false">Sens!$M$6994-Sens!$M$7015+Sens!$M$7016+Sens!$M$7017</f>
        <v>208.094988213801</v>
      </c>
      <c r="N7018" s="38" t="n">
        <f aca="false">Q!$N$36</f>
        <v>42.536</v>
      </c>
      <c r="O7018" s="38" t="n">
        <f aca="false">Q!$O$36</f>
        <v>54.775</v>
      </c>
    </row>
    <row r="7019" customFormat="false" ht="15" hidden="false" customHeight="false" outlineLevel="0" collapsed="false">
      <c r="A7019" s="5" t="s">
        <v>548</v>
      </c>
      <c r="B7019" s="0" t="s">
        <v>86</v>
      </c>
      <c r="C7019" s="38" t="n">
        <f aca="false">Q!$D$37</f>
        <v>9.265</v>
      </c>
      <c r="D7019" s="38" t="n">
        <f aca="false">Q!$E$37</f>
        <v>19.087</v>
      </c>
      <c r="E7019" s="38" t="n">
        <f aca="false">Q!$P$37</f>
        <v>27.759</v>
      </c>
      <c r="F7019" s="38" t="n">
        <f aca="false">Sens!$F$7018*tax</f>
        <v>9.72621910890414</v>
      </c>
      <c r="G7019" s="38" t="n">
        <f aca="false">Sens!$E$7019+Sens!$F$7019</f>
        <v>37.4852191089041</v>
      </c>
      <c r="H7019" s="38" t="n">
        <f aca="false">Sens!$H$7018*tax</f>
        <v>22.2002419916761</v>
      </c>
      <c r="I7019" s="38" t="n">
        <f aca="false">Sens!$I$7018*tax</f>
        <v>25.1801664783365</v>
      </c>
      <c r="J7019" s="38" t="n">
        <f aca="false">Sens!$J$7018*tax</f>
        <v>28.1729505244292</v>
      </c>
      <c r="K7019" s="38" t="n">
        <f aca="false">Sens!$K$7018*tax</f>
        <v>30.3444965007146</v>
      </c>
      <c r="L7019" s="38" t="n">
        <f aca="false">Sens!$L$7018*tax</f>
        <v>33.0851132788405</v>
      </c>
      <c r="M7019" s="38" t="n">
        <f aca="false">Sens!$M$7018*tax</f>
        <v>36.1220700213006</v>
      </c>
      <c r="N7019" s="38" t="n">
        <f aca="false">Q!$N$37</f>
        <v>7.231</v>
      </c>
      <c r="O7019" s="38" t="n">
        <f aca="false">Q!$O$37</f>
        <v>11.856</v>
      </c>
    </row>
    <row r="7020" customFormat="false" ht="15" hidden="false" customHeight="false" outlineLevel="0" collapsed="false">
      <c r="A7020" s="3" t="s">
        <v>549</v>
      </c>
      <c r="B7020" s="8" t="s">
        <v>86</v>
      </c>
      <c r="C7020" s="38" t="n">
        <f aca="false">Q!$D$38</f>
        <v>59.248</v>
      </c>
      <c r="D7020" s="38" t="n">
        <f aca="false">Q!$E$38</f>
        <v>77.67</v>
      </c>
      <c r="E7020" s="38" t="n">
        <f aca="false">Q!$P$38</f>
        <v>92.902</v>
      </c>
      <c r="F7020" s="38" t="n">
        <f aca="false">Sens!$F$7018-Sens!$F$7019</f>
        <v>46.3053828906144</v>
      </c>
      <c r="G7020" s="38" t="n">
        <f aca="false">Sens!$E$7020+Sens!$F$7020</f>
        <v>139.207382890614</v>
      </c>
      <c r="H7020" s="38" t="n">
        <f aca="false">Sens!$H$7018-Sens!$H$7019</f>
        <v>105.69273570526</v>
      </c>
      <c r="I7020" s="38" t="n">
        <f aca="false">Sens!$I$7018-Sens!$I$7019</f>
        <v>119.879804986231</v>
      </c>
      <c r="J7020" s="38" t="n">
        <f aca="false">Sens!$J$7018-Sens!$J$7019</f>
        <v>134.128097114092</v>
      </c>
      <c r="K7020" s="38" t="n">
        <f aca="false">Sens!$K$7018-Sens!$K$7019</f>
        <v>144.466571578893</v>
      </c>
      <c r="L7020" s="38" t="n">
        <f aca="false">Sens!$L$7018-Sens!$L$7019</f>
        <v>157.514325063223</v>
      </c>
      <c r="M7020" s="38" t="n">
        <f aca="false">Sens!$M$7018-Sens!$M$7019</f>
        <v>171.9729181925</v>
      </c>
      <c r="N7020" s="38" t="n">
        <f aca="false">Q!$N$38</f>
        <v>35.291</v>
      </c>
      <c r="O7020" s="38" t="n">
        <f aca="false">Q!$O$38</f>
        <v>42.379</v>
      </c>
    </row>
    <row r="7021" customFormat="false" ht="17.15" hidden="false" customHeight="false" outlineLevel="0" collapsed="false">
      <c r="A7021" s="5" t="s">
        <v>552</v>
      </c>
      <c r="B7021" s="5" t="s">
        <v>33</v>
      </c>
      <c r="C7021" s="22" t="n">
        <f aca="false">Q!$D$41</f>
        <v>10.721</v>
      </c>
      <c r="D7021" s="22" t="n">
        <f aca="false">Q!$E$41</f>
        <v>10.827</v>
      </c>
      <c r="E7021" s="22" t="n">
        <f aca="false">(Q!$L$41+Q!$M$41)/2</f>
        <v>10.8885</v>
      </c>
      <c r="F7021" s="22" t="n">
        <f aca="false">Sens!$G$7021</f>
        <v>10.924806</v>
      </c>
      <c r="G7021" s="22" t="n">
        <f aca="false">Q!$M$41*(1+sh_g*0.25)</f>
        <v>10.924806</v>
      </c>
      <c r="H7021" s="22" t="n">
        <f aca="false">Sens!$G$7021*(1+sh_g)</f>
        <v>11.012204448</v>
      </c>
      <c r="I7021" s="22" t="n">
        <f aca="false">Sens!$H$7021*(1+sh_g)</f>
        <v>11.100302083584</v>
      </c>
      <c r="J7021" s="22" t="n">
        <f aca="false">Sens!$I$7021*(1+sh_g)</f>
        <v>11.1891045002527</v>
      </c>
      <c r="K7021" s="22" t="n">
        <f aca="false">Sens!$J$7021*(1+sh_g)</f>
        <v>11.2786173362547</v>
      </c>
      <c r="L7021" s="22" t="n">
        <f aca="false">Sens!$K$7021*(1+sh_g)</f>
        <v>11.3688462749447</v>
      </c>
      <c r="M7021" s="22" t="n">
        <f aca="false">Sens!$L$7021*(1+sh_g)</f>
        <v>11.4597970451443</v>
      </c>
      <c r="P7021" s="5" t="s">
        <v>755</v>
      </c>
    </row>
    <row r="7022" customFormat="false" ht="17.15" hidden="false" customHeight="false" outlineLevel="0" collapsed="false">
      <c r="A7022" s="5" t="s">
        <v>756</v>
      </c>
      <c r="B7022" s="0" t="s">
        <v>86</v>
      </c>
      <c r="C7022" s="38" t="n">
        <f aca="false">Sens!$C$7020+Sens!$C$6996*(1-tax)</f>
        <v>59.248</v>
      </c>
      <c r="D7022" s="38" t="n">
        <f aca="false">Sens!$D$7020+Sens!$D$6996*(1-tax)</f>
        <v>77.67</v>
      </c>
      <c r="E7022" s="38" t="n">
        <f aca="false">Sens!$E$7020+Sens!$E$6996*(1-tax)</f>
        <v>92.902</v>
      </c>
      <c r="F7022" s="38" t="n">
        <f aca="false">Sens!$F$7020+Sens!$F$6996*(1-tax)</f>
        <v>49.421977850263</v>
      </c>
      <c r="G7022" s="38" t="n">
        <f aca="false">Sens!$G$7020+Sens!$G$6996*(1-tax)</f>
        <v>142.323977850263</v>
      </c>
      <c r="H7022" s="38" t="n">
        <f aca="false">Sens!$H$7020+Sens!$H$6996*(1-tax)</f>
        <v>118.224131660605</v>
      </c>
      <c r="I7022" s="38" t="n">
        <f aca="false">Sens!$I$7020+Sens!$I$6996*(1-tax)</f>
        <v>141.02107006117</v>
      </c>
      <c r="J7022" s="38" t="n">
        <f aca="false">Sens!$J$7020+Sens!$J$6996*(1-tax)</f>
        <v>163.917534058375</v>
      </c>
      <c r="K7022" s="38" t="n">
        <f aca="false">Sens!$K$7020+Sens!$K$6996*(1-tax)</f>
        <v>181.633877275552</v>
      </c>
      <c r="L7022" s="38" t="n">
        <f aca="false">Sens!$L$7020+Sens!$L$6996*(1-tax)</f>
        <v>199.530402403778</v>
      </c>
      <c r="M7022" s="38" t="n">
        <f aca="false">Sens!$M$7020+Sens!$M$6996*(1-tax)</f>
        <v>216.302440383341</v>
      </c>
      <c r="N7022" s="38" t="n">
        <f aca="false">Sens!$N$7020+Sens!$N$6996*(1-tax)</f>
        <v>35.291</v>
      </c>
      <c r="O7022" s="38" t="n">
        <f aca="false">Sens!$O$7020+Sens!$O$6996*(1-tax)</f>
        <v>42.379</v>
      </c>
    </row>
    <row r="7023" customFormat="false" ht="17.15" hidden="false" customHeight="false" outlineLevel="0" collapsed="false">
      <c r="A7023" s="43" t="s">
        <v>757</v>
      </c>
      <c r="B7023" s="14" t="s">
        <v>27</v>
      </c>
      <c r="C7023" s="44" t="n">
        <f aca="false">Sens!$C$7022/Sens!$C$7021</f>
        <v>5.52635015390355</v>
      </c>
      <c r="D7023" s="44" t="n">
        <f aca="false">Sens!$D$7022/Sens!$D$7021</f>
        <v>7.1737323358271</v>
      </c>
      <c r="E7023" s="44" t="n">
        <f aca="false">Sens!$E$7022/Sens!$E$7021</f>
        <v>8.53212104513937</v>
      </c>
      <c r="F7023" s="14"/>
      <c r="G7023" s="44" t="n">
        <f aca="false">Sens!$G$7022/Sens!$G$7021</f>
        <v>13.0275977303636</v>
      </c>
      <c r="H7023" s="44" t="n">
        <f aca="false">Sens!$H$7022/Sens!$H$7021</f>
        <v>10.7357370832392</v>
      </c>
      <c r="I7023" s="44" t="n">
        <f aca="false">Sens!$I$7022/Sens!$I$7021</f>
        <v>12.7042551634449</v>
      </c>
      <c r="J7023" s="44" t="n">
        <f aca="false">Sens!$J$7022/Sens!$J$7021</f>
        <v>14.6497455676344</v>
      </c>
      <c r="K7023" s="44" t="n">
        <f aca="false">Sens!$K$7022/Sens!$K$7021</f>
        <v>16.104268090708</v>
      </c>
      <c r="L7023" s="44" t="n">
        <f aca="false">Sens!$L$7022/Sens!$L$7021</f>
        <v>17.5506289361581</v>
      </c>
      <c r="M7023" s="44" t="n">
        <f aca="false">Sens!$M$7022/Sens!$M$7021</f>
        <v>18.8748927691518</v>
      </c>
      <c r="N7023" s="14"/>
      <c r="O7023" s="14"/>
    </row>
    <row r="7024" customFormat="false" ht="17.15" hidden="false" customHeight="false" outlineLevel="0" collapsed="false">
      <c r="A7024" s="0" t="s">
        <v>758</v>
      </c>
      <c r="B7024" s="0" t="s">
        <v>27</v>
      </c>
      <c r="C7024" s="30" t="n">
        <f aca="false">Sens!$C$7020/Sens!$C$7021</f>
        <v>5.52635015390355</v>
      </c>
      <c r="D7024" s="30" t="n">
        <f aca="false">Sens!$D$7020/Sens!$D$7021</f>
        <v>7.1737323358271</v>
      </c>
      <c r="E7024" s="30" t="n">
        <f aca="false">Sens!$E$7020/Sens!$E$7021</f>
        <v>8.53212104513937</v>
      </c>
      <c r="G7024" s="30" t="n">
        <f aca="false">Sens!$G$7020/Sens!$G$7021</f>
        <v>12.7423208147233</v>
      </c>
      <c r="H7024" s="30" t="n">
        <f aca="false">Sens!$H$7020/Sens!$H$7021</f>
        <v>9.59778182509639</v>
      </c>
      <c r="I7024" s="30" t="n">
        <f aca="false">Sens!$I$7020/Sens!$I$7021</f>
        <v>10.799688520506</v>
      </c>
      <c r="J7024" s="30" t="n">
        <f aca="false">Sens!$J$7020/Sens!$J$7021</f>
        <v>11.9873844337644</v>
      </c>
      <c r="K7024" s="30" t="n">
        <f aca="false">Sens!$K$7020/Sens!$K$7021</f>
        <v>12.8088902453061</v>
      </c>
      <c r="L7024" s="30" t="n">
        <f aca="false">Sens!$L$7020/Sens!$L$7021</f>
        <v>13.8549085152432</v>
      </c>
      <c r="M7024" s="30" t="n">
        <f aca="false">Sens!$M$7020/Sens!$M$7021</f>
        <v>15.0066286091313</v>
      </c>
    </row>
    <row r="7025" customFormat="false" ht="17.15" hidden="false" customHeight="false" outlineLevel="0" collapsed="false">
      <c r="A7025" s="0" t="s">
        <v>759</v>
      </c>
      <c r="B7025" s="0" t="s">
        <v>27</v>
      </c>
      <c r="C7025" s="30" t="n">
        <f aca="false">(Sens!$C$7020-Sens!$C$7017*(1-tax))/Sens!$C$7021</f>
        <v>5.33926775917445</v>
      </c>
      <c r="D7025" s="30" t="n">
        <f aca="false">(Sens!$D$7020-Sens!$D$7017*(1-tax))/Sens!$D$7021</f>
        <v>5.67691812755503</v>
      </c>
      <c r="E7025" s="30" t="n">
        <f aca="false">(Sens!$E$7020-Sens!$E$7017*(1-tax))/Sens!$E$7021</f>
        <v>3.10602057006846</v>
      </c>
      <c r="G7025" s="30" t="n">
        <f aca="false">(Sens!$G$7020-Sens!$G$7017*(1-tax))/Sens!$G$7021</f>
        <v>7.33425269682635</v>
      </c>
      <c r="H7025" s="30" t="n">
        <f aca="false">(Sens!$H$7020-Sens!$H$7017*(1-tax))/Sens!$H$7021</f>
        <v>9.59778182509639</v>
      </c>
      <c r="I7025" s="30" t="n">
        <f aca="false">(Sens!$I$7020-Sens!$I$7017*(1-tax))/Sens!$I$7021</f>
        <v>10.799688520506</v>
      </c>
      <c r="J7025" s="30" t="n">
        <f aca="false">(Sens!$J$7020-Sens!$J$7017*(1-tax))/Sens!$J$7021</f>
        <v>11.9873844337644</v>
      </c>
      <c r="K7025" s="30" t="n">
        <f aca="false">(Sens!$K$7020-Sens!$K$7017*(1-tax))/Sens!$K$7021</f>
        <v>12.8088902453061</v>
      </c>
      <c r="L7025" s="30" t="n">
        <f aca="false">(Sens!$L$7020-Sens!$L$7017*(1-tax))/Sens!$L$7021</f>
        <v>13.8549085152432</v>
      </c>
      <c r="M7025" s="30" t="n">
        <f aca="false">(Sens!$M$7020-Sens!$M$7017*(1-tax))/Sens!$M$7021</f>
        <v>15.0066286091313</v>
      </c>
      <c r="P7025" s="5" t="s">
        <v>760</v>
      </c>
    </row>
    <row r="7026" customFormat="false" ht="17.15" hidden="false" customHeight="false" outlineLevel="0" collapsed="false">
      <c r="A7026" s="0" t="s">
        <v>761</v>
      </c>
      <c r="B7026" s="0" t="s">
        <v>52</v>
      </c>
      <c r="H7026" s="13" t="n">
        <f aca="false">Sens!$H$7023/Sens!$G$7023-1</f>
        <v>-0.175923504437261</v>
      </c>
      <c r="I7026" s="13" t="n">
        <f aca="false">Sens!$I$7023/Sens!$H$7023-1</f>
        <v>0.183361241519136</v>
      </c>
      <c r="J7026" s="13" t="n">
        <f aca="false">Sens!$J$7023/Sens!$I$7023-1</f>
        <v>0.153136911936991</v>
      </c>
      <c r="K7026" s="13" t="n">
        <f aca="false">Sens!$K$7023/Sens!$J$7023-1</f>
        <v>0.0992865382103958</v>
      </c>
      <c r="L7026" s="13" t="n">
        <f aca="false">Sens!$L$7023/Sens!$K$7023-1</f>
        <v>0.0898122682324627</v>
      </c>
      <c r="M7026" s="13" t="n">
        <f aca="false">Sens!$M$7023/Sens!$L$7023-1</f>
        <v>0.0754539246320329</v>
      </c>
    </row>
    <row r="7029" customFormat="false" ht="19.4" hidden="false" customHeight="false" outlineLevel="0" collapsed="false">
      <c r="A7029" s="31" t="s">
        <v>1278</v>
      </c>
    </row>
    <row r="7030" customFormat="false" ht="17.15" hidden="false" customHeight="false" outlineLevel="0" collapsed="false">
      <c r="A7030" s="6" t="s">
        <v>16</v>
      </c>
      <c r="B7030" s="6" t="s">
        <v>17</v>
      </c>
      <c r="C7030" s="20" t="s">
        <v>497</v>
      </c>
      <c r="D7030" s="20" t="s">
        <v>498</v>
      </c>
      <c r="E7030" s="20" t="s">
        <v>580</v>
      </c>
      <c r="F7030" s="20" t="s">
        <v>581</v>
      </c>
      <c r="G7030" s="20" t="s">
        <v>582</v>
      </c>
      <c r="H7030" s="20" t="s">
        <v>583</v>
      </c>
      <c r="I7030" s="20" t="s">
        <v>584</v>
      </c>
      <c r="J7030" s="20" t="s">
        <v>585</v>
      </c>
      <c r="K7030" s="20" t="s">
        <v>586</v>
      </c>
      <c r="L7030" s="20" t="s">
        <v>587</v>
      </c>
      <c r="M7030" s="20" t="s">
        <v>588</v>
      </c>
      <c r="N7030" s="20" t="s">
        <v>589</v>
      </c>
      <c r="O7030" s="20" t="s">
        <v>590</v>
      </c>
      <c r="P7030" s="6" t="s">
        <v>23</v>
      </c>
      <c r="R7030" s="20" t="n">
        <v>2023</v>
      </c>
      <c r="S7030" s="20" t="n">
        <v>2024</v>
      </c>
      <c r="T7030" s="20" t="n">
        <v>2025</v>
      </c>
      <c r="U7030" s="20" t="n">
        <v>2026</v>
      </c>
      <c r="V7030" s="20" t="n">
        <v>2027</v>
      </c>
      <c r="W7030" s="20" t="n">
        <v>2028</v>
      </c>
      <c r="X7030" s="20" t="n">
        <v>2029</v>
      </c>
      <c r="Y7030" s="20" t="n">
        <v>2030</v>
      </c>
      <c r="Z7030" s="20" t="n">
        <v>2031</v>
      </c>
      <c r="AA7030" s="20" t="n">
        <v>2032</v>
      </c>
    </row>
    <row r="7031" customFormat="false" ht="15" hidden="false" customHeight="false" outlineLevel="0" collapsed="false">
      <c r="A7031" s="5" t="s">
        <v>549</v>
      </c>
      <c r="B7031" s="0" t="s">
        <v>86</v>
      </c>
      <c r="C7031" s="38" t="n">
        <f aca="false">Sens!$C$7020</f>
        <v>59.248</v>
      </c>
      <c r="D7031" s="38" t="n">
        <f aca="false">Sens!$D$7020</f>
        <v>77.67</v>
      </c>
      <c r="E7031" s="38" t="n">
        <f aca="false">Sens!$E$7020</f>
        <v>92.902</v>
      </c>
      <c r="F7031" s="38" t="n">
        <f aca="false">Sens!$F$7020</f>
        <v>46.3053828906144</v>
      </c>
      <c r="G7031" s="38" t="n">
        <f aca="false">Sens!$G$7020</f>
        <v>139.207382890614</v>
      </c>
      <c r="H7031" s="38" t="n">
        <f aca="false">Sens!$H$7020</f>
        <v>105.69273570526</v>
      </c>
      <c r="I7031" s="38" t="n">
        <f aca="false">Sens!$I$7020</f>
        <v>119.879804986231</v>
      </c>
      <c r="J7031" s="38" t="n">
        <f aca="false">Sens!$J$7020</f>
        <v>134.128097114092</v>
      </c>
      <c r="K7031" s="38" t="n">
        <f aca="false">Sens!$K$7020</f>
        <v>144.466571578893</v>
      </c>
      <c r="L7031" s="38" t="n">
        <f aca="false">Sens!$L$7020</f>
        <v>157.514325063223</v>
      </c>
      <c r="M7031" s="38" t="n">
        <f aca="false">Sens!$M$7020</f>
        <v>171.9729181925</v>
      </c>
    </row>
    <row r="7032" customFormat="false" ht="17.15" hidden="false" customHeight="false" outlineLevel="0" collapsed="false">
      <c r="A7032" s="5" t="s">
        <v>784</v>
      </c>
      <c r="B7032" s="0" t="s">
        <v>86</v>
      </c>
      <c r="C7032" s="38" t="n">
        <f aca="false">Sens!$C$7008</f>
        <v>32.067</v>
      </c>
      <c r="D7032" s="38" t="n">
        <f aca="false">Sens!$D$7008</f>
        <v>41.86</v>
      </c>
      <c r="E7032" s="38" t="n">
        <f aca="false">Sens!$E$7008</f>
        <v>26.703</v>
      </c>
      <c r="F7032" s="38" t="n">
        <f aca="false">Sens!$F$7008</f>
        <v>28.2071421626285</v>
      </c>
      <c r="G7032" s="38" t="n">
        <f aca="false">Sens!$G$7008</f>
        <v>54.9101421626285</v>
      </c>
      <c r="H7032" s="38" t="n">
        <f aca="false">Sens!$H$7008</f>
        <v>78.1799395827871</v>
      </c>
      <c r="I7032" s="38" t="n">
        <f aca="false">Sens!$I$7008</f>
        <v>111.171125554384</v>
      </c>
      <c r="J7032" s="38" t="n">
        <f aca="false">Sens!$J$7008</f>
        <v>144.884406220971</v>
      </c>
      <c r="K7032" s="38" t="n">
        <f aca="false">Sens!$K$7008</f>
        <v>178.806419437999</v>
      </c>
      <c r="L7032" s="38" t="n">
        <f aca="false">Sens!$L$7008</f>
        <v>204.341339029663</v>
      </c>
      <c r="M7032" s="38" t="n">
        <f aca="false">Sens!$M$7008</f>
        <v>223.130577995387</v>
      </c>
    </row>
    <row r="7033" customFormat="false" ht="15" hidden="false" customHeight="false" outlineLevel="0" collapsed="false">
      <c r="A7033" s="5" t="s">
        <v>785</v>
      </c>
      <c r="B7033" s="0" t="s">
        <v>86</v>
      </c>
      <c r="C7033" s="38" t="n">
        <f aca="false">Q!$D$48</f>
        <v>22.011</v>
      </c>
      <c r="D7033" s="38" t="n">
        <f aca="false">Q!$E$48</f>
        <v>19.467</v>
      </c>
      <c r="E7033" s="38" t="n">
        <f aca="false">Q!$P$48</f>
        <v>10.07</v>
      </c>
      <c r="F7033" s="38" t="n">
        <f aca="false">sbc_r*Sens!$F$6950</f>
        <v>10.8507035798037</v>
      </c>
      <c r="G7033" s="38" t="n">
        <f aca="false">Sens!$E$7033+Sens!$F$7033</f>
        <v>20.9207035798037</v>
      </c>
      <c r="H7033" s="38" t="n">
        <f aca="false">sbc_r*Sens!$H$6950</f>
        <v>23.46224366345</v>
      </c>
      <c r="I7033" s="38" t="n">
        <f aca="false">sbc_r*Sens!$I$6950</f>
        <v>26.6125957111676</v>
      </c>
      <c r="J7033" s="38" t="n">
        <f aca="false">sbc_r*Sens!$J$6950</f>
        <v>29.6280801413323</v>
      </c>
      <c r="K7033" s="38" t="n">
        <f aca="false">sbc_r*Sens!$K$6950</f>
        <v>32.2712258901105</v>
      </c>
      <c r="L7033" s="38" t="n">
        <f aca="false">sbc_r*Sens!$L$6950</f>
        <v>34.7390505016737</v>
      </c>
      <c r="M7033" s="38" t="n">
        <f aca="false">sbc_r*Sens!$M$6950</f>
        <v>37.0405146906692</v>
      </c>
    </row>
    <row r="7034" customFormat="false" ht="17.15" hidden="false" customHeight="false" outlineLevel="0" collapsed="false">
      <c r="A7034" s="5" t="s">
        <v>786</v>
      </c>
      <c r="B7034" s="0" t="s">
        <v>86</v>
      </c>
      <c r="C7034" s="38" t="n">
        <f aca="false">Q!$D$44-Sens!$C$7031-Sens!$C$7032-Sens!$C$7033</f>
        <v>2.551</v>
      </c>
      <c r="D7034" s="38" t="n">
        <f aca="false">Q!$E$44-Sens!$D$7031-Sens!$D$7032-Sens!$D$7033</f>
        <v>0.51700000000001</v>
      </c>
      <c r="E7034" s="38" t="n">
        <f aca="false">Q!$P$44-Sens!$E$7031-Sens!$E$7032-Sens!$E$7033</f>
        <v>-58.256</v>
      </c>
      <c r="F7034" s="38" t="n">
        <f aca="false">oth_r*Sens!$F$6950</f>
        <v>5.22265251035878</v>
      </c>
      <c r="G7034" s="38" t="n">
        <f aca="false">Sens!$E$7034+Sens!$F$7034</f>
        <v>-53.0333474896412</v>
      </c>
      <c r="H7034" s="38" t="n">
        <f aca="false">oth_r*Sens!$H$6950</f>
        <v>11.2928295263397</v>
      </c>
      <c r="I7034" s="38" t="n">
        <f aca="false">oth_r*Sens!$I$6950</f>
        <v>12.8091546115766</v>
      </c>
      <c r="J7034" s="38" t="n">
        <f aca="false">oth_r*Sens!$J$6950</f>
        <v>14.2605653162668</v>
      </c>
      <c r="K7034" s="38" t="n">
        <f aca="false">oth_r*Sens!$K$6950</f>
        <v>15.5327622460396</v>
      </c>
      <c r="L7034" s="38" t="n">
        <f aca="false">oth_r*Sens!$L$6950</f>
        <v>16.720573737517</v>
      </c>
      <c r="M7034" s="38" t="n">
        <f aca="false">oth_r*Sens!$M$6950</f>
        <v>17.8283127551536</v>
      </c>
      <c r="P7034" s="8" t="s">
        <v>787</v>
      </c>
    </row>
    <row r="7035" customFormat="false" ht="15" hidden="false" customHeight="false" outlineLevel="0" collapsed="false">
      <c r="A7035" s="3" t="s">
        <v>555</v>
      </c>
      <c r="B7035" s="8" t="s">
        <v>86</v>
      </c>
      <c r="C7035" s="38" t="n">
        <f aca="false">Q!$D$44</f>
        <v>115.877</v>
      </c>
      <c r="D7035" s="38" t="n">
        <f aca="false">Q!$E$44</f>
        <v>139.514</v>
      </c>
      <c r="E7035" s="38" t="n">
        <f aca="false">Q!$P$44</f>
        <v>71.419</v>
      </c>
      <c r="F7035" s="38" t="n">
        <f aca="false">Sens!$F$7031+Sens!$F$7032+Sens!$F$7033+Sens!$F$7034</f>
        <v>90.5858811434053</v>
      </c>
      <c r="G7035" s="38" t="n">
        <f aca="false">Sens!$E$7035+Sens!$F$7035</f>
        <v>162.004881143405</v>
      </c>
      <c r="H7035" s="38" t="n">
        <f aca="false">Sens!$H$7031+Sens!$H$7032+Sens!$H$7033+Sens!$H$7034</f>
        <v>218.627748477837</v>
      </c>
      <c r="I7035" s="38" t="n">
        <f aca="false">Sens!$I$7031+Sens!$I$7032+Sens!$I$7033+Sens!$I$7034</f>
        <v>270.47268086336</v>
      </c>
      <c r="J7035" s="38" t="n">
        <f aca="false">Sens!$J$7031+Sens!$J$7032+Sens!$J$7033+Sens!$J$7034</f>
        <v>322.901148792662</v>
      </c>
      <c r="K7035" s="38" t="n">
        <f aca="false">Sens!$K$7031+Sens!$K$7032+Sens!$K$7033+Sens!$K$7034</f>
        <v>371.076979153043</v>
      </c>
      <c r="L7035" s="38" t="n">
        <f aca="false">Sens!$L$7031+Sens!$L$7032+Sens!$L$7033+Sens!$L$7034</f>
        <v>413.315288332076</v>
      </c>
      <c r="M7035" s="38" t="n">
        <f aca="false">Sens!$M$7031+Sens!$M$7032+Sens!$M$7033+Sens!$M$7034</f>
        <v>449.97232363371</v>
      </c>
    </row>
    <row r="7036" customFormat="false" ht="17.15" hidden="false" customHeight="false" outlineLevel="0" collapsed="false">
      <c r="A7036" s="5" t="s">
        <v>788</v>
      </c>
      <c r="B7036" s="0" t="s">
        <v>86</v>
      </c>
      <c r="C7036" s="38" t="n">
        <f aca="false">Sens!$C$6917</f>
        <v>25.2781053077374</v>
      </c>
      <c r="D7036" s="38" t="n">
        <f aca="false">Sens!$D$6917</f>
        <v>69.5686316310026</v>
      </c>
      <c r="E7036" s="38" t="n">
        <f aca="false">Sens!$E$6917</f>
        <v>64.1899206485108</v>
      </c>
      <c r="F7036" s="38" t="n">
        <f aca="false">Sens!$F$6917</f>
        <v>96.2481299895</v>
      </c>
      <c r="G7036" s="38" t="n">
        <f aca="false">Sens!$G$6917</f>
        <v>160.438050638011</v>
      </c>
      <c r="H7036" s="38" t="n">
        <f aca="false">Sens!$H$6917</f>
        <v>198.57136494475</v>
      </c>
      <c r="I7036" s="38" t="n">
        <f aca="false">Sens!$I$6917</f>
        <v>204.6464699105</v>
      </c>
      <c r="J7036" s="38" t="n">
        <f aca="false">Sens!$J$6917</f>
        <v>209.8832381105</v>
      </c>
      <c r="K7036" s="38" t="n">
        <f aca="false">Sens!$K$6917</f>
        <v>155.238385275201</v>
      </c>
      <c r="L7036" s="38" t="n">
        <f aca="false">Sens!$L$6917</f>
        <v>132.014141639902</v>
      </c>
      <c r="M7036" s="38" t="n">
        <f aca="false">Sens!$M$6917</f>
        <v>132.230981659852</v>
      </c>
    </row>
    <row r="7037" customFormat="false" ht="17.15" hidden="false" customHeight="false" outlineLevel="0" collapsed="false">
      <c r="A7037" s="5" t="s">
        <v>789</v>
      </c>
      <c r="B7037" s="0" t="s">
        <v>86</v>
      </c>
      <c r="C7037" s="38" t="n">
        <f aca="false">cx_awso*Sens!$C$6948</f>
        <v>21.0469989286053</v>
      </c>
      <c r="D7037" s="38" t="n">
        <f aca="false">cx_awso*Sens!$D$6948</f>
        <v>24.0042459822698</v>
      </c>
      <c r="E7037" s="38" t="n">
        <f aca="false">cx_awso*Sens!$E$6948</f>
        <v>14.261729404886</v>
      </c>
      <c r="F7037" s="38" t="n">
        <f aca="false">cx_awso*Sens!$F$6948</f>
        <v>14.3538599588493</v>
      </c>
      <c r="G7037" s="38" t="n">
        <f aca="false">Sens!$E$7037+Sens!$F$7037</f>
        <v>28.6155893637353</v>
      </c>
      <c r="H7037" s="38" t="n">
        <f aca="false">cx_awso*Sens!$H$6948</f>
        <v>32.2034154158406</v>
      </c>
      <c r="I7037" s="38" t="n">
        <f aca="false">cx_awso*Sens!$I$6948</f>
        <v>35.7539519042915</v>
      </c>
      <c r="J7037" s="38" t="n">
        <f aca="false">cx_awso*Sens!$J$6948</f>
        <v>39.1551076091815</v>
      </c>
      <c r="K7037" s="38" t="n">
        <f aca="false">cx_awso*Sens!$K$6948</f>
        <v>42.287516217916</v>
      </c>
      <c r="L7037" s="38" t="n">
        <f aca="false">cx_awso*Sens!$L$6948</f>
        <v>45.6705175153492</v>
      </c>
      <c r="M7037" s="38" t="n">
        <f aca="false">cx_awso*Sens!$M$6948</f>
        <v>49.3241589165772</v>
      </c>
    </row>
    <row r="7038" customFormat="false" ht="17.15" hidden="false" customHeight="false" outlineLevel="0" collapsed="false">
      <c r="A7038" s="5" t="s">
        <v>790</v>
      </c>
      <c r="B7038" s="0" t="s">
        <v>86</v>
      </c>
      <c r="C7038" s="38" t="n">
        <f aca="false">Q!$D$46-Sens!$C$7036-Sens!$C$7037</f>
        <v>31.3328957636573</v>
      </c>
      <c r="D7038" s="38" t="n">
        <f aca="false">Q!$E$46-Sens!$D$7036-Sens!$D$7037</f>
        <v>34.7471223867276</v>
      </c>
      <c r="E7038" s="38" t="n">
        <f aca="false">Q!$P$46-Sens!$E$7036-Sens!$E$7037</f>
        <v>17.8583499466032</v>
      </c>
      <c r="F7038" s="38" t="n">
        <f aca="false">cx_rt*Sens!$F$6880</f>
        <v>20.6195895799373</v>
      </c>
      <c r="G7038" s="38" t="n">
        <f aca="false">Sens!$E$7038+Sens!$F$7038</f>
        <v>38.4779395265405</v>
      </c>
      <c r="H7038" s="38" t="n">
        <f aca="false">cx_rt*Sens!$H$6880</f>
        <v>42.5978994743075</v>
      </c>
      <c r="I7038" s="38" t="n">
        <f aca="false">cx_rt*Sens!$I$6880</f>
        <v>46.5813904136335</v>
      </c>
      <c r="J7038" s="38" t="n">
        <f aca="false">cx_rt*Sens!$J$6880</f>
        <v>50.2781676586844</v>
      </c>
      <c r="K7038" s="38" t="n">
        <f aca="false">cx_rt*Sens!$K$6880</f>
        <v>53.5312440191755</v>
      </c>
      <c r="L7038" s="38" t="n">
        <f aca="false">cx_rt*Sens!$L$6880</f>
        <v>57.0116717051447</v>
      </c>
      <c r="M7038" s="38" t="n">
        <f aca="false">cx_rt*Sens!$M$6880</f>
        <v>60.7365554669226</v>
      </c>
    </row>
    <row r="7039" customFormat="false" ht="15" hidden="false" customHeight="false" outlineLevel="0" collapsed="false">
      <c r="A7039" s="3" t="s">
        <v>791</v>
      </c>
      <c r="B7039" s="8" t="s">
        <v>86</v>
      </c>
      <c r="C7039" s="38" t="n">
        <f aca="false">Q!$D$46</f>
        <v>77.658</v>
      </c>
      <c r="D7039" s="38" t="n">
        <f aca="false">Q!$E$46</f>
        <v>128.32</v>
      </c>
      <c r="E7039" s="38" t="n">
        <f aca="false">Q!$P$46</f>
        <v>96.31</v>
      </c>
      <c r="F7039" s="38" t="n">
        <f aca="false">Sens!$F$7036+Sens!$F$7037+Sens!$F$7038</f>
        <v>131.221579528287</v>
      </c>
      <c r="G7039" s="38" t="n">
        <f aca="false">Sens!$E$7039+Sens!$F$7039</f>
        <v>227.531579528287</v>
      </c>
      <c r="H7039" s="38" t="n">
        <f aca="false">Sens!$H$7036+Sens!$H$7037+Sens!$H$7038</f>
        <v>273.372679834898</v>
      </c>
      <c r="I7039" s="38" t="n">
        <f aca="false">Sens!$I$7036+Sens!$I$7037+Sens!$I$7038</f>
        <v>286.981812228425</v>
      </c>
      <c r="J7039" s="38" t="n">
        <f aca="false">Sens!$J$7036+Sens!$J$7037+Sens!$J$7038</f>
        <v>299.316513378366</v>
      </c>
      <c r="K7039" s="38" t="n">
        <f aca="false">Sens!$K$7036+Sens!$K$7037+Sens!$K$7038</f>
        <v>251.057145512292</v>
      </c>
      <c r="L7039" s="38" t="n">
        <f aca="false">Sens!$L$7036+Sens!$L$7037+Sens!$L$7038</f>
        <v>234.696330860396</v>
      </c>
      <c r="M7039" s="38" t="n">
        <f aca="false">Sens!$M$7036+Sens!$M$7037+Sens!$M$7038</f>
        <v>242.291696043352</v>
      </c>
    </row>
    <row r="7040" customFormat="false" ht="17.15" hidden="false" customHeight="false" outlineLevel="0" collapsed="false">
      <c r="A7040" s="5" t="s">
        <v>563</v>
      </c>
      <c r="B7040" s="0" t="s">
        <v>86</v>
      </c>
      <c r="C7040" s="38" t="n">
        <f aca="false">Q!$D$50</f>
        <v>2.043</v>
      </c>
      <c r="D7040" s="38" t="n">
        <f aca="false">Q!$E$50</f>
        <v>1.557</v>
      </c>
      <c r="E7040" s="38" t="n">
        <f aca="false">lease_pr/2</f>
        <v>0.8</v>
      </c>
      <c r="F7040" s="38" t="n">
        <f aca="false">lease_pr/2</f>
        <v>0.8</v>
      </c>
      <c r="G7040" s="38" t="n">
        <f aca="false">Sens!$E$7040+Sens!$F$7040</f>
        <v>1.6</v>
      </c>
      <c r="H7040" s="38" t="n">
        <f aca="false">lease_pr</f>
        <v>1.6</v>
      </c>
      <c r="I7040" s="38" t="n">
        <f aca="false">lease_pr</f>
        <v>1.6</v>
      </c>
      <c r="J7040" s="38" t="n">
        <f aca="false">lease_pr</f>
        <v>1.6</v>
      </c>
      <c r="K7040" s="38" t="n">
        <f aca="false">lease_pr</f>
        <v>1.6</v>
      </c>
      <c r="L7040" s="38" t="n">
        <f aca="false">lease_pr</f>
        <v>1.6</v>
      </c>
      <c r="M7040" s="38" t="n">
        <f aca="false">lease_pr</f>
        <v>1.6</v>
      </c>
      <c r="P7040" s="8" t="s">
        <v>792</v>
      </c>
    </row>
    <row r="7041" customFormat="false" ht="15" hidden="false" customHeight="false" outlineLevel="0" collapsed="false">
      <c r="A7041" s="47" t="s">
        <v>793</v>
      </c>
      <c r="B7041" s="14" t="s">
        <v>86</v>
      </c>
      <c r="C7041" s="48" t="n">
        <f aca="false">Sens!$C$7035-Sens!$C$7039-Sens!$C$7040</f>
        <v>36.176</v>
      </c>
      <c r="D7041" s="48" t="n">
        <f aca="false">Sens!$D$7035-Sens!$D$7039-Sens!$D$7040</f>
        <v>9.63700000000002</v>
      </c>
      <c r="E7041" s="48" t="n">
        <f aca="false">Sens!$E$7035-Sens!$E$7039-Sens!$E$7040</f>
        <v>-25.691</v>
      </c>
      <c r="F7041" s="48" t="n">
        <f aca="false">Sens!$F$7035-Sens!$F$7039-Sens!$F$7040</f>
        <v>-41.4356983848813</v>
      </c>
      <c r="G7041" s="48" t="n">
        <f aca="false">Sens!$G$7035-Sens!$G$7039-Sens!$G$7040</f>
        <v>-67.1266983848813</v>
      </c>
      <c r="H7041" s="48" t="n">
        <f aca="false">Sens!$H$7035-Sens!$H$7039-Sens!$H$7040</f>
        <v>-56.3449313570613</v>
      </c>
      <c r="I7041" s="48" t="n">
        <f aca="false">Sens!$I$7035-Sens!$I$7039-Sens!$I$7040</f>
        <v>-18.1091313650653</v>
      </c>
      <c r="J7041" s="48" t="n">
        <f aca="false">Sens!$J$7035-Sens!$J$7039-Sens!$J$7040</f>
        <v>21.9846354142961</v>
      </c>
      <c r="K7041" s="48" t="n">
        <f aca="false">Sens!$K$7035-Sens!$K$7039-Sens!$K$7040</f>
        <v>118.41983364075</v>
      </c>
      <c r="L7041" s="48" t="n">
        <f aca="false">Sens!$L$7035-Sens!$L$7039-Sens!$L$7040</f>
        <v>177.018957471681</v>
      </c>
      <c r="M7041" s="48" t="n">
        <f aca="false">Sens!$M$7035-Sens!$M$7039-Sens!$M$7040</f>
        <v>206.080627590357</v>
      </c>
      <c r="N7041" s="14"/>
      <c r="O7041" s="14"/>
    </row>
    <row r="7042" customFormat="false" ht="17.15" hidden="false" customHeight="false" outlineLevel="0" collapsed="false">
      <c r="A7042" s="5" t="s">
        <v>794</v>
      </c>
      <c r="B7042" s="0" t="s">
        <v>86</v>
      </c>
      <c r="C7042" s="38" t="n">
        <f aca="false">dps*Sens!$C$7021</f>
        <v>0</v>
      </c>
      <c r="D7042" s="38" t="n">
        <f aca="false">dps*Sens!$D$7021</f>
        <v>0</v>
      </c>
      <c r="E7042" s="38" t="n">
        <f aca="false">dps*Sens!$E$7021</f>
        <v>0</v>
      </c>
      <c r="F7042" s="38" t="n">
        <f aca="false">0</f>
        <v>0</v>
      </c>
      <c r="G7042" s="38" t="n">
        <f aca="false">dps*Sens!$G$7021</f>
        <v>0</v>
      </c>
      <c r="H7042" s="38" t="n">
        <f aca="false">dps*Sens!$H$7021</f>
        <v>0</v>
      </c>
      <c r="I7042" s="38" t="n">
        <f aca="false">dps*Sens!$I$7021</f>
        <v>0</v>
      </c>
      <c r="J7042" s="38" t="n">
        <f aca="false">dps*Sens!$J$7021</f>
        <v>0</v>
      </c>
      <c r="K7042" s="38" t="n">
        <f aca="false">dps*Sens!$K$7021</f>
        <v>0</v>
      </c>
      <c r="L7042" s="38" t="n">
        <f aca="false">dps*Sens!$L$7021</f>
        <v>0</v>
      </c>
      <c r="M7042" s="38" t="n">
        <f aca="false">dps*Sens!$M$7021</f>
        <v>0</v>
      </c>
      <c r="P7042" s="8" t="s">
        <v>795</v>
      </c>
    </row>
    <row r="7043" customFormat="false" ht="17.15" hidden="false" customHeight="false" outlineLevel="0" collapsed="false">
      <c r="A7043" s="5" t="s">
        <v>796</v>
      </c>
      <c r="B7043" s="0" t="s">
        <v>86</v>
      </c>
      <c r="C7043" s="38" t="n">
        <f aca="false">0</f>
        <v>0</v>
      </c>
      <c r="D7043" s="38" t="n">
        <f aca="false">0</f>
        <v>0</v>
      </c>
      <c r="E7043" s="38" t="n">
        <f aca="false">0</f>
        <v>0</v>
      </c>
      <c r="F7043" s="38" t="n">
        <f aca="false">0</f>
        <v>0</v>
      </c>
      <c r="G7043" s="38" t="n">
        <f aca="false">0</f>
        <v>0</v>
      </c>
      <c r="H7043" s="38" t="n">
        <f aca="false">0</f>
        <v>0</v>
      </c>
      <c r="I7043" s="38" t="n">
        <f aca="false">0</f>
        <v>0</v>
      </c>
      <c r="J7043" s="38" t="n">
        <f aca="false">0</f>
        <v>0</v>
      </c>
      <c r="K7043" s="38" t="n">
        <f aca="false">0</f>
        <v>0</v>
      </c>
      <c r="L7043" s="38" t="n">
        <f aca="false">0</f>
        <v>0</v>
      </c>
      <c r="M7043" s="38" t="n">
        <f aca="false">0</f>
        <v>0</v>
      </c>
      <c r="P7043" s="8" t="s">
        <v>797</v>
      </c>
    </row>
    <row r="7044" customFormat="false" ht="15" hidden="false" customHeight="false" outlineLevel="0" collapsed="false">
      <c r="A7044" s="3" t="s">
        <v>798</v>
      </c>
      <c r="B7044" s="8" t="s">
        <v>86</v>
      </c>
      <c r="C7044" s="38" t="n">
        <f aca="false">Sens!$C$7041-Sens!$C$7042</f>
        <v>36.176</v>
      </c>
      <c r="D7044" s="38" t="n">
        <f aca="false">Sens!$D$7041-Sens!$D$7042</f>
        <v>9.63700000000002</v>
      </c>
      <c r="E7044" s="38" t="n">
        <f aca="false">Sens!$E$7041-Sens!$E$7042</f>
        <v>-25.691</v>
      </c>
      <c r="F7044" s="38" t="n">
        <f aca="false">Sens!$F$7041-Sens!$F$7042</f>
        <v>-41.4356983848813</v>
      </c>
      <c r="G7044" s="38" t="n">
        <f aca="false">Sens!$G$7041-Sens!$G$7042</f>
        <v>-67.1266983848813</v>
      </c>
      <c r="H7044" s="38" t="n">
        <f aca="false">Sens!$H$7041-Sens!$H$7042</f>
        <v>-56.3449313570613</v>
      </c>
      <c r="I7044" s="38" t="n">
        <f aca="false">Sens!$I$7041-Sens!$I$7042</f>
        <v>-18.1091313650653</v>
      </c>
      <c r="J7044" s="38" t="n">
        <f aca="false">Sens!$J$7041-Sens!$J$7042</f>
        <v>21.9846354142961</v>
      </c>
      <c r="K7044" s="38" t="n">
        <f aca="false">Sens!$K$7041-Sens!$K$7042</f>
        <v>118.41983364075</v>
      </c>
      <c r="L7044" s="38" t="n">
        <f aca="false">Sens!$L$7041-Sens!$L$7042</f>
        <v>177.018957471681</v>
      </c>
      <c r="M7044" s="38" t="n">
        <f aca="false">Sens!$M$7041-Sens!$M$7042</f>
        <v>206.080627590357</v>
      </c>
    </row>
    <row r="7045" customFormat="false" ht="17.15" hidden="false" customHeight="false" outlineLevel="0" collapsed="false">
      <c r="A7045" s="5" t="s">
        <v>799</v>
      </c>
      <c r="B7045" s="0" t="s">
        <v>86</v>
      </c>
      <c r="E7045" s="38" t="n">
        <f aca="false">Q!$P$53</f>
        <v>39.767</v>
      </c>
      <c r="F7045" s="38" t="n">
        <f aca="false">inv_2h26</f>
        <v>21.3</v>
      </c>
      <c r="G7045" s="38" t="n">
        <f aca="false">Sens!$E$7045+Sens!$F$7045</f>
        <v>61.067</v>
      </c>
      <c r="H7045" s="39" t="n">
        <v>0</v>
      </c>
      <c r="I7045" s="39" t="n">
        <v>0</v>
      </c>
      <c r="J7045" s="39" t="n">
        <v>0</v>
      </c>
      <c r="K7045" s="39" t="n">
        <v>0</v>
      </c>
      <c r="L7045" s="39" t="n">
        <v>0</v>
      </c>
      <c r="M7045" s="39" t="n">
        <v>0</v>
      </c>
    </row>
    <row r="7046" customFormat="false" ht="17.15" hidden="false" customHeight="false" outlineLevel="0" collapsed="false">
      <c r="A7046" s="5" t="s">
        <v>800</v>
      </c>
      <c r="B7046" s="0" t="s">
        <v>86</v>
      </c>
      <c r="F7046" s="38" t="n">
        <f aca="false">iss_2h26</f>
        <v>29.249999</v>
      </c>
      <c r="G7046" s="38" t="n">
        <f aca="false">Sens!$F$7046</f>
        <v>29.249999</v>
      </c>
      <c r="H7046" s="39" t="n">
        <v>0</v>
      </c>
      <c r="I7046" s="39" t="n">
        <v>0</v>
      </c>
      <c r="J7046" s="39" t="n">
        <v>0</v>
      </c>
      <c r="K7046" s="39" t="n">
        <v>0</v>
      </c>
      <c r="L7046" s="39" t="n">
        <v>0</v>
      </c>
      <c r="M7046" s="39" t="n">
        <v>0</v>
      </c>
    </row>
    <row r="7047" customFormat="false" ht="17.15" hidden="false" customHeight="false" outlineLevel="0" collapsed="false">
      <c r="A7047" s="5" t="s">
        <v>801</v>
      </c>
      <c r="B7047" s="0" t="s">
        <v>86</v>
      </c>
      <c r="F7047" s="38" t="n">
        <f aca="false">cash_q2</f>
        <v>122.988</v>
      </c>
      <c r="G7047" s="38" t="n">
        <f aca="false">cash_q2</f>
        <v>122.988</v>
      </c>
      <c r="H7047" s="38" t="n">
        <f aca="false">Sens!$G$7050</f>
        <v>89.5023006151187</v>
      </c>
      <c r="I7047" s="38" t="n">
        <f aca="false">Sens!$H$7050</f>
        <v>50</v>
      </c>
      <c r="J7047" s="38" t="n">
        <f aca="false">Sens!$I$7050</f>
        <v>50</v>
      </c>
      <c r="K7047" s="38" t="n">
        <f aca="false">Sens!$J$7050</f>
        <v>71.9846354142962</v>
      </c>
      <c r="L7047" s="38" t="n">
        <f aca="false">Sens!$K$7050</f>
        <v>190.404469055046</v>
      </c>
      <c r="M7047" s="38" t="n">
        <f aca="false">Sens!$L$7050</f>
        <v>367.423426526727</v>
      </c>
    </row>
    <row r="7048" customFormat="false" ht="15" hidden="false" customHeight="false" outlineLevel="0" collapsed="false">
      <c r="A7048" s="5" t="s">
        <v>802</v>
      </c>
      <c r="B7048" s="0" t="s">
        <v>86</v>
      </c>
      <c r="F7048" s="38" t="n">
        <f aca="false">Sens!$F$7047+Sens!$F$7044-Sens!$F$7043-Sens!$F$7045+Sens!$F$7046</f>
        <v>89.5023006151187</v>
      </c>
      <c r="H7048" s="38" t="n">
        <f aca="false">Sens!$H$7047+Sens!$H$7044-Sens!$H$7043-Sens!$H$7045+Sens!$H$7046</f>
        <v>33.1573692580575</v>
      </c>
      <c r="I7048" s="38" t="n">
        <f aca="false">Sens!$I$7047+Sens!$I$7044-Sens!$I$7043-Sens!$I$7045+Sens!$I$7046</f>
        <v>31.8908686349347</v>
      </c>
      <c r="J7048" s="38" t="n">
        <f aca="false">Sens!$J$7047+Sens!$J$7044-Sens!$J$7043-Sens!$J$7045+Sens!$J$7046</f>
        <v>71.9846354142962</v>
      </c>
      <c r="K7048" s="38" t="n">
        <f aca="false">Sens!$K$7047+Sens!$K$7044-Sens!$K$7043-Sens!$K$7045+Sens!$K$7046</f>
        <v>190.404469055046</v>
      </c>
      <c r="L7048" s="38" t="n">
        <f aca="false">Sens!$L$7047+Sens!$L$7044-Sens!$L$7043-Sens!$L$7045+Sens!$L$7046</f>
        <v>367.423426526727</v>
      </c>
      <c r="M7048" s="38" t="n">
        <f aca="false">Sens!$M$7047+Sens!$M$7044-Sens!$M$7043-Sens!$M$7045+Sens!$M$7046</f>
        <v>573.504054117085</v>
      </c>
    </row>
    <row r="7049" customFormat="false" ht="17.15" hidden="false" customHeight="false" outlineLevel="0" collapsed="false">
      <c r="A7049" s="5" t="s">
        <v>803</v>
      </c>
      <c r="B7049" s="0" t="s">
        <v>86</v>
      </c>
      <c r="F7049" s="38" t="n">
        <f aca="false">MAX(0,min_cash-Sens!$F$7048)</f>
        <v>0</v>
      </c>
      <c r="G7049" s="38" t="n">
        <f aca="false">Sens!$F$7049</f>
        <v>0</v>
      </c>
      <c r="H7049" s="38" t="n">
        <f aca="false">MAX(0,min_cash-Sens!$H$7048)</f>
        <v>16.8426307419426</v>
      </c>
      <c r="I7049" s="38" t="n">
        <f aca="false">MAX(0,min_cash-Sens!$I$7048)</f>
        <v>18.1091313650653</v>
      </c>
      <c r="J7049" s="38" t="n">
        <f aca="false">MAX(0,min_cash-Sens!$J$7048)</f>
        <v>0</v>
      </c>
      <c r="K7049" s="38" t="n">
        <f aca="false">MAX(0,min_cash-Sens!$K$7048)</f>
        <v>0</v>
      </c>
      <c r="L7049" s="38" t="n">
        <f aca="false">MAX(0,min_cash-Sens!$L$7048)</f>
        <v>0</v>
      </c>
      <c r="M7049" s="38" t="n">
        <f aca="false">MAX(0,min_cash-Sens!$M$7048)</f>
        <v>0</v>
      </c>
      <c r="P7049" s="5" t="s">
        <v>804</v>
      </c>
    </row>
    <row r="7050" customFormat="false" ht="15" hidden="false" customHeight="false" outlineLevel="0" collapsed="false">
      <c r="A7050" s="5" t="s">
        <v>805</v>
      </c>
      <c r="B7050" s="0" t="s">
        <v>86</v>
      </c>
      <c r="D7050" s="38" t="n">
        <f aca="false">Q!$E$61</f>
        <v>123.029</v>
      </c>
      <c r="E7050" s="38" t="n">
        <f aca="false">Q!$M$61</f>
        <v>122.988</v>
      </c>
      <c r="F7050" s="38" t="n">
        <f aca="false">Sens!$F$7048+Sens!$F$7049</f>
        <v>89.5023006151187</v>
      </c>
      <c r="G7050" s="38" t="n">
        <f aca="false">Sens!$F$7050</f>
        <v>89.5023006151187</v>
      </c>
      <c r="H7050" s="38" t="n">
        <f aca="false">Sens!$H$7048+Sens!$H$7049</f>
        <v>50</v>
      </c>
      <c r="I7050" s="38" t="n">
        <f aca="false">Sens!$I$7048+Sens!$I$7049</f>
        <v>50</v>
      </c>
      <c r="J7050" s="38" t="n">
        <f aca="false">Sens!$J$7048+Sens!$J$7049</f>
        <v>71.9846354142962</v>
      </c>
      <c r="K7050" s="38" t="n">
        <f aca="false">Sens!$K$7048+Sens!$K$7049</f>
        <v>190.404469055046</v>
      </c>
      <c r="L7050" s="38" t="n">
        <f aca="false">Sens!$L$7048+Sens!$L$7049</f>
        <v>367.423426526727</v>
      </c>
      <c r="M7050" s="38" t="n">
        <f aca="false">Sens!$M$7048+Sens!$M$7049</f>
        <v>573.504054117085</v>
      </c>
    </row>
    <row r="7051" customFormat="false" ht="15" hidden="false" customHeight="false" outlineLevel="0" collapsed="false">
      <c r="A7051" s="5" t="s">
        <v>806</v>
      </c>
      <c r="B7051" s="0" t="s">
        <v>86</v>
      </c>
      <c r="D7051" s="38" t="n">
        <f aca="false">Q!$E$62</f>
        <v>68.836</v>
      </c>
      <c r="E7051" s="38" t="n">
        <f aca="false">Q!$M$62</f>
        <v>132.995</v>
      </c>
      <c r="F7051" s="38" t="n">
        <f aca="false">debt_q2+Sens!$F$7046+Sens!$F$7049</f>
        <v>162.244999</v>
      </c>
      <c r="G7051" s="38" t="n">
        <f aca="false">Sens!$F$7051</f>
        <v>162.244999</v>
      </c>
      <c r="H7051" s="38" t="n">
        <f aca="false">Sens!$G$7051+Sens!$H$7049</f>
        <v>179.087629741943</v>
      </c>
      <c r="I7051" s="38" t="n">
        <f aca="false">Sens!$H$7051+Sens!$I$7049</f>
        <v>197.196761107008</v>
      </c>
      <c r="J7051" s="38" t="n">
        <f aca="false">Sens!$I$7051+Sens!$J$7049</f>
        <v>197.196761107008</v>
      </c>
      <c r="K7051" s="38" t="n">
        <f aca="false">Sens!$J$7051+Sens!$K$7049</f>
        <v>197.196761107008</v>
      </c>
      <c r="L7051" s="38" t="n">
        <f aca="false">Sens!$K$7051+Sens!$L$7049</f>
        <v>197.196761107008</v>
      </c>
      <c r="M7051" s="38" t="n">
        <f aca="false">Sens!$L$7051+Sens!$M$7049</f>
        <v>197.196761107008</v>
      </c>
    </row>
    <row r="7052" customFormat="false" ht="15" hidden="false" customHeight="false" outlineLevel="0" collapsed="false">
      <c r="A7052" s="5" t="s">
        <v>807</v>
      </c>
      <c r="B7052" s="0" t="s">
        <v>86</v>
      </c>
      <c r="D7052" s="38" t="n">
        <f aca="false">Sens!$D$7051-Sens!$D$7050</f>
        <v>-54.193</v>
      </c>
      <c r="E7052" s="38" t="n">
        <f aca="false">Sens!$E$7051-Sens!$E$7050</f>
        <v>10.007</v>
      </c>
      <c r="F7052" s="38" t="n">
        <f aca="false">Sens!$F$7051-Sens!$F$7050</f>
        <v>72.7426983848813</v>
      </c>
      <c r="G7052" s="38" t="n">
        <f aca="false">Sens!$G$7051-Sens!$G$7050</f>
        <v>72.7426983848813</v>
      </c>
      <c r="H7052" s="38" t="n">
        <f aca="false">Sens!$H$7051-Sens!$H$7050</f>
        <v>129.087629741943</v>
      </c>
      <c r="I7052" s="38" t="n">
        <f aca="false">Sens!$I$7051-Sens!$I$7050</f>
        <v>147.196761107008</v>
      </c>
      <c r="J7052" s="38" t="n">
        <f aca="false">Sens!$J$7051-Sens!$J$7050</f>
        <v>125.212125692712</v>
      </c>
      <c r="K7052" s="38" t="n">
        <f aca="false">Sens!$K$7051-Sens!$K$7050</f>
        <v>6.79229205196145</v>
      </c>
      <c r="L7052" s="38" t="n">
        <f aca="false">Sens!$L$7051-Sens!$L$7050</f>
        <v>-170.226665419719</v>
      </c>
      <c r="M7052" s="38" t="n">
        <f aca="false">Sens!$M$7051-Sens!$M$7050</f>
        <v>-376.307293010077</v>
      </c>
    </row>
    <row r="7053" customFormat="false" ht="17.15" hidden="false" customHeight="false" outlineLevel="0" collapsed="false">
      <c r="A7053" s="5" t="s">
        <v>808</v>
      </c>
      <c r="B7053" s="0" t="s">
        <v>86</v>
      </c>
      <c r="F7053" s="38" t="n">
        <f aca="false">debt_q2*kd_book*0.5+iss_2h26*kd_new*iss_t</f>
        <v>3.24888962733561</v>
      </c>
      <c r="H7053" s="38" t="n">
        <f aca="false">debt_q2*kd_book+(Sens!$G$7051-debt_q2)*kd_new</f>
        <v>7.42354172302123</v>
      </c>
      <c r="I7053" s="38" t="n">
        <f aca="false">debt_q2*kd_book+(Sens!$H$7051-debt_q2)*kd_new</f>
        <v>8.48968024898619</v>
      </c>
      <c r="J7053" s="38" t="n">
        <f aca="false">debt_q2*kd_book+(Sens!$I$7051-debt_q2)*kd_new</f>
        <v>9.63598826439483</v>
      </c>
      <c r="K7053" s="38" t="n">
        <f aca="false">debt_q2*kd_book+(Sens!$J$7051-debt_q2)*kd_new</f>
        <v>9.63598826439483</v>
      </c>
      <c r="L7053" s="38" t="n">
        <f aca="false">debt_q2*kd_book+(Sens!$K$7051-debt_q2)*kd_new</f>
        <v>9.63598826439483</v>
      </c>
      <c r="M7053" s="38" t="n">
        <f aca="false">debt_q2*kd_book+(Sens!$L$7051-debt_q2)*kd_new</f>
        <v>9.63598826439483</v>
      </c>
    </row>
    <row r="7054" customFormat="false" ht="17.15" hidden="false" customHeight="false" outlineLevel="0" collapsed="false">
      <c r="A7054" s="5" t="s">
        <v>809</v>
      </c>
      <c r="B7054" s="0" t="s">
        <v>86</v>
      </c>
      <c r="F7054" s="38" t="n">
        <f aca="false">cash_q2*y_cash*0.5</f>
        <v>2.59</v>
      </c>
      <c r="H7054" s="38" t="n">
        <f aca="false">Sens!$G$7050*y_cash</f>
        <v>3.76965165045626</v>
      </c>
      <c r="I7054" s="38" t="n">
        <f aca="false">Sens!$H$7050*y_cash</f>
        <v>2.10589651022864</v>
      </c>
      <c r="J7054" s="38" t="n">
        <f aca="false">Sens!$I$7050*y_cash</f>
        <v>2.10589651022864</v>
      </c>
      <c r="K7054" s="38" t="n">
        <f aca="false">Sens!$J$7050*y_cash</f>
        <v>3.03184385018094</v>
      </c>
      <c r="L7054" s="38" t="n">
        <f aca="false">Sens!$K$7050*y_cash</f>
        <v>8.01944213829919</v>
      </c>
      <c r="M7054" s="38" t="n">
        <f aca="false">Sens!$L$7050*y_cash</f>
        <v>15.4751142339777</v>
      </c>
    </row>
    <row r="7055" customFormat="false" ht="17.15" hidden="false" customHeight="false" outlineLevel="0" collapsed="false">
      <c r="A7055" s="47" t="s">
        <v>810</v>
      </c>
      <c r="B7055" s="14" t="s">
        <v>86</v>
      </c>
      <c r="C7055" s="14"/>
      <c r="D7055" s="14"/>
      <c r="E7055" s="14"/>
      <c r="F7055" s="14"/>
      <c r="G7055" s="48" t="n">
        <f aca="false">SUM(Sens!$G$7044:$K$7044)</f>
        <v>-1.17629205196147</v>
      </c>
      <c r="H7055" s="14"/>
      <c r="I7055" s="14"/>
      <c r="J7055" s="14"/>
      <c r="K7055" s="14"/>
      <c r="L7055" s="14"/>
      <c r="M7055" s="14"/>
      <c r="N7055" s="14"/>
      <c r="O7055" s="14"/>
    </row>
    <row r="7056" customFormat="false" ht="17.15" hidden="false" customHeight="false" outlineLevel="0" collapsed="false">
      <c r="A7056" s="0" t="s">
        <v>776</v>
      </c>
      <c r="B7056" s="0" t="s">
        <v>86</v>
      </c>
      <c r="G7056" s="38" t="n">
        <f aca="false">SUM(Sens!$G$7049:$K$7049)</f>
        <v>34.9517621070079</v>
      </c>
    </row>
    <row r="7057" customFormat="false" ht="17.15" hidden="false" customHeight="false" outlineLevel="0" collapsed="false">
      <c r="A7057" s="24" t="s">
        <v>813</v>
      </c>
      <c r="B7057" s="25" t="s">
        <v>86</v>
      </c>
      <c r="C7057" s="25"/>
      <c r="D7057" s="25"/>
      <c r="E7057" s="25"/>
      <c r="F7057" s="25"/>
      <c r="G7057" s="41" t="n">
        <f aca="false">Sens!$G$7055-(Sens!$G$7044+Sens!$H$7044+Sens!$I$7044+Sens!$J$7044+Sens!$K$7044)</f>
        <v>-2.8421709430404E-014</v>
      </c>
      <c r="H7057" s="25"/>
      <c r="I7057" s="25"/>
      <c r="J7057" s="25"/>
      <c r="K7057" s="25"/>
      <c r="L7057" s="25"/>
      <c r="M7057" s="25"/>
      <c r="N7057" s="25"/>
      <c r="O7057" s="25"/>
    </row>
    <row r="7060" customFormat="false" ht="19.4" hidden="false" customHeight="false" outlineLevel="0" collapsed="false">
      <c r="A7060" s="31" t="s">
        <v>1279</v>
      </c>
    </row>
    <row r="7061" customFormat="false" ht="17.15" hidden="false" customHeight="false" outlineLevel="0" collapsed="false">
      <c r="A7061" s="6" t="s">
        <v>16</v>
      </c>
      <c r="B7061" s="6" t="s">
        <v>17</v>
      </c>
      <c r="C7061" s="20" t="s">
        <v>497</v>
      </c>
      <c r="D7061" s="20" t="s">
        <v>498</v>
      </c>
      <c r="E7061" s="20" t="s">
        <v>580</v>
      </c>
      <c r="F7061" s="20" t="s">
        <v>581</v>
      </c>
      <c r="G7061" s="20" t="s">
        <v>582</v>
      </c>
      <c r="H7061" s="20" t="s">
        <v>583</v>
      </c>
      <c r="I7061" s="20" t="s">
        <v>584</v>
      </c>
      <c r="J7061" s="20" t="s">
        <v>585</v>
      </c>
      <c r="K7061" s="20" t="s">
        <v>586</v>
      </c>
      <c r="L7061" s="20" t="s">
        <v>587</v>
      </c>
      <c r="M7061" s="20" t="s">
        <v>588</v>
      </c>
      <c r="N7061" s="20" t="s">
        <v>589</v>
      </c>
      <c r="O7061" s="20" t="s">
        <v>590</v>
      </c>
      <c r="P7061" s="6" t="s">
        <v>23</v>
      </c>
      <c r="R7061" s="20" t="n">
        <v>2023</v>
      </c>
      <c r="S7061" s="20" t="n">
        <v>2024</v>
      </c>
      <c r="T7061" s="20" t="n">
        <v>2025</v>
      </c>
      <c r="U7061" s="20" t="n">
        <v>2026</v>
      </c>
      <c r="V7061" s="20" t="n">
        <v>2027</v>
      </c>
      <c r="W7061" s="20" t="n">
        <v>2028</v>
      </c>
      <c r="X7061" s="20" t="n">
        <v>2029</v>
      </c>
      <c r="Y7061" s="20" t="n">
        <v>2030</v>
      </c>
      <c r="Z7061" s="20" t="n">
        <v>2031</v>
      </c>
      <c r="AA7061" s="20" t="n">
        <v>2032</v>
      </c>
    </row>
    <row r="7062" customFormat="false" ht="17.15" hidden="false" customHeight="false" outlineLevel="0" collapsed="false">
      <c r="A7062" s="1" t="s">
        <v>915</v>
      </c>
    </row>
    <row r="7063" customFormat="false" ht="17.15" hidden="false" customHeight="false" outlineLevel="0" collapsed="false">
      <c r="A7063" s="0" t="s">
        <v>916</v>
      </c>
      <c r="B7063" s="0" t="s">
        <v>86</v>
      </c>
      <c r="H7063" s="38" t="n">
        <f aca="false">Sens!$H$6997*(1-tax)</f>
        <v>121.243762954598</v>
      </c>
      <c r="I7063" s="38" t="n">
        <f aca="false">Sens!$I$6997*(1-tax)</f>
        <v>146.296727721585</v>
      </c>
      <c r="J7063" s="38" t="n">
        <f aca="false">Sens!$J$6997*(1-tax)</f>
        <v>170.140518399982</v>
      </c>
      <c r="K7063" s="38" t="n">
        <f aca="false">Sens!$K$6997*(1-tax)</f>
        <v>187.091644407888</v>
      </c>
      <c r="L7063" s="38" t="n">
        <f aca="false">Sens!$L$6997*(1-tax)</f>
        <v>200.866341135815</v>
      </c>
      <c r="M7063" s="38" t="n">
        <f aca="false">Sens!$M$6997*(1-tax)</f>
        <v>211.476896331068</v>
      </c>
    </row>
    <row r="7064" customFormat="false" ht="15" hidden="false" customHeight="false" outlineLevel="0" collapsed="false">
      <c r="A7064" s="5" t="s">
        <v>917</v>
      </c>
      <c r="B7064" s="0" t="s">
        <v>86</v>
      </c>
      <c r="H7064" s="38" t="n">
        <f aca="false">Sens!$H$7008</f>
        <v>78.1799395827871</v>
      </c>
      <c r="I7064" s="38" t="n">
        <f aca="false">Sens!$I$7008</f>
        <v>111.171125554384</v>
      </c>
      <c r="J7064" s="38" t="n">
        <f aca="false">Sens!$J$7008</f>
        <v>144.884406220971</v>
      </c>
      <c r="K7064" s="38" t="n">
        <f aca="false">Sens!$K$7008</f>
        <v>178.806419437999</v>
      </c>
      <c r="L7064" s="38" t="n">
        <f aca="false">Sens!$L$7008</f>
        <v>204.341339029663</v>
      </c>
      <c r="M7064" s="38" t="n">
        <f aca="false">Sens!$M$7008</f>
        <v>223.130577995387</v>
      </c>
    </row>
    <row r="7065" customFormat="false" ht="15" hidden="false" customHeight="false" outlineLevel="0" collapsed="false">
      <c r="A7065" s="5" t="s">
        <v>918</v>
      </c>
      <c r="B7065" s="0" t="s">
        <v>86</v>
      </c>
      <c r="H7065" s="38" t="n">
        <f aca="false">Sens!$H$7039</f>
        <v>273.372679834898</v>
      </c>
      <c r="I7065" s="38" t="n">
        <f aca="false">Sens!$I$7039</f>
        <v>286.981812228425</v>
      </c>
      <c r="J7065" s="38" t="n">
        <f aca="false">Sens!$J$7039</f>
        <v>299.316513378366</v>
      </c>
      <c r="K7065" s="38" t="n">
        <f aca="false">Sens!$K$7039</f>
        <v>251.057145512292</v>
      </c>
      <c r="L7065" s="38" t="n">
        <f aca="false">Sens!$L$7039</f>
        <v>234.696330860396</v>
      </c>
      <c r="M7065" s="38" t="n">
        <f aca="false">Sens!$M$7039</f>
        <v>242.291696043352</v>
      </c>
    </row>
    <row r="7066" customFormat="false" ht="15" hidden="false" customHeight="false" outlineLevel="0" collapsed="false">
      <c r="A7066" s="5" t="s">
        <v>919</v>
      </c>
      <c r="B7066" s="0" t="s">
        <v>86</v>
      </c>
      <c r="H7066" s="38" t="n">
        <f aca="false">Sens!$H$7040</f>
        <v>1.6</v>
      </c>
      <c r="I7066" s="38" t="n">
        <f aca="false">Sens!$I$7040</f>
        <v>1.6</v>
      </c>
      <c r="J7066" s="38" t="n">
        <f aca="false">Sens!$J$7040</f>
        <v>1.6</v>
      </c>
      <c r="K7066" s="38" t="n">
        <f aca="false">Sens!$K$7040</f>
        <v>1.6</v>
      </c>
      <c r="L7066" s="38" t="n">
        <f aca="false">Sens!$L$7040</f>
        <v>1.6</v>
      </c>
      <c r="M7066" s="38" t="n">
        <f aca="false">Sens!$M$7040</f>
        <v>1.6</v>
      </c>
    </row>
    <row r="7067" customFormat="false" ht="15" hidden="false" customHeight="false" outlineLevel="0" collapsed="false">
      <c r="A7067" s="5" t="s">
        <v>920</v>
      </c>
      <c r="B7067" s="0" t="s">
        <v>86</v>
      </c>
      <c r="H7067" s="38" t="n">
        <f aca="false">Sens!$H$7034</f>
        <v>11.2928295263397</v>
      </c>
      <c r="I7067" s="38" t="n">
        <f aca="false">Sens!$I$7034</f>
        <v>12.8091546115766</v>
      </c>
      <c r="J7067" s="38" t="n">
        <f aca="false">Sens!$J$7034</f>
        <v>14.2605653162668</v>
      </c>
      <c r="K7067" s="38" t="n">
        <f aca="false">Sens!$K$7034</f>
        <v>15.5327622460396</v>
      </c>
      <c r="L7067" s="38" t="n">
        <f aca="false">Sens!$L$7034</f>
        <v>16.720573737517</v>
      </c>
      <c r="M7067" s="38" t="n">
        <f aca="false">Sens!$M$7034</f>
        <v>17.8283127551536</v>
      </c>
    </row>
    <row r="7068" customFormat="false" ht="17.15" hidden="false" customHeight="false" outlineLevel="0" collapsed="false">
      <c r="A7068" s="1" t="s">
        <v>921</v>
      </c>
      <c r="B7068" s="8" t="s">
        <v>86</v>
      </c>
      <c r="H7068" s="38" t="n">
        <f aca="false">Sens!$H$7063+Sens!$H$7064-Sens!$H$7065+Sens!$H$7067</f>
        <v>-62.6561477711731</v>
      </c>
      <c r="I7068" s="38" t="n">
        <f aca="false">Sens!$I$7063+Sens!$I$7064-Sens!$I$7065+Sens!$I$7067</f>
        <v>-16.7048043408794</v>
      </c>
      <c r="J7068" s="38" t="n">
        <f aca="false">Sens!$J$7063+Sens!$J$7064-Sens!$J$7065+Sens!$J$7067</f>
        <v>29.9689765588539</v>
      </c>
      <c r="K7068" s="38" t="n">
        <f aca="false">Sens!$K$7063+Sens!$K$7064-Sens!$K$7065+Sens!$K$7067</f>
        <v>130.373680579634</v>
      </c>
      <c r="L7068" s="38" t="n">
        <f aca="false">Sens!$L$7063+Sens!$L$7064-Sens!$L$7065+Sens!$L$7067</f>
        <v>187.231923042598</v>
      </c>
      <c r="M7068" s="38" t="n">
        <f aca="false">Sens!$M$7063+Sens!$M$7064-Sens!$M$7065+Sens!$M$7067</f>
        <v>210.144091038257</v>
      </c>
    </row>
    <row r="7069" customFormat="false" ht="15" hidden="false" customHeight="false" outlineLevel="0" collapsed="false">
      <c r="A7069" s="5" t="s">
        <v>922</v>
      </c>
      <c r="B7069" s="0" t="s">
        <v>57</v>
      </c>
      <c r="H7069" s="40" t="n">
        <f aca="false">1/(1+wacc)^(2027-2026-0.5)</f>
        <v>0.947751320380232</v>
      </c>
      <c r="I7069" s="40" t="n">
        <f aca="false">1/(1+wacc)^(2028-2026-0.5)</f>
        <v>0.851301099754987</v>
      </c>
      <c r="J7069" s="40" t="n">
        <f aca="false">1/(1+wacc)^(2029-2026-0.5)</f>
        <v>0.764666370660713</v>
      </c>
      <c r="K7069" s="40" t="n">
        <f aca="false">1/(1+wacc)^(2030-2026-0.5)</f>
        <v>0.686848235703811</v>
      </c>
      <c r="L7069" s="40" t="n">
        <f aca="false">1/(1+wacc)^(2031-2026-0.5)</f>
        <v>0.616949452715975</v>
      </c>
      <c r="M7069" s="40" t="n">
        <f aca="false">1/(1+wacc)^(2032-2026-0.5)</f>
        <v>0.554164089562688</v>
      </c>
    </row>
    <row r="7070" customFormat="false" ht="15" hidden="false" customHeight="false" outlineLevel="0" collapsed="false">
      <c r="A7070" s="5" t="s">
        <v>923</v>
      </c>
      <c r="B7070" s="0" t="s">
        <v>86</v>
      </c>
      <c r="H7070" s="38" t="n">
        <f aca="false">Sens!$H$7068*Sens!$H$7069</f>
        <v>-59.3824467800682</v>
      </c>
      <c r="I7070" s="38" t="n">
        <f aca="false">Sens!$I$7068*Sens!$I$7069</f>
        <v>-14.2208183065825</v>
      </c>
      <c r="J7070" s="38" t="n">
        <f aca="false">Sens!$J$7068*Sens!$J$7069</f>
        <v>22.9162685376748</v>
      </c>
      <c r="K7070" s="38" t="n">
        <f aca="false">Sens!$K$7068*Sens!$K$7069</f>
        <v>89.5469324883341</v>
      </c>
      <c r="L7070" s="38" t="n">
        <f aca="false">Sens!$L$7068*Sens!$L$7069</f>
        <v>115.512632452091</v>
      </c>
      <c r="M7070" s="38" t="n">
        <f aca="false">Sens!$M$7068*Sens!$M$7069</f>
        <v>116.454308887194</v>
      </c>
    </row>
    <row r="7071" customFormat="false" ht="15" hidden="false" customHeight="false" outlineLevel="0" collapsed="false">
      <c r="A7071" s="5" t="s">
        <v>924</v>
      </c>
      <c r="B7071" s="0" t="s">
        <v>86</v>
      </c>
      <c r="C7071" s="38" t="n">
        <f aca="false">SUM(Sens!$H$7070:$M$7070)</f>
        <v>270.826877278643</v>
      </c>
    </row>
    <row r="7072" customFormat="false" ht="17.15" hidden="false" customHeight="false" outlineLevel="0" collapsed="false">
      <c r="A7072" s="5" t="s">
        <v>925</v>
      </c>
      <c r="B7072" s="0" t="s">
        <v>86</v>
      </c>
      <c r="C7072" s="38" t="n">
        <f aca="false">Sens!$M$7063*(1+tg)*(1-tg/ronic)/(wacc-tg)</f>
        <v>1922.56097134792</v>
      </c>
    </row>
    <row r="7073" customFormat="false" ht="15" hidden="false" customHeight="false" outlineLevel="0" collapsed="false">
      <c r="A7073" s="5" t="s">
        <v>926</v>
      </c>
      <c r="B7073" s="0" t="s">
        <v>86</v>
      </c>
      <c r="C7073" s="38" t="n">
        <f aca="false">Sens!$C$7072/(1+wacc)^6</f>
        <v>1009.74776248869</v>
      </c>
    </row>
    <row r="7074" customFormat="false" ht="17.15" hidden="false" customHeight="false" outlineLevel="0" collapsed="false">
      <c r="A7074" s="5" t="s">
        <v>927</v>
      </c>
      <c r="B7074" s="0" t="s">
        <v>86</v>
      </c>
      <c r="C7074" s="38" t="n">
        <f aca="false">Sens!$C$7071+Sens!$C$7073</f>
        <v>1280.57463976734</v>
      </c>
    </row>
    <row r="7075" customFormat="false" ht="17.15" hidden="false" customHeight="false" outlineLevel="0" collapsed="false">
      <c r="A7075" s="5" t="s">
        <v>928</v>
      </c>
      <c r="B7075" s="0" t="s">
        <v>52</v>
      </c>
      <c r="C7075" s="13" t="n">
        <f aca="false">Sens!$C$7073/Sens!$C$7074</f>
        <v>0.788511447229778</v>
      </c>
    </row>
    <row r="7076" customFormat="false" ht="17.15" hidden="false" customHeight="false" outlineLevel="0" collapsed="false">
      <c r="A7076" s="5" t="s">
        <v>929</v>
      </c>
      <c r="B7076" s="0" t="s">
        <v>86</v>
      </c>
      <c r="C7076" s="38" t="n">
        <f aca="false">Sens!$G$7052+fin_debt</f>
        <v>97.2636983848813</v>
      </c>
    </row>
    <row r="7077" customFormat="false" ht="17.15" hidden="false" customHeight="false" outlineLevel="0" collapsed="false">
      <c r="A7077" s="5" t="s">
        <v>930</v>
      </c>
      <c r="B7077" s="0" t="s">
        <v>86</v>
      </c>
      <c r="C7077" s="38" t="n">
        <f aca="false">(ant_val*ant_sh+oai_val*oai_sh)*(1-liq_disc)</f>
        <v>178.944</v>
      </c>
    </row>
    <row r="7078" customFormat="false" ht="15" hidden="false" customHeight="false" outlineLevel="0" collapsed="false">
      <c r="A7078" s="5" t="s">
        <v>931</v>
      </c>
      <c r="B7078" s="0" t="s">
        <v>86</v>
      </c>
      <c r="C7078" s="38" t="n">
        <f aca="false">Sens!$C$7074-Sens!$C$7076+Sens!$C$7077</f>
        <v>1362.25494138246</v>
      </c>
    </row>
    <row r="7079" customFormat="false" ht="17.15" hidden="false" customHeight="false" outlineLevel="0" collapsed="false">
      <c r="A7079" s="5" t="s">
        <v>932</v>
      </c>
      <c r="B7079" s="0" t="s">
        <v>27</v>
      </c>
      <c r="C7079" s="30" t="n">
        <f aca="false">Sens!$C$7078/sh_out</f>
        <v>126.294760321501</v>
      </c>
    </row>
    <row r="7080" customFormat="false" ht="17.15" hidden="false" customHeight="false" outlineLevel="0" collapsed="false">
      <c r="A7080" s="1" t="s">
        <v>933</v>
      </c>
      <c r="B7080" s="8" t="s">
        <v>27</v>
      </c>
      <c r="C7080" s="30" t="n">
        <f aca="false">Sens!$C$7079*(1+ke)^tp_yf-dps*tp_yf</f>
        <v>138.339345929154</v>
      </c>
    </row>
    <row r="7081" customFormat="false" ht="17.15" hidden="false" customHeight="false" outlineLevel="0" collapsed="false">
      <c r="A7081" s="3" t="s">
        <v>934</v>
      </c>
    </row>
    <row r="7082" customFormat="false" ht="17.15" hidden="false" customHeight="false" outlineLevel="0" collapsed="false">
      <c r="A7082" s="5" t="s">
        <v>935</v>
      </c>
      <c r="B7082" s="0" t="s">
        <v>86</v>
      </c>
      <c r="C7082" s="38" t="n">
        <f aca="false">(1-tp_yf)*(Sens!$H$7009+sbc_ab*Sens!$H$7033*Sens!$H$6873/Sens!$H$6950)+tp_yf*(Sens!$I$7009+sbc_ab*Sens!$I$7033*Sens!$I$6873/Sens!$I$6950)</f>
        <v>59.634664536349</v>
      </c>
    </row>
    <row r="7083" customFormat="false" ht="15" hidden="false" customHeight="false" outlineLevel="0" collapsed="false">
      <c r="A7083" s="5" t="s">
        <v>936</v>
      </c>
      <c r="B7083" s="0" t="s">
        <v>57</v>
      </c>
      <c r="C7083" s="30" t="n">
        <f aca="false">m_ads*m_x</f>
        <v>9.11</v>
      </c>
    </row>
    <row r="7084" customFormat="false" ht="17.15" hidden="false" customHeight="false" outlineLevel="0" collapsed="false">
      <c r="A7084" s="5" t="s">
        <v>937</v>
      </c>
      <c r="B7084" s="0" t="s">
        <v>86</v>
      </c>
      <c r="C7084" s="38" t="n">
        <f aca="false">Sens!$C$7082*Sens!$C$7083</f>
        <v>543.271793926139</v>
      </c>
    </row>
    <row r="7085" customFormat="false" ht="17.15" hidden="false" customHeight="false" outlineLevel="0" collapsed="false">
      <c r="A7085" s="5" t="s">
        <v>938</v>
      </c>
      <c r="B7085" s="0" t="s">
        <v>86</v>
      </c>
      <c r="C7085" s="38" t="n">
        <f aca="false">(1-tp_yf)*(Sens!$H$7010+sbc_ab*Sens!$H$7033*(Sens!$H$6880-Sens!$H$6873)/Sens!$H$6950+IF(internal_ai_reading=2,1,0)*(1-ext_sh)*Sens!$H$6910)+tp_yf*(Sens!$I$7010+sbc_ab*Sens!$I$7033*(Sens!$I$6880-Sens!$I$6873)/Sens!$I$6950+IF(internal_ai_reading=2,1,0)*(1-ext_sh)*Sens!$I$6910)</f>
        <v>51.2224827206816</v>
      </c>
    </row>
    <row r="7086" customFormat="false" ht="17.15" hidden="false" customHeight="false" outlineLevel="0" collapsed="false">
      <c r="A7086" s="5" t="s">
        <v>939</v>
      </c>
      <c r="B7086" s="0" t="s">
        <v>57</v>
      </c>
      <c r="C7086" s="30" t="n">
        <f aca="false">m_retail*m_x</f>
        <v>17.72</v>
      </c>
    </row>
    <row r="7087" customFormat="false" ht="17.15" hidden="false" customHeight="false" outlineLevel="0" collapsed="false">
      <c r="A7087" s="5" t="s">
        <v>940</v>
      </c>
      <c r="B7087" s="0" t="s">
        <v>86</v>
      </c>
      <c r="C7087" s="38" t="n">
        <f aca="false">Sens!$C$7085*Sens!$C$7086</f>
        <v>907.662393810478</v>
      </c>
    </row>
    <row r="7088" customFormat="false" ht="17.15" hidden="false" customHeight="false" outlineLevel="0" collapsed="false">
      <c r="A7088" s="0" t="s">
        <v>941</v>
      </c>
      <c r="B7088" s="0" t="s">
        <v>86</v>
      </c>
      <c r="C7088" s="38" t="n">
        <f aca="false">(1-tp_yf)*(Sens!$H$7011+sbc_ab*Sens!$H$7033*Sens!$H$6948/Sens!$H$6950)+tp_yf*(Sens!$I$7011+sbc_ab*Sens!$I$7033*Sens!$I$6948/Sens!$I$6950)</f>
        <v>96.2439586897193</v>
      </c>
    </row>
    <row r="7089" customFormat="false" ht="17.15" hidden="false" customHeight="false" outlineLevel="0" collapsed="false">
      <c r="A7089" s="0" t="s">
        <v>942</v>
      </c>
      <c r="B7089" s="0" t="s">
        <v>57</v>
      </c>
      <c r="C7089" s="30" t="n">
        <f aca="false">m_cloud*m_x</f>
        <v>13.82</v>
      </c>
    </row>
    <row r="7090" customFormat="false" ht="17.15" hidden="false" customHeight="false" outlineLevel="0" collapsed="false">
      <c r="A7090" s="0" t="s">
        <v>943</v>
      </c>
      <c r="B7090" s="0" t="s">
        <v>86</v>
      </c>
      <c r="C7090" s="38" t="n">
        <f aca="false">Sens!$C$7088*Sens!$C$7089</f>
        <v>1330.09150909192</v>
      </c>
    </row>
    <row r="7091" customFormat="false" ht="17.15" hidden="false" customHeight="false" outlineLevel="0" collapsed="false">
      <c r="A7091" s="0" t="s">
        <v>944</v>
      </c>
      <c r="B7091" s="0" t="s">
        <v>86</v>
      </c>
      <c r="H7091" s="38" t="n">
        <f aca="false">Sens!$H$6929-tax*Sens!$H$6930-ext_sh*Sens!$H$6917</f>
        <v>-115.885394236225</v>
      </c>
      <c r="I7091" s="38" t="n">
        <f aca="false">Sens!$I$6929-tax*Sens!$I$6930-ext_sh*Sens!$I$6917</f>
        <v>-89.5935137276694</v>
      </c>
      <c r="J7091" s="38" t="n">
        <f aca="false">Sens!$J$6929-tax*Sens!$J$6930-ext_sh*Sens!$J$6917</f>
        <v>-62.3510647460279</v>
      </c>
      <c r="K7091" s="38" t="n">
        <f aca="false">Sens!$K$6929-tax*Sens!$K$6930-ext_sh*Sens!$K$6917</f>
        <v>8.85932514072565</v>
      </c>
      <c r="L7091" s="38" t="n">
        <f aca="false">Sens!$L$6929-tax*Sens!$L$6930-ext_sh*Sens!$L$6917</f>
        <v>45.6968344120177</v>
      </c>
      <c r="M7091" s="38" t="n">
        <f aca="false">Sens!$M$6929-tax*Sens!$M$6930-ext_sh*Sens!$M$6917</f>
        <v>54.7466688757428</v>
      </c>
    </row>
    <row r="7092" customFormat="false" ht="17.15" hidden="false" customHeight="false" outlineLevel="0" collapsed="false">
      <c r="A7092" s="5" t="s">
        <v>945</v>
      </c>
      <c r="B7092" s="0" t="s">
        <v>86</v>
      </c>
      <c r="H7092" s="38" t="n">
        <f aca="false">Sens!$H$7091*Sens!$H$7069</f>
        <v>-109.830535400166</v>
      </c>
      <c r="I7092" s="38" t="n">
        <f aca="false">Sens!$I$7091*Sens!$I$7069</f>
        <v>-76.2710567672785</v>
      </c>
      <c r="J7092" s="38" t="n">
        <f aca="false">Sens!$J$7091*Sens!$J$7069</f>
        <v>-47.6777623861763</v>
      </c>
      <c r="K7092" s="38" t="n">
        <f aca="false">Sens!$K$7091*Sens!$K$7069</f>
        <v>6.08501184243383</v>
      </c>
      <c r="L7092" s="38" t="n">
        <f aca="false">Sens!$L$7091*Sens!$L$7069</f>
        <v>28.1926369813469</v>
      </c>
      <c r="M7092" s="38" t="n">
        <f aca="false">Sens!$M$7091*Sens!$M$7069</f>
        <v>30.338637914116</v>
      </c>
    </row>
    <row r="7093" customFormat="false" ht="17.15" hidden="false" customHeight="false" outlineLevel="0" collapsed="false">
      <c r="A7093" s="5" t="s">
        <v>946</v>
      </c>
      <c r="B7093" s="0" t="s">
        <v>86</v>
      </c>
      <c r="C7093" s="38" t="n">
        <f aca="false">Sens!$M$6930*(1-tax)*(1+tg)*(1-tg/ronic)/(wacc-tg)</f>
        <v>391.533160655061</v>
      </c>
    </row>
    <row r="7094" customFormat="false" ht="17.15" hidden="false" customHeight="false" outlineLevel="0" collapsed="false">
      <c r="A7094" s="0" t="s">
        <v>947</v>
      </c>
      <c r="B7094" s="0" t="s">
        <v>86</v>
      </c>
      <c r="C7094" s="38" t="n">
        <f aca="false">(SUM(Sens!$I$7092:$M$7092)+Sens!$C$7093/(1+wacc)^6)*(1+wacc)^tp_yf</f>
        <v>159.796867964901</v>
      </c>
    </row>
    <row r="7095" customFormat="false" ht="17.15" hidden="false" customHeight="false" outlineLevel="0" collapsed="false">
      <c r="A7095" s="5" t="s">
        <v>948</v>
      </c>
      <c r="B7095" s="0" t="s">
        <v>86</v>
      </c>
      <c r="C7095" s="38" t="n">
        <f aca="false">(1-tp_yf)*(Sens!$H$7012)+tp_yf*(Sens!$I$7012)</f>
        <v>74.6707041238437</v>
      </c>
    </row>
    <row r="7096" customFormat="false" ht="17.15" hidden="false" customHeight="false" outlineLevel="0" collapsed="false">
      <c r="A7096" s="5" t="s">
        <v>949</v>
      </c>
      <c r="B7096" s="0" t="s">
        <v>86</v>
      </c>
      <c r="C7096" s="38" t="n">
        <f aca="false">Sens!$C$7095*m_ai_hi</f>
        <v>746.707041238437</v>
      </c>
    </row>
    <row r="7097" customFormat="false" ht="17.15" hidden="false" customHeight="false" outlineLevel="0" collapsed="false">
      <c r="A7097" s="0" t="s">
        <v>950</v>
      </c>
      <c r="B7097" s="0" t="s">
        <v>86</v>
      </c>
      <c r="C7097" s="38" t="n">
        <f aca="false">IF(0=1,Sens!$C$7094,Sens!$C$7096)</f>
        <v>746.707041238437</v>
      </c>
    </row>
    <row r="7098" customFormat="false" ht="17.15" hidden="false" customHeight="false" outlineLevel="0" collapsed="false">
      <c r="A7098" s="5" t="s">
        <v>951</v>
      </c>
      <c r="B7098" s="0" t="s">
        <v>86</v>
      </c>
      <c r="C7098" s="38" t="n">
        <f aca="false">Sens!$C$7084+Sens!$C$7087+Sens!$C$7090+Sens!$C$7097</f>
        <v>3527.73273806698</v>
      </c>
    </row>
    <row r="7099" customFormat="false" ht="17.15" hidden="false" customHeight="false" outlineLevel="0" collapsed="false">
      <c r="A7099" s="5" t="s">
        <v>952</v>
      </c>
      <c r="B7099" s="0" t="s">
        <v>86</v>
      </c>
      <c r="C7099" s="38" t="n">
        <f aca="false">Sens!$H$7052+fin_debt</f>
        <v>153.608629741943</v>
      </c>
    </row>
    <row r="7100" customFormat="false" ht="15" hidden="false" customHeight="false" outlineLevel="0" collapsed="false">
      <c r="A7100" s="5" t="s">
        <v>953</v>
      </c>
      <c r="B7100" s="0" t="s">
        <v>86</v>
      </c>
      <c r="C7100" s="38" t="n">
        <f aca="false">Sens!$C$7098-Sens!$C$7099+Sens!$C$7077</f>
        <v>3553.06810832503</v>
      </c>
    </row>
    <row r="7101" customFormat="false" ht="15" hidden="false" customHeight="false" outlineLevel="0" collapsed="false">
      <c r="A7101" s="3" t="s">
        <v>954</v>
      </c>
      <c r="B7101" s="8" t="s">
        <v>27</v>
      </c>
      <c r="C7101" s="30" t="n">
        <f aca="false">Sens!$C$7100/sh_val</f>
        <v>322.118491669868</v>
      </c>
    </row>
    <row r="7102" customFormat="false" ht="17.15" hidden="false" customHeight="false" outlineLevel="0" collapsed="false">
      <c r="A7102" s="47" t="s">
        <v>955</v>
      </c>
      <c r="B7102" s="14" t="s">
        <v>27</v>
      </c>
      <c r="C7102" s="44" t="n">
        <f aca="false">w_dcf*Sens!$C$7080+(1-w_dcf)*Sens!$C$7101</f>
        <v>230.228918799511</v>
      </c>
      <c r="D7102" s="14"/>
      <c r="E7102" s="14"/>
      <c r="F7102" s="14"/>
      <c r="G7102" s="14"/>
      <c r="H7102" s="14"/>
      <c r="I7102" s="14"/>
      <c r="J7102" s="14"/>
      <c r="K7102" s="14"/>
      <c r="L7102" s="14"/>
      <c r="M7102" s="14"/>
      <c r="N7102" s="14"/>
      <c r="O7102" s="14"/>
    </row>
    <row r="7103" customFormat="false" ht="17.15" hidden="false" customHeight="false" outlineLevel="0" collapsed="false">
      <c r="A7103" s="5" t="s">
        <v>956</v>
      </c>
      <c r="B7103" s="0" t="s">
        <v>27</v>
      </c>
      <c r="C7103" s="30" t="n">
        <f aca="false">v022_wdcf*Sens!$C$7080+(1-v022_wdcf)*Sens!$C$7101</f>
        <v>239.417876086547</v>
      </c>
    </row>
    <row r="7104" customFormat="false" ht="17.15" hidden="false" customHeight="false" outlineLevel="0" collapsed="false">
      <c r="A7104" s="5" t="s">
        <v>957</v>
      </c>
      <c r="B7104" s="0" t="s">
        <v>27</v>
      </c>
      <c r="C7104" s="30" t="n">
        <f aca="false">(Sens!$C$7100-Sens!$C$7097+Sens!$C$7096)/sh_val</f>
        <v>322.118491669868</v>
      </c>
    </row>
    <row r="7107" customFormat="false" ht="19.4" hidden="false" customHeight="false" outlineLevel="0" collapsed="false">
      <c r="A7107" s="31" t="s">
        <v>1280</v>
      </c>
    </row>
    <row r="7108" customFormat="false" ht="17.15" hidden="false" customHeight="false" outlineLevel="0" collapsed="false">
      <c r="A7108" s="6" t="s">
        <v>16</v>
      </c>
      <c r="B7108" s="6" t="s">
        <v>17</v>
      </c>
      <c r="C7108" s="20" t="s">
        <v>497</v>
      </c>
      <c r="D7108" s="20" t="s">
        <v>498</v>
      </c>
      <c r="E7108" s="20" t="s">
        <v>580</v>
      </c>
      <c r="F7108" s="20" t="s">
        <v>581</v>
      </c>
      <c r="G7108" s="20" t="s">
        <v>582</v>
      </c>
      <c r="H7108" s="20" t="s">
        <v>583</v>
      </c>
      <c r="I7108" s="20" t="s">
        <v>584</v>
      </c>
      <c r="J7108" s="20" t="s">
        <v>585</v>
      </c>
      <c r="K7108" s="20" t="s">
        <v>586</v>
      </c>
      <c r="L7108" s="20" t="s">
        <v>587</v>
      </c>
      <c r="M7108" s="20" t="s">
        <v>588</v>
      </c>
      <c r="N7108" s="20" t="s">
        <v>589</v>
      </c>
      <c r="O7108" s="20" t="s">
        <v>590</v>
      </c>
      <c r="P7108" s="6" t="s">
        <v>23</v>
      </c>
      <c r="R7108" s="20" t="n">
        <v>2023</v>
      </c>
      <c r="S7108" s="20" t="n">
        <v>2024</v>
      </c>
      <c r="T7108" s="20" t="n">
        <v>2025</v>
      </c>
      <c r="U7108" s="20" t="n">
        <v>2026</v>
      </c>
      <c r="V7108" s="20" t="n">
        <v>2027</v>
      </c>
      <c r="W7108" s="20" t="n">
        <v>2028</v>
      </c>
      <c r="X7108" s="20" t="n">
        <v>2029</v>
      </c>
      <c r="Y7108" s="20" t="n">
        <v>2030</v>
      </c>
      <c r="Z7108" s="20" t="n">
        <v>2031</v>
      </c>
      <c r="AA7108" s="20" t="n">
        <v>2032</v>
      </c>
    </row>
    <row r="7109" customFormat="false" ht="17.15" hidden="false" customHeight="false" outlineLevel="0" collapsed="false">
      <c r="A7109" s="1" t="s">
        <v>666</v>
      </c>
    </row>
    <row r="7110" customFormat="false" ht="17.15" hidden="false" customHeight="false" outlineLevel="0" collapsed="false">
      <c r="A7110" s="0" t="s">
        <v>519</v>
      </c>
      <c r="B7110" s="0" t="s">
        <v>86</v>
      </c>
      <c r="C7110" s="38" t="n">
        <f aca="false">Q!$D$10</f>
        <v>247.029</v>
      </c>
      <c r="D7110" s="38" t="n">
        <f aca="false">Q!$E$10</f>
        <v>269.287</v>
      </c>
      <c r="E7110" s="38" t="n">
        <f aca="false">Q!$P$10</f>
        <v>134.686</v>
      </c>
      <c r="F7110" s="38" t="n">
        <f aca="false">Sens!$O$7110*(1+Sens!$F$7111)*Sens!$F$7122</f>
        <v>158.293876822267</v>
      </c>
      <c r="G7110" s="38" t="n">
        <f aca="false">Sens!$E$7110+Sens!$F$7110</f>
        <v>292.979876822267</v>
      </c>
      <c r="H7110" s="38" t="n">
        <f aca="false">Sens!$G$7110*(1+Sens!$H$7111)</f>
        <v>318.184543087396</v>
      </c>
      <c r="I7110" s="38" t="n">
        <f aca="false">Sens!$H$7110*(1+Sens!$I$7111)</f>
        <v>341.736278761793</v>
      </c>
      <c r="J7110" s="38" t="n">
        <f aca="false">Sens!$I$7110*(1+Sens!$J$7111)</f>
        <v>362.927192787048</v>
      </c>
      <c r="K7110" s="38" t="n">
        <f aca="false">Sens!$J$7110*(1+Sens!$K$7111)</f>
        <v>381.0735524264</v>
      </c>
      <c r="L7110" s="38" t="n">
        <f aca="false">Sens!$K$7110*(1+Sens!$L$7111)</f>
        <v>400.12723004772</v>
      </c>
      <c r="M7110" s="38" t="n">
        <f aca="false">Sens!$L$7110*(1+Sens!$M$7111)</f>
        <v>420.133591550106</v>
      </c>
      <c r="N7110" s="38" t="n">
        <f aca="false">Q!$N$10</f>
        <v>118.892</v>
      </c>
      <c r="O7110" s="38" t="n">
        <f aca="false">Q!$O$10</f>
        <v>150.395</v>
      </c>
      <c r="P7110" s="8" t="s">
        <v>667</v>
      </c>
    </row>
    <row r="7111" customFormat="false" ht="17.15" hidden="false" customHeight="false" outlineLevel="0" collapsed="false">
      <c r="A7111" s="0" t="s">
        <v>668</v>
      </c>
      <c r="B7111" s="0" t="s">
        <v>52</v>
      </c>
      <c r="E7111" s="13" t="n">
        <f aca="false">Sens!$E$7110/Sens!$N$7110-1</f>
        <v>0.132843252699929</v>
      </c>
      <c r="F7111" s="13" t="n">
        <f aca="false">Sens!$O$7110/(Q!$F$10+Q!$G$10)-1</f>
        <v>0.0980382135842941</v>
      </c>
      <c r="G7111" s="13" t="n">
        <f aca="false">Sens!$G$7110/Sens!$D$7110-1</f>
        <v>0.0879837378791657</v>
      </c>
      <c r="H7111" s="13" t="n">
        <f aca="false">Sens!$F$7111+(g_os-Sens!$F$7111)*1/4</f>
        <v>0.0860286601882206</v>
      </c>
      <c r="I7111" s="13" t="n">
        <f aca="false">Sens!$F$7111+(g_os-Sens!$F$7111)*2/4</f>
        <v>0.074019106792147</v>
      </c>
      <c r="J7111" s="13" t="n">
        <f aca="false">Sens!$F$7111+(g_os-Sens!$F$7111)*3/4</f>
        <v>0.0620095533960735</v>
      </c>
      <c r="K7111" s="13" t="n">
        <f aca="false">Sens!$F$7111+(g_os-Sens!$F$7111)*4/4</f>
        <v>0.05</v>
      </c>
      <c r="L7111" s="13" t="n">
        <f aca="false">g_os</f>
        <v>0.05</v>
      </c>
      <c r="M7111" s="13" t="n">
        <f aca="false">g_os</f>
        <v>0.05</v>
      </c>
      <c r="P7111" s="8" t="s">
        <v>669</v>
      </c>
    </row>
    <row r="7112" customFormat="false" ht="17.15" hidden="false" customHeight="false" outlineLevel="0" collapsed="false">
      <c r="A7112" s="0" t="s">
        <v>520</v>
      </c>
      <c r="B7112" s="0" t="s">
        <v>86</v>
      </c>
      <c r="C7112" s="38" t="n">
        <f aca="false">Q!$D$11</f>
        <v>21.215</v>
      </c>
      <c r="D7112" s="38" t="n">
        <f aca="false">Q!$E$11</f>
        <v>22.561</v>
      </c>
      <c r="E7112" s="38" t="n">
        <f aca="false">Q!$P$11</f>
        <v>11.579</v>
      </c>
      <c r="F7112" s="38" t="n">
        <f aca="false">Sens!$O$7112*(1+Sens!$F$7113)*Sens!$F$7122</f>
        <v>11.5938724610325</v>
      </c>
      <c r="G7112" s="38" t="n">
        <f aca="false">Sens!$E$7112+Sens!$F$7112</f>
        <v>23.1728724610325</v>
      </c>
      <c r="H7112" s="38" t="n">
        <f aca="false">Sens!$G$7112*(1+Sens!$H$7113)</f>
        <v>24.353392759506</v>
      </c>
      <c r="I7112" s="38" t="n">
        <f aca="false">Sens!$H$7112*(1+Sens!$I$7113)</f>
        <v>25.4240338872015</v>
      </c>
      <c r="J7112" s="38" t="n">
        <f aca="false">Sens!$I$7112*(1+Sens!$J$7113)</f>
        <v>26.3642491017174</v>
      </c>
      <c r="K7112" s="38" t="n">
        <f aca="false">Sens!$J$7112*(1+Sens!$K$7113)</f>
        <v>27.155176574769</v>
      </c>
      <c r="L7112" s="38" t="n">
        <f aca="false">Sens!$K$7112*(1+Sens!$L$7113)</f>
        <v>27.969831872012</v>
      </c>
      <c r="M7112" s="38" t="n">
        <f aca="false">Sens!$L$7112*(1+Sens!$M$7113)</f>
        <v>28.8089268281724</v>
      </c>
      <c r="N7112" s="38" t="n">
        <f aca="false">Q!$N$11</f>
        <v>11.128</v>
      </c>
      <c r="O7112" s="38" t="n">
        <f aca="false">Q!$O$11</f>
        <v>11.433</v>
      </c>
      <c r="P7112" s="8" t="s">
        <v>667</v>
      </c>
    </row>
    <row r="7113" customFormat="false" ht="17.15" hidden="false" customHeight="false" outlineLevel="0" collapsed="false">
      <c r="A7113" s="0" t="s">
        <v>670</v>
      </c>
      <c r="B7113" s="0" t="s">
        <v>52</v>
      </c>
      <c r="E7113" s="13" t="n">
        <f aca="false">Sens!$E$7112/Sens!$N$7112-1</f>
        <v>0.0405283968368082</v>
      </c>
      <c r="F7113" s="13" t="n">
        <f aca="false">Sens!$O$7112/(Q!$F$11+Q!$G$11)-1</f>
        <v>0.0579254187100955</v>
      </c>
      <c r="G7113" s="13" t="n">
        <f aca="false">Sens!$G$7112/Sens!$D$7112-1</f>
        <v>0.0271208040881397</v>
      </c>
      <c r="H7113" s="13" t="n">
        <f aca="false">Sens!$F$7113+(g_ps-Sens!$F$7113)*1/4</f>
        <v>0.0509440640325716</v>
      </c>
      <c r="I7113" s="13" t="n">
        <f aca="false">Sens!$F$7113+(g_ps-Sens!$F$7113)*2/4</f>
        <v>0.0439627093550477</v>
      </c>
      <c r="J7113" s="13" t="n">
        <f aca="false">Sens!$F$7113+(g_ps-Sens!$F$7113)*3/4</f>
        <v>0.0369813546775239</v>
      </c>
      <c r="K7113" s="13" t="n">
        <f aca="false">Sens!$F$7113+(g_ps-Sens!$F$7113)*4/4</f>
        <v>0.03</v>
      </c>
      <c r="L7113" s="13" t="n">
        <f aca="false">g_ps</f>
        <v>0.03</v>
      </c>
      <c r="M7113" s="13" t="n">
        <f aca="false">g_ps</f>
        <v>0.03</v>
      </c>
      <c r="P7113" s="8" t="s">
        <v>671</v>
      </c>
    </row>
    <row r="7114" customFormat="false" ht="17.15" hidden="false" customHeight="false" outlineLevel="0" collapsed="false">
      <c r="A7114" s="0" t="s">
        <v>521</v>
      </c>
      <c r="B7114" s="0" t="s">
        <v>86</v>
      </c>
      <c r="C7114" s="38" t="n">
        <f aca="false">Q!$D$12</f>
        <v>156.146</v>
      </c>
      <c r="D7114" s="38" t="n">
        <f aca="false">Q!$E$12</f>
        <v>172.162</v>
      </c>
      <c r="E7114" s="38" t="n">
        <f aca="false">Q!$P$12</f>
        <v>88.358</v>
      </c>
      <c r="F7114" s="38" t="n">
        <f aca="false">Sens!$O$7114*(1+Sens!$F$7115)*Sens!$F$7122</f>
        <v>102.004388260171</v>
      </c>
      <c r="G7114" s="38" t="n">
        <f aca="false">Sens!$E$7114+Sens!$F$7114</f>
        <v>190.362388260171</v>
      </c>
      <c r="H7114" s="38" t="n">
        <f aca="false">Sens!$G$7114*(1+Sens!$H$7115)</f>
        <v>210.343106588311</v>
      </c>
      <c r="I7114" s="38" t="n">
        <f aca="false">Sens!$H$7114*(1+Sens!$I$7115)</f>
        <v>229.969728494648</v>
      </c>
      <c r="J7114" s="38" t="n">
        <f aca="false">Sens!$I$7114*(1+Sens!$J$7115)</f>
        <v>248.747636972598</v>
      </c>
      <c r="K7114" s="38" t="n">
        <f aca="false">Sens!$J$7114*(1+Sens!$K$7115)</f>
        <v>266.15997156068</v>
      </c>
      <c r="L7114" s="38" t="n">
        <f aca="false">Sens!$K$7114*(1+Sens!$L$7115)</f>
        <v>284.791169569927</v>
      </c>
      <c r="M7114" s="38" t="n">
        <f aca="false">Sens!$L$7114*(1+Sens!$M$7115)</f>
        <v>304.726551439822</v>
      </c>
      <c r="N7114" s="38" t="n">
        <f aca="false">Q!$N$12</f>
        <v>76.86</v>
      </c>
      <c r="O7114" s="38" t="n">
        <f aca="false">Q!$O$12</f>
        <v>95.302</v>
      </c>
      <c r="P7114" s="8" t="s">
        <v>667</v>
      </c>
    </row>
    <row r="7115" customFormat="false" ht="17.15" hidden="false" customHeight="false" outlineLevel="0" collapsed="false">
      <c r="A7115" s="0" t="s">
        <v>672</v>
      </c>
      <c r="B7115" s="0" t="s">
        <v>52</v>
      </c>
      <c r="E7115" s="13" t="n">
        <f aca="false">Sens!$E$7114/Sens!$N$7114-1</f>
        <v>0.1495966692688</v>
      </c>
      <c r="F7115" s="13" t="n">
        <f aca="false">Sens!$O$7114/(Q!$F$12+Q!$G$12)-1</f>
        <v>0.11661530890813</v>
      </c>
      <c r="G7115" s="13" t="n">
        <f aca="false">Sens!$G$7114/Sens!$D$7114-1</f>
        <v>0.105716640490767</v>
      </c>
      <c r="H7115" s="13" t="n">
        <f aca="false">Sens!$F$7115+(g_sp-Sens!$F$7115)*1/4</f>
        <v>0.104961481681098</v>
      </c>
      <c r="I7115" s="13" t="n">
        <f aca="false">Sens!$F$7115+(g_sp-Sens!$F$7115)*2/4</f>
        <v>0.0933076544540651</v>
      </c>
      <c r="J7115" s="13" t="n">
        <f aca="false">Sens!$F$7115+(g_sp-Sens!$F$7115)*3/4</f>
        <v>0.0816538272270325</v>
      </c>
      <c r="K7115" s="13" t="n">
        <f aca="false">Sens!$F$7115+(g_sp-Sens!$F$7115)*4/4</f>
        <v>0.07</v>
      </c>
      <c r="L7115" s="13" t="n">
        <f aca="false">g_sp</f>
        <v>0.07</v>
      </c>
      <c r="M7115" s="13" t="n">
        <f aca="false">g_sp</f>
        <v>0.07</v>
      </c>
      <c r="P7115" s="8" t="s">
        <v>673</v>
      </c>
    </row>
    <row r="7116" customFormat="false" ht="17.15" hidden="false" customHeight="false" outlineLevel="0" collapsed="false">
      <c r="A7116" s="0" t="s">
        <v>522</v>
      </c>
      <c r="B7116" s="0" t="s">
        <v>86</v>
      </c>
      <c r="C7116" s="38" t="n">
        <f aca="false">Q!$D$13</f>
        <v>56.214</v>
      </c>
      <c r="D7116" s="38" t="n">
        <f aca="false">Q!$E$13</f>
        <v>68.635</v>
      </c>
      <c r="E7116" s="38" t="n">
        <f aca="false">Q!$P$13</f>
        <v>37.052</v>
      </c>
      <c r="F7116" s="38" t="n">
        <f aca="false">Sens!$O$7116*(1+Sens!$F$7117)*Sens!$F$7122</f>
        <v>46.1572219944148</v>
      </c>
      <c r="G7116" s="38" t="n">
        <f aca="false">Sens!$E$7116+Sens!$F$7116</f>
        <v>83.2092219944148</v>
      </c>
      <c r="H7116" s="38" t="n">
        <f aca="false">Sens!$G$7116*(1+Sens!$H$7117)</f>
        <v>99.8969223878976</v>
      </c>
      <c r="I7116" s="38" t="n">
        <f aca="false">Sens!$H$7116*(1+Sens!$I$7117)</f>
        <v>116.583111095496</v>
      </c>
      <c r="J7116" s="38" t="n">
        <f aca="false">Sens!$I$7116*(1+Sens!$J$7117)</f>
        <v>132.148941941952</v>
      </c>
      <c r="K7116" s="38" t="n">
        <f aca="false">Sens!$J$7116*(1+Sens!$K$7117)</f>
        <v>145.363836136147</v>
      </c>
      <c r="L7116" s="38" t="n">
        <f aca="false">Sens!$K$7116*(1+Sens!$L$7117)</f>
        <v>159.900219749762</v>
      </c>
      <c r="M7116" s="38" t="n">
        <f aca="false">Sens!$L$7116*(1+Sens!$M$7117)</f>
        <v>175.890241724738</v>
      </c>
      <c r="N7116" s="38" t="n">
        <f aca="false">Q!$N$13</f>
        <v>29.615</v>
      </c>
      <c r="O7116" s="38" t="n">
        <f aca="false">Q!$O$13</f>
        <v>39.02</v>
      </c>
      <c r="P7116" s="8" t="s">
        <v>667</v>
      </c>
    </row>
    <row r="7117" customFormat="false" ht="17.15" hidden="false" customHeight="false" outlineLevel="0" collapsed="false">
      <c r="A7117" s="0" t="s">
        <v>674</v>
      </c>
      <c r="B7117" s="0" t="s">
        <v>52</v>
      </c>
      <c r="E7117" s="13" t="n">
        <f aca="false">Sens!$E$7116/Sens!$N$7116-1</f>
        <v>0.25112274185379</v>
      </c>
      <c r="F7117" s="13" t="n">
        <f aca="false">Sens!$O$7116/(Q!$F$13+Q!$G$13)-1</f>
        <v>0.234068123596572</v>
      </c>
      <c r="G7117" s="13" t="n">
        <f aca="false">Sens!$G$7116/Sens!$D$7116-1</f>
        <v>0.212343876949294</v>
      </c>
      <c r="H7117" s="13" t="n">
        <f aca="false">Sens!$F$7117+(g_ad-Sens!$F$7117)*1/4</f>
        <v>0.200551092697429</v>
      </c>
      <c r="I7117" s="13" t="n">
        <f aca="false">Sens!$F$7117+(g_ad-Sens!$F$7117)*2/4</f>
        <v>0.167034061798286</v>
      </c>
      <c r="J7117" s="13" t="n">
        <f aca="false">Sens!$F$7117+(g_ad-Sens!$F$7117)*3/4</f>
        <v>0.133517030899143</v>
      </c>
      <c r="K7117" s="13" t="n">
        <f aca="false">Sens!$F$7117+(g_ad-Sens!$F$7117)*4/4</f>
        <v>0.1</v>
      </c>
      <c r="L7117" s="13" t="n">
        <f aca="false">g_ad</f>
        <v>0.1</v>
      </c>
      <c r="M7117" s="13" t="n">
        <f aca="false">g_ad</f>
        <v>0.1</v>
      </c>
      <c r="P7117" s="8" t="s">
        <v>675</v>
      </c>
    </row>
    <row r="7118" customFormat="false" ht="17.15" hidden="false" customHeight="false" outlineLevel="0" collapsed="false">
      <c r="A7118" s="0" t="s">
        <v>523</v>
      </c>
      <c r="B7118" s="0" t="s">
        <v>86</v>
      </c>
      <c r="C7118" s="38" t="n">
        <f aca="false">Q!$D$14</f>
        <v>44.374</v>
      </c>
      <c r="D7118" s="38" t="n">
        <f aca="false">Q!$E$14</f>
        <v>49.619</v>
      </c>
      <c r="E7118" s="38" t="n">
        <f aca="false">Q!$P$14</f>
        <v>27.157</v>
      </c>
      <c r="F7118" s="38" t="n">
        <f aca="false">Sens!$O$7118*(1+Sens!$F$7119)*Sens!$F$7122</f>
        <v>27.7764165988154</v>
      </c>
      <c r="G7118" s="38" t="n">
        <f aca="false">Sens!$E$7118+Sens!$F$7118</f>
        <v>54.9334165988154</v>
      </c>
      <c r="H7118" s="38" t="n">
        <f aca="false">Sens!$G$7118*(1+Sens!$H$7119)</f>
        <v>61.1564112561829</v>
      </c>
      <c r="I7118" s="38" t="n">
        <f aca="false">Sens!$H$7118*(1+Sens!$I$7119)</f>
        <v>67.2020282103945</v>
      </c>
      <c r="J7118" s="38" t="n">
        <f aca="false">Sens!$I$7118*(1+Sens!$J$7119)</f>
        <v>72.8757274028885</v>
      </c>
      <c r="K7118" s="38" t="n">
        <f aca="false">Sens!$J$7118*(1+Sens!$K$7119)</f>
        <v>77.9770283210907</v>
      </c>
      <c r="L7118" s="38" t="n">
        <f aca="false">Sens!$K$7118*(1+Sens!$L$7119)</f>
        <v>83.4354203035671</v>
      </c>
      <c r="M7118" s="38" t="n">
        <f aca="false">Sens!$L$7118*(1+Sens!$M$7119)</f>
        <v>89.2758997248168</v>
      </c>
      <c r="N7118" s="38" t="n">
        <f aca="false">Q!$N$14</f>
        <v>23.923</v>
      </c>
      <c r="O7118" s="38" t="n">
        <f aca="false">Q!$O$14</f>
        <v>25.696</v>
      </c>
      <c r="P7118" s="8" t="s">
        <v>667</v>
      </c>
    </row>
    <row r="7119" customFormat="false" ht="17.15" hidden="false" customHeight="false" outlineLevel="0" collapsed="false">
      <c r="A7119" s="0" t="s">
        <v>676</v>
      </c>
      <c r="B7119" s="0" t="s">
        <v>52</v>
      </c>
      <c r="E7119" s="13" t="n">
        <f aca="false">Sens!$E$7118/Sens!$N$7118-1</f>
        <v>0.135183714417088</v>
      </c>
      <c r="F7119" s="13" t="n">
        <f aca="false">Sens!$O$7118/(Q!$F$14+Q!$G$14)-1</f>
        <v>0.127709997366804</v>
      </c>
      <c r="G7119" s="13" t="n">
        <f aca="false">Sens!$G$7118/Sens!$D$7118-1</f>
        <v>0.107104468022641</v>
      </c>
      <c r="H7119" s="13" t="n">
        <f aca="false">Sens!$F$7119+(g_sub-Sens!$F$7119)*1/4</f>
        <v>0.113282498025103</v>
      </c>
      <c r="I7119" s="13" t="n">
        <f aca="false">Sens!$F$7119+(g_sub-Sens!$F$7119)*2/4</f>
        <v>0.0988549986834021</v>
      </c>
      <c r="J7119" s="13" t="n">
        <f aca="false">Sens!$F$7119+(g_sub-Sens!$F$7119)*3/4</f>
        <v>0.084427499341701</v>
      </c>
      <c r="K7119" s="13" t="n">
        <f aca="false">Sens!$F$7119+(g_sub-Sens!$F$7119)*4/4</f>
        <v>0.07</v>
      </c>
      <c r="L7119" s="13" t="n">
        <f aca="false">g_sub</f>
        <v>0.07</v>
      </c>
      <c r="M7119" s="13" t="n">
        <f aca="false">g_sub</f>
        <v>0.07</v>
      </c>
      <c r="P7119" s="8" t="s">
        <v>677</v>
      </c>
    </row>
    <row r="7120" customFormat="false" ht="17.15" hidden="false" customHeight="false" outlineLevel="0" collapsed="false">
      <c r="A7120" s="0" t="s">
        <v>524</v>
      </c>
      <c r="B7120" s="0" t="s">
        <v>86</v>
      </c>
      <c r="C7120" s="38" t="n">
        <f aca="false">Q!$D$15</f>
        <v>5.425</v>
      </c>
      <c r="D7120" s="38" t="n">
        <f aca="false">Q!$E$15</f>
        <v>5.935</v>
      </c>
      <c r="E7120" s="38" t="n">
        <f aca="false">Q!$P$15</f>
        <v>3.474</v>
      </c>
      <c r="F7120" s="38" t="n">
        <f aca="false">Sens!$O$7120*(1+Sens!$F$7121)*Sens!$F$7122</f>
        <v>3.22246550883619</v>
      </c>
      <c r="G7120" s="38" t="n">
        <f aca="false">Sens!$E$7120+Sens!$F$7120</f>
        <v>6.69646550883619</v>
      </c>
      <c r="H7120" s="38" t="n">
        <f aca="false">Sens!$G$7120*(1+Sens!$H$7121)</f>
        <v>7.16251344209196</v>
      </c>
      <c r="I7120" s="38" t="n">
        <f aca="false">Sens!$H$7120*(1+Sens!$I$7121)</f>
        <v>7.61421070299826</v>
      </c>
      <c r="J7120" s="38" t="n">
        <f aca="false">Sens!$I$7120*(1+Sens!$J$7121)</f>
        <v>8.04465753523932</v>
      </c>
      <c r="K7120" s="38" t="n">
        <f aca="false">Sens!$J$7120*(1+Sens!$K$7121)</f>
        <v>8.44689041200128</v>
      </c>
      <c r="L7120" s="38" t="n">
        <f aca="false">Sens!$K$7120*(1+Sens!$L$7121)</f>
        <v>8.86923493260135</v>
      </c>
      <c r="M7120" s="38" t="n">
        <f aca="false">Sens!$L$7120*(1+Sens!$M$7121)</f>
        <v>9.31269667923142</v>
      </c>
      <c r="N7120" s="38" t="n">
        <f aca="false">Q!$N$15</f>
        <v>2.811</v>
      </c>
      <c r="O7120" s="38" t="n">
        <f aca="false">Q!$O$15</f>
        <v>3.124</v>
      </c>
      <c r="P7120" s="8" t="s">
        <v>667</v>
      </c>
    </row>
    <row r="7121" customFormat="false" ht="17.15" hidden="false" customHeight="false" outlineLevel="0" collapsed="false">
      <c r="A7121" s="0" t="s">
        <v>678</v>
      </c>
      <c r="B7121" s="0" t="s">
        <v>52</v>
      </c>
      <c r="E7121" s="13" t="n">
        <f aca="false">Sens!$E$7120/Sens!$N$7120-1</f>
        <v>0.235859124866596</v>
      </c>
      <c r="F7121" s="13" t="n">
        <f aca="false">Sens!$O$7120/(Q!$F$15+Q!$G$15)-1</f>
        <v>0.0761281433000345</v>
      </c>
      <c r="G7121" s="13" t="n">
        <f aca="false">Sens!$G$7120/Sens!$D$7120-1</f>
        <v>0.128300843948811</v>
      </c>
      <c r="H7121" s="13" t="n">
        <f aca="false">Sens!$F$7121+(g_ot-Sens!$F$7121)*1/4</f>
        <v>0.0695961074750259</v>
      </c>
      <c r="I7121" s="13" t="n">
        <f aca="false">Sens!$F$7121+(g_ot-Sens!$F$7121)*2/4</f>
        <v>0.0630640716500172</v>
      </c>
      <c r="J7121" s="13" t="n">
        <f aca="false">Sens!$F$7121+(g_ot-Sens!$F$7121)*3/4</f>
        <v>0.0565320358250086</v>
      </c>
      <c r="K7121" s="13" t="n">
        <f aca="false">Sens!$F$7121+(g_ot-Sens!$F$7121)*4/4</f>
        <v>0.05</v>
      </c>
      <c r="L7121" s="13" t="n">
        <f aca="false">g_ot</f>
        <v>0.05</v>
      </c>
      <c r="M7121" s="13" t="n">
        <f aca="false">g_ot</f>
        <v>0.05</v>
      </c>
      <c r="P7121" s="8" t="s">
        <v>679</v>
      </c>
    </row>
    <row r="7122" customFormat="false" ht="17.15" hidden="false" customHeight="false" outlineLevel="0" collapsed="false">
      <c r="A7122" s="0" t="s">
        <v>680</v>
      </c>
      <c r="B7122" s="0" t="s">
        <v>57</v>
      </c>
      <c r="F7122" s="40" t="n">
        <f aca="false">(g26q3_mid*Q!$O$8/Q!$J$8-Thesis!$F$86-Thesis!$F$90)/(Sens!$O$7110*(1+Sens!$F$7111)+Sens!$O$7112*(1+Sens!$F$7113)+Sens!$O$7114*(1+Sens!$F$7115)+Sens!$O$7116*(1+Sens!$F$7117)+Sens!$O$7118*(1+Sens!$F$7119)+Sens!$O$7120*(1+Sens!$F$7121))</f>
        <v>0.958546670622329</v>
      </c>
      <c r="P7122" s="8" t="s">
        <v>681</v>
      </c>
    </row>
    <row r="7123" customFormat="false" ht="17.15" hidden="false" customHeight="false" outlineLevel="0" collapsed="false">
      <c r="A7123" s="3" t="s">
        <v>682</v>
      </c>
      <c r="B7123" s="8" t="s">
        <v>86</v>
      </c>
      <c r="C7123" s="38" t="n">
        <f aca="false">Sens!$C$7110+Sens!$C$7112+Sens!$C$7114+Sens!$C$7116+Sens!$C$7118+Sens!$C$7120</f>
        <v>530.403</v>
      </c>
      <c r="D7123" s="38" t="n">
        <f aca="false">Sens!$D$7110+Sens!$D$7112+Sens!$D$7114+Sens!$D$7116+Sens!$D$7118+Sens!$D$7120</f>
        <v>588.199</v>
      </c>
      <c r="E7123" s="38" t="n">
        <f aca="false">Sens!$E$7110+Sens!$E$7112+Sens!$E$7114+Sens!$E$7116+Sens!$E$7118+Sens!$E$7120</f>
        <v>302.306</v>
      </c>
      <c r="F7123" s="38" t="n">
        <f aca="false">Sens!$F$7110+Sens!$F$7112+Sens!$F$7114+Sens!$F$7116+Sens!$F$7118+Sens!$F$7120</f>
        <v>349.048241645537</v>
      </c>
      <c r="G7123" s="38" t="n">
        <f aca="false">Sens!$G$7110+Sens!$G$7112+Sens!$G$7114+Sens!$G$7116+Sens!$G$7118+Sens!$G$7120</f>
        <v>651.354241645537</v>
      </c>
      <c r="H7123" s="38" t="n">
        <f aca="false">Sens!$H$7110+Sens!$H$7112+Sens!$H$7114+Sens!$H$7116+Sens!$H$7118+Sens!$H$7120</f>
        <v>721.096889521386</v>
      </c>
      <c r="I7123" s="38" t="n">
        <f aca="false">Sens!$I$7110+Sens!$I$7112+Sens!$I$7114+Sens!$I$7116+Sens!$I$7118+Sens!$I$7120</f>
        <v>788.529391152531</v>
      </c>
      <c r="J7123" s="38" t="n">
        <f aca="false">Sens!$J$7110+Sens!$J$7112+Sens!$J$7114+Sens!$J$7116+Sens!$J$7118+Sens!$J$7120</f>
        <v>851.108405741443</v>
      </c>
      <c r="K7123" s="38" t="n">
        <f aca="false">Sens!$K$7110+Sens!$K$7112+Sens!$K$7114+Sens!$K$7116+Sens!$K$7118+Sens!$K$7120</f>
        <v>906.176455431088</v>
      </c>
      <c r="L7123" s="38" t="n">
        <f aca="false">Sens!$L$7110+Sens!$L$7112+Sens!$L$7114+Sens!$L$7116+Sens!$L$7118+Sens!$L$7120</f>
        <v>965.093106475589</v>
      </c>
      <c r="M7123" s="38" t="n">
        <f aca="false">Sens!$M$7110+Sens!$M$7112+Sens!$M$7114+Sens!$M$7116+Sens!$M$7118+Sens!$M$7120</f>
        <v>1028.14790794689</v>
      </c>
      <c r="N7123" s="38" t="n">
        <f aca="false">Sens!$N$7110+Sens!$N$7112+Sens!$N$7114+Sens!$N$7116+Sens!$N$7118+Sens!$N$7120</f>
        <v>263.229</v>
      </c>
      <c r="O7123" s="38" t="n">
        <f aca="false">Sens!$O$7110+Sens!$O$7112+Sens!$O$7114+Sens!$O$7116+Sens!$O$7118+Sens!$O$7120</f>
        <v>324.97</v>
      </c>
    </row>
    <row r="7124" customFormat="false" ht="17.15" hidden="false" customHeight="false" outlineLevel="0" collapsed="false">
      <c r="A7124" s="5" t="s">
        <v>683</v>
      </c>
      <c r="B7124" s="0" t="s">
        <v>52</v>
      </c>
      <c r="C7124" s="13" t="n">
        <f aca="false">Q!$D$5/(Q!$D$5+Q!$D$6)</f>
        <v>0.730570905519011</v>
      </c>
      <c r="D7124" s="13" t="n">
        <f aca="false">Q!$E$5/(Q!$E$5+Q!$E$6)</f>
        <v>0.724763217890544</v>
      </c>
      <c r="E7124" s="13" t="n">
        <f aca="false">Q!$P$5/(Q!$P$5+Q!$P$6)</f>
        <v>0.728797972914861</v>
      </c>
      <c r="F7124" s="13" t="n">
        <f aca="false">Sens!$O$7124</f>
        <v>0.718066283041511</v>
      </c>
      <c r="G7124" s="13" t="n">
        <f aca="false">Sens!$G$7125/Sens!$G$7123</f>
        <v>0.723047066202847</v>
      </c>
      <c r="H7124" s="13" t="n">
        <f aca="false">Sens!$G$7124</f>
        <v>0.723047066202847</v>
      </c>
      <c r="I7124" s="13" t="n">
        <f aca="false">Sens!$G$7124</f>
        <v>0.723047066202847</v>
      </c>
      <c r="J7124" s="13" t="n">
        <f aca="false">Sens!$G$7124</f>
        <v>0.723047066202847</v>
      </c>
      <c r="K7124" s="13" t="n">
        <f aca="false">Sens!$G$7124</f>
        <v>0.723047066202847</v>
      </c>
      <c r="L7124" s="13" t="n">
        <f aca="false">Sens!$G$7124</f>
        <v>0.723047066202847</v>
      </c>
      <c r="M7124" s="13" t="n">
        <f aca="false">Sens!$G$7124</f>
        <v>0.723047066202847</v>
      </c>
      <c r="N7124" s="13" t="n">
        <f aca="false">Q!$N$5/(Q!$N$5+Q!$N$6)</f>
        <v>0.733030935041352</v>
      </c>
      <c r="O7124" s="13" t="n">
        <f aca="false">Q!$O$5/(Q!$O$5+Q!$O$6)</f>
        <v>0.718066283041511</v>
      </c>
      <c r="P7124" s="8" t="s">
        <v>684</v>
      </c>
    </row>
    <row r="7125" customFormat="false" ht="17.15" hidden="false" customHeight="false" outlineLevel="0" collapsed="false">
      <c r="A7125" s="1" t="s">
        <v>512</v>
      </c>
      <c r="B7125" s="8" t="s">
        <v>86</v>
      </c>
      <c r="C7125" s="38" t="n">
        <f aca="false">Q!$D$5</f>
        <v>387.497</v>
      </c>
      <c r="D7125" s="38" t="n">
        <f aca="false">Q!$E$5</f>
        <v>426.305</v>
      </c>
      <c r="E7125" s="38" t="n">
        <f aca="false">Q!$P$5</f>
        <v>220.32</v>
      </c>
      <c r="F7125" s="38" t="n">
        <f aca="false">Sens!$F$7123*Sens!$F$7124</f>
        <v>250.639773480586</v>
      </c>
      <c r="G7125" s="38" t="n">
        <f aca="false">Sens!$E$7125+Sens!$F$7125</f>
        <v>470.959773480586</v>
      </c>
      <c r="H7125" s="38" t="n">
        <f aca="false">Sens!$H$7123*Sens!$H$7124</f>
        <v>521.386990416437</v>
      </c>
      <c r="I7125" s="38" t="n">
        <f aca="false">Sens!$I$7123*Sens!$I$7124</f>
        <v>570.143862887555</v>
      </c>
      <c r="J7125" s="38" t="n">
        <f aca="false">Sens!$J$7123*Sens!$J$7124</f>
        <v>615.391435791933</v>
      </c>
      <c r="K7125" s="38" t="n">
        <f aca="false">Sens!$K$7123*Sens!$K$7124</f>
        <v>655.208227561543</v>
      </c>
      <c r="L7125" s="38" t="n">
        <f aca="false">Sens!$L$7123*Sens!$L$7124</f>
        <v>697.807739249767</v>
      </c>
      <c r="M7125" s="38" t="n">
        <f aca="false">Sens!$M$7123*Sens!$M$7124</f>
        <v>743.399328463592</v>
      </c>
      <c r="N7125" s="38" t="n">
        <f aca="false">Q!$N$5</f>
        <v>192.955</v>
      </c>
      <c r="O7125" s="38" t="n">
        <f aca="false">Q!$O$5</f>
        <v>233.35</v>
      </c>
      <c r="P7125" s="5" t="s">
        <v>685</v>
      </c>
    </row>
    <row r="7126" customFormat="false" ht="17.15" hidden="false" customHeight="false" outlineLevel="0" collapsed="false">
      <c r="A7126" s="1" t="s">
        <v>515</v>
      </c>
      <c r="B7126" s="8" t="s">
        <v>86</v>
      </c>
      <c r="C7126" s="38" t="n">
        <f aca="false">Q!$D$6</f>
        <v>142.906</v>
      </c>
      <c r="D7126" s="38" t="n">
        <f aca="false">Q!$E$6</f>
        <v>161.894</v>
      </c>
      <c r="E7126" s="38" t="n">
        <f aca="false">Q!$P$6</f>
        <v>81.986</v>
      </c>
      <c r="F7126" s="38" t="n">
        <f aca="false">Sens!$F$7123*(1-Sens!$F$7124)</f>
        <v>98.408468164951</v>
      </c>
      <c r="G7126" s="38" t="n">
        <f aca="false">Sens!$E$7126+Sens!$F$7126</f>
        <v>180.394468164951</v>
      </c>
      <c r="H7126" s="38" t="n">
        <f aca="false">Sens!$H$7123*(1-Sens!$H$7124)</f>
        <v>199.709899104949</v>
      </c>
      <c r="I7126" s="38" t="n">
        <f aca="false">Sens!$I$7123*(1-Sens!$I$7124)</f>
        <v>218.385528264976</v>
      </c>
      <c r="J7126" s="38" t="n">
        <f aca="false">Sens!$J$7123*(1-Sens!$J$7124)</f>
        <v>235.71696994951</v>
      </c>
      <c r="K7126" s="38" t="n">
        <f aca="false">Sens!$K$7123*(1-Sens!$K$7124)</f>
        <v>250.968227869545</v>
      </c>
      <c r="L7126" s="38" t="n">
        <f aca="false">Sens!$L$7123*(1-Sens!$L$7124)</f>
        <v>267.285367225822</v>
      </c>
      <c r="M7126" s="38" t="n">
        <f aca="false">Sens!$M$7123*(1-Sens!$M$7124)</f>
        <v>284.748579483295</v>
      </c>
      <c r="N7126" s="38" t="n">
        <f aca="false">Q!$N$6</f>
        <v>70.274</v>
      </c>
      <c r="O7126" s="38" t="n">
        <f aca="false">Q!$O$6</f>
        <v>91.62</v>
      </c>
      <c r="P7126" s="5" t="s">
        <v>686</v>
      </c>
    </row>
    <row r="7127" customFormat="false" ht="17.15" hidden="false" customHeight="false" outlineLevel="0" collapsed="false">
      <c r="A7127" s="5" t="s">
        <v>687</v>
      </c>
      <c r="B7127" s="0" t="s">
        <v>86</v>
      </c>
      <c r="C7127" s="38" t="n">
        <f aca="false">Sens!$C$7116*Sens!$C$7124</f>
        <v>41.0683128828457</v>
      </c>
      <c r="D7127" s="38" t="n">
        <f aca="false">Sens!$D$7116*Sens!$D$7124</f>
        <v>49.7441234599175</v>
      </c>
      <c r="E7127" s="38" t="n">
        <f aca="false">Sens!$E$7116*Sens!$E$7124</f>
        <v>27.0034224924414</v>
      </c>
      <c r="F7127" s="38" t="n">
        <f aca="false">Sens!$F$7116*Sens!$F$7124</f>
        <v>33.1439448330513</v>
      </c>
      <c r="G7127" s="38" t="n">
        <f aca="false">Sens!$G$7116*Sens!$G$7124</f>
        <v>60.164183844083</v>
      </c>
      <c r="H7127" s="38" t="n">
        <f aca="false">Sens!$H$7116*Sens!$H$7124</f>
        <v>72.2301766552629</v>
      </c>
      <c r="I7127" s="38" t="n">
        <f aca="false">Sens!$I$7116*Sens!$I$7124</f>
        <v>84.2950764463991</v>
      </c>
      <c r="J7127" s="38" t="n">
        <f aca="false">Sens!$J$7116*Sens!$J$7124</f>
        <v>95.5499047729386</v>
      </c>
      <c r="K7127" s="38" t="n">
        <f aca="false">Sens!$K$7116*Sens!$K$7124</f>
        <v>105.104895250232</v>
      </c>
      <c r="L7127" s="38" t="n">
        <f aca="false">Sens!$L$7116*Sens!$L$7124</f>
        <v>115.615384775256</v>
      </c>
      <c r="M7127" s="38" t="n">
        <f aca="false">Sens!$M$7116*Sens!$M$7124</f>
        <v>127.176923252781</v>
      </c>
      <c r="N7127" s="38" t="n">
        <f aca="false">Sens!$N$7116*Sens!$N$7124</f>
        <v>21.7087111412496</v>
      </c>
      <c r="O7127" s="38" t="n">
        <f aca="false">Sens!$O$7116*Sens!$O$7124</f>
        <v>28.0189463642798</v>
      </c>
      <c r="P7127" s="5" t="s">
        <v>688</v>
      </c>
    </row>
    <row r="7128" customFormat="false" ht="15" hidden="false" customHeight="false" outlineLevel="0" collapsed="false">
      <c r="A7128" s="5" t="s">
        <v>689</v>
      </c>
      <c r="B7128" s="0" t="s">
        <v>86</v>
      </c>
      <c r="C7128" s="38" t="n">
        <f aca="false">Sens!$C$7116-Sens!$C$7127</f>
        <v>15.1456871171543</v>
      </c>
      <c r="D7128" s="38" t="n">
        <f aca="false">Sens!$D$7116-Sens!$D$7127</f>
        <v>18.8908765400825</v>
      </c>
      <c r="E7128" s="38" t="n">
        <f aca="false">Sens!$E$7116-Sens!$E$7127</f>
        <v>10.0485775075586</v>
      </c>
      <c r="F7128" s="38" t="n">
        <f aca="false">Sens!$F$7116-Sens!$F$7127</f>
        <v>13.0132771613635</v>
      </c>
      <c r="G7128" s="38" t="n">
        <f aca="false">Sens!$G$7116-Sens!$G$7127</f>
        <v>23.0450381503318</v>
      </c>
      <c r="H7128" s="38" t="n">
        <f aca="false">Sens!$H$7116-Sens!$H$7127</f>
        <v>27.6667457326347</v>
      </c>
      <c r="I7128" s="38" t="n">
        <f aca="false">Sens!$I$7116-Sens!$I$7127</f>
        <v>32.2880346490971</v>
      </c>
      <c r="J7128" s="38" t="n">
        <f aca="false">Sens!$J$7116-Sens!$J$7127</f>
        <v>36.5990371690132</v>
      </c>
      <c r="K7128" s="38" t="n">
        <f aca="false">Sens!$K$7116-Sens!$K$7127</f>
        <v>40.2589408859145</v>
      </c>
      <c r="L7128" s="38" t="n">
        <f aca="false">Sens!$L$7116-Sens!$L$7127</f>
        <v>44.2848349745059</v>
      </c>
      <c r="M7128" s="38" t="n">
        <f aca="false">Sens!$M$7116-Sens!$M$7127</f>
        <v>48.7133184719565</v>
      </c>
      <c r="N7128" s="38" t="n">
        <f aca="false">Sens!$N$7116-Sens!$N$7127</f>
        <v>7.90628885875037</v>
      </c>
      <c r="O7128" s="38" t="n">
        <f aca="false">Sens!$O$7116-Sens!$O$7127</f>
        <v>11.0010536357202</v>
      </c>
    </row>
    <row r="7129" customFormat="false" ht="19.4" hidden="false" customHeight="false" outlineLevel="0" collapsed="false">
      <c r="A7129" s="31" t="s">
        <v>1281</v>
      </c>
    </row>
    <row r="7130" customFormat="false" ht="17.15" hidden="false" customHeight="false" outlineLevel="0" collapsed="false">
      <c r="A7130" s="6" t="s">
        <v>16</v>
      </c>
      <c r="B7130" s="6" t="s">
        <v>17</v>
      </c>
      <c r="C7130" s="20" t="s">
        <v>497</v>
      </c>
      <c r="D7130" s="20" t="s">
        <v>498</v>
      </c>
      <c r="E7130" s="20" t="s">
        <v>580</v>
      </c>
      <c r="F7130" s="20" t="s">
        <v>581</v>
      </c>
      <c r="G7130" s="20" t="s">
        <v>582</v>
      </c>
      <c r="H7130" s="20" t="s">
        <v>583</v>
      </c>
      <c r="I7130" s="20" t="s">
        <v>584</v>
      </c>
      <c r="J7130" s="20" t="s">
        <v>585</v>
      </c>
      <c r="K7130" s="20" t="s">
        <v>586</v>
      </c>
      <c r="L7130" s="20" t="s">
        <v>587</v>
      </c>
      <c r="M7130" s="20" t="s">
        <v>588</v>
      </c>
      <c r="N7130" s="20" t="s">
        <v>589</v>
      </c>
      <c r="O7130" s="20" t="s">
        <v>590</v>
      </c>
      <c r="P7130" s="6" t="s">
        <v>23</v>
      </c>
      <c r="R7130" s="20" t="n">
        <v>2023</v>
      </c>
      <c r="S7130" s="20" t="n">
        <v>2024</v>
      </c>
      <c r="T7130" s="20" t="n">
        <v>2025</v>
      </c>
      <c r="U7130" s="20" t="n">
        <v>2026</v>
      </c>
      <c r="V7130" s="20" t="n">
        <v>2027</v>
      </c>
      <c r="W7130" s="20" t="n">
        <v>2028</v>
      </c>
      <c r="X7130" s="20" t="n">
        <v>2029</v>
      </c>
      <c r="Y7130" s="20" t="n">
        <v>2030</v>
      </c>
      <c r="Z7130" s="20" t="n">
        <v>2031</v>
      </c>
      <c r="AA7130" s="20" t="n">
        <v>2032</v>
      </c>
    </row>
    <row r="7131" customFormat="false" ht="17.15" hidden="false" customHeight="false" outlineLevel="0" collapsed="false">
      <c r="A7131" s="1" t="s">
        <v>591</v>
      </c>
    </row>
    <row r="7132" customFormat="false" ht="17.15" hidden="false" customHeight="false" outlineLevel="0" collapsed="false">
      <c r="A7132" s="5" t="s">
        <v>592</v>
      </c>
      <c r="B7132" s="0" t="s">
        <v>144</v>
      </c>
      <c r="H7132" s="32" t="n">
        <f aca="false">pace_B</f>
        <v>3634.3</v>
      </c>
      <c r="I7132" s="32" t="n">
        <f aca="false">pace_B</f>
        <v>3634.3</v>
      </c>
      <c r="J7132" s="32" t="n">
        <f aca="false">pace_B</f>
        <v>3634.3</v>
      </c>
      <c r="K7132" s="32" t="n">
        <f aca="false">pace_B+(Sens!$J$7133*tg-pace_B)*1/3</f>
        <v>2570.86716666667</v>
      </c>
      <c r="L7132" s="32" t="n">
        <f aca="false">pace_B+(Sens!$J$7133*tg-pace_B)*2/3</f>
        <v>1507.43433333333</v>
      </c>
      <c r="M7132" s="32" t="n">
        <f aca="false">pace_B+(Sens!$J$7133*tg-pace_B)*3/3</f>
        <v>444.0015</v>
      </c>
      <c r="P7132" s="5" t="s">
        <v>593</v>
      </c>
    </row>
    <row r="7133" customFormat="false" ht="17.15" hidden="false" customHeight="false" outlineLevel="0" collapsed="false">
      <c r="A7133" s="15" t="s">
        <v>594</v>
      </c>
      <c r="B7133" s="14" t="s">
        <v>129</v>
      </c>
      <c r="C7133" s="33" t="n">
        <f aca="false">mw_ye24</f>
        <v>360</v>
      </c>
      <c r="D7133" s="33" t="n">
        <f aca="false">mw_ye25</f>
        <v>1440</v>
      </c>
      <c r="E7133" s="33" t="n">
        <f aca="false">mw_open</f>
        <v>2080</v>
      </c>
      <c r="F7133" s="33" t="n">
        <f aca="false">Sens!$E$7133+pace_B*0.5</f>
        <v>3897.15</v>
      </c>
      <c r="G7133" s="33" t="n">
        <f aca="false">Sens!$F$7133</f>
        <v>3897.15</v>
      </c>
      <c r="H7133" s="33" t="n">
        <f aca="false">Sens!$G$7133+Sens!$H$7132</f>
        <v>7531.45</v>
      </c>
      <c r="I7133" s="33" t="n">
        <f aca="false">Sens!$H$7133+Sens!$I$7132</f>
        <v>11165.75</v>
      </c>
      <c r="J7133" s="33" t="n">
        <f aca="false">Sens!$I$7133+Sens!$J$7132</f>
        <v>14800.05</v>
      </c>
      <c r="K7133" s="33" t="n">
        <f aca="false">Sens!$J$7133+Sens!$K$7132</f>
        <v>17370.9171666667</v>
      </c>
      <c r="L7133" s="33" t="n">
        <f aca="false">Sens!$K$7133+Sens!$L$7132</f>
        <v>18878.3515</v>
      </c>
      <c r="M7133" s="33" t="n">
        <f aca="false">Sens!$L$7133+Sens!$M$7132</f>
        <v>19322.353</v>
      </c>
      <c r="N7133" s="33" t="n">
        <f aca="false">(mw_ye24+mw_ye25)/2</f>
        <v>900</v>
      </c>
      <c r="O7133" s="33" t="n">
        <f aca="false">mw_ye25</f>
        <v>1440</v>
      </c>
      <c r="P7133" s="5" t="s">
        <v>595</v>
      </c>
    </row>
    <row r="7134" customFormat="false" ht="17.15" hidden="false" customHeight="false" outlineLevel="0" collapsed="false">
      <c r="A7134" s="5" t="s">
        <v>596</v>
      </c>
      <c r="B7134" s="0" t="s">
        <v>129</v>
      </c>
      <c r="C7134" s="32" t="n">
        <f aca="false">(mw_ye23+mw_ye24)/2</f>
        <v>240</v>
      </c>
      <c r="D7134" s="32" t="n">
        <f aca="false">(Sens!$C$7133+Sens!$D$7133)/2</f>
        <v>900</v>
      </c>
      <c r="E7134" s="32" t="n">
        <f aca="false">(Sens!$D$7133+Sens!$E$7133)/2</f>
        <v>1760</v>
      </c>
      <c r="F7134" s="32" t="n">
        <f aca="false">(Sens!$E$7133+Sens!$F$7133)/2</f>
        <v>2988.575</v>
      </c>
      <c r="G7134" s="32" t="n">
        <f aca="false">(Sens!$E$7134+Sens!$F$7134)/2</f>
        <v>2374.2875</v>
      </c>
      <c r="H7134" s="32" t="n">
        <f aca="false">(Sens!$G$7133+Sens!$H$7133)/2</f>
        <v>5714.3</v>
      </c>
      <c r="I7134" s="32" t="n">
        <f aca="false">(Sens!$H$7133+Sens!$I$7133)/2</f>
        <v>9348.6</v>
      </c>
      <c r="J7134" s="32" t="n">
        <f aca="false">(Sens!$I$7133+Sens!$J$7133)/2</f>
        <v>12982.9</v>
      </c>
      <c r="K7134" s="32" t="n">
        <f aca="false">(Sens!$J$7133+Sens!$K$7133)/2</f>
        <v>16085.4835833333</v>
      </c>
      <c r="L7134" s="32" t="n">
        <f aca="false">(Sens!$K$7133+Sens!$L$7133)/2</f>
        <v>18124.6343333333</v>
      </c>
      <c r="M7134" s="32" t="n">
        <f aca="false">(Sens!$L$7133+Sens!$M$7133)/2</f>
        <v>19100.35225</v>
      </c>
      <c r="N7134" s="32" t="n">
        <f aca="false">(Sens!$C$7133+Sens!$N$7133)/2</f>
        <v>630</v>
      </c>
      <c r="O7134" s="32" t="n">
        <f aca="false">(Sens!$N$7133+Sens!$O$7133)/2</f>
        <v>1170</v>
      </c>
    </row>
    <row r="7135" customFormat="false" ht="15" hidden="false" customHeight="false" outlineLevel="0" collapsed="false">
      <c r="A7135" s="5" t="s">
        <v>597</v>
      </c>
      <c r="B7135" s="5" t="s">
        <v>123</v>
      </c>
      <c r="C7135" s="34" t="n">
        <v>1</v>
      </c>
      <c r="D7135" s="34" t="n">
        <v>1</v>
      </c>
      <c r="E7135" s="34" t="n">
        <v>0.5</v>
      </c>
      <c r="F7135" s="34" t="n">
        <v>0.5</v>
      </c>
      <c r="G7135" s="34" t="n">
        <v>1</v>
      </c>
      <c r="H7135" s="34" t="n">
        <v>1</v>
      </c>
      <c r="I7135" s="34" t="n">
        <v>1</v>
      </c>
      <c r="J7135" s="34" t="n">
        <v>1</v>
      </c>
      <c r="K7135" s="34" t="n">
        <v>1</v>
      </c>
      <c r="L7135" s="34" t="n">
        <v>1</v>
      </c>
      <c r="M7135" s="34" t="n">
        <v>1</v>
      </c>
      <c r="N7135" s="34" t="n">
        <v>0.5</v>
      </c>
      <c r="O7135" s="34" t="n">
        <v>0.5</v>
      </c>
    </row>
    <row r="7136" customFormat="false" ht="17.15" hidden="false" customHeight="false" outlineLevel="0" collapsed="false">
      <c r="A7136" s="5" t="s">
        <v>598</v>
      </c>
      <c r="B7136" s="0" t="s">
        <v>129</v>
      </c>
      <c r="C7136" s="32" t="n">
        <f aca="false">Sens!$C$7133-mw_ye23</f>
        <v>240</v>
      </c>
      <c r="D7136" s="32" t="n">
        <f aca="false">Sens!$D$7133-Sens!$C$7133</f>
        <v>1080</v>
      </c>
      <c r="E7136" s="32" t="n">
        <f aca="false">Sens!$E$7133-Sens!$D$7133</f>
        <v>640</v>
      </c>
      <c r="F7136" s="32" t="n">
        <f aca="false">Sens!$F$7133-Sens!$E$7133</f>
        <v>1817.15</v>
      </c>
      <c r="G7136" s="32" t="n">
        <f aca="false">Sens!$E$7136+Sens!$F$7136</f>
        <v>2457.15</v>
      </c>
      <c r="H7136" s="32" t="n">
        <f aca="false">Sens!$H$7133-Sens!$G$7133</f>
        <v>3634.3</v>
      </c>
      <c r="I7136" s="32" t="n">
        <f aca="false">Sens!$I$7133-Sens!$H$7133</f>
        <v>3634.3</v>
      </c>
      <c r="J7136" s="32" t="n">
        <f aca="false">Sens!$J$7133-Sens!$I$7133</f>
        <v>3634.3</v>
      </c>
      <c r="K7136" s="32" t="n">
        <f aca="false">Sens!$K$7133-Sens!$J$7133</f>
        <v>2570.86716666667</v>
      </c>
      <c r="L7136" s="32" t="n">
        <f aca="false">Sens!$L$7133-Sens!$K$7133</f>
        <v>1507.43433333333</v>
      </c>
      <c r="M7136" s="32" t="n">
        <f aca="false">Sens!$M$7133-Sens!$L$7133</f>
        <v>444.001499999999</v>
      </c>
      <c r="N7136" s="32" t="n">
        <f aca="false">Sens!$N$7133-Sens!$C$7133</f>
        <v>540</v>
      </c>
      <c r="O7136" s="32" t="n">
        <f aca="false">Sens!$O$7133-Sens!$N$7133</f>
        <v>540</v>
      </c>
    </row>
    <row r="7137" customFormat="false" ht="17.15" hidden="false" customHeight="false" outlineLevel="0" collapsed="false">
      <c r="A7137" s="5" t="s">
        <v>599</v>
      </c>
      <c r="B7137" s="0" t="s">
        <v>129</v>
      </c>
      <c r="C7137" s="32" t="n">
        <f aca="false">Sens!$C$7136/ext_sh</f>
        <v>300</v>
      </c>
      <c r="D7137" s="32" t="n">
        <f aca="false">Sens!$D$7136/ext_sh</f>
        <v>1350</v>
      </c>
      <c r="E7137" s="32" t="n">
        <f aca="false">Sens!$E$7136/ext_sh</f>
        <v>800</v>
      </c>
      <c r="F7137" s="32" t="n">
        <f aca="false">Sens!$F$7136/ext_sh</f>
        <v>2271.4375</v>
      </c>
      <c r="G7137" s="32" t="n">
        <f aca="false">Sens!$G$7136/ext_sh</f>
        <v>3071.4375</v>
      </c>
      <c r="H7137" s="32" t="n">
        <f aca="false">Sens!$H$7136/ext_sh</f>
        <v>4542.875</v>
      </c>
      <c r="I7137" s="32" t="n">
        <f aca="false">Sens!$I$7136/ext_sh</f>
        <v>4542.875</v>
      </c>
      <c r="J7137" s="32" t="n">
        <f aca="false">Sens!$J$7136/ext_sh</f>
        <v>4542.875</v>
      </c>
      <c r="K7137" s="32" t="n">
        <f aca="false">Sens!$K$7136/ext_sh</f>
        <v>3213.58395833333</v>
      </c>
      <c r="L7137" s="32" t="n">
        <f aca="false">Sens!$L$7136/ext_sh</f>
        <v>1884.29291666667</v>
      </c>
      <c r="M7137" s="32" t="n">
        <f aca="false">Sens!$M$7136/ext_sh</f>
        <v>555.001874999998</v>
      </c>
      <c r="N7137" s="32" t="n">
        <f aca="false">Sens!$N$7136/ext_sh</f>
        <v>675</v>
      </c>
      <c r="O7137" s="32" t="n">
        <f aca="false">Sens!$O$7136/ext_sh</f>
        <v>675</v>
      </c>
      <c r="P7137" s="8" t="s">
        <v>600</v>
      </c>
      <c r="R7137" s="32" t="n">
        <f aca="false">mw_ye23/ext_sh</f>
        <v>150</v>
      </c>
      <c r="S7137" s="32" t="n">
        <f aca="false">Sens!$C$7137</f>
        <v>300</v>
      </c>
      <c r="T7137" s="32" t="n">
        <f aca="false">Sens!$D$7137</f>
        <v>1350</v>
      </c>
      <c r="U7137" s="32" t="n">
        <f aca="false">Sens!$G$7137</f>
        <v>3071.4375</v>
      </c>
      <c r="V7137" s="32" t="n">
        <f aca="false">Sens!$H$7137</f>
        <v>4542.875</v>
      </c>
      <c r="W7137" s="32" t="n">
        <f aca="false">Sens!$I$7137</f>
        <v>4542.875</v>
      </c>
      <c r="X7137" s="32" t="n">
        <f aca="false">Sens!$J$7137</f>
        <v>4542.875</v>
      </c>
      <c r="Y7137" s="32" t="n">
        <f aca="false">Sens!$K$7137</f>
        <v>3213.58395833333</v>
      </c>
      <c r="Z7137" s="32" t="n">
        <f aca="false">Sens!$L$7137</f>
        <v>1884.29291666667</v>
      </c>
      <c r="AA7137" s="32" t="n">
        <f aca="false">Sens!$M$7137</f>
        <v>555.001874999998</v>
      </c>
    </row>
    <row r="7138" customFormat="false" ht="17.15" hidden="false" customHeight="false" outlineLevel="0" collapsed="false">
      <c r="A7138" s="1" t="s">
        <v>601</v>
      </c>
    </row>
    <row r="7139" customFormat="false" ht="17.15" hidden="false" customHeight="false" outlineLevel="0" collapsed="false">
      <c r="A7139" s="0" t="s">
        <v>602</v>
      </c>
      <c r="B7139" s="0" t="s">
        <v>52</v>
      </c>
      <c r="F7139" s="35" t="n">
        <f aca="false">na_vr26</f>
        <v>0</v>
      </c>
      <c r="G7139" s="35" t="n">
        <f aca="false">na_vr26</f>
        <v>0</v>
      </c>
      <c r="H7139" s="35" t="n">
        <f aca="false">na_vr27</f>
        <v>0.5</v>
      </c>
      <c r="I7139" s="35" t="n">
        <f aca="false">na_vr28</f>
        <v>1</v>
      </c>
      <c r="J7139" s="35" t="n">
        <f aca="false">na_vr28</f>
        <v>1</v>
      </c>
      <c r="K7139" s="35" t="n">
        <f aca="false">na_vr28</f>
        <v>1</v>
      </c>
      <c r="L7139" s="35" t="n">
        <f aca="false">na_vr28</f>
        <v>1</v>
      </c>
      <c r="M7139" s="35" t="n">
        <f aca="false">na_vr28</f>
        <v>1</v>
      </c>
    </row>
    <row r="7140" customFormat="false" ht="17.15" hidden="false" customHeight="false" outlineLevel="0" collapsed="false">
      <c r="A7140" s="5" t="s">
        <v>603</v>
      </c>
      <c r="B7140" s="0" t="s">
        <v>173</v>
      </c>
      <c r="F7140" s="36" t="n">
        <f aca="false">cust_sh*tk_he_gb300*cf_chip+(1-cust_sh)*((1-Sens!$F$7139)*tk_he_gb300+Sens!$F$7139*tk_he_vr200)</f>
        <v>10.8864110021101</v>
      </c>
      <c r="G7140" s="36" t="n">
        <f aca="false">cust_sh*tk_he_gb300*cf_chip+(1-cust_sh)*((1-Sens!$G$7139)*tk_he_gb300+Sens!$G$7139*tk_he_vr200)</f>
        <v>10.8864110021101</v>
      </c>
      <c r="H7140" s="36" t="n">
        <f aca="false">cust_sh*tk_he_gb300*cf_chip+(1-cust_sh)*((1-Sens!$H$7139)*tk_he_gb300+Sens!$H$7139*tk_he_vr200)</f>
        <v>11.2211760027286</v>
      </c>
      <c r="I7140" s="36" t="n">
        <f aca="false">cust_sh*tk_he_gb300*cf_chip+(1-cust_sh)*((1-Sens!$I$7139)*tk_he_gb300+Sens!$I$7139*tk_he_vr200)</f>
        <v>11.5559410033471</v>
      </c>
      <c r="J7140" s="36" t="n">
        <f aca="false">cust_sh*tk_he_gb300*cf_chip+(1-cust_sh)*((1-Sens!$J$7139)*tk_he_gb300+Sens!$J$7139*tk_he_vr200)</f>
        <v>11.5559410033471</v>
      </c>
      <c r="K7140" s="36" t="n">
        <f aca="false">cust_sh*tk_he_gb300*cf_chip+(1-cust_sh)*((1-Sens!$K$7139)*tk_he_gb300+Sens!$K$7139*tk_he_vr200)</f>
        <v>11.5559410033471</v>
      </c>
      <c r="L7140" s="36" t="n">
        <f aca="false">cust_sh*tk_he_gb300*cf_chip+(1-cust_sh)*((1-Sens!$L$7139)*tk_he_gb300+Sens!$L$7139*tk_he_vr200)</f>
        <v>11.5559410033471</v>
      </c>
      <c r="M7140" s="36" t="n">
        <f aca="false">cust_sh*tk_he_gb300*cf_chip+(1-cust_sh)*((1-Sens!$M$7139)*tk_he_gb300+Sens!$M$7139*tk_he_vr200)</f>
        <v>11.5559410033471</v>
      </c>
    </row>
    <row r="7141" customFormat="false" ht="17.15" hidden="false" customHeight="false" outlineLevel="0" collapsed="false">
      <c r="A7141" s="5" t="s">
        <v>604</v>
      </c>
      <c r="B7141" s="0" t="s">
        <v>173</v>
      </c>
      <c r="F7141" s="36" t="n">
        <f aca="false">cust_sh*tk_ox_gb300+(1-cust_sh)*((1-Sens!$F$7139)*tk_ox_gb300+Sens!$F$7139*tk_ox_vr200)</f>
        <v>1.98263481314457</v>
      </c>
      <c r="G7141" s="36" t="n">
        <f aca="false">cust_sh*tk_ox_gb300+(1-cust_sh)*((1-Sens!$G$7139)*tk_ox_gb300+Sens!$G$7139*tk_ox_vr200)</f>
        <v>1.98263481314457</v>
      </c>
      <c r="H7141" s="36" t="n">
        <f aca="false">cust_sh*tk_ox_gb300+(1-cust_sh)*((1-Sens!$H$7139)*tk_ox_gb300+Sens!$H$7139*tk_ox_vr200)</f>
        <v>2.01034999693694</v>
      </c>
      <c r="I7141" s="36" t="n">
        <f aca="false">cust_sh*tk_ox_gb300+(1-cust_sh)*((1-Sens!$I$7139)*tk_ox_gb300+Sens!$I$7139*tk_ox_vr200)</f>
        <v>2.0380651807293</v>
      </c>
      <c r="J7141" s="36" t="n">
        <f aca="false">cust_sh*tk_ox_gb300+(1-cust_sh)*((1-Sens!$J$7139)*tk_ox_gb300+Sens!$J$7139*tk_ox_vr200)</f>
        <v>2.0380651807293</v>
      </c>
      <c r="K7141" s="36" t="n">
        <f aca="false">cust_sh*tk_ox_gb300+(1-cust_sh)*((1-Sens!$K$7139)*tk_ox_gb300+Sens!$K$7139*tk_ox_vr200)</f>
        <v>2.0380651807293</v>
      </c>
      <c r="L7141" s="36" t="n">
        <f aca="false">cust_sh*tk_ox_gb300+(1-cust_sh)*((1-Sens!$L$7139)*tk_ox_gb300+Sens!$L$7139*tk_ox_vr200)</f>
        <v>2.0380651807293</v>
      </c>
      <c r="M7141" s="36" t="n">
        <f aca="false">cust_sh*tk_ox_gb300+(1-cust_sh)*((1-Sens!$M$7139)*tk_ox_gb300+Sens!$M$7139*tk_ox_vr200)</f>
        <v>2.0380651807293</v>
      </c>
    </row>
    <row r="7142" customFormat="false" ht="17.15" hidden="false" customHeight="false" outlineLevel="0" collapsed="false">
      <c r="A7142" s="5" t="s">
        <v>605</v>
      </c>
      <c r="B7142" s="0" t="s">
        <v>192</v>
      </c>
      <c r="F7142" s="36" t="n">
        <f aca="false">cust_sh*tk_cx_gb300*cf_cx+(1-cust_sh)*((1-Sens!$F$7139)*tk_cx_gb300+Sens!$F$7139*tk_cx_vr200)</f>
        <v>32.237224</v>
      </c>
      <c r="G7142" s="36" t="n">
        <f aca="false">cust_sh*tk_cx_gb300*cf_cx+(1-cust_sh)*((1-Sens!$G$7139)*tk_cx_gb300+Sens!$G$7139*tk_cx_vr200)</f>
        <v>32.237224</v>
      </c>
      <c r="H7142" s="36" t="n">
        <f aca="false">cust_sh*tk_cx_gb300*cf_cx+(1-cust_sh)*((1-Sens!$H$7139)*tk_cx_gb300+Sens!$H$7139*tk_cx_vr200)</f>
        <v>33.574506</v>
      </c>
      <c r="I7142" s="36" t="n">
        <f aca="false">cust_sh*tk_cx_gb300*cf_cx+(1-cust_sh)*((1-Sens!$I$7139)*tk_cx_gb300+Sens!$I$7139*tk_cx_vr200)</f>
        <v>34.911788</v>
      </c>
      <c r="J7142" s="36" t="n">
        <f aca="false">cust_sh*tk_cx_gb300*cf_cx+(1-cust_sh)*((1-Sens!$J$7139)*tk_cx_gb300+Sens!$J$7139*tk_cx_vr200)</f>
        <v>34.911788</v>
      </c>
      <c r="K7142" s="36" t="n">
        <f aca="false">cust_sh*tk_cx_gb300*cf_cx+(1-cust_sh)*((1-Sens!$K$7139)*tk_cx_gb300+Sens!$K$7139*tk_cx_vr200)</f>
        <v>34.911788</v>
      </c>
      <c r="L7142" s="36" t="n">
        <f aca="false">cust_sh*tk_cx_gb300*cf_cx+(1-cust_sh)*((1-Sens!$L$7139)*tk_cx_gb300+Sens!$L$7139*tk_cx_vr200)</f>
        <v>34.911788</v>
      </c>
      <c r="M7142" s="36" t="n">
        <f aca="false">cust_sh*tk_cx_gb300*cf_cx+(1-cust_sh)*((1-Sens!$M$7139)*tk_cx_gb300+Sens!$M$7139*tk_cx_vr200)</f>
        <v>34.911788</v>
      </c>
    </row>
    <row r="7143" customFormat="false" ht="17.15" hidden="false" customHeight="false" outlineLevel="0" collapsed="false">
      <c r="A7143" s="5" t="s">
        <v>606</v>
      </c>
      <c r="B7143" s="0" t="s">
        <v>129</v>
      </c>
      <c r="F7143" s="32" t="n">
        <f aca="false">Sens!$F$7133-mw_open</f>
        <v>1817.15</v>
      </c>
      <c r="G7143" s="32" t="n">
        <f aca="false">Sens!$F$7143</f>
        <v>1817.15</v>
      </c>
      <c r="H7143" s="32" t="n">
        <f aca="false">Sens!$H$7133-mw_open</f>
        <v>5451.45</v>
      </c>
      <c r="I7143" s="32" t="n">
        <f aca="false">Sens!$I$7133-mw_open</f>
        <v>9085.75</v>
      </c>
      <c r="J7143" s="32" t="n">
        <f aca="false">Sens!$J$7133-mw_open</f>
        <v>12720.05</v>
      </c>
      <c r="K7143" s="32" t="n">
        <f aca="false">Sens!$K$7133-mw_open</f>
        <v>15290.9171666667</v>
      </c>
      <c r="L7143" s="32" t="n">
        <f aca="false">Sens!$L$7133-mw_open</f>
        <v>16798.3515</v>
      </c>
      <c r="M7143" s="32" t="n">
        <f aca="false">Sens!$M$7133-mw_open</f>
        <v>17242.353</v>
      </c>
    </row>
    <row r="7144" customFormat="false" ht="17.15" hidden="false" customHeight="false" outlineLevel="0" collapsed="false">
      <c r="A7144" s="0" t="s">
        <v>607</v>
      </c>
      <c r="B7144" s="0" t="s">
        <v>608</v>
      </c>
      <c r="F7144" s="32" t="n">
        <f aca="false">Sens!$F$7136*Sens!$F$7140</f>
        <v>19782.2417524844</v>
      </c>
      <c r="G7144" s="32" t="n">
        <f aca="false">Sens!$F$7144</f>
        <v>19782.2417524844</v>
      </c>
      <c r="H7144" s="32" t="n">
        <f aca="false">Sens!$G$7144+Sens!$H$7136*Sens!$H$7140</f>
        <v>60563.3616992009</v>
      </c>
      <c r="I7144" s="32" t="n">
        <f aca="false">Sens!$H$7144+Sens!$I$7136*Sens!$I$7140</f>
        <v>102561.118087665</v>
      </c>
      <c r="J7144" s="32" t="n">
        <f aca="false">Sens!$I$7144+Sens!$J$7136*Sens!$J$7140</f>
        <v>144558.87447613</v>
      </c>
      <c r="K7144" s="32" t="n">
        <f aca="false">Sens!$J$7144+Sens!$K$7136*Sens!$K$7140</f>
        <v>174267.663781572</v>
      </c>
      <c r="L7144" s="32" t="n">
        <f aca="false">Sens!$K$7144+Sens!$L$7136*Sens!$L$7140</f>
        <v>191687.486003992</v>
      </c>
      <c r="M7144" s="32" t="n">
        <f aca="false">Sens!$L$7144+Sens!$M$7136*Sens!$M$7140</f>
        <v>196818.341143389</v>
      </c>
    </row>
    <row r="7145" customFormat="false" ht="17.15" hidden="false" customHeight="false" outlineLevel="0" collapsed="false">
      <c r="A7145" s="0" t="s">
        <v>609</v>
      </c>
      <c r="B7145" s="0" t="s">
        <v>608</v>
      </c>
      <c r="F7145" s="32" t="n">
        <f aca="false">Sens!$F$7136*Sens!$F$7141</f>
        <v>3602.74485070566</v>
      </c>
      <c r="G7145" s="32" t="n">
        <f aca="false">Sens!$F$7145</f>
        <v>3602.74485070566</v>
      </c>
      <c r="H7145" s="32" t="n">
        <f aca="false">Sens!$G$7145+Sens!$H$7136*Sens!$H$7141</f>
        <v>10908.9598445736</v>
      </c>
      <c r="I7145" s="32" t="n">
        <f aca="false">Sens!$H$7145+Sens!$I$7136*Sens!$I$7141</f>
        <v>18315.9001308981</v>
      </c>
      <c r="J7145" s="32" t="n">
        <f aca="false">Sens!$I$7145+Sens!$J$7136*Sens!$J$7141</f>
        <v>25722.8404172225</v>
      </c>
      <c r="K7145" s="32" t="n">
        <f aca="false">Sens!$J$7145+Sens!$K$7136*Sens!$K$7141</f>
        <v>30962.4352738861</v>
      </c>
      <c r="L7145" s="32" t="n">
        <f aca="false">Sens!$K$7145+Sens!$L$7136*Sens!$L$7141</f>
        <v>34034.6847008886</v>
      </c>
      <c r="M7145" s="32" t="n">
        <f aca="false">Sens!$L$7145+Sens!$M$7136*Sens!$M$7141</f>
        <v>34939.5886982302</v>
      </c>
    </row>
    <row r="7146" customFormat="false" ht="17.15" hidden="false" customHeight="false" outlineLevel="0" collapsed="false">
      <c r="A7146" s="5" t="s">
        <v>610</v>
      </c>
      <c r="B7146" s="0" t="s">
        <v>173</v>
      </c>
      <c r="F7146" s="36" t="n">
        <f aca="false">IF(Sens!$F$7143&gt;0,Sens!$F$7144/Sens!$F$7143,Sens!$F$7140)</f>
        <v>10.8864110021101</v>
      </c>
      <c r="G7146" s="36" t="n">
        <f aca="false">IF(Sens!$G$7143&gt;0,Sens!$G$7144/Sens!$G$7143,Sens!$G$7140)</f>
        <v>10.8864110021101</v>
      </c>
      <c r="H7146" s="36" t="n">
        <f aca="false">IF(Sens!$H$7143&gt;0,Sens!$H$7144/Sens!$H$7143,Sens!$H$7140)</f>
        <v>11.1095876691891</v>
      </c>
      <c r="I7146" s="36" t="n">
        <f aca="false">IF(Sens!$I$7143&gt;0,Sens!$I$7144/Sens!$I$7143,Sens!$I$7140)</f>
        <v>11.2881290028523</v>
      </c>
      <c r="J7146" s="36" t="n">
        <f aca="false">IF(Sens!$J$7143&gt;0,Sens!$J$7144/Sens!$J$7143,Sens!$J$7140)</f>
        <v>11.3646467172794</v>
      </c>
      <c r="K7146" s="36" t="n">
        <f aca="false">IF(Sens!$K$7143&gt;0,Sens!$K$7144/Sens!$K$7143,Sens!$K$7140)</f>
        <v>11.3968090914432</v>
      </c>
      <c r="L7146" s="36" t="n">
        <f aca="false">IF(Sens!$L$7143&gt;0,Sens!$L$7144/Sens!$L$7143,Sens!$L$7140)</f>
        <v>11.4110891181192</v>
      </c>
      <c r="M7146" s="36" t="n">
        <f aca="false">IF(Sens!$M$7143&gt;0,Sens!$M$7144/Sens!$M$7143,Sens!$M$7140)</f>
        <v>11.4148191458201</v>
      </c>
    </row>
    <row r="7147" customFormat="false" ht="17.15" hidden="false" customHeight="false" outlineLevel="0" collapsed="false">
      <c r="A7147" s="5" t="s">
        <v>611</v>
      </c>
      <c r="B7147" s="0" t="s">
        <v>173</v>
      </c>
      <c r="F7147" s="36" t="n">
        <f aca="false">IF(Sens!$F$7143&gt;0,Sens!$F$7145/Sens!$F$7143,Sens!$F$7141)</f>
        <v>1.98263481314457</v>
      </c>
      <c r="G7147" s="36" t="n">
        <f aca="false">IF(Sens!$G$7143&gt;0,Sens!$G$7145/Sens!$G$7143,Sens!$G$7141)</f>
        <v>1.98263481314457</v>
      </c>
      <c r="H7147" s="36" t="n">
        <f aca="false">IF(Sens!$H$7143&gt;0,Sens!$H$7145/Sens!$H$7143,Sens!$H$7141)</f>
        <v>2.00111160233948</v>
      </c>
      <c r="I7147" s="36" t="n">
        <f aca="false">IF(Sens!$I$7143&gt;0,Sens!$I$7145/Sens!$I$7143,Sens!$I$7141)</f>
        <v>2.01589303369541</v>
      </c>
      <c r="J7147" s="36" t="n">
        <f aca="false">IF(Sens!$J$7143&gt;0,Sens!$J$7145/Sens!$J$7143,Sens!$J$7141)</f>
        <v>2.02222793284795</v>
      </c>
      <c r="K7147" s="36" t="n">
        <f aca="false">IF(Sens!$K$7143&gt;0,Sens!$K$7145/Sens!$K$7143,Sens!$K$7141)</f>
        <v>2.02489065478573</v>
      </c>
      <c r="L7147" s="36" t="n">
        <f aca="false">IF(Sens!$L$7143&gt;0,Sens!$L$7145/Sens!$L$7143,Sens!$L$7141)</f>
        <v>2.0260728977417</v>
      </c>
      <c r="M7147" s="36" t="n">
        <f aca="false">IF(Sens!$M$7143&gt;0,Sens!$M$7145/Sens!$M$7143,Sens!$M$7141)</f>
        <v>2.02638170661685</v>
      </c>
    </row>
    <row r="7148" customFormat="false" ht="17.15" hidden="false" customHeight="false" outlineLevel="0" collapsed="false">
      <c r="A7148" s="15" t="s">
        <v>612</v>
      </c>
      <c r="B7148" s="14" t="s">
        <v>173</v>
      </c>
      <c r="C7148" s="14"/>
      <c r="D7148" s="14"/>
      <c r="E7148" s="14"/>
      <c r="F7148" s="37" t="n">
        <f aca="false">Sens!$F$7146*k_B</f>
        <v>10.7987645808025</v>
      </c>
      <c r="G7148" s="37" t="n">
        <f aca="false">Sens!$G$7146*k_B</f>
        <v>10.7987645808025</v>
      </c>
      <c r="H7148" s="37" t="n">
        <f aca="false">Sens!$H$7146*k_B</f>
        <v>11.0201444540452</v>
      </c>
      <c r="I7148" s="37" t="n">
        <f aca="false">Sens!$I$7146*k_B</f>
        <v>11.1972483526393</v>
      </c>
      <c r="J7148" s="37" t="n">
        <f aca="false">Sens!$J$7146*k_B</f>
        <v>11.2731500234653</v>
      </c>
      <c r="K7148" s="37" t="n">
        <f aca="false">Sens!$K$7146*k_B</f>
        <v>11.3050534585724</v>
      </c>
      <c r="L7148" s="37" t="n">
        <f aca="false">Sens!$L$7146*k_B</f>
        <v>11.3192185168503</v>
      </c>
      <c r="M7148" s="37" t="n">
        <f aca="false">Sens!$M$7146*k_B</f>
        <v>11.3229185141234</v>
      </c>
      <c r="N7148" s="14"/>
      <c r="O7148" s="14"/>
      <c r="P7148" s="5" t="s">
        <v>613</v>
      </c>
    </row>
    <row r="7149" customFormat="false" ht="17.15" hidden="false" customHeight="false" outlineLevel="0" collapsed="false">
      <c r="A7149" s="5" t="s">
        <v>614</v>
      </c>
      <c r="B7149" s="0" t="s">
        <v>129</v>
      </c>
      <c r="F7149" s="32" t="n">
        <f aca="false">Sens!$F$7143/2</f>
        <v>908.575</v>
      </c>
      <c r="H7149" s="32" t="n">
        <f aca="false">(Sens!$G$7143+Sens!$H$7143)/2</f>
        <v>3634.3</v>
      </c>
      <c r="I7149" s="32" t="n">
        <f aca="false">(Sens!$H$7143+Sens!$I$7143)/2</f>
        <v>7268.6</v>
      </c>
      <c r="J7149" s="32" t="n">
        <f aca="false">(Sens!$I$7143+Sens!$J$7143)/2</f>
        <v>10902.9</v>
      </c>
      <c r="K7149" s="32" t="n">
        <f aca="false">(Sens!$J$7143+Sens!$K$7143)/2</f>
        <v>14005.4835833333</v>
      </c>
      <c r="L7149" s="32" t="n">
        <f aca="false">(Sens!$K$7143+Sens!$L$7143)/2</f>
        <v>16044.6343333333</v>
      </c>
      <c r="M7149" s="32" t="n">
        <f aca="false">(Sens!$L$7143+Sens!$M$7143)/2</f>
        <v>17020.35225</v>
      </c>
    </row>
    <row r="7150" customFormat="false" ht="17.15" hidden="false" customHeight="false" outlineLevel="0" collapsed="false">
      <c r="A7150" s="1" t="s">
        <v>615</v>
      </c>
    </row>
    <row r="7151" customFormat="false" ht="17.15" hidden="false" customHeight="false" outlineLevel="0" collapsed="false">
      <c r="A7151" s="1" t="s">
        <v>616</v>
      </c>
      <c r="B7151" s="8" t="s">
        <v>86</v>
      </c>
      <c r="C7151" s="38" t="n">
        <f aca="false">Sens!$C$7134*rpm_open*Sens!$C$7135/1000</f>
        <v>2.32100535697364</v>
      </c>
      <c r="D7151" s="38" t="n">
        <f aca="false">Sens!$D$7134*rpm_open*Sens!$D$7135/1000</f>
        <v>8.70377008865116</v>
      </c>
      <c r="E7151" s="38" t="n">
        <f aca="false">Sens!$E$7134*rpm_open*Sens!$E$7135/1000</f>
        <v>8.51035297557002</v>
      </c>
      <c r="F7151" s="38" t="n">
        <f aca="false">(mw_open*rpm_open+Sens!$F$7149*Sens!$F$7148)*Sens!$F$7135/1000</f>
        <v>14.9634336447205</v>
      </c>
      <c r="G7151" s="38" t="n">
        <f aca="false">Sens!$E$7151+Sens!$F$7151</f>
        <v>23.4737866202905</v>
      </c>
      <c r="H7151" s="38" t="n">
        <f aca="false">(mw_open*rpm_open+Sens!$H$7149*Sens!$H$7148)/1000</f>
        <v>60.1658907497746</v>
      </c>
      <c r="I7151" s="38" t="n">
        <f aca="false">(mw_open*rpm_open+Sens!$I$7149*Sens!$I$7148)/1000</f>
        <v>101.503699136432</v>
      </c>
      <c r="J7151" s="38" t="n">
        <f aca="false">(mw_open*rpm_open+Sens!$J$7149*Sens!$J$7148)/1000</f>
        <v>143.025407151278</v>
      </c>
      <c r="K7151" s="38" t="n">
        <f aca="false">(mw_open*rpm_open+Sens!$K$7149*Sens!$K$7148)/1000</f>
        <v>178.44812038318</v>
      </c>
      <c r="L7151" s="38" t="n">
        <f aca="false">(mw_open*rpm_open+Sens!$L$7149*Sens!$L$7148)/1000</f>
        <v>201.728101802396</v>
      </c>
      <c r="M7151" s="38" t="n">
        <f aca="false">(mw_open*rpm_open+Sens!$M$7149*Sens!$M$7148)/1000</f>
        <v>212.835441368865</v>
      </c>
      <c r="N7151" s="38" t="n">
        <f aca="false">Sens!$N$7134*rpm_open*Sens!$N$7135/1000</f>
        <v>3.04631953102791</v>
      </c>
      <c r="O7151" s="38" t="n">
        <f aca="false">Sens!$O$7134*rpm_open*Sens!$O$7135/1000</f>
        <v>5.65745055762326</v>
      </c>
      <c r="P7151" s="5" t="s">
        <v>617</v>
      </c>
    </row>
    <row r="7152" customFormat="false" ht="17.15" hidden="false" customHeight="false" outlineLevel="0" collapsed="false">
      <c r="A7152" s="5" t="s">
        <v>618</v>
      </c>
      <c r="B7152" s="0" t="s">
        <v>173</v>
      </c>
      <c r="C7152" s="36" t="n">
        <f aca="false">Sens!$C$7151*1000/(Sens!$C$7134*Sens!$C$7135)</f>
        <v>9.67085565405685</v>
      </c>
      <c r="D7152" s="36" t="n">
        <f aca="false">Sens!$D$7151*1000/(Sens!$D$7134*Sens!$D$7135)</f>
        <v>9.67085565405685</v>
      </c>
      <c r="E7152" s="36" t="n">
        <f aca="false">Sens!$E$7151*1000/(Sens!$E$7134*Sens!$E$7135)</f>
        <v>9.67085565405685</v>
      </c>
      <c r="F7152" s="36" t="n">
        <f aca="false">Sens!$F$7151*1000/(Sens!$F$7134*Sens!$F$7135)</f>
        <v>10.0137581588017</v>
      </c>
      <c r="G7152" s="36" t="n">
        <f aca="false">Sens!$G$7151*1000/(Sens!$G$7134*Sens!$G$7135)</f>
        <v>9.88666562928478</v>
      </c>
      <c r="H7152" s="36" t="n">
        <f aca="false">Sens!$H$7151*1000/(Sens!$H$7134*Sens!$H$7135)</f>
        <v>10.5290045586992</v>
      </c>
      <c r="I7152" s="36" t="n">
        <f aca="false">Sens!$I$7151*1000/(Sens!$I$7134*Sens!$I$7135)</f>
        <v>10.8576363451674</v>
      </c>
      <c r="J7152" s="36" t="n">
        <f aca="false">Sens!$J$7151*1000/(Sens!$J$7134*Sens!$J$7135)</f>
        <v>11.0164452588619</v>
      </c>
      <c r="K7152" s="36" t="n">
        <f aca="false">Sens!$K$7151*1000/(Sens!$K$7134*Sens!$K$7135)</f>
        <v>11.0937367508227</v>
      </c>
      <c r="L7152" s="36" t="n">
        <f aca="false">Sens!$L$7151*1000/(Sens!$L$7134*Sens!$L$7135)</f>
        <v>11.1300508519168</v>
      </c>
      <c r="M7152" s="36" t="n">
        <f aca="false">Sens!$M$7151*1000/(Sens!$M$7134*Sens!$M$7135)</f>
        <v>11.1430113216297</v>
      </c>
      <c r="N7152" s="36" t="n">
        <f aca="false">Sens!$N$7151*1000/(Sens!$N$7134*Sens!$N$7135)</f>
        <v>9.67085565405685</v>
      </c>
      <c r="O7152" s="36" t="n">
        <f aca="false">Sens!$O$7151*1000/(Sens!$O$7134*Sens!$O$7135)</f>
        <v>9.67085565405685</v>
      </c>
    </row>
    <row r="7153" customFormat="false" ht="17.15" hidden="false" customHeight="false" outlineLevel="0" collapsed="false">
      <c r="A7153" s="0" t="s">
        <v>619</v>
      </c>
      <c r="B7153" s="0" t="s">
        <v>86</v>
      </c>
      <c r="C7153" s="38" t="n">
        <f aca="false">Sens!$C$7134/ext_sh*(ox_open+rent_mw)*Sens!$C$7135/1000</f>
        <v>0.642569210675032</v>
      </c>
      <c r="D7153" s="38" t="n">
        <f aca="false">Sens!$D$7134/ext_sh*(ox_open+rent_mw)*Sens!$D$7135/1000</f>
        <v>2.40963454003137</v>
      </c>
      <c r="E7153" s="38" t="n">
        <f aca="false">Sens!$E$7134/ext_sh*(ox_open+rent_mw)*Sens!$E$7135/1000</f>
        <v>2.35608710580845</v>
      </c>
      <c r="F7153" s="38" t="n">
        <f aca="false">((mw_open*ox_open+Sens!$F$7149*Sens!$F$7147)/ext_sh+Sens!$F$7134/ext_sh*rent_mw)*Sens!$F$7135/1000</f>
        <v>4.05421991106232</v>
      </c>
      <c r="G7153" s="38" t="n">
        <f aca="false">Sens!$E$7153+Sens!$F$7153</f>
        <v>6.41030701687077</v>
      </c>
      <c r="H7153" s="38" t="n">
        <f aca="false">((mw_open*ox_open+Sens!$H$7149*Sens!$H$7147)/ext_sh+Sens!$H$7134/ext_sh*rent_mw)*Sens!$H$7135/1000</f>
        <v>15.8108975546616</v>
      </c>
      <c r="I7153" s="38" t="n">
        <f aca="false">((mw_open*ox_open+Sens!$I$7149*Sens!$I$7147)/ext_sh+Sens!$I$7134/ext_sh*rent_mw)*Sens!$I$7135/1000</f>
        <v>26.1871623400817</v>
      </c>
      <c r="J7153" s="38" t="n">
        <f aca="false">((mw_open*ox_open+Sens!$J$7149*Sens!$J$7147)/ext_sh+Sens!$J$7134/ext_sh*rent_mw)*Sens!$J$7135/1000</f>
        <v>36.5826128954935</v>
      </c>
      <c r="K7153" s="38" t="n">
        <f aca="false">((mw_open*ox_open+Sens!$K$7149*Sens!$K$7147)/ext_sh+Sens!$K$7134/ext_sh*rent_mw)*Sens!$K$7135/1000</f>
        <v>45.4546361137628</v>
      </c>
      <c r="L7153" s="38" t="n">
        <f aca="false">((mw_open*ox_open+Sens!$L$7149*Sens!$L$7147)/ext_sh+Sens!$L$7134/ext_sh*rent_mw)*Sens!$L$7135/1000</f>
        <v>51.2855695554452</v>
      </c>
      <c r="M7153" s="38" t="n">
        <f aca="false">((mw_open*ox_open+Sens!$M$7149*Sens!$M$7147)/ext_sh+Sens!$M$7134/ext_sh*rent_mw)*Sens!$M$7135/1000</f>
        <v>54.0722927838398</v>
      </c>
      <c r="N7153" s="38" t="n">
        <f aca="false">Sens!$N$7134/ext_sh*(ox_open+rent_mw)*Sens!$N$7135/1000</f>
        <v>0.84337208901098</v>
      </c>
      <c r="O7153" s="38" t="n">
        <f aca="false">Sens!$O$7134/ext_sh*(ox_open+rent_mw)*Sens!$O$7135/1000</f>
        <v>1.56626245102039</v>
      </c>
    </row>
    <row r="7154" customFormat="false" ht="17.15" hidden="false" customHeight="false" outlineLevel="0" collapsed="false">
      <c r="A7154" s="0" t="s">
        <v>620</v>
      </c>
      <c r="B7154" s="0" t="s">
        <v>86</v>
      </c>
      <c r="C7154" s="38" t="n">
        <f aca="false">Q!$D$7</f>
        <v>107.556</v>
      </c>
      <c r="D7154" s="38" t="n">
        <f aca="false">Q!$E$7</f>
        <v>128.725</v>
      </c>
      <c r="E7154" s="38" t="n">
        <f aca="false">Q!$P$7</f>
        <v>79.819</v>
      </c>
      <c r="N7154" s="38" t="n">
        <f aca="false">Q!$N$7</f>
        <v>60.14</v>
      </c>
      <c r="O7154" s="38" t="n">
        <f aca="false">Q!$O$7</f>
        <v>68.585</v>
      </c>
    </row>
    <row r="7155" customFormat="false" ht="17.15" hidden="false" customHeight="false" outlineLevel="0" collapsed="false">
      <c r="A7155" s="1" t="s">
        <v>621</v>
      </c>
      <c r="B7155" s="8" t="s">
        <v>86</v>
      </c>
      <c r="C7155" s="38" t="n">
        <f aca="false">Sens!$C$7154-Sens!$C$7151</f>
        <v>105.234994643026</v>
      </c>
      <c r="D7155" s="38" t="n">
        <f aca="false">Sens!$D$7154-Sens!$D$7151</f>
        <v>120.021229911349</v>
      </c>
      <c r="E7155" s="38" t="n">
        <f aca="false">Sens!$E$7154-Sens!$E$7151</f>
        <v>71.30864702443</v>
      </c>
      <c r="F7155" s="38" t="n">
        <f aca="false">Sens!$O$7155*(1+Sens!$F$7156)</f>
        <v>71.7692997942464</v>
      </c>
      <c r="G7155" s="38" t="n">
        <f aca="false">Sens!$E$7155+Sens!$F$7155</f>
        <v>143.077946818676</v>
      </c>
      <c r="H7155" s="38" t="n">
        <f aca="false">Sens!$G$7155*(1+Sens!$H$7156)</f>
        <v>161.017077079203</v>
      </c>
      <c r="I7155" s="38" t="n">
        <f aca="false">Sens!$H$7155*(1+Sens!$I$7156)</f>
        <v>178.769759521457</v>
      </c>
      <c r="J7155" s="38" t="n">
        <f aca="false">Sens!$I$7155*(1+Sens!$J$7156)</f>
        <v>195.775538045907</v>
      </c>
      <c r="K7155" s="38" t="n">
        <f aca="false">Sens!$J$7155*(1+Sens!$K$7156)</f>
        <v>211.43758108958</v>
      </c>
      <c r="L7155" s="38" t="n">
        <f aca="false">Sens!$K$7155*(1+Sens!$L$7156)</f>
        <v>228.352587576746</v>
      </c>
      <c r="M7155" s="38" t="n">
        <f aca="false">Sens!$L$7155*(1+Sens!$M$7156)</f>
        <v>246.620794582886</v>
      </c>
      <c r="N7155" s="38" t="n">
        <f aca="false">Sens!$N$7154-Sens!$N$7151</f>
        <v>57.0936804689721</v>
      </c>
      <c r="O7155" s="38" t="n">
        <f aca="false">Sens!$O$7154-Sens!$O$7151</f>
        <v>62.9275494423768</v>
      </c>
      <c r="P7155" s="5" t="s">
        <v>622</v>
      </c>
    </row>
    <row r="7156" customFormat="false" ht="17.15" hidden="false" customHeight="false" outlineLevel="0" collapsed="false">
      <c r="A7156" s="0" t="s">
        <v>623</v>
      </c>
      <c r="B7156" s="0" t="s">
        <v>52</v>
      </c>
      <c r="D7156" s="13" t="n">
        <f aca="false">Sens!$D$7155/Sens!$C$7155-1</f>
        <v>0.140506827776062</v>
      </c>
      <c r="E7156" s="13" t="n">
        <f aca="false">Sens!$E$7155/Sens!$N$7155-1</f>
        <v>0.248976181579029</v>
      </c>
      <c r="F7156" s="13" t="n">
        <f aca="false">Sens!$D$7156</f>
        <v>0.140506827776062</v>
      </c>
      <c r="G7156" s="13" t="n">
        <f aca="false">Sens!$G$7155/Sens!$D$7155-1</f>
        <v>0.19210532106993</v>
      </c>
      <c r="H7156" s="13" t="n">
        <f aca="false">Sens!$F$7156+(g_awso_lt-Sens!$F$7156)*1/4</f>
        <v>0.125380120832046</v>
      </c>
      <c r="I7156" s="13" t="n">
        <f aca="false">Sens!$F$7156+(g_awso_lt-Sens!$F$7156)*2/4</f>
        <v>0.110253413888031</v>
      </c>
      <c r="J7156" s="13" t="n">
        <f aca="false">Sens!$F$7156+(g_awso_lt-Sens!$F$7156)*3/4</f>
        <v>0.0951267069440154</v>
      </c>
      <c r="K7156" s="13" t="n">
        <f aca="false">Sens!$F$7156+(g_awso_lt-Sens!$F$7156)*4/4</f>
        <v>0.08</v>
      </c>
      <c r="L7156" s="13" t="n">
        <f aca="false">g_awso_lt</f>
        <v>0.08</v>
      </c>
      <c r="M7156" s="13" t="n">
        <f aca="false">g_awso_lt</f>
        <v>0.08</v>
      </c>
      <c r="P7156" s="5" t="s">
        <v>624</v>
      </c>
    </row>
    <row r="7157" customFormat="false" ht="17.15" hidden="false" customHeight="false" outlineLevel="0" collapsed="false">
      <c r="A7157" s="1" t="s">
        <v>625</v>
      </c>
    </row>
    <row r="7158" customFormat="false" ht="17.15" hidden="false" customHeight="false" outlineLevel="0" collapsed="false">
      <c r="A7158" s="0" t="s">
        <v>626</v>
      </c>
      <c r="B7158" s="0" t="s">
        <v>86</v>
      </c>
      <c r="F7158" s="38" t="n">
        <f aca="false">cx_rt*Sens!$F$7123+cx_awso*Sens!$F$7155</f>
        <v>34.9734495387866</v>
      </c>
    </row>
    <row r="7159" customFormat="false" ht="17.15" hidden="false" customHeight="false" outlineLevel="0" collapsed="false">
      <c r="A7159" s="0" t="s">
        <v>627</v>
      </c>
      <c r="B7159" s="0" t="s">
        <v>52</v>
      </c>
      <c r="C7159" s="13" t="n">
        <f aca="false">tk_cx_h100/(tk_cx_h100+tk_fac*(1-colo_sh))</f>
        <v>0.730756458006641</v>
      </c>
      <c r="D7159" s="13" t="n">
        <f aca="false">tk_cx_h100/(tk_cx_h100+tk_fac*(1-colo_sh))</f>
        <v>0.730756458006641</v>
      </c>
      <c r="E7159" s="13" t="n">
        <f aca="false">Sens!$F$7159</f>
        <v>0.760792334328868</v>
      </c>
      <c r="F7159" s="13" t="n">
        <f aca="false">Sens!$F$7142/(Sens!$F$7142+tk_fac*(1-colo_sh))</f>
        <v>0.760792334328868</v>
      </c>
      <c r="G7159" s="13" t="n">
        <f aca="false">Sens!$G$7142/(Sens!$G$7142+tk_fac*(1-colo_sh))</f>
        <v>0.760792334328868</v>
      </c>
      <c r="H7159" s="13" t="n">
        <f aca="false">Sens!$H$7142/(Sens!$H$7142+tk_fac*(1-colo_sh))</f>
        <v>0.768110668862996</v>
      </c>
      <c r="I7159" s="13" t="n">
        <f aca="false">Sens!$I$7142/(Sens!$I$7142+tk_fac*(1-colo_sh))</f>
        <v>0.77499450139483</v>
      </c>
      <c r="J7159" s="13" t="n">
        <f aca="false">Sens!$J$7142/(Sens!$J$7142+tk_fac*(1-colo_sh))</f>
        <v>0.77499450139483</v>
      </c>
      <c r="K7159" s="13" t="n">
        <f aca="false">Sens!$K$7142/(Sens!$K$7142+tk_fac*(1-colo_sh))</f>
        <v>0.77499450139483</v>
      </c>
      <c r="L7159" s="13" t="n">
        <f aca="false">Sens!$L$7142/(Sens!$L$7142+tk_fac*(1-colo_sh))</f>
        <v>0.77499450139483</v>
      </c>
      <c r="M7159" s="13" t="n">
        <f aca="false">Sens!$M$7142/(Sens!$M$7142+tk_fac*(1-colo_sh))</f>
        <v>0.77499450139483</v>
      </c>
    </row>
    <row r="7160" customFormat="false" ht="17.15" hidden="false" customHeight="false" outlineLevel="0" collapsed="false">
      <c r="A7160" s="1" t="s">
        <v>628</v>
      </c>
      <c r="B7160" s="8" t="s">
        <v>86</v>
      </c>
      <c r="C7160" s="38" t="n">
        <f aca="false">Q!$D$46-cx_rt*Q!$D$16-cx_awso*Sens!$C$7155</f>
        <v>25.2781053077374</v>
      </c>
      <c r="D7160" s="38" t="n">
        <f aca="false">Q!$E$46-cx_rt*Q!$E$16-cx_awso*Sens!$D$7155</f>
        <v>69.5686316310026</v>
      </c>
      <c r="E7160" s="38" t="n">
        <f aca="false">Q!$P$46-cx_rt*Q!$P$16-cx_awso*Sens!$E$7155</f>
        <v>64.1899206485108</v>
      </c>
      <c r="F7160" s="38" t="n">
        <f aca="false">MAX(Sens!$F$7137*(Sens!$F$7142+tk_fac*(1-colo_sh))/1000,capex_g26-Q!$P$46-Sens!$F$7158)</f>
        <v>96.2481299895</v>
      </c>
      <c r="G7160" s="38" t="n">
        <f aca="false">Sens!$E$7160+Sens!$F$7160</f>
        <v>160.438050638011</v>
      </c>
      <c r="H7160" s="38" t="n">
        <f aca="false">Sens!$H$7137*(Sens!$H$7142+tk_fac*(1-colo_sh))/1000+Sens!$H$7161</f>
        <v>198.57136494475</v>
      </c>
      <c r="I7160" s="38" t="n">
        <f aca="false">Sens!$I$7137*(Sens!$I$7142+tk_fac*(1-colo_sh))/1000+Sens!$I$7161</f>
        <v>204.6464699105</v>
      </c>
      <c r="J7160" s="38" t="n">
        <f aca="false">Sens!$J$7137*(Sens!$J$7142+tk_fac*(1-colo_sh))/1000+Sens!$J$7161</f>
        <v>209.8832381105</v>
      </c>
      <c r="K7160" s="38" t="n">
        <f aca="false">Sens!$K$7137*(Sens!$K$7142+tk_fac*(1-colo_sh))/1000+Sens!$K$7161</f>
        <v>155.238385275201</v>
      </c>
      <c r="L7160" s="38" t="n">
        <f aca="false">Sens!$L$7137*(Sens!$L$7142+tk_fac*(1-colo_sh))/1000+Sens!$L$7161</f>
        <v>132.014141639902</v>
      </c>
      <c r="M7160" s="38" t="n">
        <f aca="false">Sens!$M$7137*(Sens!$M$7142+tk_fac*(1-colo_sh))/1000+Sens!$M$7161</f>
        <v>132.230981659852</v>
      </c>
      <c r="P7160" s="5" t="s">
        <v>629</v>
      </c>
      <c r="R7160" s="38" t="n">
        <f aca="false">Q!$C$46-cx_rt*Q!$C$16-cx_awso*(Q!$C$7-mw_ye23/2*rpm_open/1000)</f>
        <v>1.50429979529945</v>
      </c>
      <c r="S7160" s="38" t="n">
        <f aca="false">Sens!$C$7160</f>
        <v>25.2781053077374</v>
      </c>
      <c r="T7160" s="38" t="n">
        <f aca="false">Sens!$D$7160</f>
        <v>69.5686316310026</v>
      </c>
      <c r="U7160" s="38" t="n">
        <f aca="false">Sens!$G$7160</f>
        <v>160.438050638011</v>
      </c>
      <c r="V7160" s="38" t="n">
        <f aca="false">Sens!$H$7160</f>
        <v>198.57136494475</v>
      </c>
      <c r="W7160" s="38" t="n">
        <f aca="false">Sens!$I$7160</f>
        <v>204.6464699105</v>
      </c>
      <c r="X7160" s="38" t="n">
        <f aca="false">Sens!$J$7160</f>
        <v>209.8832381105</v>
      </c>
      <c r="Y7160" s="38" t="n">
        <f aca="false">Sens!$K$7160</f>
        <v>155.238385275201</v>
      </c>
      <c r="Z7160" s="38" t="n">
        <f aca="false">Sens!$L$7160</f>
        <v>132.014141639902</v>
      </c>
      <c r="AA7160" s="38" t="n">
        <f aca="false">Sens!$M$7160</f>
        <v>132.230981659852</v>
      </c>
    </row>
    <row r="7161" customFormat="false" ht="17.15" hidden="false" customHeight="false" outlineLevel="0" collapsed="false">
      <c r="A7161" s="0" t="s">
        <v>630</v>
      </c>
      <c r="B7161" s="0" t="s">
        <v>86</v>
      </c>
      <c r="H7161" s="38" t="n">
        <f aca="false">SUMPRODUCT(--(Sens!$R$7130:$AA$7130=2027-tk_life),Sens!$R$7137:$AA$7137)*Sens!$H$7142/1000</f>
        <v>0</v>
      </c>
      <c r="I7161" s="38" t="n">
        <f aca="false">SUMPRODUCT(--(Sens!$R$7130:$AA$7130=2028-tk_life),Sens!$R$7137:$AA$7137)*Sens!$I$7142/1000</f>
        <v>0</v>
      </c>
      <c r="J7161" s="38" t="n">
        <f aca="false">SUMPRODUCT(--(Sens!$R$7130:$AA$7130=2029-tk_life),Sens!$R$7137:$AA$7137)*Sens!$J$7142/1000</f>
        <v>5.2367682</v>
      </c>
      <c r="K7161" s="38" t="n">
        <f aca="false">SUMPRODUCT(--(Sens!$R$7130:$AA$7130=2030-tk_life),Sens!$R$7137:$AA$7137)*Sens!$K$7142/1000</f>
        <v>10.4735364</v>
      </c>
      <c r="L7161" s="38" t="n">
        <f aca="false">SUMPRODUCT(--(Sens!$R$7130:$AA$7130=2031-tk_life),Sens!$R$7137:$AA$7137)*Sens!$L$7142/1000</f>
        <v>47.1309138</v>
      </c>
      <c r="M7161" s="38" t="n">
        <f aca="false">SUMPRODUCT(--(Sens!$R$7130:$AA$7130=2032-tk_life),Sens!$R$7137:$AA$7137)*Sens!$M$7142/1000</f>
        <v>107.22937485525</v>
      </c>
    </row>
    <row r="7162" customFormat="false" ht="17.15" hidden="false" customHeight="false" outlineLevel="0" collapsed="false">
      <c r="A7162" s="0" t="s">
        <v>631</v>
      </c>
      <c r="B7162" s="0" t="s">
        <v>86</v>
      </c>
      <c r="C7162" s="38" t="n">
        <f aca="false">MIN(Sens!$C$7160,Sens!$C$7137*(tk_cx_h100+tk_fac*(1-colo_sh))/1000)</f>
        <v>11.2938642</v>
      </c>
      <c r="D7162" s="38" t="n">
        <f aca="false">MIN(Sens!$D$7160,Sens!$D$7137*(tk_cx_h100+tk_fac*(1-colo_sh))/1000)</f>
        <v>50.8223889</v>
      </c>
      <c r="E7162" s="38" t="n">
        <f aca="false">MIN(Sens!$E$7160,Sens!$E$7137*(Sens!$F$7142+tk_fac*(1-colo_sh))/1000)</f>
        <v>33.8985792</v>
      </c>
      <c r="F7162" s="38" t="n">
        <f aca="false">Sens!$F$7160</f>
        <v>96.2481299895</v>
      </c>
      <c r="G7162" s="38" t="n">
        <f aca="false">Sens!$E$7162+Sens!$F$7162</f>
        <v>130.1467091895</v>
      </c>
      <c r="H7162" s="38" t="n">
        <f aca="false">Sens!$H$7160</f>
        <v>198.57136494475</v>
      </c>
      <c r="I7162" s="38" t="n">
        <f aca="false">Sens!$I$7160</f>
        <v>204.6464699105</v>
      </c>
      <c r="J7162" s="38" t="n">
        <f aca="false">Sens!$J$7160</f>
        <v>209.8832381105</v>
      </c>
      <c r="K7162" s="38" t="n">
        <f aca="false">Sens!$K$7160</f>
        <v>155.238385275201</v>
      </c>
      <c r="L7162" s="38" t="n">
        <f aca="false">Sens!$L$7160</f>
        <v>132.014141639902</v>
      </c>
      <c r="M7162" s="38" t="n">
        <f aca="false">Sens!$M$7160</f>
        <v>132.230981659852</v>
      </c>
      <c r="P7162" s="5" t="s">
        <v>632</v>
      </c>
      <c r="R7162" s="38" t="n">
        <f aca="false">MIN(Sens!$R$7160,Sens!$R$7137*(tk_cx_h100+tk_fac*(1-colo_sh))/1000)</f>
        <v>1.50429979529945</v>
      </c>
      <c r="S7162" s="38" t="n">
        <f aca="false">Sens!$C$7162</f>
        <v>11.2938642</v>
      </c>
      <c r="T7162" s="38" t="n">
        <f aca="false">Sens!$D$7162</f>
        <v>50.8223889</v>
      </c>
      <c r="U7162" s="38" t="n">
        <f aca="false">Sens!$G$7162</f>
        <v>130.1467091895</v>
      </c>
      <c r="V7162" s="38" t="n">
        <f aca="false">Sens!$H$7162</f>
        <v>198.57136494475</v>
      </c>
      <c r="W7162" s="38" t="n">
        <f aca="false">Sens!$I$7162</f>
        <v>204.6464699105</v>
      </c>
      <c r="X7162" s="38" t="n">
        <f aca="false">Sens!$J$7162</f>
        <v>209.8832381105</v>
      </c>
      <c r="Y7162" s="38" t="n">
        <f aca="false">Sens!$K$7162</f>
        <v>155.238385275201</v>
      </c>
      <c r="Z7162" s="38" t="n">
        <f aca="false">Sens!$L$7162</f>
        <v>132.014141639902</v>
      </c>
      <c r="AA7162" s="38" t="n">
        <f aca="false">Sens!$M$7162</f>
        <v>132.230981659852</v>
      </c>
    </row>
    <row r="7163" customFormat="false" ht="17.15" hidden="false" customHeight="false" outlineLevel="0" collapsed="false">
      <c r="A7163" s="5" t="s">
        <v>633</v>
      </c>
      <c r="B7163" s="0" t="s">
        <v>86</v>
      </c>
      <c r="C7163" s="38" t="n">
        <f aca="false">Sens!$C$7160-Sens!$C$7162</f>
        <v>13.9842411077374</v>
      </c>
      <c r="D7163" s="38" t="n">
        <f aca="false">Sens!$D$7160-Sens!$D$7162</f>
        <v>18.7462427310026</v>
      </c>
      <c r="E7163" s="38" t="n">
        <f aca="false">Sens!$E$7160-Sens!$E$7162</f>
        <v>30.2913414485108</v>
      </c>
      <c r="F7163" s="38" t="n">
        <f aca="false">Sens!$F$7160-Sens!$F$7162</f>
        <v>0</v>
      </c>
      <c r="G7163" s="38" t="n">
        <f aca="false">Sens!$G$7160-Sens!$G$7162</f>
        <v>30.2913414485108</v>
      </c>
      <c r="H7163" s="38" t="n">
        <f aca="false">Sens!$H$7160-Sens!$H$7162</f>
        <v>0</v>
      </c>
      <c r="I7163" s="38" t="n">
        <f aca="false">Sens!$I$7160-Sens!$I$7162</f>
        <v>0</v>
      </c>
      <c r="J7163" s="38" t="n">
        <f aca="false">Sens!$J$7160-Sens!$J$7162</f>
        <v>0</v>
      </c>
      <c r="K7163" s="38" t="n">
        <f aca="false">Sens!$K$7160-Sens!$K$7162</f>
        <v>0</v>
      </c>
      <c r="L7163" s="38" t="n">
        <f aca="false">Sens!$L$7160-Sens!$L$7162</f>
        <v>0</v>
      </c>
      <c r="M7163" s="38" t="n">
        <f aca="false">Sens!$M$7160-Sens!$M$7162</f>
        <v>0</v>
      </c>
    </row>
    <row r="7164" customFormat="false" ht="17.15" hidden="false" customHeight="false" outlineLevel="0" collapsed="false">
      <c r="A7164" s="5" t="s">
        <v>634</v>
      </c>
      <c r="B7164" s="0" t="s">
        <v>86</v>
      </c>
      <c r="C7164" s="38" t="n">
        <f aca="false">Sens!$C$7162*Sens!$C$7159</f>
        <v>8.2530642</v>
      </c>
      <c r="D7164" s="38" t="n">
        <f aca="false">Sens!$D$7162*Sens!$D$7159</f>
        <v>37.1387889</v>
      </c>
      <c r="E7164" s="38" t="n">
        <f aca="false">Sens!$E$7162*Sens!$E$7159</f>
        <v>25.7897792</v>
      </c>
      <c r="F7164" s="38" t="n">
        <f aca="false">Sens!$F$7162*Sens!$F$7159</f>
        <v>73.2248394895</v>
      </c>
      <c r="G7164" s="38" t="n">
        <f aca="false">Sens!$E$7164+Sens!$F$7164</f>
        <v>99.0146186895</v>
      </c>
      <c r="H7164" s="38" t="n">
        <f aca="false">(Sens!$H$7162-Sens!$H$7161)*Sens!$H$7159+Sens!$H$7161</f>
        <v>152.52478394475</v>
      </c>
      <c r="I7164" s="38" t="n">
        <f aca="false">(Sens!$I$7162-Sens!$I$7161)*Sens!$I$7159+Sens!$I$7161</f>
        <v>158.5998889105</v>
      </c>
      <c r="J7164" s="38" t="n">
        <f aca="false">(Sens!$J$7162-Sens!$J$7161)*Sens!$J$7159+Sens!$J$7161</f>
        <v>163.8366571105</v>
      </c>
      <c r="K7164" s="38" t="n">
        <f aca="false">(Sens!$K$7162-Sens!$K$7161)*Sens!$K$7159+Sens!$K$7161</f>
        <v>122.665498273534</v>
      </c>
      <c r="L7164" s="38" t="n">
        <f aca="false">(Sens!$L$7162-Sens!$L$7161)*Sens!$L$7159+Sens!$L$7161</f>
        <v>112.914948636568</v>
      </c>
      <c r="M7164" s="38" t="n">
        <f aca="false">(Sens!$M$7162-Sens!$M$7161)*Sens!$M$7159+Sens!$M$7161</f>
        <v>126.605482654852</v>
      </c>
      <c r="R7164" s="38" t="n">
        <f aca="false">Sens!$R$7162*Sens!$C$7159</f>
        <v>1.09927679019314</v>
      </c>
      <c r="S7164" s="38" t="n">
        <f aca="false">Sens!$C$7164</f>
        <v>8.2530642</v>
      </c>
      <c r="T7164" s="38" t="n">
        <f aca="false">Sens!$D$7164</f>
        <v>37.1387889</v>
      </c>
      <c r="U7164" s="38" t="n">
        <f aca="false">Sens!$G$7164</f>
        <v>99.0146186895</v>
      </c>
      <c r="V7164" s="38" t="n">
        <f aca="false">Sens!$H$7164</f>
        <v>152.52478394475</v>
      </c>
      <c r="W7164" s="38" t="n">
        <f aca="false">Sens!$I$7164</f>
        <v>158.5998889105</v>
      </c>
      <c r="X7164" s="38" t="n">
        <f aca="false">Sens!$J$7164</f>
        <v>163.8366571105</v>
      </c>
      <c r="Y7164" s="38" t="n">
        <f aca="false">Sens!$K$7164</f>
        <v>122.665498273534</v>
      </c>
      <c r="Z7164" s="38" t="n">
        <f aca="false">Sens!$L$7164</f>
        <v>112.914948636568</v>
      </c>
      <c r="AA7164" s="38" t="n">
        <f aca="false">Sens!$M$7164</f>
        <v>126.605482654852</v>
      </c>
    </row>
    <row r="7165" customFormat="false" ht="15" hidden="false" customHeight="false" outlineLevel="0" collapsed="false">
      <c r="A7165" s="5" t="s">
        <v>635</v>
      </c>
      <c r="B7165" s="0" t="s">
        <v>86</v>
      </c>
      <c r="C7165" s="38" t="n">
        <f aca="false">Sens!$C$7162-Sens!$C$7164</f>
        <v>3.0408</v>
      </c>
      <c r="D7165" s="38" t="n">
        <f aca="false">Sens!$D$7162-Sens!$D$7164</f>
        <v>13.6836</v>
      </c>
      <c r="E7165" s="38" t="n">
        <f aca="false">Sens!$E$7162-Sens!$E$7164</f>
        <v>8.1088</v>
      </c>
      <c r="F7165" s="38" t="n">
        <f aca="false">Sens!$F$7162-Sens!$F$7164</f>
        <v>23.0232905</v>
      </c>
      <c r="G7165" s="38" t="n">
        <f aca="false">Sens!$G$7162-Sens!$G$7164</f>
        <v>31.1320905</v>
      </c>
      <c r="H7165" s="38" t="n">
        <f aca="false">Sens!$H$7162-Sens!$H$7164</f>
        <v>46.046581</v>
      </c>
      <c r="I7165" s="38" t="n">
        <f aca="false">Sens!$I$7162-Sens!$I$7164</f>
        <v>46.046581</v>
      </c>
      <c r="J7165" s="38" t="n">
        <f aca="false">Sens!$J$7162-Sens!$J$7164</f>
        <v>46.046581</v>
      </c>
      <c r="K7165" s="38" t="n">
        <f aca="false">Sens!$K$7162-Sens!$K$7164</f>
        <v>32.5728870016667</v>
      </c>
      <c r="L7165" s="38" t="n">
        <f aca="false">Sens!$L$7162-Sens!$L$7164</f>
        <v>19.0991930033334</v>
      </c>
      <c r="M7165" s="38" t="n">
        <f aca="false">Sens!$M$7162-Sens!$M$7164</f>
        <v>5.62549900499998</v>
      </c>
      <c r="R7165" s="38" t="n">
        <f aca="false">Sens!$R$7162-Sens!$R$7164</f>
        <v>0.405023005106309</v>
      </c>
      <c r="S7165" s="38" t="n">
        <f aca="false">Sens!$S$7162-Sens!$S$7164</f>
        <v>3.0408</v>
      </c>
      <c r="T7165" s="38" t="n">
        <f aca="false">Sens!$T$7162-Sens!$T$7164</f>
        <v>13.6836</v>
      </c>
      <c r="U7165" s="38" t="n">
        <f aca="false">Sens!$U$7162-Sens!$U$7164</f>
        <v>31.1320905</v>
      </c>
      <c r="V7165" s="38" t="n">
        <f aca="false">Sens!$V$7162-Sens!$V$7164</f>
        <v>46.046581</v>
      </c>
      <c r="W7165" s="38" t="n">
        <f aca="false">Sens!$W$7162-Sens!$W$7164</f>
        <v>46.046581</v>
      </c>
      <c r="X7165" s="38" t="n">
        <f aca="false">Sens!$X$7162-Sens!$X$7164</f>
        <v>46.046581</v>
      </c>
      <c r="Y7165" s="38" t="n">
        <f aca="false">Sens!$Y$7162-Sens!$Y$7164</f>
        <v>32.5728870016667</v>
      </c>
      <c r="Z7165" s="38" t="n">
        <f aca="false">Sens!$Z$7162-Sens!$Z$7164</f>
        <v>19.0991930033334</v>
      </c>
      <c r="AA7165" s="38" t="n">
        <f aca="false">Sens!$AA$7162-Sens!$AA$7164</f>
        <v>5.62549900499998</v>
      </c>
    </row>
    <row r="7166" customFormat="false" ht="17.15" hidden="false" customHeight="false" outlineLevel="0" collapsed="false">
      <c r="A7166" s="0" t="s">
        <v>636</v>
      </c>
      <c r="B7166" s="0" t="s">
        <v>52</v>
      </c>
      <c r="C7166" s="13" t="n">
        <f aca="false">Sens!$C$7160/Sens!$C$7282</f>
        <v>0.325505489553393</v>
      </c>
      <c r="D7166" s="13" t="n">
        <f aca="false">Sens!$D$7160/Sens!$D$7282</f>
        <v>0.54214956071542</v>
      </c>
      <c r="E7166" s="13" t="n">
        <f aca="false">Sens!$E$7160/Sens!$E$7282</f>
        <v>0.666492790452817</v>
      </c>
      <c r="F7166" s="13" t="n">
        <f aca="false">Sens!$F$7160/Sens!$F$7282</f>
        <v>0.733477910687338</v>
      </c>
      <c r="G7166" s="13" t="n">
        <f aca="false">Sens!$G$7160/Sens!$G$7282</f>
        <v>0.705124321514523</v>
      </c>
      <c r="H7166" s="13" t="n">
        <f aca="false">Sens!$H$7160/Sens!$H$7282</f>
        <v>0.726376041178204</v>
      </c>
      <c r="I7166" s="13" t="n">
        <f aca="false">Sens!$I$7160/Sens!$I$7282</f>
        <v>0.713099092661699</v>
      </c>
      <c r="J7166" s="13" t="n">
        <f aca="false">Sens!$J$7160/Sens!$J$7282</f>
        <v>0.701208348786245</v>
      </c>
      <c r="K7166" s="13" t="n">
        <f aca="false">Sens!$K$7160/Sens!$K$7282</f>
        <v>0.618338844562383</v>
      </c>
      <c r="L7166" s="13" t="n">
        <f aca="false">Sens!$L$7160/Sens!$L$7282</f>
        <v>0.562489158462506</v>
      </c>
      <c r="M7166" s="13" t="n">
        <f aca="false">Sens!$M$7160/Sens!$M$7282</f>
        <v>0.545751190895923</v>
      </c>
    </row>
    <row r="7167" customFormat="false" ht="17.15" hidden="false" customHeight="false" outlineLevel="0" collapsed="false">
      <c r="A7167" s="0" t="s">
        <v>637</v>
      </c>
      <c r="B7167" s="0" t="s">
        <v>86</v>
      </c>
      <c r="C7167" s="38" t="n">
        <f aca="false">Sens!$S$7167</f>
        <v>0.183212798365523</v>
      </c>
      <c r="D7167" s="38" t="n">
        <f aca="false">Sens!$T$7167</f>
        <v>1.55872349836552</v>
      </c>
      <c r="E7167" s="38" t="n">
        <f aca="false">Sens!$G$7167/2</f>
        <v>3.87426082418276</v>
      </c>
      <c r="F7167" s="38" t="n">
        <f aca="false">Sens!$G$7167/2</f>
        <v>3.87426082418276</v>
      </c>
      <c r="G7167" s="38" t="n">
        <f aca="false">Sens!$U$7167</f>
        <v>7.74852164836552</v>
      </c>
      <c r="H7167" s="38" t="n">
        <f aca="false">Sens!$V$7167</f>
        <v>24.2509580966155</v>
      </c>
      <c r="I7167" s="38" t="n">
        <f aca="false">Sens!$W$7167</f>
        <v>49.6717554207405</v>
      </c>
      <c r="J7167" s="38" t="n">
        <f aca="false">Sens!$X$7167</f>
        <v>76.1050702391572</v>
      </c>
      <c r="K7167" s="38" t="n">
        <f aca="false">Sens!$Y$7167</f>
        <v>103.227966959208</v>
      </c>
      <c r="L7167" s="38" t="n">
        <f aca="false">Sens!$Z$7167</f>
        <v>122.296705971464</v>
      </c>
      <c r="M7167" s="38" t="n">
        <f aca="false">Sens!$AA$7167</f>
        <v>134.926065927559</v>
      </c>
      <c r="N7167" s="38" t="n">
        <f aca="false">Sens!$D$7167/2</f>
        <v>0.779361749182762</v>
      </c>
      <c r="O7167" s="38" t="n">
        <f aca="false">Sens!$D$7167/2</f>
        <v>0.779361749182762</v>
      </c>
      <c r="R7167" s="38" t="n">
        <f aca="false">SUMPRODUCT(--(Sens!$R$7130:$AA$7130&lt;Sens!R$7130),--(Sens!$R$7130:$AA$7130&gt;=Sens!R$7130-tk_life),Sens!$R$7164:$AA$7164)/tk_life</f>
        <v>0</v>
      </c>
      <c r="S7167" s="38" t="n">
        <f aca="false">SUMPRODUCT(--(Sens!$R$7130:$AA$7130&lt;Sens!S$7130),--(Sens!$R$7130:$AA$7130&gt;=Sens!S$7130-tk_life),Sens!$R$7164:$AA$7164)/tk_life</f>
        <v>0.183212798365523</v>
      </c>
      <c r="T7167" s="38" t="n">
        <f aca="false">SUMPRODUCT(--(Sens!$R$7130:$AA$7130&lt;Sens!T$7130),--(Sens!$R$7130:$AA$7130&gt;=Sens!T$7130-tk_life),Sens!$R$7164:$AA$7164)/tk_life</f>
        <v>1.55872349836552</v>
      </c>
      <c r="U7167" s="38" t="n">
        <f aca="false">SUMPRODUCT(--(Sens!$R$7130:$AA$7130&lt;Sens!U$7130),--(Sens!$R$7130:$AA$7130&gt;=Sens!U$7130-tk_life),Sens!$R$7164:$AA$7164)/tk_life</f>
        <v>7.74852164836552</v>
      </c>
      <c r="V7167" s="38" t="n">
        <f aca="false">SUMPRODUCT(--(Sens!$R$7130:$AA$7130&lt;Sens!V$7130),--(Sens!$R$7130:$AA$7130&gt;=Sens!V$7130-tk_life),Sens!$R$7164:$AA$7164)/tk_life</f>
        <v>24.2509580966155</v>
      </c>
      <c r="W7167" s="38" t="n">
        <f aca="false">SUMPRODUCT(--(Sens!$R$7130:$AA$7130&lt;Sens!W$7130),--(Sens!$R$7130:$AA$7130&gt;=Sens!W$7130-tk_life),Sens!$R$7164:$AA$7164)/tk_life</f>
        <v>49.6717554207405</v>
      </c>
      <c r="X7167" s="38" t="n">
        <f aca="false">SUMPRODUCT(--(Sens!$R$7130:$AA$7130&lt;Sens!X$7130),--(Sens!$R$7130:$AA$7130&gt;=Sens!X$7130-tk_life),Sens!$R$7164:$AA$7164)/tk_life</f>
        <v>76.1050702391572</v>
      </c>
      <c r="Y7167" s="38" t="n">
        <f aca="false">SUMPRODUCT(--(Sens!$R$7130:$AA$7130&lt;Sens!Y$7130),--(Sens!$R$7130:$AA$7130&gt;=Sens!Y$7130-tk_life),Sens!$R$7164:$AA$7164)/tk_life</f>
        <v>103.227966959208</v>
      </c>
      <c r="Z7167" s="38" t="n">
        <f aca="false">SUMPRODUCT(--(Sens!$R$7130:$AA$7130&lt;Sens!Z$7130),--(Sens!$R$7130:$AA$7130&gt;=Sens!Z$7130-tk_life),Sens!$R$7164:$AA$7164)/tk_life</f>
        <v>122.296705971464</v>
      </c>
      <c r="AA7167" s="38" t="n">
        <f aca="false">SUMPRODUCT(--(Sens!$R$7130:$AA$7130&lt;Sens!AA$7130),--(Sens!$R$7130:$AA$7130&gt;=Sens!AA$7130-tk_life),Sens!$R$7164:$AA$7164)/tk_life</f>
        <v>134.926065927559</v>
      </c>
    </row>
    <row r="7168" customFormat="false" ht="17.15" hidden="false" customHeight="false" outlineLevel="0" collapsed="false">
      <c r="A7168" s="0" t="s">
        <v>638</v>
      </c>
      <c r="B7168" s="0" t="s">
        <v>86</v>
      </c>
      <c r="C7168" s="38" t="n">
        <f aca="false">Sens!$S$7168</f>
        <v>0.0202511502553155</v>
      </c>
      <c r="D7168" s="38" t="n">
        <f aca="false">Sens!$T$7168</f>
        <v>0.172291150255315</v>
      </c>
      <c r="E7168" s="38" t="n">
        <f aca="false">Sens!$G$7168/2</f>
        <v>0.428235575127658</v>
      </c>
      <c r="F7168" s="38" t="n">
        <f aca="false">Sens!$G$7168/2</f>
        <v>0.428235575127658</v>
      </c>
      <c r="G7168" s="38" t="n">
        <f aca="false">Sens!$U$7168</f>
        <v>0.856471150255315</v>
      </c>
      <c r="H7168" s="38" t="n">
        <f aca="false">Sens!$V$7168</f>
        <v>2.41307567525532</v>
      </c>
      <c r="I7168" s="38" t="n">
        <f aca="false">Sens!$W$7168</f>
        <v>4.71540472525532</v>
      </c>
      <c r="J7168" s="38" t="n">
        <f aca="false">Sens!$X$7168</f>
        <v>7.01773377525532</v>
      </c>
      <c r="K7168" s="38" t="n">
        <f aca="false">Sens!$Y$7168</f>
        <v>9.32006282525532</v>
      </c>
      <c r="L7168" s="38" t="n">
        <f aca="false">Sens!$Z$7168</f>
        <v>10.9487071753387</v>
      </c>
      <c r="M7168" s="38" t="n">
        <f aca="false">Sens!$AA$7168</f>
        <v>11.9036668255053</v>
      </c>
      <c r="N7168" s="38" t="n">
        <f aca="false">Sens!$D$7168/2</f>
        <v>0.0861455751276577</v>
      </c>
      <c r="O7168" s="38" t="n">
        <f aca="false">Sens!$D$7168/2</f>
        <v>0.0861455751276577</v>
      </c>
      <c r="R7168" s="38" t="n">
        <f aca="false">SUMPRODUCT(--(Sens!$R$7130:$AA$7130&lt;Sens!R$7130),Sens!$R$7165:$AA$7165)/fac_life</f>
        <v>0</v>
      </c>
      <c r="S7168" s="38" t="n">
        <f aca="false">SUMPRODUCT(--(Sens!$R$7130:$AA$7130&lt;Sens!S$7130),Sens!$R$7165:$AA$7165)/fac_life</f>
        <v>0.0202511502553155</v>
      </c>
      <c r="T7168" s="38" t="n">
        <f aca="false">SUMPRODUCT(--(Sens!$R$7130:$AA$7130&lt;Sens!T$7130),Sens!$R$7165:$AA$7165)/fac_life</f>
        <v>0.172291150255315</v>
      </c>
      <c r="U7168" s="38" t="n">
        <f aca="false">SUMPRODUCT(--(Sens!$R$7130:$AA$7130&lt;Sens!U$7130),Sens!$R$7165:$AA$7165)/fac_life</f>
        <v>0.856471150255315</v>
      </c>
      <c r="V7168" s="38" t="n">
        <f aca="false">SUMPRODUCT(--(Sens!$R$7130:$AA$7130&lt;Sens!V$7130),Sens!$R$7165:$AA$7165)/fac_life</f>
        <v>2.41307567525532</v>
      </c>
      <c r="W7168" s="38" t="n">
        <f aca="false">SUMPRODUCT(--(Sens!$R$7130:$AA$7130&lt;Sens!W$7130),Sens!$R$7165:$AA$7165)/fac_life</f>
        <v>4.71540472525532</v>
      </c>
      <c r="X7168" s="38" t="n">
        <f aca="false">SUMPRODUCT(--(Sens!$R$7130:$AA$7130&lt;Sens!X$7130),Sens!$R$7165:$AA$7165)/fac_life</f>
        <v>7.01773377525532</v>
      </c>
      <c r="Y7168" s="38" t="n">
        <f aca="false">SUMPRODUCT(--(Sens!$R$7130:$AA$7130&lt;Sens!Y$7130),Sens!$R$7165:$AA$7165)/fac_life</f>
        <v>9.32006282525532</v>
      </c>
      <c r="Z7168" s="38" t="n">
        <f aca="false">SUMPRODUCT(--(Sens!$R$7130:$AA$7130&lt;Sens!Z$7130),Sens!$R$7165:$AA$7165)/fac_life</f>
        <v>10.9487071753387</v>
      </c>
      <c r="AA7168" s="38" t="n">
        <f aca="false">SUMPRODUCT(--(Sens!$R$7130:$AA$7130&lt;Sens!AA$7130),Sens!$R$7165:$AA$7165)/fac_life</f>
        <v>11.9036668255053</v>
      </c>
    </row>
    <row r="7169" customFormat="false" ht="17.15" hidden="false" customHeight="false" outlineLevel="0" collapsed="false">
      <c r="A7169" s="1" t="s">
        <v>639</v>
      </c>
      <c r="B7169" s="8" t="s">
        <v>86</v>
      </c>
      <c r="C7169" s="38" t="n">
        <f aca="false">Sens!$C$7167+Sens!$C$7168</f>
        <v>0.203463948620839</v>
      </c>
      <c r="D7169" s="38" t="n">
        <f aca="false">Sens!$D$7167+Sens!$D$7168</f>
        <v>1.73101464862084</v>
      </c>
      <c r="E7169" s="38" t="n">
        <f aca="false">Sens!$E$7167+Sens!$E$7168</f>
        <v>4.30249639931042</v>
      </c>
      <c r="F7169" s="38" t="n">
        <f aca="false">Sens!$F$7167+Sens!$F$7168</f>
        <v>4.30249639931042</v>
      </c>
      <c r="G7169" s="38" t="n">
        <f aca="false">Sens!$G$7167+Sens!$G$7168</f>
        <v>8.60499279862084</v>
      </c>
      <c r="H7169" s="38" t="n">
        <f aca="false">Sens!$H$7167+Sens!$H$7168</f>
        <v>26.6640337718708</v>
      </c>
      <c r="I7169" s="38" t="n">
        <f aca="false">Sens!$I$7167+Sens!$I$7168</f>
        <v>54.3871601459959</v>
      </c>
      <c r="J7169" s="38" t="n">
        <f aca="false">Sens!$J$7167+Sens!$J$7168</f>
        <v>83.1228040144125</v>
      </c>
      <c r="K7169" s="38" t="n">
        <f aca="false">Sens!$K$7167+Sens!$K$7168</f>
        <v>112.548029784464</v>
      </c>
      <c r="L7169" s="38" t="n">
        <f aca="false">Sens!$L$7167+Sens!$L$7168</f>
        <v>133.245413146803</v>
      </c>
      <c r="M7169" s="38" t="n">
        <f aca="false">Sens!$M$7167+Sens!$M$7168</f>
        <v>146.829732753064</v>
      </c>
      <c r="N7169" s="38" t="n">
        <f aca="false">Sens!$N$7167+Sens!$N$7168</f>
        <v>0.865507324310419</v>
      </c>
      <c r="O7169" s="38" t="n">
        <f aca="false">Sens!$O$7167+Sens!$O$7168</f>
        <v>0.865507324310419</v>
      </c>
      <c r="R7169" s="38" t="n">
        <f aca="false">Sens!$R$7167+Sens!$R$7168</f>
        <v>0</v>
      </c>
      <c r="S7169" s="38" t="n">
        <f aca="false">Sens!$S$7167+Sens!$S$7168</f>
        <v>0.203463948620839</v>
      </c>
      <c r="T7169" s="38" t="n">
        <f aca="false">Sens!$T$7167+Sens!$T$7168</f>
        <v>1.73101464862084</v>
      </c>
      <c r="U7169" s="38" t="n">
        <f aca="false">Sens!$U$7167+Sens!$U$7168</f>
        <v>8.60499279862084</v>
      </c>
      <c r="V7169" s="38" t="n">
        <f aca="false">Sens!$V$7167+Sens!$V$7168</f>
        <v>26.6640337718708</v>
      </c>
      <c r="W7169" s="38" t="n">
        <f aca="false">Sens!$W$7167+Sens!$W$7168</f>
        <v>54.3871601459959</v>
      </c>
      <c r="X7169" s="38" t="n">
        <f aca="false">Sens!$X$7167+Sens!$X$7168</f>
        <v>83.1228040144125</v>
      </c>
      <c r="Y7169" s="38" t="n">
        <f aca="false">Sens!$Y$7167+Sens!$Y$7168</f>
        <v>112.548029784464</v>
      </c>
      <c r="Z7169" s="38" t="n">
        <f aca="false">Sens!$Z$7167+Sens!$Z$7168</f>
        <v>133.245413146803</v>
      </c>
      <c r="AA7169" s="38" t="n">
        <f aca="false">Sens!$AA$7167+Sens!$AA$7168</f>
        <v>146.829732753064</v>
      </c>
    </row>
    <row r="7170" customFormat="false" ht="17.15" hidden="false" customHeight="false" outlineLevel="0" collapsed="false">
      <c r="A7170" s="0" t="s">
        <v>640</v>
      </c>
      <c r="B7170" s="0" t="s">
        <v>86</v>
      </c>
      <c r="C7170" s="38" t="n">
        <f aca="false">Sens!$S$7170</f>
        <v>12.5947000466786</v>
      </c>
      <c r="D7170" s="38" t="n">
        <f aca="false">Sens!$T$7170</f>
        <v>61.6860742980578</v>
      </c>
      <c r="G7170" s="38" t="n">
        <f aca="false">Sens!$U$7170</f>
        <v>183.227790688937</v>
      </c>
      <c r="H7170" s="38" t="n">
        <f aca="false">Sens!$V$7170</f>
        <v>355.135121861816</v>
      </c>
      <c r="I7170" s="38" t="n">
        <f aca="false">Sens!$W$7170</f>
        <v>505.39443162632</v>
      </c>
      <c r="J7170" s="38" t="n">
        <f aca="false">Sens!$X$7170</f>
        <v>632.154865722408</v>
      </c>
      <c r="K7170" s="38" t="n">
        <f aca="false">Sens!$Y$7170</f>
        <v>674.845221213145</v>
      </c>
      <c r="L7170" s="38" t="n">
        <f aca="false">Sens!$Z$7170</f>
        <v>673.613949706244</v>
      </c>
      <c r="M7170" s="38" t="n">
        <f aca="false">Sens!$AA$7170</f>
        <v>659.015198613032</v>
      </c>
      <c r="R7170" s="38" t="n">
        <f aca="false">SUM(Sens!$R$7162:$R$7162)-SUM(Sens!$R$7169:$R$7169)</f>
        <v>1.50429979529945</v>
      </c>
      <c r="S7170" s="38" t="n">
        <f aca="false">SUM(Sens!$R$7162:$S$7162)-SUM(Sens!$R$7169:$S$7169)</f>
        <v>12.5947000466786</v>
      </c>
      <c r="T7170" s="38" t="n">
        <f aca="false">SUM(Sens!$R$7162:$T$7162)-SUM(Sens!$R$7169:$T$7169)</f>
        <v>61.6860742980578</v>
      </c>
      <c r="U7170" s="38" t="n">
        <f aca="false">SUM(Sens!$R$7162:$U$7162)-SUM(Sens!$R$7169:$U$7169)</f>
        <v>183.227790688937</v>
      </c>
      <c r="V7170" s="38" t="n">
        <f aca="false">SUM(Sens!$R$7162:$V$7162)-SUM(Sens!$R$7169:$V$7169)</f>
        <v>355.135121861816</v>
      </c>
      <c r="W7170" s="38" t="n">
        <f aca="false">SUM(Sens!$R$7162:$W$7162)-SUM(Sens!$R$7169:$W$7169)</f>
        <v>505.39443162632</v>
      </c>
      <c r="X7170" s="38" t="n">
        <f aca="false">SUM(Sens!$R$7162:$X$7162)-SUM(Sens!$R$7169:$X$7169)</f>
        <v>632.154865722408</v>
      </c>
      <c r="Y7170" s="38" t="n">
        <f aca="false">SUM(Sens!$R$7162:$Y$7162)-SUM(Sens!$R$7169:$Y$7169)</f>
        <v>674.845221213145</v>
      </c>
      <c r="Z7170" s="38" t="n">
        <f aca="false">SUM(Sens!$R$7162:$Z$7162)-SUM(Sens!$R$7169:$Z$7169)</f>
        <v>673.613949706244</v>
      </c>
      <c r="AA7170" s="38" t="n">
        <f aca="false">SUM(Sens!$R$7162:$AA$7162)-SUM(Sens!$R$7169:$AA$7169)</f>
        <v>659.015198613032</v>
      </c>
    </row>
    <row r="7171" customFormat="false" ht="17.15" hidden="false" customHeight="false" outlineLevel="0" collapsed="false">
      <c r="A7171" s="1" t="s">
        <v>641</v>
      </c>
    </row>
    <row r="7172" customFormat="false" ht="17.15" hidden="false" customHeight="false" outlineLevel="0" collapsed="false">
      <c r="A7172" s="0" t="s">
        <v>642</v>
      </c>
      <c r="B7172" s="0" t="s">
        <v>86</v>
      </c>
      <c r="C7172" s="38" t="n">
        <f aca="false">Sens!$C$7151-ext_sh*Sens!$C$7153</f>
        <v>1.80694998843362</v>
      </c>
      <c r="D7172" s="38" t="n">
        <f aca="false">Sens!$D$7151-ext_sh*Sens!$D$7153</f>
        <v>6.77606245662607</v>
      </c>
      <c r="E7172" s="38" t="n">
        <f aca="false">Sens!$E$7151-ext_sh*Sens!$E$7153</f>
        <v>6.62548329092326</v>
      </c>
      <c r="F7172" s="38" t="n">
        <f aca="false">Sens!$F$7151-ext_sh*Sens!$F$7153</f>
        <v>11.7200577158706</v>
      </c>
      <c r="G7172" s="38" t="n">
        <f aca="false">Sens!$G$7151-ext_sh*Sens!$G$7153</f>
        <v>18.3455410067939</v>
      </c>
      <c r="H7172" s="38" t="n">
        <f aca="false">Sens!$H$7151-ext_sh*Sens!$H$7153</f>
        <v>47.5171727060453</v>
      </c>
      <c r="I7172" s="38" t="n">
        <f aca="false">Sens!$I$7151-ext_sh*Sens!$I$7153</f>
        <v>80.5539692643667</v>
      </c>
      <c r="J7172" s="38" t="n">
        <f aca="false">Sens!$J$7151-ext_sh*Sens!$J$7153</f>
        <v>113.759316834883</v>
      </c>
      <c r="K7172" s="38" t="n">
        <f aca="false">Sens!$K$7151-ext_sh*Sens!$K$7153</f>
        <v>142.084411492169</v>
      </c>
      <c r="L7172" s="38" t="n">
        <f aca="false">Sens!$L$7151-ext_sh*Sens!$L$7153</f>
        <v>160.69964615804</v>
      </c>
      <c r="M7172" s="38" t="n">
        <f aca="false">Sens!$M$7151-ext_sh*Sens!$M$7153</f>
        <v>169.577607141793</v>
      </c>
      <c r="N7172" s="38" t="n">
        <f aca="false">Sens!$N$7151-ext_sh*Sens!$N$7153</f>
        <v>2.37162185981912</v>
      </c>
      <c r="O7172" s="38" t="n">
        <f aca="false">Sens!$O$7151-ext_sh*Sens!$O$7153</f>
        <v>4.40444059680694</v>
      </c>
    </row>
    <row r="7173" customFormat="false" ht="17.15" hidden="false" customHeight="false" outlineLevel="0" collapsed="false">
      <c r="A7173" s="1" t="s">
        <v>643</v>
      </c>
      <c r="B7173" s="8" t="s">
        <v>86</v>
      </c>
      <c r="C7173" s="38" t="n">
        <f aca="false">Sens!$C$7172-ext_sh*Sens!$C$7169</f>
        <v>1.64417882953695</v>
      </c>
      <c r="D7173" s="38" t="n">
        <f aca="false">Sens!$D$7172-ext_sh*Sens!$D$7169</f>
        <v>5.39125073772939</v>
      </c>
      <c r="E7173" s="38" t="n">
        <f aca="false">Sens!$E$7172-ext_sh*Sens!$E$7169</f>
        <v>3.18348617147493</v>
      </c>
      <c r="F7173" s="38" t="n">
        <f aca="false">Sens!$F$7172-ext_sh*Sens!$F$7169</f>
        <v>8.27806059642226</v>
      </c>
      <c r="G7173" s="38" t="n">
        <f aca="false">Sens!$G$7172-ext_sh*Sens!$G$7169</f>
        <v>11.4615467678972</v>
      </c>
      <c r="H7173" s="38" t="n">
        <f aca="false">Sens!$H$7172-ext_sh*Sens!$H$7169</f>
        <v>26.1859456885487</v>
      </c>
      <c r="I7173" s="38" t="n">
        <f aca="false">Sens!$I$7172-ext_sh*Sens!$I$7169</f>
        <v>37.04424114757</v>
      </c>
      <c r="J7173" s="38" t="n">
        <f aca="false">Sens!$J$7172-ext_sh*Sens!$J$7169</f>
        <v>47.2610736233534</v>
      </c>
      <c r="K7173" s="38" t="n">
        <f aca="false">Sens!$K$7172-ext_sh*Sens!$K$7169</f>
        <v>52.0459876645985</v>
      </c>
      <c r="L7173" s="38" t="n">
        <f aca="false">Sens!$L$7172-ext_sh*Sens!$L$7169</f>
        <v>54.1033156405981</v>
      </c>
      <c r="M7173" s="38" t="n">
        <f aca="false">Sens!$M$7172-ext_sh*Sens!$M$7169</f>
        <v>52.1138209393421</v>
      </c>
      <c r="N7173" s="38" t="n">
        <f aca="false">Sens!$N$7172-ext_sh*Sens!$N$7169</f>
        <v>1.67921600037079</v>
      </c>
      <c r="O7173" s="38" t="n">
        <f aca="false">Sens!$O$7172-ext_sh*Sens!$O$7169</f>
        <v>3.71203473735861</v>
      </c>
    </row>
    <row r="7174" customFormat="false" ht="17.15" hidden="false" customHeight="false" outlineLevel="0" collapsed="false">
      <c r="A7174" s="0" t="s">
        <v>644</v>
      </c>
      <c r="B7174" s="0" t="s">
        <v>52</v>
      </c>
      <c r="C7174" s="13" t="n">
        <f aca="false">Sens!$C$7173/Sens!$C$7151</f>
        <v>0.708390794789371</v>
      </c>
      <c r="D7174" s="13" t="n">
        <f aca="false">Sens!$D$7173/Sens!$D$7151</f>
        <v>0.619415573115729</v>
      </c>
      <c r="E7174" s="13" t="n">
        <f aca="false">Sens!$E$7173/Sens!$E$7151</f>
        <v>0.374072166056273</v>
      </c>
      <c r="F7174" s="13" t="n">
        <f aca="false">Sens!$F$7173/Sens!$F$7151</f>
        <v>0.553219320710057</v>
      </c>
      <c r="G7174" s="13" t="n">
        <f aca="false">Sens!$G$7173/Sens!$G$7151</f>
        <v>0.488270041527512</v>
      </c>
      <c r="H7174" s="13" t="n">
        <f aca="false">Sens!$H$7173/Sens!$H$7151</f>
        <v>0.435229086816882</v>
      </c>
      <c r="I7174" s="13" t="n">
        <f aca="false">Sens!$I$7173/Sens!$I$7151</f>
        <v>0.364954592421095</v>
      </c>
      <c r="J7174" s="13" t="n">
        <f aca="false">Sens!$J$7173/Sens!$J$7151</f>
        <v>0.330438308582232</v>
      </c>
      <c r="K7174" s="13" t="n">
        <f aca="false">Sens!$K$7173/Sens!$K$7151</f>
        <v>0.2916589289528</v>
      </c>
      <c r="L7174" s="13" t="n">
        <f aca="false">Sens!$L$7173/Sens!$L$7151</f>
        <v>0.268199200593258</v>
      </c>
      <c r="M7174" s="13" t="n">
        <f aca="false">Sens!$M$7173/Sens!$M$7151</f>
        <v>0.244854995033574</v>
      </c>
      <c r="N7174" s="13" t="n">
        <f aca="false">Sens!$N$7173/Sens!$N$7151</f>
        <v>0.551227795793364</v>
      </c>
      <c r="O7174" s="13" t="n">
        <f aca="false">Sens!$O$7173/Sens!$O$7151</f>
        <v>0.656132068597002</v>
      </c>
    </row>
    <row r="7175" customFormat="false" ht="17.15" hidden="false" customHeight="false" outlineLevel="0" collapsed="false">
      <c r="A7175" s="5" t="s">
        <v>645</v>
      </c>
      <c r="B7175" s="0" t="s">
        <v>86</v>
      </c>
      <c r="C7175" s="39" t="n">
        <v>0</v>
      </c>
      <c r="D7175" s="39" t="n">
        <v>0</v>
      </c>
      <c r="E7175" s="39" t="n">
        <v>0</v>
      </c>
      <c r="F7175" s="38" t="n">
        <f aca="false">IF(internal_ai_reading=2,1,0)*(1-ext_sh)/ext_sh*(mw_open*he_open+Sens!$F$7149*Sens!$F$7146)*Sens!$F$7135/1000</f>
        <v>3.77122048175818</v>
      </c>
      <c r="G7175" s="38" t="n">
        <f aca="false">Sens!$E$7175+Sens!$F$7175</f>
        <v>3.77122048175818</v>
      </c>
      <c r="H7175" s="38" t="n">
        <f aca="false">IF(internal_ai_reading=2,1,0)*(1-ext_sh)/ext_sh*(mw_open*he_open+Sens!$H$7149*Sens!$H$7146)*Sens!$H$7135/1000</f>
        <v>15.1635543609893</v>
      </c>
      <c r="I7175" s="38" t="n">
        <f aca="false">IF(internal_ai_reading=2,1,0)*(1-ext_sh)/ext_sh*(mw_open*he_open+Sens!$I$7149*Sens!$I$7146)*Sens!$I$7135/1000</f>
        <v>25.5818843619889</v>
      </c>
      <c r="J7175" s="38" t="n">
        <f aca="false">IF(internal_ai_reading=2,1,0)*(1-ext_sh)/ext_sh*(mw_open*he_open+Sens!$J$7149*Sens!$J$7146)*Sens!$J$7135/1000</f>
        <v>36.0465624179122</v>
      </c>
      <c r="K7175" s="38" t="n">
        <f aca="false">IF(internal_ai_reading=2,1,0)*(1-ext_sh)/ext_sh*(mw_open*he_open+Sens!$K$7149*Sens!$K$7146)*Sens!$K$7135/1000</f>
        <v>44.9741164026038</v>
      </c>
      <c r="L7175" s="38" t="n">
        <f aca="false">IF(internal_ai_reading=2,1,0)*(1-ext_sh)/ext_sh*(mw_open*he_open+Sens!$L$7149*Sens!$L$7146)*Sens!$L$7135/1000</f>
        <v>50.8413488057813</v>
      </c>
      <c r="M7175" s="38" t="n">
        <f aca="false">IF(internal_ai_reading=2,1,0)*(1-ext_sh)/ext_sh*(mw_open*he_open+Sens!$M$7149*Sens!$M$7146)*Sens!$M$7135/1000</f>
        <v>53.6407214274315</v>
      </c>
      <c r="N7175" s="39" t="n">
        <v>0</v>
      </c>
      <c r="O7175" s="39" t="n">
        <v>0</v>
      </c>
      <c r="P7175" s="8" t="s">
        <v>646</v>
      </c>
    </row>
    <row r="7176" customFormat="false" ht="17.15" hidden="false" customHeight="false" outlineLevel="0" collapsed="false">
      <c r="A7176" s="5" t="s">
        <v>647</v>
      </c>
      <c r="B7176" s="0" t="s">
        <v>86</v>
      </c>
      <c r="C7176" s="38" t="n">
        <f aca="false">(1-ext_sh)*(Sens!$C$7153+Sens!$C$7169)</f>
        <v>0.169206631859174</v>
      </c>
      <c r="D7176" s="38" t="n">
        <f aca="false">(1-ext_sh)*(Sens!$D$7153+Sens!$D$7169)</f>
        <v>0.828129837730442</v>
      </c>
      <c r="E7176" s="38" t="n">
        <f aca="false">(1-ext_sh)*(Sens!$E$7153+Sens!$E$7169)</f>
        <v>1.33171670102377</v>
      </c>
      <c r="F7176" s="38" t="n">
        <f aca="false">(1-ext_sh)*(Sens!$F$7153+Sens!$F$7169)</f>
        <v>1.67134326207455</v>
      </c>
      <c r="G7176" s="38" t="n">
        <f aca="false">(1-ext_sh)*(Sens!$G$7153+Sens!$G$7169)</f>
        <v>3.00305996309832</v>
      </c>
      <c r="H7176" s="38" t="n">
        <f aca="false">(1-ext_sh)*(Sens!$H$7153+Sens!$H$7169)</f>
        <v>8.49498626530648</v>
      </c>
      <c r="I7176" s="38" t="n">
        <f aca="false">(1-ext_sh)*(Sens!$I$7153+Sens!$I$7169)</f>
        <v>16.1148644972155</v>
      </c>
      <c r="J7176" s="38" t="n">
        <f aca="false">(1-ext_sh)*(Sens!$J$7153+Sens!$J$7169)</f>
        <v>23.9410833819812</v>
      </c>
      <c r="K7176" s="38" t="n">
        <f aca="false">(1-ext_sh)*(Sens!$K$7153+Sens!$K$7169)</f>
        <v>31.6005331796453</v>
      </c>
      <c r="L7176" s="38" t="n">
        <f aca="false">(1-ext_sh)*(Sens!$L$7153+Sens!$L$7169)</f>
        <v>36.9061965404496</v>
      </c>
      <c r="M7176" s="38" t="n">
        <f aca="false">(1-ext_sh)*(Sens!$M$7153+Sens!$M$7169)</f>
        <v>40.1804051073808</v>
      </c>
      <c r="N7176" s="38" t="n">
        <f aca="false">(1-ext_sh)*(Sens!$N$7153+Sens!$N$7169)</f>
        <v>0.34177588266428</v>
      </c>
      <c r="O7176" s="38" t="n">
        <f aca="false">(1-ext_sh)*(Sens!$O$7153+Sens!$O$7169)</f>
        <v>0.486353955066162</v>
      </c>
    </row>
    <row r="7177" customFormat="false" ht="17.15" hidden="false" customHeight="false" outlineLevel="0" collapsed="false">
      <c r="A7177" s="0" t="s">
        <v>648</v>
      </c>
      <c r="B7177" s="0" t="s">
        <v>86</v>
      </c>
      <c r="C7177" s="38" t="n">
        <f aca="false">Q!$D$24</f>
        <v>39.834</v>
      </c>
      <c r="D7177" s="38" t="n">
        <f aca="false">Q!$E$24</f>
        <v>45.606</v>
      </c>
      <c r="E7177" s="38" t="n">
        <f aca="false">Q!$P$24</f>
        <v>30.782</v>
      </c>
      <c r="N7177" s="38" t="n">
        <f aca="false">Q!$N$24</f>
        <v>21.707</v>
      </c>
      <c r="O7177" s="38" t="n">
        <f aca="false">Q!$O$24</f>
        <v>23.899</v>
      </c>
    </row>
    <row r="7178" customFormat="false" ht="17.15" hidden="false" customHeight="false" outlineLevel="0" collapsed="false">
      <c r="A7178" s="0" t="s">
        <v>649</v>
      </c>
      <c r="B7178" s="0" t="s">
        <v>86</v>
      </c>
      <c r="C7178" s="38" t="n">
        <f aca="false">Sens!$C$7177-Sens!$C$7173</f>
        <v>38.1898211704631</v>
      </c>
      <c r="D7178" s="38" t="n">
        <f aca="false">Sens!$D$7177-Sens!$D$7173</f>
        <v>40.2147492622706</v>
      </c>
      <c r="E7178" s="38" t="n">
        <f aca="false">Sens!$E$7177-Sens!$E$7173</f>
        <v>27.5985138285251</v>
      </c>
      <c r="F7178" s="38" t="n">
        <f aca="false">Sens!$F$7155*Sens!$F$7179</f>
        <v>25.5484769754606</v>
      </c>
      <c r="G7178" s="38" t="n">
        <f aca="false">Sens!$E$7178+Sens!$F$7178</f>
        <v>53.1469908039857</v>
      </c>
      <c r="H7178" s="38" t="n">
        <f aca="false">Sens!$H$7155*Sens!$H$7179</f>
        <v>57.3189525076539</v>
      </c>
      <c r="I7178" s="38" t="n">
        <f aca="false">Sens!$I$7155*Sens!$I$7179</f>
        <v>63.6385627021087</v>
      </c>
      <c r="J7178" s="38" t="n">
        <f aca="false">Sens!$J$7155*Sens!$J$7179</f>
        <v>69.6922896066105</v>
      </c>
      <c r="K7178" s="38" t="n">
        <f aca="false">Sens!$K$7155*Sens!$K$7179</f>
        <v>75.2676727751394</v>
      </c>
      <c r="L7178" s="38" t="n">
        <f aca="false">Sens!$L$7155*Sens!$L$7179</f>
        <v>81.2890865971505</v>
      </c>
      <c r="M7178" s="38" t="n">
        <f aca="false">Sens!$M$7155*Sens!$M$7179</f>
        <v>87.7922135249226</v>
      </c>
      <c r="N7178" s="38" t="n">
        <f aca="false">Sens!$N$7177-Sens!$N$7173</f>
        <v>20.0277839996292</v>
      </c>
      <c r="O7178" s="38" t="n">
        <f aca="false">Sens!$O$7177-Sens!$O$7173</f>
        <v>20.1869652626414</v>
      </c>
      <c r="P7178" s="5" t="s">
        <v>650</v>
      </c>
    </row>
    <row r="7179" customFormat="false" ht="17.15" hidden="false" customHeight="false" outlineLevel="0" collapsed="false">
      <c r="A7179" s="0" t="s">
        <v>651</v>
      </c>
      <c r="B7179" s="0" t="s">
        <v>52</v>
      </c>
      <c r="C7179" s="13" t="n">
        <f aca="false">Sens!$C$7178/Sens!$C$7155</f>
        <v>0.362900395443635</v>
      </c>
      <c r="D7179" s="13" t="n">
        <f aca="false">Sens!$D$7178/Sens!$D$7155</f>
        <v>0.335063632425483</v>
      </c>
      <c r="E7179" s="13" t="n">
        <f aca="false">Sens!$E$7178/Sens!$E$7155</f>
        <v>0.387028992698038</v>
      </c>
      <c r="F7179" s="13" t="n">
        <f aca="false">(Sens!$O$7178+Sens!$E$7178)/(Sens!$O$7155+Sens!$E$7155)</f>
        <v>0.355980580118587</v>
      </c>
      <c r="G7179" s="13" t="n">
        <f aca="false">Sens!$G$7178/Sens!$G$7155</f>
        <v>0.371454804780916</v>
      </c>
      <c r="H7179" s="13" t="n">
        <f aca="false">Sens!$F$7179</f>
        <v>0.355980580118587</v>
      </c>
      <c r="I7179" s="13" t="n">
        <f aca="false">Sens!$F$7179</f>
        <v>0.355980580118587</v>
      </c>
      <c r="J7179" s="13" t="n">
        <f aca="false">Sens!$F$7179</f>
        <v>0.355980580118587</v>
      </c>
      <c r="K7179" s="13" t="n">
        <f aca="false">Sens!$F$7179</f>
        <v>0.355980580118587</v>
      </c>
      <c r="L7179" s="13" t="n">
        <f aca="false">Sens!$F$7179</f>
        <v>0.355980580118587</v>
      </c>
      <c r="M7179" s="13" t="n">
        <f aca="false">Sens!$F$7179</f>
        <v>0.355980580118587</v>
      </c>
      <c r="N7179" s="13" t="n">
        <f aca="false">Sens!$N$7178/Sens!$N$7155</f>
        <v>0.35078810535806</v>
      </c>
      <c r="O7179" s="13" t="n">
        <f aca="false">Sens!$O$7178/Sens!$O$7155</f>
        <v>0.320796939361619</v>
      </c>
      <c r="P7179" s="8" t="s">
        <v>652</v>
      </c>
    </row>
    <row r="7180" customFormat="false" ht="17.15" hidden="false" customHeight="false" outlineLevel="0" collapsed="false">
      <c r="A7180" s="0" t="s">
        <v>653</v>
      </c>
      <c r="B7180" s="0" t="s">
        <v>52</v>
      </c>
      <c r="D7180" s="13" t="n">
        <f aca="false">(Q!$E$31-ext_sh*Sens!$D$7169)/Sens!$D$7155</f>
        <v>0.167180325480118</v>
      </c>
    </row>
    <row r="7181" customFormat="false" ht="17.15" hidden="false" customHeight="false" outlineLevel="0" collapsed="false">
      <c r="A7181" s="0" t="s">
        <v>654</v>
      </c>
      <c r="B7181" s="0" t="s">
        <v>86</v>
      </c>
      <c r="C7181" s="38" t="n">
        <f aca="false">Q!$D$31</f>
        <v>13.32</v>
      </c>
      <c r="D7181" s="38" t="n">
        <f aca="false">Q!$E$31</f>
        <v>21.45</v>
      </c>
      <c r="E7181" s="38" t="n">
        <f aca="false">Q!$P$31</f>
        <v>15.353</v>
      </c>
      <c r="F7181" s="38" t="n">
        <f aca="false">ext_sh*Sens!$F$7169+Sens!$D$7180*Sens!$F$7155</f>
        <v>15.4404120185306</v>
      </c>
      <c r="G7181" s="38" t="n">
        <f aca="false">Sens!$E$7181+Sens!$F$7181</f>
        <v>30.7934120185306</v>
      </c>
      <c r="H7181" s="38" t="n">
        <f aca="false">ext_sh*Sens!$H$7169+Sens!$D$7180*Sens!$H$7155</f>
        <v>48.250114371455</v>
      </c>
      <c r="I7181" s="38" t="n">
        <f aca="false">ext_sh*Sens!$I$7169+Sens!$D$7180*Sens!$I$7155</f>
        <v>73.3965146995963</v>
      </c>
      <c r="J7181" s="38" t="n">
        <f aca="false">ext_sh*Sens!$J$7169+Sens!$D$7180*Sens!$J$7155</f>
        <v>99.22806138309</v>
      </c>
      <c r="K7181" s="38" t="n">
        <f aca="false">ext_sh*Sens!$K$7169+Sens!$D$7180*Sens!$K$7155</f>
        <v>125.386627452856</v>
      </c>
      <c r="L7181" s="38" t="n">
        <f aca="false">ext_sh*Sens!$L$7169+Sens!$D$7180*Sens!$L$7155</f>
        <v>144.77239043275</v>
      </c>
      <c r="M7181" s="38" t="n">
        <f aca="false">ext_sh*Sens!$M$7169+Sens!$D$7180*Sens!$M$7155</f>
        <v>158.693930910983</v>
      </c>
      <c r="N7181" s="38" t="n">
        <f aca="false">Q!$N$31</f>
        <v>9.234</v>
      </c>
      <c r="O7181" s="38" t="n">
        <f aca="false">Q!$O$31</f>
        <v>12.216</v>
      </c>
    </row>
    <row r="7182" customFormat="false" ht="17.15" hidden="false" customHeight="false" outlineLevel="0" collapsed="false">
      <c r="A7182" s="1" t="s">
        <v>655</v>
      </c>
    </row>
    <row r="7183" customFormat="false" ht="17.15" hidden="false" customHeight="false" outlineLevel="0" collapsed="false">
      <c r="A7183" s="15" t="s">
        <v>656</v>
      </c>
      <c r="B7183" s="14" t="s">
        <v>52</v>
      </c>
      <c r="C7183" s="14"/>
      <c r="D7183" s="14"/>
      <c r="E7183" s="14"/>
      <c r="F7183" s="14"/>
      <c r="G7183" s="17" t="n">
        <f aca="false">Sens!$G$7173*(1-tax)/(ext_sh*(Sens!$D$7170+Sens!$G$7170)/2)</f>
        <v>0.0966870495301478</v>
      </c>
      <c r="H7183" s="17" t="n">
        <f aca="false">Sens!$H$7173*(1-tax)/(ext_sh*(Sens!$G$7170+Sens!$H$7170)/2)</f>
        <v>0.100492020334136</v>
      </c>
      <c r="I7183" s="17" t="n">
        <f aca="false">Sens!$I$7173*(1-tax)/(ext_sh*(Sens!$H$7170+Sens!$I$7170)/2)</f>
        <v>0.0889392292218236</v>
      </c>
      <c r="J7183" s="17" t="n">
        <f aca="false">Sens!$J$7173*(1-tax)/(ext_sh*(Sens!$I$7170+Sens!$J$7170)/2)</f>
        <v>0.0858364613777012</v>
      </c>
      <c r="K7183" s="17" t="n">
        <f aca="false">Sens!$K$7173*(1-tax)/(ext_sh*(Sens!$J$7170+Sens!$K$7170)/2)</f>
        <v>0.08227162714687</v>
      </c>
      <c r="L7183" s="17" t="n">
        <f aca="false">Sens!$L$7173*(1-tax)/(ext_sh*(Sens!$K$7170+Sens!$L$7170)/2)</f>
        <v>0.0828942732763872</v>
      </c>
      <c r="M7183" s="17" t="n">
        <f aca="false">Sens!$M$7173*(1-tax)/(ext_sh*(Sens!$L$7170+Sens!$M$7170)/2)</f>
        <v>0.0807945482347635</v>
      </c>
      <c r="N7183" s="14"/>
      <c r="O7183" s="14"/>
      <c r="P7183" s="8" t="s">
        <v>657</v>
      </c>
    </row>
    <row r="7184" customFormat="false" ht="17.15" hidden="false" customHeight="false" outlineLevel="0" collapsed="false">
      <c r="A7184" s="5" t="s">
        <v>658</v>
      </c>
      <c r="B7184" s="0" t="s">
        <v>57</v>
      </c>
      <c r="H7184" s="36" t="n">
        <f aca="false">Sens!$H$7151*1000/(mw_open*he_open+Sens!$H$7149*Sens!$H$7146)</f>
        <v>0.991949006767191</v>
      </c>
      <c r="I7184" s="36" t="n">
        <f aca="false">Sens!$I$7151*1000/(mw_open*he_open+Sens!$I$7149*Sens!$I$7146)</f>
        <v>0.991949006767191</v>
      </c>
      <c r="J7184" s="36" t="n">
        <f aca="false">Sens!$J$7151*1000/(mw_open*he_open+Sens!$J$7149*Sens!$J$7146)</f>
        <v>0.991949006767191</v>
      </c>
      <c r="K7184" s="36" t="n">
        <f aca="false">Sens!$K$7151*1000/(mw_open*he_open+Sens!$K$7149*Sens!$K$7146)</f>
        <v>0.991949006767191</v>
      </c>
      <c r="L7184" s="36" t="n">
        <f aca="false">Sens!$L$7151*1000/(mw_open*he_open+Sens!$L$7149*Sens!$L$7146)</f>
        <v>0.991949006767191</v>
      </c>
      <c r="M7184" s="36" t="n">
        <f aca="false">Sens!$M$7151*1000/(mw_open*he_open+Sens!$M$7149*Sens!$M$7146)</f>
        <v>0.991949006767191</v>
      </c>
    </row>
    <row r="7185" customFormat="false" ht="17.15" hidden="false" customHeight="false" outlineLevel="0" collapsed="false">
      <c r="A7185" s="5" t="s">
        <v>659</v>
      </c>
      <c r="B7185" s="0" t="s">
        <v>57</v>
      </c>
      <c r="H7185" s="36" t="n">
        <f aca="false">Sens!$H$7184*(Sens!$H$7151+wacc*ext_sh*(Sens!$G$7170+Sens!$H$7170)/2/(1-tax)-Sens!$H$7173)/Sens!$H$7151</f>
        <v>1.04696246089529</v>
      </c>
      <c r="I7185" s="36" t="n">
        <f aca="false">Sens!$I$7184*(Sens!$I$7151+wacc*ext_sh*(Sens!$H$7170+Sens!$I$7170)/2/(1-tax)-Sens!$I$7173)/Sens!$I$7151</f>
        <v>1.09109607940198</v>
      </c>
      <c r="J7185" s="36" t="n">
        <f aca="false">Sens!$J$7184*(Sens!$J$7151+wacc*ext_sh*(Sens!$I$7170+Sens!$J$7170)/2/(1-tax)-Sens!$J$7173)/Sens!$J$7151</f>
        <v>1.09681234280071</v>
      </c>
      <c r="K7185" s="36" t="n">
        <f aca="false">Sens!$K$7184*(Sens!$K$7151+wacc*ext_sh*(Sens!$J$7170+Sens!$K$7170)/2/(1-tax)-Sens!$K$7173)/Sens!$K$7151</f>
        <v>1.10105220068984</v>
      </c>
      <c r="L7185" s="36" t="n">
        <f aca="false">Sens!$L$7184*(Sens!$L$7151+wacc*ext_sh*(Sens!$K$7170+Sens!$L$7170)/2/(1-tax)-Sens!$L$7173)/Sens!$L$7151</f>
        <v>1.08952452639895</v>
      </c>
      <c r="M7185" s="36" t="n">
        <f aca="false">Sens!$M$7184*(Sens!$M$7151+wacc*ext_sh*(Sens!$L$7170+Sens!$M$7170)/2/(1-tax)-Sens!$M$7173)/Sens!$M$7151</f>
        <v>1.08965878549519</v>
      </c>
    </row>
    <row r="7186" customFormat="false" ht="17.15" hidden="false" customHeight="false" outlineLevel="0" collapsed="false">
      <c r="A7186" s="5" t="s">
        <v>660</v>
      </c>
      <c r="B7186" s="0" t="s">
        <v>52</v>
      </c>
      <c r="C7186" s="13" t="n">
        <f aca="false">Sens!$C$7152/tk_pq</f>
        <v>0.195316432429398</v>
      </c>
      <c r="D7186" s="13" t="n">
        <f aca="false">Sens!$D$7152/tk_pq</f>
        <v>0.195316432429398</v>
      </c>
      <c r="E7186" s="13" t="n">
        <f aca="false">Sens!$E$7152/tk_pq</f>
        <v>0.195316432429398</v>
      </c>
      <c r="F7186" s="13" t="n">
        <f aca="false">Sens!$F$7152/tk_pq</f>
        <v>0.202241827274866</v>
      </c>
      <c r="G7186" s="13" t="n">
        <f aca="false">Sens!$G$7152/tk_pq</f>
        <v>0.199675016194063</v>
      </c>
      <c r="H7186" s="13" t="n">
        <f aca="false">Sens!$H$7152/tk_pq</f>
        <v>0.212647947710325</v>
      </c>
      <c r="I7186" s="13" t="n">
        <f aca="false">Sens!$I$7152/tk_pq</f>
        <v>0.219285125475351</v>
      </c>
      <c r="J7186" s="13" t="n">
        <f aca="false">Sens!$J$7152/tk_pq</f>
        <v>0.222492493217189</v>
      </c>
      <c r="K7186" s="13" t="n">
        <f aca="false">Sens!$K$7152/tk_pq</f>
        <v>0.224053502812094</v>
      </c>
      <c r="L7186" s="13" t="n">
        <f aca="false">Sens!$L$7152/tk_pq</f>
        <v>0.224786916785614</v>
      </c>
      <c r="M7186" s="13" t="n">
        <f aca="false">Sens!$M$7152/tk_pq</f>
        <v>0.225048671566937</v>
      </c>
      <c r="N7186" s="13" t="n">
        <f aca="false">Sens!$N$7152/tk_pq</f>
        <v>0.195316432429398</v>
      </c>
      <c r="O7186" s="13" t="n">
        <f aca="false">Sens!$O$7152/tk_pq</f>
        <v>0.195316432429398</v>
      </c>
      <c r="P7186" s="5" t="s">
        <v>661</v>
      </c>
    </row>
    <row r="7189" customFormat="false" ht="17.15" hidden="false" customHeight="false" outlineLevel="0" collapsed="false">
      <c r="A7189" s="1" t="s">
        <v>690</v>
      </c>
    </row>
    <row r="7190" customFormat="false" ht="17.15" hidden="false" customHeight="false" outlineLevel="0" collapsed="false">
      <c r="A7190" s="0" t="s">
        <v>691</v>
      </c>
      <c r="B7190" s="0" t="s">
        <v>86</v>
      </c>
      <c r="C7190" s="38" t="n">
        <f aca="false">Sens!$C$7151</f>
        <v>2.32100535697364</v>
      </c>
      <c r="D7190" s="38" t="n">
        <f aca="false">Sens!$D$7151</f>
        <v>8.70377008865116</v>
      </c>
      <c r="E7190" s="38" t="n">
        <f aca="false">Sens!$E$7151</f>
        <v>8.51035297557002</v>
      </c>
      <c r="F7190" s="38" t="n">
        <f aca="false">Sens!$F$7151</f>
        <v>14.9634336447205</v>
      </c>
      <c r="G7190" s="38" t="n">
        <f aca="false">Sens!$G$7151</f>
        <v>23.4737866202905</v>
      </c>
      <c r="H7190" s="38" t="n">
        <f aca="false">Sens!$H$7151</f>
        <v>60.1658907497746</v>
      </c>
      <c r="I7190" s="38" t="n">
        <f aca="false">Sens!$I$7151</f>
        <v>101.503699136432</v>
      </c>
      <c r="J7190" s="38" t="n">
        <f aca="false">Sens!$J$7151</f>
        <v>143.025407151278</v>
      </c>
      <c r="K7190" s="38" t="n">
        <f aca="false">Sens!$K$7151</f>
        <v>178.44812038318</v>
      </c>
      <c r="L7190" s="38" t="n">
        <f aca="false">Sens!$L$7151</f>
        <v>201.728101802396</v>
      </c>
      <c r="M7190" s="38" t="n">
        <f aca="false">Sens!$M$7151</f>
        <v>212.835441368865</v>
      </c>
      <c r="N7190" s="38" t="n">
        <f aca="false">Sens!$N$7151</f>
        <v>3.04631953102791</v>
      </c>
      <c r="O7190" s="38" t="n">
        <f aca="false">Sens!$O$7151</f>
        <v>5.65745055762326</v>
      </c>
      <c r="P7190" s="8" t="s">
        <v>692</v>
      </c>
    </row>
    <row r="7191" customFormat="false" ht="17.15" hidden="false" customHeight="false" outlineLevel="0" collapsed="false">
      <c r="A7191" s="0" t="s">
        <v>693</v>
      </c>
      <c r="B7191" s="0" t="s">
        <v>86</v>
      </c>
      <c r="C7191" s="38" t="n">
        <f aca="false">Sens!$C$7155</f>
        <v>105.234994643026</v>
      </c>
      <c r="D7191" s="38" t="n">
        <f aca="false">Sens!$D$7155</f>
        <v>120.021229911349</v>
      </c>
      <c r="E7191" s="38" t="n">
        <f aca="false">Sens!$E$7155</f>
        <v>71.30864702443</v>
      </c>
      <c r="F7191" s="38" t="n">
        <f aca="false">Sens!$F$7155</f>
        <v>71.7692997942464</v>
      </c>
      <c r="G7191" s="38" t="n">
        <f aca="false">Sens!$G$7155</f>
        <v>143.077946818676</v>
      </c>
      <c r="H7191" s="38" t="n">
        <f aca="false">Sens!$H$7155</f>
        <v>161.017077079203</v>
      </c>
      <c r="I7191" s="38" t="n">
        <f aca="false">Sens!$I$7155</f>
        <v>178.769759521457</v>
      </c>
      <c r="J7191" s="38" t="n">
        <f aca="false">Sens!$J$7155</f>
        <v>195.775538045907</v>
      </c>
      <c r="K7191" s="38" t="n">
        <f aca="false">Sens!$K$7155</f>
        <v>211.43758108958</v>
      </c>
      <c r="L7191" s="38" t="n">
        <f aca="false">Sens!$L$7155</f>
        <v>228.352587576746</v>
      </c>
      <c r="M7191" s="38" t="n">
        <f aca="false">Sens!$M$7155</f>
        <v>246.620794582886</v>
      </c>
      <c r="N7191" s="38" t="n">
        <f aca="false">Sens!$N$7155</f>
        <v>57.0936804689721</v>
      </c>
      <c r="O7191" s="38" t="n">
        <f aca="false">Sens!$O$7155</f>
        <v>62.9275494423768</v>
      </c>
      <c r="P7191" s="8" t="s">
        <v>692</v>
      </c>
    </row>
    <row r="7192" customFormat="false" ht="17.15" hidden="false" customHeight="false" outlineLevel="0" collapsed="false">
      <c r="A7192" s="1" t="s">
        <v>516</v>
      </c>
      <c r="B7192" s="8" t="s">
        <v>86</v>
      </c>
      <c r="C7192" s="38" t="n">
        <f aca="false">Q!$D$7</f>
        <v>107.556</v>
      </c>
      <c r="D7192" s="38" t="n">
        <f aca="false">Q!$E$7</f>
        <v>128.725</v>
      </c>
      <c r="E7192" s="38" t="n">
        <f aca="false">Q!$P$7</f>
        <v>79.819</v>
      </c>
      <c r="F7192" s="38" t="n">
        <f aca="false">Sens!$F$7190+Sens!$F$7191</f>
        <v>86.7327334389669</v>
      </c>
      <c r="G7192" s="38" t="n">
        <f aca="false">Sens!$G$7190+Sens!$G$7191</f>
        <v>166.551733438967</v>
      </c>
      <c r="H7192" s="38" t="n">
        <f aca="false">Sens!$H$7190+Sens!$H$7191</f>
        <v>221.182967828978</v>
      </c>
      <c r="I7192" s="38" t="n">
        <f aca="false">Sens!$I$7190+Sens!$I$7191</f>
        <v>280.27345865789</v>
      </c>
      <c r="J7192" s="38" t="n">
        <f aca="false">Sens!$J$7190+Sens!$J$7191</f>
        <v>338.800945197185</v>
      </c>
      <c r="K7192" s="38" t="n">
        <f aca="false">Sens!$K$7190+Sens!$K$7191</f>
        <v>389.88570147276</v>
      </c>
      <c r="L7192" s="38" t="n">
        <f aca="false">Sens!$L$7190+Sens!$L$7191</f>
        <v>430.080689379143</v>
      </c>
      <c r="M7192" s="38" t="n">
        <f aca="false">Sens!$M$7190+Sens!$M$7191</f>
        <v>459.456235951751</v>
      </c>
      <c r="N7192" s="38" t="n">
        <f aca="false">Q!$N$7</f>
        <v>60.14</v>
      </c>
      <c r="O7192" s="38" t="n">
        <f aca="false">Q!$O$7</f>
        <v>68.585</v>
      </c>
      <c r="P7192" s="5" t="s">
        <v>694</v>
      </c>
    </row>
    <row r="7193" customFormat="false" ht="15" hidden="false" customHeight="false" outlineLevel="0" collapsed="false">
      <c r="A7193" s="3" t="s">
        <v>695</v>
      </c>
      <c r="B7193" s="8" t="s">
        <v>86</v>
      </c>
      <c r="C7193" s="38" t="n">
        <f aca="false">Q!$D$8</f>
        <v>637.959</v>
      </c>
      <c r="D7193" s="38" t="n">
        <f aca="false">Q!$E$8</f>
        <v>716.924</v>
      </c>
      <c r="E7193" s="38" t="n">
        <f aca="false">Q!$P$8</f>
        <v>382.125</v>
      </c>
      <c r="F7193" s="38" t="n">
        <f aca="false">Sens!$F$7123+Sens!$F$7192</f>
        <v>435.780975084504</v>
      </c>
      <c r="G7193" s="38" t="n">
        <f aca="false">Sens!$G$7123+Sens!$G$7192</f>
        <v>817.905975084504</v>
      </c>
      <c r="H7193" s="38" t="n">
        <f aca="false">Sens!$H$7123+Sens!$H$7192</f>
        <v>942.279857350364</v>
      </c>
      <c r="I7193" s="38" t="n">
        <f aca="false">Sens!$I$7123+Sens!$I$7192</f>
        <v>1068.80284981042</v>
      </c>
      <c r="J7193" s="38" t="n">
        <f aca="false">Sens!$J$7123+Sens!$J$7192</f>
        <v>1189.90935093863</v>
      </c>
      <c r="K7193" s="38" t="n">
        <f aca="false">Sens!$K$7123+Sens!$K$7192</f>
        <v>1296.06215690385</v>
      </c>
      <c r="L7193" s="38" t="n">
        <f aca="false">Sens!$L$7123+Sens!$L$7192</f>
        <v>1395.17379585473</v>
      </c>
      <c r="M7193" s="38" t="n">
        <f aca="false">Sens!$M$7123+Sens!$M$7192</f>
        <v>1487.60414389864</v>
      </c>
      <c r="N7193" s="38" t="n">
        <f aca="false">Q!$N$8</f>
        <v>323.369</v>
      </c>
      <c r="O7193" s="38" t="n">
        <f aca="false">Q!$O$8</f>
        <v>393.555</v>
      </c>
    </row>
    <row r="7194" customFormat="false" ht="17.15" hidden="false" customHeight="false" outlineLevel="0" collapsed="false">
      <c r="A7194" s="24" t="s">
        <v>703</v>
      </c>
      <c r="B7194" s="25" t="s">
        <v>86</v>
      </c>
      <c r="C7194" s="41" t="n">
        <f aca="false">Sens!$C$7123-(Sens!$C$7125+Sens!$C$7126)</f>
        <v>0</v>
      </c>
      <c r="D7194" s="41" t="n">
        <f aca="false">Sens!$D$7123-(Sens!$D$7125+Sens!$D$7126)</f>
        <v>0</v>
      </c>
      <c r="E7194" s="41" t="n">
        <f aca="false">Sens!$E$7123-(Sens!$E$7125+Sens!$E$7126)</f>
        <v>0</v>
      </c>
      <c r="F7194" s="41" t="n">
        <f aca="false">Sens!$F$7123-(Sens!$F$7125+Sens!$F$7126)</f>
        <v>0</v>
      </c>
      <c r="G7194" s="41" t="n">
        <f aca="false">Sens!$G$7123-(Sens!$G$7125+Sens!$G$7126)</f>
        <v>0</v>
      </c>
      <c r="H7194" s="41" t="n">
        <f aca="false">Sens!$H$7123-(Sens!$H$7125+Sens!$H$7126)</f>
        <v>0</v>
      </c>
      <c r="I7194" s="41" t="n">
        <f aca="false">Sens!$I$7123-(Sens!$I$7125+Sens!$I$7126)</f>
        <v>0</v>
      </c>
      <c r="J7194" s="41" t="n">
        <f aca="false">Sens!$J$7123-(Sens!$J$7125+Sens!$J$7126)</f>
        <v>0</v>
      </c>
      <c r="K7194" s="41" t="n">
        <f aca="false">Sens!$K$7123-(Sens!$K$7125+Sens!$K$7126)</f>
        <v>0</v>
      </c>
      <c r="L7194" s="41" t="n">
        <f aca="false">Sens!$L$7123-(Sens!$L$7125+Sens!$L$7126)</f>
        <v>0</v>
      </c>
      <c r="M7194" s="41" t="n">
        <f aca="false">Sens!$M$7123-(Sens!$M$7125+Sens!$M$7126)</f>
        <v>0</v>
      </c>
      <c r="N7194" s="41" t="n">
        <f aca="false">Sens!$N$7123-(Sens!$N$7125+Sens!$N$7126)</f>
        <v>0</v>
      </c>
      <c r="O7194" s="41" t="n">
        <f aca="false">Sens!$O$7123-(Sens!$O$7125+Sens!$O$7126)</f>
        <v>0</v>
      </c>
    </row>
    <row r="7195" customFormat="false" ht="17.15" hidden="false" customHeight="false" outlineLevel="0" collapsed="false">
      <c r="A7195" s="24" t="s">
        <v>704</v>
      </c>
      <c r="B7195" s="25" t="s">
        <v>86</v>
      </c>
      <c r="C7195" s="41" t="n">
        <f aca="false">Sens!$C$7190+Sens!$C$7191-Sens!$C$7192</f>
        <v>0</v>
      </c>
      <c r="D7195" s="41" t="n">
        <f aca="false">Sens!$D$7190+Sens!$D$7191-Sens!$D$7192</f>
        <v>0</v>
      </c>
      <c r="E7195" s="41" t="n">
        <f aca="false">Sens!$E$7190+Sens!$E$7191-Sens!$E$7192</f>
        <v>0</v>
      </c>
      <c r="F7195" s="41" t="n">
        <f aca="false">Sens!$F$7190+Sens!$F$7191-Sens!$F$7192</f>
        <v>0</v>
      </c>
      <c r="G7195" s="41" t="n">
        <f aca="false">Sens!$G$7190+Sens!$G$7191-Sens!$G$7192</f>
        <v>0</v>
      </c>
      <c r="H7195" s="41" t="n">
        <f aca="false">Sens!$H$7190+Sens!$H$7191-Sens!$H$7192</f>
        <v>0</v>
      </c>
      <c r="I7195" s="41" t="n">
        <f aca="false">Sens!$I$7190+Sens!$I$7191-Sens!$I$7192</f>
        <v>0</v>
      </c>
      <c r="J7195" s="41" t="n">
        <f aca="false">Sens!$J$7190+Sens!$J$7191-Sens!$J$7192</f>
        <v>0</v>
      </c>
      <c r="K7195" s="41" t="n">
        <f aca="false">Sens!$K$7190+Sens!$K$7191-Sens!$K$7192</f>
        <v>0</v>
      </c>
      <c r="L7195" s="41" t="n">
        <f aca="false">Sens!$L$7190+Sens!$L$7191-Sens!$L$7192</f>
        <v>0</v>
      </c>
      <c r="M7195" s="41" t="n">
        <f aca="false">Sens!$M$7190+Sens!$M$7191-Sens!$M$7192</f>
        <v>0</v>
      </c>
      <c r="N7195" s="41" t="n">
        <f aca="false">Sens!$N$7190+Sens!$N$7191-Sens!$N$7192</f>
        <v>0</v>
      </c>
      <c r="O7195" s="41" t="n">
        <f aca="false">Sens!$O$7190+Sens!$O$7191-Sens!$O$7192</f>
        <v>0</v>
      </c>
    </row>
    <row r="7196" customFormat="false" ht="17.15" hidden="false" customHeight="false" outlineLevel="0" collapsed="false">
      <c r="A7196" s="24" t="s">
        <v>705</v>
      </c>
      <c r="B7196" s="25" t="s">
        <v>86</v>
      </c>
      <c r="C7196" s="41" t="n">
        <f aca="false">Sens!$C$7125+Sens!$C$7126+Sens!$C$7192-Sens!$C$7193</f>
        <v>0</v>
      </c>
      <c r="D7196" s="41" t="n">
        <f aca="false">Sens!$D$7125+Sens!$D$7126+Sens!$D$7192-Sens!$D$7193</f>
        <v>0</v>
      </c>
      <c r="E7196" s="41" t="n">
        <f aca="false">Sens!$E$7125+Sens!$E$7126+Sens!$E$7192-Sens!$E$7193</f>
        <v>0</v>
      </c>
      <c r="F7196" s="41" t="n">
        <f aca="false">Sens!$F$7125+Sens!$F$7126+Sens!$F$7192-Sens!$F$7193</f>
        <v>0</v>
      </c>
      <c r="G7196" s="41" t="n">
        <f aca="false">Sens!$G$7125+Sens!$G$7126+Sens!$G$7192-Sens!$G$7193</f>
        <v>0</v>
      </c>
      <c r="H7196" s="41" t="n">
        <f aca="false">Sens!$H$7125+Sens!$H$7126+Sens!$H$7192-Sens!$H$7193</f>
        <v>0</v>
      </c>
      <c r="I7196" s="41" t="n">
        <f aca="false">Sens!$I$7125+Sens!$I$7126+Sens!$I$7192-Sens!$I$7193</f>
        <v>0</v>
      </c>
      <c r="J7196" s="41" t="n">
        <f aca="false">Sens!$J$7125+Sens!$J$7126+Sens!$J$7192-Sens!$J$7193</f>
        <v>0</v>
      </c>
      <c r="K7196" s="41" t="n">
        <f aca="false">Sens!$K$7125+Sens!$K$7126+Sens!$K$7192-Sens!$K$7193</f>
        <v>0</v>
      </c>
      <c r="L7196" s="41" t="n">
        <f aca="false">Sens!$L$7125+Sens!$L$7126+Sens!$L$7192-Sens!$L$7193</f>
        <v>0</v>
      </c>
      <c r="M7196" s="41" t="n">
        <f aca="false">Sens!$M$7125+Sens!$M$7126+Sens!$M$7192-Sens!$M$7193</f>
        <v>0</v>
      </c>
      <c r="N7196" s="41" t="n">
        <f aca="false">Sens!$N$7125+Sens!$N$7126+Sens!$N$7192-Sens!$N$7193</f>
        <v>0</v>
      </c>
      <c r="O7196" s="41" t="n">
        <f aca="false">Sens!$O$7125+Sens!$O$7126+Sens!$O$7192-Sens!$O$7193</f>
        <v>0</v>
      </c>
    </row>
    <row r="7197" customFormat="false" ht="15" hidden="false" customHeight="false" outlineLevel="0" collapsed="false">
      <c r="A7197" s="5" t="s">
        <v>699</v>
      </c>
      <c r="B7197" s="0" t="s">
        <v>52</v>
      </c>
      <c r="G7197" s="13" t="n">
        <f aca="false">Sens!$G$7193/Sens!$D$7193-1</f>
        <v>0.140854504918937</v>
      </c>
      <c r="H7197" s="13" t="n">
        <f aca="false">Sens!$H$7193/Sens!$G$7193-1</f>
        <v>0.152063789793209</v>
      </c>
      <c r="I7197" s="13" t="n">
        <f aca="false">Sens!$I$7193/Sens!$H$7193-1</f>
        <v>0.134273264437417</v>
      </c>
      <c r="J7197" s="13" t="n">
        <f aca="false">Sens!$J$7193/Sens!$I$7193-1</f>
        <v>0.113310421234083</v>
      </c>
      <c r="K7197" s="13" t="n">
        <f aca="false">Sens!$K$7193/Sens!$J$7193-1</f>
        <v>0.0892108343223652</v>
      </c>
      <c r="L7197" s="13" t="n">
        <f aca="false">Sens!$L$7193/Sens!$K$7193-1</f>
        <v>0.076471362444261</v>
      </c>
      <c r="M7197" s="13" t="n">
        <f aca="false">Sens!$M$7193/Sens!$L$7193-1</f>
        <v>0.066250060256672</v>
      </c>
    </row>
    <row r="7198" customFormat="false" ht="17.15" hidden="false" customHeight="false" outlineLevel="0" collapsed="false">
      <c r="A7198" s="0" t="s">
        <v>700</v>
      </c>
      <c r="B7198" s="0" t="s">
        <v>52</v>
      </c>
      <c r="C7198" s="13" t="n">
        <f aca="false">Sens!$C$7192/Sens!$C$7193</f>
        <v>0.168593906504964</v>
      </c>
      <c r="D7198" s="13" t="n">
        <f aca="false">Sens!$D$7192/Sens!$D$7193</f>
        <v>0.179551807444025</v>
      </c>
      <c r="E7198" s="13" t="n">
        <f aca="false">Sens!$E$7192/Sens!$E$7193</f>
        <v>0.208881910369643</v>
      </c>
      <c r="F7198" s="13" t="n">
        <f aca="false">Sens!$F$7192/Sens!$F$7193</f>
        <v>0.199028269699356</v>
      </c>
      <c r="G7198" s="13" t="n">
        <f aca="false">Sens!$G$7192/Sens!$G$7193</f>
        <v>0.203631882529968</v>
      </c>
      <c r="H7198" s="13" t="n">
        <f aca="false">Sens!$H$7192/Sens!$H$7193</f>
        <v>0.234731715958496</v>
      </c>
      <c r="I7198" s="13" t="n">
        <f aca="false">Sens!$I$7192/Sens!$I$7193</f>
        <v>0.262231204480418</v>
      </c>
      <c r="J7198" s="13" t="n">
        <f aca="false">Sens!$J$7192/Sens!$J$7193</f>
        <v>0.284728366013706</v>
      </c>
      <c r="K7198" s="13" t="n">
        <f aca="false">Sens!$K$7192/Sens!$K$7193</f>
        <v>0.300823304959505</v>
      </c>
      <c r="L7198" s="13" t="n">
        <f aca="false">Sens!$L$7192/Sens!$L$7193</f>
        <v>0.308263164529735</v>
      </c>
      <c r="M7198" s="13" t="n">
        <f aca="false">Sens!$M$7192/Sens!$M$7193</f>
        <v>0.308856517936036</v>
      </c>
      <c r="N7198" s="13" t="n">
        <f aca="false">Sens!$N$7192/Sens!$N$7193</f>
        <v>0.185979484737251</v>
      </c>
      <c r="O7198" s="13" t="n">
        <f aca="false">Sens!$O$7192/Sens!$O$7193</f>
        <v>0.174270432341096</v>
      </c>
    </row>
    <row r="7199" customFormat="false" ht="17.15" hidden="false" customHeight="false" outlineLevel="0" collapsed="false">
      <c r="A7199" s="0" t="s">
        <v>701</v>
      </c>
      <c r="B7199" s="0" t="s">
        <v>52</v>
      </c>
      <c r="C7199" s="13" t="n">
        <f aca="false">Sens!$C$7190/Sens!$C$7192</f>
        <v>0.0215795060896058</v>
      </c>
      <c r="D7199" s="13" t="n">
        <f aca="false">Sens!$D$7190/Sens!$D$7192</f>
        <v>0.0676152269462122</v>
      </c>
      <c r="E7199" s="13" t="n">
        <f aca="false">Sens!$E$7190/Sens!$E$7192</f>
        <v>0.106620641395783</v>
      </c>
      <c r="F7199" s="13" t="n">
        <f aca="false">Sens!$F$7190/Sens!$F$7192</f>
        <v>0.172523487401099</v>
      </c>
      <c r="G7199" s="13" t="n">
        <f aca="false">Sens!$G$7190/Sens!$G$7192</f>
        <v>0.140939911795589</v>
      </c>
      <c r="H7199" s="13" t="n">
        <f aca="false">Sens!$H$7190/Sens!$H$7192</f>
        <v>0.272018642937714</v>
      </c>
      <c r="I7199" s="13" t="n">
        <f aca="false">Sens!$I$7190/Sens!$I$7192</f>
        <v>0.362159512436497</v>
      </c>
      <c r="J7199" s="13" t="n">
        <f aca="false">Sens!$J$7190/Sens!$J$7192</f>
        <v>0.422151735934609</v>
      </c>
      <c r="K7199" s="13" t="n">
        <f aca="false">Sens!$K$7190/Sens!$K$7192</f>
        <v>0.45769342068485</v>
      </c>
      <c r="L7199" s="13" t="n">
        <f aca="false">Sens!$L$7190/Sens!$L$7192</f>
        <v>0.469047103913472</v>
      </c>
      <c r="M7199" s="13" t="n">
        <f aca="false">Sens!$M$7190/Sens!$M$7192</f>
        <v>0.463233328258093</v>
      </c>
      <c r="N7199" s="13" t="n">
        <f aca="false">Sens!$N$7190/Sens!$N$7192</f>
        <v>0.0506537999838362</v>
      </c>
      <c r="O7199" s="13" t="n">
        <f aca="false">Sens!$O$7190/Sens!$O$7192</f>
        <v>0.0824881615167056</v>
      </c>
    </row>
    <row r="7202" customFormat="false" ht="19.4" hidden="false" customHeight="false" outlineLevel="0" collapsed="false">
      <c r="A7202" s="31" t="s">
        <v>1282</v>
      </c>
    </row>
    <row r="7203" customFormat="false" ht="17.15" hidden="false" customHeight="false" outlineLevel="0" collapsed="false">
      <c r="A7203" s="6" t="s">
        <v>16</v>
      </c>
      <c r="B7203" s="6" t="s">
        <v>17</v>
      </c>
      <c r="C7203" s="20" t="s">
        <v>497</v>
      </c>
      <c r="D7203" s="20" t="s">
        <v>498</v>
      </c>
      <c r="E7203" s="20" t="s">
        <v>580</v>
      </c>
      <c r="F7203" s="20" t="s">
        <v>581</v>
      </c>
      <c r="G7203" s="20" t="s">
        <v>582</v>
      </c>
      <c r="H7203" s="20" t="s">
        <v>583</v>
      </c>
      <c r="I7203" s="20" t="s">
        <v>584</v>
      </c>
      <c r="J7203" s="20" t="s">
        <v>585</v>
      </c>
      <c r="K7203" s="20" t="s">
        <v>586</v>
      </c>
      <c r="L7203" s="20" t="s">
        <v>587</v>
      </c>
      <c r="M7203" s="20" t="s">
        <v>588</v>
      </c>
      <c r="N7203" s="20" t="s">
        <v>589</v>
      </c>
      <c r="O7203" s="20" t="s">
        <v>590</v>
      </c>
      <c r="P7203" s="6" t="s">
        <v>23</v>
      </c>
      <c r="R7203" s="20" t="n">
        <v>2023</v>
      </c>
      <c r="S7203" s="20" t="n">
        <v>2024</v>
      </c>
      <c r="T7203" s="20" t="n">
        <v>2025</v>
      </c>
      <c r="U7203" s="20" t="n">
        <v>2026</v>
      </c>
      <c r="V7203" s="20" t="n">
        <v>2027</v>
      </c>
      <c r="W7203" s="20" t="n">
        <v>2028</v>
      </c>
      <c r="X7203" s="20" t="n">
        <v>2029</v>
      </c>
      <c r="Y7203" s="20" t="n">
        <v>2030</v>
      </c>
      <c r="Z7203" s="20" t="n">
        <v>2031</v>
      </c>
      <c r="AA7203" s="20" t="n">
        <v>2032</v>
      </c>
    </row>
    <row r="7204" customFormat="false" ht="17.15" hidden="false" customHeight="false" outlineLevel="0" collapsed="false">
      <c r="A7204" s="1" t="s">
        <v>716</v>
      </c>
    </row>
    <row r="7205" customFormat="false" ht="15" hidden="false" customHeight="false" outlineLevel="0" collapsed="false">
      <c r="A7205" s="0" t="s">
        <v>519</v>
      </c>
      <c r="B7205" s="0" t="s">
        <v>86</v>
      </c>
      <c r="C7205" s="38" t="n">
        <f aca="false">Sens!$C$7110</f>
        <v>247.029</v>
      </c>
      <c r="D7205" s="38" t="n">
        <f aca="false">Sens!$D$7110</f>
        <v>269.287</v>
      </c>
      <c r="E7205" s="38" t="n">
        <f aca="false">Sens!$E$7110</f>
        <v>134.686</v>
      </c>
      <c r="F7205" s="38" t="n">
        <f aca="false">Sens!$F$7110</f>
        <v>158.293876822267</v>
      </c>
      <c r="G7205" s="38" t="n">
        <f aca="false">Sens!$G$7110</f>
        <v>292.979876822267</v>
      </c>
      <c r="H7205" s="38" t="n">
        <f aca="false">Sens!$H$7110</f>
        <v>318.184543087396</v>
      </c>
      <c r="I7205" s="38" t="n">
        <f aca="false">Sens!$I$7110</f>
        <v>341.736278761793</v>
      </c>
      <c r="J7205" s="38" t="n">
        <f aca="false">Sens!$J$7110</f>
        <v>362.927192787048</v>
      </c>
      <c r="K7205" s="38" t="n">
        <f aca="false">Sens!$K$7110</f>
        <v>381.0735524264</v>
      </c>
      <c r="L7205" s="38" t="n">
        <f aca="false">Sens!$L$7110</f>
        <v>400.12723004772</v>
      </c>
      <c r="M7205" s="38" t="n">
        <f aca="false">Sens!$M$7110</f>
        <v>420.133591550106</v>
      </c>
      <c r="N7205" s="38" t="n">
        <f aca="false">Sens!$N$7110</f>
        <v>118.892</v>
      </c>
      <c r="O7205" s="38" t="n">
        <f aca="false">Sens!$O$7110</f>
        <v>150.395</v>
      </c>
    </row>
    <row r="7206" customFormat="false" ht="15" hidden="false" customHeight="false" outlineLevel="0" collapsed="false">
      <c r="A7206" s="0" t="s">
        <v>520</v>
      </c>
      <c r="B7206" s="0" t="s">
        <v>86</v>
      </c>
      <c r="C7206" s="38" t="n">
        <f aca="false">Sens!$C$7112</f>
        <v>21.215</v>
      </c>
      <c r="D7206" s="38" t="n">
        <f aca="false">Sens!$D$7112</f>
        <v>22.561</v>
      </c>
      <c r="E7206" s="38" t="n">
        <f aca="false">Sens!$E$7112</f>
        <v>11.579</v>
      </c>
      <c r="F7206" s="38" t="n">
        <f aca="false">Sens!$F$7112</f>
        <v>11.5938724610325</v>
      </c>
      <c r="G7206" s="38" t="n">
        <f aca="false">Sens!$G$7112</f>
        <v>23.1728724610325</v>
      </c>
      <c r="H7206" s="38" t="n">
        <f aca="false">Sens!$H$7112</f>
        <v>24.353392759506</v>
      </c>
      <c r="I7206" s="38" t="n">
        <f aca="false">Sens!$I$7112</f>
        <v>25.4240338872015</v>
      </c>
      <c r="J7206" s="38" t="n">
        <f aca="false">Sens!$J$7112</f>
        <v>26.3642491017174</v>
      </c>
      <c r="K7206" s="38" t="n">
        <f aca="false">Sens!$K$7112</f>
        <v>27.155176574769</v>
      </c>
      <c r="L7206" s="38" t="n">
        <f aca="false">Sens!$L$7112</f>
        <v>27.969831872012</v>
      </c>
      <c r="M7206" s="38" t="n">
        <f aca="false">Sens!$M$7112</f>
        <v>28.8089268281724</v>
      </c>
      <c r="N7206" s="38" t="n">
        <f aca="false">Sens!$N$7112</f>
        <v>11.128</v>
      </c>
      <c r="O7206" s="38" t="n">
        <f aca="false">Sens!$O$7112</f>
        <v>11.433</v>
      </c>
    </row>
    <row r="7207" customFormat="false" ht="15" hidden="false" customHeight="false" outlineLevel="0" collapsed="false">
      <c r="A7207" s="0" t="s">
        <v>521</v>
      </c>
      <c r="B7207" s="0" t="s">
        <v>86</v>
      </c>
      <c r="C7207" s="38" t="n">
        <f aca="false">Sens!$C$7114</f>
        <v>156.146</v>
      </c>
      <c r="D7207" s="38" t="n">
        <f aca="false">Sens!$D$7114</f>
        <v>172.162</v>
      </c>
      <c r="E7207" s="38" t="n">
        <f aca="false">Sens!$E$7114</f>
        <v>88.358</v>
      </c>
      <c r="F7207" s="38" t="n">
        <f aca="false">Sens!$F$7114</f>
        <v>102.004388260171</v>
      </c>
      <c r="G7207" s="38" t="n">
        <f aca="false">Sens!$G$7114</f>
        <v>190.362388260171</v>
      </c>
      <c r="H7207" s="38" t="n">
        <f aca="false">Sens!$H$7114</f>
        <v>210.343106588311</v>
      </c>
      <c r="I7207" s="38" t="n">
        <f aca="false">Sens!$I$7114</f>
        <v>229.969728494648</v>
      </c>
      <c r="J7207" s="38" t="n">
        <f aca="false">Sens!$J$7114</f>
        <v>248.747636972598</v>
      </c>
      <c r="K7207" s="38" t="n">
        <f aca="false">Sens!$K$7114</f>
        <v>266.15997156068</v>
      </c>
      <c r="L7207" s="38" t="n">
        <f aca="false">Sens!$L$7114</f>
        <v>284.791169569927</v>
      </c>
      <c r="M7207" s="38" t="n">
        <f aca="false">Sens!$M$7114</f>
        <v>304.726551439822</v>
      </c>
      <c r="N7207" s="38" t="n">
        <f aca="false">Sens!$N$7114</f>
        <v>76.86</v>
      </c>
      <c r="O7207" s="38" t="n">
        <f aca="false">Sens!$O$7114</f>
        <v>95.302</v>
      </c>
    </row>
    <row r="7208" customFormat="false" ht="15" hidden="false" customHeight="false" outlineLevel="0" collapsed="false">
      <c r="A7208" s="0" t="s">
        <v>522</v>
      </c>
      <c r="B7208" s="0" t="s">
        <v>86</v>
      </c>
      <c r="C7208" s="38" t="n">
        <f aca="false">Sens!$C$7116</f>
        <v>56.214</v>
      </c>
      <c r="D7208" s="38" t="n">
        <f aca="false">Sens!$D$7116</f>
        <v>68.635</v>
      </c>
      <c r="E7208" s="38" t="n">
        <f aca="false">Sens!$E$7116</f>
        <v>37.052</v>
      </c>
      <c r="F7208" s="38" t="n">
        <f aca="false">Sens!$F$7116</f>
        <v>46.1572219944148</v>
      </c>
      <c r="G7208" s="38" t="n">
        <f aca="false">Sens!$G$7116</f>
        <v>83.2092219944148</v>
      </c>
      <c r="H7208" s="38" t="n">
        <f aca="false">Sens!$H$7116</f>
        <v>99.8969223878976</v>
      </c>
      <c r="I7208" s="38" t="n">
        <f aca="false">Sens!$I$7116</f>
        <v>116.583111095496</v>
      </c>
      <c r="J7208" s="38" t="n">
        <f aca="false">Sens!$J$7116</f>
        <v>132.148941941952</v>
      </c>
      <c r="K7208" s="38" t="n">
        <f aca="false">Sens!$K$7116</f>
        <v>145.363836136147</v>
      </c>
      <c r="L7208" s="38" t="n">
        <f aca="false">Sens!$L$7116</f>
        <v>159.900219749762</v>
      </c>
      <c r="M7208" s="38" t="n">
        <f aca="false">Sens!$M$7116</f>
        <v>175.890241724738</v>
      </c>
      <c r="N7208" s="38" t="n">
        <f aca="false">Sens!$N$7116</f>
        <v>29.615</v>
      </c>
      <c r="O7208" s="38" t="n">
        <f aca="false">Sens!$O$7116</f>
        <v>39.02</v>
      </c>
    </row>
    <row r="7209" customFormat="false" ht="15" hidden="false" customHeight="false" outlineLevel="0" collapsed="false">
      <c r="A7209" s="0" t="s">
        <v>523</v>
      </c>
      <c r="B7209" s="0" t="s">
        <v>86</v>
      </c>
      <c r="C7209" s="38" t="n">
        <f aca="false">Sens!$C$7118</f>
        <v>44.374</v>
      </c>
      <c r="D7209" s="38" t="n">
        <f aca="false">Sens!$D$7118</f>
        <v>49.619</v>
      </c>
      <c r="E7209" s="38" t="n">
        <f aca="false">Sens!$E$7118</f>
        <v>27.157</v>
      </c>
      <c r="F7209" s="38" t="n">
        <f aca="false">Sens!$F$7118</f>
        <v>27.7764165988154</v>
      </c>
      <c r="G7209" s="38" t="n">
        <f aca="false">Sens!$G$7118</f>
        <v>54.9334165988154</v>
      </c>
      <c r="H7209" s="38" t="n">
        <f aca="false">Sens!$H$7118</f>
        <v>61.1564112561829</v>
      </c>
      <c r="I7209" s="38" t="n">
        <f aca="false">Sens!$I$7118</f>
        <v>67.2020282103945</v>
      </c>
      <c r="J7209" s="38" t="n">
        <f aca="false">Sens!$J$7118</f>
        <v>72.8757274028885</v>
      </c>
      <c r="K7209" s="38" t="n">
        <f aca="false">Sens!$K$7118</f>
        <v>77.9770283210907</v>
      </c>
      <c r="L7209" s="38" t="n">
        <f aca="false">Sens!$L$7118</f>
        <v>83.4354203035671</v>
      </c>
      <c r="M7209" s="38" t="n">
        <f aca="false">Sens!$M$7118</f>
        <v>89.2758997248168</v>
      </c>
      <c r="N7209" s="38" t="n">
        <f aca="false">Sens!$N$7118</f>
        <v>23.923</v>
      </c>
      <c r="O7209" s="38" t="n">
        <f aca="false">Sens!$O$7118</f>
        <v>25.696</v>
      </c>
    </row>
    <row r="7210" customFormat="false" ht="15" hidden="false" customHeight="false" outlineLevel="0" collapsed="false">
      <c r="A7210" s="0" t="s">
        <v>524</v>
      </c>
      <c r="B7210" s="0" t="s">
        <v>86</v>
      </c>
      <c r="C7210" s="38" t="n">
        <f aca="false">Sens!$C$7120</f>
        <v>5.425</v>
      </c>
      <c r="D7210" s="38" t="n">
        <f aca="false">Sens!$D$7120</f>
        <v>5.935</v>
      </c>
      <c r="E7210" s="38" t="n">
        <f aca="false">Sens!$E$7120</f>
        <v>3.474</v>
      </c>
      <c r="F7210" s="38" t="n">
        <f aca="false">Sens!$F$7120</f>
        <v>3.22246550883619</v>
      </c>
      <c r="G7210" s="38" t="n">
        <f aca="false">Sens!$G$7120</f>
        <v>6.69646550883619</v>
      </c>
      <c r="H7210" s="38" t="n">
        <f aca="false">Sens!$H$7120</f>
        <v>7.16251344209196</v>
      </c>
      <c r="I7210" s="38" t="n">
        <f aca="false">Sens!$I$7120</f>
        <v>7.61421070299826</v>
      </c>
      <c r="J7210" s="38" t="n">
        <f aca="false">Sens!$J$7120</f>
        <v>8.04465753523932</v>
      </c>
      <c r="K7210" s="38" t="n">
        <f aca="false">Sens!$K$7120</f>
        <v>8.44689041200128</v>
      </c>
      <c r="L7210" s="38" t="n">
        <f aca="false">Sens!$L$7120</f>
        <v>8.86923493260135</v>
      </c>
      <c r="M7210" s="38" t="n">
        <f aca="false">Sens!$M$7120</f>
        <v>9.31269667923142</v>
      </c>
      <c r="N7210" s="38" t="n">
        <f aca="false">Sens!$N$7120</f>
        <v>2.811</v>
      </c>
      <c r="O7210" s="38" t="n">
        <f aca="false">Sens!$O$7120</f>
        <v>3.124</v>
      </c>
    </row>
    <row r="7211" customFormat="false" ht="17.15" hidden="false" customHeight="false" outlineLevel="0" collapsed="false">
      <c r="A7211" s="0" t="s">
        <v>717</v>
      </c>
      <c r="B7211" s="0" t="s">
        <v>86</v>
      </c>
      <c r="C7211" s="38" t="n">
        <f aca="false">Sens!$C$7192</f>
        <v>107.556</v>
      </c>
      <c r="D7211" s="38" t="n">
        <f aca="false">Sens!$D$7192</f>
        <v>128.725</v>
      </c>
      <c r="E7211" s="38" t="n">
        <f aca="false">Sens!$E$7192</f>
        <v>79.819</v>
      </c>
      <c r="F7211" s="38" t="n">
        <f aca="false">Sens!$F$7192</f>
        <v>86.7327334389669</v>
      </c>
      <c r="G7211" s="38" t="n">
        <f aca="false">Sens!$G$7192</f>
        <v>166.551733438967</v>
      </c>
      <c r="H7211" s="38" t="n">
        <f aca="false">Sens!$H$7192</f>
        <v>221.182967828978</v>
      </c>
      <c r="I7211" s="38" t="n">
        <f aca="false">Sens!$I$7192</f>
        <v>280.27345865789</v>
      </c>
      <c r="J7211" s="38" t="n">
        <f aca="false">Sens!$J$7192</f>
        <v>338.800945197185</v>
      </c>
      <c r="K7211" s="38" t="n">
        <f aca="false">Sens!$K$7192</f>
        <v>389.88570147276</v>
      </c>
      <c r="L7211" s="38" t="n">
        <f aca="false">Sens!$L$7192</f>
        <v>430.080689379143</v>
      </c>
      <c r="M7211" s="38" t="n">
        <f aca="false">Sens!$M$7192</f>
        <v>459.456235951751</v>
      </c>
      <c r="N7211" s="38" t="n">
        <f aca="false">Sens!$N$7192</f>
        <v>60.14</v>
      </c>
      <c r="O7211" s="38" t="n">
        <f aca="false">Sens!$O$7192</f>
        <v>68.585</v>
      </c>
    </row>
    <row r="7212" customFormat="false" ht="15" hidden="false" customHeight="false" outlineLevel="0" collapsed="false">
      <c r="A7212" s="1" t="s">
        <v>512</v>
      </c>
      <c r="B7212" s="8" t="s">
        <v>86</v>
      </c>
      <c r="C7212" s="38" t="n">
        <f aca="false">Sens!$C$7125</f>
        <v>387.497</v>
      </c>
      <c r="D7212" s="38" t="n">
        <f aca="false">Sens!$D$7125</f>
        <v>426.305</v>
      </c>
      <c r="E7212" s="38" t="n">
        <f aca="false">Sens!$E$7125</f>
        <v>220.32</v>
      </c>
      <c r="F7212" s="38" t="n">
        <f aca="false">Sens!$F$7125</f>
        <v>250.639773480586</v>
      </c>
      <c r="G7212" s="38" t="n">
        <f aca="false">Sens!$G$7125</f>
        <v>470.959773480586</v>
      </c>
      <c r="H7212" s="38" t="n">
        <f aca="false">Sens!$H$7125</f>
        <v>521.386990416437</v>
      </c>
      <c r="I7212" s="38" t="n">
        <f aca="false">Sens!$I$7125</f>
        <v>570.143862887555</v>
      </c>
      <c r="J7212" s="38" t="n">
        <f aca="false">Sens!$J$7125</f>
        <v>615.391435791933</v>
      </c>
      <c r="K7212" s="38" t="n">
        <f aca="false">Sens!$K$7125</f>
        <v>655.208227561543</v>
      </c>
      <c r="L7212" s="38" t="n">
        <f aca="false">Sens!$L$7125</f>
        <v>697.807739249767</v>
      </c>
      <c r="M7212" s="38" t="n">
        <f aca="false">Sens!$M$7125</f>
        <v>743.399328463592</v>
      </c>
      <c r="N7212" s="38" t="n">
        <f aca="false">Sens!$N$7125</f>
        <v>192.955</v>
      </c>
      <c r="O7212" s="38" t="n">
        <f aca="false">Sens!$O$7125</f>
        <v>233.35</v>
      </c>
    </row>
    <row r="7213" customFormat="false" ht="15" hidden="false" customHeight="false" outlineLevel="0" collapsed="false">
      <c r="A7213" s="1" t="s">
        <v>515</v>
      </c>
      <c r="B7213" s="8" t="s">
        <v>86</v>
      </c>
      <c r="C7213" s="38" t="n">
        <f aca="false">Sens!$C$7126</f>
        <v>142.906</v>
      </c>
      <c r="D7213" s="38" t="n">
        <f aca="false">Sens!$D$7126</f>
        <v>161.894</v>
      </c>
      <c r="E7213" s="38" t="n">
        <f aca="false">Sens!$E$7126</f>
        <v>81.986</v>
      </c>
      <c r="F7213" s="38" t="n">
        <f aca="false">Sens!$F$7126</f>
        <v>98.408468164951</v>
      </c>
      <c r="G7213" s="38" t="n">
        <f aca="false">Sens!$G$7126</f>
        <v>180.394468164951</v>
      </c>
      <c r="H7213" s="38" t="n">
        <f aca="false">Sens!$H$7126</f>
        <v>199.709899104949</v>
      </c>
      <c r="I7213" s="38" t="n">
        <f aca="false">Sens!$I$7126</f>
        <v>218.385528264976</v>
      </c>
      <c r="J7213" s="38" t="n">
        <f aca="false">Sens!$J$7126</f>
        <v>235.71696994951</v>
      </c>
      <c r="K7213" s="38" t="n">
        <f aca="false">Sens!$K$7126</f>
        <v>250.968227869545</v>
      </c>
      <c r="L7213" s="38" t="n">
        <f aca="false">Sens!$L$7126</f>
        <v>267.285367225822</v>
      </c>
      <c r="M7213" s="38" t="n">
        <f aca="false">Sens!$M$7126</f>
        <v>284.748579483295</v>
      </c>
      <c r="N7213" s="38" t="n">
        <f aca="false">Sens!$N$7126</f>
        <v>70.274</v>
      </c>
      <c r="O7213" s="38" t="n">
        <f aca="false">Sens!$O$7126</f>
        <v>91.62</v>
      </c>
    </row>
    <row r="7214" customFormat="false" ht="15" hidden="false" customHeight="false" outlineLevel="0" collapsed="false">
      <c r="A7214" s="1" t="s">
        <v>516</v>
      </c>
      <c r="B7214" s="8" t="s">
        <v>86</v>
      </c>
      <c r="C7214" s="38" t="n">
        <f aca="false">Sens!$C$7192</f>
        <v>107.556</v>
      </c>
      <c r="D7214" s="38" t="n">
        <f aca="false">Sens!$D$7192</f>
        <v>128.725</v>
      </c>
      <c r="E7214" s="38" t="n">
        <f aca="false">Sens!$E$7192</f>
        <v>79.819</v>
      </c>
      <c r="F7214" s="38" t="n">
        <f aca="false">Sens!$F$7192</f>
        <v>86.7327334389669</v>
      </c>
      <c r="G7214" s="38" t="n">
        <f aca="false">Sens!$G$7192</f>
        <v>166.551733438967</v>
      </c>
      <c r="H7214" s="38" t="n">
        <f aca="false">Sens!$H$7192</f>
        <v>221.182967828978</v>
      </c>
      <c r="I7214" s="38" t="n">
        <f aca="false">Sens!$I$7192</f>
        <v>280.27345865789</v>
      </c>
      <c r="J7214" s="38" t="n">
        <f aca="false">Sens!$J$7192</f>
        <v>338.800945197185</v>
      </c>
      <c r="K7214" s="38" t="n">
        <f aca="false">Sens!$K$7192</f>
        <v>389.88570147276</v>
      </c>
      <c r="L7214" s="38" t="n">
        <f aca="false">Sens!$L$7192</f>
        <v>430.080689379143</v>
      </c>
      <c r="M7214" s="38" t="n">
        <f aca="false">Sens!$M$7192</f>
        <v>459.456235951751</v>
      </c>
      <c r="N7214" s="38" t="n">
        <f aca="false">Sens!$N$7192</f>
        <v>60.14</v>
      </c>
      <c r="O7214" s="38" t="n">
        <f aca="false">Sens!$O$7192</f>
        <v>68.585</v>
      </c>
    </row>
    <row r="7215" customFormat="false" ht="17.15" hidden="false" customHeight="false" outlineLevel="0" collapsed="false">
      <c r="A7215" s="0" t="s">
        <v>691</v>
      </c>
      <c r="B7215" s="0" t="s">
        <v>86</v>
      </c>
      <c r="C7215" s="38" t="n">
        <f aca="false">Sens!$C$7190</f>
        <v>2.32100535697364</v>
      </c>
      <c r="D7215" s="38" t="n">
        <f aca="false">Sens!$D$7190</f>
        <v>8.70377008865116</v>
      </c>
      <c r="E7215" s="38" t="n">
        <f aca="false">Sens!$E$7190</f>
        <v>8.51035297557002</v>
      </c>
      <c r="F7215" s="38" t="n">
        <f aca="false">Sens!$F$7190</f>
        <v>14.9634336447205</v>
      </c>
      <c r="G7215" s="38" t="n">
        <f aca="false">Sens!$G$7190</f>
        <v>23.4737866202905</v>
      </c>
      <c r="H7215" s="38" t="n">
        <f aca="false">Sens!$H$7190</f>
        <v>60.1658907497746</v>
      </c>
      <c r="I7215" s="38" t="n">
        <f aca="false">Sens!$I$7190</f>
        <v>101.503699136432</v>
      </c>
      <c r="J7215" s="38" t="n">
        <f aca="false">Sens!$J$7190</f>
        <v>143.025407151278</v>
      </c>
      <c r="K7215" s="38" t="n">
        <f aca="false">Sens!$K$7190</f>
        <v>178.44812038318</v>
      </c>
      <c r="L7215" s="38" t="n">
        <f aca="false">Sens!$L$7190</f>
        <v>201.728101802396</v>
      </c>
      <c r="M7215" s="38" t="n">
        <f aca="false">Sens!$M$7190</f>
        <v>212.835441368865</v>
      </c>
      <c r="N7215" s="38" t="n">
        <f aca="false">Sens!$N$7190</f>
        <v>3.04631953102791</v>
      </c>
      <c r="O7215" s="38" t="n">
        <f aca="false">Sens!$O$7190</f>
        <v>5.65745055762326</v>
      </c>
    </row>
    <row r="7216" customFormat="false" ht="17.15" hidden="false" customHeight="false" outlineLevel="0" collapsed="false">
      <c r="A7216" s="0" t="s">
        <v>693</v>
      </c>
      <c r="B7216" s="0" t="s">
        <v>86</v>
      </c>
      <c r="C7216" s="38" t="n">
        <f aca="false">Sens!$C$7191</f>
        <v>105.234994643026</v>
      </c>
      <c r="D7216" s="38" t="n">
        <f aca="false">Sens!$D$7191</f>
        <v>120.021229911349</v>
      </c>
      <c r="E7216" s="38" t="n">
        <f aca="false">Sens!$E$7191</f>
        <v>71.30864702443</v>
      </c>
      <c r="F7216" s="38" t="n">
        <f aca="false">Sens!$F$7191</f>
        <v>71.7692997942464</v>
      </c>
      <c r="G7216" s="38" t="n">
        <f aca="false">Sens!$G$7191</f>
        <v>143.077946818676</v>
      </c>
      <c r="H7216" s="38" t="n">
        <f aca="false">Sens!$H$7191</f>
        <v>161.017077079203</v>
      </c>
      <c r="I7216" s="38" t="n">
        <f aca="false">Sens!$I$7191</f>
        <v>178.769759521457</v>
      </c>
      <c r="J7216" s="38" t="n">
        <f aca="false">Sens!$J$7191</f>
        <v>195.775538045907</v>
      </c>
      <c r="K7216" s="38" t="n">
        <f aca="false">Sens!$K$7191</f>
        <v>211.43758108958</v>
      </c>
      <c r="L7216" s="38" t="n">
        <f aca="false">Sens!$L$7191</f>
        <v>228.352587576746</v>
      </c>
      <c r="M7216" s="38" t="n">
        <f aca="false">Sens!$M$7191</f>
        <v>246.620794582886</v>
      </c>
      <c r="N7216" s="38" t="n">
        <f aca="false">Sens!$N$7191</f>
        <v>57.0936804689721</v>
      </c>
      <c r="O7216" s="38" t="n">
        <f aca="false">Sens!$O$7191</f>
        <v>62.9275494423768</v>
      </c>
    </row>
    <row r="7217" customFormat="false" ht="15" hidden="false" customHeight="false" outlineLevel="0" collapsed="false">
      <c r="A7217" s="3" t="s">
        <v>517</v>
      </c>
      <c r="B7217" s="8" t="s">
        <v>86</v>
      </c>
      <c r="C7217" s="38" t="n">
        <f aca="false">Sens!$C$7193</f>
        <v>637.959</v>
      </c>
      <c r="D7217" s="38" t="n">
        <f aca="false">Sens!$D$7193</f>
        <v>716.924</v>
      </c>
      <c r="E7217" s="38" t="n">
        <f aca="false">Sens!$E$7193</f>
        <v>382.125</v>
      </c>
      <c r="F7217" s="38" t="n">
        <f aca="false">Sens!$F$7193</f>
        <v>435.780975084504</v>
      </c>
      <c r="G7217" s="38" t="n">
        <f aca="false">Sens!$G$7193</f>
        <v>817.905975084504</v>
      </c>
      <c r="H7217" s="38" t="n">
        <f aca="false">Sens!$H$7193</f>
        <v>942.279857350364</v>
      </c>
      <c r="I7217" s="38" t="n">
        <f aca="false">Sens!$I$7193</f>
        <v>1068.80284981042</v>
      </c>
      <c r="J7217" s="38" t="n">
        <f aca="false">Sens!$J$7193</f>
        <v>1189.90935093863</v>
      </c>
      <c r="K7217" s="38" t="n">
        <f aca="false">Sens!$K$7193</f>
        <v>1296.06215690385</v>
      </c>
      <c r="L7217" s="38" t="n">
        <f aca="false">Sens!$L$7193</f>
        <v>1395.17379585473</v>
      </c>
      <c r="M7217" s="38" t="n">
        <f aca="false">Sens!$M$7193</f>
        <v>1487.60414389864</v>
      </c>
      <c r="N7217" s="38" t="n">
        <f aca="false">Sens!$N$7193</f>
        <v>323.369</v>
      </c>
      <c r="O7217" s="38" t="n">
        <f aca="false">Sens!$O$7193</f>
        <v>393.555</v>
      </c>
    </row>
    <row r="7218" customFormat="false" ht="17.15" hidden="false" customHeight="false" outlineLevel="0" collapsed="false">
      <c r="A7218" s="24" t="s">
        <v>703</v>
      </c>
      <c r="B7218" s="25" t="s">
        <v>86</v>
      </c>
      <c r="C7218" s="41" t="n">
        <f aca="false">Sens!$C$7205+Sens!$C$7206+Sens!$C$7207+Sens!$C$7208+Sens!$C$7209+Sens!$C$7210-(Sens!$C$7212+Sens!$C$7213)</f>
        <v>0</v>
      </c>
      <c r="D7218" s="41" t="n">
        <f aca="false">Sens!$D$7205+Sens!$D$7206+Sens!$D$7207+Sens!$D$7208+Sens!$D$7209+Sens!$D$7210-(Sens!$D$7212+Sens!$D$7213)</f>
        <v>0</v>
      </c>
      <c r="E7218" s="41" t="n">
        <f aca="false">Sens!$E$7205+Sens!$E$7206+Sens!$E$7207+Sens!$E$7208+Sens!$E$7209+Sens!$E$7210-(Sens!$E$7212+Sens!$E$7213)</f>
        <v>0</v>
      </c>
      <c r="F7218" s="41" t="n">
        <f aca="false">Sens!$F$7205+Sens!$F$7206+Sens!$F$7207+Sens!$F$7208+Sens!$F$7209+Sens!$F$7210-(Sens!$F$7212+Sens!$F$7213)</f>
        <v>0</v>
      </c>
      <c r="G7218" s="41" t="n">
        <f aca="false">Sens!$G$7205+Sens!$G$7206+Sens!$G$7207+Sens!$G$7208+Sens!$G$7209+Sens!$G$7210-(Sens!$G$7212+Sens!$G$7213)</f>
        <v>0</v>
      </c>
      <c r="H7218" s="41" t="n">
        <f aca="false">Sens!$H$7205+Sens!$H$7206+Sens!$H$7207+Sens!$H$7208+Sens!$H$7209+Sens!$H$7210-(Sens!$H$7212+Sens!$H$7213)</f>
        <v>0</v>
      </c>
      <c r="I7218" s="41" t="n">
        <f aca="false">Sens!$I$7205+Sens!$I$7206+Sens!$I$7207+Sens!$I$7208+Sens!$I$7209+Sens!$I$7210-(Sens!$I$7212+Sens!$I$7213)</f>
        <v>0</v>
      </c>
      <c r="J7218" s="41" t="n">
        <f aca="false">Sens!$J$7205+Sens!$J$7206+Sens!$J$7207+Sens!$J$7208+Sens!$J$7209+Sens!$J$7210-(Sens!$J$7212+Sens!$J$7213)</f>
        <v>0</v>
      </c>
      <c r="K7218" s="41" t="n">
        <f aca="false">Sens!$K$7205+Sens!$K$7206+Sens!$K$7207+Sens!$K$7208+Sens!$K$7209+Sens!$K$7210-(Sens!$K$7212+Sens!$K$7213)</f>
        <v>0</v>
      </c>
      <c r="L7218" s="41" t="n">
        <f aca="false">Sens!$L$7205+Sens!$L$7206+Sens!$L$7207+Sens!$L$7208+Sens!$L$7209+Sens!$L$7210-(Sens!$L$7212+Sens!$L$7213)</f>
        <v>0</v>
      </c>
      <c r="M7218" s="41" t="n">
        <f aca="false">Sens!$M$7205+Sens!$M$7206+Sens!$M$7207+Sens!$M$7208+Sens!$M$7209+Sens!$M$7210-(Sens!$M$7212+Sens!$M$7213)</f>
        <v>0</v>
      </c>
      <c r="N7218" s="41" t="n">
        <f aca="false">Sens!$N$7205+Sens!$N$7206+Sens!$N$7207+Sens!$N$7208+Sens!$N$7209+Sens!$N$7210-(Sens!$N$7212+Sens!$N$7213)</f>
        <v>0</v>
      </c>
      <c r="O7218" s="41" t="n">
        <f aca="false">Sens!$O$7205+Sens!$O$7206+Sens!$O$7207+Sens!$O$7208+Sens!$O$7209+Sens!$O$7210-(Sens!$O$7212+Sens!$O$7213)</f>
        <v>0</v>
      </c>
    </row>
    <row r="7219" customFormat="false" ht="17.15" hidden="false" customHeight="false" outlineLevel="0" collapsed="false">
      <c r="A7219" s="24" t="s">
        <v>704</v>
      </c>
      <c r="B7219" s="25" t="s">
        <v>86</v>
      </c>
      <c r="C7219" s="41" t="n">
        <f aca="false">Sens!$C$7215+Sens!$C$7216-Sens!$C$7214</f>
        <v>0</v>
      </c>
      <c r="D7219" s="41" t="n">
        <f aca="false">Sens!$D$7215+Sens!$D$7216-Sens!$D$7214</f>
        <v>0</v>
      </c>
      <c r="E7219" s="41" t="n">
        <f aca="false">Sens!$E$7215+Sens!$E$7216-Sens!$E$7214</f>
        <v>0</v>
      </c>
      <c r="F7219" s="41" t="n">
        <f aca="false">Sens!$F$7215+Sens!$F$7216-Sens!$F$7214</f>
        <v>0</v>
      </c>
      <c r="G7219" s="41" t="n">
        <f aca="false">Sens!$G$7215+Sens!$G$7216-Sens!$G$7214</f>
        <v>0</v>
      </c>
      <c r="H7219" s="41" t="n">
        <f aca="false">Sens!$H$7215+Sens!$H$7216-Sens!$H$7214</f>
        <v>0</v>
      </c>
      <c r="I7219" s="41" t="n">
        <f aca="false">Sens!$I$7215+Sens!$I$7216-Sens!$I$7214</f>
        <v>0</v>
      </c>
      <c r="J7219" s="41" t="n">
        <f aca="false">Sens!$J$7215+Sens!$J$7216-Sens!$J$7214</f>
        <v>0</v>
      </c>
      <c r="K7219" s="41" t="n">
        <f aca="false">Sens!$K$7215+Sens!$K$7216-Sens!$K$7214</f>
        <v>0</v>
      </c>
      <c r="L7219" s="41" t="n">
        <f aca="false">Sens!$L$7215+Sens!$L$7216-Sens!$L$7214</f>
        <v>0</v>
      </c>
      <c r="M7219" s="41" t="n">
        <f aca="false">Sens!$M$7215+Sens!$M$7216-Sens!$M$7214</f>
        <v>0</v>
      </c>
      <c r="N7219" s="41" t="n">
        <f aca="false">Sens!$N$7215+Sens!$N$7216-Sens!$N$7214</f>
        <v>0</v>
      </c>
      <c r="O7219" s="41" t="n">
        <f aca="false">Sens!$O$7215+Sens!$O$7216-Sens!$O$7214</f>
        <v>0</v>
      </c>
    </row>
    <row r="7220" customFormat="false" ht="17.15" hidden="false" customHeight="false" outlineLevel="0" collapsed="false">
      <c r="A7220" s="24" t="s">
        <v>763</v>
      </c>
      <c r="B7220" s="25" t="s">
        <v>86</v>
      </c>
      <c r="C7220" s="41" t="n">
        <f aca="false">Sens!$C$7205+Sens!$C$7206+Sens!$C$7207+Sens!$C$7208+Sens!$C$7209+Sens!$C$7210+Sens!$C$7211-Sens!$C$7217</f>
        <v>0</v>
      </c>
      <c r="D7220" s="41" t="n">
        <f aca="false">Sens!$D$7205+Sens!$D$7206+Sens!$D$7207+Sens!$D$7208+Sens!$D$7209+Sens!$D$7210+Sens!$D$7211-Sens!$D$7217</f>
        <v>0</v>
      </c>
      <c r="E7220" s="41" t="n">
        <f aca="false">Sens!$E$7205+Sens!$E$7206+Sens!$E$7207+Sens!$E$7208+Sens!$E$7209+Sens!$E$7210+Sens!$E$7211-Sens!$E$7217</f>
        <v>0</v>
      </c>
      <c r="F7220" s="41" t="n">
        <f aca="false">Sens!$F$7205+Sens!$F$7206+Sens!$F$7207+Sens!$F$7208+Sens!$F$7209+Sens!$F$7210+Sens!$F$7211-Sens!$F$7217</f>
        <v>0</v>
      </c>
      <c r="G7220" s="41" t="n">
        <f aca="false">Sens!$G$7205+Sens!$G$7206+Sens!$G$7207+Sens!$G$7208+Sens!$G$7209+Sens!$G$7210+Sens!$G$7211-Sens!$G$7217</f>
        <v>0</v>
      </c>
      <c r="H7220" s="41" t="n">
        <f aca="false">Sens!$H$7205+Sens!$H$7206+Sens!$H$7207+Sens!$H$7208+Sens!$H$7209+Sens!$H$7210+Sens!$H$7211-Sens!$H$7217</f>
        <v>0</v>
      </c>
      <c r="I7220" s="41" t="n">
        <f aca="false">Sens!$I$7205+Sens!$I$7206+Sens!$I$7207+Sens!$I$7208+Sens!$I$7209+Sens!$I$7210+Sens!$I$7211-Sens!$I$7217</f>
        <v>0</v>
      </c>
      <c r="J7220" s="41" t="n">
        <f aca="false">Sens!$J$7205+Sens!$J$7206+Sens!$J$7207+Sens!$J$7208+Sens!$J$7209+Sens!$J$7210+Sens!$J$7211-Sens!$J$7217</f>
        <v>0</v>
      </c>
      <c r="K7220" s="41" t="n">
        <f aca="false">Sens!$K$7205+Sens!$K$7206+Sens!$K$7207+Sens!$K$7208+Sens!$K$7209+Sens!$K$7210+Sens!$K$7211-Sens!$K$7217</f>
        <v>0</v>
      </c>
      <c r="L7220" s="41" t="n">
        <f aca="false">Sens!$L$7205+Sens!$L$7206+Sens!$L$7207+Sens!$L$7208+Sens!$L$7209+Sens!$L$7210+Sens!$L$7211-Sens!$L$7217</f>
        <v>0</v>
      </c>
      <c r="M7220" s="41" t="n">
        <f aca="false">Sens!$M$7205+Sens!$M$7206+Sens!$M$7207+Sens!$M$7208+Sens!$M$7209+Sens!$M$7210+Sens!$M$7211-Sens!$M$7217</f>
        <v>0</v>
      </c>
      <c r="N7220" s="41" t="n">
        <f aca="false">Sens!$N$7205+Sens!$N$7206+Sens!$N$7207+Sens!$N$7208+Sens!$N$7209+Sens!$N$7210+Sens!$N$7211-Sens!$N$7217</f>
        <v>0</v>
      </c>
      <c r="O7220" s="41" t="n">
        <f aca="false">Sens!$O$7205+Sens!$O$7206+Sens!$O$7207+Sens!$O$7208+Sens!$O$7209+Sens!$O$7210+Sens!$O$7211-Sens!$O$7217</f>
        <v>0</v>
      </c>
    </row>
    <row r="7221" customFormat="false" ht="17.15" hidden="false" customHeight="false" outlineLevel="0" collapsed="false">
      <c r="A7221" s="24" t="s">
        <v>705</v>
      </c>
      <c r="B7221" s="25" t="s">
        <v>86</v>
      </c>
      <c r="C7221" s="41" t="n">
        <f aca="false">Sens!$C$7212+Sens!$C$7213+Sens!$C$7214-Sens!$C$7217</f>
        <v>0</v>
      </c>
      <c r="D7221" s="41" t="n">
        <f aca="false">Sens!$D$7212+Sens!$D$7213+Sens!$D$7214-Sens!$D$7217</f>
        <v>0</v>
      </c>
      <c r="E7221" s="41" t="n">
        <f aca="false">Sens!$E$7212+Sens!$E$7213+Sens!$E$7214-Sens!$E$7217</f>
        <v>0</v>
      </c>
      <c r="F7221" s="41" t="n">
        <f aca="false">Sens!$F$7212+Sens!$F$7213+Sens!$F$7214-Sens!$F$7217</f>
        <v>0</v>
      </c>
      <c r="G7221" s="41" t="n">
        <f aca="false">Sens!$G$7212+Sens!$G$7213+Sens!$G$7214-Sens!$G$7217</f>
        <v>0</v>
      </c>
      <c r="H7221" s="41" t="n">
        <f aca="false">Sens!$H$7212+Sens!$H$7213+Sens!$H$7214-Sens!$H$7217</f>
        <v>0</v>
      </c>
      <c r="I7221" s="41" t="n">
        <f aca="false">Sens!$I$7212+Sens!$I$7213+Sens!$I$7214-Sens!$I$7217</f>
        <v>0</v>
      </c>
      <c r="J7221" s="41" t="n">
        <f aca="false">Sens!$J$7212+Sens!$J$7213+Sens!$J$7214-Sens!$J$7217</f>
        <v>0</v>
      </c>
      <c r="K7221" s="41" t="n">
        <f aca="false">Sens!$K$7212+Sens!$K$7213+Sens!$K$7214-Sens!$K$7217</f>
        <v>0</v>
      </c>
      <c r="L7221" s="41" t="n">
        <f aca="false">Sens!$L$7212+Sens!$L$7213+Sens!$L$7214-Sens!$L$7217</f>
        <v>0</v>
      </c>
      <c r="M7221" s="41" t="n">
        <f aca="false">Sens!$M$7212+Sens!$M$7213+Sens!$M$7214-Sens!$M$7217</f>
        <v>0</v>
      </c>
      <c r="N7221" s="41" t="n">
        <f aca="false">Sens!$N$7212+Sens!$N$7213+Sens!$N$7214-Sens!$N$7217</f>
        <v>0</v>
      </c>
      <c r="O7221" s="41" t="n">
        <f aca="false">Sens!$O$7212+Sens!$O$7213+Sens!$O$7214-Sens!$O$7217</f>
        <v>0</v>
      </c>
    </row>
    <row r="7222" customFormat="false" ht="17.15" hidden="false" customHeight="false" outlineLevel="0" collapsed="false">
      <c r="A7222" s="1" t="s">
        <v>719</v>
      </c>
    </row>
    <row r="7223" customFormat="false" ht="17.15" hidden="false" customHeight="false" outlineLevel="0" collapsed="false">
      <c r="A7223" s="0" t="s">
        <v>720</v>
      </c>
      <c r="B7223" s="0" t="s">
        <v>86</v>
      </c>
      <c r="C7223" s="38" t="n">
        <f aca="false">Sens!$C$7127*m_ad</f>
        <v>20.5341564414228</v>
      </c>
      <c r="D7223" s="38" t="n">
        <f aca="false">Sens!$D$7127*m_ad</f>
        <v>24.8720617299587</v>
      </c>
      <c r="E7223" s="38" t="n">
        <f aca="false">Sens!$E$7127*m_ad</f>
        <v>13.5017112462207</v>
      </c>
      <c r="F7223" s="38" t="n">
        <f aca="false">Sens!$F$7127*m_ad</f>
        <v>16.5719724165257</v>
      </c>
      <c r="G7223" s="38" t="n">
        <f aca="false">Sens!$G$7127*m_ad</f>
        <v>30.0820919220415</v>
      </c>
      <c r="H7223" s="38" t="n">
        <f aca="false">Sens!$H$7127*m_ad</f>
        <v>36.1150883276314</v>
      </c>
      <c r="I7223" s="38" t="n">
        <f aca="false">Sens!$I$7127*m_ad</f>
        <v>42.1475382231996</v>
      </c>
      <c r="J7223" s="38" t="n">
        <f aca="false">Sens!$J$7127*m_ad</f>
        <v>47.7749523864693</v>
      </c>
      <c r="K7223" s="38" t="n">
        <f aca="false">Sens!$K$7127*m_ad</f>
        <v>52.5524476251162</v>
      </c>
      <c r="L7223" s="38" t="n">
        <f aca="false">Sens!$L$7127*m_ad</f>
        <v>57.8076923876279</v>
      </c>
      <c r="M7223" s="38" t="n">
        <f aca="false">Sens!$M$7127*m_ad</f>
        <v>63.5884616263907</v>
      </c>
      <c r="N7223" s="38" t="n">
        <f aca="false">Sens!$N$7127*m_ad</f>
        <v>10.8543555706248</v>
      </c>
      <c r="O7223" s="38" t="n">
        <f aca="false">Sens!$O$7127*m_ad</f>
        <v>14.0094731821399</v>
      </c>
    </row>
    <row r="7224" customFormat="false" ht="17.15" hidden="false" customHeight="false" outlineLevel="0" collapsed="false">
      <c r="A7224" s="0" t="s">
        <v>721</v>
      </c>
      <c r="B7224" s="0" t="s">
        <v>86</v>
      </c>
      <c r="C7224" s="38" t="n">
        <f aca="false">Sens!$C$7125-Sens!$C$7127</f>
        <v>346.428687117154</v>
      </c>
      <c r="D7224" s="38" t="n">
        <f aca="false">Sens!$D$7125-Sens!$D$7127</f>
        <v>376.560876540083</v>
      </c>
      <c r="E7224" s="38" t="n">
        <f aca="false">Sens!$E$7125-Sens!$E$7127</f>
        <v>193.316577507559</v>
      </c>
      <c r="F7224" s="38" t="n">
        <f aca="false">Sens!$F$7125-Sens!$F$7127</f>
        <v>217.495828647535</v>
      </c>
      <c r="G7224" s="38" t="n">
        <f aca="false">Sens!$G$7125-Sens!$G$7127</f>
        <v>410.795589636503</v>
      </c>
      <c r="H7224" s="38" t="n">
        <f aca="false">Sens!$H$7125-Sens!$H$7127</f>
        <v>449.156813761174</v>
      </c>
      <c r="I7224" s="38" t="n">
        <f aca="false">Sens!$I$7125-Sens!$I$7127</f>
        <v>485.848786441156</v>
      </c>
      <c r="J7224" s="38" t="n">
        <f aca="false">Sens!$J$7125-Sens!$J$7127</f>
        <v>519.841531018994</v>
      </c>
      <c r="K7224" s="38" t="n">
        <f aca="false">Sens!$K$7125-Sens!$K$7127</f>
        <v>550.103332311311</v>
      </c>
      <c r="L7224" s="38" t="n">
        <f aca="false">Sens!$L$7125-Sens!$L$7127</f>
        <v>582.192354474511</v>
      </c>
      <c r="M7224" s="38" t="n">
        <f aca="false">Sens!$M$7125-Sens!$M$7127</f>
        <v>616.22240521081</v>
      </c>
      <c r="N7224" s="38" t="n">
        <f aca="false">Sens!$N$7125-Sens!$N$7127</f>
        <v>171.24628885875</v>
      </c>
      <c r="O7224" s="38" t="n">
        <f aca="false">Sens!$O$7125-Sens!$O$7127</f>
        <v>205.33105363572</v>
      </c>
    </row>
    <row r="7225" customFormat="false" ht="17.15" hidden="false" customHeight="false" outlineLevel="0" collapsed="false">
      <c r="A7225" s="0" t="s">
        <v>722</v>
      </c>
      <c r="B7225" s="0" t="s">
        <v>86</v>
      </c>
      <c r="C7225" s="38" t="n">
        <f aca="false">Sens!$C$7176*Sens!$C$7124</f>
        <v>0.123617442257179</v>
      </c>
      <c r="D7225" s="38" t="n">
        <f aca="false">Sens!$D$7176*Sens!$D$7124</f>
        <v>0.600198046024689</v>
      </c>
      <c r="E7225" s="38" t="n">
        <f aca="false">Sens!$E$7176*Sens!$E$7124</f>
        <v>0.970552432202993</v>
      </c>
      <c r="F7225" s="38" t="n">
        <f aca="false">Sens!$F$7176*Sens!$F$7124</f>
        <v>1.20013524388435</v>
      </c>
      <c r="G7225" s="38" t="n">
        <f aca="false">Sens!$G$7176*Sens!$G$7124</f>
        <v>2.17135369594947</v>
      </c>
      <c r="H7225" s="38" t="n">
        <f aca="false">Sens!$H$7176*Sens!$H$7124</f>
        <v>6.14227489656333</v>
      </c>
      <c r="I7225" s="38" t="n">
        <f aca="false">Sens!$I$7176*Sens!$I$7124</f>
        <v>11.6518054969681</v>
      </c>
      <c r="J7225" s="38" t="n">
        <f aca="false">Sens!$J$7176*Sens!$J$7124</f>
        <v>17.3105301010592</v>
      </c>
      <c r="K7225" s="38" t="n">
        <f aca="false">Sens!$K$7176*Sens!$K$7124</f>
        <v>22.8486728059883</v>
      </c>
      <c r="L7225" s="38" t="n">
        <f aca="false">Sens!$L$7176*Sens!$L$7124</f>
        <v>26.6849171332777</v>
      </c>
      <c r="M7225" s="38" t="n">
        <f aca="false">Sens!$M$7176*Sens!$M$7124</f>
        <v>29.0523240317336</v>
      </c>
      <c r="N7225" s="38" t="n">
        <f aca="false">Sens!$N$7176*Sens!$N$7124</f>
        <v>0.25053229484398</v>
      </c>
      <c r="O7225" s="38" t="n">
        <f aca="false">Sens!$O$7176*Sens!$O$7124</f>
        <v>0.349234376756897</v>
      </c>
    </row>
    <row r="7226" customFormat="false" ht="17.15" hidden="false" customHeight="false" outlineLevel="0" collapsed="false">
      <c r="A7226" s="0" t="s">
        <v>723</v>
      </c>
      <c r="B7226" s="0" t="s">
        <v>52</v>
      </c>
      <c r="C7226" s="28" t="n">
        <f aca="false">(Sens!$C$7227-Sens!$C$7223+Sens!$C$7225)/Sens!$C$7224</f>
        <v>0.0131526665379575</v>
      </c>
      <c r="D7226" s="28" t="n">
        <f aca="false">(Sens!$D$7227-Sens!$D$7223+Sens!$D$7225)/Sens!$D$7224</f>
        <v>0.0141999252954702</v>
      </c>
      <c r="E7226" s="28" t="n">
        <f aca="false">(Sens!$E$7227-Sens!$E$7223+Sens!$E$7225)/Sens!$E$7224</f>
        <v>0.0251341154940129</v>
      </c>
      <c r="F7226" s="28" t="n">
        <f aca="false">Sens!$O$7226+(Sens!$E$7226-Sens!$N$7226)</f>
        <v>0.0217171685713677</v>
      </c>
      <c r="G7226" s="28" t="n">
        <f aca="false">(Sens!$G$7227-Sens!$G$7223+Sens!$G$7225)/Sens!$G$7224</f>
        <v>0.0233071940458981</v>
      </c>
      <c r="H7226" s="28" t="n">
        <f aca="false">Sens!$G$7226+step_na</f>
        <v>0.0263071940458981</v>
      </c>
      <c r="I7226" s="28" t="n">
        <f aca="false">Sens!$H$7226+step_na</f>
        <v>0.0293071940458981</v>
      </c>
      <c r="J7226" s="28" t="n">
        <f aca="false">Sens!$I$7226+step_na</f>
        <v>0.0323071940458981</v>
      </c>
      <c r="K7226" s="28" t="n">
        <f aca="false">Sens!$J$7226+step_na</f>
        <v>0.0353071940458981</v>
      </c>
      <c r="L7226" s="28" t="n">
        <f aca="false">Sens!$K$7226</f>
        <v>0.0353071940458981</v>
      </c>
      <c r="M7226" s="28" t="n">
        <f aca="false">Sens!$L$7226</f>
        <v>0.0353071940458981</v>
      </c>
      <c r="N7226" s="28" t="n">
        <f aca="false">(Sens!$N$7227-Sens!$N$7223+Sens!$N$7225)/Sens!$N$7224</f>
        <v>0.0160831323269779</v>
      </c>
      <c r="O7226" s="28" t="n">
        <f aca="false">(Sens!$O$7227-Sens!$O$7223+Sens!$O$7225)/Sens!$O$7224</f>
        <v>0.0126661854043327</v>
      </c>
      <c r="P7226" s="8" t="s">
        <v>724</v>
      </c>
    </row>
    <row r="7227" customFormat="false" ht="17.15" hidden="false" customHeight="false" outlineLevel="0" collapsed="false">
      <c r="A7227" s="1" t="s">
        <v>725</v>
      </c>
      <c r="B7227" s="8" t="s">
        <v>86</v>
      </c>
      <c r="C7227" s="38" t="n">
        <f aca="false">Q!$D$22</f>
        <v>24.967</v>
      </c>
      <c r="D7227" s="38" t="n">
        <f aca="false">Q!$E$22</f>
        <v>29.619</v>
      </c>
      <c r="E7227" s="38" t="n">
        <f aca="false">Q!$P$22</f>
        <v>17.39</v>
      </c>
      <c r="F7227" s="38" t="n">
        <f aca="false">Sens!$F$7223+Sens!$F$7224*Sens!$F$7226-Sens!$F$7225</f>
        <v>20.0952307469491</v>
      </c>
      <c r="G7227" s="38" t="n">
        <f aca="false">Sens!$E$7227+Sens!$F$7227</f>
        <v>37.4852307469491</v>
      </c>
      <c r="H7227" s="38" t="n">
        <f aca="false">Sens!$H$7223+Sens!$H$7224*Sens!$H$7226-Sens!$H$7225</f>
        <v>41.7888688877206</v>
      </c>
      <c r="I7227" s="38" t="n">
        <f aca="false">Sens!$I$7223+Sens!$I$7224*Sens!$I$7226-Sens!$I$7225</f>
        <v>44.7345973874265</v>
      </c>
      <c r="J7227" s="38" t="n">
        <f aca="false">Sens!$J$7223+Sens!$J$7224*Sens!$J$7226-Sens!$J$7225</f>
        <v>47.2590435011574</v>
      </c>
      <c r="K7227" s="38" t="n">
        <f aca="false">Sens!$K$7223+Sens!$K$7224*Sens!$K$7226-Sens!$K$7225</f>
        <v>49.1263799183386</v>
      </c>
      <c r="L7227" s="38" t="n">
        <f aca="false">Sens!$L$7223+Sens!$L$7224*Sens!$L$7226-Sens!$L$7225</f>
        <v>51.67835368582</v>
      </c>
      <c r="M7227" s="38" t="n">
        <f aca="false">Sens!$M$7223+Sens!$M$7224*Sens!$M$7226-Sens!$M$7225</f>
        <v>56.2932216308652</v>
      </c>
      <c r="N7227" s="38" t="n">
        <f aca="false">Q!$N$22</f>
        <v>13.358</v>
      </c>
      <c r="O7227" s="38" t="n">
        <f aca="false">Q!$O$22</f>
        <v>16.261</v>
      </c>
    </row>
    <row r="7228" customFormat="false" ht="17.15" hidden="false" customHeight="false" outlineLevel="0" collapsed="false">
      <c r="A7228" s="0" t="s">
        <v>726</v>
      </c>
      <c r="B7228" s="0" t="s">
        <v>86</v>
      </c>
      <c r="C7228" s="38" t="n">
        <f aca="false">Sens!$C$7128*m_ad</f>
        <v>7.57284355857716</v>
      </c>
      <c r="D7228" s="38" t="n">
        <f aca="false">Sens!$D$7128*m_ad</f>
        <v>9.44543827004127</v>
      </c>
      <c r="E7228" s="38" t="n">
        <f aca="false">Sens!$E$7128*m_ad</f>
        <v>5.02428875377928</v>
      </c>
      <c r="F7228" s="38" t="n">
        <f aca="false">Sens!$F$7128*m_ad</f>
        <v>6.50663858068173</v>
      </c>
      <c r="G7228" s="38" t="n">
        <f aca="false">Sens!$G$7128*m_ad</f>
        <v>11.5225190751659</v>
      </c>
      <c r="H7228" s="38" t="n">
        <f aca="false">Sens!$H$7128*m_ad</f>
        <v>13.8333728663174</v>
      </c>
      <c r="I7228" s="38" t="n">
        <f aca="false">Sens!$I$7128*m_ad</f>
        <v>16.1440173245485</v>
      </c>
      <c r="J7228" s="38" t="n">
        <f aca="false">Sens!$J$7128*m_ad</f>
        <v>18.2995185845066</v>
      </c>
      <c r="K7228" s="38" t="n">
        <f aca="false">Sens!$K$7128*m_ad</f>
        <v>20.1294704429572</v>
      </c>
      <c r="L7228" s="38" t="n">
        <f aca="false">Sens!$L$7128*m_ad</f>
        <v>22.142417487253</v>
      </c>
      <c r="M7228" s="38" t="n">
        <f aca="false">Sens!$M$7128*m_ad</f>
        <v>24.3566592359783</v>
      </c>
      <c r="N7228" s="38" t="n">
        <f aca="false">Sens!$N$7128*m_ad</f>
        <v>3.95314442937518</v>
      </c>
      <c r="O7228" s="38" t="n">
        <f aca="false">Sens!$O$7128*m_ad</f>
        <v>5.50052681786011</v>
      </c>
    </row>
    <row r="7229" customFormat="false" ht="17.15" hidden="false" customHeight="false" outlineLevel="0" collapsed="false">
      <c r="A7229" s="0" t="s">
        <v>727</v>
      </c>
      <c r="B7229" s="0" t="s">
        <v>86</v>
      </c>
      <c r="C7229" s="38" t="n">
        <f aca="false">Sens!$C$7126-Sens!$C$7128</f>
        <v>127.760312882846</v>
      </c>
      <c r="D7229" s="38" t="n">
        <f aca="false">Sens!$D$7126-Sens!$D$7128</f>
        <v>143.003123459917</v>
      </c>
      <c r="E7229" s="38" t="n">
        <f aca="false">Sens!$E$7126-Sens!$E$7128</f>
        <v>71.9374224924414</v>
      </c>
      <c r="F7229" s="38" t="n">
        <f aca="false">Sens!$F$7126-Sens!$F$7128</f>
        <v>85.3951910035875</v>
      </c>
      <c r="G7229" s="38" t="n">
        <f aca="false">Sens!$G$7126-Sens!$G$7128</f>
        <v>157.349430014619</v>
      </c>
      <c r="H7229" s="38" t="n">
        <f aca="false">Sens!$H$7126-Sens!$H$7128</f>
        <v>172.043153372315</v>
      </c>
      <c r="I7229" s="38" t="n">
        <f aca="false">Sens!$I$7126-Sens!$I$7128</f>
        <v>186.097493615879</v>
      </c>
      <c r="J7229" s="38" t="n">
        <f aca="false">Sens!$J$7126-Sens!$J$7128</f>
        <v>199.117932780497</v>
      </c>
      <c r="K7229" s="38" t="n">
        <f aca="false">Sens!$K$7126-Sens!$K$7128</f>
        <v>210.70928698363</v>
      </c>
      <c r="L7229" s="38" t="n">
        <f aca="false">Sens!$L$7126-Sens!$L$7128</f>
        <v>223.000532251316</v>
      </c>
      <c r="M7229" s="38" t="n">
        <f aca="false">Sens!$M$7126-Sens!$M$7128</f>
        <v>236.035261011339</v>
      </c>
      <c r="N7229" s="38" t="n">
        <f aca="false">Sens!$N$7126-Sens!$N$7128</f>
        <v>62.3677111412496</v>
      </c>
      <c r="O7229" s="38" t="n">
        <f aca="false">Sens!$O$7126-Sens!$O$7128</f>
        <v>80.6189463642798</v>
      </c>
    </row>
    <row r="7230" customFormat="false" ht="17.15" hidden="false" customHeight="false" outlineLevel="0" collapsed="false">
      <c r="A7230" s="0" t="s">
        <v>728</v>
      </c>
      <c r="B7230" s="0" t="s">
        <v>86</v>
      </c>
      <c r="C7230" s="38" t="n">
        <f aca="false">Sens!$C$7176*(1-Sens!$C$7124)</f>
        <v>0.0455891896019953</v>
      </c>
      <c r="D7230" s="38" t="n">
        <f aca="false">Sens!$D$7176*(1-Sens!$D$7124)</f>
        <v>0.227931791705753</v>
      </c>
      <c r="E7230" s="38" t="n">
        <f aca="false">Sens!$E$7176*(1-Sens!$E$7124)</f>
        <v>0.361164268820781</v>
      </c>
      <c r="F7230" s="38" t="n">
        <f aca="false">Sens!$F$7176*(1-Sens!$F$7124)</f>
        <v>0.471208018190203</v>
      </c>
      <c r="G7230" s="38" t="n">
        <f aca="false">Sens!$G$7176*(1-Sens!$G$7124)</f>
        <v>0.83170626714885</v>
      </c>
      <c r="H7230" s="38" t="n">
        <f aca="false">Sens!$H$7176*(1-Sens!$H$7124)</f>
        <v>2.35271136874315</v>
      </c>
      <c r="I7230" s="38" t="n">
        <f aca="false">Sens!$I$7176*(1-Sens!$I$7124)</f>
        <v>4.46305900024741</v>
      </c>
      <c r="J7230" s="38" t="n">
        <f aca="false">Sens!$J$7176*(1-Sens!$J$7124)</f>
        <v>6.63055328092195</v>
      </c>
      <c r="K7230" s="38" t="n">
        <f aca="false">Sens!$K$7176*(1-Sens!$K$7124)</f>
        <v>8.75186037365703</v>
      </c>
      <c r="L7230" s="38" t="n">
        <f aca="false">Sens!$L$7176*(1-Sens!$L$7124)</f>
        <v>10.2212794071718</v>
      </c>
      <c r="M7230" s="38" t="n">
        <f aca="false">Sens!$M$7176*(1-Sens!$M$7124)</f>
        <v>11.1280810756472</v>
      </c>
      <c r="N7230" s="38" t="n">
        <f aca="false">Sens!$N$7176*(1-Sens!$N$7124)</f>
        <v>0.0912435878202994</v>
      </c>
      <c r="O7230" s="38" t="n">
        <f aca="false">Sens!$O$7176*(1-Sens!$O$7124)</f>
        <v>0.137119578309265</v>
      </c>
    </row>
    <row r="7231" customFormat="false" ht="17.15" hidden="false" customHeight="false" outlineLevel="0" collapsed="false">
      <c r="A7231" s="0" t="s">
        <v>729</v>
      </c>
      <c r="B7231" s="0" t="s">
        <v>52</v>
      </c>
      <c r="C7231" s="28" t="n">
        <f aca="false">(Sens!$C$7232-Sens!$C$7228+Sens!$C$7230)/Sens!$C$7229</f>
        <v>-0.0292364215826579</v>
      </c>
      <c r="D7231" s="28" t="n">
        <f aca="false">(Sens!$D$7232-Sens!$D$7228+Sens!$D$7230)/Sens!$D$7229</f>
        <v>-0.0312406216748665</v>
      </c>
      <c r="E7231" s="28" t="n">
        <f aca="false">(Sens!$E$7232-Sens!$E$7228+Sens!$E$7230)/Sens!$E$7229</f>
        <v>-0.0211590078184749</v>
      </c>
      <c r="F7231" s="28" t="n">
        <f aca="false">Sens!$O$7231+(Sens!$E$7231-Sens!$N$7231)</f>
        <v>-0.0382539955245511</v>
      </c>
      <c r="G7231" s="28" t="n">
        <f aca="false">(Sens!$G$7232-Sens!$G$7228+Sens!$G$7230)/Sens!$G$7229</f>
        <v>-0.030385172031133</v>
      </c>
      <c r="H7231" s="28" t="n">
        <f aca="false">Sens!$G$7231+step_in</f>
        <v>-0.030385172031133</v>
      </c>
      <c r="I7231" s="28" t="n">
        <f aca="false">Sens!$H$7231+step_in</f>
        <v>-0.030385172031133</v>
      </c>
      <c r="J7231" s="28" t="n">
        <f aca="false">Sens!$I$7231+step_in</f>
        <v>-0.030385172031133</v>
      </c>
      <c r="K7231" s="28" t="n">
        <f aca="false">Sens!$J$7231+step_in</f>
        <v>-0.030385172031133</v>
      </c>
      <c r="L7231" s="28" t="n">
        <f aca="false">Sens!$K$7231</f>
        <v>-0.030385172031133</v>
      </c>
      <c r="M7231" s="28" t="n">
        <f aca="false">Sens!$L$7231</f>
        <v>-0.030385172031133</v>
      </c>
      <c r="N7231" s="28" t="n">
        <f aca="false">(Sens!$N$7232-Sens!$N$7228+Sens!$N$7230)/Sens!$N$7229</f>
        <v>-0.0216602600421776</v>
      </c>
      <c r="O7231" s="28" t="n">
        <f aca="false">(Sens!$O$7232-Sens!$O$7228+Sens!$O$7230)/Sens!$O$7229</f>
        <v>-0.0387552477482538</v>
      </c>
      <c r="P7231" s="8" t="s">
        <v>724</v>
      </c>
    </row>
    <row r="7232" customFormat="false" ht="17.15" hidden="false" customHeight="false" outlineLevel="0" collapsed="false">
      <c r="A7232" s="1" t="s">
        <v>730</v>
      </c>
      <c r="B7232" s="8" t="s">
        <v>86</v>
      </c>
      <c r="C7232" s="38" t="n">
        <f aca="false">Q!$D$23</f>
        <v>3.792</v>
      </c>
      <c r="D7232" s="38" t="n">
        <f aca="false">Q!$E$23</f>
        <v>4.75</v>
      </c>
      <c r="E7232" s="38" t="n">
        <f aca="false">Q!$P$23</f>
        <v>3.141</v>
      </c>
      <c r="F7232" s="38" t="n">
        <f aca="false">Sens!$F$7228+Sens!$F$7229*Sens!$F$7231-Sens!$F$7230</f>
        <v>2.7687233080221</v>
      </c>
      <c r="G7232" s="38" t="n">
        <f aca="false">Sens!$E$7232+Sens!$F$7232</f>
        <v>5.9097233080221</v>
      </c>
      <c r="H7232" s="38" t="n">
        <f aca="false">Sens!$H$7228+Sens!$H$7229*Sens!$H$7231-Sens!$H$7230</f>
        <v>6.25310068557783</v>
      </c>
      <c r="I7232" s="38" t="n">
        <f aca="false">Sens!$I$7228+Sens!$I$7229*Sens!$I$7231-Sens!$I$7230</f>
        <v>6.02635396621997</v>
      </c>
      <c r="J7232" s="38" t="n">
        <f aca="false">Sens!$J$7228+Sens!$J$7229*Sens!$J$7231-Sens!$J$7230</f>
        <v>5.61873266156566</v>
      </c>
      <c r="K7232" s="38" t="n">
        <f aca="false">Sens!$K$7228+Sens!$K$7229*Sens!$K$7231-Sens!$K$7230</f>
        <v>4.97517213574524</v>
      </c>
      <c r="L7232" s="38" t="n">
        <f aca="false">Sens!$L$7228+Sens!$L$7229*Sens!$L$7231-Sens!$L$7230</f>
        <v>5.14522854459066</v>
      </c>
      <c r="M7232" s="38" t="n">
        <f aca="false">Sens!$M$7228+Sens!$M$7229*Sens!$M$7231-Sens!$M$7230</f>
        <v>6.05660614908815</v>
      </c>
      <c r="N7232" s="38" t="n">
        <f aca="false">Q!$N$23</f>
        <v>2.511</v>
      </c>
      <c r="O7232" s="38" t="n">
        <f aca="false">Q!$O$23</f>
        <v>2.239</v>
      </c>
    </row>
    <row r="7233" customFormat="false" ht="17.15" hidden="false" customHeight="false" outlineLevel="0" collapsed="false">
      <c r="A7233" s="0" t="s">
        <v>731</v>
      </c>
      <c r="B7233" s="0" t="s">
        <v>86</v>
      </c>
      <c r="C7233" s="38" t="n">
        <f aca="false">Sens!$C$7173</f>
        <v>1.64417882953695</v>
      </c>
      <c r="D7233" s="38" t="n">
        <f aca="false">Sens!$D$7173</f>
        <v>5.39125073772939</v>
      </c>
      <c r="E7233" s="38" t="n">
        <f aca="false">Sens!$E$7173</f>
        <v>3.18348617147493</v>
      </c>
      <c r="F7233" s="38" t="n">
        <f aca="false">Sens!$F$7173</f>
        <v>8.27806059642226</v>
      </c>
      <c r="G7233" s="38" t="n">
        <f aca="false">Sens!$G$7173</f>
        <v>11.4615467678972</v>
      </c>
      <c r="H7233" s="38" t="n">
        <f aca="false">Sens!$H$7173</f>
        <v>26.1859456885487</v>
      </c>
      <c r="I7233" s="38" t="n">
        <f aca="false">Sens!$I$7173</f>
        <v>37.04424114757</v>
      </c>
      <c r="J7233" s="38" t="n">
        <f aca="false">Sens!$J$7173</f>
        <v>47.2610736233534</v>
      </c>
      <c r="K7233" s="38" t="n">
        <f aca="false">Sens!$K$7173</f>
        <v>52.0459876645985</v>
      </c>
      <c r="L7233" s="38" t="n">
        <f aca="false">Sens!$L$7173</f>
        <v>54.1033156405981</v>
      </c>
      <c r="M7233" s="38" t="n">
        <f aca="false">Sens!$M$7173</f>
        <v>52.1138209393421</v>
      </c>
      <c r="N7233" s="38" t="n">
        <f aca="false">Sens!$N$7173</f>
        <v>1.67921600037079</v>
      </c>
      <c r="O7233" s="38" t="n">
        <f aca="false">Sens!$O$7173</f>
        <v>3.71203473735861</v>
      </c>
    </row>
    <row r="7234" customFormat="false" ht="17.15" hidden="false" customHeight="false" outlineLevel="0" collapsed="false">
      <c r="A7234" s="0" t="s">
        <v>649</v>
      </c>
      <c r="B7234" s="0" t="s">
        <v>86</v>
      </c>
      <c r="C7234" s="38" t="n">
        <f aca="false">Sens!$C$7178</f>
        <v>38.1898211704631</v>
      </c>
      <c r="D7234" s="38" t="n">
        <f aca="false">Sens!$D$7178</f>
        <v>40.2147492622706</v>
      </c>
      <c r="E7234" s="38" t="n">
        <f aca="false">Sens!$E$7178</f>
        <v>27.5985138285251</v>
      </c>
      <c r="F7234" s="38" t="n">
        <f aca="false">Sens!$F$7178</f>
        <v>25.5484769754606</v>
      </c>
      <c r="G7234" s="38" t="n">
        <f aca="false">Sens!$G$7178</f>
        <v>53.1469908039857</v>
      </c>
      <c r="H7234" s="38" t="n">
        <f aca="false">Sens!$H$7178</f>
        <v>57.3189525076539</v>
      </c>
      <c r="I7234" s="38" t="n">
        <f aca="false">Sens!$I$7178</f>
        <v>63.6385627021087</v>
      </c>
      <c r="J7234" s="38" t="n">
        <f aca="false">Sens!$J$7178</f>
        <v>69.6922896066105</v>
      </c>
      <c r="K7234" s="38" t="n">
        <f aca="false">Sens!$K$7178</f>
        <v>75.2676727751394</v>
      </c>
      <c r="L7234" s="38" t="n">
        <f aca="false">Sens!$L$7178</f>
        <v>81.2890865971505</v>
      </c>
      <c r="M7234" s="38" t="n">
        <f aca="false">Sens!$M$7178</f>
        <v>87.7922135249226</v>
      </c>
      <c r="N7234" s="38" t="n">
        <f aca="false">Sens!$N$7178</f>
        <v>20.0277839996292</v>
      </c>
      <c r="O7234" s="38" t="n">
        <f aca="false">Sens!$O$7178</f>
        <v>20.1869652626414</v>
      </c>
    </row>
    <row r="7235" customFormat="false" ht="17.15" hidden="false" customHeight="false" outlineLevel="0" collapsed="false">
      <c r="A7235" s="1" t="s">
        <v>732</v>
      </c>
      <c r="B7235" s="8" t="s">
        <v>86</v>
      </c>
      <c r="C7235" s="38" t="n">
        <f aca="false">Q!$D$24</f>
        <v>39.834</v>
      </c>
      <c r="D7235" s="38" t="n">
        <f aca="false">Q!$E$24</f>
        <v>45.606</v>
      </c>
      <c r="E7235" s="38" t="n">
        <f aca="false">Q!$P$24</f>
        <v>30.782</v>
      </c>
      <c r="F7235" s="38" t="n">
        <f aca="false">Sens!$F$7233+Sens!$F$7234</f>
        <v>33.8265375718829</v>
      </c>
      <c r="G7235" s="38" t="n">
        <f aca="false">Sens!$G$7233+Sens!$G$7234</f>
        <v>64.6085375718829</v>
      </c>
      <c r="H7235" s="38" t="n">
        <f aca="false">Sens!$H$7233+Sens!$H$7234</f>
        <v>83.5048981962026</v>
      </c>
      <c r="I7235" s="38" t="n">
        <f aca="false">Sens!$I$7233+Sens!$I$7234</f>
        <v>100.682803849679</v>
      </c>
      <c r="J7235" s="38" t="n">
        <f aca="false">Sens!$J$7233+Sens!$J$7234</f>
        <v>116.953363229964</v>
      </c>
      <c r="K7235" s="38" t="n">
        <f aca="false">Sens!$K$7233+Sens!$K$7234</f>
        <v>127.313660439738</v>
      </c>
      <c r="L7235" s="38" t="n">
        <f aca="false">Sens!$L$7233+Sens!$L$7234</f>
        <v>135.392402237749</v>
      </c>
      <c r="M7235" s="38" t="n">
        <f aca="false">Sens!$M$7233+Sens!$M$7234</f>
        <v>139.906034464265</v>
      </c>
      <c r="N7235" s="38" t="n">
        <f aca="false">Q!$N$24</f>
        <v>21.707</v>
      </c>
      <c r="O7235" s="38" t="n">
        <f aca="false">Q!$O$24</f>
        <v>23.899</v>
      </c>
    </row>
    <row r="7236" customFormat="false" ht="17.15" hidden="false" customHeight="false" outlineLevel="0" collapsed="false">
      <c r="A7236" s="5" t="s">
        <v>733</v>
      </c>
      <c r="B7236" s="0" t="s">
        <v>86</v>
      </c>
      <c r="C7236" s="38" t="n">
        <f aca="false">Q!$D$26</f>
        <v>0</v>
      </c>
      <c r="D7236" s="38" t="n">
        <f aca="false">Q!$E$26</f>
        <v>0</v>
      </c>
      <c r="E7236" s="38" t="n">
        <f aca="false">Q!$P$26</f>
        <v>0</v>
      </c>
      <c r="F7236" s="39" t="n">
        <v>0</v>
      </c>
      <c r="G7236" s="38" t="n">
        <f aca="false">Sens!$E$7236+Sens!$F$7236</f>
        <v>0</v>
      </c>
      <c r="H7236" s="39" t="n">
        <v>0</v>
      </c>
      <c r="I7236" s="39" t="n">
        <v>0</v>
      </c>
      <c r="J7236" s="39" t="n">
        <v>0</v>
      </c>
      <c r="K7236" s="39" t="n">
        <v>0</v>
      </c>
      <c r="L7236" s="39" t="n">
        <v>0</v>
      </c>
      <c r="M7236" s="39" t="n">
        <v>0</v>
      </c>
      <c r="N7236" s="38" t="n">
        <f aca="false">Q!$N$26</f>
        <v>0</v>
      </c>
      <c r="O7236" s="38" t="n">
        <f aca="false">Q!$O$26</f>
        <v>0</v>
      </c>
    </row>
    <row r="7237" customFormat="false" ht="15" hidden="false" customHeight="false" outlineLevel="0" collapsed="false">
      <c r="A7237" s="3" t="s">
        <v>534</v>
      </c>
      <c r="B7237" s="8" t="s">
        <v>86</v>
      </c>
      <c r="C7237" s="38" t="n">
        <f aca="false">Q!$D$25</f>
        <v>68.593</v>
      </c>
      <c r="D7237" s="38" t="n">
        <f aca="false">Q!$E$25</f>
        <v>79.975</v>
      </c>
      <c r="E7237" s="38" t="n">
        <f aca="false">Q!$P$25</f>
        <v>51.313</v>
      </c>
      <c r="F7237" s="38" t="n">
        <f aca="false">Sens!$F$7227+Sens!$F$7232+Sens!$F$7235+Sens!$F$7236</f>
        <v>56.6904916268541</v>
      </c>
      <c r="G7237" s="38" t="n">
        <f aca="false">Sens!$G$7227+Sens!$G$7232+Sens!$G$7235+Sens!$G$7236</f>
        <v>108.003491626854</v>
      </c>
      <c r="H7237" s="38" t="n">
        <f aca="false">Sens!$H$7227+Sens!$H$7232+Sens!$H$7235+Sens!$H$7236</f>
        <v>131.546867769501</v>
      </c>
      <c r="I7237" s="38" t="n">
        <f aca="false">Sens!$I$7227+Sens!$I$7232+Sens!$I$7235+Sens!$I$7236</f>
        <v>151.443755203325</v>
      </c>
      <c r="J7237" s="38" t="n">
        <f aca="false">Sens!$J$7227+Sens!$J$7232+Sens!$J$7235+Sens!$J$7236</f>
        <v>169.831139392687</v>
      </c>
      <c r="K7237" s="38" t="n">
        <f aca="false">Sens!$K$7227+Sens!$K$7232+Sens!$K$7235+Sens!$K$7236</f>
        <v>181.415212493822</v>
      </c>
      <c r="L7237" s="38" t="n">
        <f aca="false">Sens!$L$7227+Sens!$L$7232+Sens!$L$7235+Sens!$L$7236</f>
        <v>192.215984468159</v>
      </c>
      <c r="M7237" s="38" t="n">
        <f aca="false">Sens!$M$7227+Sens!$M$7232+Sens!$M$7235+Sens!$M$7236</f>
        <v>202.255862244218</v>
      </c>
      <c r="N7237" s="38" t="n">
        <f aca="false">Q!$N$25</f>
        <v>37.576</v>
      </c>
      <c r="O7237" s="38" t="n">
        <f aca="false">Q!$O$25</f>
        <v>42.399</v>
      </c>
    </row>
    <row r="7238" customFormat="false" ht="17.15" hidden="false" customHeight="false" outlineLevel="0" collapsed="false">
      <c r="A7238" s="24" t="s">
        <v>764</v>
      </c>
      <c r="B7238" s="25" t="s">
        <v>86</v>
      </c>
      <c r="C7238" s="41" t="n">
        <f aca="false">Sens!$C$7227+Sens!$C$7232+Sens!$C$7235+Sens!$C$7236-Sens!$C$7237</f>
        <v>0</v>
      </c>
      <c r="D7238" s="41" t="n">
        <f aca="false">Sens!$D$7227+Sens!$D$7232+Sens!$D$7235+Sens!$D$7236-Sens!$D$7237</f>
        <v>0</v>
      </c>
      <c r="E7238" s="41" t="n">
        <f aca="false">Sens!$E$7227+Sens!$E$7232+Sens!$E$7235+Sens!$E$7236-Sens!$E$7237</f>
        <v>0</v>
      </c>
      <c r="F7238" s="41" t="n">
        <f aca="false">Sens!$F$7227+Sens!$F$7232+Sens!$F$7235+Sens!$F$7236-Sens!$F$7237</f>
        <v>0</v>
      </c>
      <c r="G7238" s="41" t="n">
        <f aca="false">Sens!$G$7227+Sens!$G$7232+Sens!$G$7235+Sens!$G$7236-Sens!$G$7237</f>
        <v>0</v>
      </c>
      <c r="H7238" s="41" t="n">
        <f aca="false">Sens!$H$7227+Sens!$H$7232+Sens!$H$7235+Sens!$H$7236-Sens!$H$7237</f>
        <v>0</v>
      </c>
      <c r="I7238" s="41" t="n">
        <f aca="false">Sens!$I$7227+Sens!$I$7232+Sens!$I$7235+Sens!$I$7236-Sens!$I$7237</f>
        <v>0</v>
      </c>
      <c r="J7238" s="41" t="n">
        <f aca="false">Sens!$J$7227+Sens!$J$7232+Sens!$J$7235+Sens!$J$7236-Sens!$J$7237</f>
        <v>0</v>
      </c>
      <c r="K7238" s="41" t="n">
        <f aca="false">Sens!$K$7227+Sens!$K$7232+Sens!$K$7235+Sens!$K$7236-Sens!$K$7237</f>
        <v>0</v>
      </c>
      <c r="L7238" s="41" t="n">
        <f aca="false">Sens!$L$7227+Sens!$L$7232+Sens!$L$7235+Sens!$L$7236-Sens!$L$7237</f>
        <v>0</v>
      </c>
      <c r="M7238" s="41" t="n">
        <f aca="false">Sens!$M$7227+Sens!$M$7232+Sens!$M$7235+Sens!$M$7236-Sens!$M$7237</f>
        <v>0</v>
      </c>
      <c r="N7238" s="41" t="n">
        <f aca="false">Sens!$N$7227+Sens!$N$7232+Sens!$N$7235+Sens!$N$7236-Sens!$N$7237</f>
        <v>0</v>
      </c>
      <c r="O7238" s="41" t="n">
        <f aca="false">Sens!$O$7227+Sens!$O$7232+Sens!$O$7235+Sens!$O$7236-Sens!$O$7237</f>
        <v>0</v>
      </c>
    </row>
    <row r="7239" customFormat="false" ht="17.15" hidden="false" customHeight="false" outlineLevel="0" collapsed="false">
      <c r="A7239" s="5" t="s">
        <v>735</v>
      </c>
      <c r="B7239" s="0" t="s">
        <v>86</v>
      </c>
      <c r="C7239" s="38" t="n">
        <f aca="false">Sens!$C$7175</f>
        <v>0</v>
      </c>
      <c r="D7239" s="38" t="n">
        <f aca="false">Sens!$D$7175</f>
        <v>0</v>
      </c>
      <c r="E7239" s="38" t="n">
        <f aca="false">Sens!$E$7175</f>
        <v>0</v>
      </c>
      <c r="F7239" s="38" t="n">
        <f aca="false">Sens!$F$7175</f>
        <v>3.77122048175818</v>
      </c>
      <c r="G7239" s="38" t="n">
        <f aca="false">Sens!$G$7175</f>
        <v>3.77122048175818</v>
      </c>
      <c r="H7239" s="38" t="n">
        <f aca="false">Sens!$H$7175</f>
        <v>15.1635543609893</v>
      </c>
      <c r="I7239" s="38" t="n">
        <f aca="false">Sens!$I$7175</f>
        <v>25.5818843619889</v>
      </c>
      <c r="J7239" s="38" t="n">
        <f aca="false">Sens!$J$7175</f>
        <v>36.0465624179122</v>
      </c>
      <c r="K7239" s="38" t="n">
        <f aca="false">Sens!$K$7175</f>
        <v>44.9741164026038</v>
      </c>
      <c r="L7239" s="38" t="n">
        <f aca="false">Sens!$L$7175</f>
        <v>50.8413488057813</v>
      </c>
      <c r="M7239" s="38" t="n">
        <f aca="false">Sens!$M$7175</f>
        <v>53.6407214274315</v>
      </c>
      <c r="N7239" s="38" t="n">
        <f aca="false">Sens!$N$7175</f>
        <v>0</v>
      </c>
      <c r="O7239" s="38" t="n">
        <f aca="false">Sens!$O$7175</f>
        <v>0</v>
      </c>
      <c r="P7239" s="5" t="s">
        <v>736</v>
      </c>
    </row>
    <row r="7240" customFormat="false" ht="17.15" hidden="false" customHeight="false" outlineLevel="0" collapsed="false">
      <c r="A7240" s="5" t="s">
        <v>737</v>
      </c>
      <c r="B7240" s="0" t="s">
        <v>86</v>
      </c>
      <c r="C7240" s="38" t="n">
        <f aca="false">Sens!$C$7237+Sens!$C$7239</f>
        <v>68.593</v>
      </c>
      <c r="D7240" s="38" t="n">
        <f aca="false">Sens!$D$7237+Sens!$D$7239</f>
        <v>79.975</v>
      </c>
      <c r="E7240" s="38" t="n">
        <f aca="false">Sens!$E$7237+Sens!$E$7239</f>
        <v>51.313</v>
      </c>
      <c r="F7240" s="38" t="n">
        <f aca="false">Sens!$F$7237+Sens!$F$7239</f>
        <v>60.4617121086123</v>
      </c>
      <c r="G7240" s="38" t="n">
        <f aca="false">Sens!$G$7237+Sens!$G$7239</f>
        <v>111.774712108612</v>
      </c>
      <c r="H7240" s="38" t="n">
        <f aca="false">Sens!$H$7237+Sens!$H$7239</f>
        <v>146.71042213049</v>
      </c>
      <c r="I7240" s="38" t="n">
        <f aca="false">Sens!$I$7237+Sens!$I$7239</f>
        <v>177.025639565314</v>
      </c>
      <c r="J7240" s="38" t="n">
        <f aca="false">Sens!$J$7237+Sens!$J$7239</f>
        <v>205.877701810599</v>
      </c>
      <c r="K7240" s="38" t="n">
        <f aca="false">Sens!$K$7237+Sens!$K$7239</f>
        <v>226.389328896426</v>
      </c>
      <c r="L7240" s="38" t="n">
        <f aca="false">Sens!$L$7237+Sens!$L$7239</f>
        <v>243.057333273941</v>
      </c>
      <c r="M7240" s="38" t="n">
        <f aca="false">Sens!$M$7237+Sens!$M$7239</f>
        <v>255.896583671649</v>
      </c>
      <c r="N7240" s="38" t="n">
        <f aca="false">Sens!$N$7237+Sens!$N$7239</f>
        <v>37.576</v>
      </c>
      <c r="O7240" s="38" t="n">
        <f aca="false">Sens!$O$7237+Sens!$O$7239</f>
        <v>42.399</v>
      </c>
    </row>
    <row r="7241" customFormat="false" ht="17.15" hidden="false" customHeight="false" outlineLevel="0" collapsed="false">
      <c r="A7241" s="0" t="s">
        <v>738</v>
      </c>
      <c r="B7241" s="0" t="s">
        <v>52</v>
      </c>
      <c r="C7241" s="13" t="n">
        <f aca="false">Sens!$C$7227/Sens!$C$7212</f>
        <v>0.0644314665661928</v>
      </c>
      <c r="D7241" s="13" t="n">
        <f aca="false">Sens!$D$7227/Sens!$D$7212</f>
        <v>0.0694784250712518</v>
      </c>
      <c r="E7241" s="13" t="n">
        <f aca="false">Sens!$E$7227/Sens!$E$7212</f>
        <v>0.0789306463326071</v>
      </c>
      <c r="F7241" s="13" t="n">
        <f aca="false">Sens!$F$7227/Sens!$F$7212</f>
        <v>0.0801757457241943</v>
      </c>
      <c r="G7241" s="13" t="n">
        <f aca="false">Sens!$G$7227/Sens!$G$7212</f>
        <v>0.0795932749625682</v>
      </c>
      <c r="H7241" s="13" t="n">
        <f aca="false">Sens!$H$7227/Sens!$H$7212</f>
        <v>0.0801494276915951</v>
      </c>
      <c r="I7241" s="13" t="n">
        <f aca="false">Sens!$I$7227/Sens!$I$7212</f>
        <v>0.0784619467108939</v>
      </c>
      <c r="J7241" s="13" t="n">
        <f aca="false">Sens!$J$7227/Sens!$J$7212</f>
        <v>0.0767950945569155</v>
      </c>
      <c r="K7241" s="13" t="n">
        <f aca="false">Sens!$K$7227/Sens!$K$7212</f>
        <v>0.0749782708028101</v>
      </c>
      <c r="L7241" s="13" t="n">
        <f aca="false">Sens!$L$7227/Sens!$L$7212</f>
        <v>0.0740581549602486</v>
      </c>
      <c r="M7241" s="13" t="n">
        <f aca="false">Sens!$M$7227/Sens!$M$7212</f>
        <v>0.075724068445432</v>
      </c>
      <c r="N7241" s="13" t="n">
        <f aca="false">Sens!$N$7227/Sens!$N$7212</f>
        <v>0.069228576611127</v>
      </c>
      <c r="O7241" s="13" t="n">
        <f aca="false">Sens!$O$7227/Sens!$O$7212</f>
        <v>0.069685022498393</v>
      </c>
    </row>
    <row r="7242" customFormat="false" ht="17.15" hidden="false" customHeight="false" outlineLevel="0" collapsed="false">
      <c r="A7242" s="0" t="s">
        <v>739</v>
      </c>
      <c r="B7242" s="0" t="s">
        <v>52</v>
      </c>
      <c r="C7242" s="13" t="n">
        <f aca="false">Sens!$C$7232/Sens!$C$7213</f>
        <v>0.026534925055631</v>
      </c>
      <c r="D7242" s="13" t="n">
        <f aca="false">Sens!$D$7232/Sens!$D$7213</f>
        <v>0.0293401855535103</v>
      </c>
      <c r="E7242" s="13" t="n">
        <f aca="false">Sens!$E$7232/Sens!$E$7213</f>
        <v>0.03831141902276</v>
      </c>
      <c r="F7242" s="13" t="n">
        <f aca="false">Sens!$F$7232/Sens!$F$7213</f>
        <v>0.0281350107328284</v>
      </c>
      <c r="G7242" s="13" t="n">
        <f aca="false">Sens!$G$7232/Sens!$G$7213</f>
        <v>0.0327600029432073</v>
      </c>
      <c r="H7242" s="13" t="n">
        <f aca="false">Sens!$H$7232/Sens!$H$7213</f>
        <v>0.031310920057557</v>
      </c>
      <c r="I7242" s="13" t="n">
        <f aca="false">Sens!$I$7232/Sens!$I$7213</f>
        <v>0.0275950243319601</v>
      </c>
      <c r="J7242" s="13" t="n">
        <f aca="false">Sens!$J$7232/Sens!$J$7213</f>
        <v>0.0238367762099147</v>
      </c>
      <c r="K7242" s="13" t="n">
        <f aca="false">Sens!$K$7232/Sens!$K$7213</f>
        <v>0.0198239122855479</v>
      </c>
      <c r="L7242" s="13" t="n">
        <f aca="false">Sens!$L$7232/Sens!$L$7213</f>
        <v>0.0192499447238486</v>
      </c>
      <c r="M7242" s="13" t="n">
        <f aca="false">Sens!$M$7232/Sens!$M$7213</f>
        <v>0.0212700135680342</v>
      </c>
      <c r="N7242" s="13" t="n">
        <f aca="false">Sens!$N$7232/Sens!$N$7213</f>
        <v>0.0357315650169337</v>
      </c>
      <c r="O7242" s="13" t="n">
        <f aca="false">Sens!$O$7232/Sens!$O$7213</f>
        <v>0.0244378956559703</v>
      </c>
    </row>
    <row r="7243" customFormat="false" ht="17.15" hidden="false" customHeight="false" outlineLevel="0" collapsed="false">
      <c r="A7243" s="14" t="s">
        <v>740</v>
      </c>
      <c r="B7243" s="14" t="s">
        <v>52</v>
      </c>
      <c r="C7243" s="17" t="n">
        <f aca="false">Sens!$C$7235/Sens!$C$7214</f>
        <v>0.370355907620217</v>
      </c>
      <c r="D7243" s="17" t="n">
        <f aca="false">Sens!$D$7235/Sens!$D$7214</f>
        <v>0.35429015342785</v>
      </c>
      <c r="E7243" s="17" t="n">
        <f aca="false">Sens!$E$7235/Sens!$E$7214</f>
        <v>0.385647527531039</v>
      </c>
      <c r="F7243" s="17" t="n">
        <f aca="false">Sens!$F$7235/Sens!$F$7214</f>
        <v>0.390008895496028</v>
      </c>
      <c r="G7243" s="17" t="n">
        <f aca="false">Sens!$G$7235/Sens!$G$7214</f>
        <v>0.387918733944362</v>
      </c>
      <c r="H7243" s="17" t="n">
        <f aca="false">Sens!$H$7235/Sens!$H$7214</f>
        <v>0.377537651365497</v>
      </c>
      <c r="I7243" s="17" t="n">
        <f aca="false">Sens!$I$7235/Sens!$I$7214</f>
        <v>0.359230604038662</v>
      </c>
      <c r="J7243" s="17" t="n">
        <f aca="false">Sens!$J$7235/Sens!$J$7214</f>
        <v>0.345197865849801</v>
      </c>
      <c r="K7243" s="17" t="n">
        <f aca="false">Sens!$K$7235/Sens!$K$7214</f>
        <v>0.32654098357242</v>
      </c>
      <c r="L7243" s="17" t="n">
        <f aca="false">Sens!$L$7235/Sens!$L$7214</f>
        <v>0.314806978274702</v>
      </c>
      <c r="M7243" s="17" t="n">
        <f aca="false">Sens!$M$7235/Sens!$M$7214</f>
        <v>0.304503505485029</v>
      </c>
      <c r="N7243" s="17" t="n">
        <f aca="false">Sens!$N$7235/Sens!$N$7214</f>
        <v>0.360941137346192</v>
      </c>
      <c r="O7243" s="17" t="n">
        <f aca="false">Sens!$O$7235/Sens!$O$7214</f>
        <v>0.348458117664212</v>
      </c>
    </row>
    <row r="7244" customFormat="false" ht="17.15" hidden="false" customHeight="false" outlineLevel="0" collapsed="false">
      <c r="A7244" s="0" t="s">
        <v>741</v>
      </c>
      <c r="B7244" s="0" t="s">
        <v>52</v>
      </c>
      <c r="C7244" s="13" t="n">
        <f aca="false">Sens!$C$7233/Sens!$C$7215</f>
        <v>0.708390794789371</v>
      </c>
      <c r="D7244" s="13" t="n">
        <f aca="false">Sens!$D$7233/Sens!$D$7215</f>
        <v>0.619415573115729</v>
      </c>
      <c r="E7244" s="13" t="n">
        <f aca="false">Sens!$E$7233/Sens!$E$7215</f>
        <v>0.374072166056273</v>
      </c>
      <c r="F7244" s="13" t="n">
        <f aca="false">Sens!$F$7233/Sens!$F$7215</f>
        <v>0.553219320710057</v>
      </c>
      <c r="G7244" s="13" t="n">
        <f aca="false">Sens!$G$7233/Sens!$G$7215</f>
        <v>0.488270041527512</v>
      </c>
      <c r="H7244" s="13" t="n">
        <f aca="false">Sens!$H$7233/Sens!$H$7215</f>
        <v>0.435229086816882</v>
      </c>
      <c r="I7244" s="13" t="n">
        <f aca="false">Sens!$I$7233/Sens!$I$7215</f>
        <v>0.364954592421095</v>
      </c>
      <c r="J7244" s="13" t="n">
        <f aca="false">Sens!$J$7233/Sens!$J$7215</f>
        <v>0.330438308582232</v>
      </c>
      <c r="K7244" s="13" t="n">
        <f aca="false">Sens!$K$7233/Sens!$K$7215</f>
        <v>0.2916589289528</v>
      </c>
      <c r="L7244" s="13" t="n">
        <f aca="false">Sens!$L$7233/Sens!$L$7215</f>
        <v>0.268199200593258</v>
      </c>
      <c r="M7244" s="13" t="n">
        <f aca="false">Sens!$M$7233/Sens!$M$7215</f>
        <v>0.244854995033574</v>
      </c>
      <c r="N7244" s="13" t="n">
        <f aca="false">Sens!$N$7233/Sens!$N$7215</f>
        <v>0.551227795793364</v>
      </c>
      <c r="O7244" s="13" t="n">
        <f aca="false">Sens!$O$7233/Sens!$O$7215</f>
        <v>0.656132068597002</v>
      </c>
    </row>
    <row r="7245" customFormat="false" ht="15" hidden="false" customHeight="false" outlineLevel="0" collapsed="false">
      <c r="A7245" s="5" t="s">
        <v>742</v>
      </c>
      <c r="B7245" s="0" t="s">
        <v>52</v>
      </c>
      <c r="C7245" s="13" t="n">
        <f aca="false">Sens!$C$7237/Sens!$C$7217</f>
        <v>0.107519448742004</v>
      </c>
      <c r="D7245" s="13" t="n">
        <f aca="false">Sens!$D$7237/Sens!$D$7217</f>
        <v>0.111552967957552</v>
      </c>
      <c r="E7245" s="13" t="n">
        <f aca="false">Sens!$E$7237/Sens!$E$7217</f>
        <v>0.13428328426562</v>
      </c>
      <c r="F7245" s="13" t="n">
        <f aca="false">Sens!$F$7237/Sens!$F$7217</f>
        <v>0.130089413875539</v>
      </c>
      <c r="G7245" s="13" t="n">
        <f aca="false">Sens!$G$7237/Sens!$G$7217</f>
        <v>0.132048786678316</v>
      </c>
      <c r="H7245" s="13" t="n">
        <f aca="false">Sens!$H$7237/Sens!$H$7217</f>
        <v>0.139604881440853</v>
      </c>
      <c r="I7245" s="13" t="n">
        <f aca="false">Sens!$I$7237/Sens!$I$7217</f>
        <v>0.141694752432769</v>
      </c>
      <c r="J7245" s="13" t="n">
        <f aca="false">Sens!$J$7237/Sens!$J$7217</f>
        <v>0.14272611544629</v>
      </c>
      <c r="K7245" s="13" t="n">
        <f aca="false">Sens!$K$7237/Sens!$K$7217</f>
        <v>0.139974160596744</v>
      </c>
      <c r="L7245" s="13" t="n">
        <f aca="false">Sens!$L$7237/Sens!$L$7217</f>
        <v>0.137772071866073</v>
      </c>
      <c r="M7245" s="13" t="n">
        <f aca="false">Sens!$M$7237/Sens!$M$7217</f>
        <v>0.13596080857516</v>
      </c>
      <c r="N7245" s="13" t="n">
        <f aca="false">Sens!$N$7237/Sens!$N$7217</f>
        <v>0.116201614873411</v>
      </c>
      <c r="O7245" s="13" t="n">
        <f aca="false">Sens!$O$7237/Sens!$O$7217</f>
        <v>0.107733353660861</v>
      </c>
    </row>
    <row r="7246" customFormat="false" ht="17.15" hidden="false" customHeight="false" outlineLevel="0" collapsed="false">
      <c r="A7246" s="1" t="s">
        <v>743</v>
      </c>
    </row>
    <row r="7247" customFormat="false" ht="17.15" hidden="false" customHeight="false" outlineLevel="0" collapsed="false">
      <c r="A7247" s="5" t="s">
        <v>744</v>
      </c>
      <c r="B7247" s="0" t="s">
        <v>52</v>
      </c>
      <c r="D7247" s="28" t="n">
        <f aca="false">(Q!$E$29+Q!$E$30-(1-ext_sh)*Sens!$D$7169)/Sens!$D$7123</f>
        <v>0.0341105596409988</v>
      </c>
    </row>
    <row r="7248" customFormat="false" ht="17.15" hidden="false" customHeight="false" outlineLevel="0" collapsed="false">
      <c r="A7248" s="0" t="s">
        <v>538</v>
      </c>
      <c r="B7248" s="0" t="s">
        <v>86</v>
      </c>
      <c r="C7248" s="38" t="n">
        <f aca="false">Q!$D$29</f>
        <v>14.285</v>
      </c>
      <c r="D7248" s="38" t="n">
        <f aca="false">Q!$E$29</f>
        <v>15.503</v>
      </c>
      <c r="E7248" s="38" t="n">
        <f aca="false">Q!$P$29</f>
        <v>8.78</v>
      </c>
      <c r="F7248" s="38" t="n">
        <f aca="false">(Sens!$D$7247*Sens!$F$7123+(1-ext_sh)*Sens!$F$7169)*Sens!$F$7124</f>
        <v>9.16735846116642</v>
      </c>
      <c r="G7248" s="38" t="n">
        <f aca="false">Sens!$E$7248+Sens!$F$7248</f>
        <v>17.9473584611664</v>
      </c>
      <c r="H7248" s="38" t="n">
        <f aca="false">(Sens!$D$7247*Sens!$H$7123+(1-ext_sh)*Sens!$H$7169)*Sens!$H$7124</f>
        <v>21.6406723110177</v>
      </c>
      <c r="I7248" s="38" t="n">
        <f aca="false">(Sens!$D$7247*Sens!$I$7123+(1-ext_sh)*Sens!$I$7169)*Sens!$I$7124</f>
        <v>27.3128215555087</v>
      </c>
      <c r="J7248" s="38" t="n">
        <f aca="false">(Sens!$D$7247*Sens!$J$7123+(1-ext_sh)*Sens!$J$7169)*Sens!$J$7124</f>
        <v>33.0116861885756</v>
      </c>
      <c r="K7248" s="38" t="n">
        <f aca="false">(Sens!$D$7247*Sens!$K$7123+(1-ext_sh)*Sens!$K$7169)*Sens!$K$7124</f>
        <v>38.6250238720245</v>
      </c>
      <c r="L7248" s="38" t="n">
        <f aca="false">(Sens!$D$7247*Sens!$L$7123+(1-ext_sh)*Sens!$L$7169)*Sens!$L$7124</f>
        <v>43.0711535197861</v>
      </c>
      <c r="M7248" s="38" t="n">
        <f aca="false">(Sens!$D$7247*Sens!$M$7123+(1-ext_sh)*Sens!$M$7169)*Sens!$M$7124</f>
        <v>46.590728630326</v>
      </c>
      <c r="N7248" s="38" t="n">
        <f aca="false">Q!$N$29</f>
        <v>7.272</v>
      </c>
      <c r="O7248" s="38" t="n">
        <f aca="false">Q!$O$29</f>
        <v>8.231</v>
      </c>
    </row>
    <row r="7249" customFormat="false" ht="17.15" hidden="false" customHeight="false" outlineLevel="0" collapsed="false">
      <c r="A7249" s="0" t="s">
        <v>540</v>
      </c>
      <c r="B7249" s="0" t="s">
        <v>86</v>
      </c>
      <c r="C7249" s="38" t="n">
        <f aca="false">Q!$D$30</f>
        <v>4.462</v>
      </c>
      <c r="D7249" s="38" t="n">
        <f aca="false">Q!$E$30</f>
        <v>4.907</v>
      </c>
      <c r="E7249" s="38" t="n">
        <f aca="false">Q!$P$30</f>
        <v>2.57</v>
      </c>
      <c r="F7249" s="38" t="n">
        <f aca="false">(Sens!$D$7247*Sens!$F$7123+(1-ext_sh)*Sens!$F$7169)*(1-Sens!$F$7124)</f>
        <v>3.59937168293151</v>
      </c>
      <c r="G7249" s="38" t="n">
        <f aca="false">Sens!$E$7249+Sens!$F$7249</f>
        <v>6.16937168293151</v>
      </c>
      <c r="H7249" s="38" t="n">
        <f aca="false">(Sens!$D$7247*Sens!$H$7123+(1-ext_sh)*Sens!$H$7169)*(1-Sens!$H$7124)</f>
        <v>8.28915290031442</v>
      </c>
      <c r="I7249" s="38" t="n">
        <f aca="false">(Sens!$D$7247*Sens!$I$7123+(1-ext_sh)*Sens!$I$7169)*(1-Sens!$I$7124)</f>
        <v>10.4617892992793</v>
      </c>
      <c r="J7249" s="38" t="n">
        <f aca="false">(Sens!$D$7247*Sens!$J$7123+(1-ext_sh)*Sens!$J$7169)*(1-Sens!$J$7124)</f>
        <v>12.6446586493057</v>
      </c>
      <c r="K7249" s="38" t="n">
        <f aca="false">(Sens!$D$7247*Sens!$K$7123+(1-ext_sh)*Sens!$K$7169)*(1-Sens!$K$7124)</f>
        <v>14.7947681131192</v>
      </c>
      <c r="L7249" s="38" t="n">
        <f aca="false">(Sens!$D$7247*Sens!$L$7123+(1-ext_sh)*Sens!$L$7169)*(1-Sens!$L$7124)</f>
        <v>16.4977950771268</v>
      </c>
      <c r="M7249" s="38" t="n">
        <f aca="false">(Sens!$D$7247*Sens!$M$7123+(1-ext_sh)*Sens!$M$7169)*(1-Sens!$M$7124)</f>
        <v>17.8459184540772</v>
      </c>
      <c r="N7249" s="38" t="n">
        <f aca="false">Q!$N$30</f>
        <v>2.316</v>
      </c>
      <c r="O7249" s="38" t="n">
        <f aca="false">Q!$O$30</f>
        <v>2.591</v>
      </c>
    </row>
    <row r="7250" customFormat="false" ht="17.15" hidden="false" customHeight="false" outlineLevel="0" collapsed="false">
      <c r="A7250" s="0" t="s">
        <v>541</v>
      </c>
      <c r="B7250" s="0" t="s">
        <v>86</v>
      </c>
      <c r="C7250" s="38" t="n">
        <f aca="false">Sens!$C$7181</f>
        <v>13.32</v>
      </c>
      <c r="D7250" s="38" t="n">
        <f aca="false">Sens!$D$7181</f>
        <v>21.45</v>
      </c>
      <c r="E7250" s="38" t="n">
        <f aca="false">Sens!$E$7181</f>
        <v>15.353</v>
      </c>
      <c r="F7250" s="38" t="n">
        <f aca="false">Sens!$F$7181</f>
        <v>15.4404120185306</v>
      </c>
      <c r="G7250" s="38" t="n">
        <f aca="false">Sens!$G$7181</f>
        <v>30.7934120185306</v>
      </c>
      <c r="H7250" s="38" t="n">
        <f aca="false">Sens!$H$7181</f>
        <v>48.250114371455</v>
      </c>
      <c r="I7250" s="38" t="n">
        <f aca="false">Sens!$I$7181</f>
        <v>73.3965146995963</v>
      </c>
      <c r="J7250" s="38" t="n">
        <f aca="false">Sens!$J$7181</f>
        <v>99.22806138309</v>
      </c>
      <c r="K7250" s="38" t="n">
        <f aca="false">Sens!$K$7181</f>
        <v>125.386627452856</v>
      </c>
      <c r="L7250" s="38" t="n">
        <f aca="false">Sens!$L$7181</f>
        <v>144.77239043275</v>
      </c>
      <c r="M7250" s="38" t="n">
        <f aca="false">Sens!$M$7181</f>
        <v>158.693930910983</v>
      </c>
      <c r="N7250" s="38" t="n">
        <f aca="false">Sens!$N$7181</f>
        <v>9.234</v>
      </c>
      <c r="O7250" s="38" t="n">
        <f aca="false">Sens!$O$7181</f>
        <v>12.216</v>
      </c>
    </row>
    <row r="7251" customFormat="false" ht="17.15" hidden="false" customHeight="false" outlineLevel="0" collapsed="false">
      <c r="A7251" s="5" t="s">
        <v>745</v>
      </c>
      <c r="B7251" s="0" t="s">
        <v>86</v>
      </c>
      <c r="C7251" s="38" t="n">
        <f aca="false">Sens!$C$7248+Sens!$C$7249+Sens!$C$7250</f>
        <v>32.067</v>
      </c>
      <c r="D7251" s="38" t="n">
        <f aca="false">Sens!$D$7248+Sens!$D$7249+Sens!$D$7250</f>
        <v>41.86</v>
      </c>
      <c r="E7251" s="38" t="n">
        <f aca="false">Sens!$E$7248+Sens!$E$7249+Sens!$E$7250</f>
        <v>26.703</v>
      </c>
      <c r="F7251" s="38" t="n">
        <f aca="false">Sens!$F$7248+Sens!$F$7249+Sens!$F$7250</f>
        <v>28.2071421626285</v>
      </c>
      <c r="G7251" s="38" t="n">
        <f aca="false">Sens!$G$7248+Sens!$G$7249+Sens!$G$7250</f>
        <v>54.9101421626285</v>
      </c>
      <c r="H7251" s="38" t="n">
        <f aca="false">Sens!$H$7248+Sens!$H$7249+Sens!$H$7250</f>
        <v>78.1799395827871</v>
      </c>
      <c r="I7251" s="38" t="n">
        <f aca="false">Sens!$I$7248+Sens!$I$7249+Sens!$I$7250</f>
        <v>111.171125554384</v>
      </c>
      <c r="J7251" s="38" t="n">
        <f aca="false">Sens!$J$7248+Sens!$J$7249+Sens!$J$7250</f>
        <v>144.884406220971</v>
      </c>
      <c r="K7251" s="38" t="n">
        <f aca="false">Sens!$K$7248+Sens!$K$7249+Sens!$K$7250</f>
        <v>178.806419437999</v>
      </c>
      <c r="L7251" s="38" t="n">
        <f aca="false">Sens!$L$7248+Sens!$L$7249+Sens!$L$7250</f>
        <v>204.341339029663</v>
      </c>
      <c r="M7251" s="38" t="n">
        <f aca="false">Sens!$M$7248+Sens!$M$7249+Sens!$M$7250</f>
        <v>223.130577995387</v>
      </c>
      <c r="N7251" s="38" t="n">
        <f aca="false">Sens!$N$7248+Sens!$N$7249+Sens!$N$7250</f>
        <v>18.822</v>
      </c>
      <c r="O7251" s="38" t="n">
        <f aca="false">Sens!$O$7248+Sens!$O$7249+Sens!$O$7250</f>
        <v>23.038</v>
      </c>
    </row>
    <row r="7252" customFormat="false" ht="17.15" hidden="false" customHeight="false" outlineLevel="0" collapsed="false">
      <c r="A7252" s="0" t="s">
        <v>746</v>
      </c>
      <c r="B7252" s="0" t="s">
        <v>86</v>
      </c>
      <c r="C7252" s="38" t="n">
        <f aca="false">Sens!$C$7223+Sens!$C$7228</f>
        <v>28.107</v>
      </c>
      <c r="D7252" s="38" t="n">
        <f aca="false">Sens!$D$7223+Sens!$D$7228</f>
        <v>34.3175</v>
      </c>
      <c r="E7252" s="38" t="n">
        <f aca="false">Sens!$E$7223+Sens!$E$7228</f>
        <v>18.526</v>
      </c>
      <c r="F7252" s="38" t="n">
        <f aca="false">Sens!$F$7223+Sens!$F$7228</f>
        <v>23.0786109972074</v>
      </c>
      <c r="G7252" s="38" t="n">
        <f aca="false">Sens!$G$7223+Sens!$G$7228</f>
        <v>41.6046109972074</v>
      </c>
      <c r="H7252" s="38" t="n">
        <f aca="false">Sens!$H$7223+Sens!$H$7228</f>
        <v>49.9484611939488</v>
      </c>
      <c r="I7252" s="38" t="n">
        <f aca="false">Sens!$I$7223+Sens!$I$7228</f>
        <v>58.2915555477481</v>
      </c>
      <c r="J7252" s="38" t="n">
        <f aca="false">Sens!$J$7223+Sens!$J$7228</f>
        <v>66.0744709709759</v>
      </c>
      <c r="K7252" s="38" t="n">
        <f aca="false">Sens!$K$7223+Sens!$K$7228</f>
        <v>72.6819180680735</v>
      </c>
      <c r="L7252" s="38" t="n">
        <f aca="false">Sens!$L$7223+Sens!$L$7228</f>
        <v>79.9501098748808</v>
      </c>
      <c r="M7252" s="38" t="n">
        <f aca="false">Sens!$M$7223+Sens!$M$7228</f>
        <v>87.9451208623689</v>
      </c>
      <c r="N7252" s="38" t="n">
        <f aca="false">Sens!$N$7223+Sens!$N$7228</f>
        <v>14.8075</v>
      </c>
      <c r="O7252" s="38" t="n">
        <f aca="false">Sens!$O$7223+Sens!$O$7228</f>
        <v>19.51</v>
      </c>
    </row>
    <row r="7253" customFormat="false" ht="17.15" hidden="false" customHeight="false" outlineLevel="0" collapsed="false">
      <c r="A7253" s="0" t="s">
        <v>747</v>
      </c>
      <c r="B7253" s="0" t="s">
        <v>86</v>
      </c>
      <c r="C7253" s="38" t="n">
        <f aca="false">Sens!$C$7227+Sens!$C$7232+Sens!$C$7248+Sens!$C$7249-Sens!$C$7252</f>
        <v>19.399</v>
      </c>
      <c r="D7253" s="38" t="n">
        <f aca="false">Sens!$D$7227+Sens!$D$7232+Sens!$D$7248+Sens!$D$7249-Sens!$D$7252</f>
        <v>20.4615</v>
      </c>
      <c r="E7253" s="38" t="n">
        <f aca="false">Sens!$E$7227+Sens!$E$7232+Sens!$E$7248+Sens!$E$7249-Sens!$E$7252</f>
        <v>13.355</v>
      </c>
      <c r="F7253" s="38" t="n">
        <f aca="false">Sens!$F$7227+Sens!$F$7232+Sens!$F$7248+Sens!$F$7249-Sens!$F$7252</f>
        <v>12.5520732018618</v>
      </c>
      <c r="G7253" s="38" t="n">
        <f aca="false">Sens!$G$7227+Sens!$G$7232+Sens!$G$7248+Sens!$G$7249-Sens!$G$7252</f>
        <v>25.9070732018618</v>
      </c>
      <c r="H7253" s="38" t="n">
        <f aca="false">Sens!$H$7227+Sens!$H$7232+Sens!$H$7248+Sens!$H$7249-Sens!$H$7252</f>
        <v>28.0233335906818</v>
      </c>
      <c r="I7253" s="38" t="n">
        <f aca="false">Sens!$I$7227+Sens!$I$7232+Sens!$I$7248+Sens!$I$7249-Sens!$I$7252</f>
        <v>30.2440066606864</v>
      </c>
      <c r="J7253" s="38" t="n">
        <f aca="false">Sens!$J$7227+Sens!$J$7232+Sens!$J$7248+Sens!$J$7249-Sens!$J$7252</f>
        <v>32.4596500296286</v>
      </c>
      <c r="K7253" s="38" t="n">
        <f aca="false">Sens!$K$7227+Sens!$K$7232+Sens!$K$7248+Sens!$K$7249-Sens!$K$7252</f>
        <v>34.839425971154</v>
      </c>
      <c r="L7253" s="38" t="n">
        <f aca="false">Sens!$L$7227+Sens!$L$7232+Sens!$L$7248+Sens!$L$7249-Sens!$L$7252</f>
        <v>36.4424209524427</v>
      </c>
      <c r="M7253" s="38" t="n">
        <f aca="false">Sens!$M$7227+Sens!$M$7232+Sens!$M$7248+Sens!$M$7249-Sens!$M$7252</f>
        <v>38.8413540019876</v>
      </c>
      <c r="N7253" s="38" t="n">
        <f aca="false">Sens!$N$7227+Sens!$N$7232+Sens!$N$7248+Sens!$N$7249-Sens!$N$7252</f>
        <v>10.6495</v>
      </c>
      <c r="O7253" s="38" t="n">
        <f aca="false">Sens!$O$7227+Sens!$O$7232+Sens!$O$7248+Sens!$O$7249-Sens!$O$7252</f>
        <v>9.81200000000001</v>
      </c>
    </row>
    <row r="7254" customFormat="false" ht="17.15" hidden="false" customHeight="false" outlineLevel="0" collapsed="false">
      <c r="A7254" s="0" t="s">
        <v>748</v>
      </c>
      <c r="B7254" s="0" t="s">
        <v>86</v>
      </c>
      <c r="C7254" s="38" t="n">
        <f aca="false">Sens!$C$7234+Sens!$C$7250-ext_sh*Sens!$C$7169</f>
        <v>51.3470500115664</v>
      </c>
      <c r="D7254" s="38" t="n">
        <f aca="false">Sens!$D$7234+Sens!$D$7250-ext_sh*Sens!$D$7169</f>
        <v>60.2799375433739</v>
      </c>
      <c r="E7254" s="38" t="n">
        <f aca="false">Sens!$E$7234+Sens!$E$7250-ext_sh*Sens!$E$7169</f>
        <v>39.5095167090767</v>
      </c>
      <c r="F7254" s="38" t="n">
        <f aca="false">Sens!$F$7234+Sens!$F$7250-ext_sh*Sens!$F$7169</f>
        <v>37.5468918745429</v>
      </c>
      <c r="G7254" s="38" t="n">
        <f aca="false">Sens!$G$7234+Sens!$G$7250-ext_sh*Sens!$G$7169</f>
        <v>77.0564085836196</v>
      </c>
      <c r="H7254" s="38" t="n">
        <f aca="false">Sens!$H$7234+Sens!$H$7250-ext_sh*Sens!$H$7169</f>
        <v>84.2378398616123</v>
      </c>
      <c r="I7254" s="38" t="n">
        <f aca="false">Sens!$I$7234+Sens!$I$7250-ext_sh*Sens!$I$7169</f>
        <v>93.5253492849083</v>
      </c>
      <c r="J7254" s="38" t="n">
        <f aca="false">Sens!$J$7234+Sens!$J$7250-ext_sh*Sens!$J$7169</f>
        <v>102.42210777817</v>
      </c>
      <c r="K7254" s="38" t="n">
        <f aca="false">Sens!$K$7234+Sens!$K$7250-ext_sh*Sens!$K$7169</f>
        <v>110.615876400424</v>
      </c>
      <c r="L7254" s="38" t="n">
        <f aca="false">Sens!$L$7234+Sens!$L$7250-ext_sh*Sens!$L$7169</f>
        <v>119.465146512458</v>
      </c>
      <c r="M7254" s="38" t="n">
        <f aca="false">Sens!$M$7234+Sens!$M$7250-ext_sh*Sens!$M$7169</f>
        <v>129.022358233455</v>
      </c>
      <c r="N7254" s="38" t="n">
        <f aca="false">Sens!$N$7234+Sens!$N$7250-ext_sh*Sens!$N$7169</f>
        <v>28.5693781401809</v>
      </c>
      <c r="O7254" s="38" t="n">
        <f aca="false">Sens!$O$7234+Sens!$O$7250-ext_sh*Sens!$O$7169</f>
        <v>31.7105594031931</v>
      </c>
    </row>
    <row r="7255" customFormat="false" ht="17.15" hidden="false" customHeight="false" outlineLevel="0" collapsed="false">
      <c r="A7255" s="0" t="s">
        <v>749</v>
      </c>
      <c r="B7255" s="0" t="s">
        <v>86</v>
      </c>
      <c r="C7255" s="38" t="n">
        <f aca="false">Sens!$C$7172</f>
        <v>1.80694998843362</v>
      </c>
      <c r="D7255" s="38" t="n">
        <f aca="false">Sens!$D$7172</f>
        <v>6.77606245662607</v>
      </c>
      <c r="E7255" s="38" t="n">
        <f aca="false">Sens!$E$7172</f>
        <v>6.62548329092326</v>
      </c>
      <c r="F7255" s="38" t="n">
        <f aca="false">Sens!$F$7172</f>
        <v>11.7200577158706</v>
      </c>
      <c r="G7255" s="38" t="n">
        <f aca="false">Sens!$G$7172</f>
        <v>18.3455410067939</v>
      </c>
      <c r="H7255" s="38" t="n">
        <f aca="false">Sens!$H$7172</f>
        <v>47.5171727060453</v>
      </c>
      <c r="I7255" s="38" t="n">
        <f aca="false">Sens!$I$7172</f>
        <v>80.5539692643667</v>
      </c>
      <c r="J7255" s="38" t="n">
        <f aca="false">Sens!$J$7172</f>
        <v>113.759316834883</v>
      </c>
      <c r="K7255" s="38" t="n">
        <f aca="false">Sens!$K$7172</f>
        <v>142.084411492169</v>
      </c>
      <c r="L7255" s="38" t="n">
        <f aca="false">Sens!$L$7172</f>
        <v>160.69964615804</v>
      </c>
      <c r="M7255" s="38" t="n">
        <f aca="false">Sens!$M$7172</f>
        <v>169.577607141793</v>
      </c>
      <c r="N7255" s="38" t="n">
        <f aca="false">Sens!$N$7172</f>
        <v>2.37162185981912</v>
      </c>
      <c r="O7255" s="38" t="n">
        <f aca="false">Sens!$O$7172</f>
        <v>4.40444059680694</v>
      </c>
    </row>
    <row r="7256" customFormat="false" ht="17.15" hidden="false" customHeight="false" outlineLevel="0" collapsed="false">
      <c r="A7256" s="0" t="s">
        <v>750</v>
      </c>
      <c r="B7256" s="0" t="s">
        <v>86</v>
      </c>
      <c r="C7256" s="38" t="n">
        <f aca="false">Sens!$C$7237+Sens!$C$7251</f>
        <v>100.66</v>
      </c>
      <c r="D7256" s="38" t="n">
        <f aca="false">Sens!$D$7237+Sens!$D$7251</f>
        <v>121.835</v>
      </c>
      <c r="E7256" s="38" t="n">
        <f aca="false">Sens!$E$7237+Sens!$E$7251</f>
        <v>78.016</v>
      </c>
      <c r="F7256" s="38" t="n">
        <f aca="false">Sens!$F$7237+Sens!$F$7251</f>
        <v>84.8976337894826</v>
      </c>
      <c r="G7256" s="38" t="n">
        <f aca="false">Sens!$G$7237+Sens!$G$7251</f>
        <v>162.913633789483</v>
      </c>
      <c r="H7256" s="38" t="n">
        <f aca="false">Sens!$H$7237+Sens!$H$7251</f>
        <v>209.726807352288</v>
      </c>
      <c r="I7256" s="38" t="n">
        <f aca="false">Sens!$I$7237+Sens!$I$7251</f>
        <v>262.61488075771</v>
      </c>
      <c r="J7256" s="38" t="n">
        <f aca="false">Sens!$J$7237+Sens!$J$7251</f>
        <v>314.715545613658</v>
      </c>
      <c r="K7256" s="38" t="n">
        <f aca="false">Sens!$K$7237+Sens!$K$7251</f>
        <v>360.221631931821</v>
      </c>
      <c r="L7256" s="38" t="n">
        <f aca="false">Sens!$L$7237+Sens!$L$7251</f>
        <v>396.557323497822</v>
      </c>
      <c r="M7256" s="38" t="n">
        <f aca="false">Sens!$M$7237+Sens!$M$7251</f>
        <v>425.386440239605</v>
      </c>
      <c r="N7256" s="38" t="n">
        <f aca="false">Sens!$N$7237+Sens!$N$7251</f>
        <v>56.398</v>
      </c>
      <c r="O7256" s="38" t="n">
        <f aca="false">Sens!$O$7237+Sens!$O$7251</f>
        <v>65.437</v>
      </c>
    </row>
    <row r="7257" customFormat="false" ht="17.15" hidden="false" customHeight="false" outlineLevel="0" collapsed="false">
      <c r="A7257" s="1" t="s">
        <v>751</v>
      </c>
    </row>
    <row r="7258" customFormat="false" ht="15" hidden="false" customHeight="false" outlineLevel="0" collapsed="false">
      <c r="A7258" s="5" t="s">
        <v>544</v>
      </c>
      <c r="B7258" s="0" t="s">
        <v>86</v>
      </c>
      <c r="C7258" s="38" t="n">
        <f aca="false">Q!$D$34</f>
        <v>2.406</v>
      </c>
      <c r="D7258" s="38" t="n">
        <f aca="false">Q!$E$34</f>
        <v>2.274</v>
      </c>
      <c r="E7258" s="38" t="n">
        <f aca="false">Q!$P$34</f>
        <v>2.114</v>
      </c>
      <c r="F7258" s="38" t="n">
        <f aca="false">Sens!$F$7296</f>
        <v>3.24888962733561</v>
      </c>
      <c r="G7258" s="38" t="n">
        <f aca="false">Sens!$E$7258+Sens!$F$7258</f>
        <v>5.36288962733561</v>
      </c>
      <c r="H7258" s="38" t="n">
        <f aca="false">Sens!$H$7296</f>
        <v>7.42354172302123</v>
      </c>
      <c r="I7258" s="38" t="n">
        <f aca="false">Sens!$I$7296</f>
        <v>8.48968024898619</v>
      </c>
      <c r="J7258" s="38" t="n">
        <f aca="false">Sens!$J$7296</f>
        <v>9.63598826439483</v>
      </c>
      <c r="K7258" s="38" t="n">
        <f aca="false">Sens!$K$7296</f>
        <v>9.63598826439483</v>
      </c>
      <c r="L7258" s="38" t="n">
        <f aca="false">Sens!$L$7296</f>
        <v>9.63598826439483</v>
      </c>
      <c r="M7258" s="38" t="n">
        <f aca="false">Sens!$M$7296</f>
        <v>9.63598826439483</v>
      </c>
      <c r="N7258" s="38" t="n">
        <f aca="false">Q!$N$34</f>
        <v>1.057</v>
      </c>
      <c r="O7258" s="38" t="n">
        <f aca="false">Q!$O$34</f>
        <v>1.217</v>
      </c>
    </row>
    <row r="7259" customFormat="false" ht="15" hidden="false" customHeight="false" outlineLevel="0" collapsed="false">
      <c r="A7259" s="5" t="s">
        <v>752</v>
      </c>
      <c r="B7259" s="0" t="s">
        <v>86</v>
      </c>
      <c r="F7259" s="38" t="n">
        <f aca="false">Sens!$F$7297</f>
        <v>2.59</v>
      </c>
      <c r="H7259" s="38" t="n">
        <f aca="false">Sens!$H$7297</f>
        <v>3.76965165045626</v>
      </c>
      <c r="I7259" s="38" t="n">
        <f aca="false">Sens!$I$7297</f>
        <v>2.10589651022864</v>
      </c>
      <c r="J7259" s="38" t="n">
        <f aca="false">Sens!$J$7297</f>
        <v>2.10589651022864</v>
      </c>
      <c r="K7259" s="38" t="n">
        <f aca="false">Sens!$K$7297</f>
        <v>3.03184385018094</v>
      </c>
      <c r="L7259" s="38" t="n">
        <f aca="false">Sens!$L$7297</f>
        <v>8.01944213829919</v>
      </c>
      <c r="M7259" s="38" t="n">
        <f aca="false">Sens!$M$7297</f>
        <v>15.4751142339777</v>
      </c>
    </row>
    <row r="7260" customFormat="false" ht="17.15" hidden="false" customHeight="false" outlineLevel="0" collapsed="false">
      <c r="A7260" s="5" t="s">
        <v>753</v>
      </c>
      <c r="B7260" s="0" t="s">
        <v>86</v>
      </c>
      <c r="C7260" s="38" t="n">
        <f aca="false">Q!$D$39</f>
        <v>2.427</v>
      </c>
      <c r="D7260" s="38" t="n">
        <f aca="false">Q!$E$39</f>
        <v>19.61</v>
      </c>
      <c r="E7260" s="38" t="n">
        <f aca="false">Q!$P$39</f>
        <v>71.492</v>
      </c>
      <c r="F7260" s="39" t="n">
        <v>0</v>
      </c>
      <c r="G7260" s="38" t="n">
        <f aca="false">Sens!$E$7260+Sens!$F$7260</f>
        <v>71.492</v>
      </c>
      <c r="H7260" s="39" t="n">
        <v>0</v>
      </c>
      <c r="I7260" s="39" t="n">
        <v>0</v>
      </c>
      <c r="J7260" s="39" t="n">
        <v>0</v>
      </c>
      <c r="K7260" s="39" t="n">
        <v>0</v>
      </c>
      <c r="L7260" s="39" t="n">
        <v>0</v>
      </c>
      <c r="M7260" s="39" t="n">
        <v>0</v>
      </c>
      <c r="N7260" s="38" t="n">
        <f aca="false">Q!$N$39</f>
        <v>6.017</v>
      </c>
      <c r="O7260" s="38" t="n">
        <f aca="false">Q!$O$39</f>
        <v>13.593</v>
      </c>
      <c r="P7260" s="5" t="s">
        <v>754</v>
      </c>
    </row>
    <row r="7261" customFormat="false" ht="15" hidden="false" customHeight="false" outlineLevel="0" collapsed="false">
      <c r="A7261" s="5" t="s">
        <v>547</v>
      </c>
      <c r="B7261" s="0" t="s">
        <v>86</v>
      </c>
      <c r="C7261" s="38" t="n">
        <f aca="false">Q!$D$36</f>
        <v>68.614</v>
      </c>
      <c r="D7261" s="38" t="n">
        <f aca="false">Q!$E$36</f>
        <v>97.311</v>
      </c>
      <c r="E7261" s="38" t="n">
        <f aca="false">Q!$P$36</f>
        <v>120.691</v>
      </c>
      <c r="F7261" s="38" t="n">
        <f aca="false">Sens!$F$7237-Sens!$F$7258+Sens!$F$7259+Sens!$F$7260</f>
        <v>56.0316019995185</v>
      </c>
      <c r="G7261" s="38" t="n">
        <f aca="false">Sens!$E$7261+Sens!$F$7261</f>
        <v>176.722601999518</v>
      </c>
      <c r="H7261" s="38" t="n">
        <f aca="false">Sens!$H$7237-Sens!$H$7258+Sens!$H$7259+Sens!$H$7260</f>
        <v>127.892977696936</v>
      </c>
      <c r="I7261" s="38" t="n">
        <f aca="false">Sens!$I$7237-Sens!$I$7258+Sens!$I$7259+Sens!$I$7260</f>
        <v>145.059971464568</v>
      </c>
      <c r="J7261" s="38" t="n">
        <f aca="false">Sens!$J$7237-Sens!$J$7258+Sens!$J$7259+Sens!$J$7260</f>
        <v>162.301047638521</v>
      </c>
      <c r="K7261" s="38" t="n">
        <f aca="false">Sens!$K$7237-Sens!$K$7258+Sens!$K$7259+Sens!$K$7260</f>
        <v>174.811068079608</v>
      </c>
      <c r="L7261" s="38" t="n">
        <f aca="false">Sens!$L$7237-Sens!$L$7258+Sens!$L$7259+Sens!$L$7260</f>
        <v>190.599438342064</v>
      </c>
      <c r="M7261" s="38" t="n">
        <f aca="false">Sens!$M$7237-Sens!$M$7258+Sens!$M$7259+Sens!$M$7260</f>
        <v>208.094988213801</v>
      </c>
      <c r="N7261" s="38" t="n">
        <f aca="false">Q!$N$36</f>
        <v>42.536</v>
      </c>
      <c r="O7261" s="38" t="n">
        <f aca="false">Q!$O$36</f>
        <v>54.775</v>
      </c>
    </row>
    <row r="7262" customFormat="false" ht="15" hidden="false" customHeight="false" outlineLevel="0" collapsed="false">
      <c r="A7262" s="5" t="s">
        <v>548</v>
      </c>
      <c r="B7262" s="0" t="s">
        <v>86</v>
      </c>
      <c r="C7262" s="38" t="n">
        <f aca="false">Q!$D$37</f>
        <v>9.265</v>
      </c>
      <c r="D7262" s="38" t="n">
        <f aca="false">Q!$E$37</f>
        <v>19.087</v>
      </c>
      <c r="E7262" s="38" t="n">
        <f aca="false">Q!$P$37</f>
        <v>27.759</v>
      </c>
      <c r="F7262" s="38" t="n">
        <f aca="false">Sens!$F$7261*tax</f>
        <v>9.72621910890414</v>
      </c>
      <c r="G7262" s="38" t="n">
        <f aca="false">Sens!$E$7262+Sens!$F$7262</f>
        <v>37.4852191089041</v>
      </c>
      <c r="H7262" s="38" t="n">
        <f aca="false">Sens!$H$7261*tax</f>
        <v>22.2002419916761</v>
      </c>
      <c r="I7262" s="38" t="n">
        <f aca="false">Sens!$I$7261*tax</f>
        <v>25.1801664783365</v>
      </c>
      <c r="J7262" s="38" t="n">
        <f aca="false">Sens!$J$7261*tax</f>
        <v>28.1729505244292</v>
      </c>
      <c r="K7262" s="38" t="n">
        <f aca="false">Sens!$K$7261*tax</f>
        <v>30.3444965007146</v>
      </c>
      <c r="L7262" s="38" t="n">
        <f aca="false">Sens!$L$7261*tax</f>
        <v>33.0851132788405</v>
      </c>
      <c r="M7262" s="38" t="n">
        <f aca="false">Sens!$M$7261*tax</f>
        <v>36.1220700213006</v>
      </c>
      <c r="N7262" s="38" t="n">
        <f aca="false">Q!$N$37</f>
        <v>7.231</v>
      </c>
      <c r="O7262" s="38" t="n">
        <f aca="false">Q!$O$37</f>
        <v>11.856</v>
      </c>
    </row>
    <row r="7263" customFormat="false" ht="15" hidden="false" customHeight="false" outlineLevel="0" collapsed="false">
      <c r="A7263" s="3" t="s">
        <v>549</v>
      </c>
      <c r="B7263" s="8" t="s">
        <v>86</v>
      </c>
      <c r="C7263" s="38" t="n">
        <f aca="false">Q!$D$38</f>
        <v>59.248</v>
      </c>
      <c r="D7263" s="38" t="n">
        <f aca="false">Q!$E$38</f>
        <v>77.67</v>
      </c>
      <c r="E7263" s="38" t="n">
        <f aca="false">Q!$P$38</f>
        <v>92.902</v>
      </c>
      <c r="F7263" s="38" t="n">
        <f aca="false">Sens!$F$7261-Sens!$F$7262</f>
        <v>46.3053828906144</v>
      </c>
      <c r="G7263" s="38" t="n">
        <f aca="false">Sens!$E$7263+Sens!$F$7263</f>
        <v>139.207382890614</v>
      </c>
      <c r="H7263" s="38" t="n">
        <f aca="false">Sens!$H$7261-Sens!$H$7262</f>
        <v>105.69273570526</v>
      </c>
      <c r="I7263" s="38" t="n">
        <f aca="false">Sens!$I$7261-Sens!$I$7262</f>
        <v>119.879804986231</v>
      </c>
      <c r="J7263" s="38" t="n">
        <f aca="false">Sens!$J$7261-Sens!$J$7262</f>
        <v>134.128097114092</v>
      </c>
      <c r="K7263" s="38" t="n">
        <f aca="false">Sens!$K$7261-Sens!$K$7262</f>
        <v>144.466571578893</v>
      </c>
      <c r="L7263" s="38" t="n">
        <f aca="false">Sens!$L$7261-Sens!$L$7262</f>
        <v>157.514325063223</v>
      </c>
      <c r="M7263" s="38" t="n">
        <f aca="false">Sens!$M$7261-Sens!$M$7262</f>
        <v>171.9729181925</v>
      </c>
      <c r="N7263" s="38" t="n">
        <f aca="false">Q!$N$38</f>
        <v>35.291</v>
      </c>
      <c r="O7263" s="38" t="n">
        <f aca="false">Q!$O$38</f>
        <v>42.379</v>
      </c>
    </row>
    <row r="7264" customFormat="false" ht="17.15" hidden="false" customHeight="false" outlineLevel="0" collapsed="false">
      <c r="A7264" s="5" t="s">
        <v>552</v>
      </c>
      <c r="B7264" s="5" t="s">
        <v>33</v>
      </c>
      <c r="C7264" s="22" t="n">
        <f aca="false">Q!$D$41</f>
        <v>10.721</v>
      </c>
      <c r="D7264" s="22" t="n">
        <f aca="false">Q!$E$41</f>
        <v>10.827</v>
      </c>
      <c r="E7264" s="22" t="n">
        <f aca="false">(Q!$L$41+Q!$M$41)/2</f>
        <v>10.8885</v>
      </c>
      <c r="F7264" s="22" t="n">
        <f aca="false">Sens!$G$7264</f>
        <v>10.924806</v>
      </c>
      <c r="G7264" s="22" t="n">
        <f aca="false">Q!$M$41*(1+sh_g*0.25)</f>
        <v>10.924806</v>
      </c>
      <c r="H7264" s="22" t="n">
        <f aca="false">Sens!$G$7264*(1+sh_g)</f>
        <v>11.012204448</v>
      </c>
      <c r="I7264" s="22" t="n">
        <f aca="false">Sens!$H$7264*(1+sh_g)</f>
        <v>11.100302083584</v>
      </c>
      <c r="J7264" s="22" t="n">
        <f aca="false">Sens!$I$7264*(1+sh_g)</f>
        <v>11.1891045002527</v>
      </c>
      <c r="K7264" s="22" t="n">
        <f aca="false">Sens!$J$7264*(1+sh_g)</f>
        <v>11.2786173362547</v>
      </c>
      <c r="L7264" s="22" t="n">
        <f aca="false">Sens!$K$7264*(1+sh_g)</f>
        <v>11.3688462749447</v>
      </c>
      <c r="M7264" s="22" t="n">
        <f aca="false">Sens!$L$7264*(1+sh_g)</f>
        <v>11.4597970451443</v>
      </c>
      <c r="P7264" s="5" t="s">
        <v>755</v>
      </c>
    </row>
    <row r="7265" customFormat="false" ht="17.15" hidden="false" customHeight="false" outlineLevel="0" collapsed="false">
      <c r="A7265" s="5" t="s">
        <v>756</v>
      </c>
      <c r="B7265" s="0" t="s">
        <v>86</v>
      </c>
      <c r="C7265" s="38" t="n">
        <f aca="false">Sens!$C$7263+Sens!$C$7239*(1-tax)</f>
        <v>59.248</v>
      </c>
      <c r="D7265" s="38" t="n">
        <f aca="false">Sens!$D$7263+Sens!$D$7239*(1-tax)</f>
        <v>77.67</v>
      </c>
      <c r="E7265" s="38" t="n">
        <f aca="false">Sens!$E$7263+Sens!$E$7239*(1-tax)</f>
        <v>92.902</v>
      </c>
      <c r="F7265" s="38" t="n">
        <f aca="false">Sens!$F$7263+Sens!$F$7239*(1-tax)</f>
        <v>49.421977850263</v>
      </c>
      <c r="G7265" s="38" t="n">
        <f aca="false">Sens!$G$7263+Sens!$G$7239*(1-tax)</f>
        <v>142.323977850263</v>
      </c>
      <c r="H7265" s="38" t="n">
        <f aca="false">Sens!$H$7263+Sens!$H$7239*(1-tax)</f>
        <v>118.224131660605</v>
      </c>
      <c r="I7265" s="38" t="n">
        <f aca="false">Sens!$I$7263+Sens!$I$7239*(1-tax)</f>
        <v>141.02107006117</v>
      </c>
      <c r="J7265" s="38" t="n">
        <f aca="false">Sens!$J$7263+Sens!$J$7239*(1-tax)</f>
        <v>163.917534058375</v>
      </c>
      <c r="K7265" s="38" t="n">
        <f aca="false">Sens!$K$7263+Sens!$K$7239*(1-tax)</f>
        <v>181.633877275552</v>
      </c>
      <c r="L7265" s="38" t="n">
        <f aca="false">Sens!$L$7263+Sens!$L$7239*(1-tax)</f>
        <v>199.530402403778</v>
      </c>
      <c r="M7265" s="38" t="n">
        <f aca="false">Sens!$M$7263+Sens!$M$7239*(1-tax)</f>
        <v>216.302440383341</v>
      </c>
      <c r="N7265" s="38" t="n">
        <f aca="false">Sens!$N$7263+Sens!$N$7239*(1-tax)</f>
        <v>35.291</v>
      </c>
      <c r="O7265" s="38" t="n">
        <f aca="false">Sens!$O$7263+Sens!$O$7239*(1-tax)</f>
        <v>42.379</v>
      </c>
    </row>
    <row r="7266" customFormat="false" ht="17.15" hidden="false" customHeight="false" outlineLevel="0" collapsed="false">
      <c r="A7266" s="43" t="s">
        <v>757</v>
      </c>
      <c r="B7266" s="14" t="s">
        <v>27</v>
      </c>
      <c r="C7266" s="44" t="n">
        <f aca="false">Sens!$C$7265/Sens!$C$7264</f>
        <v>5.52635015390355</v>
      </c>
      <c r="D7266" s="44" t="n">
        <f aca="false">Sens!$D$7265/Sens!$D$7264</f>
        <v>7.1737323358271</v>
      </c>
      <c r="E7266" s="44" t="n">
        <f aca="false">Sens!$E$7265/Sens!$E$7264</f>
        <v>8.53212104513937</v>
      </c>
      <c r="F7266" s="14"/>
      <c r="G7266" s="44" t="n">
        <f aca="false">Sens!$G$7265/Sens!$G$7264</f>
        <v>13.0275977303636</v>
      </c>
      <c r="H7266" s="44" t="n">
        <f aca="false">Sens!$H$7265/Sens!$H$7264</f>
        <v>10.7357370832392</v>
      </c>
      <c r="I7266" s="44" t="n">
        <f aca="false">Sens!$I$7265/Sens!$I$7264</f>
        <v>12.7042551634449</v>
      </c>
      <c r="J7266" s="44" t="n">
        <f aca="false">Sens!$J$7265/Sens!$J$7264</f>
        <v>14.6497455676344</v>
      </c>
      <c r="K7266" s="44" t="n">
        <f aca="false">Sens!$K$7265/Sens!$K$7264</f>
        <v>16.104268090708</v>
      </c>
      <c r="L7266" s="44" t="n">
        <f aca="false">Sens!$L$7265/Sens!$L$7264</f>
        <v>17.5506289361581</v>
      </c>
      <c r="M7266" s="44" t="n">
        <f aca="false">Sens!$M$7265/Sens!$M$7264</f>
        <v>18.8748927691518</v>
      </c>
      <c r="N7266" s="14"/>
      <c r="O7266" s="14"/>
    </row>
    <row r="7267" customFormat="false" ht="17.15" hidden="false" customHeight="false" outlineLevel="0" collapsed="false">
      <c r="A7267" s="0" t="s">
        <v>758</v>
      </c>
      <c r="B7267" s="0" t="s">
        <v>27</v>
      </c>
      <c r="C7267" s="30" t="n">
        <f aca="false">Sens!$C$7263/Sens!$C$7264</f>
        <v>5.52635015390355</v>
      </c>
      <c r="D7267" s="30" t="n">
        <f aca="false">Sens!$D$7263/Sens!$D$7264</f>
        <v>7.1737323358271</v>
      </c>
      <c r="E7267" s="30" t="n">
        <f aca="false">Sens!$E$7263/Sens!$E$7264</f>
        <v>8.53212104513937</v>
      </c>
      <c r="G7267" s="30" t="n">
        <f aca="false">Sens!$G$7263/Sens!$G$7264</f>
        <v>12.7423208147233</v>
      </c>
      <c r="H7267" s="30" t="n">
        <f aca="false">Sens!$H$7263/Sens!$H$7264</f>
        <v>9.59778182509639</v>
      </c>
      <c r="I7267" s="30" t="n">
        <f aca="false">Sens!$I$7263/Sens!$I$7264</f>
        <v>10.799688520506</v>
      </c>
      <c r="J7267" s="30" t="n">
        <f aca="false">Sens!$J$7263/Sens!$J$7264</f>
        <v>11.9873844337644</v>
      </c>
      <c r="K7267" s="30" t="n">
        <f aca="false">Sens!$K$7263/Sens!$K$7264</f>
        <v>12.8088902453061</v>
      </c>
      <c r="L7267" s="30" t="n">
        <f aca="false">Sens!$L$7263/Sens!$L$7264</f>
        <v>13.8549085152432</v>
      </c>
      <c r="M7267" s="30" t="n">
        <f aca="false">Sens!$M$7263/Sens!$M$7264</f>
        <v>15.0066286091313</v>
      </c>
    </row>
    <row r="7268" customFormat="false" ht="17.15" hidden="false" customHeight="false" outlineLevel="0" collapsed="false">
      <c r="A7268" s="0" t="s">
        <v>759</v>
      </c>
      <c r="B7268" s="0" t="s">
        <v>27</v>
      </c>
      <c r="C7268" s="30" t="n">
        <f aca="false">(Sens!$C$7263-Sens!$C$7260*(1-tax))/Sens!$C$7264</f>
        <v>5.33926775917445</v>
      </c>
      <c r="D7268" s="30" t="n">
        <f aca="false">(Sens!$D$7263-Sens!$D$7260*(1-tax))/Sens!$D$7264</f>
        <v>5.67691812755503</v>
      </c>
      <c r="E7268" s="30" t="n">
        <f aca="false">(Sens!$E$7263-Sens!$E$7260*(1-tax))/Sens!$E$7264</f>
        <v>3.10602057006846</v>
      </c>
      <c r="G7268" s="30" t="n">
        <f aca="false">(Sens!$G$7263-Sens!$G$7260*(1-tax))/Sens!$G$7264</f>
        <v>7.33425269682635</v>
      </c>
      <c r="H7268" s="30" t="n">
        <f aca="false">(Sens!$H$7263-Sens!$H$7260*(1-tax))/Sens!$H$7264</f>
        <v>9.59778182509639</v>
      </c>
      <c r="I7268" s="30" t="n">
        <f aca="false">(Sens!$I$7263-Sens!$I$7260*(1-tax))/Sens!$I$7264</f>
        <v>10.799688520506</v>
      </c>
      <c r="J7268" s="30" t="n">
        <f aca="false">(Sens!$J$7263-Sens!$J$7260*(1-tax))/Sens!$J$7264</f>
        <v>11.9873844337644</v>
      </c>
      <c r="K7268" s="30" t="n">
        <f aca="false">(Sens!$K$7263-Sens!$K$7260*(1-tax))/Sens!$K$7264</f>
        <v>12.8088902453061</v>
      </c>
      <c r="L7268" s="30" t="n">
        <f aca="false">(Sens!$L$7263-Sens!$L$7260*(1-tax))/Sens!$L$7264</f>
        <v>13.8549085152432</v>
      </c>
      <c r="M7268" s="30" t="n">
        <f aca="false">(Sens!$M$7263-Sens!$M$7260*(1-tax))/Sens!$M$7264</f>
        <v>15.0066286091313</v>
      </c>
      <c r="P7268" s="5" t="s">
        <v>760</v>
      </c>
    </row>
    <row r="7269" customFormat="false" ht="17.15" hidden="false" customHeight="false" outlineLevel="0" collapsed="false">
      <c r="A7269" s="0" t="s">
        <v>761</v>
      </c>
      <c r="B7269" s="0" t="s">
        <v>52</v>
      </c>
      <c r="H7269" s="13" t="n">
        <f aca="false">Sens!$H$7266/Sens!$G$7266-1</f>
        <v>-0.175923504437261</v>
      </c>
      <c r="I7269" s="13" t="n">
        <f aca="false">Sens!$I$7266/Sens!$H$7266-1</f>
        <v>0.183361241519136</v>
      </c>
      <c r="J7269" s="13" t="n">
        <f aca="false">Sens!$J$7266/Sens!$I$7266-1</f>
        <v>0.153136911936991</v>
      </c>
      <c r="K7269" s="13" t="n">
        <f aca="false">Sens!$K$7266/Sens!$J$7266-1</f>
        <v>0.0992865382103958</v>
      </c>
      <c r="L7269" s="13" t="n">
        <f aca="false">Sens!$L$7266/Sens!$K$7266-1</f>
        <v>0.0898122682324627</v>
      </c>
      <c r="M7269" s="13" t="n">
        <f aca="false">Sens!$M$7266/Sens!$L$7266-1</f>
        <v>0.0754539246320329</v>
      </c>
    </row>
    <row r="7272" customFormat="false" ht="19.4" hidden="false" customHeight="false" outlineLevel="0" collapsed="false">
      <c r="A7272" s="31" t="s">
        <v>1283</v>
      </c>
    </row>
    <row r="7273" customFormat="false" ht="17.15" hidden="false" customHeight="false" outlineLevel="0" collapsed="false">
      <c r="A7273" s="6" t="s">
        <v>16</v>
      </c>
      <c r="B7273" s="6" t="s">
        <v>17</v>
      </c>
      <c r="C7273" s="20" t="s">
        <v>497</v>
      </c>
      <c r="D7273" s="20" t="s">
        <v>498</v>
      </c>
      <c r="E7273" s="20" t="s">
        <v>580</v>
      </c>
      <c r="F7273" s="20" t="s">
        <v>581</v>
      </c>
      <c r="G7273" s="20" t="s">
        <v>582</v>
      </c>
      <c r="H7273" s="20" t="s">
        <v>583</v>
      </c>
      <c r="I7273" s="20" t="s">
        <v>584</v>
      </c>
      <c r="J7273" s="20" t="s">
        <v>585</v>
      </c>
      <c r="K7273" s="20" t="s">
        <v>586</v>
      </c>
      <c r="L7273" s="20" t="s">
        <v>587</v>
      </c>
      <c r="M7273" s="20" t="s">
        <v>588</v>
      </c>
      <c r="N7273" s="20" t="s">
        <v>589</v>
      </c>
      <c r="O7273" s="20" t="s">
        <v>590</v>
      </c>
      <c r="P7273" s="6" t="s">
        <v>23</v>
      </c>
      <c r="R7273" s="20" t="n">
        <v>2023</v>
      </c>
      <c r="S7273" s="20" t="n">
        <v>2024</v>
      </c>
      <c r="T7273" s="20" t="n">
        <v>2025</v>
      </c>
      <c r="U7273" s="20" t="n">
        <v>2026</v>
      </c>
      <c r="V7273" s="20" t="n">
        <v>2027</v>
      </c>
      <c r="W7273" s="20" t="n">
        <v>2028</v>
      </c>
      <c r="X7273" s="20" t="n">
        <v>2029</v>
      </c>
      <c r="Y7273" s="20" t="n">
        <v>2030</v>
      </c>
      <c r="Z7273" s="20" t="n">
        <v>2031</v>
      </c>
      <c r="AA7273" s="20" t="n">
        <v>2032</v>
      </c>
    </row>
    <row r="7274" customFormat="false" ht="15" hidden="false" customHeight="false" outlineLevel="0" collapsed="false">
      <c r="A7274" s="5" t="s">
        <v>549</v>
      </c>
      <c r="B7274" s="0" t="s">
        <v>86</v>
      </c>
      <c r="C7274" s="38" t="n">
        <f aca="false">Sens!$C$7263</f>
        <v>59.248</v>
      </c>
      <c r="D7274" s="38" t="n">
        <f aca="false">Sens!$D$7263</f>
        <v>77.67</v>
      </c>
      <c r="E7274" s="38" t="n">
        <f aca="false">Sens!$E$7263</f>
        <v>92.902</v>
      </c>
      <c r="F7274" s="38" t="n">
        <f aca="false">Sens!$F$7263</f>
        <v>46.3053828906144</v>
      </c>
      <c r="G7274" s="38" t="n">
        <f aca="false">Sens!$G$7263</f>
        <v>139.207382890614</v>
      </c>
      <c r="H7274" s="38" t="n">
        <f aca="false">Sens!$H$7263</f>
        <v>105.69273570526</v>
      </c>
      <c r="I7274" s="38" t="n">
        <f aca="false">Sens!$I$7263</f>
        <v>119.879804986231</v>
      </c>
      <c r="J7274" s="38" t="n">
        <f aca="false">Sens!$J$7263</f>
        <v>134.128097114092</v>
      </c>
      <c r="K7274" s="38" t="n">
        <f aca="false">Sens!$K$7263</f>
        <v>144.466571578893</v>
      </c>
      <c r="L7274" s="38" t="n">
        <f aca="false">Sens!$L$7263</f>
        <v>157.514325063223</v>
      </c>
      <c r="M7274" s="38" t="n">
        <f aca="false">Sens!$M$7263</f>
        <v>171.9729181925</v>
      </c>
    </row>
    <row r="7275" customFormat="false" ht="17.15" hidden="false" customHeight="false" outlineLevel="0" collapsed="false">
      <c r="A7275" s="5" t="s">
        <v>784</v>
      </c>
      <c r="B7275" s="0" t="s">
        <v>86</v>
      </c>
      <c r="C7275" s="38" t="n">
        <f aca="false">Sens!$C$7251</f>
        <v>32.067</v>
      </c>
      <c r="D7275" s="38" t="n">
        <f aca="false">Sens!$D$7251</f>
        <v>41.86</v>
      </c>
      <c r="E7275" s="38" t="n">
        <f aca="false">Sens!$E$7251</f>
        <v>26.703</v>
      </c>
      <c r="F7275" s="38" t="n">
        <f aca="false">Sens!$F$7251</f>
        <v>28.2071421626285</v>
      </c>
      <c r="G7275" s="38" t="n">
        <f aca="false">Sens!$G$7251</f>
        <v>54.9101421626285</v>
      </c>
      <c r="H7275" s="38" t="n">
        <f aca="false">Sens!$H$7251</f>
        <v>78.1799395827871</v>
      </c>
      <c r="I7275" s="38" t="n">
        <f aca="false">Sens!$I$7251</f>
        <v>111.171125554384</v>
      </c>
      <c r="J7275" s="38" t="n">
        <f aca="false">Sens!$J$7251</f>
        <v>144.884406220971</v>
      </c>
      <c r="K7275" s="38" t="n">
        <f aca="false">Sens!$K$7251</f>
        <v>178.806419437999</v>
      </c>
      <c r="L7275" s="38" t="n">
        <f aca="false">Sens!$L$7251</f>
        <v>204.341339029663</v>
      </c>
      <c r="M7275" s="38" t="n">
        <f aca="false">Sens!$M$7251</f>
        <v>223.130577995387</v>
      </c>
    </row>
    <row r="7276" customFormat="false" ht="15" hidden="false" customHeight="false" outlineLevel="0" collapsed="false">
      <c r="A7276" s="5" t="s">
        <v>785</v>
      </c>
      <c r="B7276" s="0" t="s">
        <v>86</v>
      </c>
      <c r="C7276" s="38" t="n">
        <f aca="false">Q!$D$48</f>
        <v>22.011</v>
      </c>
      <c r="D7276" s="38" t="n">
        <f aca="false">Q!$E$48</f>
        <v>19.467</v>
      </c>
      <c r="E7276" s="38" t="n">
        <f aca="false">Q!$P$48</f>
        <v>10.07</v>
      </c>
      <c r="F7276" s="38" t="n">
        <f aca="false">sbc_r*Sens!$F$7193</f>
        <v>10.8507035798037</v>
      </c>
      <c r="G7276" s="38" t="n">
        <f aca="false">Sens!$E$7276+Sens!$F$7276</f>
        <v>20.9207035798037</v>
      </c>
      <c r="H7276" s="38" t="n">
        <f aca="false">sbc_r*Sens!$H$7193</f>
        <v>23.46224366345</v>
      </c>
      <c r="I7276" s="38" t="n">
        <f aca="false">sbc_r*Sens!$I$7193</f>
        <v>26.6125957111676</v>
      </c>
      <c r="J7276" s="38" t="n">
        <f aca="false">sbc_r*Sens!$J$7193</f>
        <v>29.6280801413323</v>
      </c>
      <c r="K7276" s="38" t="n">
        <f aca="false">sbc_r*Sens!$K$7193</f>
        <v>32.2712258901105</v>
      </c>
      <c r="L7276" s="38" t="n">
        <f aca="false">sbc_r*Sens!$L$7193</f>
        <v>34.7390505016737</v>
      </c>
      <c r="M7276" s="38" t="n">
        <f aca="false">sbc_r*Sens!$M$7193</f>
        <v>37.0405146906692</v>
      </c>
    </row>
    <row r="7277" customFormat="false" ht="17.15" hidden="false" customHeight="false" outlineLevel="0" collapsed="false">
      <c r="A7277" s="5" t="s">
        <v>786</v>
      </c>
      <c r="B7277" s="0" t="s">
        <v>86</v>
      </c>
      <c r="C7277" s="38" t="n">
        <f aca="false">Q!$D$44-Sens!$C$7274-Sens!$C$7275-Sens!$C$7276</f>
        <v>2.551</v>
      </c>
      <c r="D7277" s="38" t="n">
        <f aca="false">Q!$E$44-Sens!$D$7274-Sens!$D$7275-Sens!$D$7276</f>
        <v>0.51700000000001</v>
      </c>
      <c r="E7277" s="38" t="n">
        <f aca="false">Q!$P$44-Sens!$E$7274-Sens!$E$7275-Sens!$E$7276</f>
        <v>-58.256</v>
      </c>
      <c r="F7277" s="38" t="n">
        <f aca="false">oth_r*Sens!$F$7193</f>
        <v>5.22265251035878</v>
      </c>
      <c r="G7277" s="38" t="n">
        <f aca="false">Sens!$E$7277+Sens!$F$7277</f>
        <v>-53.0333474896412</v>
      </c>
      <c r="H7277" s="38" t="n">
        <f aca="false">oth_r*Sens!$H$7193</f>
        <v>11.2928295263397</v>
      </c>
      <c r="I7277" s="38" t="n">
        <f aca="false">oth_r*Sens!$I$7193</f>
        <v>12.8091546115766</v>
      </c>
      <c r="J7277" s="38" t="n">
        <f aca="false">oth_r*Sens!$J$7193</f>
        <v>14.2605653162668</v>
      </c>
      <c r="K7277" s="38" t="n">
        <f aca="false">oth_r*Sens!$K$7193</f>
        <v>15.5327622460396</v>
      </c>
      <c r="L7277" s="38" t="n">
        <f aca="false">oth_r*Sens!$L$7193</f>
        <v>16.720573737517</v>
      </c>
      <c r="M7277" s="38" t="n">
        <f aca="false">oth_r*Sens!$M$7193</f>
        <v>17.8283127551536</v>
      </c>
      <c r="P7277" s="8" t="s">
        <v>787</v>
      </c>
    </row>
    <row r="7278" customFormat="false" ht="15" hidden="false" customHeight="false" outlineLevel="0" collapsed="false">
      <c r="A7278" s="3" t="s">
        <v>555</v>
      </c>
      <c r="B7278" s="8" t="s">
        <v>86</v>
      </c>
      <c r="C7278" s="38" t="n">
        <f aca="false">Q!$D$44</f>
        <v>115.877</v>
      </c>
      <c r="D7278" s="38" t="n">
        <f aca="false">Q!$E$44</f>
        <v>139.514</v>
      </c>
      <c r="E7278" s="38" t="n">
        <f aca="false">Q!$P$44</f>
        <v>71.419</v>
      </c>
      <c r="F7278" s="38" t="n">
        <f aca="false">Sens!$F$7274+Sens!$F$7275+Sens!$F$7276+Sens!$F$7277</f>
        <v>90.5858811434053</v>
      </c>
      <c r="G7278" s="38" t="n">
        <f aca="false">Sens!$E$7278+Sens!$F$7278</f>
        <v>162.004881143405</v>
      </c>
      <c r="H7278" s="38" t="n">
        <f aca="false">Sens!$H$7274+Sens!$H$7275+Sens!$H$7276+Sens!$H$7277</f>
        <v>218.627748477837</v>
      </c>
      <c r="I7278" s="38" t="n">
        <f aca="false">Sens!$I$7274+Sens!$I$7275+Sens!$I$7276+Sens!$I$7277</f>
        <v>270.47268086336</v>
      </c>
      <c r="J7278" s="38" t="n">
        <f aca="false">Sens!$J$7274+Sens!$J$7275+Sens!$J$7276+Sens!$J$7277</f>
        <v>322.901148792662</v>
      </c>
      <c r="K7278" s="38" t="n">
        <f aca="false">Sens!$K$7274+Sens!$K$7275+Sens!$K$7276+Sens!$K$7277</f>
        <v>371.076979153043</v>
      </c>
      <c r="L7278" s="38" t="n">
        <f aca="false">Sens!$L$7274+Sens!$L$7275+Sens!$L$7276+Sens!$L$7277</f>
        <v>413.315288332076</v>
      </c>
      <c r="M7278" s="38" t="n">
        <f aca="false">Sens!$M$7274+Sens!$M$7275+Sens!$M$7276+Sens!$M$7277</f>
        <v>449.97232363371</v>
      </c>
    </row>
    <row r="7279" customFormat="false" ht="17.15" hidden="false" customHeight="false" outlineLevel="0" collapsed="false">
      <c r="A7279" s="5" t="s">
        <v>788</v>
      </c>
      <c r="B7279" s="0" t="s">
        <v>86</v>
      </c>
      <c r="C7279" s="38" t="n">
        <f aca="false">Sens!$C$7160</f>
        <v>25.2781053077374</v>
      </c>
      <c r="D7279" s="38" t="n">
        <f aca="false">Sens!$D$7160</f>
        <v>69.5686316310026</v>
      </c>
      <c r="E7279" s="38" t="n">
        <f aca="false">Sens!$E$7160</f>
        <v>64.1899206485108</v>
      </c>
      <c r="F7279" s="38" t="n">
        <f aca="false">Sens!$F$7160</f>
        <v>96.2481299895</v>
      </c>
      <c r="G7279" s="38" t="n">
        <f aca="false">Sens!$G$7160</f>
        <v>160.438050638011</v>
      </c>
      <c r="H7279" s="38" t="n">
        <f aca="false">Sens!$H$7160</f>
        <v>198.57136494475</v>
      </c>
      <c r="I7279" s="38" t="n">
        <f aca="false">Sens!$I$7160</f>
        <v>204.6464699105</v>
      </c>
      <c r="J7279" s="38" t="n">
        <f aca="false">Sens!$J$7160</f>
        <v>209.8832381105</v>
      </c>
      <c r="K7279" s="38" t="n">
        <f aca="false">Sens!$K$7160</f>
        <v>155.238385275201</v>
      </c>
      <c r="L7279" s="38" t="n">
        <f aca="false">Sens!$L$7160</f>
        <v>132.014141639902</v>
      </c>
      <c r="M7279" s="38" t="n">
        <f aca="false">Sens!$M$7160</f>
        <v>132.230981659852</v>
      </c>
    </row>
    <row r="7280" customFormat="false" ht="17.15" hidden="false" customHeight="false" outlineLevel="0" collapsed="false">
      <c r="A7280" s="5" t="s">
        <v>789</v>
      </c>
      <c r="B7280" s="0" t="s">
        <v>86</v>
      </c>
      <c r="C7280" s="38" t="n">
        <f aca="false">cx_awso*Sens!$C$7191</f>
        <v>21.0469989286053</v>
      </c>
      <c r="D7280" s="38" t="n">
        <f aca="false">cx_awso*Sens!$D$7191</f>
        <v>24.0042459822698</v>
      </c>
      <c r="E7280" s="38" t="n">
        <f aca="false">cx_awso*Sens!$E$7191</f>
        <v>14.261729404886</v>
      </c>
      <c r="F7280" s="38" t="n">
        <f aca="false">cx_awso*Sens!$F$7191</f>
        <v>14.3538599588493</v>
      </c>
      <c r="G7280" s="38" t="n">
        <f aca="false">Sens!$E$7280+Sens!$F$7280</f>
        <v>28.6155893637353</v>
      </c>
      <c r="H7280" s="38" t="n">
        <f aca="false">cx_awso*Sens!$H$7191</f>
        <v>32.2034154158406</v>
      </c>
      <c r="I7280" s="38" t="n">
        <f aca="false">cx_awso*Sens!$I$7191</f>
        <v>35.7539519042915</v>
      </c>
      <c r="J7280" s="38" t="n">
        <f aca="false">cx_awso*Sens!$J$7191</f>
        <v>39.1551076091815</v>
      </c>
      <c r="K7280" s="38" t="n">
        <f aca="false">cx_awso*Sens!$K$7191</f>
        <v>42.287516217916</v>
      </c>
      <c r="L7280" s="38" t="n">
        <f aca="false">cx_awso*Sens!$L$7191</f>
        <v>45.6705175153492</v>
      </c>
      <c r="M7280" s="38" t="n">
        <f aca="false">cx_awso*Sens!$M$7191</f>
        <v>49.3241589165772</v>
      </c>
    </row>
    <row r="7281" customFormat="false" ht="17.15" hidden="false" customHeight="false" outlineLevel="0" collapsed="false">
      <c r="A7281" s="5" t="s">
        <v>790</v>
      </c>
      <c r="B7281" s="0" t="s">
        <v>86</v>
      </c>
      <c r="C7281" s="38" t="n">
        <f aca="false">Q!$D$46-Sens!$C$7279-Sens!$C$7280</f>
        <v>31.3328957636573</v>
      </c>
      <c r="D7281" s="38" t="n">
        <f aca="false">Q!$E$46-Sens!$D$7279-Sens!$D$7280</f>
        <v>34.7471223867276</v>
      </c>
      <c r="E7281" s="38" t="n">
        <f aca="false">Q!$P$46-Sens!$E$7279-Sens!$E$7280</f>
        <v>17.8583499466032</v>
      </c>
      <c r="F7281" s="38" t="n">
        <f aca="false">cx_rt*Sens!$F$7123</f>
        <v>20.6195895799373</v>
      </c>
      <c r="G7281" s="38" t="n">
        <f aca="false">Sens!$E$7281+Sens!$F$7281</f>
        <v>38.4779395265405</v>
      </c>
      <c r="H7281" s="38" t="n">
        <f aca="false">cx_rt*Sens!$H$7123</f>
        <v>42.5978994743075</v>
      </c>
      <c r="I7281" s="38" t="n">
        <f aca="false">cx_rt*Sens!$I$7123</f>
        <v>46.5813904136335</v>
      </c>
      <c r="J7281" s="38" t="n">
        <f aca="false">cx_rt*Sens!$J$7123</f>
        <v>50.2781676586844</v>
      </c>
      <c r="K7281" s="38" t="n">
        <f aca="false">cx_rt*Sens!$K$7123</f>
        <v>53.5312440191755</v>
      </c>
      <c r="L7281" s="38" t="n">
        <f aca="false">cx_rt*Sens!$L$7123</f>
        <v>57.0116717051447</v>
      </c>
      <c r="M7281" s="38" t="n">
        <f aca="false">cx_rt*Sens!$M$7123</f>
        <v>60.7365554669226</v>
      </c>
    </row>
    <row r="7282" customFormat="false" ht="15" hidden="false" customHeight="false" outlineLevel="0" collapsed="false">
      <c r="A7282" s="3" t="s">
        <v>791</v>
      </c>
      <c r="B7282" s="8" t="s">
        <v>86</v>
      </c>
      <c r="C7282" s="38" t="n">
        <f aca="false">Q!$D$46</f>
        <v>77.658</v>
      </c>
      <c r="D7282" s="38" t="n">
        <f aca="false">Q!$E$46</f>
        <v>128.32</v>
      </c>
      <c r="E7282" s="38" t="n">
        <f aca="false">Q!$P$46</f>
        <v>96.31</v>
      </c>
      <c r="F7282" s="38" t="n">
        <f aca="false">Sens!$F$7279+Sens!$F$7280+Sens!$F$7281</f>
        <v>131.221579528287</v>
      </c>
      <c r="G7282" s="38" t="n">
        <f aca="false">Sens!$E$7282+Sens!$F$7282</f>
        <v>227.531579528287</v>
      </c>
      <c r="H7282" s="38" t="n">
        <f aca="false">Sens!$H$7279+Sens!$H$7280+Sens!$H$7281</f>
        <v>273.372679834898</v>
      </c>
      <c r="I7282" s="38" t="n">
        <f aca="false">Sens!$I$7279+Sens!$I$7280+Sens!$I$7281</f>
        <v>286.981812228425</v>
      </c>
      <c r="J7282" s="38" t="n">
        <f aca="false">Sens!$J$7279+Sens!$J$7280+Sens!$J$7281</f>
        <v>299.316513378366</v>
      </c>
      <c r="K7282" s="38" t="n">
        <f aca="false">Sens!$K$7279+Sens!$K$7280+Sens!$K$7281</f>
        <v>251.057145512292</v>
      </c>
      <c r="L7282" s="38" t="n">
        <f aca="false">Sens!$L$7279+Sens!$L$7280+Sens!$L$7281</f>
        <v>234.696330860396</v>
      </c>
      <c r="M7282" s="38" t="n">
        <f aca="false">Sens!$M$7279+Sens!$M$7280+Sens!$M$7281</f>
        <v>242.291696043352</v>
      </c>
    </row>
    <row r="7283" customFormat="false" ht="17.15" hidden="false" customHeight="false" outlineLevel="0" collapsed="false">
      <c r="A7283" s="5" t="s">
        <v>563</v>
      </c>
      <c r="B7283" s="0" t="s">
        <v>86</v>
      </c>
      <c r="C7283" s="38" t="n">
        <f aca="false">Q!$D$50</f>
        <v>2.043</v>
      </c>
      <c r="D7283" s="38" t="n">
        <f aca="false">Q!$E$50</f>
        <v>1.557</v>
      </c>
      <c r="E7283" s="38" t="n">
        <f aca="false">lease_pr/2</f>
        <v>0.8</v>
      </c>
      <c r="F7283" s="38" t="n">
        <f aca="false">lease_pr/2</f>
        <v>0.8</v>
      </c>
      <c r="G7283" s="38" t="n">
        <f aca="false">Sens!$E$7283+Sens!$F$7283</f>
        <v>1.6</v>
      </c>
      <c r="H7283" s="38" t="n">
        <f aca="false">lease_pr</f>
        <v>1.6</v>
      </c>
      <c r="I7283" s="38" t="n">
        <f aca="false">lease_pr</f>
        <v>1.6</v>
      </c>
      <c r="J7283" s="38" t="n">
        <f aca="false">lease_pr</f>
        <v>1.6</v>
      </c>
      <c r="K7283" s="38" t="n">
        <f aca="false">lease_pr</f>
        <v>1.6</v>
      </c>
      <c r="L7283" s="38" t="n">
        <f aca="false">lease_pr</f>
        <v>1.6</v>
      </c>
      <c r="M7283" s="38" t="n">
        <f aca="false">lease_pr</f>
        <v>1.6</v>
      </c>
      <c r="P7283" s="8" t="s">
        <v>792</v>
      </c>
    </row>
    <row r="7284" customFormat="false" ht="15" hidden="false" customHeight="false" outlineLevel="0" collapsed="false">
      <c r="A7284" s="47" t="s">
        <v>793</v>
      </c>
      <c r="B7284" s="14" t="s">
        <v>86</v>
      </c>
      <c r="C7284" s="48" t="n">
        <f aca="false">Sens!$C$7278-Sens!$C$7282-Sens!$C$7283</f>
        <v>36.176</v>
      </c>
      <c r="D7284" s="48" t="n">
        <f aca="false">Sens!$D$7278-Sens!$D$7282-Sens!$D$7283</f>
        <v>9.63700000000002</v>
      </c>
      <c r="E7284" s="48" t="n">
        <f aca="false">Sens!$E$7278-Sens!$E$7282-Sens!$E$7283</f>
        <v>-25.691</v>
      </c>
      <c r="F7284" s="48" t="n">
        <f aca="false">Sens!$F$7278-Sens!$F$7282-Sens!$F$7283</f>
        <v>-41.4356983848813</v>
      </c>
      <c r="G7284" s="48" t="n">
        <f aca="false">Sens!$G$7278-Sens!$G$7282-Sens!$G$7283</f>
        <v>-67.1266983848813</v>
      </c>
      <c r="H7284" s="48" t="n">
        <f aca="false">Sens!$H$7278-Sens!$H$7282-Sens!$H$7283</f>
        <v>-56.3449313570613</v>
      </c>
      <c r="I7284" s="48" t="n">
        <f aca="false">Sens!$I$7278-Sens!$I$7282-Sens!$I$7283</f>
        <v>-18.1091313650653</v>
      </c>
      <c r="J7284" s="48" t="n">
        <f aca="false">Sens!$J$7278-Sens!$J$7282-Sens!$J$7283</f>
        <v>21.9846354142961</v>
      </c>
      <c r="K7284" s="48" t="n">
        <f aca="false">Sens!$K$7278-Sens!$K$7282-Sens!$K$7283</f>
        <v>118.41983364075</v>
      </c>
      <c r="L7284" s="48" t="n">
        <f aca="false">Sens!$L$7278-Sens!$L$7282-Sens!$L$7283</f>
        <v>177.018957471681</v>
      </c>
      <c r="M7284" s="48" t="n">
        <f aca="false">Sens!$M$7278-Sens!$M$7282-Sens!$M$7283</f>
        <v>206.080627590357</v>
      </c>
      <c r="N7284" s="14"/>
      <c r="O7284" s="14"/>
    </row>
    <row r="7285" customFormat="false" ht="17.15" hidden="false" customHeight="false" outlineLevel="0" collapsed="false">
      <c r="A7285" s="5" t="s">
        <v>794</v>
      </c>
      <c r="B7285" s="0" t="s">
        <v>86</v>
      </c>
      <c r="C7285" s="38" t="n">
        <f aca="false">dps*Sens!$C$7264</f>
        <v>0</v>
      </c>
      <c r="D7285" s="38" t="n">
        <f aca="false">dps*Sens!$D$7264</f>
        <v>0</v>
      </c>
      <c r="E7285" s="38" t="n">
        <f aca="false">dps*Sens!$E$7264</f>
        <v>0</v>
      </c>
      <c r="F7285" s="38" t="n">
        <f aca="false">0</f>
        <v>0</v>
      </c>
      <c r="G7285" s="38" t="n">
        <f aca="false">dps*Sens!$G$7264</f>
        <v>0</v>
      </c>
      <c r="H7285" s="38" t="n">
        <f aca="false">dps*Sens!$H$7264</f>
        <v>0</v>
      </c>
      <c r="I7285" s="38" t="n">
        <f aca="false">dps*Sens!$I$7264</f>
        <v>0</v>
      </c>
      <c r="J7285" s="38" t="n">
        <f aca="false">dps*Sens!$J$7264</f>
        <v>0</v>
      </c>
      <c r="K7285" s="38" t="n">
        <f aca="false">dps*Sens!$K$7264</f>
        <v>0</v>
      </c>
      <c r="L7285" s="38" t="n">
        <f aca="false">dps*Sens!$L$7264</f>
        <v>0</v>
      </c>
      <c r="M7285" s="38" t="n">
        <f aca="false">dps*Sens!$M$7264</f>
        <v>0</v>
      </c>
      <c r="P7285" s="8" t="s">
        <v>795</v>
      </c>
    </row>
    <row r="7286" customFormat="false" ht="17.15" hidden="false" customHeight="false" outlineLevel="0" collapsed="false">
      <c r="A7286" s="5" t="s">
        <v>796</v>
      </c>
      <c r="B7286" s="0" t="s">
        <v>86</v>
      </c>
      <c r="C7286" s="38" t="n">
        <f aca="false">0</f>
        <v>0</v>
      </c>
      <c r="D7286" s="38" t="n">
        <f aca="false">0</f>
        <v>0</v>
      </c>
      <c r="E7286" s="38" t="n">
        <f aca="false">0</f>
        <v>0</v>
      </c>
      <c r="F7286" s="38" t="n">
        <f aca="false">0</f>
        <v>0</v>
      </c>
      <c r="G7286" s="38" t="n">
        <f aca="false">0</f>
        <v>0</v>
      </c>
      <c r="H7286" s="38" t="n">
        <f aca="false">0</f>
        <v>0</v>
      </c>
      <c r="I7286" s="38" t="n">
        <f aca="false">0</f>
        <v>0</v>
      </c>
      <c r="J7286" s="38" t="n">
        <f aca="false">0</f>
        <v>0</v>
      </c>
      <c r="K7286" s="38" t="n">
        <f aca="false">0</f>
        <v>0</v>
      </c>
      <c r="L7286" s="38" t="n">
        <f aca="false">0</f>
        <v>0</v>
      </c>
      <c r="M7286" s="38" t="n">
        <f aca="false">0</f>
        <v>0</v>
      </c>
      <c r="P7286" s="8" t="s">
        <v>797</v>
      </c>
    </row>
    <row r="7287" customFormat="false" ht="15" hidden="false" customHeight="false" outlineLevel="0" collapsed="false">
      <c r="A7287" s="3" t="s">
        <v>798</v>
      </c>
      <c r="B7287" s="8" t="s">
        <v>86</v>
      </c>
      <c r="C7287" s="38" t="n">
        <f aca="false">Sens!$C$7284-Sens!$C$7285</f>
        <v>36.176</v>
      </c>
      <c r="D7287" s="38" t="n">
        <f aca="false">Sens!$D$7284-Sens!$D$7285</f>
        <v>9.63700000000002</v>
      </c>
      <c r="E7287" s="38" t="n">
        <f aca="false">Sens!$E$7284-Sens!$E$7285</f>
        <v>-25.691</v>
      </c>
      <c r="F7287" s="38" t="n">
        <f aca="false">Sens!$F$7284-Sens!$F$7285</f>
        <v>-41.4356983848813</v>
      </c>
      <c r="G7287" s="38" t="n">
        <f aca="false">Sens!$G$7284-Sens!$G$7285</f>
        <v>-67.1266983848813</v>
      </c>
      <c r="H7287" s="38" t="n">
        <f aca="false">Sens!$H$7284-Sens!$H$7285</f>
        <v>-56.3449313570613</v>
      </c>
      <c r="I7287" s="38" t="n">
        <f aca="false">Sens!$I$7284-Sens!$I$7285</f>
        <v>-18.1091313650653</v>
      </c>
      <c r="J7287" s="38" t="n">
        <f aca="false">Sens!$J$7284-Sens!$J$7285</f>
        <v>21.9846354142961</v>
      </c>
      <c r="K7287" s="38" t="n">
        <f aca="false">Sens!$K$7284-Sens!$K$7285</f>
        <v>118.41983364075</v>
      </c>
      <c r="L7287" s="38" t="n">
        <f aca="false">Sens!$L$7284-Sens!$L$7285</f>
        <v>177.018957471681</v>
      </c>
      <c r="M7287" s="38" t="n">
        <f aca="false">Sens!$M$7284-Sens!$M$7285</f>
        <v>206.080627590357</v>
      </c>
    </row>
    <row r="7288" customFormat="false" ht="17.15" hidden="false" customHeight="false" outlineLevel="0" collapsed="false">
      <c r="A7288" s="5" t="s">
        <v>799</v>
      </c>
      <c r="B7288" s="0" t="s">
        <v>86</v>
      </c>
      <c r="E7288" s="38" t="n">
        <f aca="false">Q!$P$53</f>
        <v>39.767</v>
      </c>
      <c r="F7288" s="38" t="n">
        <f aca="false">inv_2h26</f>
        <v>21.3</v>
      </c>
      <c r="G7288" s="38" t="n">
        <f aca="false">Sens!$E$7288+Sens!$F$7288</f>
        <v>61.067</v>
      </c>
      <c r="H7288" s="39" t="n">
        <v>0</v>
      </c>
      <c r="I7288" s="39" t="n">
        <v>0</v>
      </c>
      <c r="J7288" s="39" t="n">
        <v>0</v>
      </c>
      <c r="K7288" s="39" t="n">
        <v>0</v>
      </c>
      <c r="L7288" s="39" t="n">
        <v>0</v>
      </c>
      <c r="M7288" s="39" t="n">
        <v>0</v>
      </c>
    </row>
    <row r="7289" customFormat="false" ht="17.15" hidden="false" customHeight="false" outlineLevel="0" collapsed="false">
      <c r="A7289" s="5" t="s">
        <v>800</v>
      </c>
      <c r="B7289" s="0" t="s">
        <v>86</v>
      </c>
      <c r="F7289" s="38" t="n">
        <f aca="false">iss_2h26</f>
        <v>29.249999</v>
      </c>
      <c r="G7289" s="38" t="n">
        <f aca="false">Sens!$F$7289</f>
        <v>29.249999</v>
      </c>
      <c r="H7289" s="39" t="n">
        <v>0</v>
      </c>
      <c r="I7289" s="39" t="n">
        <v>0</v>
      </c>
      <c r="J7289" s="39" t="n">
        <v>0</v>
      </c>
      <c r="K7289" s="39" t="n">
        <v>0</v>
      </c>
      <c r="L7289" s="39" t="n">
        <v>0</v>
      </c>
      <c r="M7289" s="39" t="n">
        <v>0</v>
      </c>
    </row>
    <row r="7290" customFormat="false" ht="17.15" hidden="false" customHeight="false" outlineLevel="0" collapsed="false">
      <c r="A7290" s="5" t="s">
        <v>801</v>
      </c>
      <c r="B7290" s="0" t="s">
        <v>86</v>
      </c>
      <c r="F7290" s="38" t="n">
        <f aca="false">cash_q2</f>
        <v>122.988</v>
      </c>
      <c r="G7290" s="38" t="n">
        <f aca="false">cash_q2</f>
        <v>122.988</v>
      </c>
      <c r="H7290" s="38" t="n">
        <f aca="false">Sens!$G$7293</f>
        <v>89.5023006151187</v>
      </c>
      <c r="I7290" s="38" t="n">
        <f aca="false">Sens!$H$7293</f>
        <v>50</v>
      </c>
      <c r="J7290" s="38" t="n">
        <f aca="false">Sens!$I$7293</f>
        <v>50</v>
      </c>
      <c r="K7290" s="38" t="n">
        <f aca="false">Sens!$J$7293</f>
        <v>71.9846354142962</v>
      </c>
      <c r="L7290" s="38" t="n">
        <f aca="false">Sens!$K$7293</f>
        <v>190.404469055046</v>
      </c>
      <c r="M7290" s="38" t="n">
        <f aca="false">Sens!$L$7293</f>
        <v>367.423426526727</v>
      </c>
    </row>
    <row r="7291" customFormat="false" ht="15" hidden="false" customHeight="false" outlineLevel="0" collapsed="false">
      <c r="A7291" s="5" t="s">
        <v>802</v>
      </c>
      <c r="B7291" s="0" t="s">
        <v>86</v>
      </c>
      <c r="F7291" s="38" t="n">
        <f aca="false">Sens!$F$7290+Sens!$F$7287-Sens!$F$7286-Sens!$F$7288+Sens!$F$7289</f>
        <v>89.5023006151187</v>
      </c>
      <c r="H7291" s="38" t="n">
        <f aca="false">Sens!$H$7290+Sens!$H$7287-Sens!$H$7286-Sens!$H$7288+Sens!$H$7289</f>
        <v>33.1573692580575</v>
      </c>
      <c r="I7291" s="38" t="n">
        <f aca="false">Sens!$I$7290+Sens!$I$7287-Sens!$I$7286-Sens!$I$7288+Sens!$I$7289</f>
        <v>31.8908686349347</v>
      </c>
      <c r="J7291" s="38" t="n">
        <f aca="false">Sens!$J$7290+Sens!$J$7287-Sens!$J$7286-Sens!$J$7288+Sens!$J$7289</f>
        <v>71.9846354142962</v>
      </c>
      <c r="K7291" s="38" t="n">
        <f aca="false">Sens!$K$7290+Sens!$K$7287-Sens!$K$7286-Sens!$K$7288+Sens!$K$7289</f>
        <v>190.404469055046</v>
      </c>
      <c r="L7291" s="38" t="n">
        <f aca="false">Sens!$L$7290+Sens!$L$7287-Sens!$L$7286-Sens!$L$7288+Sens!$L$7289</f>
        <v>367.423426526727</v>
      </c>
      <c r="M7291" s="38" t="n">
        <f aca="false">Sens!$M$7290+Sens!$M$7287-Sens!$M$7286-Sens!$M$7288+Sens!$M$7289</f>
        <v>573.504054117085</v>
      </c>
    </row>
    <row r="7292" customFormat="false" ht="17.15" hidden="false" customHeight="false" outlineLevel="0" collapsed="false">
      <c r="A7292" s="5" t="s">
        <v>803</v>
      </c>
      <c r="B7292" s="0" t="s">
        <v>86</v>
      </c>
      <c r="F7292" s="38" t="n">
        <f aca="false">MAX(0,min_cash-Sens!$F$7291)</f>
        <v>0</v>
      </c>
      <c r="G7292" s="38" t="n">
        <f aca="false">Sens!$F$7292</f>
        <v>0</v>
      </c>
      <c r="H7292" s="38" t="n">
        <f aca="false">MAX(0,min_cash-Sens!$H$7291)</f>
        <v>16.8426307419426</v>
      </c>
      <c r="I7292" s="38" t="n">
        <f aca="false">MAX(0,min_cash-Sens!$I$7291)</f>
        <v>18.1091313650653</v>
      </c>
      <c r="J7292" s="38" t="n">
        <f aca="false">MAX(0,min_cash-Sens!$J$7291)</f>
        <v>0</v>
      </c>
      <c r="K7292" s="38" t="n">
        <f aca="false">MAX(0,min_cash-Sens!$K$7291)</f>
        <v>0</v>
      </c>
      <c r="L7292" s="38" t="n">
        <f aca="false">MAX(0,min_cash-Sens!$L$7291)</f>
        <v>0</v>
      </c>
      <c r="M7292" s="38" t="n">
        <f aca="false">MAX(0,min_cash-Sens!$M$7291)</f>
        <v>0</v>
      </c>
      <c r="P7292" s="5" t="s">
        <v>804</v>
      </c>
    </row>
    <row r="7293" customFormat="false" ht="15" hidden="false" customHeight="false" outlineLevel="0" collapsed="false">
      <c r="A7293" s="5" t="s">
        <v>805</v>
      </c>
      <c r="B7293" s="0" t="s">
        <v>86</v>
      </c>
      <c r="D7293" s="38" t="n">
        <f aca="false">Q!$E$61</f>
        <v>123.029</v>
      </c>
      <c r="E7293" s="38" t="n">
        <f aca="false">Q!$M$61</f>
        <v>122.988</v>
      </c>
      <c r="F7293" s="38" t="n">
        <f aca="false">Sens!$F$7291+Sens!$F$7292</f>
        <v>89.5023006151187</v>
      </c>
      <c r="G7293" s="38" t="n">
        <f aca="false">Sens!$F$7293</f>
        <v>89.5023006151187</v>
      </c>
      <c r="H7293" s="38" t="n">
        <f aca="false">Sens!$H$7291+Sens!$H$7292</f>
        <v>50</v>
      </c>
      <c r="I7293" s="38" t="n">
        <f aca="false">Sens!$I$7291+Sens!$I$7292</f>
        <v>50</v>
      </c>
      <c r="J7293" s="38" t="n">
        <f aca="false">Sens!$J$7291+Sens!$J$7292</f>
        <v>71.9846354142962</v>
      </c>
      <c r="K7293" s="38" t="n">
        <f aca="false">Sens!$K$7291+Sens!$K$7292</f>
        <v>190.404469055046</v>
      </c>
      <c r="L7293" s="38" t="n">
        <f aca="false">Sens!$L$7291+Sens!$L$7292</f>
        <v>367.423426526727</v>
      </c>
      <c r="M7293" s="38" t="n">
        <f aca="false">Sens!$M$7291+Sens!$M$7292</f>
        <v>573.504054117085</v>
      </c>
    </row>
    <row r="7294" customFormat="false" ht="15" hidden="false" customHeight="false" outlineLevel="0" collapsed="false">
      <c r="A7294" s="5" t="s">
        <v>806</v>
      </c>
      <c r="B7294" s="0" t="s">
        <v>86</v>
      </c>
      <c r="D7294" s="38" t="n">
        <f aca="false">Q!$E$62</f>
        <v>68.836</v>
      </c>
      <c r="E7294" s="38" t="n">
        <f aca="false">Q!$M$62</f>
        <v>132.995</v>
      </c>
      <c r="F7294" s="38" t="n">
        <f aca="false">debt_q2+Sens!$F$7289+Sens!$F$7292</f>
        <v>162.244999</v>
      </c>
      <c r="G7294" s="38" t="n">
        <f aca="false">Sens!$F$7294</f>
        <v>162.244999</v>
      </c>
      <c r="H7294" s="38" t="n">
        <f aca="false">Sens!$G$7294+Sens!$H$7292</f>
        <v>179.087629741943</v>
      </c>
      <c r="I7294" s="38" t="n">
        <f aca="false">Sens!$H$7294+Sens!$I$7292</f>
        <v>197.196761107008</v>
      </c>
      <c r="J7294" s="38" t="n">
        <f aca="false">Sens!$I$7294+Sens!$J$7292</f>
        <v>197.196761107008</v>
      </c>
      <c r="K7294" s="38" t="n">
        <f aca="false">Sens!$J$7294+Sens!$K$7292</f>
        <v>197.196761107008</v>
      </c>
      <c r="L7294" s="38" t="n">
        <f aca="false">Sens!$K$7294+Sens!$L$7292</f>
        <v>197.196761107008</v>
      </c>
      <c r="M7294" s="38" t="n">
        <f aca="false">Sens!$L$7294+Sens!$M$7292</f>
        <v>197.196761107008</v>
      </c>
    </row>
    <row r="7295" customFormat="false" ht="15" hidden="false" customHeight="false" outlineLevel="0" collapsed="false">
      <c r="A7295" s="5" t="s">
        <v>807</v>
      </c>
      <c r="B7295" s="0" t="s">
        <v>86</v>
      </c>
      <c r="D7295" s="38" t="n">
        <f aca="false">Sens!$D$7294-Sens!$D$7293</f>
        <v>-54.193</v>
      </c>
      <c r="E7295" s="38" t="n">
        <f aca="false">Sens!$E$7294-Sens!$E$7293</f>
        <v>10.007</v>
      </c>
      <c r="F7295" s="38" t="n">
        <f aca="false">Sens!$F$7294-Sens!$F$7293</f>
        <v>72.7426983848813</v>
      </c>
      <c r="G7295" s="38" t="n">
        <f aca="false">Sens!$G$7294-Sens!$G$7293</f>
        <v>72.7426983848813</v>
      </c>
      <c r="H7295" s="38" t="n">
        <f aca="false">Sens!$H$7294-Sens!$H$7293</f>
        <v>129.087629741943</v>
      </c>
      <c r="I7295" s="38" t="n">
        <f aca="false">Sens!$I$7294-Sens!$I$7293</f>
        <v>147.196761107008</v>
      </c>
      <c r="J7295" s="38" t="n">
        <f aca="false">Sens!$J$7294-Sens!$J$7293</f>
        <v>125.212125692712</v>
      </c>
      <c r="K7295" s="38" t="n">
        <f aca="false">Sens!$K$7294-Sens!$K$7293</f>
        <v>6.79229205196145</v>
      </c>
      <c r="L7295" s="38" t="n">
        <f aca="false">Sens!$L$7294-Sens!$L$7293</f>
        <v>-170.226665419719</v>
      </c>
      <c r="M7295" s="38" t="n">
        <f aca="false">Sens!$M$7294-Sens!$M$7293</f>
        <v>-376.307293010077</v>
      </c>
    </row>
    <row r="7296" customFormat="false" ht="17.15" hidden="false" customHeight="false" outlineLevel="0" collapsed="false">
      <c r="A7296" s="5" t="s">
        <v>808</v>
      </c>
      <c r="B7296" s="0" t="s">
        <v>86</v>
      </c>
      <c r="F7296" s="38" t="n">
        <f aca="false">debt_q2*kd_book*0.5+iss_2h26*kd_new*iss_t</f>
        <v>3.24888962733561</v>
      </c>
      <c r="H7296" s="38" t="n">
        <f aca="false">debt_q2*kd_book+(Sens!$G$7294-debt_q2)*kd_new</f>
        <v>7.42354172302123</v>
      </c>
      <c r="I7296" s="38" t="n">
        <f aca="false">debt_q2*kd_book+(Sens!$H$7294-debt_q2)*kd_new</f>
        <v>8.48968024898619</v>
      </c>
      <c r="J7296" s="38" t="n">
        <f aca="false">debt_q2*kd_book+(Sens!$I$7294-debt_q2)*kd_new</f>
        <v>9.63598826439483</v>
      </c>
      <c r="K7296" s="38" t="n">
        <f aca="false">debt_q2*kd_book+(Sens!$J$7294-debt_q2)*kd_new</f>
        <v>9.63598826439483</v>
      </c>
      <c r="L7296" s="38" t="n">
        <f aca="false">debt_q2*kd_book+(Sens!$K$7294-debt_q2)*kd_new</f>
        <v>9.63598826439483</v>
      </c>
      <c r="M7296" s="38" t="n">
        <f aca="false">debt_q2*kd_book+(Sens!$L$7294-debt_q2)*kd_new</f>
        <v>9.63598826439483</v>
      </c>
    </row>
    <row r="7297" customFormat="false" ht="17.15" hidden="false" customHeight="false" outlineLevel="0" collapsed="false">
      <c r="A7297" s="5" t="s">
        <v>809</v>
      </c>
      <c r="B7297" s="0" t="s">
        <v>86</v>
      </c>
      <c r="F7297" s="38" t="n">
        <f aca="false">cash_q2*y_cash*0.5</f>
        <v>2.59</v>
      </c>
      <c r="H7297" s="38" t="n">
        <f aca="false">Sens!$G$7293*y_cash</f>
        <v>3.76965165045626</v>
      </c>
      <c r="I7297" s="38" t="n">
        <f aca="false">Sens!$H$7293*y_cash</f>
        <v>2.10589651022864</v>
      </c>
      <c r="J7297" s="38" t="n">
        <f aca="false">Sens!$I$7293*y_cash</f>
        <v>2.10589651022864</v>
      </c>
      <c r="K7297" s="38" t="n">
        <f aca="false">Sens!$J$7293*y_cash</f>
        <v>3.03184385018094</v>
      </c>
      <c r="L7297" s="38" t="n">
        <f aca="false">Sens!$K$7293*y_cash</f>
        <v>8.01944213829919</v>
      </c>
      <c r="M7297" s="38" t="n">
        <f aca="false">Sens!$L$7293*y_cash</f>
        <v>15.4751142339777</v>
      </c>
    </row>
    <row r="7298" customFormat="false" ht="17.15" hidden="false" customHeight="false" outlineLevel="0" collapsed="false">
      <c r="A7298" s="47" t="s">
        <v>810</v>
      </c>
      <c r="B7298" s="14" t="s">
        <v>86</v>
      </c>
      <c r="C7298" s="14"/>
      <c r="D7298" s="14"/>
      <c r="E7298" s="14"/>
      <c r="F7298" s="14"/>
      <c r="G7298" s="48" t="n">
        <f aca="false">SUM(Sens!$G$7287:$K$7287)</f>
        <v>-1.17629205196147</v>
      </c>
      <c r="H7298" s="14"/>
      <c r="I7298" s="14"/>
      <c r="J7298" s="14"/>
      <c r="K7298" s="14"/>
      <c r="L7298" s="14"/>
      <c r="M7298" s="14"/>
      <c r="N7298" s="14"/>
      <c r="O7298" s="14"/>
    </row>
    <row r="7299" customFormat="false" ht="17.15" hidden="false" customHeight="false" outlineLevel="0" collapsed="false">
      <c r="A7299" s="0" t="s">
        <v>776</v>
      </c>
      <c r="B7299" s="0" t="s">
        <v>86</v>
      </c>
      <c r="G7299" s="38" t="n">
        <f aca="false">SUM(Sens!$G$7292:$K$7292)</f>
        <v>34.9517621070079</v>
      </c>
    </row>
    <row r="7300" customFormat="false" ht="17.15" hidden="false" customHeight="false" outlineLevel="0" collapsed="false">
      <c r="A7300" s="24" t="s">
        <v>813</v>
      </c>
      <c r="B7300" s="25" t="s">
        <v>86</v>
      </c>
      <c r="C7300" s="25"/>
      <c r="D7300" s="25"/>
      <c r="E7300" s="25"/>
      <c r="F7300" s="25"/>
      <c r="G7300" s="41" t="n">
        <f aca="false">Sens!$G$7298-(Sens!$G$7287+Sens!$H$7287+Sens!$I$7287+Sens!$J$7287+Sens!$K$7287)</f>
        <v>-2.8421709430404E-014</v>
      </c>
      <c r="H7300" s="25"/>
      <c r="I7300" s="25"/>
      <c r="J7300" s="25"/>
      <c r="K7300" s="25"/>
      <c r="L7300" s="25"/>
      <c r="M7300" s="25"/>
      <c r="N7300" s="25"/>
      <c r="O7300" s="25"/>
    </row>
    <row r="7303" customFormat="false" ht="19.4" hidden="false" customHeight="false" outlineLevel="0" collapsed="false">
      <c r="A7303" s="31" t="s">
        <v>1284</v>
      </c>
    </row>
    <row r="7304" customFormat="false" ht="17.15" hidden="false" customHeight="false" outlineLevel="0" collapsed="false">
      <c r="A7304" s="6" t="s">
        <v>16</v>
      </c>
      <c r="B7304" s="6" t="s">
        <v>17</v>
      </c>
      <c r="C7304" s="20" t="s">
        <v>497</v>
      </c>
      <c r="D7304" s="20" t="s">
        <v>498</v>
      </c>
      <c r="E7304" s="20" t="s">
        <v>580</v>
      </c>
      <c r="F7304" s="20" t="s">
        <v>581</v>
      </c>
      <c r="G7304" s="20" t="s">
        <v>582</v>
      </c>
      <c r="H7304" s="20" t="s">
        <v>583</v>
      </c>
      <c r="I7304" s="20" t="s">
        <v>584</v>
      </c>
      <c r="J7304" s="20" t="s">
        <v>585</v>
      </c>
      <c r="K7304" s="20" t="s">
        <v>586</v>
      </c>
      <c r="L7304" s="20" t="s">
        <v>587</v>
      </c>
      <c r="M7304" s="20" t="s">
        <v>588</v>
      </c>
      <c r="N7304" s="20" t="s">
        <v>589</v>
      </c>
      <c r="O7304" s="20" t="s">
        <v>590</v>
      </c>
      <c r="P7304" s="6" t="s">
        <v>23</v>
      </c>
      <c r="R7304" s="20" t="n">
        <v>2023</v>
      </c>
      <c r="S7304" s="20" t="n">
        <v>2024</v>
      </c>
      <c r="T7304" s="20" t="n">
        <v>2025</v>
      </c>
      <c r="U7304" s="20" t="n">
        <v>2026</v>
      </c>
      <c r="V7304" s="20" t="n">
        <v>2027</v>
      </c>
      <c r="W7304" s="20" t="n">
        <v>2028</v>
      </c>
      <c r="X7304" s="20" t="n">
        <v>2029</v>
      </c>
      <c r="Y7304" s="20" t="n">
        <v>2030</v>
      </c>
      <c r="Z7304" s="20" t="n">
        <v>2031</v>
      </c>
      <c r="AA7304" s="20" t="n">
        <v>2032</v>
      </c>
    </row>
    <row r="7305" customFormat="false" ht="17.15" hidden="false" customHeight="false" outlineLevel="0" collapsed="false">
      <c r="A7305" s="1" t="s">
        <v>915</v>
      </c>
    </row>
    <row r="7306" customFormat="false" ht="17.15" hidden="false" customHeight="false" outlineLevel="0" collapsed="false">
      <c r="A7306" s="0" t="s">
        <v>916</v>
      </c>
      <c r="B7306" s="0" t="s">
        <v>86</v>
      </c>
      <c r="H7306" s="38" t="n">
        <f aca="false">Sens!$H$7240*(1-tax)</f>
        <v>121.243762954598</v>
      </c>
      <c r="I7306" s="38" t="n">
        <f aca="false">Sens!$I$7240*(1-tax)</f>
        <v>146.296727721585</v>
      </c>
      <c r="J7306" s="38" t="n">
        <f aca="false">Sens!$J$7240*(1-tax)</f>
        <v>170.140518399982</v>
      </c>
      <c r="K7306" s="38" t="n">
        <f aca="false">Sens!$K$7240*(1-tax)</f>
        <v>187.091644407888</v>
      </c>
      <c r="L7306" s="38" t="n">
        <f aca="false">Sens!$L$7240*(1-tax)</f>
        <v>200.866341135815</v>
      </c>
      <c r="M7306" s="38" t="n">
        <f aca="false">Sens!$M$7240*(1-tax)</f>
        <v>211.476896331068</v>
      </c>
    </row>
    <row r="7307" customFormat="false" ht="15" hidden="false" customHeight="false" outlineLevel="0" collapsed="false">
      <c r="A7307" s="5" t="s">
        <v>917</v>
      </c>
      <c r="B7307" s="0" t="s">
        <v>86</v>
      </c>
      <c r="H7307" s="38" t="n">
        <f aca="false">Sens!$H$7251</f>
        <v>78.1799395827871</v>
      </c>
      <c r="I7307" s="38" t="n">
        <f aca="false">Sens!$I$7251</f>
        <v>111.171125554384</v>
      </c>
      <c r="J7307" s="38" t="n">
        <f aca="false">Sens!$J$7251</f>
        <v>144.884406220971</v>
      </c>
      <c r="K7307" s="38" t="n">
        <f aca="false">Sens!$K$7251</f>
        <v>178.806419437999</v>
      </c>
      <c r="L7307" s="38" t="n">
        <f aca="false">Sens!$L$7251</f>
        <v>204.341339029663</v>
      </c>
      <c r="M7307" s="38" t="n">
        <f aca="false">Sens!$M$7251</f>
        <v>223.130577995387</v>
      </c>
    </row>
    <row r="7308" customFormat="false" ht="15" hidden="false" customHeight="false" outlineLevel="0" collapsed="false">
      <c r="A7308" s="5" t="s">
        <v>918</v>
      </c>
      <c r="B7308" s="0" t="s">
        <v>86</v>
      </c>
      <c r="H7308" s="38" t="n">
        <f aca="false">Sens!$H$7282</f>
        <v>273.372679834898</v>
      </c>
      <c r="I7308" s="38" t="n">
        <f aca="false">Sens!$I$7282</f>
        <v>286.981812228425</v>
      </c>
      <c r="J7308" s="38" t="n">
        <f aca="false">Sens!$J$7282</f>
        <v>299.316513378366</v>
      </c>
      <c r="K7308" s="38" t="n">
        <f aca="false">Sens!$K$7282</f>
        <v>251.057145512292</v>
      </c>
      <c r="L7308" s="38" t="n">
        <f aca="false">Sens!$L$7282</f>
        <v>234.696330860396</v>
      </c>
      <c r="M7308" s="38" t="n">
        <f aca="false">Sens!$M$7282</f>
        <v>242.291696043352</v>
      </c>
    </row>
    <row r="7309" customFormat="false" ht="15" hidden="false" customHeight="false" outlineLevel="0" collapsed="false">
      <c r="A7309" s="5" t="s">
        <v>919</v>
      </c>
      <c r="B7309" s="0" t="s">
        <v>86</v>
      </c>
      <c r="H7309" s="38" t="n">
        <f aca="false">Sens!$H$7283</f>
        <v>1.6</v>
      </c>
      <c r="I7309" s="38" t="n">
        <f aca="false">Sens!$I$7283</f>
        <v>1.6</v>
      </c>
      <c r="J7309" s="38" t="n">
        <f aca="false">Sens!$J$7283</f>
        <v>1.6</v>
      </c>
      <c r="K7309" s="38" t="n">
        <f aca="false">Sens!$K$7283</f>
        <v>1.6</v>
      </c>
      <c r="L7309" s="38" t="n">
        <f aca="false">Sens!$L$7283</f>
        <v>1.6</v>
      </c>
      <c r="M7309" s="38" t="n">
        <f aca="false">Sens!$M$7283</f>
        <v>1.6</v>
      </c>
    </row>
    <row r="7310" customFormat="false" ht="15" hidden="false" customHeight="false" outlineLevel="0" collapsed="false">
      <c r="A7310" s="5" t="s">
        <v>920</v>
      </c>
      <c r="B7310" s="0" t="s">
        <v>86</v>
      </c>
      <c r="H7310" s="38" t="n">
        <f aca="false">Sens!$H$7277</f>
        <v>11.2928295263397</v>
      </c>
      <c r="I7310" s="38" t="n">
        <f aca="false">Sens!$I$7277</f>
        <v>12.8091546115766</v>
      </c>
      <c r="J7310" s="38" t="n">
        <f aca="false">Sens!$J$7277</f>
        <v>14.2605653162668</v>
      </c>
      <c r="K7310" s="38" t="n">
        <f aca="false">Sens!$K$7277</f>
        <v>15.5327622460396</v>
      </c>
      <c r="L7310" s="38" t="n">
        <f aca="false">Sens!$L$7277</f>
        <v>16.720573737517</v>
      </c>
      <c r="M7310" s="38" t="n">
        <f aca="false">Sens!$M$7277</f>
        <v>17.8283127551536</v>
      </c>
    </row>
    <row r="7311" customFormat="false" ht="17.15" hidden="false" customHeight="false" outlineLevel="0" collapsed="false">
      <c r="A7311" s="1" t="s">
        <v>921</v>
      </c>
      <c r="B7311" s="8" t="s">
        <v>86</v>
      </c>
      <c r="H7311" s="38" t="n">
        <f aca="false">Sens!$H$7306+Sens!$H$7307-Sens!$H$7308+Sens!$H$7310</f>
        <v>-62.6561477711731</v>
      </c>
      <c r="I7311" s="38" t="n">
        <f aca="false">Sens!$I$7306+Sens!$I$7307-Sens!$I$7308+Sens!$I$7310</f>
        <v>-16.7048043408794</v>
      </c>
      <c r="J7311" s="38" t="n">
        <f aca="false">Sens!$J$7306+Sens!$J$7307-Sens!$J$7308+Sens!$J$7310</f>
        <v>29.9689765588539</v>
      </c>
      <c r="K7311" s="38" t="n">
        <f aca="false">Sens!$K$7306+Sens!$K$7307-Sens!$K$7308+Sens!$K$7310</f>
        <v>130.373680579634</v>
      </c>
      <c r="L7311" s="38" t="n">
        <f aca="false">Sens!$L$7306+Sens!$L$7307-Sens!$L$7308+Sens!$L$7310</f>
        <v>187.231923042598</v>
      </c>
      <c r="M7311" s="38" t="n">
        <f aca="false">Sens!$M$7306+Sens!$M$7307-Sens!$M$7308+Sens!$M$7310</f>
        <v>210.144091038257</v>
      </c>
    </row>
    <row r="7312" customFormat="false" ht="15" hidden="false" customHeight="false" outlineLevel="0" collapsed="false">
      <c r="A7312" s="5" t="s">
        <v>922</v>
      </c>
      <c r="B7312" s="0" t="s">
        <v>57</v>
      </c>
      <c r="H7312" s="40" t="n">
        <f aca="false">1/(1+wacc)^(2027-2026-0.5)</f>
        <v>0.947751320380232</v>
      </c>
      <c r="I7312" s="40" t="n">
        <f aca="false">1/(1+wacc)^(2028-2026-0.5)</f>
        <v>0.851301099754987</v>
      </c>
      <c r="J7312" s="40" t="n">
        <f aca="false">1/(1+wacc)^(2029-2026-0.5)</f>
        <v>0.764666370660713</v>
      </c>
      <c r="K7312" s="40" t="n">
        <f aca="false">1/(1+wacc)^(2030-2026-0.5)</f>
        <v>0.686848235703811</v>
      </c>
      <c r="L7312" s="40" t="n">
        <f aca="false">1/(1+wacc)^(2031-2026-0.5)</f>
        <v>0.616949452715975</v>
      </c>
      <c r="M7312" s="40" t="n">
        <f aca="false">1/(1+wacc)^(2032-2026-0.5)</f>
        <v>0.554164089562688</v>
      </c>
    </row>
    <row r="7313" customFormat="false" ht="15" hidden="false" customHeight="false" outlineLevel="0" collapsed="false">
      <c r="A7313" s="5" t="s">
        <v>923</v>
      </c>
      <c r="B7313" s="0" t="s">
        <v>86</v>
      </c>
      <c r="H7313" s="38" t="n">
        <f aca="false">Sens!$H$7311*Sens!$H$7312</f>
        <v>-59.3824467800682</v>
      </c>
      <c r="I7313" s="38" t="n">
        <f aca="false">Sens!$I$7311*Sens!$I$7312</f>
        <v>-14.2208183065825</v>
      </c>
      <c r="J7313" s="38" t="n">
        <f aca="false">Sens!$J$7311*Sens!$J$7312</f>
        <v>22.9162685376748</v>
      </c>
      <c r="K7313" s="38" t="n">
        <f aca="false">Sens!$K$7311*Sens!$K$7312</f>
        <v>89.5469324883341</v>
      </c>
      <c r="L7313" s="38" t="n">
        <f aca="false">Sens!$L$7311*Sens!$L$7312</f>
        <v>115.512632452091</v>
      </c>
      <c r="M7313" s="38" t="n">
        <f aca="false">Sens!$M$7311*Sens!$M$7312</f>
        <v>116.454308887194</v>
      </c>
    </row>
    <row r="7314" customFormat="false" ht="15" hidden="false" customHeight="false" outlineLevel="0" collapsed="false">
      <c r="A7314" s="5" t="s">
        <v>924</v>
      </c>
      <c r="B7314" s="0" t="s">
        <v>86</v>
      </c>
      <c r="C7314" s="38" t="n">
        <f aca="false">SUM(Sens!$H$7313:$M$7313)</f>
        <v>270.826877278643</v>
      </c>
    </row>
    <row r="7315" customFormat="false" ht="17.15" hidden="false" customHeight="false" outlineLevel="0" collapsed="false">
      <c r="A7315" s="5" t="s">
        <v>925</v>
      </c>
      <c r="B7315" s="0" t="s">
        <v>86</v>
      </c>
      <c r="C7315" s="38" t="n">
        <f aca="false">Sens!$M$7306*(1+tg)*(1-tg/ronic)/(wacc-tg)</f>
        <v>1922.56097134792</v>
      </c>
    </row>
    <row r="7316" customFormat="false" ht="15" hidden="false" customHeight="false" outlineLevel="0" collapsed="false">
      <c r="A7316" s="5" t="s">
        <v>926</v>
      </c>
      <c r="B7316" s="0" t="s">
        <v>86</v>
      </c>
      <c r="C7316" s="38" t="n">
        <f aca="false">Sens!$C$7315/(1+wacc)^6</f>
        <v>1009.74776248869</v>
      </c>
    </row>
    <row r="7317" customFormat="false" ht="17.15" hidden="false" customHeight="false" outlineLevel="0" collapsed="false">
      <c r="A7317" s="5" t="s">
        <v>927</v>
      </c>
      <c r="B7317" s="0" t="s">
        <v>86</v>
      </c>
      <c r="C7317" s="38" t="n">
        <f aca="false">Sens!$C$7314+Sens!$C$7316</f>
        <v>1280.57463976734</v>
      </c>
    </row>
    <row r="7318" customFormat="false" ht="17.15" hidden="false" customHeight="false" outlineLevel="0" collapsed="false">
      <c r="A7318" s="5" t="s">
        <v>928</v>
      </c>
      <c r="B7318" s="0" t="s">
        <v>52</v>
      </c>
      <c r="C7318" s="13" t="n">
        <f aca="false">Sens!$C$7316/Sens!$C$7317</f>
        <v>0.788511447229778</v>
      </c>
    </row>
    <row r="7319" customFormat="false" ht="17.15" hidden="false" customHeight="false" outlineLevel="0" collapsed="false">
      <c r="A7319" s="5" t="s">
        <v>929</v>
      </c>
      <c r="B7319" s="0" t="s">
        <v>86</v>
      </c>
      <c r="C7319" s="38" t="n">
        <f aca="false">Sens!$G$7295+fin_debt</f>
        <v>97.2636983848813</v>
      </c>
    </row>
    <row r="7320" customFormat="false" ht="17.15" hidden="false" customHeight="false" outlineLevel="0" collapsed="false">
      <c r="A7320" s="5" t="s">
        <v>930</v>
      </c>
      <c r="B7320" s="0" t="s">
        <v>86</v>
      </c>
      <c r="C7320" s="38" t="n">
        <f aca="false">(ant_val*ant_sh+oai_val*oai_sh)*(1-liq_disc)</f>
        <v>178.944</v>
      </c>
    </row>
    <row r="7321" customFormat="false" ht="15" hidden="false" customHeight="false" outlineLevel="0" collapsed="false">
      <c r="A7321" s="5" t="s">
        <v>931</v>
      </c>
      <c r="B7321" s="0" t="s">
        <v>86</v>
      </c>
      <c r="C7321" s="38" t="n">
        <f aca="false">Sens!$C$7317-Sens!$C$7319+Sens!$C$7320</f>
        <v>1362.25494138246</v>
      </c>
    </row>
    <row r="7322" customFormat="false" ht="17.15" hidden="false" customHeight="false" outlineLevel="0" collapsed="false">
      <c r="A7322" s="5" t="s">
        <v>932</v>
      </c>
      <c r="B7322" s="0" t="s">
        <v>27</v>
      </c>
      <c r="C7322" s="30" t="n">
        <f aca="false">Sens!$C$7321/sh_out</f>
        <v>126.294760321501</v>
      </c>
    </row>
    <row r="7323" customFormat="false" ht="17.15" hidden="false" customHeight="false" outlineLevel="0" collapsed="false">
      <c r="A7323" s="1" t="s">
        <v>933</v>
      </c>
      <c r="B7323" s="8" t="s">
        <v>27</v>
      </c>
      <c r="C7323" s="30" t="n">
        <f aca="false">Sens!$C$7322*(1+ke)^tp_yf-dps*tp_yf</f>
        <v>138.339345929154</v>
      </c>
    </row>
    <row r="7324" customFormat="false" ht="17.15" hidden="false" customHeight="false" outlineLevel="0" collapsed="false">
      <c r="A7324" s="3" t="s">
        <v>934</v>
      </c>
    </row>
    <row r="7325" customFormat="false" ht="17.15" hidden="false" customHeight="false" outlineLevel="0" collapsed="false">
      <c r="A7325" s="5" t="s">
        <v>935</v>
      </c>
      <c r="B7325" s="0" t="s">
        <v>86</v>
      </c>
      <c r="C7325" s="38" t="n">
        <f aca="false">(1-tp_yf)*(Sens!$H$7252+0*Sens!$H$7276*Sens!$H$7116/Sens!$H$7193)+tp_yf*(Sens!$I$7252+0*Sens!$I$7276*Sens!$I$7116/Sens!$I$7193)</f>
        <v>56.8057990189893</v>
      </c>
    </row>
    <row r="7326" customFormat="false" ht="15" hidden="false" customHeight="false" outlineLevel="0" collapsed="false">
      <c r="A7326" s="5" t="s">
        <v>936</v>
      </c>
      <c r="B7326" s="0" t="s">
        <v>57</v>
      </c>
      <c r="C7326" s="30" t="n">
        <f aca="false">m_ads*m_x</f>
        <v>9.11</v>
      </c>
    </row>
    <row r="7327" customFormat="false" ht="17.15" hidden="false" customHeight="false" outlineLevel="0" collapsed="false">
      <c r="A7327" s="5" t="s">
        <v>937</v>
      </c>
      <c r="B7327" s="0" t="s">
        <v>86</v>
      </c>
      <c r="C7327" s="38" t="n">
        <f aca="false">Sens!$C$7325*Sens!$C$7326</f>
        <v>517.500829062993</v>
      </c>
    </row>
    <row r="7328" customFormat="false" ht="17.15" hidden="false" customHeight="false" outlineLevel="0" collapsed="false">
      <c r="A7328" s="5" t="s">
        <v>938</v>
      </c>
      <c r="B7328" s="0" t="s">
        <v>86</v>
      </c>
      <c r="C7328" s="38" t="n">
        <f aca="false">(1-tp_yf)*(Sens!$H$7253+0*Sens!$H$7276*(Sens!$H$7123-Sens!$H$7116)/Sens!$H$7193+IF(internal_ai_reading=2,1,0)*(1-ext_sh)*Sens!$H$7153)+tp_yf*(Sens!$I$7253+0*Sens!$I$7276*(Sens!$I$7123-Sens!$I$7116)/Sens!$I$7193+IF(internal_ai_reading=2,1,0)*(1-ext_sh)*Sens!$I$7153)</f>
        <v>34.7164112060705</v>
      </c>
    </row>
    <row r="7329" customFormat="false" ht="17.15" hidden="false" customHeight="false" outlineLevel="0" collapsed="false">
      <c r="A7329" s="5" t="s">
        <v>939</v>
      </c>
      <c r="B7329" s="0" t="s">
        <v>57</v>
      </c>
      <c r="C7329" s="30" t="n">
        <f aca="false">m_retail*m_x</f>
        <v>17.72</v>
      </c>
    </row>
    <row r="7330" customFormat="false" ht="17.15" hidden="false" customHeight="false" outlineLevel="0" collapsed="false">
      <c r="A7330" s="5" t="s">
        <v>940</v>
      </c>
      <c r="B7330" s="0" t="s">
        <v>86</v>
      </c>
      <c r="C7330" s="38" t="n">
        <f aca="false">Sens!$C$7328*Sens!$C$7329</f>
        <v>615.17480657157</v>
      </c>
    </row>
    <row r="7331" customFormat="false" ht="17.15" hidden="false" customHeight="false" outlineLevel="0" collapsed="false">
      <c r="A7331" s="0" t="s">
        <v>941</v>
      </c>
      <c r="B7331" s="0" t="s">
        <v>86</v>
      </c>
      <c r="C7331" s="38" t="n">
        <f aca="false">(1-tp_yf)*(Sens!$H$7254+0*Sens!$H$7276*Sens!$H$7191/Sens!$H$7193)+tp_yf*(Sens!$I$7254+0*Sens!$I$7276*Sens!$I$7191/Sens!$I$7193)</f>
        <v>91.8714092506227</v>
      </c>
    </row>
    <row r="7332" customFormat="false" ht="17.15" hidden="false" customHeight="false" outlineLevel="0" collapsed="false">
      <c r="A7332" s="0" t="s">
        <v>942</v>
      </c>
      <c r="B7332" s="0" t="s">
        <v>57</v>
      </c>
      <c r="C7332" s="30" t="n">
        <f aca="false">m_cloud*m_x</f>
        <v>13.82</v>
      </c>
    </row>
    <row r="7333" customFormat="false" ht="17.15" hidden="false" customHeight="false" outlineLevel="0" collapsed="false">
      <c r="A7333" s="0" t="s">
        <v>943</v>
      </c>
      <c r="B7333" s="0" t="s">
        <v>86</v>
      </c>
      <c r="C7333" s="38" t="n">
        <f aca="false">Sens!$C$7331*Sens!$C$7332</f>
        <v>1269.66287584361</v>
      </c>
    </row>
    <row r="7334" customFormat="false" ht="17.15" hidden="false" customHeight="false" outlineLevel="0" collapsed="false">
      <c r="A7334" s="0" t="s">
        <v>944</v>
      </c>
      <c r="B7334" s="0" t="s">
        <v>86</v>
      </c>
      <c r="H7334" s="38" t="n">
        <f aca="false">Sens!$H$7172-tax*Sens!$H$7173-ext_sh*Sens!$H$7160</f>
        <v>-115.885394236225</v>
      </c>
      <c r="I7334" s="38" t="n">
        <f aca="false">Sens!$I$7172-tax*Sens!$I$7173-ext_sh*Sens!$I$7160</f>
        <v>-89.5935137276694</v>
      </c>
      <c r="J7334" s="38" t="n">
        <f aca="false">Sens!$J$7172-tax*Sens!$J$7173-ext_sh*Sens!$J$7160</f>
        <v>-62.3510647460279</v>
      </c>
      <c r="K7334" s="38" t="n">
        <f aca="false">Sens!$K$7172-tax*Sens!$K$7173-ext_sh*Sens!$K$7160</f>
        <v>8.85932514072565</v>
      </c>
      <c r="L7334" s="38" t="n">
        <f aca="false">Sens!$L$7172-tax*Sens!$L$7173-ext_sh*Sens!$L$7160</f>
        <v>45.6968344120177</v>
      </c>
      <c r="M7334" s="38" t="n">
        <f aca="false">Sens!$M$7172-tax*Sens!$M$7173-ext_sh*Sens!$M$7160</f>
        <v>54.7466688757428</v>
      </c>
    </row>
    <row r="7335" customFormat="false" ht="17.15" hidden="false" customHeight="false" outlineLevel="0" collapsed="false">
      <c r="A7335" s="5" t="s">
        <v>945</v>
      </c>
      <c r="B7335" s="0" t="s">
        <v>86</v>
      </c>
      <c r="H7335" s="38" t="n">
        <f aca="false">Sens!$H$7334*Sens!$H$7312</f>
        <v>-109.830535400166</v>
      </c>
      <c r="I7335" s="38" t="n">
        <f aca="false">Sens!$I$7334*Sens!$I$7312</f>
        <v>-76.2710567672785</v>
      </c>
      <c r="J7335" s="38" t="n">
        <f aca="false">Sens!$J$7334*Sens!$J$7312</f>
        <v>-47.6777623861763</v>
      </c>
      <c r="K7335" s="38" t="n">
        <f aca="false">Sens!$K$7334*Sens!$K$7312</f>
        <v>6.08501184243383</v>
      </c>
      <c r="L7335" s="38" t="n">
        <f aca="false">Sens!$L$7334*Sens!$L$7312</f>
        <v>28.1926369813469</v>
      </c>
      <c r="M7335" s="38" t="n">
        <f aca="false">Sens!$M$7334*Sens!$M$7312</f>
        <v>30.338637914116</v>
      </c>
    </row>
    <row r="7336" customFormat="false" ht="17.15" hidden="false" customHeight="false" outlineLevel="0" collapsed="false">
      <c r="A7336" s="5" t="s">
        <v>946</v>
      </c>
      <c r="B7336" s="0" t="s">
        <v>86</v>
      </c>
      <c r="C7336" s="38" t="n">
        <f aca="false">Sens!$M$7173*(1-tax)*(1+tg)*(1-tg/ronic)/(wacc-tg)</f>
        <v>391.533160655061</v>
      </c>
    </row>
    <row r="7337" customFormat="false" ht="17.15" hidden="false" customHeight="false" outlineLevel="0" collapsed="false">
      <c r="A7337" s="0" t="s">
        <v>947</v>
      </c>
      <c r="B7337" s="0" t="s">
        <v>86</v>
      </c>
      <c r="C7337" s="38" t="n">
        <f aca="false">(SUM(Sens!$I$7335:$M$7335)+Sens!$C$7336/(1+wacc)^6)*(1+wacc)^tp_yf</f>
        <v>159.796867964901</v>
      </c>
    </row>
    <row r="7338" customFormat="false" ht="17.15" hidden="false" customHeight="false" outlineLevel="0" collapsed="false">
      <c r="A7338" s="5" t="s">
        <v>948</v>
      </c>
      <c r="B7338" s="0" t="s">
        <v>86</v>
      </c>
      <c r="C7338" s="38" t="n">
        <f aca="false">(1-tp_yf)*(Sens!$H$7255)+tp_yf*(Sens!$I$7255)</f>
        <v>74.6707041238437</v>
      </c>
    </row>
    <row r="7339" customFormat="false" ht="17.15" hidden="false" customHeight="false" outlineLevel="0" collapsed="false">
      <c r="A7339" s="5" t="s">
        <v>949</v>
      </c>
      <c r="B7339" s="0" t="s">
        <v>86</v>
      </c>
      <c r="C7339" s="38" t="n">
        <f aca="false">Sens!$C$7338*m_ai</f>
        <v>448.024224743062</v>
      </c>
    </row>
    <row r="7340" customFormat="false" ht="17.15" hidden="false" customHeight="false" outlineLevel="0" collapsed="false">
      <c r="A7340" s="0" t="s">
        <v>950</v>
      </c>
      <c r="B7340" s="0" t="s">
        <v>86</v>
      </c>
      <c r="C7340" s="38" t="n">
        <f aca="false">IF(ai_leg=1,Sens!$C$7337,Sens!$C$7339)</f>
        <v>159.796867964901</v>
      </c>
    </row>
    <row r="7341" customFormat="false" ht="17.15" hidden="false" customHeight="false" outlineLevel="0" collapsed="false">
      <c r="A7341" s="5" t="s">
        <v>951</v>
      </c>
      <c r="B7341" s="0" t="s">
        <v>86</v>
      </c>
      <c r="C7341" s="38" t="n">
        <f aca="false">Sens!$C$7327+Sens!$C$7330+Sens!$C$7333+Sens!$C$7340</f>
        <v>2562.13537944307</v>
      </c>
    </row>
    <row r="7342" customFormat="false" ht="17.15" hidden="false" customHeight="false" outlineLevel="0" collapsed="false">
      <c r="A7342" s="5" t="s">
        <v>952</v>
      </c>
      <c r="B7342" s="0" t="s">
        <v>86</v>
      </c>
      <c r="C7342" s="38" t="n">
        <f aca="false">Sens!$H$7295+fin_debt</f>
        <v>153.608629741943</v>
      </c>
    </row>
    <row r="7343" customFormat="false" ht="15" hidden="false" customHeight="false" outlineLevel="0" collapsed="false">
      <c r="A7343" s="5" t="s">
        <v>953</v>
      </c>
      <c r="B7343" s="0" t="s">
        <v>86</v>
      </c>
      <c r="C7343" s="38" t="n">
        <f aca="false">Sens!$C$7341-Sens!$C$7342+Sens!$C$7320</f>
        <v>2587.47074970113</v>
      </c>
    </row>
    <row r="7344" customFormat="false" ht="15" hidden="false" customHeight="false" outlineLevel="0" collapsed="false">
      <c r="A7344" s="3" t="s">
        <v>954</v>
      </c>
      <c r="B7344" s="8" t="s">
        <v>27</v>
      </c>
      <c r="C7344" s="30" t="n">
        <f aca="false">Sens!$C$7343/sh_val</f>
        <v>234.578158853966</v>
      </c>
    </row>
    <row r="7345" customFormat="false" ht="17.15" hidden="false" customHeight="false" outlineLevel="0" collapsed="false">
      <c r="A7345" s="47" t="s">
        <v>955</v>
      </c>
      <c r="B7345" s="14" t="s">
        <v>27</v>
      </c>
      <c r="C7345" s="44" t="n">
        <f aca="false">w_dcf*Sens!$C$7323+(1-w_dcf)*Sens!$C$7344</f>
        <v>186.45875239156</v>
      </c>
      <c r="D7345" s="14"/>
      <c r="E7345" s="14"/>
      <c r="F7345" s="14"/>
      <c r="G7345" s="14"/>
      <c r="H7345" s="14"/>
      <c r="I7345" s="14"/>
      <c r="J7345" s="14"/>
      <c r="K7345" s="14"/>
      <c r="L7345" s="14"/>
      <c r="M7345" s="14"/>
      <c r="N7345" s="14"/>
      <c r="O7345" s="14"/>
    </row>
    <row r="7346" customFormat="false" ht="17.15" hidden="false" customHeight="false" outlineLevel="0" collapsed="false">
      <c r="A7346" s="5" t="s">
        <v>956</v>
      </c>
      <c r="B7346" s="0" t="s">
        <v>27</v>
      </c>
      <c r="C7346" s="30" t="n">
        <f aca="false">v022_wdcf*Sens!$C$7323+(1-v022_wdcf)*Sens!$C$7344</f>
        <v>191.270693037801</v>
      </c>
    </row>
    <row r="7347" customFormat="false" ht="17.15" hidden="false" customHeight="false" outlineLevel="0" collapsed="false">
      <c r="A7347" s="5" t="s">
        <v>957</v>
      </c>
      <c r="B7347" s="0" t="s">
        <v>27</v>
      </c>
      <c r="C7347" s="30" t="n">
        <f aca="false">(Sens!$C$7343-Sens!$C$7340+Sens!$C$7339)/sh_val</f>
        <v>260.708634992557</v>
      </c>
    </row>
    <row r="7350" customFormat="false" ht="19.4" hidden="false" customHeight="false" outlineLevel="0" collapsed="false">
      <c r="A7350" s="31" t="s">
        <v>1285</v>
      </c>
    </row>
    <row r="7351" customFormat="false" ht="17.15" hidden="false" customHeight="false" outlineLevel="0" collapsed="false">
      <c r="A7351" s="6" t="s">
        <v>16</v>
      </c>
      <c r="B7351" s="6" t="s">
        <v>17</v>
      </c>
      <c r="C7351" s="20" t="s">
        <v>497</v>
      </c>
      <c r="D7351" s="20" t="s">
        <v>498</v>
      </c>
      <c r="E7351" s="20" t="s">
        <v>580</v>
      </c>
      <c r="F7351" s="20" t="s">
        <v>581</v>
      </c>
      <c r="G7351" s="20" t="s">
        <v>582</v>
      </c>
      <c r="H7351" s="20" t="s">
        <v>583</v>
      </c>
      <c r="I7351" s="20" t="s">
        <v>584</v>
      </c>
      <c r="J7351" s="20" t="s">
        <v>585</v>
      </c>
      <c r="K7351" s="20" t="s">
        <v>586</v>
      </c>
      <c r="L7351" s="20" t="s">
        <v>587</v>
      </c>
      <c r="M7351" s="20" t="s">
        <v>588</v>
      </c>
      <c r="N7351" s="20" t="s">
        <v>589</v>
      </c>
      <c r="O7351" s="20" t="s">
        <v>590</v>
      </c>
      <c r="P7351" s="6" t="s">
        <v>23</v>
      </c>
      <c r="R7351" s="20" t="n">
        <v>2023</v>
      </c>
      <c r="S7351" s="20" t="n">
        <v>2024</v>
      </c>
      <c r="T7351" s="20" t="n">
        <v>2025</v>
      </c>
      <c r="U7351" s="20" t="n">
        <v>2026</v>
      </c>
      <c r="V7351" s="20" t="n">
        <v>2027</v>
      </c>
      <c r="W7351" s="20" t="n">
        <v>2028</v>
      </c>
      <c r="X7351" s="20" t="n">
        <v>2029</v>
      </c>
      <c r="Y7351" s="20" t="n">
        <v>2030</v>
      </c>
      <c r="Z7351" s="20" t="n">
        <v>2031</v>
      </c>
      <c r="AA7351" s="20" t="n">
        <v>2032</v>
      </c>
    </row>
    <row r="7352" customFormat="false" ht="17.15" hidden="false" customHeight="false" outlineLevel="0" collapsed="false">
      <c r="A7352" s="1" t="s">
        <v>666</v>
      </c>
    </row>
    <row r="7353" customFormat="false" ht="17.15" hidden="false" customHeight="false" outlineLevel="0" collapsed="false">
      <c r="A7353" s="0" t="s">
        <v>519</v>
      </c>
      <c r="B7353" s="0" t="s">
        <v>86</v>
      </c>
      <c r="C7353" s="38" t="n">
        <f aca="false">Q!$D$10</f>
        <v>247.029</v>
      </c>
      <c r="D7353" s="38" t="n">
        <f aca="false">Q!$E$10</f>
        <v>269.287</v>
      </c>
      <c r="E7353" s="38" t="n">
        <f aca="false">Q!$P$10</f>
        <v>134.686</v>
      </c>
      <c r="F7353" s="38" t="n">
        <f aca="false">Sens!$O$7353*(1+Sens!$F$7354)*Sens!$F$7365</f>
        <v>158.293876822267</v>
      </c>
      <c r="G7353" s="38" t="n">
        <f aca="false">Sens!$E$7353+Sens!$F$7353</f>
        <v>292.979876822267</v>
      </c>
      <c r="H7353" s="38" t="n">
        <f aca="false">Sens!$G$7353*(1+Sens!$H$7354)</f>
        <v>318.184543087396</v>
      </c>
      <c r="I7353" s="38" t="n">
        <f aca="false">Sens!$H$7353*(1+Sens!$I$7354)</f>
        <v>341.736278761793</v>
      </c>
      <c r="J7353" s="38" t="n">
        <f aca="false">Sens!$I$7353*(1+Sens!$J$7354)</f>
        <v>362.927192787048</v>
      </c>
      <c r="K7353" s="38" t="n">
        <f aca="false">Sens!$J$7353*(1+Sens!$K$7354)</f>
        <v>381.0735524264</v>
      </c>
      <c r="L7353" s="38" t="n">
        <f aca="false">Sens!$K$7353*(1+Sens!$L$7354)</f>
        <v>400.12723004772</v>
      </c>
      <c r="M7353" s="38" t="n">
        <f aca="false">Sens!$L$7353*(1+Sens!$M$7354)</f>
        <v>420.133591550106</v>
      </c>
      <c r="N7353" s="38" t="n">
        <f aca="false">Q!$N$10</f>
        <v>118.892</v>
      </c>
      <c r="O7353" s="38" t="n">
        <f aca="false">Q!$O$10</f>
        <v>150.395</v>
      </c>
      <c r="P7353" s="8" t="s">
        <v>667</v>
      </c>
    </row>
    <row r="7354" customFormat="false" ht="17.15" hidden="false" customHeight="false" outlineLevel="0" collapsed="false">
      <c r="A7354" s="0" t="s">
        <v>668</v>
      </c>
      <c r="B7354" s="0" t="s">
        <v>52</v>
      </c>
      <c r="E7354" s="13" t="n">
        <f aca="false">Sens!$E$7353/Sens!$N$7353-1</f>
        <v>0.132843252699929</v>
      </c>
      <c r="F7354" s="13" t="n">
        <f aca="false">Sens!$O$7353/(Q!$F$10+Q!$G$10)-1</f>
        <v>0.0980382135842941</v>
      </c>
      <c r="G7354" s="13" t="n">
        <f aca="false">Sens!$G$7353/Sens!$D$7353-1</f>
        <v>0.0879837378791657</v>
      </c>
      <c r="H7354" s="13" t="n">
        <f aca="false">Sens!$F$7354+(g_os-Sens!$F$7354)*1/4</f>
        <v>0.0860286601882206</v>
      </c>
      <c r="I7354" s="13" t="n">
        <f aca="false">Sens!$F$7354+(g_os-Sens!$F$7354)*2/4</f>
        <v>0.074019106792147</v>
      </c>
      <c r="J7354" s="13" t="n">
        <f aca="false">Sens!$F$7354+(g_os-Sens!$F$7354)*3/4</f>
        <v>0.0620095533960735</v>
      </c>
      <c r="K7354" s="13" t="n">
        <f aca="false">Sens!$F$7354+(g_os-Sens!$F$7354)*4/4</f>
        <v>0.05</v>
      </c>
      <c r="L7354" s="13" t="n">
        <f aca="false">g_os</f>
        <v>0.05</v>
      </c>
      <c r="M7354" s="13" t="n">
        <f aca="false">g_os</f>
        <v>0.05</v>
      </c>
      <c r="P7354" s="8" t="s">
        <v>669</v>
      </c>
    </row>
    <row r="7355" customFormat="false" ht="17.15" hidden="false" customHeight="false" outlineLevel="0" collapsed="false">
      <c r="A7355" s="0" t="s">
        <v>520</v>
      </c>
      <c r="B7355" s="0" t="s">
        <v>86</v>
      </c>
      <c r="C7355" s="38" t="n">
        <f aca="false">Q!$D$11</f>
        <v>21.215</v>
      </c>
      <c r="D7355" s="38" t="n">
        <f aca="false">Q!$E$11</f>
        <v>22.561</v>
      </c>
      <c r="E7355" s="38" t="n">
        <f aca="false">Q!$P$11</f>
        <v>11.579</v>
      </c>
      <c r="F7355" s="38" t="n">
        <f aca="false">Sens!$O$7355*(1+Sens!$F$7356)*Sens!$F$7365</f>
        <v>11.5938724610325</v>
      </c>
      <c r="G7355" s="38" t="n">
        <f aca="false">Sens!$E$7355+Sens!$F$7355</f>
        <v>23.1728724610325</v>
      </c>
      <c r="H7355" s="38" t="n">
        <f aca="false">Sens!$G$7355*(1+Sens!$H$7356)</f>
        <v>24.353392759506</v>
      </c>
      <c r="I7355" s="38" t="n">
        <f aca="false">Sens!$H$7355*(1+Sens!$I$7356)</f>
        <v>25.4240338872015</v>
      </c>
      <c r="J7355" s="38" t="n">
        <f aca="false">Sens!$I$7355*(1+Sens!$J$7356)</f>
        <v>26.3642491017174</v>
      </c>
      <c r="K7355" s="38" t="n">
        <f aca="false">Sens!$J$7355*(1+Sens!$K$7356)</f>
        <v>27.155176574769</v>
      </c>
      <c r="L7355" s="38" t="n">
        <f aca="false">Sens!$K$7355*(1+Sens!$L$7356)</f>
        <v>27.969831872012</v>
      </c>
      <c r="M7355" s="38" t="n">
        <f aca="false">Sens!$L$7355*(1+Sens!$M$7356)</f>
        <v>28.8089268281724</v>
      </c>
      <c r="N7355" s="38" t="n">
        <f aca="false">Q!$N$11</f>
        <v>11.128</v>
      </c>
      <c r="O7355" s="38" t="n">
        <f aca="false">Q!$O$11</f>
        <v>11.433</v>
      </c>
      <c r="P7355" s="8" t="s">
        <v>667</v>
      </c>
    </row>
    <row r="7356" customFormat="false" ht="17.15" hidden="false" customHeight="false" outlineLevel="0" collapsed="false">
      <c r="A7356" s="0" t="s">
        <v>670</v>
      </c>
      <c r="B7356" s="0" t="s">
        <v>52</v>
      </c>
      <c r="E7356" s="13" t="n">
        <f aca="false">Sens!$E$7355/Sens!$N$7355-1</f>
        <v>0.0405283968368082</v>
      </c>
      <c r="F7356" s="13" t="n">
        <f aca="false">Sens!$O$7355/(Q!$F$11+Q!$G$11)-1</f>
        <v>0.0579254187100955</v>
      </c>
      <c r="G7356" s="13" t="n">
        <f aca="false">Sens!$G$7355/Sens!$D$7355-1</f>
        <v>0.0271208040881397</v>
      </c>
      <c r="H7356" s="13" t="n">
        <f aca="false">Sens!$F$7356+(g_ps-Sens!$F$7356)*1/4</f>
        <v>0.0509440640325716</v>
      </c>
      <c r="I7356" s="13" t="n">
        <f aca="false">Sens!$F$7356+(g_ps-Sens!$F$7356)*2/4</f>
        <v>0.0439627093550477</v>
      </c>
      <c r="J7356" s="13" t="n">
        <f aca="false">Sens!$F$7356+(g_ps-Sens!$F$7356)*3/4</f>
        <v>0.0369813546775239</v>
      </c>
      <c r="K7356" s="13" t="n">
        <f aca="false">Sens!$F$7356+(g_ps-Sens!$F$7356)*4/4</f>
        <v>0.03</v>
      </c>
      <c r="L7356" s="13" t="n">
        <f aca="false">g_ps</f>
        <v>0.03</v>
      </c>
      <c r="M7356" s="13" t="n">
        <f aca="false">g_ps</f>
        <v>0.03</v>
      </c>
      <c r="P7356" s="8" t="s">
        <v>671</v>
      </c>
    </row>
    <row r="7357" customFormat="false" ht="17.15" hidden="false" customHeight="false" outlineLevel="0" collapsed="false">
      <c r="A7357" s="0" t="s">
        <v>521</v>
      </c>
      <c r="B7357" s="0" t="s">
        <v>86</v>
      </c>
      <c r="C7357" s="38" t="n">
        <f aca="false">Q!$D$12</f>
        <v>156.146</v>
      </c>
      <c r="D7357" s="38" t="n">
        <f aca="false">Q!$E$12</f>
        <v>172.162</v>
      </c>
      <c r="E7357" s="38" t="n">
        <f aca="false">Q!$P$12</f>
        <v>88.358</v>
      </c>
      <c r="F7357" s="38" t="n">
        <f aca="false">Sens!$O$7357*(1+Sens!$F$7358)*Sens!$F$7365</f>
        <v>102.004388260171</v>
      </c>
      <c r="G7357" s="38" t="n">
        <f aca="false">Sens!$E$7357+Sens!$F$7357</f>
        <v>190.362388260171</v>
      </c>
      <c r="H7357" s="38" t="n">
        <f aca="false">Sens!$G$7357*(1+Sens!$H$7358)</f>
        <v>210.343106588311</v>
      </c>
      <c r="I7357" s="38" t="n">
        <f aca="false">Sens!$H$7357*(1+Sens!$I$7358)</f>
        <v>229.969728494648</v>
      </c>
      <c r="J7357" s="38" t="n">
        <f aca="false">Sens!$I$7357*(1+Sens!$J$7358)</f>
        <v>248.747636972598</v>
      </c>
      <c r="K7357" s="38" t="n">
        <f aca="false">Sens!$J$7357*(1+Sens!$K$7358)</f>
        <v>266.15997156068</v>
      </c>
      <c r="L7357" s="38" t="n">
        <f aca="false">Sens!$K$7357*(1+Sens!$L$7358)</f>
        <v>284.791169569927</v>
      </c>
      <c r="M7357" s="38" t="n">
        <f aca="false">Sens!$L$7357*(1+Sens!$M$7358)</f>
        <v>304.726551439822</v>
      </c>
      <c r="N7357" s="38" t="n">
        <f aca="false">Q!$N$12</f>
        <v>76.86</v>
      </c>
      <c r="O7357" s="38" t="n">
        <f aca="false">Q!$O$12</f>
        <v>95.302</v>
      </c>
      <c r="P7357" s="8" t="s">
        <v>667</v>
      </c>
    </row>
    <row r="7358" customFormat="false" ht="17.15" hidden="false" customHeight="false" outlineLevel="0" collapsed="false">
      <c r="A7358" s="0" t="s">
        <v>672</v>
      </c>
      <c r="B7358" s="0" t="s">
        <v>52</v>
      </c>
      <c r="E7358" s="13" t="n">
        <f aca="false">Sens!$E$7357/Sens!$N$7357-1</f>
        <v>0.1495966692688</v>
      </c>
      <c r="F7358" s="13" t="n">
        <f aca="false">Sens!$O$7357/(Q!$F$12+Q!$G$12)-1</f>
        <v>0.11661530890813</v>
      </c>
      <c r="G7358" s="13" t="n">
        <f aca="false">Sens!$G$7357/Sens!$D$7357-1</f>
        <v>0.105716640490767</v>
      </c>
      <c r="H7358" s="13" t="n">
        <f aca="false">Sens!$F$7358+(g_sp-Sens!$F$7358)*1/4</f>
        <v>0.104961481681098</v>
      </c>
      <c r="I7358" s="13" t="n">
        <f aca="false">Sens!$F$7358+(g_sp-Sens!$F$7358)*2/4</f>
        <v>0.0933076544540651</v>
      </c>
      <c r="J7358" s="13" t="n">
        <f aca="false">Sens!$F$7358+(g_sp-Sens!$F$7358)*3/4</f>
        <v>0.0816538272270325</v>
      </c>
      <c r="K7358" s="13" t="n">
        <f aca="false">Sens!$F$7358+(g_sp-Sens!$F$7358)*4/4</f>
        <v>0.07</v>
      </c>
      <c r="L7358" s="13" t="n">
        <f aca="false">g_sp</f>
        <v>0.07</v>
      </c>
      <c r="M7358" s="13" t="n">
        <f aca="false">g_sp</f>
        <v>0.07</v>
      </c>
      <c r="P7358" s="8" t="s">
        <v>673</v>
      </c>
    </row>
    <row r="7359" customFormat="false" ht="17.15" hidden="false" customHeight="false" outlineLevel="0" collapsed="false">
      <c r="A7359" s="0" t="s">
        <v>522</v>
      </c>
      <c r="B7359" s="0" t="s">
        <v>86</v>
      </c>
      <c r="C7359" s="38" t="n">
        <f aca="false">Q!$D$13</f>
        <v>56.214</v>
      </c>
      <c r="D7359" s="38" t="n">
        <f aca="false">Q!$E$13</f>
        <v>68.635</v>
      </c>
      <c r="E7359" s="38" t="n">
        <f aca="false">Q!$P$13</f>
        <v>37.052</v>
      </c>
      <c r="F7359" s="38" t="n">
        <f aca="false">Sens!$O$7359*(1+Sens!$F$7360)*Sens!$F$7365</f>
        <v>46.1572219944148</v>
      </c>
      <c r="G7359" s="38" t="n">
        <f aca="false">Sens!$E$7359+Sens!$F$7359</f>
        <v>83.2092219944148</v>
      </c>
      <c r="H7359" s="38" t="n">
        <f aca="false">Sens!$G$7359*(1+Sens!$H$7360)</f>
        <v>99.8969223878976</v>
      </c>
      <c r="I7359" s="38" t="n">
        <f aca="false">Sens!$H$7359*(1+Sens!$I$7360)</f>
        <v>116.583111095496</v>
      </c>
      <c r="J7359" s="38" t="n">
        <f aca="false">Sens!$I$7359*(1+Sens!$J$7360)</f>
        <v>132.148941941952</v>
      </c>
      <c r="K7359" s="38" t="n">
        <f aca="false">Sens!$J$7359*(1+Sens!$K$7360)</f>
        <v>145.363836136147</v>
      </c>
      <c r="L7359" s="38" t="n">
        <f aca="false">Sens!$K$7359*(1+Sens!$L$7360)</f>
        <v>159.900219749762</v>
      </c>
      <c r="M7359" s="38" t="n">
        <f aca="false">Sens!$L$7359*(1+Sens!$M$7360)</f>
        <v>175.890241724738</v>
      </c>
      <c r="N7359" s="38" t="n">
        <f aca="false">Q!$N$13</f>
        <v>29.615</v>
      </c>
      <c r="O7359" s="38" t="n">
        <f aca="false">Q!$O$13</f>
        <v>39.02</v>
      </c>
      <c r="P7359" s="8" t="s">
        <v>667</v>
      </c>
    </row>
    <row r="7360" customFormat="false" ht="17.15" hidden="false" customHeight="false" outlineLevel="0" collapsed="false">
      <c r="A7360" s="0" t="s">
        <v>674</v>
      </c>
      <c r="B7360" s="0" t="s">
        <v>52</v>
      </c>
      <c r="E7360" s="13" t="n">
        <f aca="false">Sens!$E$7359/Sens!$N$7359-1</f>
        <v>0.25112274185379</v>
      </c>
      <c r="F7360" s="13" t="n">
        <f aca="false">Sens!$O$7359/(Q!$F$13+Q!$G$13)-1</f>
        <v>0.234068123596572</v>
      </c>
      <c r="G7360" s="13" t="n">
        <f aca="false">Sens!$G$7359/Sens!$D$7359-1</f>
        <v>0.212343876949294</v>
      </c>
      <c r="H7360" s="13" t="n">
        <f aca="false">Sens!$F$7360+(g_ad-Sens!$F$7360)*1/4</f>
        <v>0.200551092697429</v>
      </c>
      <c r="I7360" s="13" t="n">
        <f aca="false">Sens!$F$7360+(g_ad-Sens!$F$7360)*2/4</f>
        <v>0.167034061798286</v>
      </c>
      <c r="J7360" s="13" t="n">
        <f aca="false">Sens!$F$7360+(g_ad-Sens!$F$7360)*3/4</f>
        <v>0.133517030899143</v>
      </c>
      <c r="K7360" s="13" t="n">
        <f aca="false">Sens!$F$7360+(g_ad-Sens!$F$7360)*4/4</f>
        <v>0.1</v>
      </c>
      <c r="L7360" s="13" t="n">
        <f aca="false">g_ad</f>
        <v>0.1</v>
      </c>
      <c r="M7360" s="13" t="n">
        <f aca="false">g_ad</f>
        <v>0.1</v>
      </c>
      <c r="P7360" s="8" t="s">
        <v>675</v>
      </c>
    </row>
    <row r="7361" customFormat="false" ht="17.15" hidden="false" customHeight="false" outlineLevel="0" collapsed="false">
      <c r="A7361" s="0" t="s">
        <v>523</v>
      </c>
      <c r="B7361" s="0" t="s">
        <v>86</v>
      </c>
      <c r="C7361" s="38" t="n">
        <f aca="false">Q!$D$14</f>
        <v>44.374</v>
      </c>
      <c r="D7361" s="38" t="n">
        <f aca="false">Q!$E$14</f>
        <v>49.619</v>
      </c>
      <c r="E7361" s="38" t="n">
        <f aca="false">Q!$P$14</f>
        <v>27.157</v>
      </c>
      <c r="F7361" s="38" t="n">
        <f aca="false">Sens!$O$7361*(1+Sens!$F$7362)*Sens!$F$7365</f>
        <v>27.7764165988154</v>
      </c>
      <c r="G7361" s="38" t="n">
        <f aca="false">Sens!$E$7361+Sens!$F$7361</f>
        <v>54.9334165988154</v>
      </c>
      <c r="H7361" s="38" t="n">
        <f aca="false">Sens!$G$7361*(1+Sens!$H$7362)</f>
        <v>61.1564112561829</v>
      </c>
      <c r="I7361" s="38" t="n">
        <f aca="false">Sens!$H$7361*(1+Sens!$I$7362)</f>
        <v>67.2020282103945</v>
      </c>
      <c r="J7361" s="38" t="n">
        <f aca="false">Sens!$I$7361*(1+Sens!$J$7362)</f>
        <v>72.8757274028885</v>
      </c>
      <c r="K7361" s="38" t="n">
        <f aca="false">Sens!$J$7361*(1+Sens!$K$7362)</f>
        <v>77.9770283210907</v>
      </c>
      <c r="L7361" s="38" t="n">
        <f aca="false">Sens!$K$7361*(1+Sens!$L$7362)</f>
        <v>83.4354203035671</v>
      </c>
      <c r="M7361" s="38" t="n">
        <f aca="false">Sens!$L$7361*(1+Sens!$M$7362)</f>
        <v>89.2758997248168</v>
      </c>
      <c r="N7361" s="38" t="n">
        <f aca="false">Q!$N$14</f>
        <v>23.923</v>
      </c>
      <c r="O7361" s="38" t="n">
        <f aca="false">Q!$O$14</f>
        <v>25.696</v>
      </c>
      <c r="P7361" s="8" t="s">
        <v>667</v>
      </c>
    </row>
    <row r="7362" customFormat="false" ht="17.15" hidden="false" customHeight="false" outlineLevel="0" collapsed="false">
      <c r="A7362" s="0" t="s">
        <v>676</v>
      </c>
      <c r="B7362" s="0" t="s">
        <v>52</v>
      </c>
      <c r="E7362" s="13" t="n">
        <f aca="false">Sens!$E$7361/Sens!$N$7361-1</f>
        <v>0.135183714417088</v>
      </c>
      <c r="F7362" s="13" t="n">
        <f aca="false">Sens!$O$7361/(Q!$F$14+Q!$G$14)-1</f>
        <v>0.127709997366804</v>
      </c>
      <c r="G7362" s="13" t="n">
        <f aca="false">Sens!$G$7361/Sens!$D$7361-1</f>
        <v>0.107104468022641</v>
      </c>
      <c r="H7362" s="13" t="n">
        <f aca="false">Sens!$F$7362+(g_sub-Sens!$F$7362)*1/4</f>
        <v>0.113282498025103</v>
      </c>
      <c r="I7362" s="13" t="n">
        <f aca="false">Sens!$F$7362+(g_sub-Sens!$F$7362)*2/4</f>
        <v>0.0988549986834021</v>
      </c>
      <c r="J7362" s="13" t="n">
        <f aca="false">Sens!$F$7362+(g_sub-Sens!$F$7362)*3/4</f>
        <v>0.084427499341701</v>
      </c>
      <c r="K7362" s="13" t="n">
        <f aca="false">Sens!$F$7362+(g_sub-Sens!$F$7362)*4/4</f>
        <v>0.07</v>
      </c>
      <c r="L7362" s="13" t="n">
        <f aca="false">g_sub</f>
        <v>0.07</v>
      </c>
      <c r="M7362" s="13" t="n">
        <f aca="false">g_sub</f>
        <v>0.07</v>
      </c>
      <c r="P7362" s="8" t="s">
        <v>677</v>
      </c>
    </row>
    <row r="7363" customFormat="false" ht="17.15" hidden="false" customHeight="false" outlineLevel="0" collapsed="false">
      <c r="A7363" s="0" t="s">
        <v>524</v>
      </c>
      <c r="B7363" s="0" t="s">
        <v>86</v>
      </c>
      <c r="C7363" s="38" t="n">
        <f aca="false">Q!$D$15</f>
        <v>5.425</v>
      </c>
      <c r="D7363" s="38" t="n">
        <f aca="false">Q!$E$15</f>
        <v>5.935</v>
      </c>
      <c r="E7363" s="38" t="n">
        <f aca="false">Q!$P$15</f>
        <v>3.474</v>
      </c>
      <c r="F7363" s="38" t="n">
        <f aca="false">Sens!$O$7363*(1+Sens!$F$7364)*Sens!$F$7365</f>
        <v>3.22246550883619</v>
      </c>
      <c r="G7363" s="38" t="n">
        <f aca="false">Sens!$E$7363+Sens!$F$7363</f>
        <v>6.69646550883619</v>
      </c>
      <c r="H7363" s="38" t="n">
        <f aca="false">Sens!$G$7363*(1+Sens!$H$7364)</f>
        <v>7.16251344209196</v>
      </c>
      <c r="I7363" s="38" t="n">
        <f aca="false">Sens!$H$7363*(1+Sens!$I$7364)</f>
        <v>7.61421070299826</v>
      </c>
      <c r="J7363" s="38" t="n">
        <f aca="false">Sens!$I$7363*(1+Sens!$J$7364)</f>
        <v>8.04465753523932</v>
      </c>
      <c r="K7363" s="38" t="n">
        <f aca="false">Sens!$J$7363*(1+Sens!$K$7364)</f>
        <v>8.44689041200128</v>
      </c>
      <c r="L7363" s="38" t="n">
        <f aca="false">Sens!$K$7363*(1+Sens!$L$7364)</f>
        <v>8.86923493260135</v>
      </c>
      <c r="M7363" s="38" t="n">
        <f aca="false">Sens!$L$7363*(1+Sens!$M$7364)</f>
        <v>9.31269667923142</v>
      </c>
      <c r="N7363" s="38" t="n">
        <f aca="false">Q!$N$15</f>
        <v>2.811</v>
      </c>
      <c r="O7363" s="38" t="n">
        <f aca="false">Q!$O$15</f>
        <v>3.124</v>
      </c>
      <c r="P7363" s="8" t="s">
        <v>667</v>
      </c>
    </row>
    <row r="7364" customFormat="false" ht="17.15" hidden="false" customHeight="false" outlineLevel="0" collapsed="false">
      <c r="A7364" s="0" t="s">
        <v>678</v>
      </c>
      <c r="B7364" s="0" t="s">
        <v>52</v>
      </c>
      <c r="E7364" s="13" t="n">
        <f aca="false">Sens!$E$7363/Sens!$N$7363-1</f>
        <v>0.235859124866596</v>
      </c>
      <c r="F7364" s="13" t="n">
        <f aca="false">Sens!$O$7363/(Q!$F$15+Q!$G$15)-1</f>
        <v>0.0761281433000345</v>
      </c>
      <c r="G7364" s="13" t="n">
        <f aca="false">Sens!$G$7363/Sens!$D$7363-1</f>
        <v>0.128300843948811</v>
      </c>
      <c r="H7364" s="13" t="n">
        <f aca="false">Sens!$F$7364+(g_ot-Sens!$F$7364)*1/4</f>
        <v>0.0695961074750259</v>
      </c>
      <c r="I7364" s="13" t="n">
        <f aca="false">Sens!$F$7364+(g_ot-Sens!$F$7364)*2/4</f>
        <v>0.0630640716500172</v>
      </c>
      <c r="J7364" s="13" t="n">
        <f aca="false">Sens!$F$7364+(g_ot-Sens!$F$7364)*3/4</f>
        <v>0.0565320358250086</v>
      </c>
      <c r="K7364" s="13" t="n">
        <f aca="false">Sens!$F$7364+(g_ot-Sens!$F$7364)*4/4</f>
        <v>0.05</v>
      </c>
      <c r="L7364" s="13" t="n">
        <f aca="false">g_ot</f>
        <v>0.05</v>
      </c>
      <c r="M7364" s="13" t="n">
        <f aca="false">g_ot</f>
        <v>0.05</v>
      </c>
      <c r="P7364" s="8" t="s">
        <v>679</v>
      </c>
    </row>
    <row r="7365" customFormat="false" ht="17.15" hidden="false" customHeight="false" outlineLevel="0" collapsed="false">
      <c r="A7365" s="0" t="s">
        <v>680</v>
      </c>
      <c r="B7365" s="0" t="s">
        <v>57</v>
      </c>
      <c r="F7365" s="40" t="n">
        <f aca="false">(g26q3_mid*Q!$O$8/Q!$J$8-Thesis!$F$86-Thesis!$F$90)/(Sens!$O$7353*(1+Sens!$F$7354)+Sens!$O$7355*(1+Sens!$F$7356)+Sens!$O$7357*(1+Sens!$F$7358)+Sens!$O$7359*(1+Sens!$F$7360)+Sens!$O$7361*(1+Sens!$F$7362)+Sens!$O$7363*(1+Sens!$F$7364))</f>
        <v>0.958546670622329</v>
      </c>
      <c r="P7365" s="8" t="s">
        <v>681</v>
      </c>
    </row>
    <row r="7366" customFormat="false" ht="17.15" hidden="false" customHeight="false" outlineLevel="0" collapsed="false">
      <c r="A7366" s="3" t="s">
        <v>682</v>
      </c>
      <c r="B7366" s="8" t="s">
        <v>86</v>
      </c>
      <c r="C7366" s="38" t="n">
        <f aca="false">Sens!$C$7353+Sens!$C$7355+Sens!$C$7357+Sens!$C$7359+Sens!$C$7361+Sens!$C$7363</f>
        <v>530.403</v>
      </c>
      <c r="D7366" s="38" t="n">
        <f aca="false">Sens!$D$7353+Sens!$D$7355+Sens!$D$7357+Sens!$D$7359+Sens!$D$7361+Sens!$D$7363</f>
        <v>588.199</v>
      </c>
      <c r="E7366" s="38" t="n">
        <f aca="false">Sens!$E$7353+Sens!$E$7355+Sens!$E$7357+Sens!$E$7359+Sens!$E$7361+Sens!$E$7363</f>
        <v>302.306</v>
      </c>
      <c r="F7366" s="38" t="n">
        <f aca="false">Sens!$F$7353+Sens!$F$7355+Sens!$F$7357+Sens!$F$7359+Sens!$F$7361+Sens!$F$7363</f>
        <v>349.048241645537</v>
      </c>
      <c r="G7366" s="38" t="n">
        <f aca="false">Sens!$G$7353+Sens!$G$7355+Sens!$G$7357+Sens!$G$7359+Sens!$G$7361+Sens!$G$7363</f>
        <v>651.354241645537</v>
      </c>
      <c r="H7366" s="38" t="n">
        <f aca="false">Sens!$H$7353+Sens!$H$7355+Sens!$H$7357+Sens!$H$7359+Sens!$H$7361+Sens!$H$7363</f>
        <v>721.096889521386</v>
      </c>
      <c r="I7366" s="38" t="n">
        <f aca="false">Sens!$I$7353+Sens!$I$7355+Sens!$I$7357+Sens!$I$7359+Sens!$I$7361+Sens!$I$7363</f>
        <v>788.529391152531</v>
      </c>
      <c r="J7366" s="38" t="n">
        <f aca="false">Sens!$J$7353+Sens!$J$7355+Sens!$J$7357+Sens!$J$7359+Sens!$J$7361+Sens!$J$7363</f>
        <v>851.108405741443</v>
      </c>
      <c r="K7366" s="38" t="n">
        <f aca="false">Sens!$K$7353+Sens!$K$7355+Sens!$K$7357+Sens!$K$7359+Sens!$K$7361+Sens!$K$7363</f>
        <v>906.176455431088</v>
      </c>
      <c r="L7366" s="38" t="n">
        <f aca="false">Sens!$L$7353+Sens!$L$7355+Sens!$L$7357+Sens!$L$7359+Sens!$L$7361+Sens!$L$7363</f>
        <v>965.093106475589</v>
      </c>
      <c r="M7366" s="38" t="n">
        <f aca="false">Sens!$M$7353+Sens!$M$7355+Sens!$M$7357+Sens!$M$7359+Sens!$M$7361+Sens!$M$7363</f>
        <v>1028.14790794689</v>
      </c>
      <c r="N7366" s="38" t="n">
        <f aca="false">Sens!$N$7353+Sens!$N$7355+Sens!$N$7357+Sens!$N$7359+Sens!$N$7361+Sens!$N$7363</f>
        <v>263.229</v>
      </c>
      <c r="O7366" s="38" t="n">
        <f aca="false">Sens!$O$7353+Sens!$O$7355+Sens!$O$7357+Sens!$O$7359+Sens!$O$7361+Sens!$O$7363</f>
        <v>324.97</v>
      </c>
    </row>
    <row r="7367" customFormat="false" ht="17.15" hidden="false" customHeight="false" outlineLevel="0" collapsed="false">
      <c r="A7367" s="5" t="s">
        <v>683</v>
      </c>
      <c r="B7367" s="0" t="s">
        <v>52</v>
      </c>
      <c r="C7367" s="13" t="n">
        <f aca="false">Q!$D$5/(Q!$D$5+Q!$D$6)</f>
        <v>0.730570905519011</v>
      </c>
      <c r="D7367" s="13" t="n">
        <f aca="false">Q!$E$5/(Q!$E$5+Q!$E$6)</f>
        <v>0.724763217890544</v>
      </c>
      <c r="E7367" s="13" t="n">
        <f aca="false">Q!$P$5/(Q!$P$5+Q!$P$6)</f>
        <v>0.728797972914861</v>
      </c>
      <c r="F7367" s="13" t="n">
        <f aca="false">Sens!$O$7367</f>
        <v>0.718066283041511</v>
      </c>
      <c r="G7367" s="13" t="n">
        <f aca="false">Sens!$G$7368/Sens!$G$7366</f>
        <v>0.723047066202847</v>
      </c>
      <c r="H7367" s="13" t="n">
        <f aca="false">Sens!$G$7367</f>
        <v>0.723047066202847</v>
      </c>
      <c r="I7367" s="13" t="n">
        <f aca="false">Sens!$G$7367</f>
        <v>0.723047066202847</v>
      </c>
      <c r="J7367" s="13" t="n">
        <f aca="false">Sens!$G$7367</f>
        <v>0.723047066202847</v>
      </c>
      <c r="K7367" s="13" t="n">
        <f aca="false">Sens!$G$7367</f>
        <v>0.723047066202847</v>
      </c>
      <c r="L7367" s="13" t="n">
        <f aca="false">Sens!$G$7367</f>
        <v>0.723047066202847</v>
      </c>
      <c r="M7367" s="13" t="n">
        <f aca="false">Sens!$G$7367</f>
        <v>0.723047066202847</v>
      </c>
      <c r="N7367" s="13" t="n">
        <f aca="false">Q!$N$5/(Q!$N$5+Q!$N$6)</f>
        <v>0.733030935041352</v>
      </c>
      <c r="O7367" s="13" t="n">
        <f aca="false">Q!$O$5/(Q!$O$5+Q!$O$6)</f>
        <v>0.718066283041511</v>
      </c>
      <c r="P7367" s="8" t="s">
        <v>684</v>
      </c>
    </row>
    <row r="7368" customFormat="false" ht="17.15" hidden="false" customHeight="false" outlineLevel="0" collapsed="false">
      <c r="A7368" s="1" t="s">
        <v>512</v>
      </c>
      <c r="B7368" s="8" t="s">
        <v>86</v>
      </c>
      <c r="C7368" s="38" t="n">
        <f aca="false">Q!$D$5</f>
        <v>387.497</v>
      </c>
      <c r="D7368" s="38" t="n">
        <f aca="false">Q!$E$5</f>
        <v>426.305</v>
      </c>
      <c r="E7368" s="38" t="n">
        <f aca="false">Q!$P$5</f>
        <v>220.32</v>
      </c>
      <c r="F7368" s="38" t="n">
        <f aca="false">Sens!$F$7366*Sens!$F$7367</f>
        <v>250.639773480586</v>
      </c>
      <c r="G7368" s="38" t="n">
        <f aca="false">Sens!$E$7368+Sens!$F$7368</f>
        <v>470.959773480586</v>
      </c>
      <c r="H7368" s="38" t="n">
        <f aca="false">Sens!$H$7366*Sens!$H$7367</f>
        <v>521.386990416437</v>
      </c>
      <c r="I7368" s="38" t="n">
        <f aca="false">Sens!$I$7366*Sens!$I$7367</f>
        <v>570.143862887555</v>
      </c>
      <c r="J7368" s="38" t="n">
        <f aca="false">Sens!$J$7366*Sens!$J$7367</f>
        <v>615.391435791933</v>
      </c>
      <c r="K7368" s="38" t="n">
        <f aca="false">Sens!$K$7366*Sens!$K$7367</f>
        <v>655.208227561543</v>
      </c>
      <c r="L7368" s="38" t="n">
        <f aca="false">Sens!$L$7366*Sens!$L$7367</f>
        <v>697.807739249767</v>
      </c>
      <c r="M7368" s="38" t="n">
        <f aca="false">Sens!$M$7366*Sens!$M$7367</f>
        <v>743.399328463592</v>
      </c>
      <c r="N7368" s="38" t="n">
        <f aca="false">Q!$N$5</f>
        <v>192.955</v>
      </c>
      <c r="O7368" s="38" t="n">
        <f aca="false">Q!$O$5</f>
        <v>233.35</v>
      </c>
      <c r="P7368" s="5" t="s">
        <v>685</v>
      </c>
    </row>
    <row r="7369" customFormat="false" ht="17.15" hidden="false" customHeight="false" outlineLevel="0" collapsed="false">
      <c r="A7369" s="1" t="s">
        <v>515</v>
      </c>
      <c r="B7369" s="8" t="s">
        <v>86</v>
      </c>
      <c r="C7369" s="38" t="n">
        <f aca="false">Q!$D$6</f>
        <v>142.906</v>
      </c>
      <c r="D7369" s="38" t="n">
        <f aca="false">Q!$E$6</f>
        <v>161.894</v>
      </c>
      <c r="E7369" s="38" t="n">
        <f aca="false">Q!$P$6</f>
        <v>81.986</v>
      </c>
      <c r="F7369" s="38" t="n">
        <f aca="false">Sens!$F$7366*(1-Sens!$F$7367)</f>
        <v>98.408468164951</v>
      </c>
      <c r="G7369" s="38" t="n">
        <f aca="false">Sens!$E$7369+Sens!$F$7369</f>
        <v>180.394468164951</v>
      </c>
      <c r="H7369" s="38" t="n">
        <f aca="false">Sens!$H$7366*(1-Sens!$H$7367)</f>
        <v>199.709899104949</v>
      </c>
      <c r="I7369" s="38" t="n">
        <f aca="false">Sens!$I$7366*(1-Sens!$I$7367)</f>
        <v>218.385528264976</v>
      </c>
      <c r="J7369" s="38" t="n">
        <f aca="false">Sens!$J$7366*(1-Sens!$J$7367)</f>
        <v>235.71696994951</v>
      </c>
      <c r="K7369" s="38" t="n">
        <f aca="false">Sens!$K$7366*(1-Sens!$K$7367)</f>
        <v>250.968227869545</v>
      </c>
      <c r="L7369" s="38" t="n">
        <f aca="false">Sens!$L$7366*(1-Sens!$L$7367)</f>
        <v>267.285367225822</v>
      </c>
      <c r="M7369" s="38" t="n">
        <f aca="false">Sens!$M$7366*(1-Sens!$M$7367)</f>
        <v>284.748579483295</v>
      </c>
      <c r="N7369" s="38" t="n">
        <f aca="false">Q!$N$6</f>
        <v>70.274</v>
      </c>
      <c r="O7369" s="38" t="n">
        <f aca="false">Q!$O$6</f>
        <v>91.62</v>
      </c>
      <c r="P7369" s="5" t="s">
        <v>686</v>
      </c>
    </row>
    <row r="7370" customFormat="false" ht="17.15" hidden="false" customHeight="false" outlineLevel="0" collapsed="false">
      <c r="A7370" s="5" t="s">
        <v>687</v>
      </c>
      <c r="B7370" s="0" t="s">
        <v>86</v>
      </c>
      <c r="C7370" s="38" t="n">
        <f aca="false">Sens!$C$7359*Sens!$C$7367</f>
        <v>41.0683128828457</v>
      </c>
      <c r="D7370" s="38" t="n">
        <f aca="false">Sens!$D$7359*Sens!$D$7367</f>
        <v>49.7441234599175</v>
      </c>
      <c r="E7370" s="38" t="n">
        <f aca="false">Sens!$E$7359*Sens!$E$7367</f>
        <v>27.0034224924414</v>
      </c>
      <c r="F7370" s="38" t="n">
        <f aca="false">Sens!$F$7359*Sens!$F$7367</f>
        <v>33.1439448330513</v>
      </c>
      <c r="G7370" s="38" t="n">
        <f aca="false">Sens!$G$7359*Sens!$G$7367</f>
        <v>60.164183844083</v>
      </c>
      <c r="H7370" s="38" t="n">
        <f aca="false">Sens!$H$7359*Sens!$H$7367</f>
        <v>72.2301766552629</v>
      </c>
      <c r="I7370" s="38" t="n">
        <f aca="false">Sens!$I$7359*Sens!$I$7367</f>
        <v>84.2950764463991</v>
      </c>
      <c r="J7370" s="38" t="n">
        <f aca="false">Sens!$J$7359*Sens!$J$7367</f>
        <v>95.5499047729386</v>
      </c>
      <c r="K7370" s="38" t="n">
        <f aca="false">Sens!$K$7359*Sens!$K$7367</f>
        <v>105.104895250232</v>
      </c>
      <c r="L7370" s="38" t="n">
        <f aca="false">Sens!$L$7359*Sens!$L$7367</f>
        <v>115.615384775256</v>
      </c>
      <c r="M7370" s="38" t="n">
        <f aca="false">Sens!$M$7359*Sens!$M$7367</f>
        <v>127.176923252781</v>
      </c>
      <c r="N7370" s="38" t="n">
        <f aca="false">Sens!$N$7359*Sens!$N$7367</f>
        <v>21.7087111412496</v>
      </c>
      <c r="O7370" s="38" t="n">
        <f aca="false">Sens!$O$7359*Sens!$O$7367</f>
        <v>28.0189463642798</v>
      </c>
      <c r="P7370" s="5" t="s">
        <v>688</v>
      </c>
    </row>
    <row r="7371" customFormat="false" ht="15" hidden="false" customHeight="false" outlineLevel="0" collapsed="false">
      <c r="A7371" s="5" t="s">
        <v>689</v>
      </c>
      <c r="B7371" s="0" t="s">
        <v>86</v>
      </c>
      <c r="C7371" s="38" t="n">
        <f aca="false">Sens!$C$7359-Sens!$C$7370</f>
        <v>15.1456871171543</v>
      </c>
      <c r="D7371" s="38" t="n">
        <f aca="false">Sens!$D$7359-Sens!$D$7370</f>
        <v>18.8908765400825</v>
      </c>
      <c r="E7371" s="38" t="n">
        <f aca="false">Sens!$E$7359-Sens!$E$7370</f>
        <v>10.0485775075586</v>
      </c>
      <c r="F7371" s="38" t="n">
        <f aca="false">Sens!$F$7359-Sens!$F$7370</f>
        <v>13.0132771613635</v>
      </c>
      <c r="G7371" s="38" t="n">
        <f aca="false">Sens!$G$7359-Sens!$G$7370</f>
        <v>23.0450381503318</v>
      </c>
      <c r="H7371" s="38" t="n">
        <f aca="false">Sens!$H$7359-Sens!$H$7370</f>
        <v>27.6667457326347</v>
      </c>
      <c r="I7371" s="38" t="n">
        <f aca="false">Sens!$I$7359-Sens!$I$7370</f>
        <v>32.2880346490971</v>
      </c>
      <c r="J7371" s="38" t="n">
        <f aca="false">Sens!$J$7359-Sens!$J$7370</f>
        <v>36.5990371690132</v>
      </c>
      <c r="K7371" s="38" t="n">
        <f aca="false">Sens!$K$7359-Sens!$K$7370</f>
        <v>40.2589408859145</v>
      </c>
      <c r="L7371" s="38" t="n">
        <f aca="false">Sens!$L$7359-Sens!$L$7370</f>
        <v>44.2848349745059</v>
      </c>
      <c r="M7371" s="38" t="n">
        <f aca="false">Sens!$M$7359-Sens!$M$7370</f>
        <v>48.7133184719565</v>
      </c>
      <c r="N7371" s="38" t="n">
        <f aca="false">Sens!$N$7359-Sens!$N$7370</f>
        <v>7.90628885875037</v>
      </c>
      <c r="O7371" s="38" t="n">
        <f aca="false">Sens!$O$7359-Sens!$O$7370</f>
        <v>11.0010536357202</v>
      </c>
    </row>
    <row r="7372" customFormat="false" ht="19.4" hidden="false" customHeight="false" outlineLevel="0" collapsed="false">
      <c r="A7372" s="31" t="s">
        <v>1286</v>
      </c>
    </row>
    <row r="7373" customFormat="false" ht="17.15" hidden="false" customHeight="false" outlineLevel="0" collapsed="false">
      <c r="A7373" s="6" t="s">
        <v>16</v>
      </c>
      <c r="B7373" s="6" t="s">
        <v>17</v>
      </c>
      <c r="C7373" s="20" t="s">
        <v>497</v>
      </c>
      <c r="D7373" s="20" t="s">
        <v>498</v>
      </c>
      <c r="E7373" s="20" t="s">
        <v>580</v>
      </c>
      <c r="F7373" s="20" t="s">
        <v>581</v>
      </c>
      <c r="G7373" s="20" t="s">
        <v>582</v>
      </c>
      <c r="H7373" s="20" t="s">
        <v>583</v>
      </c>
      <c r="I7373" s="20" t="s">
        <v>584</v>
      </c>
      <c r="J7373" s="20" t="s">
        <v>585</v>
      </c>
      <c r="K7373" s="20" t="s">
        <v>586</v>
      </c>
      <c r="L7373" s="20" t="s">
        <v>587</v>
      </c>
      <c r="M7373" s="20" t="s">
        <v>588</v>
      </c>
      <c r="N7373" s="20" t="s">
        <v>589</v>
      </c>
      <c r="O7373" s="20" t="s">
        <v>590</v>
      </c>
      <c r="P7373" s="6" t="s">
        <v>23</v>
      </c>
      <c r="R7373" s="20" t="n">
        <v>2023</v>
      </c>
      <c r="S7373" s="20" t="n">
        <v>2024</v>
      </c>
      <c r="T7373" s="20" t="n">
        <v>2025</v>
      </c>
      <c r="U7373" s="20" t="n">
        <v>2026</v>
      </c>
      <c r="V7373" s="20" t="n">
        <v>2027</v>
      </c>
      <c r="W7373" s="20" t="n">
        <v>2028</v>
      </c>
      <c r="X7373" s="20" t="n">
        <v>2029</v>
      </c>
      <c r="Y7373" s="20" t="n">
        <v>2030</v>
      </c>
      <c r="Z7373" s="20" t="n">
        <v>2031</v>
      </c>
      <c r="AA7373" s="20" t="n">
        <v>2032</v>
      </c>
    </row>
    <row r="7374" customFormat="false" ht="17.15" hidden="false" customHeight="false" outlineLevel="0" collapsed="false">
      <c r="A7374" s="1" t="s">
        <v>591</v>
      </c>
    </row>
    <row r="7375" customFormat="false" ht="17.15" hidden="false" customHeight="false" outlineLevel="0" collapsed="false">
      <c r="A7375" s="5" t="s">
        <v>592</v>
      </c>
      <c r="B7375" s="0" t="s">
        <v>144</v>
      </c>
      <c r="H7375" s="32" t="n">
        <f aca="false">pace_B</f>
        <v>3634.3</v>
      </c>
      <c r="I7375" s="32" t="n">
        <f aca="false">pace_B</f>
        <v>3634.3</v>
      </c>
      <c r="J7375" s="32" t="n">
        <f aca="false">pace_B</f>
        <v>3634.3</v>
      </c>
      <c r="K7375" s="32" t="n">
        <f aca="false">pace_B+(Sens!$J$7376*tg-pace_B)*1/3</f>
        <v>2570.86716666667</v>
      </c>
      <c r="L7375" s="32" t="n">
        <f aca="false">pace_B+(Sens!$J$7376*tg-pace_B)*2/3</f>
        <v>1507.43433333333</v>
      </c>
      <c r="M7375" s="32" t="n">
        <f aca="false">pace_B+(Sens!$J$7376*tg-pace_B)*3/3</f>
        <v>444.0015</v>
      </c>
      <c r="P7375" s="5" t="s">
        <v>593</v>
      </c>
    </row>
    <row r="7376" customFormat="false" ht="17.15" hidden="false" customHeight="false" outlineLevel="0" collapsed="false">
      <c r="A7376" s="15" t="s">
        <v>594</v>
      </c>
      <c r="B7376" s="14" t="s">
        <v>129</v>
      </c>
      <c r="C7376" s="33" t="n">
        <f aca="false">mw_ye24</f>
        <v>360</v>
      </c>
      <c r="D7376" s="33" t="n">
        <f aca="false">mw_ye25</f>
        <v>1440</v>
      </c>
      <c r="E7376" s="33" t="n">
        <f aca="false">mw_open</f>
        <v>2080</v>
      </c>
      <c r="F7376" s="33" t="n">
        <f aca="false">Sens!$E$7376+pace_B*0.5</f>
        <v>3897.15</v>
      </c>
      <c r="G7376" s="33" t="n">
        <f aca="false">Sens!$F$7376</f>
        <v>3897.15</v>
      </c>
      <c r="H7376" s="33" t="n">
        <f aca="false">Sens!$G$7376+Sens!$H$7375</f>
        <v>7531.45</v>
      </c>
      <c r="I7376" s="33" t="n">
        <f aca="false">Sens!$H$7376+Sens!$I$7375</f>
        <v>11165.75</v>
      </c>
      <c r="J7376" s="33" t="n">
        <f aca="false">Sens!$I$7376+Sens!$J$7375</f>
        <v>14800.05</v>
      </c>
      <c r="K7376" s="33" t="n">
        <f aca="false">Sens!$J$7376+Sens!$K$7375</f>
        <v>17370.9171666667</v>
      </c>
      <c r="L7376" s="33" t="n">
        <f aca="false">Sens!$K$7376+Sens!$L$7375</f>
        <v>18878.3515</v>
      </c>
      <c r="M7376" s="33" t="n">
        <f aca="false">Sens!$L$7376+Sens!$M$7375</f>
        <v>19322.353</v>
      </c>
      <c r="N7376" s="33" t="n">
        <f aca="false">(mw_ye24+mw_ye25)/2</f>
        <v>900</v>
      </c>
      <c r="O7376" s="33" t="n">
        <f aca="false">mw_ye25</f>
        <v>1440</v>
      </c>
      <c r="P7376" s="5" t="s">
        <v>595</v>
      </c>
    </row>
    <row r="7377" customFormat="false" ht="17.15" hidden="false" customHeight="false" outlineLevel="0" collapsed="false">
      <c r="A7377" s="5" t="s">
        <v>596</v>
      </c>
      <c r="B7377" s="0" t="s">
        <v>129</v>
      </c>
      <c r="C7377" s="32" t="n">
        <f aca="false">(mw_ye23+mw_ye24)/2</f>
        <v>240</v>
      </c>
      <c r="D7377" s="32" t="n">
        <f aca="false">(Sens!$C$7376+Sens!$D$7376)/2</f>
        <v>900</v>
      </c>
      <c r="E7377" s="32" t="n">
        <f aca="false">(Sens!$D$7376+Sens!$E$7376)/2</f>
        <v>1760</v>
      </c>
      <c r="F7377" s="32" t="n">
        <f aca="false">(Sens!$E$7376+Sens!$F$7376)/2</f>
        <v>2988.575</v>
      </c>
      <c r="G7377" s="32" t="n">
        <f aca="false">(Sens!$E$7377+Sens!$F$7377)/2</f>
        <v>2374.2875</v>
      </c>
      <c r="H7377" s="32" t="n">
        <f aca="false">(Sens!$G$7376+Sens!$H$7376)/2</f>
        <v>5714.3</v>
      </c>
      <c r="I7377" s="32" t="n">
        <f aca="false">(Sens!$H$7376+Sens!$I$7376)/2</f>
        <v>9348.6</v>
      </c>
      <c r="J7377" s="32" t="n">
        <f aca="false">(Sens!$I$7376+Sens!$J$7376)/2</f>
        <v>12982.9</v>
      </c>
      <c r="K7377" s="32" t="n">
        <f aca="false">(Sens!$J$7376+Sens!$K$7376)/2</f>
        <v>16085.4835833333</v>
      </c>
      <c r="L7377" s="32" t="n">
        <f aca="false">(Sens!$K$7376+Sens!$L$7376)/2</f>
        <v>18124.6343333333</v>
      </c>
      <c r="M7377" s="32" t="n">
        <f aca="false">(Sens!$L$7376+Sens!$M$7376)/2</f>
        <v>19100.35225</v>
      </c>
      <c r="N7377" s="32" t="n">
        <f aca="false">(Sens!$C$7376+Sens!$N$7376)/2</f>
        <v>630</v>
      </c>
      <c r="O7377" s="32" t="n">
        <f aca="false">(Sens!$N$7376+Sens!$O$7376)/2</f>
        <v>1170</v>
      </c>
    </row>
    <row r="7378" customFormat="false" ht="15" hidden="false" customHeight="false" outlineLevel="0" collapsed="false">
      <c r="A7378" s="5" t="s">
        <v>597</v>
      </c>
      <c r="B7378" s="5" t="s">
        <v>123</v>
      </c>
      <c r="C7378" s="34" t="n">
        <v>1</v>
      </c>
      <c r="D7378" s="34" t="n">
        <v>1</v>
      </c>
      <c r="E7378" s="34" t="n">
        <v>0.5</v>
      </c>
      <c r="F7378" s="34" t="n">
        <v>0.5</v>
      </c>
      <c r="G7378" s="34" t="n">
        <v>1</v>
      </c>
      <c r="H7378" s="34" t="n">
        <v>1</v>
      </c>
      <c r="I7378" s="34" t="n">
        <v>1</v>
      </c>
      <c r="J7378" s="34" t="n">
        <v>1</v>
      </c>
      <c r="K7378" s="34" t="n">
        <v>1</v>
      </c>
      <c r="L7378" s="34" t="n">
        <v>1</v>
      </c>
      <c r="M7378" s="34" t="n">
        <v>1</v>
      </c>
      <c r="N7378" s="34" t="n">
        <v>0.5</v>
      </c>
      <c r="O7378" s="34" t="n">
        <v>0.5</v>
      </c>
    </row>
    <row r="7379" customFormat="false" ht="17.15" hidden="false" customHeight="false" outlineLevel="0" collapsed="false">
      <c r="A7379" s="5" t="s">
        <v>598</v>
      </c>
      <c r="B7379" s="0" t="s">
        <v>129</v>
      </c>
      <c r="C7379" s="32" t="n">
        <f aca="false">Sens!$C$7376-mw_ye23</f>
        <v>240</v>
      </c>
      <c r="D7379" s="32" t="n">
        <f aca="false">Sens!$D$7376-Sens!$C$7376</f>
        <v>1080</v>
      </c>
      <c r="E7379" s="32" t="n">
        <f aca="false">Sens!$E$7376-Sens!$D$7376</f>
        <v>640</v>
      </c>
      <c r="F7379" s="32" t="n">
        <f aca="false">Sens!$F$7376-Sens!$E$7376</f>
        <v>1817.15</v>
      </c>
      <c r="G7379" s="32" t="n">
        <f aca="false">Sens!$E$7379+Sens!$F$7379</f>
        <v>2457.15</v>
      </c>
      <c r="H7379" s="32" t="n">
        <f aca="false">Sens!$H$7376-Sens!$G$7376</f>
        <v>3634.3</v>
      </c>
      <c r="I7379" s="32" t="n">
        <f aca="false">Sens!$I$7376-Sens!$H$7376</f>
        <v>3634.3</v>
      </c>
      <c r="J7379" s="32" t="n">
        <f aca="false">Sens!$J$7376-Sens!$I$7376</f>
        <v>3634.3</v>
      </c>
      <c r="K7379" s="32" t="n">
        <f aca="false">Sens!$K$7376-Sens!$J$7376</f>
        <v>2570.86716666667</v>
      </c>
      <c r="L7379" s="32" t="n">
        <f aca="false">Sens!$L$7376-Sens!$K$7376</f>
        <v>1507.43433333333</v>
      </c>
      <c r="M7379" s="32" t="n">
        <f aca="false">Sens!$M$7376-Sens!$L$7376</f>
        <v>444.001499999999</v>
      </c>
      <c r="N7379" s="32" t="n">
        <f aca="false">Sens!$N$7376-Sens!$C$7376</f>
        <v>540</v>
      </c>
      <c r="O7379" s="32" t="n">
        <f aca="false">Sens!$O$7376-Sens!$N$7376</f>
        <v>540</v>
      </c>
    </row>
    <row r="7380" customFormat="false" ht="17.15" hidden="false" customHeight="false" outlineLevel="0" collapsed="false">
      <c r="A7380" s="5" t="s">
        <v>599</v>
      </c>
      <c r="B7380" s="0" t="s">
        <v>129</v>
      </c>
      <c r="C7380" s="32" t="n">
        <f aca="false">Sens!$C$7379/ext_sh</f>
        <v>300</v>
      </c>
      <c r="D7380" s="32" t="n">
        <f aca="false">Sens!$D$7379/ext_sh</f>
        <v>1350</v>
      </c>
      <c r="E7380" s="32" t="n">
        <f aca="false">Sens!$E$7379/ext_sh</f>
        <v>800</v>
      </c>
      <c r="F7380" s="32" t="n">
        <f aca="false">Sens!$F$7379/ext_sh</f>
        <v>2271.4375</v>
      </c>
      <c r="G7380" s="32" t="n">
        <f aca="false">Sens!$G$7379/ext_sh</f>
        <v>3071.4375</v>
      </c>
      <c r="H7380" s="32" t="n">
        <f aca="false">Sens!$H$7379/ext_sh</f>
        <v>4542.875</v>
      </c>
      <c r="I7380" s="32" t="n">
        <f aca="false">Sens!$I$7379/ext_sh</f>
        <v>4542.875</v>
      </c>
      <c r="J7380" s="32" t="n">
        <f aca="false">Sens!$J$7379/ext_sh</f>
        <v>4542.875</v>
      </c>
      <c r="K7380" s="32" t="n">
        <f aca="false">Sens!$K$7379/ext_sh</f>
        <v>3213.58395833333</v>
      </c>
      <c r="L7380" s="32" t="n">
        <f aca="false">Sens!$L$7379/ext_sh</f>
        <v>1884.29291666667</v>
      </c>
      <c r="M7380" s="32" t="n">
        <f aca="false">Sens!$M$7379/ext_sh</f>
        <v>555.001874999998</v>
      </c>
      <c r="N7380" s="32" t="n">
        <f aca="false">Sens!$N$7379/ext_sh</f>
        <v>675</v>
      </c>
      <c r="O7380" s="32" t="n">
        <f aca="false">Sens!$O$7379/ext_sh</f>
        <v>675</v>
      </c>
      <c r="P7380" s="8" t="s">
        <v>600</v>
      </c>
      <c r="R7380" s="32" t="n">
        <f aca="false">mw_ye23/ext_sh</f>
        <v>150</v>
      </c>
      <c r="S7380" s="32" t="n">
        <f aca="false">Sens!$C$7380</f>
        <v>300</v>
      </c>
      <c r="T7380" s="32" t="n">
        <f aca="false">Sens!$D$7380</f>
        <v>1350</v>
      </c>
      <c r="U7380" s="32" t="n">
        <f aca="false">Sens!$G$7380</f>
        <v>3071.4375</v>
      </c>
      <c r="V7380" s="32" t="n">
        <f aca="false">Sens!$H$7380</f>
        <v>4542.875</v>
      </c>
      <c r="W7380" s="32" t="n">
        <f aca="false">Sens!$I$7380</f>
        <v>4542.875</v>
      </c>
      <c r="X7380" s="32" t="n">
        <f aca="false">Sens!$J$7380</f>
        <v>4542.875</v>
      </c>
      <c r="Y7380" s="32" t="n">
        <f aca="false">Sens!$K$7380</f>
        <v>3213.58395833333</v>
      </c>
      <c r="Z7380" s="32" t="n">
        <f aca="false">Sens!$L$7380</f>
        <v>1884.29291666667</v>
      </c>
      <c r="AA7380" s="32" t="n">
        <f aca="false">Sens!$M$7380</f>
        <v>555.001874999998</v>
      </c>
    </row>
    <row r="7381" customFormat="false" ht="17.15" hidden="false" customHeight="false" outlineLevel="0" collapsed="false">
      <c r="A7381" s="1" t="s">
        <v>601</v>
      </c>
    </row>
    <row r="7382" customFormat="false" ht="17.15" hidden="false" customHeight="false" outlineLevel="0" collapsed="false">
      <c r="A7382" s="0" t="s">
        <v>602</v>
      </c>
      <c r="B7382" s="0" t="s">
        <v>52</v>
      </c>
      <c r="F7382" s="35" t="n">
        <f aca="false">na_vr26</f>
        <v>0</v>
      </c>
      <c r="G7382" s="35" t="n">
        <f aca="false">na_vr26</f>
        <v>0</v>
      </c>
      <c r="H7382" s="35" t="n">
        <f aca="false">na_vr27</f>
        <v>0.5</v>
      </c>
      <c r="I7382" s="35" t="n">
        <f aca="false">na_vr28</f>
        <v>1</v>
      </c>
      <c r="J7382" s="35" t="n">
        <f aca="false">na_vr28</f>
        <v>1</v>
      </c>
      <c r="K7382" s="35" t="n">
        <f aca="false">na_vr28</f>
        <v>1</v>
      </c>
      <c r="L7382" s="35" t="n">
        <f aca="false">na_vr28</f>
        <v>1</v>
      </c>
      <c r="M7382" s="35" t="n">
        <f aca="false">na_vr28</f>
        <v>1</v>
      </c>
    </row>
    <row r="7383" customFormat="false" ht="17.15" hidden="false" customHeight="false" outlineLevel="0" collapsed="false">
      <c r="A7383" s="5" t="s">
        <v>603</v>
      </c>
      <c r="B7383" s="0" t="s">
        <v>173</v>
      </c>
      <c r="F7383" s="36" t="n">
        <f aca="false">cust_sh*tk_he_gb300*cf_chip+(1-cust_sh)*((1-Sens!$F$7382)*tk_he_gb300+Sens!$F$7382*tk_he_vr200)</f>
        <v>10.8864110021101</v>
      </c>
      <c r="G7383" s="36" t="n">
        <f aca="false">cust_sh*tk_he_gb300*cf_chip+(1-cust_sh)*((1-Sens!$G$7382)*tk_he_gb300+Sens!$G$7382*tk_he_vr200)</f>
        <v>10.8864110021101</v>
      </c>
      <c r="H7383" s="36" t="n">
        <f aca="false">cust_sh*tk_he_gb300*cf_chip+(1-cust_sh)*((1-Sens!$H$7382)*tk_he_gb300+Sens!$H$7382*tk_he_vr200)</f>
        <v>11.2211760027286</v>
      </c>
      <c r="I7383" s="36" t="n">
        <f aca="false">cust_sh*tk_he_gb300*cf_chip+(1-cust_sh)*((1-Sens!$I$7382)*tk_he_gb300+Sens!$I$7382*tk_he_vr200)</f>
        <v>11.5559410033471</v>
      </c>
      <c r="J7383" s="36" t="n">
        <f aca="false">cust_sh*tk_he_gb300*cf_chip+(1-cust_sh)*((1-Sens!$J$7382)*tk_he_gb300+Sens!$J$7382*tk_he_vr200)</f>
        <v>11.5559410033471</v>
      </c>
      <c r="K7383" s="36" t="n">
        <f aca="false">cust_sh*tk_he_gb300*cf_chip+(1-cust_sh)*((1-Sens!$K$7382)*tk_he_gb300+Sens!$K$7382*tk_he_vr200)</f>
        <v>11.5559410033471</v>
      </c>
      <c r="L7383" s="36" t="n">
        <f aca="false">cust_sh*tk_he_gb300*cf_chip+(1-cust_sh)*((1-Sens!$L$7382)*tk_he_gb300+Sens!$L$7382*tk_he_vr200)</f>
        <v>11.5559410033471</v>
      </c>
      <c r="M7383" s="36" t="n">
        <f aca="false">cust_sh*tk_he_gb300*cf_chip+(1-cust_sh)*((1-Sens!$M$7382)*tk_he_gb300+Sens!$M$7382*tk_he_vr200)</f>
        <v>11.5559410033471</v>
      </c>
    </row>
    <row r="7384" customFormat="false" ht="17.15" hidden="false" customHeight="false" outlineLevel="0" collapsed="false">
      <c r="A7384" s="5" t="s">
        <v>604</v>
      </c>
      <c r="B7384" s="0" t="s">
        <v>173</v>
      </c>
      <c r="F7384" s="36" t="n">
        <f aca="false">cust_sh*tk_ox_gb300+(1-cust_sh)*((1-Sens!$F$7382)*tk_ox_gb300+Sens!$F$7382*tk_ox_vr200)</f>
        <v>1.98263481314457</v>
      </c>
      <c r="G7384" s="36" t="n">
        <f aca="false">cust_sh*tk_ox_gb300+(1-cust_sh)*((1-Sens!$G$7382)*tk_ox_gb300+Sens!$G$7382*tk_ox_vr200)</f>
        <v>1.98263481314457</v>
      </c>
      <c r="H7384" s="36" t="n">
        <f aca="false">cust_sh*tk_ox_gb300+(1-cust_sh)*((1-Sens!$H$7382)*tk_ox_gb300+Sens!$H$7382*tk_ox_vr200)</f>
        <v>2.01034999693694</v>
      </c>
      <c r="I7384" s="36" t="n">
        <f aca="false">cust_sh*tk_ox_gb300+(1-cust_sh)*((1-Sens!$I$7382)*tk_ox_gb300+Sens!$I$7382*tk_ox_vr200)</f>
        <v>2.0380651807293</v>
      </c>
      <c r="J7384" s="36" t="n">
        <f aca="false">cust_sh*tk_ox_gb300+(1-cust_sh)*((1-Sens!$J$7382)*tk_ox_gb300+Sens!$J$7382*tk_ox_vr200)</f>
        <v>2.0380651807293</v>
      </c>
      <c r="K7384" s="36" t="n">
        <f aca="false">cust_sh*tk_ox_gb300+(1-cust_sh)*((1-Sens!$K$7382)*tk_ox_gb300+Sens!$K$7382*tk_ox_vr200)</f>
        <v>2.0380651807293</v>
      </c>
      <c r="L7384" s="36" t="n">
        <f aca="false">cust_sh*tk_ox_gb300+(1-cust_sh)*((1-Sens!$L$7382)*tk_ox_gb300+Sens!$L$7382*tk_ox_vr200)</f>
        <v>2.0380651807293</v>
      </c>
      <c r="M7384" s="36" t="n">
        <f aca="false">cust_sh*tk_ox_gb300+(1-cust_sh)*((1-Sens!$M$7382)*tk_ox_gb300+Sens!$M$7382*tk_ox_vr200)</f>
        <v>2.0380651807293</v>
      </c>
    </row>
    <row r="7385" customFormat="false" ht="17.15" hidden="false" customHeight="false" outlineLevel="0" collapsed="false">
      <c r="A7385" s="5" t="s">
        <v>605</v>
      </c>
      <c r="B7385" s="0" t="s">
        <v>192</v>
      </c>
      <c r="F7385" s="36" t="n">
        <f aca="false">cust_sh*tk_cx_gb300*cf_cx+(1-cust_sh)*((1-Sens!$F$7382)*tk_cx_gb300+Sens!$F$7382*tk_cx_vr200)</f>
        <v>32.237224</v>
      </c>
      <c r="G7385" s="36" t="n">
        <f aca="false">cust_sh*tk_cx_gb300*cf_cx+(1-cust_sh)*((1-Sens!$G$7382)*tk_cx_gb300+Sens!$G$7382*tk_cx_vr200)</f>
        <v>32.237224</v>
      </c>
      <c r="H7385" s="36" t="n">
        <f aca="false">cust_sh*tk_cx_gb300*cf_cx+(1-cust_sh)*((1-Sens!$H$7382)*tk_cx_gb300+Sens!$H$7382*tk_cx_vr200)</f>
        <v>33.574506</v>
      </c>
      <c r="I7385" s="36" t="n">
        <f aca="false">cust_sh*tk_cx_gb300*cf_cx+(1-cust_sh)*((1-Sens!$I$7382)*tk_cx_gb300+Sens!$I$7382*tk_cx_vr200)</f>
        <v>34.911788</v>
      </c>
      <c r="J7385" s="36" t="n">
        <f aca="false">cust_sh*tk_cx_gb300*cf_cx+(1-cust_sh)*((1-Sens!$J$7382)*tk_cx_gb300+Sens!$J$7382*tk_cx_vr200)</f>
        <v>34.911788</v>
      </c>
      <c r="K7385" s="36" t="n">
        <f aca="false">cust_sh*tk_cx_gb300*cf_cx+(1-cust_sh)*((1-Sens!$K$7382)*tk_cx_gb300+Sens!$K$7382*tk_cx_vr200)</f>
        <v>34.911788</v>
      </c>
      <c r="L7385" s="36" t="n">
        <f aca="false">cust_sh*tk_cx_gb300*cf_cx+(1-cust_sh)*((1-Sens!$L$7382)*tk_cx_gb300+Sens!$L$7382*tk_cx_vr200)</f>
        <v>34.911788</v>
      </c>
      <c r="M7385" s="36" t="n">
        <f aca="false">cust_sh*tk_cx_gb300*cf_cx+(1-cust_sh)*((1-Sens!$M$7382)*tk_cx_gb300+Sens!$M$7382*tk_cx_vr200)</f>
        <v>34.911788</v>
      </c>
    </row>
    <row r="7386" customFormat="false" ht="17.15" hidden="false" customHeight="false" outlineLevel="0" collapsed="false">
      <c r="A7386" s="5" t="s">
        <v>606</v>
      </c>
      <c r="B7386" s="0" t="s">
        <v>129</v>
      </c>
      <c r="F7386" s="32" t="n">
        <f aca="false">Sens!$F$7376-mw_open</f>
        <v>1817.15</v>
      </c>
      <c r="G7386" s="32" t="n">
        <f aca="false">Sens!$F$7386</f>
        <v>1817.15</v>
      </c>
      <c r="H7386" s="32" t="n">
        <f aca="false">Sens!$H$7376-mw_open</f>
        <v>5451.45</v>
      </c>
      <c r="I7386" s="32" t="n">
        <f aca="false">Sens!$I$7376-mw_open</f>
        <v>9085.75</v>
      </c>
      <c r="J7386" s="32" t="n">
        <f aca="false">Sens!$J$7376-mw_open</f>
        <v>12720.05</v>
      </c>
      <c r="K7386" s="32" t="n">
        <f aca="false">Sens!$K$7376-mw_open</f>
        <v>15290.9171666667</v>
      </c>
      <c r="L7386" s="32" t="n">
        <f aca="false">Sens!$L$7376-mw_open</f>
        <v>16798.3515</v>
      </c>
      <c r="M7386" s="32" t="n">
        <f aca="false">Sens!$M$7376-mw_open</f>
        <v>17242.353</v>
      </c>
    </row>
    <row r="7387" customFormat="false" ht="17.15" hidden="false" customHeight="false" outlineLevel="0" collapsed="false">
      <c r="A7387" s="0" t="s">
        <v>607</v>
      </c>
      <c r="B7387" s="0" t="s">
        <v>608</v>
      </c>
      <c r="F7387" s="32" t="n">
        <f aca="false">Sens!$F$7379*Sens!$F$7383</f>
        <v>19782.2417524844</v>
      </c>
      <c r="G7387" s="32" t="n">
        <f aca="false">Sens!$F$7387</f>
        <v>19782.2417524844</v>
      </c>
      <c r="H7387" s="32" t="n">
        <f aca="false">Sens!$G$7387+Sens!$H$7379*Sens!$H$7383</f>
        <v>60563.3616992009</v>
      </c>
      <c r="I7387" s="32" t="n">
        <f aca="false">Sens!$H$7387+Sens!$I$7379*Sens!$I$7383</f>
        <v>102561.118087665</v>
      </c>
      <c r="J7387" s="32" t="n">
        <f aca="false">Sens!$I$7387+Sens!$J$7379*Sens!$J$7383</f>
        <v>144558.87447613</v>
      </c>
      <c r="K7387" s="32" t="n">
        <f aca="false">Sens!$J$7387+Sens!$K$7379*Sens!$K$7383</f>
        <v>174267.663781572</v>
      </c>
      <c r="L7387" s="32" t="n">
        <f aca="false">Sens!$K$7387+Sens!$L$7379*Sens!$L$7383</f>
        <v>191687.486003992</v>
      </c>
      <c r="M7387" s="32" t="n">
        <f aca="false">Sens!$L$7387+Sens!$M$7379*Sens!$M$7383</f>
        <v>196818.341143389</v>
      </c>
    </row>
    <row r="7388" customFormat="false" ht="17.15" hidden="false" customHeight="false" outlineLevel="0" collapsed="false">
      <c r="A7388" s="0" t="s">
        <v>609</v>
      </c>
      <c r="B7388" s="0" t="s">
        <v>608</v>
      </c>
      <c r="F7388" s="32" t="n">
        <f aca="false">Sens!$F$7379*Sens!$F$7384</f>
        <v>3602.74485070566</v>
      </c>
      <c r="G7388" s="32" t="n">
        <f aca="false">Sens!$F$7388</f>
        <v>3602.74485070566</v>
      </c>
      <c r="H7388" s="32" t="n">
        <f aca="false">Sens!$G$7388+Sens!$H$7379*Sens!$H$7384</f>
        <v>10908.9598445736</v>
      </c>
      <c r="I7388" s="32" t="n">
        <f aca="false">Sens!$H$7388+Sens!$I$7379*Sens!$I$7384</f>
        <v>18315.9001308981</v>
      </c>
      <c r="J7388" s="32" t="n">
        <f aca="false">Sens!$I$7388+Sens!$J$7379*Sens!$J$7384</f>
        <v>25722.8404172225</v>
      </c>
      <c r="K7388" s="32" t="n">
        <f aca="false">Sens!$J$7388+Sens!$K$7379*Sens!$K$7384</f>
        <v>30962.4352738861</v>
      </c>
      <c r="L7388" s="32" t="n">
        <f aca="false">Sens!$K$7388+Sens!$L$7379*Sens!$L$7384</f>
        <v>34034.6847008886</v>
      </c>
      <c r="M7388" s="32" t="n">
        <f aca="false">Sens!$L$7388+Sens!$M$7379*Sens!$M$7384</f>
        <v>34939.5886982302</v>
      </c>
    </row>
    <row r="7389" customFormat="false" ht="17.15" hidden="false" customHeight="false" outlineLevel="0" collapsed="false">
      <c r="A7389" s="5" t="s">
        <v>610</v>
      </c>
      <c r="B7389" s="0" t="s">
        <v>173</v>
      </c>
      <c r="F7389" s="36" t="n">
        <f aca="false">IF(Sens!$F$7386&gt;0,Sens!$F$7387/Sens!$F$7386,Sens!$F$7383)</f>
        <v>10.8864110021101</v>
      </c>
      <c r="G7389" s="36" t="n">
        <f aca="false">IF(Sens!$G$7386&gt;0,Sens!$G$7387/Sens!$G$7386,Sens!$G$7383)</f>
        <v>10.8864110021101</v>
      </c>
      <c r="H7389" s="36" t="n">
        <f aca="false">IF(Sens!$H$7386&gt;0,Sens!$H$7387/Sens!$H$7386,Sens!$H$7383)</f>
        <v>11.1095876691891</v>
      </c>
      <c r="I7389" s="36" t="n">
        <f aca="false">IF(Sens!$I$7386&gt;0,Sens!$I$7387/Sens!$I$7386,Sens!$I$7383)</f>
        <v>11.2881290028523</v>
      </c>
      <c r="J7389" s="36" t="n">
        <f aca="false">IF(Sens!$J$7386&gt;0,Sens!$J$7387/Sens!$J$7386,Sens!$J$7383)</f>
        <v>11.3646467172794</v>
      </c>
      <c r="K7389" s="36" t="n">
        <f aca="false">IF(Sens!$K$7386&gt;0,Sens!$K$7387/Sens!$K$7386,Sens!$K$7383)</f>
        <v>11.3968090914432</v>
      </c>
      <c r="L7389" s="36" t="n">
        <f aca="false">IF(Sens!$L$7386&gt;0,Sens!$L$7387/Sens!$L$7386,Sens!$L$7383)</f>
        <v>11.4110891181192</v>
      </c>
      <c r="M7389" s="36" t="n">
        <f aca="false">IF(Sens!$M$7386&gt;0,Sens!$M$7387/Sens!$M$7386,Sens!$M$7383)</f>
        <v>11.4148191458201</v>
      </c>
    </row>
    <row r="7390" customFormat="false" ht="17.15" hidden="false" customHeight="false" outlineLevel="0" collapsed="false">
      <c r="A7390" s="5" t="s">
        <v>611</v>
      </c>
      <c r="B7390" s="0" t="s">
        <v>173</v>
      </c>
      <c r="F7390" s="36" t="n">
        <f aca="false">IF(Sens!$F$7386&gt;0,Sens!$F$7388/Sens!$F$7386,Sens!$F$7384)</f>
        <v>1.98263481314457</v>
      </c>
      <c r="G7390" s="36" t="n">
        <f aca="false">IF(Sens!$G$7386&gt;0,Sens!$G$7388/Sens!$G$7386,Sens!$G$7384)</f>
        <v>1.98263481314457</v>
      </c>
      <c r="H7390" s="36" t="n">
        <f aca="false">IF(Sens!$H$7386&gt;0,Sens!$H$7388/Sens!$H$7386,Sens!$H$7384)</f>
        <v>2.00111160233948</v>
      </c>
      <c r="I7390" s="36" t="n">
        <f aca="false">IF(Sens!$I$7386&gt;0,Sens!$I$7388/Sens!$I$7386,Sens!$I$7384)</f>
        <v>2.01589303369541</v>
      </c>
      <c r="J7390" s="36" t="n">
        <f aca="false">IF(Sens!$J$7386&gt;0,Sens!$J$7388/Sens!$J$7386,Sens!$J$7384)</f>
        <v>2.02222793284795</v>
      </c>
      <c r="K7390" s="36" t="n">
        <f aca="false">IF(Sens!$K$7386&gt;0,Sens!$K$7388/Sens!$K$7386,Sens!$K$7384)</f>
        <v>2.02489065478573</v>
      </c>
      <c r="L7390" s="36" t="n">
        <f aca="false">IF(Sens!$L$7386&gt;0,Sens!$L$7388/Sens!$L$7386,Sens!$L$7384)</f>
        <v>2.0260728977417</v>
      </c>
      <c r="M7390" s="36" t="n">
        <f aca="false">IF(Sens!$M$7386&gt;0,Sens!$M$7388/Sens!$M$7386,Sens!$M$7384)</f>
        <v>2.02638170661685</v>
      </c>
    </row>
    <row r="7391" customFormat="false" ht="17.15" hidden="false" customHeight="false" outlineLevel="0" collapsed="false">
      <c r="A7391" s="15" t="s">
        <v>612</v>
      </c>
      <c r="B7391" s="14" t="s">
        <v>173</v>
      </c>
      <c r="C7391" s="14"/>
      <c r="D7391" s="14"/>
      <c r="E7391" s="14"/>
      <c r="F7391" s="37" t="n">
        <f aca="false">Sens!$F$7389*k_B</f>
        <v>10.7987645808025</v>
      </c>
      <c r="G7391" s="37" t="n">
        <f aca="false">Sens!$G$7389*k_B</f>
        <v>10.7987645808025</v>
      </c>
      <c r="H7391" s="37" t="n">
        <f aca="false">Sens!$H$7389*k_B</f>
        <v>11.0201444540452</v>
      </c>
      <c r="I7391" s="37" t="n">
        <f aca="false">Sens!$I$7389*k_B</f>
        <v>11.1972483526393</v>
      </c>
      <c r="J7391" s="37" t="n">
        <f aca="false">Sens!$J$7389*k_B</f>
        <v>11.2731500234653</v>
      </c>
      <c r="K7391" s="37" t="n">
        <f aca="false">Sens!$K$7389*k_B</f>
        <v>11.3050534585724</v>
      </c>
      <c r="L7391" s="37" t="n">
        <f aca="false">Sens!$L$7389*k_B</f>
        <v>11.3192185168503</v>
      </c>
      <c r="M7391" s="37" t="n">
        <f aca="false">Sens!$M$7389*k_B</f>
        <v>11.3229185141234</v>
      </c>
      <c r="N7391" s="14"/>
      <c r="O7391" s="14"/>
      <c r="P7391" s="5" t="s">
        <v>613</v>
      </c>
    </row>
    <row r="7392" customFormat="false" ht="17.15" hidden="false" customHeight="false" outlineLevel="0" collapsed="false">
      <c r="A7392" s="5" t="s">
        <v>614</v>
      </c>
      <c r="B7392" s="0" t="s">
        <v>129</v>
      </c>
      <c r="F7392" s="32" t="n">
        <f aca="false">Sens!$F$7386/2</f>
        <v>908.575</v>
      </c>
      <c r="H7392" s="32" t="n">
        <f aca="false">(Sens!$G$7386+Sens!$H$7386)/2</f>
        <v>3634.3</v>
      </c>
      <c r="I7392" s="32" t="n">
        <f aca="false">(Sens!$H$7386+Sens!$I$7386)/2</f>
        <v>7268.6</v>
      </c>
      <c r="J7392" s="32" t="n">
        <f aca="false">(Sens!$I$7386+Sens!$J$7386)/2</f>
        <v>10902.9</v>
      </c>
      <c r="K7392" s="32" t="n">
        <f aca="false">(Sens!$J$7386+Sens!$K$7386)/2</f>
        <v>14005.4835833333</v>
      </c>
      <c r="L7392" s="32" t="n">
        <f aca="false">(Sens!$K$7386+Sens!$L$7386)/2</f>
        <v>16044.6343333333</v>
      </c>
      <c r="M7392" s="32" t="n">
        <f aca="false">(Sens!$L$7386+Sens!$M$7386)/2</f>
        <v>17020.35225</v>
      </c>
    </row>
    <row r="7393" customFormat="false" ht="17.15" hidden="false" customHeight="false" outlineLevel="0" collapsed="false">
      <c r="A7393" s="1" t="s">
        <v>615</v>
      </c>
    </row>
    <row r="7394" customFormat="false" ht="17.15" hidden="false" customHeight="false" outlineLevel="0" collapsed="false">
      <c r="A7394" s="1" t="s">
        <v>616</v>
      </c>
      <c r="B7394" s="8" t="s">
        <v>86</v>
      </c>
      <c r="C7394" s="38" t="n">
        <f aca="false">Sens!$C$7377*rpm_open*Sens!$C$7378/1000</f>
        <v>2.32100535697364</v>
      </c>
      <c r="D7394" s="38" t="n">
        <f aca="false">Sens!$D$7377*rpm_open*Sens!$D$7378/1000</f>
        <v>8.70377008865116</v>
      </c>
      <c r="E7394" s="38" t="n">
        <f aca="false">Sens!$E$7377*rpm_open*Sens!$E$7378/1000</f>
        <v>8.51035297557002</v>
      </c>
      <c r="F7394" s="38" t="n">
        <f aca="false">(mw_open*rpm_open+Sens!$F$7392*Sens!$F$7391)*Sens!$F$7378/1000</f>
        <v>14.9634336447205</v>
      </c>
      <c r="G7394" s="38" t="n">
        <f aca="false">Sens!$E$7394+Sens!$F$7394</f>
        <v>23.4737866202905</v>
      </c>
      <c r="H7394" s="38" t="n">
        <f aca="false">(mw_open*rpm_open+Sens!$H$7392*Sens!$H$7391)/1000</f>
        <v>60.1658907497746</v>
      </c>
      <c r="I7394" s="38" t="n">
        <f aca="false">(mw_open*rpm_open+Sens!$I$7392*Sens!$I$7391)/1000</f>
        <v>101.503699136432</v>
      </c>
      <c r="J7394" s="38" t="n">
        <f aca="false">(mw_open*rpm_open+Sens!$J$7392*Sens!$J$7391)/1000</f>
        <v>143.025407151278</v>
      </c>
      <c r="K7394" s="38" t="n">
        <f aca="false">(mw_open*rpm_open+Sens!$K$7392*Sens!$K$7391)/1000</f>
        <v>178.44812038318</v>
      </c>
      <c r="L7394" s="38" t="n">
        <f aca="false">(mw_open*rpm_open+Sens!$L$7392*Sens!$L$7391)/1000</f>
        <v>201.728101802396</v>
      </c>
      <c r="M7394" s="38" t="n">
        <f aca="false">(mw_open*rpm_open+Sens!$M$7392*Sens!$M$7391)/1000</f>
        <v>212.835441368865</v>
      </c>
      <c r="N7394" s="38" t="n">
        <f aca="false">Sens!$N$7377*rpm_open*Sens!$N$7378/1000</f>
        <v>3.04631953102791</v>
      </c>
      <c r="O7394" s="38" t="n">
        <f aca="false">Sens!$O$7377*rpm_open*Sens!$O$7378/1000</f>
        <v>5.65745055762326</v>
      </c>
      <c r="P7394" s="5" t="s">
        <v>617</v>
      </c>
    </row>
    <row r="7395" customFormat="false" ht="17.15" hidden="false" customHeight="false" outlineLevel="0" collapsed="false">
      <c r="A7395" s="5" t="s">
        <v>618</v>
      </c>
      <c r="B7395" s="0" t="s">
        <v>173</v>
      </c>
      <c r="C7395" s="36" t="n">
        <f aca="false">Sens!$C$7394*1000/(Sens!$C$7377*Sens!$C$7378)</f>
        <v>9.67085565405685</v>
      </c>
      <c r="D7395" s="36" t="n">
        <f aca="false">Sens!$D$7394*1000/(Sens!$D$7377*Sens!$D$7378)</f>
        <v>9.67085565405685</v>
      </c>
      <c r="E7395" s="36" t="n">
        <f aca="false">Sens!$E$7394*1000/(Sens!$E$7377*Sens!$E$7378)</f>
        <v>9.67085565405685</v>
      </c>
      <c r="F7395" s="36" t="n">
        <f aca="false">Sens!$F$7394*1000/(Sens!$F$7377*Sens!$F$7378)</f>
        <v>10.0137581588017</v>
      </c>
      <c r="G7395" s="36" t="n">
        <f aca="false">Sens!$G$7394*1000/(Sens!$G$7377*Sens!$G$7378)</f>
        <v>9.88666562928478</v>
      </c>
      <c r="H7395" s="36" t="n">
        <f aca="false">Sens!$H$7394*1000/(Sens!$H$7377*Sens!$H$7378)</f>
        <v>10.5290045586992</v>
      </c>
      <c r="I7395" s="36" t="n">
        <f aca="false">Sens!$I$7394*1000/(Sens!$I$7377*Sens!$I$7378)</f>
        <v>10.8576363451674</v>
      </c>
      <c r="J7395" s="36" t="n">
        <f aca="false">Sens!$J$7394*1000/(Sens!$J$7377*Sens!$J$7378)</f>
        <v>11.0164452588619</v>
      </c>
      <c r="K7395" s="36" t="n">
        <f aca="false">Sens!$K$7394*1000/(Sens!$K$7377*Sens!$K$7378)</f>
        <v>11.0937367508227</v>
      </c>
      <c r="L7395" s="36" t="n">
        <f aca="false">Sens!$L$7394*1000/(Sens!$L$7377*Sens!$L$7378)</f>
        <v>11.1300508519168</v>
      </c>
      <c r="M7395" s="36" t="n">
        <f aca="false">Sens!$M$7394*1000/(Sens!$M$7377*Sens!$M$7378)</f>
        <v>11.1430113216297</v>
      </c>
      <c r="N7395" s="36" t="n">
        <f aca="false">Sens!$N$7394*1000/(Sens!$N$7377*Sens!$N$7378)</f>
        <v>9.67085565405685</v>
      </c>
      <c r="O7395" s="36" t="n">
        <f aca="false">Sens!$O$7394*1000/(Sens!$O$7377*Sens!$O$7378)</f>
        <v>9.67085565405685</v>
      </c>
    </row>
    <row r="7396" customFormat="false" ht="17.15" hidden="false" customHeight="false" outlineLevel="0" collapsed="false">
      <c r="A7396" s="0" t="s">
        <v>619</v>
      </c>
      <c r="B7396" s="0" t="s">
        <v>86</v>
      </c>
      <c r="C7396" s="38" t="n">
        <f aca="false">Sens!$C$7377/ext_sh*(ox_open+rent_mw)*Sens!$C$7378/1000</f>
        <v>0.642569210675032</v>
      </c>
      <c r="D7396" s="38" t="n">
        <f aca="false">Sens!$D$7377/ext_sh*(ox_open+rent_mw)*Sens!$D$7378/1000</f>
        <v>2.40963454003137</v>
      </c>
      <c r="E7396" s="38" t="n">
        <f aca="false">Sens!$E$7377/ext_sh*(ox_open+rent_mw)*Sens!$E$7378/1000</f>
        <v>2.35608710580845</v>
      </c>
      <c r="F7396" s="38" t="n">
        <f aca="false">((mw_open*ox_open+Sens!$F$7392*Sens!$F$7390)/ext_sh+Sens!$F$7377/ext_sh*rent_mw)*Sens!$F$7378/1000</f>
        <v>4.05421991106232</v>
      </c>
      <c r="G7396" s="38" t="n">
        <f aca="false">Sens!$E$7396+Sens!$F$7396</f>
        <v>6.41030701687077</v>
      </c>
      <c r="H7396" s="38" t="n">
        <f aca="false">((mw_open*ox_open+Sens!$H$7392*Sens!$H$7390)/ext_sh+Sens!$H$7377/ext_sh*rent_mw)*Sens!$H$7378/1000</f>
        <v>15.8108975546616</v>
      </c>
      <c r="I7396" s="38" t="n">
        <f aca="false">((mw_open*ox_open+Sens!$I$7392*Sens!$I$7390)/ext_sh+Sens!$I$7377/ext_sh*rent_mw)*Sens!$I$7378/1000</f>
        <v>26.1871623400817</v>
      </c>
      <c r="J7396" s="38" t="n">
        <f aca="false">((mw_open*ox_open+Sens!$J$7392*Sens!$J$7390)/ext_sh+Sens!$J$7377/ext_sh*rent_mw)*Sens!$J$7378/1000</f>
        <v>36.5826128954935</v>
      </c>
      <c r="K7396" s="38" t="n">
        <f aca="false">((mw_open*ox_open+Sens!$K$7392*Sens!$K$7390)/ext_sh+Sens!$K$7377/ext_sh*rent_mw)*Sens!$K$7378/1000</f>
        <v>45.4546361137628</v>
      </c>
      <c r="L7396" s="38" t="n">
        <f aca="false">((mw_open*ox_open+Sens!$L$7392*Sens!$L$7390)/ext_sh+Sens!$L$7377/ext_sh*rent_mw)*Sens!$L$7378/1000</f>
        <v>51.2855695554452</v>
      </c>
      <c r="M7396" s="38" t="n">
        <f aca="false">((mw_open*ox_open+Sens!$M$7392*Sens!$M$7390)/ext_sh+Sens!$M$7377/ext_sh*rent_mw)*Sens!$M$7378/1000</f>
        <v>54.0722927838398</v>
      </c>
      <c r="N7396" s="38" t="n">
        <f aca="false">Sens!$N$7377/ext_sh*(ox_open+rent_mw)*Sens!$N$7378/1000</f>
        <v>0.84337208901098</v>
      </c>
      <c r="O7396" s="38" t="n">
        <f aca="false">Sens!$O$7377/ext_sh*(ox_open+rent_mw)*Sens!$O$7378/1000</f>
        <v>1.56626245102039</v>
      </c>
    </row>
    <row r="7397" customFormat="false" ht="17.15" hidden="false" customHeight="false" outlineLevel="0" collapsed="false">
      <c r="A7397" s="0" t="s">
        <v>620</v>
      </c>
      <c r="B7397" s="0" t="s">
        <v>86</v>
      </c>
      <c r="C7397" s="38" t="n">
        <f aca="false">Q!$D$7</f>
        <v>107.556</v>
      </c>
      <c r="D7397" s="38" t="n">
        <f aca="false">Q!$E$7</f>
        <v>128.725</v>
      </c>
      <c r="E7397" s="38" t="n">
        <f aca="false">Q!$P$7</f>
        <v>79.819</v>
      </c>
      <c r="N7397" s="38" t="n">
        <f aca="false">Q!$N$7</f>
        <v>60.14</v>
      </c>
      <c r="O7397" s="38" t="n">
        <f aca="false">Q!$O$7</f>
        <v>68.585</v>
      </c>
    </row>
    <row r="7398" customFormat="false" ht="17.15" hidden="false" customHeight="false" outlineLevel="0" collapsed="false">
      <c r="A7398" s="1" t="s">
        <v>621</v>
      </c>
      <c r="B7398" s="8" t="s">
        <v>86</v>
      </c>
      <c r="C7398" s="38" t="n">
        <f aca="false">Sens!$C$7397-Sens!$C$7394</f>
        <v>105.234994643026</v>
      </c>
      <c r="D7398" s="38" t="n">
        <f aca="false">Sens!$D$7397-Sens!$D$7394</f>
        <v>120.021229911349</v>
      </c>
      <c r="E7398" s="38" t="n">
        <f aca="false">Sens!$E$7397-Sens!$E$7394</f>
        <v>71.30864702443</v>
      </c>
      <c r="F7398" s="38" t="n">
        <f aca="false">Sens!$O$7398*(1+Sens!$F$7399)</f>
        <v>71.7692997942464</v>
      </c>
      <c r="G7398" s="38" t="n">
        <f aca="false">Sens!$E$7398+Sens!$F$7398</f>
        <v>143.077946818676</v>
      </c>
      <c r="H7398" s="38" t="n">
        <f aca="false">Sens!$G$7398*(1+Sens!$H$7399)</f>
        <v>161.017077079203</v>
      </c>
      <c r="I7398" s="38" t="n">
        <f aca="false">Sens!$H$7398*(1+Sens!$I$7399)</f>
        <v>178.769759521457</v>
      </c>
      <c r="J7398" s="38" t="n">
        <f aca="false">Sens!$I$7398*(1+Sens!$J$7399)</f>
        <v>195.775538045907</v>
      </c>
      <c r="K7398" s="38" t="n">
        <f aca="false">Sens!$J$7398*(1+Sens!$K$7399)</f>
        <v>211.43758108958</v>
      </c>
      <c r="L7398" s="38" t="n">
        <f aca="false">Sens!$K$7398*(1+Sens!$L$7399)</f>
        <v>228.352587576746</v>
      </c>
      <c r="M7398" s="38" t="n">
        <f aca="false">Sens!$L$7398*(1+Sens!$M$7399)</f>
        <v>246.620794582886</v>
      </c>
      <c r="N7398" s="38" t="n">
        <f aca="false">Sens!$N$7397-Sens!$N$7394</f>
        <v>57.0936804689721</v>
      </c>
      <c r="O7398" s="38" t="n">
        <f aca="false">Sens!$O$7397-Sens!$O$7394</f>
        <v>62.9275494423768</v>
      </c>
      <c r="P7398" s="5" t="s">
        <v>622</v>
      </c>
    </row>
    <row r="7399" customFormat="false" ht="17.15" hidden="false" customHeight="false" outlineLevel="0" collapsed="false">
      <c r="A7399" s="0" t="s">
        <v>623</v>
      </c>
      <c r="B7399" s="0" t="s">
        <v>52</v>
      </c>
      <c r="D7399" s="13" t="n">
        <f aca="false">Sens!$D$7398/Sens!$C$7398-1</f>
        <v>0.140506827776062</v>
      </c>
      <c r="E7399" s="13" t="n">
        <f aca="false">Sens!$E$7398/Sens!$N$7398-1</f>
        <v>0.248976181579029</v>
      </c>
      <c r="F7399" s="13" t="n">
        <f aca="false">Sens!$D$7399</f>
        <v>0.140506827776062</v>
      </c>
      <c r="G7399" s="13" t="n">
        <f aca="false">Sens!$G$7398/Sens!$D$7398-1</f>
        <v>0.19210532106993</v>
      </c>
      <c r="H7399" s="13" t="n">
        <f aca="false">Sens!$F$7399+(g_awso_lt-Sens!$F$7399)*1/4</f>
        <v>0.125380120832046</v>
      </c>
      <c r="I7399" s="13" t="n">
        <f aca="false">Sens!$F$7399+(g_awso_lt-Sens!$F$7399)*2/4</f>
        <v>0.110253413888031</v>
      </c>
      <c r="J7399" s="13" t="n">
        <f aca="false">Sens!$F$7399+(g_awso_lt-Sens!$F$7399)*3/4</f>
        <v>0.0951267069440154</v>
      </c>
      <c r="K7399" s="13" t="n">
        <f aca="false">Sens!$F$7399+(g_awso_lt-Sens!$F$7399)*4/4</f>
        <v>0.08</v>
      </c>
      <c r="L7399" s="13" t="n">
        <f aca="false">g_awso_lt</f>
        <v>0.08</v>
      </c>
      <c r="M7399" s="13" t="n">
        <f aca="false">g_awso_lt</f>
        <v>0.08</v>
      </c>
      <c r="P7399" s="5" t="s">
        <v>624</v>
      </c>
    </row>
    <row r="7400" customFormat="false" ht="17.15" hidden="false" customHeight="false" outlineLevel="0" collapsed="false">
      <c r="A7400" s="1" t="s">
        <v>625</v>
      </c>
    </row>
    <row r="7401" customFormat="false" ht="17.15" hidden="false" customHeight="false" outlineLevel="0" collapsed="false">
      <c r="A7401" s="0" t="s">
        <v>626</v>
      </c>
      <c r="B7401" s="0" t="s">
        <v>86</v>
      </c>
      <c r="F7401" s="38" t="n">
        <f aca="false">cx_rt*Sens!$F$7366+cx_awso*Sens!$F$7398</f>
        <v>34.9734495387866</v>
      </c>
    </row>
    <row r="7402" customFormat="false" ht="17.15" hidden="false" customHeight="false" outlineLevel="0" collapsed="false">
      <c r="A7402" s="0" t="s">
        <v>627</v>
      </c>
      <c r="B7402" s="0" t="s">
        <v>52</v>
      </c>
      <c r="C7402" s="13" t="n">
        <f aca="false">tk_cx_h100/(tk_cx_h100+tk_fac*(1-colo_sh))</f>
        <v>0.730756458006641</v>
      </c>
      <c r="D7402" s="13" t="n">
        <f aca="false">tk_cx_h100/(tk_cx_h100+tk_fac*(1-colo_sh))</f>
        <v>0.730756458006641</v>
      </c>
      <c r="E7402" s="13" t="n">
        <f aca="false">Sens!$F$7402</f>
        <v>0.760792334328868</v>
      </c>
      <c r="F7402" s="13" t="n">
        <f aca="false">Sens!$F$7385/(Sens!$F$7385+tk_fac*(1-colo_sh))</f>
        <v>0.760792334328868</v>
      </c>
      <c r="G7402" s="13" t="n">
        <f aca="false">Sens!$G$7385/(Sens!$G$7385+tk_fac*(1-colo_sh))</f>
        <v>0.760792334328868</v>
      </c>
      <c r="H7402" s="13" t="n">
        <f aca="false">Sens!$H$7385/(Sens!$H$7385+tk_fac*(1-colo_sh))</f>
        <v>0.768110668862996</v>
      </c>
      <c r="I7402" s="13" t="n">
        <f aca="false">Sens!$I$7385/(Sens!$I$7385+tk_fac*(1-colo_sh))</f>
        <v>0.77499450139483</v>
      </c>
      <c r="J7402" s="13" t="n">
        <f aca="false">Sens!$J$7385/(Sens!$J$7385+tk_fac*(1-colo_sh))</f>
        <v>0.77499450139483</v>
      </c>
      <c r="K7402" s="13" t="n">
        <f aca="false">Sens!$K$7385/(Sens!$K$7385+tk_fac*(1-colo_sh))</f>
        <v>0.77499450139483</v>
      </c>
      <c r="L7402" s="13" t="n">
        <f aca="false">Sens!$L$7385/(Sens!$L$7385+tk_fac*(1-colo_sh))</f>
        <v>0.77499450139483</v>
      </c>
      <c r="M7402" s="13" t="n">
        <f aca="false">Sens!$M$7385/(Sens!$M$7385+tk_fac*(1-colo_sh))</f>
        <v>0.77499450139483</v>
      </c>
    </row>
    <row r="7403" customFormat="false" ht="17.15" hidden="false" customHeight="false" outlineLevel="0" collapsed="false">
      <c r="A7403" s="1" t="s">
        <v>628</v>
      </c>
      <c r="B7403" s="8" t="s">
        <v>86</v>
      </c>
      <c r="C7403" s="38" t="n">
        <f aca="false">Q!$D$46-cx_rt*Q!$D$16-cx_awso*Sens!$C$7398</f>
        <v>25.2781053077374</v>
      </c>
      <c r="D7403" s="38" t="n">
        <f aca="false">Q!$E$46-cx_rt*Q!$E$16-cx_awso*Sens!$D$7398</f>
        <v>69.5686316310026</v>
      </c>
      <c r="E7403" s="38" t="n">
        <f aca="false">Q!$P$46-cx_rt*Q!$P$16-cx_awso*Sens!$E$7398</f>
        <v>64.1899206485108</v>
      </c>
      <c r="F7403" s="38" t="n">
        <f aca="false">MAX(Sens!$F$7380*(Sens!$F$7385+tk_fac*(1-colo_sh))/1000,capex_g26-Q!$P$46-Sens!$F$7401)</f>
        <v>96.2481299895</v>
      </c>
      <c r="G7403" s="38" t="n">
        <f aca="false">Sens!$E$7403+Sens!$F$7403</f>
        <v>160.438050638011</v>
      </c>
      <c r="H7403" s="38" t="n">
        <f aca="false">Sens!$H$7380*(Sens!$H$7385+tk_fac*(1-colo_sh))/1000+Sens!$H$7404</f>
        <v>198.57136494475</v>
      </c>
      <c r="I7403" s="38" t="n">
        <f aca="false">Sens!$I$7380*(Sens!$I$7385+tk_fac*(1-colo_sh))/1000+Sens!$I$7404</f>
        <v>204.6464699105</v>
      </c>
      <c r="J7403" s="38" t="n">
        <f aca="false">Sens!$J$7380*(Sens!$J$7385+tk_fac*(1-colo_sh))/1000+Sens!$J$7404</f>
        <v>209.8832381105</v>
      </c>
      <c r="K7403" s="38" t="n">
        <f aca="false">Sens!$K$7380*(Sens!$K$7385+tk_fac*(1-colo_sh))/1000+Sens!$K$7404</f>
        <v>155.238385275201</v>
      </c>
      <c r="L7403" s="38" t="n">
        <f aca="false">Sens!$L$7380*(Sens!$L$7385+tk_fac*(1-colo_sh))/1000+Sens!$L$7404</f>
        <v>132.014141639902</v>
      </c>
      <c r="M7403" s="38" t="n">
        <f aca="false">Sens!$M$7380*(Sens!$M$7385+tk_fac*(1-colo_sh))/1000+Sens!$M$7404</f>
        <v>132.230981659852</v>
      </c>
      <c r="P7403" s="5" t="s">
        <v>629</v>
      </c>
      <c r="R7403" s="38" t="n">
        <f aca="false">Q!$C$46-cx_rt*Q!$C$16-cx_awso*(Q!$C$7-mw_ye23/2*rpm_open/1000)</f>
        <v>1.50429979529945</v>
      </c>
      <c r="S7403" s="38" t="n">
        <f aca="false">Sens!$C$7403</f>
        <v>25.2781053077374</v>
      </c>
      <c r="T7403" s="38" t="n">
        <f aca="false">Sens!$D$7403</f>
        <v>69.5686316310026</v>
      </c>
      <c r="U7403" s="38" t="n">
        <f aca="false">Sens!$G$7403</f>
        <v>160.438050638011</v>
      </c>
      <c r="V7403" s="38" t="n">
        <f aca="false">Sens!$H$7403</f>
        <v>198.57136494475</v>
      </c>
      <c r="W7403" s="38" t="n">
        <f aca="false">Sens!$I$7403</f>
        <v>204.6464699105</v>
      </c>
      <c r="X7403" s="38" t="n">
        <f aca="false">Sens!$J$7403</f>
        <v>209.8832381105</v>
      </c>
      <c r="Y7403" s="38" t="n">
        <f aca="false">Sens!$K$7403</f>
        <v>155.238385275201</v>
      </c>
      <c r="Z7403" s="38" t="n">
        <f aca="false">Sens!$L$7403</f>
        <v>132.014141639902</v>
      </c>
      <c r="AA7403" s="38" t="n">
        <f aca="false">Sens!$M$7403</f>
        <v>132.230981659852</v>
      </c>
    </row>
    <row r="7404" customFormat="false" ht="17.15" hidden="false" customHeight="false" outlineLevel="0" collapsed="false">
      <c r="A7404" s="0" t="s">
        <v>630</v>
      </c>
      <c r="B7404" s="0" t="s">
        <v>86</v>
      </c>
      <c r="H7404" s="38" t="n">
        <f aca="false">SUMPRODUCT(--(Sens!$R$7373:$AA$7373=2027-tk_life),Sens!$R$7380:$AA$7380)*Sens!$H$7385/1000</f>
        <v>0</v>
      </c>
      <c r="I7404" s="38" t="n">
        <f aca="false">SUMPRODUCT(--(Sens!$R$7373:$AA$7373=2028-tk_life),Sens!$R$7380:$AA$7380)*Sens!$I$7385/1000</f>
        <v>0</v>
      </c>
      <c r="J7404" s="38" t="n">
        <f aca="false">SUMPRODUCT(--(Sens!$R$7373:$AA$7373=2029-tk_life),Sens!$R$7380:$AA$7380)*Sens!$J$7385/1000</f>
        <v>5.2367682</v>
      </c>
      <c r="K7404" s="38" t="n">
        <f aca="false">SUMPRODUCT(--(Sens!$R$7373:$AA$7373=2030-tk_life),Sens!$R$7380:$AA$7380)*Sens!$K$7385/1000</f>
        <v>10.4735364</v>
      </c>
      <c r="L7404" s="38" t="n">
        <f aca="false">SUMPRODUCT(--(Sens!$R$7373:$AA$7373=2031-tk_life),Sens!$R$7380:$AA$7380)*Sens!$L$7385/1000</f>
        <v>47.1309138</v>
      </c>
      <c r="M7404" s="38" t="n">
        <f aca="false">SUMPRODUCT(--(Sens!$R$7373:$AA$7373=2032-tk_life),Sens!$R$7380:$AA$7380)*Sens!$M$7385/1000</f>
        <v>107.22937485525</v>
      </c>
    </row>
    <row r="7405" customFormat="false" ht="17.15" hidden="false" customHeight="false" outlineLevel="0" collapsed="false">
      <c r="A7405" s="0" t="s">
        <v>631</v>
      </c>
      <c r="B7405" s="0" t="s">
        <v>86</v>
      </c>
      <c r="C7405" s="38" t="n">
        <f aca="false">MIN(Sens!$C$7403,Sens!$C$7380*(tk_cx_h100+tk_fac*(1-colo_sh))/1000)</f>
        <v>11.2938642</v>
      </c>
      <c r="D7405" s="38" t="n">
        <f aca="false">MIN(Sens!$D$7403,Sens!$D$7380*(tk_cx_h100+tk_fac*(1-colo_sh))/1000)</f>
        <v>50.8223889</v>
      </c>
      <c r="E7405" s="38" t="n">
        <f aca="false">MIN(Sens!$E$7403,Sens!$E$7380*(Sens!$F$7385+tk_fac*(1-colo_sh))/1000)</f>
        <v>33.8985792</v>
      </c>
      <c r="F7405" s="38" t="n">
        <f aca="false">Sens!$F$7403</f>
        <v>96.2481299895</v>
      </c>
      <c r="G7405" s="38" t="n">
        <f aca="false">Sens!$E$7405+Sens!$F$7405</f>
        <v>130.1467091895</v>
      </c>
      <c r="H7405" s="38" t="n">
        <f aca="false">Sens!$H$7403</f>
        <v>198.57136494475</v>
      </c>
      <c r="I7405" s="38" t="n">
        <f aca="false">Sens!$I$7403</f>
        <v>204.6464699105</v>
      </c>
      <c r="J7405" s="38" t="n">
        <f aca="false">Sens!$J$7403</f>
        <v>209.8832381105</v>
      </c>
      <c r="K7405" s="38" t="n">
        <f aca="false">Sens!$K$7403</f>
        <v>155.238385275201</v>
      </c>
      <c r="L7405" s="38" t="n">
        <f aca="false">Sens!$L$7403</f>
        <v>132.014141639902</v>
      </c>
      <c r="M7405" s="38" t="n">
        <f aca="false">Sens!$M$7403</f>
        <v>132.230981659852</v>
      </c>
      <c r="P7405" s="5" t="s">
        <v>632</v>
      </c>
      <c r="R7405" s="38" t="n">
        <f aca="false">MIN(Sens!$R$7403,Sens!$R$7380*(tk_cx_h100+tk_fac*(1-colo_sh))/1000)</f>
        <v>1.50429979529945</v>
      </c>
      <c r="S7405" s="38" t="n">
        <f aca="false">Sens!$C$7405</f>
        <v>11.2938642</v>
      </c>
      <c r="T7405" s="38" t="n">
        <f aca="false">Sens!$D$7405</f>
        <v>50.8223889</v>
      </c>
      <c r="U7405" s="38" t="n">
        <f aca="false">Sens!$G$7405</f>
        <v>130.1467091895</v>
      </c>
      <c r="V7405" s="38" t="n">
        <f aca="false">Sens!$H$7405</f>
        <v>198.57136494475</v>
      </c>
      <c r="W7405" s="38" t="n">
        <f aca="false">Sens!$I$7405</f>
        <v>204.6464699105</v>
      </c>
      <c r="X7405" s="38" t="n">
        <f aca="false">Sens!$J$7405</f>
        <v>209.8832381105</v>
      </c>
      <c r="Y7405" s="38" t="n">
        <f aca="false">Sens!$K$7405</f>
        <v>155.238385275201</v>
      </c>
      <c r="Z7405" s="38" t="n">
        <f aca="false">Sens!$L$7405</f>
        <v>132.014141639902</v>
      </c>
      <c r="AA7405" s="38" t="n">
        <f aca="false">Sens!$M$7405</f>
        <v>132.230981659852</v>
      </c>
    </row>
    <row r="7406" customFormat="false" ht="17.15" hidden="false" customHeight="false" outlineLevel="0" collapsed="false">
      <c r="A7406" s="5" t="s">
        <v>633</v>
      </c>
      <c r="B7406" s="0" t="s">
        <v>86</v>
      </c>
      <c r="C7406" s="38" t="n">
        <f aca="false">Sens!$C$7403-Sens!$C$7405</f>
        <v>13.9842411077374</v>
      </c>
      <c r="D7406" s="38" t="n">
        <f aca="false">Sens!$D$7403-Sens!$D$7405</f>
        <v>18.7462427310026</v>
      </c>
      <c r="E7406" s="38" t="n">
        <f aca="false">Sens!$E$7403-Sens!$E$7405</f>
        <v>30.2913414485108</v>
      </c>
      <c r="F7406" s="38" t="n">
        <f aca="false">Sens!$F$7403-Sens!$F$7405</f>
        <v>0</v>
      </c>
      <c r="G7406" s="38" t="n">
        <f aca="false">Sens!$G$7403-Sens!$G$7405</f>
        <v>30.2913414485108</v>
      </c>
      <c r="H7406" s="38" t="n">
        <f aca="false">Sens!$H$7403-Sens!$H$7405</f>
        <v>0</v>
      </c>
      <c r="I7406" s="38" t="n">
        <f aca="false">Sens!$I$7403-Sens!$I$7405</f>
        <v>0</v>
      </c>
      <c r="J7406" s="38" t="n">
        <f aca="false">Sens!$J$7403-Sens!$J$7405</f>
        <v>0</v>
      </c>
      <c r="K7406" s="38" t="n">
        <f aca="false">Sens!$K$7403-Sens!$K$7405</f>
        <v>0</v>
      </c>
      <c r="L7406" s="38" t="n">
        <f aca="false">Sens!$L$7403-Sens!$L$7405</f>
        <v>0</v>
      </c>
      <c r="M7406" s="38" t="n">
        <f aca="false">Sens!$M$7403-Sens!$M$7405</f>
        <v>0</v>
      </c>
    </row>
    <row r="7407" customFormat="false" ht="17.15" hidden="false" customHeight="false" outlineLevel="0" collapsed="false">
      <c r="A7407" s="5" t="s">
        <v>634</v>
      </c>
      <c r="B7407" s="0" t="s">
        <v>86</v>
      </c>
      <c r="C7407" s="38" t="n">
        <f aca="false">Sens!$C$7405*Sens!$C$7402</f>
        <v>8.2530642</v>
      </c>
      <c r="D7407" s="38" t="n">
        <f aca="false">Sens!$D$7405*Sens!$D$7402</f>
        <v>37.1387889</v>
      </c>
      <c r="E7407" s="38" t="n">
        <f aca="false">Sens!$E$7405*Sens!$E$7402</f>
        <v>25.7897792</v>
      </c>
      <c r="F7407" s="38" t="n">
        <f aca="false">Sens!$F$7405*Sens!$F$7402</f>
        <v>73.2248394895</v>
      </c>
      <c r="G7407" s="38" t="n">
        <f aca="false">Sens!$E$7407+Sens!$F$7407</f>
        <v>99.0146186895</v>
      </c>
      <c r="H7407" s="38" t="n">
        <f aca="false">(Sens!$H$7405-Sens!$H$7404)*Sens!$H$7402+Sens!$H$7404</f>
        <v>152.52478394475</v>
      </c>
      <c r="I7407" s="38" t="n">
        <f aca="false">(Sens!$I$7405-Sens!$I$7404)*Sens!$I$7402+Sens!$I$7404</f>
        <v>158.5998889105</v>
      </c>
      <c r="J7407" s="38" t="n">
        <f aca="false">(Sens!$J$7405-Sens!$J$7404)*Sens!$J$7402+Sens!$J$7404</f>
        <v>163.8366571105</v>
      </c>
      <c r="K7407" s="38" t="n">
        <f aca="false">(Sens!$K$7405-Sens!$K$7404)*Sens!$K$7402+Sens!$K$7404</f>
        <v>122.665498273534</v>
      </c>
      <c r="L7407" s="38" t="n">
        <f aca="false">(Sens!$L$7405-Sens!$L$7404)*Sens!$L$7402+Sens!$L$7404</f>
        <v>112.914948636568</v>
      </c>
      <c r="M7407" s="38" t="n">
        <f aca="false">(Sens!$M$7405-Sens!$M$7404)*Sens!$M$7402+Sens!$M$7404</f>
        <v>126.605482654852</v>
      </c>
      <c r="R7407" s="38" t="n">
        <f aca="false">Sens!$R$7405*Sens!$C$7402</f>
        <v>1.09927679019314</v>
      </c>
      <c r="S7407" s="38" t="n">
        <f aca="false">Sens!$C$7407</f>
        <v>8.2530642</v>
      </c>
      <c r="T7407" s="38" t="n">
        <f aca="false">Sens!$D$7407</f>
        <v>37.1387889</v>
      </c>
      <c r="U7407" s="38" t="n">
        <f aca="false">Sens!$G$7407</f>
        <v>99.0146186895</v>
      </c>
      <c r="V7407" s="38" t="n">
        <f aca="false">Sens!$H$7407</f>
        <v>152.52478394475</v>
      </c>
      <c r="W7407" s="38" t="n">
        <f aca="false">Sens!$I$7407</f>
        <v>158.5998889105</v>
      </c>
      <c r="X7407" s="38" t="n">
        <f aca="false">Sens!$J$7407</f>
        <v>163.8366571105</v>
      </c>
      <c r="Y7407" s="38" t="n">
        <f aca="false">Sens!$K$7407</f>
        <v>122.665498273534</v>
      </c>
      <c r="Z7407" s="38" t="n">
        <f aca="false">Sens!$L$7407</f>
        <v>112.914948636568</v>
      </c>
      <c r="AA7407" s="38" t="n">
        <f aca="false">Sens!$M$7407</f>
        <v>126.605482654852</v>
      </c>
    </row>
    <row r="7408" customFormat="false" ht="15" hidden="false" customHeight="false" outlineLevel="0" collapsed="false">
      <c r="A7408" s="5" t="s">
        <v>635</v>
      </c>
      <c r="B7408" s="0" t="s">
        <v>86</v>
      </c>
      <c r="C7408" s="38" t="n">
        <f aca="false">Sens!$C$7405-Sens!$C$7407</f>
        <v>3.0408</v>
      </c>
      <c r="D7408" s="38" t="n">
        <f aca="false">Sens!$D$7405-Sens!$D$7407</f>
        <v>13.6836</v>
      </c>
      <c r="E7408" s="38" t="n">
        <f aca="false">Sens!$E$7405-Sens!$E$7407</f>
        <v>8.1088</v>
      </c>
      <c r="F7408" s="38" t="n">
        <f aca="false">Sens!$F$7405-Sens!$F$7407</f>
        <v>23.0232905</v>
      </c>
      <c r="G7408" s="38" t="n">
        <f aca="false">Sens!$G$7405-Sens!$G$7407</f>
        <v>31.1320905</v>
      </c>
      <c r="H7408" s="38" t="n">
        <f aca="false">Sens!$H$7405-Sens!$H$7407</f>
        <v>46.046581</v>
      </c>
      <c r="I7408" s="38" t="n">
        <f aca="false">Sens!$I$7405-Sens!$I$7407</f>
        <v>46.046581</v>
      </c>
      <c r="J7408" s="38" t="n">
        <f aca="false">Sens!$J$7405-Sens!$J$7407</f>
        <v>46.046581</v>
      </c>
      <c r="K7408" s="38" t="n">
        <f aca="false">Sens!$K$7405-Sens!$K$7407</f>
        <v>32.5728870016667</v>
      </c>
      <c r="L7408" s="38" t="n">
        <f aca="false">Sens!$L$7405-Sens!$L$7407</f>
        <v>19.0991930033334</v>
      </c>
      <c r="M7408" s="38" t="n">
        <f aca="false">Sens!$M$7405-Sens!$M$7407</f>
        <v>5.62549900499998</v>
      </c>
      <c r="R7408" s="38" t="n">
        <f aca="false">Sens!$R$7405-Sens!$R$7407</f>
        <v>0.405023005106309</v>
      </c>
      <c r="S7408" s="38" t="n">
        <f aca="false">Sens!$S$7405-Sens!$S$7407</f>
        <v>3.0408</v>
      </c>
      <c r="T7408" s="38" t="n">
        <f aca="false">Sens!$T$7405-Sens!$T$7407</f>
        <v>13.6836</v>
      </c>
      <c r="U7408" s="38" t="n">
        <f aca="false">Sens!$U$7405-Sens!$U$7407</f>
        <v>31.1320905</v>
      </c>
      <c r="V7408" s="38" t="n">
        <f aca="false">Sens!$V$7405-Sens!$V$7407</f>
        <v>46.046581</v>
      </c>
      <c r="W7408" s="38" t="n">
        <f aca="false">Sens!$W$7405-Sens!$W$7407</f>
        <v>46.046581</v>
      </c>
      <c r="X7408" s="38" t="n">
        <f aca="false">Sens!$X$7405-Sens!$X$7407</f>
        <v>46.046581</v>
      </c>
      <c r="Y7408" s="38" t="n">
        <f aca="false">Sens!$Y$7405-Sens!$Y$7407</f>
        <v>32.5728870016667</v>
      </c>
      <c r="Z7408" s="38" t="n">
        <f aca="false">Sens!$Z$7405-Sens!$Z$7407</f>
        <v>19.0991930033334</v>
      </c>
      <c r="AA7408" s="38" t="n">
        <f aca="false">Sens!$AA$7405-Sens!$AA$7407</f>
        <v>5.62549900499998</v>
      </c>
    </row>
    <row r="7409" customFormat="false" ht="17.15" hidden="false" customHeight="false" outlineLevel="0" collapsed="false">
      <c r="A7409" s="0" t="s">
        <v>636</v>
      </c>
      <c r="B7409" s="0" t="s">
        <v>52</v>
      </c>
      <c r="C7409" s="13" t="n">
        <f aca="false">Sens!$C$7403/Sens!$C$7525</f>
        <v>0.325505489553393</v>
      </c>
      <c r="D7409" s="13" t="n">
        <f aca="false">Sens!$D$7403/Sens!$D$7525</f>
        <v>0.54214956071542</v>
      </c>
      <c r="E7409" s="13" t="n">
        <f aca="false">Sens!$E$7403/Sens!$E$7525</f>
        <v>0.666492790452817</v>
      </c>
      <c r="F7409" s="13" t="n">
        <f aca="false">Sens!$F$7403/Sens!$F$7525</f>
        <v>0.733477910687338</v>
      </c>
      <c r="G7409" s="13" t="n">
        <f aca="false">Sens!$G$7403/Sens!$G$7525</f>
        <v>0.705124321514523</v>
      </c>
      <c r="H7409" s="13" t="n">
        <f aca="false">Sens!$H$7403/Sens!$H$7525</f>
        <v>0.726376041178204</v>
      </c>
      <c r="I7409" s="13" t="n">
        <f aca="false">Sens!$I$7403/Sens!$I$7525</f>
        <v>0.713099092661699</v>
      </c>
      <c r="J7409" s="13" t="n">
        <f aca="false">Sens!$J$7403/Sens!$J$7525</f>
        <v>0.701208348786245</v>
      </c>
      <c r="K7409" s="13" t="n">
        <f aca="false">Sens!$K$7403/Sens!$K$7525</f>
        <v>0.618338844562383</v>
      </c>
      <c r="L7409" s="13" t="n">
        <f aca="false">Sens!$L$7403/Sens!$L$7525</f>
        <v>0.562489158462506</v>
      </c>
      <c r="M7409" s="13" t="n">
        <f aca="false">Sens!$M$7403/Sens!$M$7525</f>
        <v>0.545751190895923</v>
      </c>
    </row>
    <row r="7410" customFormat="false" ht="17.15" hidden="false" customHeight="false" outlineLevel="0" collapsed="false">
      <c r="A7410" s="0" t="s">
        <v>637</v>
      </c>
      <c r="B7410" s="0" t="s">
        <v>86</v>
      </c>
      <c r="C7410" s="38" t="n">
        <f aca="false">Sens!$S$7410</f>
        <v>0.183212798365523</v>
      </c>
      <c r="D7410" s="38" t="n">
        <f aca="false">Sens!$T$7410</f>
        <v>1.55872349836552</v>
      </c>
      <c r="E7410" s="38" t="n">
        <f aca="false">Sens!$G$7410/2</f>
        <v>3.87426082418276</v>
      </c>
      <c r="F7410" s="38" t="n">
        <f aca="false">Sens!$G$7410/2</f>
        <v>3.87426082418276</v>
      </c>
      <c r="G7410" s="38" t="n">
        <f aca="false">Sens!$U$7410</f>
        <v>7.74852164836552</v>
      </c>
      <c r="H7410" s="38" t="n">
        <f aca="false">Sens!$V$7410</f>
        <v>24.2509580966155</v>
      </c>
      <c r="I7410" s="38" t="n">
        <f aca="false">Sens!$W$7410</f>
        <v>49.6717554207405</v>
      </c>
      <c r="J7410" s="38" t="n">
        <f aca="false">Sens!$X$7410</f>
        <v>76.1050702391572</v>
      </c>
      <c r="K7410" s="38" t="n">
        <f aca="false">Sens!$Y$7410</f>
        <v>103.227966959208</v>
      </c>
      <c r="L7410" s="38" t="n">
        <f aca="false">Sens!$Z$7410</f>
        <v>122.296705971464</v>
      </c>
      <c r="M7410" s="38" t="n">
        <f aca="false">Sens!$AA$7410</f>
        <v>134.926065927559</v>
      </c>
      <c r="N7410" s="38" t="n">
        <f aca="false">Sens!$D$7410/2</f>
        <v>0.779361749182762</v>
      </c>
      <c r="O7410" s="38" t="n">
        <f aca="false">Sens!$D$7410/2</f>
        <v>0.779361749182762</v>
      </c>
      <c r="R7410" s="38" t="n">
        <f aca="false">SUMPRODUCT(--(Sens!$R$7373:$AA$7373&lt;Sens!R$7373),--(Sens!$R$7373:$AA$7373&gt;=Sens!R$7373-tk_life),Sens!$R$7407:$AA$7407)/tk_life</f>
        <v>0</v>
      </c>
      <c r="S7410" s="38" t="n">
        <f aca="false">SUMPRODUCT(--(Sens!$R$7373:$AA$7373&lt;Sens!S$7373),--(Sens!$R$7373:$AA$7373&gt;=Sens!S$7373-tk_life),Sens!$R$7407:$AA$7407)/tk_life</f>
        <v>0.183212798365523</v>
      </c>
      <c r="T7410" s="38" t="n">
        <f aca="false">SUMPRODUCT(--(Sens!$R$7373:$AA$7373&lt;Sens!T$7373),--(Sens!$R$7373:$AA$7373&gt;=Sens!T$7373-tk_life),Sens!$R$7407:$AA$7407)/tk_life</f>
        <v>1.55872349836552</v>
      </c>
      <c r="U7410" s="38" t="n">
        <f aca="false">SUMPRODUCT(--(Sens!$R$7373:$AA$7373&lt;Sens!U$7373),--(Sens!$R$7373:$AA$7373&gt;=Sens!U$7373-tk_life),Sens!$R$7407:$AA$7407)/tk_life</f>
        <v>7.74852164836552</v>
      </c>
      <c r="V7410" s="38" t="n">
        <f aca="false">SUMPRODUCT(--(Sens!$R$7373:$AA$7373&lt;Sens!V$7373),--(Sens!$R$7373:$AA$7373&gt;=Sens!V$7373-tk_life),Sens!$R$7407:$AA$7407)/tk_life</f>
        <v>24.2509580966155</v>
      </c>
      <c r="W7410" s="38" t="n">
        <f aca="false">SUMPRODUCT(--(Sens!$R$7373:$AA$7373&lt;Sens!W$7373),--(Sens!$R$7373:$AA$7373&gt;=Sens!W$7373-tk_life),Sens!$R$7407:$AA$7407)/tk_life</f>
        <v>49.6717554207405</v>
      </c>
      <c r="X7410" s="38" t="n">
        <f aca="false">SUMPRODUCT(--(Sens!$R$7373:$AA$7373&lt;Sens!X$7373),--(Sens!$R$7373:$AA$7373&gt;=Sens!X$7373-tk_life),Sens!$R$7407:$AA$7407)/tk_life</f>
        <v>76.1050702391572</v>
      </c>
      <c r="Y7410" s="38" t="n">
        <f aca="false">SUMPRODUCT(--(Sens!$R$7373:$AA$7373&lt;Sens!Y$7373),--(Sens!$R$7373:$AA$7373&gt;=Sens!Y$7373-tk_life),Sens!$R$7407:$AA$7407)/tk_life</f>
        <v>103.227966959208</v>
      </c>
      <c r="Z7410" s="38" t="n">
        <f aca="false">SUMPRODUCT(--(Sens!$R$7373:$AA$7373&lt;Sens!Z$7373),--(Sens!$R$7373:$AA$7373&gt;=Sens!Z$7373-tk_life),Sens!$R$7407:$AA$7407)/tk_life</f>
        <v>122.296705971464</v>
      </c>
      <c r="AA7410" s="38" t="n">
        <f aca="false">SUMPRODUCT(--(Sens!$R$7373:$AA$7373&lt;Sens!AA$7373),--(Sens!$R$7373:$AA$7373&gt;=Sens!AA$7373-tk_life),Sens!$R$7407:$AA$7407)/tk_life</f>
        <v>134.926065927559</v>
      </c>
    </row>
    <row r="7411" customFormat="false" ht="17.15" hidden="false" customHeight="false" outlineLevel="0" collapsed="false">
      <c r="A7411" s="0" t="s">
        <v>638</v>
      </c>
      <c r="B7411" s="0" t="s">
        <v>86</v>
      </c>
      <c r="C7411" s="38" t="n">
        <f aca="false">Sens!$S$7411</f>
        <v>0.0202511502553155</v>
      </c>
      <c r="D7411" s="38" t="n">
        <f aca="false">Sens!$T$7411</f>
        <v>0.172291150255315</v>
      </c>
      <c r="E7411" s="38" t="n">
        <f aca="false">Sens!$G$7411/2</f>
        <v>0.428235575127658</v>
      </c>
      <c r="F7411" s="38" t="n">
        <f aca="false">Sens!$G$7411/2</f>
        <v>0.428235575127658</v>
      </c>
      <c r="G7411" s="38" t="n">
        <f aca="false">Sens!$U$7411</f>
        <v>0.856471150255315</v>
      </c>
      <c r="H7411" s="38" t="n">
        <f aca="false">Sens!$V$7411</f>
        <v>2.41307567525532</v>
      </c>
      <c r="I7411" s="38" t="n">
        <f aca="false">Sens!$W$7411</f>
        <v>4.71540472525532</v>
      </c>
      <c r="J7411" s="38" t="n">
        <f aca="false">Sens!$X$7411</f>
        <v>7.01773377525532</v>
      </c>
      <c r="K7411" s="38" t="n">
        <f aca="false">Sens!$Y$7411</f>
        <v>9.32006282525532</v>
      </c>
      <c r="L7411" s="38" t="n">
        <f aca="false">Sens!$Z$7411</f>
        <v>10.9487071753387</v>
      </c>
      <c r="M7411" s="38" t="n">
        <f aca="false">Sens!$AA$7411</f>
        <v>11.9036668255053</v>
      </c>
      <c r="N7411" s="38" t="n">
        <f aca="false">Sens!$D$7411/2</f>
        <v>0.0861455751276577</v>
      </c>
      <c r="O7411" s="38" t="n">
        <f aca="false">Sens!$D$7411/2</f>
        <v>0.0861455751276577</v>
      </c>
      <c r="R7411" s="38" t="n">
        <f aca="false">SUMPRODUCT(--(Sens!$R$7373:$AA$7373&lt;Sens!R$7373),Sens!$R$7408:$AA$7408)/fac_life</f>
        <v>0</v>
      </c>
      <c r="S7411" s="38" t="n">
        <f aca="false">SUMPRODUCT(--(Sens!$R$7373:$AA$7373&lt;Sens!S$7373),Sens!$R$7408:$AA$7408)/fac_life</f>
        <v>0.0202511502553155</v>
      </c>
      <c r="T7411" s="38" t="n">
        <f aca="false">SUMPRODUCT(--(Sens!$R$7373:$AA$7373&lt;Sens!T$7373),Sens!$R$7408:$AA$7408)/fac_life</f>
        <v>0.172291150255315</v>
      </c>
      <c r="U7411" s="38" t="n">
        <f aca="false">SUMPRODUCT(--(Sens!$R$7373:$AA$7373&lt;Sens!U$7373),Sens!$R$7408:$AA$7408)/fac_life</f>
        <v>0.856471150255315</v>
      </c>
      <c r="V7411" s="38" t="n">
        <f aca="false">SUMPRODUCT(--(Sens!$R$7373:$AA$7373&lt;Sens!V$7373),Sens!$R$7408:$AA$7408)/fac_life</f>
        <v>2.41307567525532</v>
      </c>
      <c r="W7411" s="38" t="n">
        <f aca="false">SUMPRODUCT(--(Sens!$R$7373:$AA$7373&lt;Sens!W$7373),Sens!$R$7408:$AA$7408)/fac_life</f>
        <v>4.71540472525532</v>
      </c>
      <c r="X7411" s="38" t="n">
        <f aca="false">SUMPRODUCT(--(Sens!$R$7373:$AA$7373&lt;Sens!X$7373),Sens!$R$7408:$AA$7408)/fac_life</f>
        <v>7.01773377525532</v>
      </c>
      <c r="Y7411" s="38" t="n">
        <f aca="false">SUMPRODUCT(--(Sens!$R$7373:$AA$7373&lt;Sens!Y$7373),Sens!$R$7408:$AA$7408)/fac_life</f>
        <v>9.32006282525532</v>
      </c>
      <c r="Z7411" s="38" t="n">
        <f aca="false">SUMPRODUCT(--(Sens!$R$7373:$AA$7373&lt;Sens!Z$7373),Sens!$R$7408:$AA$7408)/fac_life</f>
        <v>10.9487071753387</v>
      </c>
      <c r="AA7411" s="38" t="n">
        <f aca="false">SUMPRODUCT(--(Sens!$R$7373:$AA$7373&lt;Sens!AA$7373),Sens!$R$7408:$AA$7408)/fac_life</f>
        <v>11.9036668255053</v>
      </c>
    </row>
    <row r="7412" customFormat="false" ht="17.15" hidden="false" customHeight="false" outlineLevel="0" collapsed="false">
      <c r="A7412" s="1" t="s">
        <v>639</v>
      </c>
      <c r="B7412" s="8" t="s">
        <v>86</v>
      </c>
      <c r="C7412" s="38" t="n">
        <f aca="false">Sens!$C$7410+Sens!$C$7411</f>
        <v>0.203463948620839</v>
      </c>
      <c r="D7412" s="38" t="n">
        <f aca="false">Sens!$D$7410+Sens!$D$7411</f>
        <v>1.73101464862084</v>
      </c>
      <c r="E7412" s="38" t="n">
        <f aca="false">Sens!$E$7410+Sens!$E$7411</f>
        <v>4.30249639931042</v>
      </c>
      <c r="F7412" s="38" t="n">
        <f aca="false">Sens!$F$7410+Sens!$F$7411</f>
        <v>4.30249639931042</v>
      </c>
      <c r="G7412" s="38" t="n">
        <f aca="false">Sens!$G$7410+Sens!$G$7411</f>
        <v>8.60499279862084</v>
      </c>
      <c r="H7412" s="38" t="n">
        <f aca="false">Sens!$H$7410+Sens!$H$7411</f>
        <v>26.6640337718708</v>
      </c>
      <c r="I7412" s="38" t="n">
        <f aca="false">Sens!$I$7410+Sens!$I$7411</f>
        <v>54.3871601459959</v>
      </c>
      <c r="J7412" s="38" t="n">
        <f aca="false">Sens!$J$7410+Sens!$J$7411</f>
        <v>83.1228040144125</v>
      </c>
      <c r="K7412" s="38" t="n">
        <f aca="false">Sens!$K$7410+Sens!$K$7411</f>
        <v>112.548029784464</v>
      </c>
      <c r="L7412" s="38" t="n">
        <f aca="false">Sens!$L$7410+Sens!$L$7411</f>
        <v>133.245413146803</v>
      </c>
      <c r="M7412" s="38" t="n">
        <f aca="false">Sens!$M$7410+Sens!$M$7411</f>
        <v>146.829732753064</v>
      </c>
      <c r="N7412" s="38" t="n">
        <f aca="false">Sens!$N$7410+Sens!$N$7411</f>
        <v>0.865507324310419</v>
      </c>
      <c r="O7412" s="38" t="n">
        <f aca="false">Sens!$O$7410+Sens!$O$7411</f>
        <v>0.865507324310419</v>
      </c>
      <c r="R7412" s="38" t="n">
        <f aca="false">Sens!$R$7410+Sens!$R$7411</f>
        <v>0</v>
      </c>
      <c r="S7412" s="38" t="n">
        <f aca="false">Sens!$S$7410+Sens!$S$7411</f>
        <v>0.203463948620839</v>
      </c>
      <c r="T7412" s="38" t="n">
        <f aca="false">Sens!$T$7410+Sens!$T$7411</f>
        <v>1.73101464862084</v>
      </c>
      <c r="U7412" s="38" t="n">
        <f aca="false">Sens!$U$7410+Sens!$U$7411</f>
        <v>8.60499279862084</v>
      </c>
      <c r="V7412" s="38" t="n">
        <f aca="false">Sens!$V$7410+Sens!$V$7411</f>
        <v>26.6640337718708</v>
      </c>
      <c r="W7412" s="38" t="n">
        <f aca="false">Sens!$W$7410+Sens!$W$7411</f>
        <v>54.3871601459959</v>
      </c>
      <c r="X7412" s="38" t="n">
        <f aca="false">Sens!$X$7410+Sens!$X$7411</f>
        <v>83.1228040144125</v>
      </c>
      <c r="Y7412" s="38" t="n">
        <f aca="false">Sens!$Y$7410+Sens!$Y$7411</f>
        <v>112.548029784464</v>
      </c>
      <c r="Z7412" s="38" t="n">
        <f aca="false">Sens!$Z$7410+Sens!$Z$7411</f>
        <v>133.245413146803</v>
      </c>
      <c r="AA7412" s="38" t="n">
        <f aca="false">Sens!$AA$7410+Sens!$AA$7411</f>
        <v>146.829732753064</v>
      </c>
    </row>
    <row r="7413" customFormat="false" ht="17.15" hidden="false" customHeight="false" outlineLevel="0" collapsed="false">
      <c r="A7413" s="0" t="s">
        <v>640</v>
      </c>
      <c r="B7413" s="0" t="s">
        <v>86</v>
      </c>
      <c r="C7413" s="38" t="n">
        <f aca="false">Sens!$S$7413</f>
        <v>12.5947000466786</v>
      </c>
      <c r="D7413" s="38" t="n">
        <f aca="false">Sens!$T$7413</f>
        <v>61.6860742980578</v>
      </c>
      <c r="G7413" s="38" t="n">
        <f aca="false">Sens!$U$7413</f>
        <v>183.227790688937</v>
      </c>
      <c r="H7413" s="38" t="n">
        <f aca="false">Sens!$V$7413</f>
        <v>355.135121861816</v>
      </c>
      <c r="I7413" s="38" t="n">
        <f aca="false">Sens!$W$7413</f>
        <v>505.39443162632</v>
      </c>
      <c r="J7413" s="38" t="n">
        <f aca="false">Sens!$X$7413</f>
        <v>632.154865722408</v>
      </c>
      <c r="K7413" s="38" t="n">
        <f aca="false">Sens!$Y$7413</f>
        <v>674.845221213145</v>
      </c>
      <c r="L7413" s="38" t="n">
        <f aca="false">Sens!$Z$7413</f>
        <v>673.613949706244</v>
      </c>
      <c r="M7413" s="38" t="n">
        <f aca="false">Sens!$AA$7413</f>
        <v>659.015198613032</v>
      </c>
      <c r="R7413" s="38" t="n">
        <f aca="false">SUM(Sens!$R$7405:$R$7405)-SUM(Sens!$R$7412:$R$7412)</f>
        <v>1.50429979529945</v>
      </c>
      <c r="S7413" s="38" t="n">
        <f aca="false">SUM(Sens!$R$7405:$S$7405)-SUM(Sens!$R$7412:$S$7412)</f>
        <v>12.5947000466786</v>
      </c>
      <c r="T7413" s="38" t="n">
        <f aca="false">SUM(Sens!$R$7405:$T$7405)-SUM(Sens!$R$7412:$T$7412)</f>
        <v>61.6860742980578</v>
      </c>
      <c r="U7413" s="38" t="n">
        <f aca="false">SUM(Sens!$R$7405:$U$7405)-SUM(Sens!$R$7412:$U$7412)</f>
        <v>183.227790688937</v>
      </c>
      <c r="V7413" s="38" t="n">
        <f aca="false">SUM(Sens!$R$7405:$V$7405)-SUM(Sens!$R$7412:$V$7412)</f>
        <v>355.135121861816</v>
      </c>
      <c r="W7413" s="38" t="n">
        <f aca="false">SUM(Sens!$R$7405:$W$7405)-SUM(Sens!$R$7412:$W$7412)</f>
        <v>505.39443162632</v>
      </c>
      <c r="X7413" s="38" t="n">
        <f aca="false">SUM(Sens!$R$7405:$X$7405)-SUM(Sens!$R$7412:$X$7412)</f>
        <v>632.154865722408</v>
      </c>
      <c r="Y7413" s="38" t="n">
        <f aca="false">SUM(Sens!$R$7405:$Y$7405)-SUM(Sens!$R$7412:$Y$7412)</f>
        <v>674.845221213145</v>
      </c>
      <c r="Z7413" s="38" t="n">
        <f aca="false">SUM(Sens!$R$7405:$Z$7405)-SUM(Sens!$R$7412:$Z$7412)</f>
        <v>673.613949706244</v>
      </c>
      <c r="AA7413" s="38" t="n">
        <f aca="false">SUM(Sens!$R$7405:$AA$7405)-SUM(Sens!$R$7412:$AA$7412)</f>
        <v>659.015198613032</v>
      </c>
    </row>
    <row r="7414" customFormat="false" ht="17.15" hidden="false" customHeight="false" outlineLevel="0" collapsed="false">
      <c r="A7414" s="1" t="s">
        <v>641</v>
      </c>
    </row>
    <row r="7415" customFormat="false" ht="17.15" hidden="false" customHeight="false" outlineLevel="0" collapsed="false">
      <c r="A7415" s="0" t="s">
        <v>642</v>
      </c>
      <c r="B7415" s="0" t="s">
        <v>86</v>
      </c>
      <c r="C7415" s="38" t="n">
        <f aca="false">Sens!$C$7394-ext_sh*Sens!$C$7396</f>
        <v>1.80694998843362</v>
      </c>
      <c r="D7415" s="38" t="n">
        <f aca="false">Sens!$D$7394-ext_sh*Sens!$D$7396</f>
        <v>6.77606245662607</v>
      </c>
      <c r="E7415" s="38" t="n">
        <f aca="false">Sens!$E$7394-ext_sh*Sens!$E$7396</f>
        <v>6.62548329092326</v>
      </c>
      <c r="F7415" s="38" t="n">
        <f aca="false">Sens!$F$7394-ext_sh*Sens!$F$7396</f>
        <v>11.7200577158706</v>
      </c>
      <c r="G7415" s="38" t="n">
        <f aca="false">Sens!$G$7394-ext_sh*Sens!$G$7396</f>
        <v>18.3455410067939</v>
      </c>
      <c r="H7415" s="38" t="n">
        <f aca="false">Sens!$H$7394-ext_sh*Sens!$H$7396</f>
        <v>47.5171727060453</v>
      </c>
      <c r="I7415" s="38" t="n">
        <f aca="false">Sens!$I$7394-ext_sh*Sens!$I$7396</f>
        <v>80.5539692643667</v>
      </c>
      <c r="J7415" s="38" t="n">
        <f aca="false">Sens!$J$7394-ext_sh*Sens!$J$7396</f>
        <v>113.759316834883</v>
      </c>
      <c r="K7415" s="38" t="n">
        <f aca="false">Sens!$K$7394-ext_sh*Sens!$K$7396</f>
        <v>142.084411492169</v>
      </c>
      <c r="L7415" s="38" t="n">
        <f aca="false">Sens!$L$7394-ext_sh*Sens!$L$7396</f>
        <v>160.69964615804</v>
      </c>
      <c r="M7415" s="38" t="n">
        <f aca="false">Sens!$M$7394-ext_sh*Sens!$M$7396</f>
        <v>169.577607141793</v>
      </c>
      <c r="N7415" s="38" t="n">
        <f aca="false">Sens!$N$7394-ext_sh*Sens!$N$7396</f>
        <v>2.37162185981912</v>
      </c>
      <c r="O7415" s="38" t="n">
        <f aca="false">Sens!$O$7394-ext_sh*Sens!$O$7396</f>
        <v>4.40444059680694</v>
      </c>
    </row>
    <row r="7416" customFormat="false" ht="17.15" hidden="false" customHeight="false" outlineLevel="0" collapsed="false">
      <c r="A7416" s="1" t="s">
        <v>643</v>
      </c>
      <c r="B7416" s="8" t="s">
        <v>86</v>
      </c>
      <c r="C7416" s="38" t="n">
        <f aca="false">Sens!$C$7415-ext_sh*Sens!$C$7412</f>
        <v>1.64417882953695</v>
      </c>
      <c r="D7416" s="38" t="n">
        <f aca="false">Sens!$D$7415-ext_sh*Sens!$D$7412</f>
        <v>5.39125073772939</v>
      </c>
      <c r="E7416" s="38" t="n">
        <f aca="false">Sens!$E$7415-ext_sh*Sens!$E$7412</f>
        <v>3.18348617147493</v>
      </c>
      <c r="F7416" s="38" t="n">
        <f aca="false">Sens!$F$7415-ext_sh*Sens!$F$7412</f>
        <v>8.27806059642226</v>
      </c>
      <c r="G7416" s="38" t="n">
        <f aca="false">Sens!$G$7415-ext_sh*Sens!$G$7412</f>
        <v>11.4615467678972</v>
      </c>
      <c r="H7416" s="38" t="n">
        <f aca="false">Sens!$H$7415-ext_sh*Sens!$H$7412</f>
        <v>26.1859456885487</v>
      </c>
      <c r="I7416" s="38" t="n">
        <f aca="false">Sens!$I$7415-ext_sh*Sens!$I$7412</f>
        <v>37.04424114757</v>
      </c>
      <c r="J7416" s="38" t="n">
        <f aca="false">Sens!$J$7415-ext_sh*Sens!$J$7412</f>
        <v>47.2610736233534</v>
      </c>
      <c r="K7416" s="38" t="n">
        <f aca="false">Sens!$K$7415-ext_sh*Sens!$K$7412</f>
        <v>52.0459876645985</v>
      </c>
      <c r="L7416" s="38" t="n">
        <f aca="false">Sens!$L$7415-ext_sh*Sens!$L$7412</f>
        <v>54.1033156405981</v>
      </c>
      <c r="M7416" s="38" t="n">
        <f aca="false">Sens!$M$7415-ext_sh*Sens!$M$7412</f>
        <v>52.1138209393421</v>
      </c>
      <c r="N7416" s="38" t="n">
        <f aca="false">Sens!$N$7415-ext_sh*Sens!$N$7412</f>
        <v>1.67921600037079</v>
      </c>
      <c r="O7416" s="38" t="n">
        <f aca="false">Sens!$O$7415-ext_sh*Sens!$O$7412</f>
        <v>3.71203473735861</v>
      </c>
    </row>
    <row r="7417" customFormat="false" ht="17.15" hidden="false" customHeight="false" outlineLevel="0" collapsed="false">
      <c r="A7417" s="0" t="s">
        <v>644</v>
      </c>
      <c r="B7417" s="0" t="s">
        <v>52</v>
      </c>
      <c r="C7417" s="13" t="n">
        <f aca="false">Sens!$C$7416/Sens!$C$7394</f>
        <v>0.708390794789371</v>
      </c>
      <c r="D7417" s="13" t="n">
        <f aca="false">Sens!$D$7416/Sens!$D$7394</f>
        <v>0.619415573115729</v>
      </c>
      <c r="E7417" s="13" t="n">
        <f aca="false">Sens!$E$7416/Sens!$E$7394</f>
        <v>0.374072166056273</v>
      </c>
      <c r="F7417" s="13" t="n">
        <f aca="false">Sens!$F$7416/Sens!$F$7394</f>
        <v>0.553219320710057</v>
      </c>
      <c r="G7417" s="13" t="n">
        <f aca="false">Sens!$G$7416/Sens!$G$7394</f>
        <v>0.488270041527512</v>
      </c>
      <c r="H7417" s="13" t="n">
        <f aca="false">Sens!$H$7416/Sens!$H$7394</f>
        <v>0.435229086816882</v>
      </c>
      <c r="I7417" s="13" t="n">
        <f aca="false">Sens!$I$7416/Sens!$I$7394</f>
        <v>0.364954592421095</v>
      </c>
      <c r="J7417" s="13" t="n">
        <f aca="false">Sens!$J$7416/Sens!$J$7394</f>
        <v>0.330438308582232</v>
      </c>
      <c r="K7417" s="13" t="n">
        <f aca="false">Sens!$K$7416/Sens!$K$7394</f>
        <v>0.2916589289528</v>
      </c>
      <c r="L7417" s="13" t="n">
        <f aca="false">Sens!$L$7416/Sens!$L$7394</f>
        <v>0.268199200593258</v>
      </c>
      <c r="M7417" s="13" t="n">
        <f aca="false">Sens!$M$7416/Sens!$M$7394</f>
        <v>0.244854995033574</v>
      </c>
      <c r="N7417" s="13" t="n">
        <f aca="false">Sens!$N$7416/Sens!$N$7394</f>
        <v>0.551227795793364</v>
      </c>
      <c r="O7417" s="13" t="n">
        <f aca="false">Sens!$O$7416/Sens!$O$7394</f>
        <v>0.656132068597002</v>
      </c>
    </row>
    <row r="7418" customFormat="false" ht="17.15" hidden="false" customHeight="false" outlineLevel="0" collapsed="false">
      <c r="A7418" s="5" t="s">
        <v>645</v>
      </c>
      <c r="B7418" s="0" t="s">
        <v>86</v>
      </c>
      <c r="C7418" s="39" t="n">
        <v>0</v>
      </c>
      <c r="D7418" s="39" t="n">
        <v>0</v>
      </c>
      <c r="E7418" s="39" t="n">
        <v>0</v>
      </c>
      <c r="F7418" s="38" t="n">
        <f aca="false">IF(internal_ai_reading=2,1,0)*(1-ext_sh)/ext_sh*(mw_open*he_open+Sens!$F$7392*Sens!$F$7389)*Sens!$F$7378/1000</f>
        <v>3.77122048175818</v>
      </c>
      <c r="G7418" s="38" t="n">
        <f aca="false">Sens!$E$7418+Sens!$F$7418</f>
        <v>3.77122048175818</v>
      </c>
      <c r="H7418" s="38" t="n">
        <f aca="false">IF(internal_ai_reading=2,1,0)*(1-ext_sh)/ext_sh*(mw_open*he_open+Sens!$H$7392*Sens!$H$7389)*Sens!$H$7378/1000</f>
        <v>15.1635543609893</v>
      </c>
      <c r="I7418" s="38" t="n">
        <f aca="false">IF(internal_ai_reading=2,1,0)*(1-ext_sh)/ext_sh*(mw_open*he_open+Sens!$I$7392*Sens!$I$7389)*Sens!$I$7378/1000</f>
        <v>25.5818843619889</v>
      </c>
      <c r="J7418" s="38" t="n">
        <f aca="false">IF(internal_ai_reading=2,1,0)*(1-ext_sh)/ext_sh*(mw_open*he_open+Sens!$J$7392*Sens!$J$7389)*Sens!$J$7378/1000</f>
        <v>36.0465624179122</v>
      </c>
      <c r="K7418" s="38" t="n">
        <f aca="false">IF(internal_ai_reading=2,1,0)*(1-ext_sh)/ext_sh*(mw_open*he_open+Sens!$K$7392*Sens!$K$7389)*Sens!$K$7378/1000</f>
        <v>44.9741164026038</v>
      </c>
      <c r="L7418" s="38" t="n">
        <f aca="false">IF(internal_ai_reading=2,1,0)*(1-ext_sh)/ext_sh*(mw_open*he_open+Sens!$L$7392*Sens!$L$7389)*Sens!$L$7378/1000</f>
        <v>50.8413488057813</v>
      </c>
      <c r="M7418" s="38" t="n">
        <f aca="false">IF(internal_ai_reading=2,1,0)*(1-ext_sh)/ext_sh*(mw_open*he_open+Sens!$M$7392*Sens!$M$7389)*Sens!$M$7378/1000</f>
        <v>53.6407214274315</v>
      </c>
      <c r="N7418" s="39" t="n">
        <v>0</v>
      </c>
      <c r="O7418" s="39" t="n">
        <v>0</v>
      </c>
      <c r="P7418" s="8" t="s">
        <v>646</v>
      </c>
    </row>
    <row r="7419" customFormat="false" ht="17.15" hidden="false" customHeight="false" outlineLevel="0" collapsed="false">
      <c r="A7419" s="5" t="s">
        <v>647</v>
      </c>
      <c r="B7419" s="0" t="s">
        <v>86</v>
      </c>
      <c r="C7419" s="38" t="n">
        <f aca="false">(1-ext_sh)*(Sens!$C$7396+Sens!$C$7412)</f>
        <v>0.169206631859174</v>
      </c>
      <c r="D7419" s="38" t="n">
        <f aca="false">(1-ext_sh)*(Sens!$D$7396+Sens!$D$7412)</f>
        <v>0.828129837730442</v>
      </c>
      <c r="E7419" s="38" t="n">
        <f aca="false">(1-ext_sh)*(Sens!$E$7396+Sens!$E$7412)</f>
        <v>1.33171670102377</v>
      </c>
      <c r="F7419" s="38" t="n">
        <f aca="false">(1-ext_sh)*(Sens!$F$7396+Sens!$F$7412)</f>
        <v>1.67134326207455</v>
      </c>
      <c r="G7419" s="38" t="n">
        <f aca="false">(1-ext_sh)*(Sens!$G$7396+Sens!$G$7412)</f>
        <v>3.00305996309832</v>
      </c>
      <c r="H7419" s="38" t="n">
        <f aca="false">(1-ext_sh)*(Sens!$H$7396+Sens!$H$7412)</f>
        <v>8.49498626530648</v>
      </c>
      <c r="I7419" s="38" t="n">
        <f aca="false">(1-ext_sh)*(Sens!$I$7396+Sens!$I$7412)</f>
        <v>16.1148644972155</v>
      </c>
      <c r="J7419" s="38" t="n">
        <f aca="false">(1-ext_sh)*(Sens!$J$7396+Sens!$J$7412)</f>
        <v>23.9410833819812</v>
      </c>
      <c r="K7419" s="38" t="n">
        <f aca="false">(1-ext_sh)*(Sens!$K$7396+Sens!$K$7412)</f>
        <v>31.6005331796453</v>
      </c>
      <c r="L7419" s="38" t="n">
        <f aca="false">(1-ext_sh)*(Sens!$L$7396+Sens!$L$7412)</f>
        <v>36.9061965404496</v>
      </c>
      <c r="M7419" s="38" t="n">
        <f aca="false">(1-ext_sh)*(Sens!$M$7396+Sens!$M$7412)</f>
        <v>40.1804051073808</v>
      </c>
      <c r="N7419" s="38" t="n">
        <f aca="false">(1-ext_sh)*(Sens!$N$7396+Sens!$N$7412)</f>
        <v>0.34177588266428</v>
      </c>
      <c r="O7419" s="38" t="n">
        <f aca="false">(1-ext_sh)*(Sens!$O$7396+Sens!$O$7412)</f>
        <v>0.486353955066162</v>
      </c>
    </row>
    <row r="7420" customFormat="false" ht="17.15" hidden="false" customHeight="false" outlineLevel="0" collapsed="false">
      <c r="A7420" s="0" t="s">
        <v>648</v>
      </c>
      <c r="B7420" s="0" t="s">
        <v>86</v>
      </c>
      <c r="C7420" s="38" t="n">
        <f aca="false">Q!$D$24</f>
        <v>39.834</v>
      </c>
      <c r="D7420" s="38" t="n">
        <f aca="false">Q!$E$24</f>
        <v>45.606</v>
      </c>
      <c r="E7420" s="38" t="n">
        <f aca="false">Q!$P$24</f>
        <v>30.782</v>
      </c>
      <c r="N7420" s="38" t="n">
        <f aca="false">Q!$N$24</f>
        <v>21.707</v>
      </c>
      <c r="O7420" s="38" t="n">
        <f aca="false">Q!$O$24</f>
        <v>23.899</v>
      </c>
    </row>
    <row r="7421" customFormat="false" ht="17.15" hidden="false" customHeight="false" outlineLevel="0" collapsed="false">
      <c r="A7421" s="0" t="s">
        <v>649</v>
      </c>
      <c r="B7421" s="0" t="s">
        <v>86</v>
      </c>
      <c r="C7421" s="38" t="n">
        <f aca="false">Sens!$C$7420-Sens!$C$7416</f>
        <v>38.1898211704631</v>
      </c>
      <c r="D7421" s="38" t="n">
        <f aca="false">Sens!$D$7420-Sens!$D$7416</f>
        <v>40.2147492622706</v>
      </c>
      <c r="E7421" s="38" t="n">
        <f aca="false">Sens!$E$7420-Sens!$E$7416</f>
        <v>27.5985138285251</v>
      </c>
      <c r="F7421" s="38" t="n">
        <f aca="false">Sens!$F$7398*Sens!$F$7422</f>
        <v>25.5484769754606</v>
      </c>
      <c r="G7421" s="38" t="n">
        <f aca="false">Sens!$E$7421+Sens!$F$7421</f>
        <v>53.1469908039857</v>
      </c>
      <c r="H7421" s="38" t="n">
        <f aca="false">Sens!$H$7398*Sens!$H$7422</f>
        <v>57.3189525076539</v>
      </c>
      <c r="I7421" s="38" t="n">
        <f aca="false">Sens!$I$7398*Sens!$I$7422</f>
        <v>63.6385627021087</v>
      </c>
      <c r="J7421" s="38" t="n">
        <f aca="false">Sens!$J$7398*Sens!$J$7422</f>
        <v>69.6922896066105</v>
      </c>
      <c r="K7421" s="38" t="n">
        <f aca="false">Sens!$K$7398*Sens!$K$7422</f>
        <v>75.2676727751394</v>
      </c>
      <c r="L7421" s="38" t="n">
        <f aca="false">Sens!$L$7398*Sens!$L$7422</f>
        <v>81.2890865971505</v>
      </c>
      <c r="M7421" s="38" t="n">
        <f aca="false">Sens!$M$7398*Sens!$M$7422</f>
        <v>87.7922135249226</v>
      </c>
      <c r="N7421" s="38" t="n">
        <f aca="false">Sens!$N$7420-Sens!$N$7416</f>
        <v>20.0277839996292</v>
      </c>
      <c r="O7421" s="38" t="n">
        <f aca="false">Sens!$O$7420-Sens!$O$7416</f>
        <v>20.1869652626414</v>
      </c>
      <c r="P7421" s="5" t="s">
        <v>650</v>
      </c>
    </row>
    <row r="7422" customFormat="false" ht="17.15" hidden="false" customHeight="false" outlineLevel="0" collapsed="false">
      <c r="A7422" s="0" t="s">
        <v>651</v>
      </c>
      <c r="B7422" s="0" t="s">
        <v>52</v>
      </c>
      <c r="C7422" s="13" t="n">
        <f aca="false">Sens!$C$7421/Sens!$C$7398</f>
        <v>0.362900395443635</v>
      </c>
      <c r="D7422" s="13" t="n">
        <f aca="false">Sens!$D$7421/Sens!$D$7398</f>
        <v>0.335063632425483</v>
      </c>
      <c r="E7422" s="13" t="n">
        <f aca="false">Sens!$E$7421/Sens!$E$7398</f>
        <v>0.387028992698038</v>
      </c>
      <c r="F7422" s="13" t="n">
        <f aca="false">(Sens!$O$7421+Sens!$E$7421)/(Sens!$O$7398+Sens!$E$7398)</f>
        <v>0.355980580118587</v>
      </c>
      <c r="G7422" s="13" t="n">
        <f aca="false">Sens!$G$7421/Sens!$G$7398</f>
        <v>0.371454804780916</v>
      </c>
      <c r="H7422" s="13" t="n">
        <f aca="false">Sens!$F$7422</f>
        <v>0.355980580118587</v>
      </c>
      <c r="I7422" s="13" t="n">
        <f aca="false">Sens!$F$7422</f>
        <v>0.355980580118587</v>
      </c>
      <c r="J7422" s="13" t="n">
        <f aca="false">Sens!$F$7422</f>
        <v>0.355980580118587</v>
      </c>
      <c r="K7422" s="13" t="n">
        <f aca="false">Sens!$F$7422</f>
        <v>0.355980580118587</v>
      </c>
      <c r="L7422" s="13" t="n">
        <f aca="false">Sens!$F$7422</f>
        <v>0.355980580118587</v>
      </c>
      <c r="M7422" s="13" t="n">
        <f aca="false">Sens!$F$7422</f>
        <v>0.355980580118587</v>
      </c>
      <c r="N7422" s="13" t="n">
        <f aca="false">Sens!$N$7421/Sens!$N$7398</f>
        <v>0.35078810535806</v>
      </c>
      <c r="O7422" s="13" t="n">
        <f aca="false">Sens!$O$7421/Sens!$O$7398</f>
        <v>0.320796939361619</v>
      </c>
      <c r="P7422" s="8" t="s">
        <v>652</v>
      </c>
    </row>
    <row r="7423" customFormat="false" ht="17.15" hidden="false" customHeight="false" outlineLevel="0" collapsed="false">
      <c r="A7423" s="0" t="s">
        <v>653</v>
      </c>
      <c r="B7423" s="0" t="s">
        <v>52</v>
      </c>
      <c r="D7423" s="13" t="n">
        <f aca="false">(Q!$E$31-ext_sh*Sens!$D$7412)/Sens!$D$7398</f>
        <v>0.167180325480118</v>
      </c>
    </row>
    <row r="7424" customFormat="false" ht="17.15" hidden="false" customHeight="false" outlineLevel="0" collapsed="false">
      <c r="A7424" s="0" t="s">
        <v>654</v>
      </c>
      <c r="B7424" s="0" t="s">
        <v>86</v>
      </c>
      <c r="C7424" s="38" t="n">
        <f aca="false">Q!$D$31</f>
        <v>13.32</v>
      </c>
      <c r="D7424" s="38" t="n">
        <f aca="false">Q!$E$31</f>
        <v>21.45</v>
      </c>
      <c r="E7424" s="38" t="n">
        <f aca="false">Q!$P$31</f>
        <v>15.353</v>
      </c>
      <c r="F7424" s="38" t="n">
        <f aca="false">ext_sh*Sens!$F$7412+Sens!$D$7423*Sens!$F$7398</f>
        <v>15.4404120185306</v>
      </c>
      <c r="G7424" s="38" t="n">
        <f aca="false">Sens!$E$7424+Sens!$F$7424</f>
        <v>30.7934120185306</v>
      </c>
      <c r="H7424" s="38" t="n">
        <f aca="false">ext_sh*Sens!$H$7412+Sens!$D$7423*Sens!$H$7398</f>
        <v>48.250114371455</v>
      </c>
      <c r="I7424" s="38" t="n">
        <f aca="false">ext_sh*Sens!$I$7412+Sens!$D$7423*Sens!$I$7398</f>
        <v>73.3965146995963</v>
      </c>
      <c r="J7424" s="38" t="n">
        <f aca="false">ext_sh*Sens!$J$7412+Sens!$D$7423*Sens!$J$7398</f>
        <v>99.22806138309</v>
      </c>
      <c r="K7424" s="38" t="n">
        <f aca="false">ext_sh*Sens!$K$7412+Sens!$D$7423*Sens!$K$7398</f>
        <v>125.386627452856</v>
      </c>
      <c r="L7424" s="38" t="n">
        <f aca="false">ext_sh*Sens!$L$7412+Sens!$D$7423*Sens!$L$7398</f>
        <v>144.77239043275</v>
      </c>
      <c r="M7424" s="38" t="n">
        <f aca="false">ext_sh*Sens!$M$7412+Sens!$D$7423*Sens!$M$7398</f>
        <v>158.693930910983</v>
      </c>
      <c r="N7424" s="38" t="n">
        <f aca="false">Q!$N$31</f>
        <v>9.234</v>
      </c>
      <c r="O7424" s="38" t="n">
        <f aca="false">Q!$O$31</f>
        <v>12.216</v>
      </c>
    </row>
    <row r="7425" customFormat="false" ht="17.15" hidden="false" customHeight="false" outlineLevel="0" collapsed="false">
      <c r="A7425" s="1" t="s">
        <v>655</v>
      </c>
    </row>
    <row r="7426" customFormat="false" ht="17.15" hidden="false" customHeight="false" outlineLevel="0" collapsed="false">
      <c r="A7426" s="15" t="s">
        <v>656</v>
      </c>
      <c r="B7426" s="14" t="s">
        <v>52</v>
      </c>
      <c r="C7426" s="14"/>
      <c r="D7426" s="14"/>
      <c r="E7426" s="14"/>
      <c r="F7426" s="14"/>
      <c r="G7426" s="17" t="n">
        <f aca="false">Sens!$G$7416*(1-tax)/(ext_sh*(Sens!$D$7413+Sens!$G$7413)/2)</f>
        <v>0.0966870495301478</v>
      </c>
      <c r="H7426" s="17" t="n">
        <f aca="false">Sens!$H$7416*(1-tax)/(ext_sh*(Sens!$G$7413+Sens!$H$7413)/2)</f>
        <v>0.100492020334136</v>
      </c>
      <c r="I7426" s="17" t="n">
        <f aca="false">Sens!$I$7416*(1-tax)/(ext_sh*(Sens!$H$7413+Sens!$I$7413)/2)</f>
        <v>0.0889392292218236</v>
      </c>
      <c r="J7426" s="17" t="n">
        <f aca="false">Sens!$J$7416*(1-tax)/(ext_sh*(Sens!$I$7413+Sens!$J$7413)/2)</f>
        <v>0.0858364613777012</v>
      </c>
      <c r="K7426" s="17" t="n">
        <f aca="false">Sens!$K$7416*(1-tax)/(ext_sh*(Sens!$J$7413+Sens!$K$7413)/2)</f>
        <v>0.08227162714687</v>
      </c>
      <c r="L7426" s="17" t="n">
        <f aca="false">Sens!$L$7416*(1-tax)/(ext_sh*(Sens!$K$7413+Sens!$L$7413)/2)</f>
        <v>0.0828942732763872</v>
      </c>
      <c r="M7426" s="17" t="n">
        <f aca="false">Sens!$M$7416*(1-tax)/(ext_sh*(Sens!$L$7413+Sens!$M$7413)/2)</f>
        <v>0.0807945482347635</v>
      </c>
      <c r="N7426" s="14"/>
      <c r="O7426" s="14"/>
      <c r="P7426" s="8" t="s">
        <v>657</v>
      </c>
    </row>
    <row r="7427" customFormat="false" ht="17.15" hidden="false" customHeight="false" outlineLevel="0" collapsed="false">
      <c r="A7427" s="5" t="s">
        <v>658</v>
      </c>
      <c r="B7427" s="0" t="s">
        <v>57</v>
      </c>
      <c r="H7427" s="36" t="n">
        <f aca="false">Sens!$H$7394*1000/(mw_open*he_open+Sens!$H$7392*Sens!$H$7389)</f>
        <v>0.991949006767191</v>
      </c>
      <c r="I7427" s="36" t="n">
        <f aca="false">Sens!$I$7394*1000/(mw_open*he_open+Sens!$I$7392*Sens!$I$7389)</f>
        <v>0.991949006767191</v>
      </c>
      <c r="J7427" s="36" t="n">
        <f aca="false">Sens!$J$7394*1000/(mw_open*he_open+Sens!$J$7392*Sens!$J$7389)</f>
        <v>0.991949006767191</v>
      </c>
      <c r="K7427" s="36" t="n">
        <f aca="false">Sens!$K$7394*1000/(mw_open*he_open+Sens!$K$7392*Sens!$K$7389)</f>
        <v>0.991949006767191</v>
      </c>
      <c r="L7427" s="36" t="n">
        <f aca="false">Sens!$L$7394*1000/(mw_open*he_open+Sens!$L$7392*Sens!$L$7389)</f>
        <v>0.991949006767191</v>
      </c>
      <c r="M7427" s="36" t="n">
        <f aca="false">Sens!$M$7394*1000/(mw_open*he_open+Sens!$M$7392*Sens!$M$7389)</f>
        <v>0.991949006767191</v>
      </c>
    </row>
    <row r="7428" customFormat="false" ht="17.15" hidden="false" customHeight="false" outlineLevel="0" collapsed="false">
      <c r="A7428" s="5" t="s">
        <v>659</v>
      </c>
      <c r="B7428" s="0" t="s">
        <v>57</v>
      </c>
      <c r="H7428" s="36" t="n">
        <f aca="false">Sens!$H$7427*(Sens!$H$7394+wacc*ext_sh*(Sens!$G$7413+Sens!$H$7413)/2/(1-tax)-Sens!$H$7416)/Sens!$H$7394</f>
        <v>1.04696246089529</v>
      </c>
      <c r="I7428" s="36" t="n">
        <f aca="false">Sens!$I$7427*(Sens!$I$7394+wacc*ext_sh*(Sens!$H$7413+Sens!$I$7413)/2/(1-tax)-Sens!$I$7416)/Sens!$I$7394</f>
        <v>1.09109607940198</v>
      </c>
      <c r="J7428" s="36" t="n">
        <f aca="false">Sens!$J$7427*(Sens!$J$7394+wacc*ext_sh*(Sens!$I$7413+Sens!$J$7413)/2/(1-tax)-Sens!$J$7416)/Sens!$J$7394</f>
        <v>1.09681234280071</v>
      </c>
      <c r="K7428" s="36" t="n">
        <f aca="false">Sens!$K$7427*(Sens!$K$7394+wacc*ext_sh*(Sens!$J$7413+Sens!$K$7413)/2/(1-tax)-Sens!$K$7416)/Sens!$K$7394</f>
        <v>1.10105220068984</v>
      </c>
      <c r="L7428" s="36" t="n">
        <f aca="false">Sens!$L$7427*(Sens!$L$7394+wacc*ext_sh*(Sens!$K$7413+Sens!$L$7413)/2/(1-tax)-Sens!$L$7416)/Sens!$L$7394</f>
        <v>1.08952452639895</v>
      </c>
      <c r="M7428" s="36" t="n">
        <f aca="false">Sens!$M$7427*(Sens!$M$7394+wacc*ext_sh*(Sens!$L$7413+Sens!$M$7413)/2/(1-tax)-Sens!$M$7416)/Sens!$M$7394</f>
        <v>1.08965878549519</v>
      </c>
    </row>
    <row r="7429" customFormat="false" ht="17.15" hidden="false" customHeight="false" outlineLevel="0" collapsed="false">
      <c r="A7429" s="5" t="s">
        <v>660</v>
      </c>
      <c r="B7429" s="0" t="s">
        <v>52</v>
      </c>
      <c r="C7429" s="13" t="n">
        <f aca="false">Sens!$C$7395/tk_pq</f>
        <v>0.195316432429398</v>
      </c>
      <c r="D7429" s="13" t="n">
        <f aca="false">Sens!$D$7395/tk_pq</f>
        <v>0.195316432429398</v>
      </c>
      <c r="E7429" s="13" t="n">
        <f aca="false">Sens!$E$7395/tk_pq</f>
        <v>0.195316432429398</v>
      </c>
      <c r="F7429" s="13" t="n">
        <f aca="false">Sens!$F$7395/tk_pq</f>
        <v>0.202241827274866</v>
      </c>
      <c r="G7429" s="13" t="n">
        <f aca="false">Sens!$G$7395/tk_pq</f>
        <v>0.199675016194063</v>
      </c>
      <c r="H7429" s="13" t="n">
        <f aca="false">Sens!$H$7395/tk_pq</f>
        <v>0.212647947710325</v>
      </c>
      <c r="I7429" s="13" t="n">
        <f aca="false">Sens!$I$7395/tk_pq</f>
        <v>0.219285125475351</v>
      </c>
      <c r="J7429" s="13" t="n">
        <f aca="false">Sens!$J$7395/tk_pq</f>
        <v>0.222492493217189</v>
      </c>
      <c r="K7429" s="13" t="n">
        <f aca="false">Sens!$K$7395/tk_pq</f>
        <v>0.224053502812094</v>
      </c>
      <c r="L7429" s="13" t="n">
        <f aca="false">Sens!$L$7395/tk_pq</f>
        <v>0.224786916785614</v>
      </c>
      <c r="M7429" s="13" t="n">
        <f aca="false">Sens!$M$7395/tk_pq</f>
        <v>0.225048671566937</v>
      </c>
      <c r="N7429" s="13" t="n">
        <f aca="false">Sens!$N$7395/tk_pq</f>
        <v>0.195316432429398</v>
      </c>
      <c r="O7429" s="13" t="n">
        <f aca="false">Sens!$O$7395/tk_pq</f>
        <v>0.195316432429398</v>
      </c>
      <c r="P7429" s="5" t="s">
        <v>661</v>
      </c>
    </row>
    <row r="7432" customFormat="false" ht="17.15" hidden="false" customHeight="false" outlineLevel="0" collapsed="false">
      <c r="A7432" s="1" t="s">
        <v>690</v>
      </c>
    </row>
    <row r="7433" customFormat="false" ht="17.15" hidden="false" customHeight="false" outlineLevel="0" collapsed="false">
      <c r="A7433" s="0" t="s">
        <v>691</v>
      </c>
      <c r="B7433" s="0" t="s">
        <v>86</v>
      </c>
      <c r="C7433" s="38" t="n">
        <f aca="false">Sens!$C$7394</f>
        <v>2.32100535697364</v>
      </c>
      <c r="D7433" s="38" t="n">
        <f aca="false">Sens!$D$7394</f>
        <v>8.70377008865116</v>
      </c>
      <c r="E7433" s="38" t="n">
        <f aca="false">Sens!$E$7394</f>
        <v>8.51035297557002</v>
      </c>
      <c r="F7433" s="38" t="n">
        <f aca="false">Sens!$F$7394</f>
        <v>14.9634336447205</v>
      </c>
      <c r="G7433" s="38" t="n">
        <f aca="false">Sens!$G$7394</f>
        <v>23.4737866202905</v>
      </c>
      <c r="H7433" s="38" t="n">
        <f aca="false">Sens!$H$7394</f>
        <v>60.1658907497746</v>
      </c>
      <c r="I7433" s="38" t="n">
        <f aca="false">Sens!$I$7394</f>
        <v>101.503699136432</v>
      </c>
      <c r="J7433" s="38" t="n">
        <f aca="false">Sens!$J$7394</f>
        <v>143.025407151278</v>
      </c>
      <c r="K7433" s="38" t="n">
        <f aca="false">Sens!$K$7394</f>
        <v>178.44812038318</v>
      </c>
      <c r="L7433" s="38" t="n">
        <f aca="false">Sens!$L$7394</f>
        <v>201.728101802396</v>
      </c>
      <c r="M7433" s="38" t="n">
        <f aca="false">Sens!$M$7394</f>
        <v>212.835441368865</v>
      </c>
      <c r="N7433" s="38" t="n">
        <f aca="false">Sens!$N$7394</f>
        <v>3.04631953102791</v>
      </c>
      <c r="O7433" s="38" t="n">
        <f aca="false">Sens!$O$7394</f>
        <v>5.65745055762326</v>
      </c>
      <c r="P7433" s="8" t="s">
        <v>692</v>
      </c>
    </row>
    <row r="7434" customFormat="false" ht="17.15" hidden="false" customHeight="false" outlineLevel="0" collapsed="false">
      <c r="A7434" s="0" t="s">
        <v>693</v>
      </c>
      <c r="B7434" s="0" t="s">
        <v>86</v>
      </c>
      <c r="C7434" s="38" t="n">
        <f aca="false">Sens!$C$7398</f>
        <v>105.234994643026</v>
      </c>
      <c r="D7434" s="38" t="n">
        <f aca="false">Sens!$D$7398</f>
        <v>120.021229911349</v>
      </c>
      <c r="E7434" s="38" t="n">
        <f aca="false">Sens!$E$7398</f>
        <v>71.30864702443</v>
      </c>
      <c r="F7434" s="38" t="n">
        <f aca="false">Sens!$F$7398</f>
        <v>71.7692997942464</v>
      </c>
      <c r="G7434" s="38" t="n">
        <f aca="false">Sens!$G$7398</f>
        <v>143.077946818676</v>
      </c>
      <c r="H7434" s="38" t="n">
        <f aca="false">Sens!$H$7398</f>
        <v>161.017077079203</v>
      </c>
      <c r="I7434" s="38" t="n">
        <f aca="false">Sens!$I$7398</f>
        <v>178.769759521457</v>
      </c>
      <c r="J7434" s="38" t="n">
        <f aca="false">Sens!$J$7398</f>
        <v>195.775538045907</v>
      </c>
      <c r="K7434" s="38" t="n">
        <f aca="false">Sens!$K$7398</f>
        <v>211.43758108958</v>
      </c>
      <c r="L7434" s="38" t="n">
        <f aca="false">Sens!$L$7398</f>
        <v>228.352587576746</v>
      </c>
      <c r="M7434" s="38" t="n">
        <f aca="false">Sens!$M$7398</f>
        <v>246.620794582886</v>
      </c>
      <c r="N7434" s="38" t="n">
        <f aca="false">Sens!$N$7398</f>
        <v>57.0936804689721</v>
      </c>
      <c r="O7434" s="38" t="n">
        <f aca="false">Sens!$O$7398</f>
        <v>62.9275494423768</v>
      </c>
      <c r="P7434" s="8" t="s">
        <v>692</v>
      </c>
    </row>
    <row r="7435" customFormat="false" ht="17.15" hidden="false" customHeight="false" outlineLevel="0" collapsed="false">
      <c r="A7435" s="1" t="s">
        <v>516</v>
      </c>
      <c r="B7435" s="8" t="s">
        <v>86</v>
      </c>
      <c r="C7435" s="38" t="n">
        <f aca="false">Q!$D$7</f>
        <v>107.556</v>
      </c>
      <c r="D7435" s="38" t="n">
        <f aca="false">Q!$E$7</f>
        <v>128.725</v>
      </c>
      <c r="E7435" s="38" t="n">
        <f aca="false">Q!$P$7</f>
        <v>79.819</v>
      </c>
      <c r="F7435" s="38" t="n">
        <f aca="false">Sens!$F$7433+Sens!$F$7434</f>
        <v>86.7327334389669</v>
      </c>
      <c r="G7435" s="38" t="n">
        <f aca="false">Sens!$G$7433+Sens!$G$7434</f>
        <v>166.551733438967</v>
      </c>
      <c r="H7435" s="38" t="n">
        <f aca="false">Sens!$H$7433+Sens!$H$7434</f>
        <v>221.182967828978</v>
      </c>
      <c r="I7435" s="38" t="n">
        <f aca="false">Sens!$I$7433+Sens!$I$7434</f>
        <v>280.27345865789</v>
      </c>
      <c r="J7435" s="38" t="n">
        <f aca="false">Sens!$J$7433+Sens!$J$7434</f>
        <v>338.800945197185</v>
      </c>
      <c r="K7435" s="38" t="n">
        <f aca="false">Sens!$K$7433+Sens!$K$7434</f>
        <v>389.88570147276</v>
      </c>
      <c r="L7435" s="38" t="n">
        <f aca="false">Sens!$L$7433+Sens!$L$7434</f>
        <v>430.080689379143</v>
      </c>
      <c r="M7435" s="38" t="n">
        <f aca="false">Sens!$M$7433+Sens!$M$7434</f>
        <v>459.456235951751</v>
      </c>
      <c r="N7435" s="38" t="n">
        <f aca="false">Q!$N$7</f>
        <v>60.14</v>
      </c>
      <c r="O7435" s="38" t="n">
        <f aca="false">Q!$O$7</f>
        <v>68.585</v>
      </c>
      <c r="P7435" s="5" t="s">
        <v>694</v>
      </c>
    </row>
    <row r="7436" customFormat="false" ht="15" hidden="false" customHeight="false" outlineLevel="0" collapsed="false">
      <c r="A7436" s="3" t="s">
        <v>695</v>
      </c>
      <c r="B7436" s="8" t="s">
        <v>86</v>
      </c>
      <c r="C7436" s="38" t="n">
        <f aca="false">Q!$D$8</f>
        <v>637.959</v>
      </c>
      <c r="D7436" s="38" t="n">
        <f aca="false">Q!$E$8</f>
        <v>716.924</v>
      </c>
      <c r="E7436" s="38" t="n">
        <f aca="false">Q!$P$8</f>
        <v>382.125</v>
      </c>
      <c r="F7436" s="38" t="n">
        <f aca="false">Sens!$F$7366+Sens!$F$7435</f>
        <v>435.780975084504</v>
      </c>
      <c r="G7436" s="38" t="n">
        <f aca="false">Sens!$G$7366+Sens!$G$7435</f>
        <v>817.905975084504</v>
      </c>
      <c r="H7436" s="38" t="n">
        <f aca="false">Sens!$H$7366+Sens!$H$7435</f>
        <v>942.279857350364</v>
      </c>
      <c r="I7436" s="38" t="n">
        <f aca="false">Sens!$I$7366+Sens!$I$7435</f>
        <v>1068.80284981042</v>
      </c>
      <c r="J7436" s="38" t="n">
        <f aca="false">Sens!$J$7366+Sens!$J$7435</f>
        <v>1189.90935093863</v>
      </c>
      <c r="K7436" s="38" t="n">
        <f aca="false">Sens!$K$7366+Sens!$K$7435</f>
        <v>1296.06215690385</v>
      </c>
      <c r="L7436" s="38" t="n">
        <f aca="false">Sens!$L$7366+Sens!$L$7435</f>
        <v>1395.17379585473</v>
      </c>
      <c r="M7436" s="38" t="n">
        <f aca="false">Sens!$M$7366+Sens!$M$7435</f>
        <v>1487.60414389864</v>
      </c>
      <c r="N7436" s="38" t="n">
        <f aca="false">Q!$N$8</f>
        <v>323.369</v>
      </c>
      <c r="O7436" s="38" t="n">
        <f aca="false">Q!$O$8</f>
        <v>393.555</v>
      </c>
    </row>
    <row r="7437" customFormat="false" ht="17.15" hidden="false" customHeight="false" outlineLevel="0" collapsed="false">
      <c r="A7437" s="24" t="s">
        <v>703</v>
      </c>
      <c r="B7437" s="25" t="s">
        <v>86</v>
      </c>
      <c r="C7437" s="41" t="n">
        <f aca="false">Sens!$C$7366-(Sens!$C$7368+Sens!$C$7369)</f>
        <v>0</v>
      </c>
      <c r="D7437" s="41" t="n">
        <f aca="false">Sens!$D$7366-(Sens!$D$7368+Sens!$D$7369)</f>
        <v>0</v>
      </c>
      <c r="E7437" s="41" t="n">
        <f aca="false">Sens!$E$7366-(Sens!$E$7368+Sens!$E$7369)</f>
        <v>0</v>
      </c>
      <c r="F7437" s="41" t="n">
        <f aca="false">Sens!$F$7366-(Sens!$F$7368+Sens!$F$7369)</f>
        <v>0</v>
      </c>
      <c r="G7437" s="41" t="n">
        <f aca="false">Sens!$G$7366-(Sens!$G$7368+Sens!$G$7369)</f>
        <v>0</v>
      </c>
      <c r="H7437" s="41" t="n">
        <f aca="false">Sens!$H$7366-(Sens!$H$7368+Sens!$H$7369)</f>
        <v>0</v>
      </c>
      <c r="I7437" s="41" t="n">
        <f aca="false">Sens!$I$7366-(Sens!$I$7368+Sens!$I$7369)</f>
        <v>0</v>
      </c>
      <c r="J7437" s="41" t="n">
        <f aca="false">Sens!$J$7366-(Sens!$J$7368+Sens!$J$7369)</f>
        <v>0</v>
      </c>
      <c r="K7437" s="41" t="n">
        <f aca="false">Sens!$K$7366-(Sens!$K$7368+Sens!$K$7369)</f>
        <v>0</v>
      </c>
      <c r="L7437" s="41" t="n">
        <f aca="false">Sens!$L$7366-(Sens!$L$7368+Sens!$L$7369)</f>
        <v>0</v>
      </c>
      <c r="M7437" s="41" t="n">
        <f aca="false">Sens!$M$7366-(Sens!$M$7368+Sens!$M$7369)</f>
        <v>0</v>
      </c>
      <c r="N7437" s="41" t="n">
        <f aca="false">Sens!$N$7366-(Sens!$N$7368+Sens!$N$7369)</f>
        <v>0</v>
      </c>
      <c r="O7437" s="41" t="n">
        <f aca="false">Sens!$O$7366-(Sens!$O$7368+Sens!$O$7369)</f>
        <v>0</v>
      </c>
    </row>
    <row r="7438" customFormat="false" ht="17.15" hidden="false" customHeight="false" outlineLevel="0" collapsed="false">
      <c r="A7438" s="24" t="s">
        <v>704</v>
      </c>
      <c r="B7438" s="25" t="s">
        <v>86</v>
      </c>
      <c r="C7438" s="41" t="n">
        <f aca="false">Sens!$C$7433+Sens!$C$7434-Sens!$C$7435</f>
        <v>0</v>
      </c>
      <c r="D7438" s="41" t="n">
        <f aca="false">Sens!$D$7433+Sens!$D$7434-Sens!$D$7435</f>
        <v>0</v>
      </c>
      <c r="E7438" s="41" t="n">
        <f aca="false">Sens!$E$7433+Sens!$E$7434-Sens!$E$7435</f>
        <v>0</v>
      </c>
      <c r="F7438" s="41" t="n">
        <f aca="false">Sens!$F$7433+Sens!$F$7434-Sens!$F$7435</f>
        <v>0</v>
      </c>
      <c r="G7438" s="41" t="n">
        <f aca="false">Sens!$G$7433+Sens!$G$7434-Sens!$G$7435</f>
        <v>0</v>
      </c>
      <c r="H7438" s="41" t="n">
        <f aca="false">Sens!$H$7433+Sens!$H$7434-Sens!$H$7435</f>
        <v>0</v>
      </c>
      <c r="I7438" s="41" t="n">
        <f aca="false">Sens!$I$7433+Sens!$I$7434-Sens!$I$7435</f>
        <v>0</v>
      </c>
      <c r="J7438" s="41" t="n">
        <f aca="false">Sens!$J$7433+Sens!$J$7434-Sens!$J$7435</f>
        <v>0</v>
      </c>
      <c r="K7438" s="41" t="n">
        <f aca="false">Sens!$K$7433+Sens!$K$7434-Sens!$K$7435</f>
        <v>0</v>
      </c>
      <c r="L7438" s="41" t="n">
        <f aca="false">Sens!$L$7433+Sens!$L$7434-Sens!$L$7435</f>
        <v>0</v>
      </c>
      <c r="M7438" s="41" t="n">
        <f aca="false">Sens!$M$7433+Sens!$M$7434-Sens!$M$7435</f>
        <v>0</v>
      </c>
      <c r="N7438" s="41" t="n">
        <f aca="false">Sens!$N$7433+Sens!$N$7434-Sens!$N$7435</f>
        <v>0</v>
      </c>
      <c r="O7438" s="41" t="n">
        <f aca="false">Sens!$O$7433+Sens!$O$7434-Sens!$O$7435</f>
        <v>0</v>
      </c>
    </row>
    <row r="7439" customFormat="false" ht="17.15" hidden="false" customHeight="false" outlineLevel="0" collapsed="false">
      <c r="A7439" s="24" t="s">
        <v>705</v>
      </c>
      <c r="B7439" s="25" t="s">
        <v>86</v>
      </c>
      <c r="C7439" s="41" t="n">
        <f aca="false">Sens!$C$7368+Sens!$C$7369+Sens!$C$7435-Sens!$C$7436</f>
        <v>0</v>
      </c>
      <c r="D7439" s="41" t="n">
        <f aca="false">Sens!$D$7368+Sens!$D$7369+Sens!$D$7435-Sens!$D$7436</f>
        <v>0</v>
      </c>
      <c r="E7439" s="41" t="n">
        <f aca="false">Sens!$E$7368+Sens!$E$7369+Sens!$E$7435-Sens!$E$7436</f>
        <v>0</v>
      </c>
      <c r="F7439" s="41" t="n">
        <f aca="false">Sens!$F$7368+Sens!$F$7369+Sens!$F$7435-Sens!$F$7436</f>
        <v>0</v>
      </c>
      <c r="G7439" s="41" t="n">
        <f aca="false">Sens!$G$7368+Sens!$G$7369+Sens!$G$7435-Sens!$G$7436</f>
        <v>0</v>
      </c>
      <c r="H7439" s="41" t="n">
        <f aca="false">Sens!$H$7368+Sens!$H$7369+Sens!$H$7435-Sens!$H$7436</f>
        <v>0</v>
      </c>
      <c r="I7439" s="41" t="n">
        <f aca="false">Sens!$I$7368+Sens!$I$7369+Sens!$I$7435-Sens!$I$7436</f>
        <v>0</v>
      </c>
      <c r="J7439" s="41" t="n">
        <f aca="false">Sens!$J$7368+Sens!$J$7369+Sens!$J$7435-Sens!$J$7436</f>
        <v>0</v>
      </c>
      <c r="K7439" s="41" t="n">
        <f aca="false">Sens!$K$7368+Sens!$K$7369+Sens!$K$7435-Sens!$K$7436</f>
        <v>0</v>
      </c>
      <c r="L7439" s="41" t="n">
        <f aca="false">Sens!$L$7368+Sens!$L$7369+Sens!$L$7435-Sens!$L$7436</f>
        <v>0</v>
      </c>
      <c r="M7439" s="41" t="n">
        <f aca="false">Sens!$M$7368+Sens!$M$7369+Sens!$M$7435-Sens!$M$7436</f>
        <v>0</v>
      </c>
      <c r="N7439" s="41" t="n">
        <f aca="false">Sens!$N$7368+Sens!$N$7369+Sens!$N$7435-Sens!$N$7436</f>
        <v>0</v>
      </c>
      <c r="O7439" s="41" t="n">
        <f aca="false">Sens!$O$7368+Sens!$O$7369+Sens!$O$7435-Sens!$O$7436</f>
        <v>0</v>
      </c>
    </row>
    <row r="7440" customFormat="false" ht="15" hidden="false" customHeight="false" outlineLevel="0" collapsed="false">
      <c r="A7440" s="5" t="s">
        <v>699</v>
      </c>
      <c r="B7440" s="0" t="s">
        <v>52</v>
      </c>
      <c r="G7440" s="13" t="n">
        <f aca="false">Sens!$G$7436/Sens!$D$7436-1</f>
        <v>0.140854504918937</v>
      </c>
      <c r="H7440" s="13" t="n">
        <f aca="false">Sens!$H$7436/Sens!$G$7436-1</f>
        <v>0.152063789793209</v>
      </c>
      <c r="I7440" s="13" t="n">
        <f aca="false">Sens!$I$7436/Sens!$H$7436-1</f>
        <v>0.134273264437417</v>
      </c>
      <c r="J7440" s="13" t="n">
        <f aca="false">Sens!$J$7436/Sens!$I$7436-1</f>
        <v>0.113310421234083</v>
      </c>
      <c r="K7440" s="13" t="n">
        <f aca="false">Sens!$K$7436/Sens!$J$7436-1</f>
        <v>0.0892108343223652</v>
      </c>
      <c r="L7440" s="13" t="n">
        <f aca="false">Sens!$L$7436/Sens!$K$7436-1</f>
        <v>0.076471362444261</v>
      </c>
      <c r="M7440" s="13" t="n">
        <f aca="false">Sens!$M$7436/Sens!$L$7436-1</f>
        <v>0.066250060256672</v>
      </c>
    </row>
    <row r="7441" customFormat="false" ht="17.15" hidden="false" customHeight="false" outlineLevel="0" collapsed="false">
      <c r="A7441" s="0" t="s">
        <v>700</v>
      </c>
      <c r="B7441" s="0" t="s">
        <v>52</v>
      </c>
      <c r="C7441" s="13" t="n">
        <f aca="false">Sens!$C$7435/Sens!$C$7436</f>
        <v>0.168593906504964</v>
      </c>
      <c r="D7441" s="13" t="n">
        <f aca="false">Sens!$D$7435/Sens!$D$7436</f>
        <v>0.179551807444025</v>
      </c>
      <c r="E7441" s="13" t="n">
        <f aca="false">Sens!$E$7435/Sens!$E$7436</f>
        <v>0.208881910369643</v>
      </c>
      <c r="F7441" s="13" t="n">
        <f aca="false">Sens!$F$7435/Sens!$F$7436</f>
        <v>0.199028269699356</v>
      </c>
      <c r="G7441" s="13" t="n">
        <f aca="false">Sens!$G$7435/Sens!$G$7436</f>
        <v>0.203631882529968</v>
      </c>
      <c r="H7441" s="13" t="n">
        <f aca="false">Sens!$H$7435/Sens!$H$7436</f>
        <v>0.234731715958496</v>
      </c>
      <c r="I7441" s="13" t="n">
        <f aca="false">Sens!$I$7435/Sens!$I$7436</f>
        <v>0.262231204480418</v>
      </c>
      <c r="J7441" s="13" t="n">
        <f aca="false">Sens!$J$7435/Sens!$J$7436</f>
        <v>0.284728366013706</v>
      </c>
      <c r="K7441" s="13" t="n">
        <f aca="false">Sens!$K$7435/Sens!$K$7436</f>
        <v>0.300823304959505</v>
      </c>
      <c r="L7441" s="13" t="n">
        <f aca="false">Sens!$L$7435/Sens!$L$7436</f>
        <v>0.308263164529735</v>
      </c>
      <c r="M7441" s="13" t="n">
        <f aca="false">Sens!$M$7435/Sens!$M$7436</f>
        <v>0.308856517936036</v>
      </c>
      <c r="N7441" s="13" t="n">
        <f aca="false">Sens!$N$7435/Sens!$N$7436</f>
        <v>0.185979484737251</v>
      </c>
      <c r="O7441" s="13" t="n">
        <f aca="false">Sens!$O$7435/Sens!$O$7436</f>
        <v>0.174270432341096</v>
      </c>
    </row>
    <row r="7442" customFormat="false" ht="17.15" hidden="false" customHeight="false" outlineLevel="0" collapsed="false">
      <c r="A7442" s="0" t="s">
        <v>701</v>
      </c>
      <c r="B7442" s="0" t="s">
        <v>52</v>
      </c>
      <c r="C7442" s="13" t="n">
        <f aca="false">Sens!$C$7433/Sens!$C$7435</f>
        <v>0.0215795060896058</v>
      </c>
      <c r="D7442" s="13" t="n">
        <f aca="false">Sens!$D$7433/Sens!$D$7435</f>
        <v>0.0676152269462122</v>
      </c>
      <c r="E7442" s="13" t="n">
        <f aca="false">Sens!$E$7433/Sens!$E$7435</f>
        <v>0.106620641395783</v>
      </c>
      <c r="F7442" s="13" t="n">
        <f aca="false">Sens!$F$7433/Sens!$F$7435</f>
        <v>0.172523487401099</v>
      </c>
      <c r="G7442" s="13" t="n">
        <f aca="false">Sens!$G$7433/Sens!$G$7435</f>
        <v>0.140939911795589</v>
      </c>
      <c r="H7442" s="13" t="n">
        <f aca="false">Sens!$H$7433/Sens!$H$7435</f>
        <v>0.272018642937714</v>
      </c>
      <c r="I7442" s="13" t="n">
        <f aca="false">Sens!$I$7433/Sens!$I$7435</f>
        <v>0.362159512436497</v>
      </c>
      <c r="J7442" s="13" t="n">
        <f aca="false">Sens!$J$7433/Sens!$J$7435</f>
        <v>0.422151735934609</v>
      </c>
      <c r="K7442" s="13" t="n">
        <f aca="false">Sens!$K$7433/Sens!$K$7435</f>
        <v>0.45769342068485</v>
      </c>
      <c r="L7442" s="13" t="n">
        <f aca="false">Sens!$L$7433/Sens!$L$7435</f>
        <v>0.469047103913472</v>
      </c>
      <c r="M7442" s="13" t="n">
        <f aca="false">Sens!$M$7433/Sens!$M$7435</f>
        <v>0.463233328258093</v>
      </c>
      <c r="N7442" s="13" t="n">
        <f aca="false">Sens!$N$7433/Sens!$N$7435</f>
        <v>0.0506537999838362</v>
      </c>
      <c r="O7442" s="13" t="n">
        <f aca="false">Sens!$O$7433/Sens!$O$7435</f>
        <v>0.0824881615167056</v>
      </c>
    </row>
    <row r="7445" customFormat="false" ht="19.4" hidden="false" customHeight="false" outlineLevel="0" collapsed="false">
      <c r="A7445" s="31" t="s">
        <v>1287</v>
      </c>
    </row>
    <row r="7446" customFormat="false" ht="17.15" hidden="false" customHeight="false" outlineLevel="0" collapsed="false">
      <c r="A7446" s="6" t="s">
        <v>16</v>
      </c>
      <c r="B7446" s="6" t="s">
        <v>17</v>
      </c>
      <c r="C7446" s="20" t="s">
        <v>497</v>
      </c>
      <c r="D7446" s="20" t="s">
        <v>498</v>
      </c>
      <c r="E7446" s="20" t="s">
        <v>580</v>
      </c>
      <c r="F7446" s="20" t="s">
        <v>581</v>
      </c>
      <c r="G7446" s="20" t="s">
        <v>582</v>
      </c>
      <c r="H7446" s="20" t="s">
        <v>583</v>
      </c>
      <c r="I7446" s="20" t="s">
        <v>584</v>
      </c>
      <c r="J7446" s="20" t="s">
        <v>585</v>
      </c>
      <c r="K7446" s="20" t="s">
        <v>586</v>
      </c>
      <c r="L7446" s="20" t="s">
        <v>587</v>
      </c>
      <c r="M7446" s="20" t="s">
        <v>588</v>
      </c>
      <c r="N7446" s="20" t="s">
        <v>589</v>
      </c>
      <c r="O7446" s="20" t="s">
        <v>590</v>
      </c>
      <c r="P7446" s="6" t="s">
        <v>23</v>
      </c>
      <c r="R7446" s="20" t="n">
        <v>2023</v>
      </c>
      <c r="S7446" s="20" t="n">
        <v>2024</v>
      </c>
      <c r="T7446" s="20" t="n">
        <v>2025</v>
      </c>
      <c r="U7446" s="20" t="n">
        <v>2026</v>
      </c>
      <c r="V7446" s="20" t="n">
        <v>2027</v>
      </c>
      <c r="W7446" s="20" t="n">
        <v>2028</v>
      </c>
      <c r="X7446" s="20" t="n">
        <v>2029</v>
      </c>
      <c r="Y7446" s="20" t="n">
        <v>2030</v>
      </c>
      <c r="Z7446" s="20" t="n">
        <v>2031</v>
      </c>
      <c r="AA7446" s="20" t="n">
        <v>2032</v>
      </c>
    </row>
    <row r="7447" customFormat="false" ht="17.15" hidden="false" customHeight="false" outlineLevel="0" collapsed="false">
      <c r="A7447" s="1" t="s">
        <v>716</v>
      </c>
    </row>
    <row r="7448" customFormat="false" ht="15" hidden="false" customHeight="false" outlineLevel="0" collapsed="false">
      <c r="A7448" s="0" t="s">
        <v>519</v>
      </c>
      <c r="B7448" s="0" t="s">
        <v>86</v>
      </c>
      <c r="C7448" s="38" t="n">
        <f aca="false">Sens!$C$7353</f>
        <v>247.029</v>
      </c>
      <c r="D7448" s="38" t="n">
        <f aca="false">Sens!$D$7353</f>
        <v>269.287</v>
      </c>
      <c r="E7448" s="38" t="n">
        <f aca="false">Sens!$E$7353</f>
        <v>134.686</v>
      </c>
      <c r="F7448" s="38" t="n">
        <f aca="false">Sens!$F$7353</f>
        <v>158.293876822267</v>
      </c>
      <c r="G7448" s="38" t="n">
        <f aca="false">Sens!$G$7353</f>
        <v>292.979876822267</v>
      </c>
      <c r="H7448" s="38" t="n">
        <f aca="false">Sens!$H$7353</f>
        <v>318.184543087396</v>
      </c>
      <c r="I7448" s="38" t="n">
        <f aca="false">Sens!$I$7353</f>
        <v>341.736278761793</v>
      </c>
      <c r="J7448" s="38" t="n">
        <f aca="false">Sens!$J$7353</f>
        <v>362.927192787048</v>
      </c>
      <c r="K7448" s="38" t="n">
        <f aca="false">Sens!$K$7353</f>
        <v>381.0735524264</v>
      </c>
      <c r="L7448" s="38" t="n">
        <f aca="false">Sens!$L$7353</f>
        <v>400.12723004772</v>
      </c>
      <c r="M7448" s="38" t="n">
        <f aca="false">Sens!$M$7353</f>
        <v>420.133591550106</v>
      </c>
      <c r="N7448" s="38" t="n">
        <f aca="false">Sens!$N$7353</f>
        <v>118.892</v>
      </c>
      <c r="O7448" s="38" t="n">
        <f aca="false">Sens!$O$7353</f>
        <v>150.395</v>
      </c>
    </row>
    <row r="7449" customFormat="false" ht="15" hidden="false" customHeight="false" outlineLevel="0" collapsed="false">
      <c r="A7449" s="0" t="s">
        <v>520</v>
      </c>
      <c r="B7449" s="0" t="s">
        <v>86</v>
      </c>
      <c r="C7449" s="38" t="n">
        <f aca="false">Sens!$C$7355</f>
        <v>21.215</v>
      </c>
      <c r="D7449" s="38" t="n">
        <f aca="false">Sens!$D$7355</f>
        <v>22.561</v>
      </c>
      <c r="E7449" s="38" t="n">
        <f aca="false">Sens!$E$7355</f>
        <v>11.579</v>
      </c>
      <c r="F7449" s="38" t="n">
        <f aca="false">Sens!$F$7355</f>
        <v>11.5938724610325</v>
      </c>
      <c r="G7449" s="38" t="n">
        <f aca="false">Sens!$G$7355</f>
        <v>23.1728724610325</v>
      </c>
      <c r="H7449" s="38" t="n">
        <f aca="false">Sens!$H$7355</f>
        <v>24.353392759506</v>
      </c>
      <c r="I7449" s="38" t="n">
        <f aca="false">Sens!$I$7355</f>
        <v>25.4240338872015</v>
      </c>
      <c r="J7449" s="38" t="n">
        <f aca="false">Sens!$J$7355</f>
        <v>26.3642491017174</v>
      </c>
      <c r="K7449" s="38" t="n">
        <f aca="false">Sens!$K$7355</f>
        <v>27.155176574769</v>
      </c>
      <c r="L7449" s="38" t="n">
        <f aca="false">Sens!$L$7355</f>
        <v>27.969831872012</v>
      </c>
      <c r="M7449" s="38" t="n">
        <f aca="false">Sens!$M$7355</f>
        <v>28.8089268281724</v>
      </c>
      <c r="N7449" s="38" t="n">
        <f aca="false">Sens!$N$7355</f>
        <v>11.128</v>
      </c>
      <c r="O7449" s="38" t="n">
        <f aca="false">Sens!$O$7355</f>
        <v>11.433</v>
      </c>
    </row>
    <row r="7450" customFormat="false" ht="15" hidden="false" customHeight="false" outlineLevel="0" collapsed="false">
      <c r="A7450" s="0" t="s">
        <v>521</v>
      </c>
      <c r="B7450" s="0" t="s">
        <v>86</v>
      </c>
      <c r="C7450" s="38" t="n">
        <f aca="false">Sens!$C$7357</f>
        <v>156.146</v>
      </c>
      <c r="D7450" s="38" t="n">
        <f aca="false">Sens!$D$7357</f>
        <v>172.162</v>
      </c>
      <c r="E7450" s="38" t="n">
        <f aca="false">Sens!$E$7357</f>
        <v>88.358</v>
      </c>
      <c r="F7450" s="38" t="n">
        <f aca="false">Sens!$F$7357</f>
        <v>102.004388260171</v>
      </c>
      <c r="G7450" s="38" t="n">
        <f aca="false">Sens!$G$7357</f>
        <v>190.362388260171</v>
      </c>
      <c r="H7450" s="38" t="n">
        <f aca="false">Sens!$H$7357</f>
        <v>210.343106588311</v>
      </c>
      <c r="I7450" s="38" t="n">
        <f aca="false">Sens!$I$7357</f>
        <v>229.969728494648</v>
      </c>
      <c r="J7450" s="38" t="n">
        <f aca="false">Sens!$J$7357</f>
        <v>248.747636972598</v>
      </c>
      <c r="K7450" s="38" t="n">
        <f aca="false">Sens!$K$7357</f>
        <v>266.15997156068</v>
      </c>
      <c r="L7450" s="38" t="n">
        <f aca="false">Sens!$L$7357</f>
        <v>284.791169569927</v>
      </c>
      <c r="M7450" s="38" t="n">
        <f aca="false">Sens!$M$7357</f>
        <v>304.726551439822</v>
      </c>
      <c r="N7450" s="38" t="n">
        <f aca="false">Sens!$N$7357</f>
        <v>76.86</v>
      </c>
      <c r="O7450" s="38" t="n">
        <f aca="false">Sens!$O$7357</f>
        <v>95.302</v>
      </c>
    </row>
    <row r="7451" customFormat="false" ht="15" hidden="false" customHeight="false" outlineLevel="0" collapsed="false">
      <c r="A7451" s="0" t="s">
        <v>522</v>
      </c>
      <c r="B7451" s="0" t="s">
        <v>86</v>
      </c>
      <c r="C7451" s="38" t="n">
        <f aca="false">Sens!$C$7359</f>
        <v>56.214</v>
      </c>
      <c r="D7451" s="38" t="n">
        <f aca="false">Sens!$D$7359</f>
        <v>68.635</v>
      </c>
      <c r="E7451" s="38" t="n">
        <f aca="false">Sens!$E$7359</f>
        <v>37.052</v>
      </c>
      <c r="F7451" s="38" t="n">
        <f aca="false">Sens!$F$7359</f>
        <v>46.1572219944148</v>
      </c>
      <c r="G7451" s="38" t="n">
        <f aca="false">Sens!$G$7359</f>
        <v>83.2092219944148</v>
      </c>
      <c r="H7451" s="38" t="n">
        <f aca="false">Sens!$H$7359</f>
        <v>99.8969223878976</v>
      </c>
      <c r="I7451" s="38" t="n">
        <f aca="false">Sens!$I$7359</f>
        <v>116.583111095496</v>
      </c>
      <c r="J7451" s="38" t="n">
        <f aca="false">Sens!$J$7359</f>
        <v>132.148941941952</v>
      </c>
      <c r="K7451" s="38" t="n">
        <f aca="false">Sens!$K$7359</f>
        <v>145.363836136147</v>
      </c>
      <c r="L7451" s="38" t="n">
        <f aca="false">Sens!$L$7359</f>
        <v>159.900219749762</v>
      </c>
      <c r="M7451" s="38" t="n">
        <f aca="false">Sens!$M$7359</f>
        <v>175.890241724738</v>
      </c>
      <c r="N7451" s="38" t="n">
        <f aca="false">Sens!$N$7359</f>
        <v>29.615</v>
      </c>
      <c r="O7451" s="38" t="n">
        <f aca="false">Sens!$O$7359</f>
        <v>39.02</v>
      </c>
    </row>
    <row r="7452" customFormat="false" ht="15" hidden="false" customHeight="false" outlineLevel="0" collapsed="false">
      <c r="A7452" s="0" t="s">
        <v>523</v>
      </c>
      <c r="B7452" s="0" t="s">
        <v>86</v>
      </c>
      <c r="C7452" s="38" t="n">
        <f aca="false">Sens!$C$7361</f>
        <v>44.374</v>
      </c>
      <c r="D7452" s="38" t="n">
        <f aca="false">Sens!$D$7361</f>
        <v>49.619</v>
      </c>
      <c r="E7452" s="38" t="n">
        <f aca="false">Sens!$E$7361</f>
        <v>27.157</v>
      </c>
      <c r="F7452" s="38" t="n">
        <f aca="false">Sens!$F$7361</f>
        <v>27.7764165988154</v>
      </c>
      <c r="G7452" s="38" t="n">
        <f aca="false">Sens!$G$7361</f>
        <v>54.9334165988154</v>
      </c>
      <c r="H7452" s="38" t="n">
        <f aca="false">Sens!$H$7361</f>
        <v>61.1564112561829</v>
      </c>
      <c r="I7452" s="38" t="n">
        <f aca="false">Sens!$I$7361</f>
        <v>67.2020282103945</v>
      </c>
      <c r="J7452" s="38" t="n">
        <f aca="false">Sens!$J$7361</f>
        <v>72.8757274028885</v>
      </c>
      <c r="K7452" s="38" t="n">
        <f aca="false">Sens!$K$7361</f>
        <v>77.9770283210907</v>
      </c>
      <c r="L7452" s="38" t="n">
        <f aca="false">Sens!$L$7361</f>
        <v>83.4354203035671</v>
      </c>
      <c r="M7452" s="38" t="n">
        <f aca="false">Sens!$M$7361</f>
        <v>89.2758997248168</v>
      </c>
      <c r="N7452" s="38" t="n">
        <f aca="false">Sens!$N$7361</f>
        <v>23.923</v>
      </c>
      <c r="O7452" s="38" t="n">
        <f aca="false">Sens!$O$7361</f>
        <v>25.696</v>
      </c>
    </row>
    <row r="7453" customFormat="false" ht="15" hidden="false" customHeight="false" outlineLevel="0" collapsed="false">
      <c r="A7453" s="0" t="s">
        <v>524</v>
      </c>
      <c r="B7453" s="0" t="s">
        <v>86</v>
      </c>
      <c r="C7453" s="38" t="n">
        <f aca="false">Sens!$C$7363</f>
        <v>5.425</v>
      </c>
      <c r="D7453" s="38" t="n">
        <f aca="false">Sens!$D$7363</f>
        <v>5.935</v>
      </c>
      <c r="E7453" s="38" t="n">
        <f aca="false">Sens!$E$7363</f>
        <v>3.474</v>
      </c>
      <c r="F7453" s="38" t="n">
        <f aca="false">Sens!$F$7363</f>
        <v>3.22246550883619</v>
      </c>
      <c r="G7453" s="38" t="n">
        <f aca="false">Sens!$G$7363</f>
        <v>6.69646550883619</v>
      </c>
      <c r="H7453" s="38" t="n">
        <f aca="false">Sens!$H$7363</f>
        <v>7.16251344209196</v>
      </c>
      <c r="I7453" s="38" t="n">
        <f aca="false">Sens!$I$7363</f>
        <v>7.61421070299826</v>
      </c>
      <c r="J7453" s="38" t="n">
        <f aca="false">Sens!$J$7363</f>
        <v>8.04465753523932</v>
      </c>
      <c r="K7453" s="38" t="n">
        <f aca="false">Sens!$K$7363</f>
        <v>8.44689041200128</v>
      </c>
      <c r="L7453" s="38" t="n">
        <f aca="false">Sens!$L$7363</f>
        <v>8.86923493260135</v>
      </c>
      <c r="M7453" s="38" t="n">
        <f aca="false">Sens!$M$7363</f>
        <v>9.31269667923142</v>
      </c>
      <c r="N7453" s="38" t="n">
        <f aca="false">Sens!$N$7363</f>
        <v>2.811</v>
      </c>
      <c r="O7453" s="38" t="n">
        <f aca="false">Sens!$O$7363</f>
        <v>3.124</v>
      </c>
    </row>
    <row r="7454" customFormat="false" ht="17.15" hidden="false" customHeight="false" outlineLevel="0" collapsed="false">
      <c r="A7454" s="0" t="s">
        <v>717</v>
      </c>
      <c r="B7454" s="0" t="s">
        <v>86</v>
      </c>
      <c r="C7454" s="38" t="n">
        <f aca="false">Sens!$C$7435</f>
        <v>107.556</v>
      </c>
      <c r="D7454" s="38" t="n">
        <f aca="false">Sens!$D$7435</f>
        <v>128.725</v>
      </c>
      <c r="E7454" s="38" t="n">
        <f aca="false">Sens!$E$7435</f>
        <v>79.819</v>
      </c>
      <c r="F7454" s="38" t="n">
        <f aca="false">Sens!$F$7435</f>
        <v>86.7327334389669</v>
      </c>
      <c r="G7454" s="38" t="n">
        <f aca="false">Sens!$G$7435</f>
        <v>166.551733438967</v>
      </c>
      <c r="H7454" s="38" t="n">
        <f aca="false">Sens!$H$7435</f>
        <v>221.182967828978</v>
      </c>
      <c r="I7454" s="38" t="n">
        <f aca="false">Sens!$I$7435</f>
        <v>280.27345865789</v>
      </c>
      <c r="J7454" s="38" t="n">
        <f aca="false">Sens!$J$7435</f>
        <v>338.800945197185</v>
      </c>
      <c r="K7454" s="38" t="n">
        <f aca="false">Sens!$K$7435</f>
        <v>389.88570147276</v>
      </c>
      <c r="L7454" s="38" t="n">
        <f aca="false">Sens!$L$7435</f>
        <v>430.080689379143</v>
      </c>
      <c r="M7454" s="38" t="n">
        <f aca="false">Sens!$M$7435</f>
        <v>459.456235951751</v>
      </c>
      <c r="N7454" s="38" t="n">
        <f aca="false">Sens!$N$7435</f>
        <v>60.14</v>
      </c>
      <c r="O7454" s="38" t="n">
        <f aca="false">Sens!$O$7435</f>
        <v>68.585</v>
      </c>
    </row>
    <row r="7455" customFormat="false" ht="15" hidden="false" customHeight="false" outlineLevel="0" collapsed="false">
      <c r="A7455" s="1" t="s">
        <v>512</v>
      </c>
      <c r="B7455" s="8" t="s">
        <v>86</v>
      </c>
      <c r="C7455" s="38" t="n">
        <f aca="false">Sens!$C$7368</f>
        <v>387.497</v>
      </c>
      <c r="D7455" s="38" t="n">
        <f aca="false">Sens!$D$7368</f>
        <v>426.305</v>
      </c>
      <c r="E7455" s="38" t="n">
        <f aca="false">Sens!$E$7368</f>
        <v>220.32</v>
      </c>
      <c r="F7455" s="38" t="n">
        <f aca="false">Sens!$F$7368</f>
        <v>250.639773480586</v>
      </c>
      <c r="G7455" s="38" t="n">
        <f aca="false">Sens!$G$7368</f>
        <v>470.959773480586</v>
      </c>
      <c r="H7455" s="38" t="n">
        <f aca="false">Sens!$H$7368</f>
        <v>521.386990416437</v>
      </c>
      <c r="I7455" s="38" t="n">
        <f aca="false">Sens!$I$7368</f>
        <v>570.143862887555</v>
      </c>
      <c r="J7455" s="38" t="n">
        <f aca="false">Sens!$J$7368</f>
        <v>615.391435791933</v>
      </c>
      <c r="K7455" s="38" t="n">
        <f aca="false">Sens!$K$7368</f>
        <v>655.208227561543</v>
      </c>
      <c r="L7455" s="38" t="n">
        <f aca="false">Sens!$L$7368</f>
        <v>697.807739249767</v>
      </c>
      <c r="M7455" s="38" t="n">
        <f aca="false">Sens!$M$7368</f>
        <v>743.399328463592</v>
      </c>
      <c r="N7455" s="38" t="n">
        <f aca="false">Sens!$N$7368</f>
        <v>192.955</v>
      </c>
      <c r="O7455" s="38" t="n">
        <f aca="false">Sens!$O$7368</f>
        <v>233.35</v>
      </c>
    </row>
    <row r="7456" customFormat="false" ht="15" hidden="false" customHeight="false" outlineLevel="0" collapsed="false">
      <c r="A7456" s="1" t="s">
        <v>515</v>
      </c>
      <c r="B7456" s="8" t="s">
        <v>86</v>
      </c>
      <c r="C7456" s="38" t="n">
        <f aca="false">Sens!$C$7369</f>
        <v>142.906</v>
      </c>
      <c r="D7456" s="38" t="n">
        <f aca="false">Sens!$D$7369</f>
        <v>161.894</v>
      </c>
      <c r="E7456" s="38" t="n">
        <f aca="false">Sens!$E$7369</f>
        <v>81.986</v>
      </c>
      <c r="F7456" s="38" t="n">
        <f aca="false">Sens!$F$7369</f>
        <v>98.408468164951</v>
      </c>
      <c r="G7456" s="38" t="n">
        <f aca="false">Sens!$G$7369</f>
        <v>180.394468164951</v>
      </c>
      <c r="H7456" s="38" t="n">
        <f aca="false">Sens!$H$7369</f>
        <v>199.709899104949</v>
      </c>
      <c r="I7456" s="38" t="n">
        <f aca="false">Sens!$I$7369</f>
        <v>218.385528264976</v>
      </c>
      <c r="J7456" s="38" t="n">
        <f aca="false">Sens!$J$7369</f>
        <v>235.71696994951</v>
      </c>
      <c r="K7456" s="38" t="n">
        <f aca="false">Sens!$K$7369</f>
        <v>250.968227869545</v>
      </c>
      <c r="L7456" s="38" t="n">
        <f aca="false">Sens!$L$7369</f>
        <v>267.285367225822</v>
      </c>
      <c r="M7456" s="38" t="n">
        <f aca="false">Sens!$M$7369</f>
        <v>284.748579483295</v>
      </c>
      <c r="N7456" s="38" t="n">
        <f aca="false">Sens!$N$7369</f>
        <v>70.274</v>
      </c>
      <c r="O7456" s="38" t="n">
        <f aca="false">Sens!$O$7369</f>
        <v>91.62</v>
      </c>
    </row>
    <row r="7457" customFormat="false" ht="15" hidden="false" customHeight="false" outlineLevel="0" collapsed="false">
      <c r="A7457" s="1" t="s">
        <v>516</v>
      </c>
      <c r="B7457" s="8" t="s">
        <v>86</v>
      </c>
      <c r="C7457" s="38" t="n">
        <f aca="false">Sens!$C$7435</f>
        <v>107.556</v>
      </c>
      <c r="D7457" s="38" t="n">
        <f aca="false">Sens!$D$7435</f>
        <v>128.725</v>
      </c>
      <c r="E7457" s="38" t="n">
        <f aca="false">Sens!$E$7435</f>
        <v>79.819</v>
      </c>
      <c r="F7457" s="38" t="n">
        <f aca="false">Sens!$F$7435</f>
        <v>86.7327334389669</v>
      </c>
      <c r="G7457" s="38" t="n">
        <f aca="false">Sens!$G$7435</f>
        <v>166.551733438967</v>
      </c>
      <c r="H7457" s="38" t="n">
        <f aca="false">Sens!$H$7435</f>
        <v>221.182967828978</v>
      </c>
      <c r="I7457" s="38" t="n">
        <f aca="false">Sens!$I$7435</f>
        <v>280.27345865789</v>
      </c>
      <c r="J7457" s="38" t="n">
        <f aca="false">Sens!$J$7435</f>
        <v>338.800945197185</v>
      </c>
      <c r="K7457" s="38" t="n">
        <f aca="false">Sens!$K$7435</f>
        <v>389.88570147276</v>
      </c>
      <c r="L7457" s="38" t="n">
        <f aca="false">Sens!$L$7435</f>
        <v>430.080689379143</v>
      </c>
      <c r="M7457" s="38" t="n">
        <f aca="false">Sens!$M$7435</f>
        <v>459.456235951751</v>
      </c>
      <c r="N7457" s="38" t="n">
        <f aca="false">Sens!$N$7435</f>
        <v>60.14</v>
      </c>
      <c r="O7457" s="38" t="n">
        <f aca="false">Sens!$O$7435</f>
        <v>68.585</v>
      </c>
    </row>
    <row r="7458" customFormat="false" ht="17.15" hidden="false" customHeight="false" outlineLevel="0" collapsed="false">
      <c r="A7458" s="0" t="s">
        <v>691</v>
      </c>
      <c r="B7458" s="0" t="s">
        <v>86</v>
      </c>
      <c r="C7458" s="38" t="n">
        <f aca="false">Sens!$C$7433</f>
        <v>2.32100535697364</v>
      </c>
      <c r="D7458" s="38" t="n">
        <f aca="false">Sens!$D$7433</f>
        <v>8.70377008865116</v>
      </c>
      <c r="E7458" s="38" t="n">
        <f aca="false">Sens!$E$7433</f>
        <v>8.51035297557002</v>
      </c>
      <c r="F7458" s="38" t="n">
        <f aca="false">Sens!$F$7433</f>
        <v>14.9634336447205</v>
      </c>
      <c r="G7458" s="38" t="n">
        <f aca="false">Sens!$G$7433</f>
        <v>23.4737866202905</v>
      </c>
      <c r="H7458" s="38" t="n">
        <f aca="false">Sens!$H$7433</f>
        <v>60.1658907497746</v>
      </c>
      <c r="I7458" s="38" t="n">
        <f aca="false">Sens!$I$7433</f>
        <v>101.503699136432</v>
      </c>
      <c r="J7458" s="38" t="n">
        <f aca="false">Sens!$J$7433</f>
        <v>143.025407151278</v>
      </c>
      <c r="K7458" s="38" t="n">
        <f aca="false">Sens!$K$7433</f>
        <v>178.44812038318</v>
      </c>
      <c r="L7458" s="38" t="n">
        <f aca="false">Sens!$L$7433</f>
        <v>201.728101802396</v>
      </c>
      <c r="M7458" s="38" t="n">
        <f aca="false">Sens!$M$7433</f>
        <v>212.835441368865</v>
      </c>
      <c r="N7458" s="38" t="n">
        <f aca="false">Sens!$N$7433</f>
        <v>3.04631953102791</v>
      </c>
      <c r="O7458" s="38" t="n">
        <f aca="false">Sens!$O$7433</f>
        <v>5.65745055762326</v>
      </c>
    </row>
    <row r="7459" customFormat="false" ht="17.15" hidden="false" customHeight="false" outlineLevel="0" collapsed="false">
      <c r="A7459" s="0" t="s">
        <v>693</v>
      </c>
      <c r="B7459" s="0" t="s">
        <v>86</v>
      </c>
      <c r="C7459" s="38" t="n">
        <f aca="false">Sens!$C$7434</f>
        <v>105.234994643026</v>
      </c>
      <c r="D7459" s="38" t="n">
        <f aca="false">Sens!$D$7434</f>
        <v>120.021229911349</v>
      </c>
      <c r="E7459" s="38" t="n">
        <f aca="false">Sens!$E$7434</f>
        <v>71.30864702443</v>
      </c>
      <c r="F7459" s="38" t="n">
        <f aca="false">Sens!$F$7434</f>
        <v>71.7692997942464</v>
      </c>
      <c r="G7459" s="38" t="n">
        <f aca="false">Sens!$G$7434</f>
        <v>143.077946818676</v>
      </c>
      <c r="H7459" s="38" t="n">
        <f aca="false">Sens!$H$7434</f>
        <v>161.017077079203</v>
      </c>
      <c r="I7459" s="38" t="n">
        <f aca="false">Sens!$I$7434</f>
        <v>178.769759521457</v>
      </c>
      <c r="J7459" s="38" t="n">
        <f aca="false">Sens!$J$7434</f>
        <v>195.775538045907</v>
      </c>
      <c r="K7459" s="38" t="n">
        <f aca="false">Sens!$K$7434</f>
        <v>211.43758108958</v>
      </c>
      <c r="L7459" s="38" t="n">
        <f aca="false">Sens!$L$7434</f>
        <v>228.352587576746</v>
      </c>
      <c r="M7459" s="38" t="n">
        <f aca="false">Sens!$M$7434</f>
        <v>246.620794582886</v>
      </c>
      <c r="N7459" s="38" t="n">
        <f aca="false">Sens!$N$7434</f>
        <v>57.0936804689721</v>
      </c>
      <c r="O7459" s="38" t="n">
        <f aca="false">Sens!$O$7434</f>
        <v>62.9275494423768</v>
      </c>
    </row>
    <row r="7460" customFormat="false" ht="15" hidden="false" customHeight="false" outlineLevel="0" collapsed="false">
      <c r="A7460" s="3" t="s">
        <v>517</v>
      </c>
      <c r="B7460" s="8" t="s">
        <v>86</v>
      </c>
      <c r="C7460" s="38" t="n">
        <f aca="false">Sens!$C$7436</f>
        <v>637.959</v>
      </c>
      <c r="D7460" s="38" t="n">
        <f aca="false">Sens!$D$7436</f>
        <v>716.924</v>
      </c>
      <c r="E7460" s="38" t="n">
        <f aca="false">Sens!$E$7436</f>
        <v>382.125</v>
      </c>
      <c r="F7460" s="38" t="n">
        <f aca="false">Sens!$F$7436</f>
        <v>435.780975084504</v>
      </c>
      <c r="G7460" s="38" t="n">
        <f aca="false">Sens!$G$7436</f>
        <v>817.905975084504</v>
      </c>
      <c r="H7460" s="38" t="n">
        <f aca="false">Sens!$H$7436</f>
        <v>942.279857350364</v>
      </c>
      <c r="I7460" s="38" t="n">
        <f aca="false">Sens!$I$7436</f>
        <v>1068.80284981042</v>
      </c>
      <c r="J7460" s="38" t="n">
        <f aca="false">Sens!$J$7436</f>
        <v>1189.90935093863</v>
      </c>
      <c r="K7460" s="38" t="n">
        <f aca="false">Sens!$K$7436</f>
        <v>1296.06215690385</v>
      </c>
      <c r="L7460" s="38" t="n">
        <f aca="false">Sens!$L$7436</f>
        <v>1395.17379585473</v>
      </c>
      <c r="M7460" s="38" t="n">
        <f aca="false">Sens!$M$7436</f>
        <v>1487.60414389864</v>
      </c>
      <c r="N7460" s="38" t="n">
        <f aca="false">Sens!$N$7436</f>
        <v>323.369</v>
      </c>
      <c r="O7460" s="38" t="n">
        <f aca="false">Sens!$O$7436</f>
        <v>393.555</v>
      </c>
    </row>
    <row r="7461" customFormat="false" ht="17.15" hidden="false" customHeight="false" outlineLevel="0" collapsed="false">
      <c r="A7461" s="24" t="s">
        <v>703</v>
      </c>
      <c r="B7461" s="25" t="s">
        <v>86</v>
      </c>
      <c r="C7461" s="41" t="n">
        <f aca="false">Sens!$C$7448+Sens!$C$7449+Sens!$C$7450+Sens!$C$7451+Sens!$C$7452+Sens!$C$7453-(Sens!$C$7455+Sens!$C$7456)</f>
        <v>0</v>
      </c>
      <c r="D7461" s="41" t="n">
        <f aca="false">Sens!$D$7448+Sens!$D$7449+Sens!$D$7450+Sens!$D$7451+Sens!$D$7452+Sens!$D$7453-(Sens!$D$7455+Sens!$D$7456)</f>
        <v>0</v>
      </c>
      <c r="E7461" s="41" t="n">
        <f aca="false">Sens!$E$7448+Sens!$E$7449+Sens!$E$7450+Sens!$E$7451+Sens!$E$7452+Sens!$E$7453-(Sens!$E$7455+Sens!$E$7456)</f>
        <v>0</v>
      </c>
      <c r="F7461" s="41" t="n">
        <f aca="false">Sens!$F$7448+Sens!$F$7449+Sens!$F$7450+Sens!$F$7451+Sens!$F$7452+Sens!$F$7453-(Sens!$F$7455+Sens!$F$7456)</f>
        <v>0</v>
      </c>
      <c r="G7461" s="41" t="n">
        <f aca="false">Sens!$G$7448+Sens!$G$7449+Sens!$G$7450+Sens!$G$7451+Sens!$G$7452+Sens!$G$7453-(Sens!$G$7455+Sens!$G$7456)</f>
        <v>0</v>
      </c>
      <c r="H7461" s="41" t="n">
        <f aca="false">Sens!$H$7448+Sens!$H$7449+Sens!$H$7450+Sens!$H$7451+Sens!$H$7452+Sens!$H$7453-(Sens!$H$7455+Sens!$H$7456)</f>
        <v>0</v>
      </c>
      <c r="I7461" s="41" t="n">
        <f aca="false">Sens!$I$7448+Sens!$I$7449+Sens!$I$7450+Sens!$I$7451+Sens!$I$7452+Sens!$I$7453-(Sens!$I$7455+Sens!$I$7456)</f>
        <v>0</v>
      </c>
      <c r="J7461" s="41" t="n">
        <f aca="false">Sens!$J$7448+Sens!$J$7449+Sens!$J$7450+Sens!$J$7451+Sens!$J$7452+Sens!$J$7453-(Sens!$J$7455+Sens!$J$7456)</f>
        <v>0</v>
      </c>
      <c r="K7461" s="41" t="n">
        <f aca="false">Sens!$K$7448+Sens!$K$7449+Sens!$K$7450+Sens!$K$7451+Sens!$K$7452+Sens!$K$7453-(Sens!$K$7455+Sens!$K$7456)</f>
        <v>0</v>
      </c>
      <c r="L7461" s="41" t="n">
        <f aca="false">Sens!$L$7448+Sens!$L$7449+Sens!$L$7450+Sens!$L$7451+Sens!$L$7452+Sens!$L$7453-(Sens!$L$7455+Sens!$L$7456)</f>
        <v>0</v>
      </c>
      <c r="M7461" s="41" t="n">
        <f aca="false">Sens!$M$7448+Sens!$M$7449+Sens!$M$7450+Sens!$M$7451+Sens!$M$7452+Sens!$M$7453-(Sens!$M$7455+Sens!$M$7456)</f>
        <v>0</v>
      </c>
      <c r="N7461" s="41" t="n">
        <f aca="false">Sens!$N$7448+Sens!$N$7449+Sens!$N$7450+Sens!$N$7451+Sens!$N$7452+Sens!$N$7453-(Sens!$N$7455+Sens!$N$7456)</f>
        <v>0</v>
      </c>
      <c r="O7461" s="41" t="n">
        <f aca="false">Sens!$O$7448+Sens!$O$7449+Sens!$O$7450+Sens!$O$7451+Sens!$O$7452+Sens!$O$7453-(Sens!$O$7455+Sens!$O$7456)</f>
        <v>0</v>
      </c>
    </row>
    <row r="7462" customFormat="false" ht="17.15" hidden="false" customHeight="false" outlineLevel="0" collapsed="false">
      <c r="A7462" s="24" t="s">
        <v>704</v>
      </c>
      <c r="B7462" s="25" t="s">
        <v>86</v>
      </c>
      <c r="C7462" s="41" t="n">
        <f aca="false">Sens!$C$7458+Sens!$C$7459-Sens!$C$7457</f>
        <v>0</v>
      </c>
      <c r="D7462" s="41" t="n">
        <f aca="false">Sens!$D$7458+Sens!$D$7459-Sens!$D$7457</f>
        <v>0</v>
      </c>
      <c r="E7462" s="41" t="n">
        <f aca="false">Sens!$E$7458+Sens!$E$7459-Sens!$E$7457</f>
        <v>0</v>
      </c>
      <c r="F7462" s="41" t="n">
        <f aca="false">Sens!$F$7458+Sens!$F$7459-Sens!$F$7457</f>
        <v>0</v>
      </c>
      <c r="G7462" s="41" t="n">
        <f aca="false">Sens!$G$7458+Sens!$G$7459-Sens!$G$7457</f>
        <v>0</v>
      </c>
      <c r="H7462" s="41" t="n">
        <f aca="false">Sens!$H$7458+Sens!$H$7459-Sens!$H$7457</f>
        <v>0</v>
      </c>
      <c r="I7462" s="41" t="n">
        <f aca="false">Sens!$I$7458+Sens!$I$7459-Sens!$I$7457</f>
        <v>0</v>
      </c>
      <c r="J7462" s="41" t="n">
        <f aca="false">Sens!$J$7458+Sens!$J$7459-Sens!$J$7457</f>
        <v>0</v>
      </c>
      <c r="K7462" s="41" t="n">
        <f aca="false">Sens!$K$7458+Sens!$K$7459-Sens!$K$7457</f>
        <v>0</v>
      </c>
      <c r="L7462" s="41" t="n">
        <f aca="false">Sens!$L$7458+Sens!$L$7459-Sens!$L$7457</f>
        <v>0</v>
      </c>
      <c r="M7462" s="41" t="n">
        <f aca="false">Sens!$M$7458+Sens!$M$7459-Sens!$M$7457</f>
        <v>0</v>
      </c>
      <c r="N7462" s="41" t="n">
        <f aca="false">Sens!$N$7458+Sens!$N$7459-Sens!$N$7457</f>
        <v>0</v>
      </c>
      <c r="O7462" s="41" t="n">
        <f aca="false">Sens!$O$7458+Sens!$O$7459-Sens!$O$7457</f>
        <v>0</v>
      </c>
    </row>
    <row r="7463" customFormat="false" ht="17.15" hidden="false" customHeight="false" outlineLevel="0" collapsed="false">
      <c r="A7463" s="24" t="s">
        <v>763</v>
      </c>
      <c r="B7463" s="25" t="s">
        <v>86</v>
      </c>
      <c r="C7463" s="41" t="n">
        <f aca="false">Sens!$C$7448+Sens!$C$7449+Sens!$C$7450+Sens!$C$7451+Sens!$C$7452+Sens!$C$7453+Sens!$C$7454-Sens!$C$7460</f>
        <v>0</v>
      </c>
      <c r="D7463" s="41" t="n">
        <f aca="false">Sens!$D$7448+Sens!$D$7449+Sens!$D$7450+Sens!$D$7451+Sens!$D$7452+Sens!$D$7453+Sens!$D$7454-Sens!$D$7460</f>
        <v>0</v>
      </c>
      <c r="E7463" s="41" t="n">
        <f aca="false">Sens!$E$7448+Sens!$E$7449+Sens!$E$7450+Sens!$E$7451+Sens!$E$7452+Sens!$E$7453+Sens!$E$7454-Sens!$E$7460</f>
        <v>0</v>
      </c>
      <c r="F7463" s="41" t="n">
        <f aca="false">Sens!$F$7448+Sens!$F$7449+Sens!$F$7450+Sens!$F$7451+Sens!$F$7452+Sens!$F$7453+Sens!$F$7454-Sens!$F$7460</f>
        <v>0</v>
      </c>
      <c r="G7463" s="41" t="n">
        <f aca="false">Sens!$G$7448+Sens!$G$7449+Sens!$G$7450+Sens!$G$7451+Sens!$G$7452+Sens!$G$7453+Sens!$G$7454-Sens!$G$7460</f>
        <v>0</v>
      </c>
      <c r="H7463" s="41" t="n">
        <f aca="false">Sens!$H$7448+Sens!$H$7449+Sens!$H$7450+Sens!$H$7451+Sens!$H$7452+Sens!$H$7453+Sens!$H$7454-Sens!$H$7460</f>
        <v>0</v>
      </c>
      <c r="I7463" s="41" t="n">
        <f aca="false">Sens!$I$7448+Sens!$I$7449+Sens!$I$7450+Sens!$I$7451+Sens!$I$7452+Sens!$I$7453+Sens!$I$7454-Sens!$I$7460</f>
        <v>0</v>
      </c>
      <c r="J7463" s="41" t="n">
        <f aca="false">Sens!$J$7448+Sens!$J$7449+Sens!$J$7450+Sens!$J$7451+Sens!$J$7452+Sens!$J$7453+Sens!$J$7454-Sens!$J$7460</f>
        <v>0</v>
      </c>
      <c r="K7463" s="41" t="n">
        <f aca="false">Sens!$K$7448+Sens!$K$7449+Sens!$K$7450+Sens!$K$7451+Sens!$K$7452+Sens!$K$7453+Sens!$K$7454-Sens!$K$7460</f>
        <v>0</v>
      </c>
      <c r="L7463" s="41" t="n">
        <f aca="false">Sens!$L$7448+Sens!$L$7449+Sens!$L$7450+Sens!$L$7451+Sens!$L$7452+Sens!$L$7453+Sens!$L$7454-Sens!$L$7460</f>
        <v>0</v>
      </c>
      <c r="M7463" s="41" t="n">
        <f aca="false">Sens!$M$7448+Sens!$M$7449+Sens!$M$7450+Sens!$M$7451+Sens!$M$7452+Sens!$M$7453+Sens!$M$7454-Sens!$M$7460</f>
        <v>0</v>
      </c>
      <c r="N7463" s="41" t="n">
        <f aca="false">Sens!$N$7448+Sens!$N$7449+Sens!$N$7450+Sens!$N$7451+Sens!$N$7452+Sens!$N$7453+Sens!$N$7454-Sens!$N$7460</f>
        <v>0</v>
      </c>
      <c r="O7463" s="41" t="n">
        <f aca="false">Sens!$O$7448+Sens!$O$7449+Sens!$O$7450+Sens!$O$7451+Sens!$O$7452+Sens!$O$7453+Sens!$O$7454-Sens!$O$7460</f>
        <v>0</v>
      </c>
    </row>
    <row r="7464" customFormat="false" ht="17.15" hidden="false" customHeight="false" outlineLevel="0" collapsed="false">
      <c r="A7464" s="24" t="s">
        <v>705</v>
      </c>
      <c r="B7464" s="25" t="s">
        <v>86</v>
      </c>
      <c r="C7464" s="41" t="n">
        <f aca="false">Sens!$C$7455+Sens!$C$7456+Sens!$C$7457-Sens!$C$7460</f>
        <v>0</v>
      </c>
      <c r="D7464" s="41" t="n">
        <f aca="false">Sens!$D$7455+Sens!$D$7456+Sens!$D$7457-Sens!$D$7460</f>
        <v>0</v>
      </c>
      <c r="E7464" s="41" t="n">
        <f aca="false">Sens!$E$7455+Sens!$E$7456+Sens!$E$7457-Sens!$E$7460</f>
        <v>0</v>
      </c>
      <c r="F7464" s="41" t="n">
        <f aca="false">Sens!$F$7455+Sens!$F$7456+Sens!$F$7457-Sens!$F$7460</f>
        <v>0</v>
      </c>
      <c r="G7464" s="41" t="n">
        <f aca="false">Sens!$G$7455+Sens!$G$7456+Sens!$G$7457-Sens!$G$7460</f>
        <v>0</v>
      </c>
      <c r="H7464" s="41" t="n">
        <f aca="false">Sens!$H$7455+Sens!$H$7456+Sens!$H$7457-Sens!$H$7460</f>
        <v>0</v>
      </c>
      <c r="I7464" s="41" t="n">
        <f aca="false">Sens!$I$7455+Sens!$I$7456+Sens!$I$7457-Sens!$I$7460</f>
        <v>0</v>
      </c>
      <c r="J7464" s="41" t="n">
        <f aca="false">Sens!$J$7455+Sens!$J$7456+Sens!$J$7457-Sens!$J$7460</f>
        <v>0</v>
      </c>
      <c r="K7464" s="41" t="n">
        <f aca="false">Sens!$K$7455+Sens!$K$7456+Sens!$K$7457-Sens!$K$7460</f>
        <v>0</v>
      </c>
      <c r="L7464" s="41" t="n">
        <f aca="false">Sens!$L$7455+Sens!$L$7456+Sens!$L$7457-Sens!$L$7460</f>
        <v>0</v>
      </c>
      <c r="M7464" s="41" t="n">
        <f aca="false">Sens!$M$7455+Sens!$M$7456+Sens!$M$7457-Sens!$M$7460</f>
        <v>0</v>
      </c>
      <c r="N7464" s="41" t="n">
        <f aca="false">Sens!$N$7455+Sens!$N$7456+Sens!$N$7457-Sens!$N$7460</f>
        <v>0</v>
      </c>
      <c r="O7464" s="41" t="n">
        <f aca="false">Sens!$O$7455+Sens!$O$7456+Sens!$O$7457-Sens!$O$7460</f>
        <v>0</v>
      </c>
    </row>
    <row r="7465" customFormat="false" ht="17.15" hidden="false" customHeight="false" outlineLevel="0" collapsed="false">
      <c r="A7465" s="1" t="s">
        <v>719</v>
      </c>
    </row>
    <row r="7466" customFormat="false" ht="17.15" hidden="false" customHeight="false" outlineLevel="0" collapsed="false">
      <c r="A7466" s="0" t="s">
        <v>720</v>
      </c>
      <c r="B7466" s="0" t="s">
        <v>86</v>
      </c>
      <c r="C7466" s="38" t="n">
        <f aca="false">Sens!$C$7370*m_ad</f>
        <v>20.5341564414228</v>
      </c>
      <c r="D7466" s="38" t="n">
        <f aca="false">Sens!$D$7370*m_ad</f>
        <v>24.8720617299587</v>
      </c>
      <c r="E7466" s="38" t="n">
        <f aca="false">Sens!$E$7370*m_ad</f>
        <v>13.5017112462207</v>
      </c>
      <c r="F7466" s="38" t="n">
        <f aca="false">Sens!$F$7370*m_ad</f>
        <v>16.5719724165257</v>
      </c>
      <c r="G7466" s="38" t="n">
        <f aca="false">Sens!$G$7370*m_ad</f>
        <v>30.0820919220415</v>
      </c>
      <c r="H7466" s="38" t="n">
        <f aca="false">Sens!$H$7370*m_ad</f>
        <v>36.1150883276314</v>
      </c>
      <c r="I7466" s="38" t="n">
        <f aca="false">Sens!$I$7370*m_ad</f>
        <v>42.1475382231996</v>
      </c>
      <c r="J7466" s="38" t="n">
        <f aca="false">Sens!$J$7370*m_ad</f>
        <v>47.7749523864693</v>
      </c>
      <c r="K7466" s="38" t="n">
        <f aca="false">Sens!$K$7370*m_ad</f>
        <v>52.5524476251162</v>
      </c>
      <c r="L7466" s="38" t="n">
        <f aca="false">Sens!$L$7370*m_ad</f>
        <v>57.8076923876279</v>
      </c>
      <c r="M7466" s="38" t="n">
        <f aca="false">Sens!$M$7370*m_ad</f>
        <v>63.5884616263907</v>
      </c>
      <c r="N7466" s="38" t="n">
        <f aca="false">Sens!$N$7370*m_ad</f>
        <v>10.8543555706248</v>
      </c>
      <c r="O7466" s="38" t="n">
        <f aca="false">Sens!$O$7370*m_ad</f>
        <v>14.0094731821399</v>
      </c>
    </row>
    <row r="7467" customFormat="false" ht="17.15" hidden="false" customHeight="false" outlineLevel="0" collapsed="false">
      <c r="A7467" s="0" t="s">
        <v>721</v>
      </c>
      <c r="B7467" s="0" t="s">
        <v>86</v>
      </c>
      <c r="C7467" s="38" t="n">
        <f aca="false">Sens!$C$7368-Sens!$C$7370</f>
        <v>346.428687117154</v>
      </c>
      <c r="D7467" s="38" t="n">
        <f aca="false">Sens!$D$7368-Sens!$D$7370</f>
        <v>376.560876540083</v>
      </c>
      <c r="E7467" s="38" t="n">
        <f aca="false">Sens!$E$7368-Sens!$E$7370</f>
        <v>193.316577507559</v>
      </c>
      <c r="F7467" s="38" t="n">
        <f aca="false">Sens!$F$7368-Sens!$F$7370</f>
        <v>217.495828647535</v>
      </c>
      <c r="G7467" s="38" t="n">
        <f aca="false">Sens!$G$7368-Sens!$G$7370</f>
        <v>410.795589636503</v>
      </c>
      <c r="H7467" s="38" t="n">
        <f aca="false">Sens!$H$7368-Sens!$H$7370</f>
        <v>449.156813761174</v>
      </c>
      <c r="I7467" s="38" t="n">
        <f aca="false">Sens!$I$7368-Sens!$I$7370</f>
        <v>485.848786441156</v>
      </c>
      <c r="J7467" s="38" t="n">
        <f aca="false">Sens!$J$7368-Sens!$J$7370</f>
        <v>519.841531018994</v>
      </c>
      <c r="K7467" s="38" t="n">
        <f aca="false">Sens!$K$7368-Sens!$K$7370</f>
        <v>550.103332311311</v>
      </c>
      <c r="L7467" s="38" t="n">
        <f aca="false">Sens!$L$7368-Sens!$L$7370</f>
        <v>582.192354474511</v>
      </c>
      <c r="M7467" s="38" t="n">
        <f aca="false">Sens!$M$7368-Sens!$M$7370</f>
        <v>616.22240521081</v>
      </c>
      <c r="N7467" s="38" t="n">
        <f aca="false">Sens!$N$7368-Sens!$N$7370</f>
        <v>171.24628885875</v>
      </c>
      <c r="O7467" s="38" t="n">
        <f aca="false">Sens!$O$7368-Sens!$O$7370</f>
        <v>205.33105363572</v>
      </c>
    </row>
    <row r="7468" customFormat="false" ht="17.15" hidden="false" customHeight="false" outlineLevel="0" collapsed="false">
      <c r="A7468" s="0" t="s">
        <v>722</v>
      </c>
      <c r="B7468" s="0" t="s">
        <v>86</v>
      </c>
      <c r="C7468" s="38" t="n">
        <f aca="false">Sens!$C$7419*Sens!$C$7367</f>
        <v>0.123617442257179</v>
      </c>
      <c r="D7468" s="38" t="n">
        <f aca="false">Sens!$D$7419*Sens!$D$7367</f>
        <v>0.600198046024689</v>
      </c>
      <c r="E7468" s="38" t="n">
        <f aca="false">Sens!$E$7419*Sens!$E$7367</f>
        <v>0.970552432202993</v>
      </c>
      <c r="F7468" s="38" t="n">
        <f aca="false">Sens!$F$7419*Sens!$F$7367</f>
        <v>1.20013524388435</v>
      </c>
      <c r="G7468" s="38" t="n">
        <f aca="false">Sens!$G$7419*Sens!$G$7367</f>
        <v>2.17135369594947</v>
      </c>
      <c r="H7468" s="38" t="n">
        <f aca="false">Sens!$H$7419*Sens!$H$7367</f>
        <v>6.14227489656333</v>
      </c>
      <c r="I7468" s="38" t="n">
        <f aca="false">Sens!$I$7419*Sens!$I$7367</f>
        <v>11.6518054969681</v>
      </c>
      <c r="J7468" s="38" t="n">
        <f aca="false">Sens!$J$7419*Sens!$J$7367</f>
        <v>17.3105301010592</v>
      </c>
      <c r="K7468" s="38" t="n">
        <f aca="false">Sens!$K$7419*Sens!$K$7367</f>
        <v>22.8486728059883</v>
      </c>
      <c r="L7468" s="38" t="n">
        <f aca="false">Sens!$L$7419*Sens!$L$7367</f>
        <v>26.6849171332777</v>
      </c>
      <c r="M7468" s="38" t="n">
        <f aca="false">Sens!$M$7419*Sens!$M$7367</f>
        <v>29.0523240317336</v>
      </c>
      <c r="N7468" s="38" t="n">
        <f aca="false">Sens!$N$7419*Sens!$N$7367</f>
        <v>0.25053229484398</v>
      </c>
      <c r="O7468" s="38" t="n">
        <f aca="false">Sens!$O$7419*Sens!$O$7367</f>
        <v>0.349234376756897</v>
      </c>
    </row>
    <row r="7469" customFormat="false" ht="17.15" hidden="false" customHeight="false" outlineLevel="0" collapsed="false">
      <c r="A7469" s="0" t="s">
        <v>723</v>
      </c>
      <c r="B7469" s="0" t="s">
        <v>52</v>
      </c>
      <c r="C7469" s="28" t="n">
        <f aca="false">(Sens!$C$7470-Sens!$C$7466+Sens!$C$7468)/Sens!$C$7467</f>
        <v>0.0131526665379575</v>
      </c>
      <c r="D7469" s="28" t="n">
        <f aca="false">(Sens!$D$7470-Sens!$D$7466+Sens!$D$7468)/Sens!$D$7467</f>
        <v>0.0141999252954702</v>
      </c>
      <c r="E7469" s="28" t="n">
        <f aca="false">(Sens!$E$7470-Sens!$E$7466+Sens!$E$7468)/Sens!$E$7467</f>
        <v>0.0251341154940129</v>
      </c>
      <c r="F7469" s="28" t="n">
        <f aca="false">Sens!$O$7469+(Sens!$E$7469-Sens!$N$7469)</f>
        <v>0.0217171685713677</v>
      </c>
      <c r="G7469" s="28" t="n">
        <f aca="false">(Sens!$G$7470-Sens!$G$7466+Sens!$G$7468)/Sens!$G$7467</f>
        <v>0.0233071940458981</v>
      </c>
      <c r="H7469" s="28" t="n">
        <f aca="false">Sens!$G$7469+step_na</f>
        <v>0.0263071940458981</v>
      </c>
      <c r="I7469" s="28" t="n">
        <f aca="false">Sens!$H$7469+step_na</f>
        <v>0.0293071940458981</v>
      </c>
      <c r="J7469" s="28" t="n">
        <f aca="false">Sens!$I$7469+step_na</f>
        <v>0.0323071940458981</v>
      </c>
      <c r="K7469" s="28" t="n">
        <f aca="false">Sens!$J$7469+step_na</f>
        <v>0.0353071940458981</v>
      </c>
      <c r="L7469" s="28" t="n">
        <f aca="false">Sens!$K$7469</f>
        <v>0.0353071940458981</v>
      </c>
      <c r="M7469" s="28" t="n">
        <f aca="false">Sens!$L$7469</f>
        <v>0.0353071940458981</v>
      </c>
      <c r="N7469" s="28" t="n">
        <f aca="false">(Sens!$N$7470-Sens!$N$7466+Sens!$N$7468)/Sens!$N$7467</f>
        <v>0.0160831323269779</v>
      </c>
      <c r="O7469" s="28" t="n">
        <f aca="false">(Sens!$O$7470-Sens!$O$7466+Sens!$O$7468)/Sens!$O$7467</f>
        <v>0.0126661854043327</v>
      </c>
      <c r="P7469" s="8" t="s">
        <v>724</v>
      </c>
    </row>
    <row r="7470" customFormat="false" ht="17.15" hidden="false" customHeight="false" outlineLevel="0" collapsed="false">
      <c r="A7470" s="1" t="s">
        <v>725</v>
      </c>
      <c r="B7470" s="8" t="s">
        <v>86</v>
      </c>
      <c r="C7470" s="38" t="n">
        <f aca="false">Q!$D$22</f>
        <v>24.967</v>
      </c>
      <c r="D7470" s="38" t="n">
        <f aca="false">Q!$E$22</f>
        <v>29.619</v>
      </c>
      <c r="E7470" s="38" t="n">
        <f aca="false">Q!$P$22</f>
        <v>17.39</v>
      </c>
      <c r="F7470" s="38" t="n">
        <f aca="false">Sens!$F$7466+Sens!$F$7467*Sens!$F$7469-Sens!$F$7468</f>
        <v>20.0952307469491</v>
      </c>
      <c r="G7470" s="38" t="n">
        <f aca="false">Sens!$E$7470+Sens!$F$7470</f>
        <v>37.4852307469491</v>
      </c>
      <c r="H7470" s="38" t="n">
        <f aca="false">Sens!$H$7466+Sens!$H$7467*Sens!$H$7469-Sens!$H$7468</f>
        <v>41.7888688877206</v>
      </c>
      <c r="I7470" s="38" t="n">
        <f aca="false">Sens!$I$7466+Sens!$I$7467*Sens!$I$7469-Sens!$I$7468</f>
        <v>44.7345973874265</v>
      </c>
      <c r="J7470" s="38" t="n">
        <f aca="false">Sens!$J$7466+Sens!$J$7467*Sens!$J$7469-Sens!$J$7468</f>
        <v>47.2590435011574</v>
      </c>
      <c r="K7470" s="38" t="n">
        <f aca="false">Sens!$K$7466+Sens!$K$7467*Sens!$K$7469-Sens!$K$7468</f>
        <v>49.1263799183386</v>
      </c>
      <c r="L7470" s="38" t="n">
        <f aca="false">Sens!$L$7466+Sens!$L$7467*Sens!$L$7469-Sens!$L$7468</f>
        <v>51.67835368582</v>
      </c>
      <c r="M7470" s="38" t="n">
        <f aca="false">Sens!$M$7466+Sens!$M$7467*Sens!$M$7469-Sens!$M$7468</f>
        <v>56.2932216308652</v>
      </c>
      <c r="N7470" s="38" t="n">
        <f aca="false">Q!$N$22</f>
        <v>13.358</v>
      </c>
      <c r="O7470" s="38" t="n">
        <f aca="false">Q!$O$22</f>
        <v>16.261</v>
      </c>
    </row>
    <row r="7471" customFormat="false" ht="17.15" hidden="false" customHeight="false" outlineLevel="0" collapsed="false">
      <c r="A7471" s="0" t="s">
        <v>726</v>
      </c>
      <c r="B7471" s="0" t="s">
        <v>86</v>
      </c>
      <c r="C7471" s="38" t="n">
        <f aca="false">Sens!$C$7371*m_ad</f>
        <v>7.57284355857716</v>
      </c>
      <c r="D7471" s="38" t="n">
        <f aca="false">Sens!$D$7371*m_ad</f>
        <v>9.44543827004127</v>
      </c>
      <c r="E7471" s="38" t="n">
        <f aca="false">Sens!$E$7371*m_ad</f>
        <v>5.02428875377928</v>
      </c>
      <c r="F7471" s="38" t="n">
        <f aca="false">Sens!$F$7371*m_ad</f>
        <v>6.50663858068173</v>
      </c>
      <c r="G7471" s="38" t="n">
        <f aca="false">Sens!$G$7371*m_ad</f>
        <v>11.5225190751659</v>
      </c>
      <c r="H7471" s="38" t="n">
        <f aca="false">Sens!$H$7371*m_ad</f>
        <v>13.8333728663174</v>
      </c>
      <c r="I7471" s="38" t="n">
        <f aca="false">Sens!$I$7371*m_ad</f>
        <v>16.1440173245485</v>
      </c>
      <c r="J7471" s="38" t="n">
        <f aca="false">Sens!$J$7371*m_ad</f>
        <v>18.2995185845066</v>
      </c>
      <c r="K7471" s="38" t="n">
        <f aca="false">Sens!$K$7371*m_ad</f>
        <v>20.1294704429572</v>
      </c>
      <c r="L7471" s="38" t="n">
        <f aca="false">Sens!$L$7371*m_ad</f>
        <v>22.142417487253</v>
      </c>
      <c r="M7471" s="38" t="n">
        <f aca="false">Sens!$M$7371*m_ad</f>
        <v>24.3566592359783</v>
      </c>
      <c r="N7471" s="38" t="n">
        <f aca="false">Sens!$N$7371*m_ad</f>
        <v>3.95314442937518</v>
      </c>
      <c r="O7471" s="38" t="n">
        <f aca="false">Sens!$O$7371*m_ad</f>
        <v>5.50052681786011</v>
      </c>
    </row>
    <row r="7472" customFormat="false" ht="17.15" hidden="false" customHeight="false" outlineLevel="0" collapsed="false">
      <c r="A7472" s="0" t="s">
        <v>727</v>
      </c>
      <c r="B7472" s="0" t="s">
        <v>86</v>
      </c>
      <c r="C7472" s="38" t="n">
        <f aca="false">Sens!$C$7369-Sens!$C$7371</f>
        <v>127.760312882846</v>
      </c>
      <c r="D7472" s="38" t="n">
        <f aca="false">Sens!$D$7369-Sens!$D$7371</f>
        <v>143.003123459917</v>
      </c>
      <c r="E7472" s="38" t="n">
        <f aca="false">Sens!$E$7369-Sens!$E$7371</f>
        <v>71.9374224924414</v>
      </c>
      <c r="F7472" s="38" t="n">
        <f aca="false">Sens!$F$7369-Sens!$F$7371</f>
        <v>85.3951910035875</v>
      </c>
      <c r="G7472" s="38" t="n">
        <f aca="false">Sens!$G$7369-Sens!$G$7371</f>
        <v>157.349430014619</v>
      </c>
      <c r="H7472" s="38" t="n">
        <f aca="false">Sens!$H$7369-Sens!$H$7371</f>
        <v>172.043153372315</v>
      </c>
      <c r="I7472" s="38" t="n">
        <f aca="false">Sens!$I$7369-Sens!$I$7371</f>
        <v>186.097493615879</v>
      </c>
      <c r="J7472" s="38" t="n">
        <f aca="false">Sens!$J$7369-Sens!$J$7371</f>
        <v>199.117932780497</v>
      </c>
      <c r="K7472" s="38" t="n">
        <f aca="false">Sens!$K$7369-Sens!$K$7371</f>
        <v>210.70928698363</v>
      </c>
      <c r="L7472" s="38" t="n">
        <f aca="false">Sens!$L$7369-Sens!$L$7371</f>
        <v>223.000532251316</v>
      </c>
      <c r="M7472" s="38" t="n">
        <f aca="false">Sens!$M$7369-Sens!$M$7371</f>
        <v>236.035261011339</v>
      </c>
      <c r="N7472" s="38" t="n">
        <f aca="false">Sens!$N$7369-Sens!$N$7371</f>
        <v>62.3677111412496</v>
      </c>
      <c r="O7472" s="38" t="n">
        <f aca="false">Sens!$O$7369-Sens!$O$7371</f>
        <v>80.6189463642798</v>
      </c>
    </row>
    <row r="7473" customFormat="false" ht="17.15" hidden="false" customHeight="false" outlineLevel="0" collapsed="false">
      <c r="A7473" s="0" t="s">
        <v>728</v>
      </c>
      <c r="B7473" s="0" t="s">
        <v>86</v>
      </c>
      <c r="C7473" s="38" t="n">
        <f aca="false">Sens!$C$7419*(1-Sens!$C$7367)</f>
        <v>0.0455891896019953</v>
      </c>
      <c r="D7473" s="38" t="n">
        <f aca="false">Sens!$D$7419*(1-Sens!$D$7367)</f>
        <v>0.227931791705753</v>
      </c>
      <c r="E7473" s="38" t="n">
        <f aca="false">Sens!$E$7419*(1-Sens!$E$7367)</f>
        <v>0.361164268820781</v>
      </c>
      <c r="F7473" s="38" t="n">
        <f aca="false">Sens!$F$7419*(1-Sens!$F$7367)</f>
        <v>0.471208018190203</v>
      </c>
      <c r="G7473" s="38" t="n">
        <f aca="false">Sens!$G$7419*(1-Sens!$G$7367)</f>
        <v>0.83170626714885</v>
      </c>
      <c r="H7473" s="38" t="n">
        <f aca="false">Sens!$H$7419*(1-Sens!$H$7367)</f>
        <v>2.35271136874315</v>
      </c>
      <c r="I7473" s="38" t="n">
        <f aca="false">Sens!$I$7419*(1-Sens!$I$7367)</f>
        <v>4.46305900024741</v>
      </c>
      <c r="J7473" s="38" t="n">
        <f aca="false">Sens!$J$7419*(1-Sens!$J$7367)</f>
        <v>6.63055328092195</v>
      </c>
      <c r="K7473" s="38" t="n">
        <f aca="false">Sens!$K$7419*(1-Sens!$K$7367)</f>
        <v>8.75186037365703</v>
      </c>
      <c r="L7473" s="38" t="n">
        <f aca="false">Sens!$L$7419*(1-Sens!$L$7367)</f>
        <v>10.2212794071718</v>
      </c>
      <c r="M7473" s="38" t="n">
        <f aca="false">Sens!$M$7419*(1-Sens!$M$7367)</f>
        <v>11.1280810756472</v>
      </c>
      <c r="N7473" s="38" t="n">
        <f aca="false">Sens!$N$7419*(1-Sens!$N$7367)</f>
        <v>0.0912435878202994</v>
      </c>
      <c r="O7473" s="38" t="n">
        <f aca="false">Sens!$O$7419*(1-Sens!$O$7367)</f>
        <v>0.137119578309265</v>
      </c>
    </row>
    <row r="7474" customFormat="false" ht="17.15" hidden="false" customHeight="false" outlineLevel="0" collapsed="false">
      <c r="A7474" s="0" t="s">
        <v>729</v>
      </c>
      <c r="B7474" s="0" t="s">
        <v>52</v>
      </c>
      <c r="C7474" s="28" t="n">
        <f aca="false">(Sens!$C$7475-Sens!$C$7471+Sens!$C$7473)/Sens!$C$7472</f>
        <v>-0.0292364215826579</v>
      </c>
      <c r="D7474" s="28" t="n">
        <f aca="false">(Sens!$D$7475-Sens!$D$7471+Sens!$D$7473)/Sens!$D$7472</f>
        <v>-0.0312406216748665</v>
      </c>
      <c r="E7474" s="28" t="n">
        <f aca="false">(Sens!$E$7475-Sens!$E$7471+Sens!$E$7473)/Sens!$E$7472</f>
        <v>-0.0211590078184749</v>
      </c>
      <c r="F7474" s="28" t="n">
        <f aca="false">Sens!$O$7474+(Sens!$E$7474-Sens!$N$7474)</f>
        <v>-0.0382539955245511</v>
      </c>
      <c r="G7474" s="28" t="n">
        <f aca="false">(Sens!$G$7475-Sens!$G$7471+Sens!$G$7473)/Sens!$G$7472</f>
        <v>-0.030385172031133</v>
      </c>
      <c r="H7474" s="28" t="n">
        <f aca="false">Sens!$G$7474+step_in</f>
        <v>-0.030385172031133</v>
      </c>
      <c r="I7474" s="28" t="n">
        <f aca="false">Sens!$H$7474+step_in</f>
        <v>-0.030385172031133</v>
      </c>
      <c r="J7474" s="28" t="n">
        <f aca="false">Sens!$I$7474+step_in</f>
        <v>-0.030385172031133</v>
      </c>
      <c r="K7474" s="28" t="n">
        <f aca="false">Sens!$J$7474+step_in</f>
        <v>-0.030385172031133</v>
      </c>
      <c r="L7474" s="28" t="n">
        <f aca="false">Sens!$K$7474</f>
        <v>-0.030385172031133</v>
      </c>
      <c r="M7474" s="28" t="n">
        <f aca="false">Sens!$L$7474</f>
        <v>-0.030385172031133</v>
      </c>
      <c r="N7474" s="28" t="n">
        <f aca="false">(Sens!$N$7475-Sens!$N$7471+Sens!$N$7473)/Sens!$N$7472</f>
        <v>-0.0216602600421776</v>
      </c>
      <c r="O7474" s="28" t="n">
        <f aca="false">(Sens!$O$7475-Sens!$O$7471+Sens!$O$7473)/Sens!$O$7472</f>
        <v>-0.0387552477482538</v>
      </c>
      <c r="P7474" s="8" t="s">
        <v>724</v>
      </c>
    </row>
    <row r="7475" customFormat="false" ht="17.15" hidden="false" customHeight="false" outlineLevel="0" collapsed="false">
      <c r="A7475" s="1" t="s">
        <v>730</v>
      </c>
      <c r="B7475" s="8" t="s">
        <v>86</v>
      </c>
      <c r="C7475" s="38" t="n">
        <f aca="false">Q!$D$23</f>
        <v>3.792</v>
      </c>
      <c r="D7475" s="38" t="n">
        <f aca="false">Q!$E$23</f>
        <v>4.75</v>
      </c>
      <c r="E7475" s="38" t="n">
        <f aca="false">Q!$P$23</f>
        <v>3.141</v>
      </c>
      <c r="F7475" s="38" t="n">
        <f aca="false">Sens!$F$7471+Sens!$F$7472*Sens!$F$7474-Sens!$F$7473</f>
        <v>2.7687233080221</v>
      </c>
      <c r="G7475" s="38" t="n">
        <f aca="false">Sens!$E$7475+Sens!$F$7475</f>
        <v>5.9097233080221</v>
      </c>
      <c r="H7475" s="38" t="n">
        <f aca="false">Sens!$H$7471+Sens!$H$7472*Sens!$H$7474-Sens!$H$7473</f>
        <v>6.25310068557783</v>
      </c>
      <c r="I7475" s="38" t="n">
        <f aca="false">Sens!$I$7471+Sens!$I$7472*Sens!$I$7474-Sens!$I$7473</f>
        <v>6.02635396621997</v>
      </c>
      <c r="J7475" s="38" t="n">
        <f aca="false">Sens!$J$7471+Sens!$J$7472*Sens!$J$7474-Sens!$J$7473</f>
        <v>5.61873266156566</v>
      </c>
      <c r="K7475" s="38" t="n">
        <f aca="false">Sens!$K$7471+Sens!$K$7472*Sens!$K$7474-Sens!$K$7473</f>
        <v>4.97517213574524</v>
      </c>
      <c r="L7475" s="38" t="n">
        <f aca="false">Sens!$L$7471+Sens!$L$7472*Sens!$L$7474-Sens!$L$7473</f>
        <v>5.14522854459066</v>
      </c>
      <c r="M7475" s="38" t="n">
        <f aca="false">Sens!$M$7471+Sens!$M$7472*Sens!$M$7474-Sens!$M$7473</f>
        <v>6.05660614908815</v>
      </c>
      <c r="N7475" s="38" t="n">
        <f aca="false">Q!$N$23</f>
        <v>2.511</v>
      </c>
      <c r="O7475" s="38" t="n">
        <f aca="false">Q!$O$23</f>
        <v>2.239</v>
      </c>
    </row>
    <row r="7476" customFormat="false" ht="17.15" hidden="false" customHeight="false" outlineLevel="0" collapsed="false">
      <c r="A7476" s="0" t="s">
        <v>731</v>
      </c>
      <c r="B7476" s="0" t="s">
        <v>86</v>
      </c>
      <c r="C7476" s="38" t="n">
        <f aca="false">Sens!$C$7416</f>
        <v>1.64417882953695</v>
      </c>
      <c r="D7476" s="38" t="n">
        <f aca="false">Sens!$D$7416</f>
        <v>5.39125073772939</v>
      </c>
      <c r="E7476" s="38" t="n">
        <f aca="false">Sens!$E$7416</f>
        <v>3.18348617147493</v>
      </c>
      <c r="F7476" s="38" t="n">
        <f aca="false">Sens!$F$7416</f>
        <v>8.27806059642226</v>
      </c>
      <c r="G7476" s="38" t="n">
        <f aca="false">Sens!$G$7416</f>
        <v>11.4615467678972</v>
      </c>
      <c r="H7476" s="38" t="n">
        <f aca="false">Sens!$H$7416</f>
        <v>26.1859456885487</v>
      </c>
      <c r="I7476" s="38" t="n">
        <f aca="false">Sens!$I$7416</f>
        <v>37.04424114757</v>
      </c>
      <c r="J7476" s="38" t="n">
        <f aca="false">Sens!$J$7416</f>
        <v>47.2610736233534</v>
      </c>
      <c r="K7476" s="38" t="n">
        <f aca="false">Sens!$K$7416</f>
        <v>52.0459876645985</v>
      </c>
      <c r="L7476" s="38" t="n">
        <f aca="false">Sens!$L$7416</f>
        <v>54.1033156405981</v>
      </c>
      <c r="M7476" s="38" t="n">
        <f aca="false">Sens!$M$7416</f>
        <v>52.1138209393421</v>
      </c>
      <c r="N7476" s="38" t="n">
        <f aca="false">Sens!$N$7416</f>
        <v>1.67921600037079</v>
      </c>
      <c r="O7476" s="38" t="n">
        <f aca="false">Sens!$O$7416</f>
        <v>3.71203473735861</v>
      </c>
    </row>
    <row r="7477" customFormat="false" ht="17.15" hidden="false" customHeight="false" outlineLevel="0" collapsed="false">
      <c r="A7477" s="0" t="s">
        <v>649</v>
      </c>
      <c r="B7477" s="0" t="s">
        <v>86</v>
      </c>
      <c r="C7477" s="38" t="n">
        <f aca="false">Sens!$C$7421</f>
        <v>38.1898211704631</v>
      </c>
      <c r="D7477" s="38" t="n">
        <f aca="false">Sens!$D$7421</f>
        <v>40.2147492622706</v>
      </c>
      <c r="E7477" s="38" t="n">
        <f aca="false">Sens!$E$7421</f>
        <v>27.5985138285251</v>
      </c>
      <c r="F7477" s="38" t="n">
        <f aca="false">Sens!$F$7421</f>
        <v>25.5484769754606</v>
      </c>
      <c r="G7477" s="38" t="n">
        <f aca="false">Sens!$G$7421</f>
        <v>53.1469908039857</v>
      </c>
      <c r="H7477" s="38" t="n">
        <f aca="false">Sens!$H$7421</f>
        <v>57.3189525076539</v>
      </c>
      <c r="I7477" s="38" t="n">
        <f aca="false">Sens!$I$7421</f>
        <v>63.6385627021087</v>
      </c>
      <c r="J7477" s="38" t="n">
        <f aca="false">Sens!$J$7421</f>
        <v>69.6922896066105</v>
      </c>
      <c r="K7477" s="38" t="n">
        <f aca="false">Sens!$K$7421</f>
        <v>75.2676727751394</v>
      </c>
      <c r="L7477" s="38" t="n">
        <f aca="false">Sens!$L$7421</f>
        <v>81.2890865971505</v>
      </c>
      <c r="M7477" s="38" t="n">
        <f aca="false">Sens!$M$7421</f>
        <v>87.7922135249226</v>
      </c>
      <c r="N7477" s="38" t="n">
        <f aca="false">Sens!$N$7421</f>
        <v>20.0277839996292</v>
      </c>
      <c r="O7477" s="38" t="n">
        <f aca="false">Sens!$O$7421</f>
        <v>20.1869652626414</v>
      </c>
    </row>
    <row r="7478" customFormat="false" ht="17.15" hidden="false" customHeight="false" outlineLevel="0" collapsed="false">
      <c r="A7478" s="1" t="s">
        <v>732</v>
      </c>
      <c r="B7478" s="8" t="s">
        <v>86</v>
      </c>
      <c r="C7478" s="38" t="n">
        <f aca="false">Q!$D$24</f>
        <v>39.834</v>
      </c>
      <c r="D7478" s="38" t="n">
        <f aca="false">Q!$E$24</f>
        <v>45.606</v>
      </c>
      <c r="E7478" s="38" t="n">
        <f aca="false">Q!$P$24</f>
        <v>30.782</v>
      </c>
      <c r="F7478" s="38" t="n">
        <f aca="false">Sens!$F$7476+Sens!$F$7477</f>
        <v>33.8265375718829</v>
      </c>
      <c r="G7478" s="38" t="n">
        <f aca="false">Sens!$G$7476+Sens!$G$7477</f>
        <v>64.6085375718829</v>
      </c>
      <c r="H7478" s="38" t="n">
        <f aca="false">Sens!$H$7476+Sens!$H$7477</f>
        <v>83.5048981962026</v>
      </c>
      <c r="I7478" s="38" t="n">
        <f aca="false">Sens!$I$7476+Sens!$I$7477</f>
        <v>100.682803849679</v>
      </c>
      <c r="J7478" s="38" t="n">
        <f aca="false">Sens!$J$7476+Sens!$J$7477</f>
        <v>116.953363229964</v>
      </c>
      <c r="K7478" s="38" t="n">
        <f aca="false">Sens!$K$7476+Sens!$K$7477</f>
        <v>127.313660439738</v>
      </c>
      <c r="L7478" s="38" t="n">
        <f aca="false">Sens!$L$7476+Sens!$L$7477</f>
        <v>135.392402237749</v>
      </c>
      <c r="M7478" s="38" t="n">
        <f aca="false">Sens!$M$7476+Sens!$M$7477</f>
        <v>139.906034464265</v>
      </c>
      <c r="N7478" s="38" t="n">
        <f aca="false">Q!$N$24</f>
        <v>21.707</v>
      </c>
      <c r="O7478" s="38" t="n">
        <f aca="false">Q!$O$24</f>
        <v>23.899</v>
      </c>
    </row>
    <row r="7479" customFormat="false" ht="17.15" hidden="false" customHeight="false" outlineLevel="0" collapsed="false">
      <c r="A7479" s="5" t="s">
        <v>733</v>
      </c>
      <c r="B7479" s="0" t="s">
        <v>86</v>
      </c>
      <c r="C7479" s="38" t="n">
        <f aca="false">Q!$D$26</f>
        <v>0</v>
      </c>
      <c r="D7479" s="38" t="n">
        <f aca="false">Q!$E$26</f>
        <v>0</v>
      </c>
      <c r="E7479" s="38" t="n">
        <f aca="false">Q!$P$26</f>
        <v>0</v>
      </c>
      <c r="F7479" s="39" t="n">
        <v>0</v>
      </c>
      <c r="G7479" s="38" t="n">
        <f aca="false">Sens!$E$7479+Sens!$F$7479</f>
        <v>0</v>
      </c>
      <c r="H7479" s="39" t="n">
        <v>0</v>
      </c>
      <c r="I7479" s="39" t="n">
        <v>0</v>
      </c>
      <c r="J7479" s="39" t="n">
        <v>0</v>
      </c>
      <c r="K7479" s="39" t="n">
        <v>0</v>
      </c>
      <c r="L7479" s="39" t="n">
        <v>0</v>
      </c>
      <c r="M7479" s="39" t="n">
        <v>0</v>
      </c>
      <c r="N7479" s="38" t="n">
        <f aca="false">Q!$N$26</f>
        <v>0</v>
      </c>
      <c r="O7479" s="38" t="n">
        <f aca="false">Q!$O$26</f>
        <v>0</v>
      </c>
    </row>
    <row r="7480" customFormat="false" ht="15" hidden="false" customHeight="false" outlineLevel="0" collapsed="false">
      <c r="A7480" s="3" t="s">
        <v>534</v>
      </c>
      <c r="B7480" s="8" t="s">
        <v>86</v>
      </c>
      <c r="C7480" s="38" t="n">
        <f aca="false">Q!$D$25</f>
        <v>68.593</v>
      </c>
      <c r="D7480" s="38" t="n">
        <f aca="false">Q!$E$25</f>
        <v>79.975</v>
      </c>
      <c r="E7480" s="38" t="n">
        <f aca="false">Q!$P$25</f>
        <v>51.313</v>
      </c>
      <c r="F7480" s="38" t="n">
        <f aca="false">Sens!$F$7470+Sens!$F$7475+Sens!$F$7478+Sens!$F$7479</f>
        <v>56.6904916268541</v>
      </c>
      <c r="G7480" s="38" t="n">
        <f aca="false">Sens!$G$7470+Sens!$G$7475+Sens!$G$7478+Sens!$G$7479</f>
        <v>108.003491626854</v>
      </c>
      <c r="H7480" s="38" t="n">
        <f aca="false">Sens!$H$7470+Sens!$H$7475+Sens!$H$7478+Sens!$H$7479</f>
        <v>131.546867769501</v>
      </c>
      <c r="I7480" s="38" t="n">
        <f aca="false">Sens!$I$7470+Sens!$I$7475+Sens!$I$7478+Sens!$I$7479</f>
        <v>151.443755203325</v>
      </c>
      <c r="J7480" s="38" t="n">
        <f aca="false">Sens!$J$7470+Sens!$J$7475+Sens!$J$7478+Sens!$J$7479</f>
        <v>169.831139392687</v>
      </c>
      <c r="K7480" s="38" t="n">
        <f aca="false">Sens!$K$7470+Sens!$K$7475+Sens!$K$7478+Sens!$K$7479</f>
        <v>181.415212493822</v>
      </c>
      <c r="L7480" s="38" t="n">
        <f aca="false">Sens!$L$7470+Sens!$L$7475+Sens!$L$7478+Sens!$L$7479</f>
        <v>192.215984468159</v>
      </c>
      <c r="M7480" s="38" t="n">
        <f aca="false">Sens!$M$7470+Sens!$M$7475+Sens!$M$7478+Sens!$M$7479</f>
        <v>202.255862244218</v>
      </c>
      <c r="N7480" s="38" t="n">
        <f aca="false">Q!$N$25</f>
        <v>37.576</v>
      </c>
      <c r="O7480" s="38" t="n">
        <f aca="false">Q!$O$25</f>
        <v>42.399</v>
      </c>
    </row>
    <row r="7481" customFormat="false" ht="17.15" hidden="false" customHeight="false" outlineLevel="0" collapsed="false">
      <c r="A7481" s="24" t="s">
        <v>764</v>
      </c>
      <c r="B7481" s="25" t="s">
        <v>86</v>
      </c>
      <c r="C7481" s="41" t="n">
        <f aca="false">Sens!$C$7470+Sens!$C$7475+Sens!$C$7478+Sens!$C$7479-Sens!$C$7480</f>
        <v>0</v>
      </c>
      <c r="D7481" s="41" t="n">
        <f aca="false">Sens!$D$7470+Sens!$D$7475+Sens!$D$7478+Sens!$D$7479-Sens!$D$7480</f>
        <v>0</v>
      </c>
      <c r="E7481" s="41" t="n">
        <f aca="false">Sens!$E$7470+Sens!$E$7475+Sens!$E$7478+Sens!$E$7479-Sens!$E$7480</f>
        <v>0</v>
      </c>
      <c r="F7481" s="41" t="n">
        <f aca="false">Sens!$F$7470+Sens!$F$7475+Sens!$F$7478+Sens!$F$7479-Sens!$F$7480</f>
        <v>0</v>
      </c>
      <c r="G7481" s="41" t="n">
        <f aca="false">Sens!$G$7470+Sens!$G$7475+Sens!$G$7478+Sens!$G$7479-Sens!$G$7480</f>
        <v>0</v>
      </c>
      <c r="H7481" s="41" t="n">
        <f aca="false">Sens!$H$7470+Sens!$H$7475+Sens!$H$7478+Sens!$H$7479-Sens!$H$7480</f>
        <v>0</v>
      </c>
      <c r="I7481" s="41" t="n">
        <f aca="false">Sens!$I$7470+Sens!$I$7475+Sens!$I$7478+Sens!$I$7479-Sens!$I$7480</f>
        <v>0</v>
      </c>
      <c r="J7481" s="41" t="n">
        <f aca="false">Sens!$J$7470+Sens!$J$7475+Sens!$J$7478+Sens!$J$7479-Sens!$J$7480</f>
        <v>0</v>
      </c>
      <c r="K7481" s="41" t="n">
        <f aca="false">Sens!$K$7470+Sens!$K$7475+Sens!$K$7478+Sens!$K$7479-Sens!$K$7480</f>
        <v>0</v>
      </c>
      <c r="L7481" s="41" t="n">
        <f aca="false">Sens!$L$7470+Sens!$L$7475+Sens!$L$7478+Sens!$L$7479-Sens!$L$7480</f>
        <v>0</v>
      </c>
      <c r="M7481" s="41" t="n">
        <f aca="false">Sens!$M$7470+Sens!$M$7475+Sens!$M$7478+Sens!$M$7479-Sens!$M$7480</f>
        <v>0</v>
      </c>
      <c r="N7481" s="41" t="n">
        <f aca="false">Sens!$N$7470+Sens!$N$7475+Sens!$N$7478+Sens!$N$7479-Sens!$N$7480</f>
        <v>0</v>
      </c>
      <c r="O7481" s="41" t="n">
        <f aca="false">Sens!$O$7470+Sens!$O$7475+Sens!$O$7478+Sens!$O$7479-Sens!$O$7480</f>
        <v>0</v>
      </c>
    </row>
    <row r="7482" customFormat="false" ht="17.15" hidden="false" customHeight="false" outlineLevel="0" collapsed="false">
      <c r="A7482" s="5" t="s">
        <v>735</v>
      </c>
      <c r="B7482" s="0" t="s">
        <v>86</v>
      </c>
      <c r="C7482" s="38" t="n">
        <f aca="false">Sens!$C$7418</f>
        <v>0</v>
      </c>
      <c r="D7482" s="38" t="n">
        <f aca="false">Sens!$D$7418</f>
        <v>0</v>
      </c>
      <c r="E7482" s="38" t="n">
        <f aca="false">Sens!$E$7418</f>
        <v>0</v>
      </c>
      <c r="F7482" s="38" t="n">
        <f aca="false">Sens!$F$7418</f>
        <v>3.77122048175818</v>
      </c>
      <c r="G7482" s="38" t="n">
        <f aca="false">Sens!$G$7418</f>
        <v>3.77122048175818</v>
      </c>
      <c r="H7482" s="38" t="n">
        <f aca="false">Sens!$H$7418</f>
        <v>15.1635543609893</v>
      </c>
      <c r="I7482" s="38" t="n">
        <f aca="false">Sens!$I$7418</f>
        <v>25.5818843619889</v>
      </c>
      <c r="J7482" s="38" t="n">
        <f aca="false">Sens!$J$7418</f>
        <v>36.0465624179122</v>
      </c>
      <c r="K7482" s="38" t="n">
        <f aca="false">Sens!$K$7418</f>
        <v>44.9741164026038</v>
      </c>
      <c r="L7482" s="38" t="n">
        <f aca="false">Sens!$L$7418</f>
        <v>50.8413488057813</v>
      </c>
      <c r="M7482" s="38" t="n">
        <f aca="false">Sens!$M$7418</f>
        <v>53.6407214274315</v>
      </c>
      <c r="N7482" s="38" t="n">
        <f aca="false">Sens!$N$7418</f>
        <v>0</v>
      </c>
      <c r="O7482" s="38" t="n">
        <f aca="false">Sens!$O$7418</f>
        <v>0</v>
      </c>
      <c r="P7482" s="5" t="s">
        <v>736</v>
      </c>
    </row>
    <row r="7483" customFormat="false" ht="17.15" hidden="false" customHeight="false" outlineLevel="0" collapsed="false">
      <c r="A7483" s="5" t="s">
        <v>737</v>
      </c>
      <c r="B7483" s="0" t="s">
        <v>86</v>
      </c>
      <c r="C7483" s="38" t="n">
        <f aca="false">Sens!$C$7480+Sens!$C$7482</f>
        <v>68.593</v>
      </c>
      <c r="D7483" s="38" t="n">
        <f aca="false">Sens!$D$7480+Sens!$D$7482</f>
        <v>79.975</v>
      </c>
      <c r="E7483" s="38" t="n">
        <f aca="false">Sens!$E$7480+Sens!$E$7482</f>
        <v>51.313</v>
      </c>
      <c r="F7483" s="38" t="n">
        <f aca="false">Sens!$F$7480+Sens!$F$7482</f>
        <v>60.4617121086123</v>
      </c>
      <c r="G7483" s="38" t="n">
        <f aca="false">Sens!$G$7480+Sens!$G$7482</f>
        <v>111.774712108612</v>
      </c>
      <c r="H7483" s="38" t="n">
        <f aca="false">Sens!$H$7480+Sens!$H$7482</f>
        <v>146.71042213049</v>
      </c>
      <c r="I7483" s="38" t="n">
        <f aca="false">Sens!$I$7480+Sens!$I$7482</f>
        <v>177.025639565314</v>
      </c>
      <c r="J7483" s="38" t="n">
        <f aca="false">Sens!$J$7480+Sens!$J$7482</f>
        <v>205.877701810599</v>
      </c>
      <c r="K7483" s="38" t="n">
        <f aca="false">Sens!$K$7480+Sens!$K$7482</f>
        <v>226.389328896426</v>
      </c>
      <c r="L7483" s="38" t="n">
        <f aca="false">Sens!$L$7480+Sens!$L$7482</f>
        <v>243.057333273941</v>
      </c>
      <c r="M7483" s="38" t="n">
        <f aca="false">Sens!$M$7480+Sens!$M$7482</f>
        <v>255.896583671649</v>
      </c>
      <c r="N7483" s="38" t="n">
        <f aca="false">Sens!$N$7480+Sens!$N$7482</f>
        <v>37.576</v>
      </c>
      <c r="O7483" s="38" t="n">
        <f aca="false">Sens!$O$7480+Sens!$O$7482</f>
        <v>42.399</v>
      </c>
    </row>
    <row r="7484" customFormat="false" ht="17.15" hidden="false" customHeight="false" outlineLevel="0" collapsed="false">
      <c r="A7484" s="0" t="s">
        <v>738</v>
      </c>
      <c r="B7484" s="0" t="s">
        <v>52</v>
      </c>
      <c r="C7484" s="13" t="n">
        <f aca="false">Sens!$C$7470/Sens!$C$7455</f>
        <v>0.0644314665661928</v>
      </c>
      <c r="D7484" s="13" t="n">
        <f aca="false">Sens!$D$7470/Sens!$D$7455</f>
        <v>0.0694784250712518</v>
      </c>
      <c r="E7484" s="13" t="n">
        <f aca="false">Sens!$E$7470/Sens!$E$7455</f>
        <v>0.0789306463326071</v>
      </c>
      <c r="F7484" s="13" t="n">
        <f aca="false">Sens!$F$7470/Sens!$F$7455</f>
        <v>0.0801757457241943</v>
      </c>
      <c r="G7484" s="13" t="n">
        <f aca="false">Sens!$G$7470/Sens!$G$7455</f>
        <v>0.0795932749625682</v>
      </c>
      <c r="H7484" s="13" t="n">
        <f aca="false">Sens!$H$7470/Sens!$H$7455</f>
        <v>0.0801494276915951</v>
      </c>
      <c r="I7484" s="13" t="n">
        <f aca="false">Sens!$I$7470/Sens!$I$7455</f>
        <v>0.0784619467108939</v>
      </c>
      <c r="J7484" s="13" t="n">
        <f aca="false">Sens!$J$7470/Sens!$J$7455</f>
        <v>0.0767950945569155</v>
      </c>
      <c r="K7484" s="13" t="n">
        <f aca="false">Sens!$K$7470/Sens!$K$7455</f>
        <v>0.0749782708028101</v>
      </c>
      <c r="L7484" s="13" t="n">
        <f aca="false">Sens!$L$7470/Sens!$L$7455</f>
        <v>0.0740581549602486</v>
      </c>
      <c r="M7484" s="13" t="n">
        <f aca="false">Sens!$M$7470/Sens!$M$7455</f>
        <v>0.075724068445432</v>
      </c>
      <c r="N7484" s="13" t="n">
        <f aca="false">Sens!$N$7470/Sens!$N$7455</f>
        <v>0.069228576611127</v>
      </c>
      <c r="O7484" s="13" t="n">
        <f aca="false">Sens!$O$7470/Sens!$O$7455</f>
        <v>0.069685022498393</v>
      </c>
    </row>
    <row r="7485" customFormat="false" ht="17.15" hidden="false" customHeight="false" outlineLevel="0" collapsed="false">
      <c r="A7485" s="0" t="s">
        <v>739</v>
      </c>
      <c r="B7485" s="0" t="s">
        <v>52</v>
      </c>
      <c r="C7485" s="13" t="n">
        <f aca="false">Sens!$C$7475/Sens!$C$7456</f>
        <v>0.026534925055631</v>
      </c>
      <c r="D7485" s="13" t="n">
        <f aca="false">Sens!$D$7475/Sens!$D$7456</f>
        <v>0.0293401855535103</v>
      </c>
      <c r="E7485" s="13" t="n">
        <f aca="false">Sens!$E$7475/Sens!$E$7456</f>
        <v>0.03831141902276</v>
      </c>
      <c r="F7485" s="13" t="n">
        <f aca="false">Sens!$F$7475/Sens!$F$7456</f>
        <v>0.0281350107328284</v>
      </c>
      <c r="G7485" s="13" t="n">
        <f aca="false">Sens!$G$7475/Sens!$G$7456</f>
        <v>0.0327600029432073</v>
      </c>
      <c r="H7485" s="13" t="n">
        <f aca="false">Sens!$H$7475/Sens!$H$7456</f>
        <v>0.031310920057557</v>
      </c>
      <c r="I7485" s="13" t="n">
        <f aca="false">Sens!$I$7475/Sens!$I$7456</f>
        <v>0.0275950243319601</v>
      </c>
      <c r="J7485" s="13" t="n">
        <f aca="false">Sens!$J$7475/Sens!$J$7456</f>
        <v>0.0238367762099147</v>
      </c>
      <c r="K7485" s="13" t="n">
        <f aca="false">Sens!$K$7475/Sens!$K$7456</f>
        <v>0.0198239122855479</v>
      </c>
      <c r="L7485" s="13" t="n">
        <f aca="false">Sens!$L$7475/Sens!$L$7456</f>
        <v>0.0192499447238486</v>
      </c>
      <c r="M7485" s="13" t="n">
        <f aca="false">Sens!$M$7475/Sens!$M$7456</f>
        <v>0.0212700135680342</v>
      </c>
      <c r="N7485" s="13" t="n">
        <f aca="false">Sens!$N$7475/Sens!$N$7456</f>
        <v>0.0357315650169337</v>
      </c>
      <c r="O7485" s="13" t="n">
        <f aca="false">Sens!$O$7475/Sens!$O$7456</f>
        <v>0.0244378956559703</v>
      </c>
    </row>
    <row r="7486" customFormat="false" ht="17.15" hidden="false" customHeight="false" outlineLevel="0" collapsed="false">
      <c r="A7486" s="14" t="s">
        <v>740</v>
      </c>
      <c r="B7486" s="14" t="s">
        <v>52</v>
      </c>
      <c r="C7486" s="17" t="n">
        <f aca="false">Sens!$C$7478/Sens!$C$7457</f>
        <v>0.370355907620217</v>
      </c>
      <c r="D7486" s="17" t="n">
        <f aca="false">Sens!$D$7478/Sens!$D$7457</f>
        <v>0.35429015342785</v>
      </c>
      <c r="E7486" s="17" t="n">
        <f aca="false">Sens!$E$7478/Sens!$E$7457</f>
        <v>0.385647527531039</v>
      </c>
      <c r="F7486" s="17" t="n">
        <f aca="false">Sens!$F$7478/Sens!$F$7457</f>
        <v>0.390008895496028</v>
      </c>
      <c r="G7486" s="17" t="n">
        <f aca="false">Sens!$G$7478/Sens!$G$7457</f>
        <v>0.387918733944362</v>
      </c>
      <c r="H7486" s="17" t="n">
        <f aca="false">Sens!$H$7478/Sens!$H$7457</f>
        <v>0.377537651365497</v>
      </c>
      <c r="I7486" s="17" t="n">
        <f aca="false">Sens!$I$7478/Sens!$I$7457</f>
        <v>0.359230604038662</v>
      </c>
      <c r="J7486" s="17" t="n">
        <f aca="false">Sens!$J$7478/Sens!$J$7457</f>
        <v>0.345197865849801</v>
      </c>
      <c r="K7486" s="17" t="n">
        <f aca="false">Sens!$K$7478/Sens!$K$7457</f>
        <v>0.32654098357242</v>
      </c>
      <c r="L7486" s="17" t="n">
        <f aca="false">Sens!$L$7478/Sens!$L$7457</f>
        <v>0.314806978274702</v>
      </c>
      <c r="M7486" s="17" t="n">
        <f aca="false">Sens!$M$7478/Sens!$M$7457</f>
        <v>0.304503505485029</v>
      </c>
      <c r="N7486" s="17" t="n">
        <f aca="false">Sens!$N$7478/Sens!$N$7457</f>
        <v>0.360941137346192</v>
      </c>
      <c r="O7486" s="17" t="n">
        <f aca="false">Sens!$O$7478/Sens!$O$7457</f>
        <v>0.348458117664212</v>
      </c>
    </row>
    <row r="7487" customFormat="false" ht="17.15" hidden="false" customHeight="false" outlineLevel="0" collapsed="false">
      <c r="A7487" s="0" t="s">
        <v>741</v>
      </c>
      <c r="B7487" s="0" t="s">
        <v>52</v>
      </c>
      <c r="C7487" s="13" t="n">
        <f aca="false">Sens!$C$7476/Sens!$C$7458</f>
        <v>0.708390794789371</v>
      </c>
      <c r="D7487" s="13" t="n">
        <f aca="false">Sens!$D$7476/Sens!$D$7458</f>
        <v>0.619415573115729</v>
      </c>
      <c r="E7487" s="13" t="n">
        <f aca="false">Sens!$E$7476/Sens!$E$7458</f>
        <v>0.374072166056273</v>
      </c>
      <c r="F7487" s="13" t="n">
        <f aca="false">Sens!$F$7476/Sens!$F$7458</f>
        <v>0.553219320710057</v>
      </c>
      <c r="G7487" s="13" t="n">
        <f aca="false">Sens!$G$7476/Sens!$G$7458</f>
        <v>0.488270041527512</v>
      </c>
      <c r="H7487" s="13" t="n">
        <f aca="false">Sens!$H$7476/Sens!$H$7458</f>
        <v>0.435229086816882</v>
      </c>
      <c r="I7487" s="13" t="n">
        <f aca="false">Sens!$I$7476/Sens!$I$7458</f>
        <v>0.364954592421095</v>
      </c>
      <c r="J7487" s="13" t="n">
        <f aca="false">Sens!$J$7476/Sens!$J$7458</f>
        <v>0.330438308582232</v>
      </c>
      <c r="K7487" s="13" t="n">
        <f aca="false">Sens!$K$7476/Sens!$K$7458</f>
        <v>0.2916589289528</v>
      </c>
      <c r="L7487" s="13" t="n">
        <f aca="false">Sens!$L$7476/Sens!$L$7458</f>
        <v>0.268199200593258</v>
      </c>
      <c r="M7487" s="13" t="n">
        <f aca="false">Sens!$M$7476/Sens!$M$7458</f>
        <v>0.244854995033574</v>
      </c>
      <c r="N7487" s="13" t="n">
        <f aca="false">Sens!$N$7476/Sens!$N$7458</f>
        <v>0.551227795793364</v>
      </c>
      <c r="O7487" s="13" t="n">
        <f aca="false">Sens!$O$7476/Sens!$O$7458</f>
        <v>0.656132068597002</v>
      </c>
    </row>
    <row r="7488" customFormat="false" ht="15" hidden="false" customHeight="false" outlineLevel="0" collapsed="false">
      <c r="A7488" s="5" t="s">
        <v>742</v>
      </c>
      <c r="B7488" s="0" t="s">
        <v>52</v>
      </c>
      <c r="C7488" s="13" t="n">
        <f aca="false">Sens!$C$7480/Sens!$C$7460</f>
        <v>0.107519448742004</v>
      </c>
      <c r="D7488" s="13" t="n">
        <f aca="false">Sens!$D$7480/Sens!$D$7460</f>
        <v>0.111552967957552</v>
      </c>
      <c r="E7488" s="13" t="n">
        <f aca="false">Sens!$E$7480/Sens!$E$7460</f>
        <v>0.13428328426562</v>
      </c>
      <c r="F7488" s="13" t="n">
        <f aca="false">Sens!$F$7480/Sens!$F$7460</f>
        <v>0.130089413875539</v>
      </c>
      <c r="G7488" s="13" t="n">
        <f aca="false">Sens!$G$7480/Sens!$G$7460</f>
        <v>0.132048786678316</v>
      </c>
      <c r="H7488" s="13" t="n">
        <f aca="false">Sens!$H$7480/Sens!$H$7460</f>
        <v>0.139604881440853</v>
      </c>
      <c r="I7488" s="13" t="n">
        <f aca="false">Sens!$I$7480/Sens!$I$7460</f>
        <v>0.141694752432769</v>
      </c>
      <c r="J7488" s="13" t="n">
        <f aca="false">Sens!$J$7480/Sens!$J$7460</f>
        <v>0.14272611544629</v>
      </c>
      <c r="K7488" s="13" t="n">
        <f aca="false">Sens!$K$7480/Sens!$K$7460</f>
        <v>0.139974160596744</v>
      </c>
      <c r="L7488" s="13" t="n">
        <f aca="false">Sens!$L$7480/Sens!$L$7460</f>
        <v>0.137772071866073</v>
      </c>
      <c r="M7488" s="13" t="n">
        <f aca="false">Sens!$M$7480/Sens!$M$7460</f>
        <v>0.13596080857516</v>
      </c>
      <c r="N7488" s="13" t="n">
        <f aca="false">Sens!$N$7480/Sens!$N$7460</f>
        <v>0.116201614873411</v>
      </c>
      <c r="O7488" s="13" t="n">
        <f aca="false">Sens!$O$7480/Sens!$O$7460</f>
        <v>0.107733353660861</v>
      </c>
    </row>
    <row r="7489" customFormat="false" ht="17.15" hidden="false" customHeight="false" outlineLevel="0" collapsed="false">
      <c r="A7489" s="1" t="s">
        <v>743</v>
      </c>
    </row>
    <row r="7490" customFormat="false" ht="17.15" hidden="false" customHeight="false" outlineLevel="0" collapsed="false">
      <c r="A7490" s="5" t="s">
        <v>744</v>
      </c>
      <c r="B7490" s="0" t="s">
        <v>52</v>
      </c>
      <c r="D7490" s="28" t="n">
        <f aca="false">(Q!$E$29+Q!$E$30-(1-ext_sh)*Sens!$D$7412)/Sens!$D$7366</f>
        <v>0.0341105596409988</v>
      </c>
    </row>
    <row r="7491" customFormat="false" ht="17.15" hidden="false" customHeight="false" outlineLevel="0" collapsed="false">
      <c r="A7491" s="0" t="s">
        <v>538</v>
      </c>
      <c r="B7491" s="0" t="s">
        <v>86</v>
      </c>
      <c r="C7491" s="38" t="n">
        <f aca="false">Q!$D$29</f>
        <v>14.285</v>
      </c>
      <c r="D7491" s="38" t="n">
        <f aca="false">Q!$E$29</f>
        <v>15.503</v>
      </c>
      <c r="E7491" s="38" t="n">
        <f aca="false">Q!$P$29</f>
        <v>8.78</v>
      </c>
      <c r="F7491" s="38" t="n">
        <f aca="false">(Sens!$D$7490*Sens!$F$7366+(1-ext_sh)*Sens!$F$7412)*Sens!$F$7367</f>
        <v>9.16735846116642</v>
      </c>
      <c r="G7491" s="38" t="n">
        <f aca="false">Sens!$E$7491+Sens!$F$7491</f>
        <v>17.9473584611664</v>
      </c>
      <c r="H7491" s="38" t="n">
        <f aca="false">(Sens!$D$7490*Sens!$H$7366+(1-ext_sh)*Sens!$H$7412)*Sens!$H$7367</f>
        <v>21.6406723110177</v>
      </c>
      <c r="I7491" s="38" t="n">
        <f aca="false">(Sens!$D$7490*Sens!$I$7366+(1-ext_sh)*Sens!$I$7412)*Sens!$I$7367</f>
        <v>27.3128215555087</v>
      </c>
      <c r="J7491" s="38" t="n">
        <f aca="false">(Sens!$D$7490*Sens!$J$7366+(1-ext_sh)*Sens!$J$7412)*Sens!$J$7367</f>
        <v>33.0116861885756</v>
      </c>
      <c r="K7491" s="38" t="n">
        <f aca="false">(Sens!$D$7490*Sens!$K$7366+(1-ext_sh)*Sens!$K$7412)*Sens!$K$7367</f>
        <v>38.6250238720245</v>
      </c>
      <c r="L7491" s="38" t="n">
        <f aca="false">(Sens!$D$7490*Sens!$L$7366+(1-ext_sh)*Sens!$L$7412)*Sens!$L$7367</f>
        <v>43.0711535197861</v>
      </c>
      <c r="M7491" s="38" t="n">
        <f aca="false">(Sens!$D$7490*Sens!$M$7366+(1-ext_sh)*Sens!$M$7412)*Sens!$M$7367</f>
        <v>46.590728630326</v>
      </c>
      <c r="N7491" s="38" t="n">
        <f aca="false">Q!$N$29</f>
        <v>7.272</v>
      </c>
      <c r="O7491" s="38" t="n">
        <f aca="false">Q!$O$29</f>
        <v>8.231</v>
      </c>
    </row>
    <row r="7492" customFormat="false" ht="17.15" hidden="false" customHeight="false" outlineLevel="0" collapsed="false">
      <c r="A7492" s="0" t="s">
        <v>540</v>
      </c>
      <c r="B7492" s="0" t="s">
        <v>86</v>
      </c>
      <c r="C7492" s="38" t="n">
        <f aca="false">Q!$D$30</f>
        <v>4.462</v>
      </c>
      <c r="D7492" s="38" t="n">
        <f aca="false">Q!$E$30</f>
        <v>4.907</v>
      </c>
      <c r="E7492" s="38" t="n">
        <f aca="false">Q!$P$30</f>
        <v>2.57</v>
      </c>
      <c r="F7492" s="38" t="n">
        <f aca="false">(Sens!$D$7490*Sens!$F$7366+(1-ext_sh)*Sens!$F$7412)*(1-Sens!$F$7367)</f>
        <v>3.59937168293151</v>
      </c>
      <c r="G7492" s="38" t="n">
        <f aca="false">Sens!$E$7492+Sens!$F$7492</f>
        <v>6.16937168293151</v>
      </c>
      <c r="H7492" s="38" t="n">
        <f aca="false">(Sens!$D$7490*Sens!$H$7366+(1-ext_sh)*Sens!$H$7412)*(1-Sens!$H$7367)</f>
        <v>8.28915290031442</v>
      </c>
      <c r="I7492" s="38" t="n">
        <f aca="false">(Sens!$D$7490*Sens!$I$7366+(1-ext_sh)*Sens!$I$7412)*(1-Sens!$I$7367)</f>
        <v>10.4617892992793</v>
      </c>
      <c r="J7492" s="38" t="n">
        <f aca="false">(Sens!$D$7490*Sens!$J$7366+(1-ext_sh)*Sens!$J$7412)*(1-Sens!$J$7367)</f>
        <v>12.6446586493057</v>
      </c>
      <c r="K7492" s="38" t="n">
        <f aca="false">(Sens!$D$7490*Sens!$K$7366+(1-ext_sh)*Sens!$K$7412)*(1-Sens!$K$7367)</f>
        <v>14.7947681131192</v>
      </c>
      <c r="L7492" s="38" t="n">
        <f aca="false">(Sens!$D$7490*Sens!$L$7366+(1-ext_sh)*Sens!$L$7412)*(1-Sens!$L$7367)</f>
        <v>16.4977950771268</v>
      </c>
      <c r="M7492" s="38" t="n">
        <f aca="false">(Sens!$D$7490*Sens!$M$7366+(1-ext_sh)*Sens!$M$7412)*(1-Sens!$M$7367)</f>
        <v>17.8459184540772</v>
      </c>
      <c r="N7492" s="38" t="n">
        <f aca="false">Q!$N$30</f>
        <v>2.316</v>
      </c>
      <c r="O7492" s="38" t="n">
        <f aca="false">Q!$O$30</f>
        <v>2.591</v>
      </c>
    </row>
    <row r="7493" customFormat="false" ht="17.15" hidden="false" customHeight="false" outlineLevel="0" collapsed="false">
      <c r="A7493" s="0" t="s">
        <v>541</v>
      </c>
      <c r="B7493" s="0" t="s">
        <v>86</v>
      </c>
      <c r="C7493" s="38" t="n">
        <f aca="false">Sens!$C$7424</f>
        <v>13.32</v>
      </c>
      <c r="D7493" s="38" t="n">
        <f aca="false">Sens!$D$7424</f>
        <v>21.45</v>
      </c>
      <c r="E7493" s="38" t="n">
        <f aca="false">Sens!$E$7424</f>
        <v>15.353</v>
      </c>
      <c r="F7493" s="38" t="n">
        <f aca="false">Sens!$F$7424</f>
        <v>15.4404120185306</v>
      </c>
      <c r="G7493" s="38" t="n">
        <f aca="false">Sens!$G$7424</f>
        <v>30.7934120185306</v>
      </c>
      <c r="H7493" s="38" t="n">
        <f aca="false">Sens!$H$7424</f>
        <v>48.250114371455</v>
      </c>
      <c r="I7493" s="38" t="n">
        <f aca="false">Sens!$I$7424</f>
        <v>73.3965146995963</v>
      </c>
      <c r="J7493" s="38" t="n">
        <f aca="false">Sens!$J$7424</f>
        <v>99.22806138309</v>
      </c>
      <c r="K7493" s="38" t="n">
        <f aca="false">Sens!$K$7424</f>
        <v>125.386627452856</v>
      </c>
      <c r="L7493" s="38" t="n">
        <f aca="false">Sens!$L$7424</f>
        <v>144.77239043275</v>
      </c>
      <c r="M7493" s="38" t="n">
        <f aca="false">Sens!$M$7424</f>
        <v>158.693930910983</v>
      </c>
      <c r="N7493" s="38" t="n">
        <f aca="false">Sens!$N$7424</f>
        <v>9.234</v>
      </c>
      <c r="O7493" s="38" t="n">
        <f aca="false">Sens!$O$7424</f>
        <v>12.216</v>
      </c>
    </row>
    <row r="7494" customFormat="false" ht="17.15" hidden="false" customHeight="false" outlineLevel="0" collapsed="false">
      <c r="A7494" s="5" t="s">
        <v>745</v>
      </c>
      <c r="B7494" s="0" t="s">
        <v>86</v>
      </c>
      <c r="C7494" s="38" t="n">
        <f aca="false">Sens!$C$7491+Sens!$C$7492+Sens!$C$7493</f>
        <v>32.067</v>
      </c>
      <c r="D7494" s="38" t="n">
        <f aca="false">Sens!$D$7491+Sens!$D$7492+Sens!$D$7493</f>
        <v>41.86</v>
      </c>
      <c r="E7494" s="38" t="n">
        <f aca="false">Sens!$E$7491+Sens!$E$7492+Sens!$E$7493</f>
        <v>26.703</v>
      </c>
      <c r="F7494" s="38" t="n">
        <f aca="false">Sens!$F$7491+Sens!$F$7492+Sens!$F$7493</f>
        <v>28.2071421626285</v>
      </c>
      <c r="G7494" s="38" t="n">
        <f aca="false">Sens!$G$7491+Sens!$G$7492+Sens!$G$7493</f>
        <v>54.9101421626285</v>
      </c>
      <c r="H7494" s="38" t="n">
        <f aca="false">Sens!$H$7491+Sens!$H$7492+Sens!$H$7493</f>
        <v>78.1799395827871</v>
      </c>
      <c r="I7494" s="38" t="n">
        <f aca="false">Sens!$I$7491+Sens!$I$7492+Sens!$I$7493</f>
        <v>111.171125554384</v>
      </c>
      <c r="J7494" s="38" t="n">
        <f aca="false">Sens!$J$7491+Sens!$J$7492+Sens!$J$7493</f>
        <v>144.884406220971</v>
      </c>
      <c r="K7494" s="38" t="n">
        <f aca="false">Sens!$K$7491+Sens!$K$7492+Sens!$K$7493</f>
        <v>178.806419437999</v>
      </c>
      <c r="L7494" s="38" t="n">
        <f aca="false">Sens!$L$7491+Sens!$L$7492+Sens!$L$7493</f>
        <v>204.341339029663</v>
      </c>
      <c r="M7494" s="38" t="n">
        <f aca="false">Sens!$M$7491+Sens!$M$7492+Sens!$M$7493</f>
        <v>223.130577995387</v>
      </c>
      <c r="N7494" s="38" t="n">
        <f aca="false">Sens!$N$7491+Sens!$N$7492+Sens!$N$7493</f>
        <v>18.822</v>
      </c>
      <c r="O7494" s="38" t="n">
        <f aca="false">Sens!$O$7491+Sens!$O$7492+Sens!$O$7493</f>
        <v>23.038</v>
      </c>
    </row>
    <row r="7495" customFormat="false" ht="17.15" hidden="false" customHeight="false" outlineLevel="0" collapsed="false">
      <c r="A7495" s="0" t="s">
        <v>746</v>
      </c>
      <c r="B7495" s="0" t="s">
        <v>86</v>
      </c>
      <c r="C7495" s="38" t="n">
        <f aca="false">Sens!$C$7466+Sens!$C$7471</f>
        <v>28.107</v>
      </c>
      <c r="D7495" s="38" t="n">
        <f aca="false">Sens!$D$7466+Sens!$D$7471</f>
        <v>34.3175</v>
      </c>
      <c r="E7495" s="38" t="n">
        <f aca="false">Sens!$E$7466+Sens!$E$7471</f>
        <v>18.526</v>
      </c>
      <c r="F7495" s="38" t="n">
        <f aca="false">Sens!$F$7466+Sens!$F$7471</f>
        <v>23.0786109972074</v>
      </c>
      <c r="G7495" s="38" t="n">
        <f aca="false">Sens!$G$7466+Sens!$G$7471</f>
        <v>41.6046109972074</v>
      </c>
      <c r="H7495" s="38" t="n">
        <f aca="false">Sens!$H$7466+Sens!$H$7471</f>
        <v>49.9484611939488</v>
      </c>
      <c r="I7495" s="38" t="n">
        <f aca="false">Sens!$I$7466+Sens!$I$7471</f>
        <v>58.2915555477481</v>
      </c>
      <c r="J7495" s="38" t="n">
        <f aca="false">Sens!$J$7466+Sens!$J$7471</f>
        <v>66.0744709709759</v>
      </c>
      <c r="K7495" s="38" t="n">
        <f aca="false">Sens!$K$7466+Sens!$K$7471</f>
        <v>72.6819180680735</v>
      </c>
      <c r="L7495" s="38" t="n">
        <f aca="false">Sens!$L$7466+Sens!$L$7471</f>
        <v>79.9501098748808</v>
      </c>
      <c r="M7495" s="38" t="n">
        <f aca="false">Sens!$M$7466+Sens!$M$7471</f>
        <v>87.9451208623689</v>
      </c>
      <c r="N7495" s="38" t="n">
        <f aca="false">Sens!$N$7466+Sens!$N$7471</f>
        <v>14.8075</v>
      </c>
      <c r="O7495" s="38" t="n">
        <f aca="false">Sens!$O$7466+Sens!$O$7471</f>
        <v>19.51</v>
      </c>
    </row>
    <row r="7496" customFormat="false" ht="17.15" hidden="false" customHeight="false" outlineLevel="0" collapsed="false">
      <c r="A7496" s="0" t="s">
        <v>747</v>
      </c>
      <c r="B7496" s="0" t="s">
        <v>86</v>
      </c>
      <c r="C7496" s="38" t="n">
        <f aca="false">Sens!$C$7470+Sens!$C$7475+Sens!$C$7491+Sens!$C$7492-Sens!$C$7495</f>
        <v>19.399</v>
      </c>
      <c r="D7496" s="38" t="n">
        <f aca="false">Sens!$D$7470+Sens!$D$7475+Sens!$D$7491+Sens!$D$7492-Sens!$D$7495</f>
        <v>20.4615</v>
      </c>
      <c r="E7496" s="38" t="n">
        <f aca="false">Sens!$E$7470+Sens!$E$7475+Sens!$E$7491+Sens!$E$7492-Sens!$E$7495</f>
        <v>13.355</v>
      </c>
      <c r="F7496" s="38" t="n">
        <f aca="false">Sens!$F$7470+Sens!$F$7475+Sens!$F$7491+Sens!$F$7492-Sens!$F$7495</f>
        <v>12.5520732018618</v>
      </c>
      <c r="G7496" s="38" t="n">
        <f aca="false">Sens!$G$7470+Sens!$G$7475+Sens!$G$7491+Sens!$G$7492-Sens!$G$7495</f>
        <v>25.9070732018618</v>
      </c>
      <c r="H7496" s="38" t="n">
        <f aca="false">Sens!$H$7470+Sens!$H$7475+Sens!$H$7491+Sens!$H$7492-Sens!$H$7495</f>
        <v>28.0233335906818</v>
      </c>
      <c r="I7496" s="38" t="n">
        <f aca="false">Sens!$I$7470+Sens!$I$7475+Sens!$I$7491+Sens!$I$7492-Sens!$I$7495</f>
        <v>30.2440066606864</v>
      </c>
      <c r="J7496" s="38" t="n">
        <f aca="false">Sens!$J$7470+Sens!$J$7475+Sens!$J$7491+Sens!$J$7492-Sens!$J$7495</f>
        <v>32.4596500296286</v>
      </c>
      <c r="K7496" s="38" t="n">
        <f aca="false">Sens!$K$7470+Sens!$K$7475+Sens!$K$7491+Sens!$K$7492-Sens!$K$7495</f>
        <v>34.839425971154</v>
      </c>
      <c r="L7496" s="38" t="n">
        <f aca="false">Sens!$L$7470+Sens!$L$7475+Sens!$L$7491+Sens!$L$7492-Sens!$L$7495</f>
        <v>36.4424209524427</v>
      </c>
      <c r="M7496" s="38" t="n">
        <f aca="false">Sens!$M$7470+Sens!$M$7475+Sens!$M$7491+Sens!$M$7492-Sens!$M$7495</f>
        <v>38.8413540019876</v>
      </c>
      <c r="N7496" s="38" t="n">
        <f aca="false">Sens!$N$7470+Sens!$N$7475+Sens!$N$7491+Sens!$N$7492-Sens!$N$7495</f>
        <v>10.6495</v>
      </c>
      <c r="O7496" s="38" t="n">
        <f aca="false">Sens!$O$7470+Sens!$O$7475+Sens!$O$7491+Sens!$O$7492-Sens!$O$7495</f>
        <v>9.81200000000001</v>
      </c>
    </row>
    <row r="7497" customFormat="false" ht="17.15" hidden="false" customHeight="false" outlineLevel="0" collapsed="false">
      <c r="A7497" s="0" t="s">
        <v>748</v>
      </c>
      <c r="B7497" s="0" t="s">
        <v>86</v>
      </c>
      <c r="C7497" s="38" t="n">
        <f aca="false">Sens!$C$7477+Sens!$C$7493-ext_sh*Sens!$C$7412</f>
        <v>51.3470500115664</v>
      </c>
      <c r="D7497" s="38" t="n">
        <f aca="false">Sens!$D$7477+Sens!$D$7493-ext_sh*Sens!$D$7412</f>
        <v>60.2799375433739</v>
      </c>
      <c r="E7497" s="38" t="n">
        <f aca="false">Sens!$E$7477+Sens!$E$7493-ext_sh*Sens!$E$7412</f>
        <v>39.5095167090767</v>
      </c>
      <c r="F7497" s="38" t="n">
        <f aca="false">Sens!$F$7477+Sens!$F$7493-ext_sh*Sens!$F$7412</f>
        <v>37.5468918745429</v>
      </c>
      <c r="G7497" s="38" t="n">
        <f aca="false">Sens!$G$7477+Sens!$G$7493-ext_sh*Sens!$G$7412</f>
        <v>77.0564085836196</v>
      </c>
      <c r="H7497" s="38" t="n">
        <f aca="false">Sens!$H$7477+Sens!$H$7493-ext_sh*Sens!$H$7412</f>
        <v>84.2378398616123</v>
      </c>
      <c r="I7497" s="38" t="n">
        <f aca="false">Sens!$I$7477+Sens!$I$7493-ext_sh*Sens!$I$7412</f>
        <v>93.5253492849083</v>
      </c>
      <c r="J7497" s="38" t="n">
        <f aca="false">Sens!$J$7477+Sens!$J$7493-ext_sh*Sens!$J$7412</f>
        <v>102.42210777817</v>
      </c>
      <c r="K7497" s="38" t="n">
        <f aca="false">Sens!$K$7477+Sens!$K$7493-ext_sh*Sens!$K$7412</f>
        <v>110.615876400424</v>
      </c>
      <c r="L7497" s="38" t="n">
        <f aca="false">Sens!$L$7477+Sens!$L$7493-ext_sh*Sens!$L$7412</f>
        <v>119.465146512458</v>
      </c>
      <c r="M7497" s="38" t="n">
        <f aca="false">Sens!$M$7477+Sens!$M$7493-ext_sh*Sens!$M$7412</f>
        <v>129.022358233455</v>
      </c>
      <c r="N7497" s="38" t="n">
        <f aca="false">Sens!$N$7477+Sens!$N$7493-ext_sh*Sens!$N$7412</f>
        <v>28.5693781401809</v>
      </c>
      <c r="O7497" s="38" t="n">
        <f aca="false">Sens!$O$7477+Sens!$O$7493-ext_sh*Sens!$O$7412</f>
        <v>31.7105594031931</v>
      </c>
    </row>
    <row r="7498" customFormat="false" ht="17.15" hidden="false" customHeight="false" outlineLevel="0" collapsed="false">
      <c r="A7498" s="0" t="s">
        <v>749</v>
      </c>
      <c r="B7498" s="0" t="s">
        <v>86</v>
      </c>
      <c r="C7498" s="38" t="n">
        <f aca="false">Sens!$C$7415</f>
        <v>1.80694998843362</v>
      </c>
      <c r="D7498" s="38" t="n">
        <f aca="false">Sens!$D$7415</f>
        <v>6.77606245662607</v>
      </c>
      <c r="E7498" s="38" t="n">
        <f aca="false">Sens!$E$7415</f>
        <v>6.62548329092326</v>
      </c>
      <c r="F7498" s="38" t="n">
        <f aca="false">Sens!$F$7415</f>
        <v>11.7200577158706</v>
      </c>
      <c r="G7498" s="38" t="n">
        <f aca="false">Sens!$G$7415</f>
        <v>18.3455410067939</v>
      </c>
      <c r="H7498" s="38" t="n">
        <f aca="false">Sens!$H$7415</f>
        <v>47.5171727060453</v>
      </c>
      <c r="I7498" s="38" t="n">
        <f aca="false">Sens!$I$7415</f>
        <v>80.5539692643667</v>
      </c>
      <c r="J7498" s="38" t="n">
        <f aca="false">Sens!$J$7415</f>
        <v>113.759316834883</v>
      </c>
      <c r="K7498" s="38" t="n">
        <f aca="false">Sens!$K$7415</f>
        <v>142.084411492169</v>
      </c>
      <c r="L7498" s="38" t="n">
        <f aca="false">Sens!$L$7415</f>
        <v>160.69964615804</v>
      </c>
      <c r="M7498" s="38" t="n">
        <f aca="false">Sens!$M$7415</f>
        <v>169.577607141793</v>
      </c>
      <c r="N7498" s="38" t="n">
        <f aca="false">Sens!$N$7415</f>
        <v>2.37162185981912</v>
      </c>
      <c r="O7498" s="38" t="n">
        <f aca="false">Sens!$O$7415</f>
        <v>4.40444059680694</v>
      </c>
    </row>
    <row r="7499" customFormat="false" ht="17.15" hidden="false" customHeight="false" outlineLevel="0" collapsed="false">
      <c r="A7499" s="0" t="s">
        <v>750</v>
      </c>
      <c r="B7499" s="0" t="s">
        <v>86</v>
      </c>
      <c r="C7499" s="38" t="n">
        <f aca="false">Sens!$C$7480+Sens!$C$7494</f>
        <v>100.66</v>
      </c>
      <c r="D7499" s="38" t="n">
        <f aca="false">Sens!$D$7480+Sens!$D$7494</f>
        <v>121.835</v>
      </c>
      <c r="E7499" s="38" t="n">
        <f aca="false">Sens!$E$7480+Sens!$E$7494</f>
        <v>78.016</v>
      </c>
      <c r="F7499" s="38" t="n">
        <f aca="false">Sens!$F$7480+Sens!$F$7494</f>
        <v>84.8976337894826</v>
      </c>
      <c r="G7499" s="38" t="n">
        <f aca="false">Sens!$G$7480+Sens!$G$7494</f>
        <v>162.913633789483</v>
      </c>
      <c r="H7499" s="38" t="n">
        <f aca="false">Sens!$H$7480+Sens!$H$7494</f>
        <v>209.726807352288</v>
      </c>
      <c r="I7499" s="38" t="n">
        <f aca="false">Sens!$I$7480+Sens!$I$7494</f>
        <v>262.61488075771</v>
      </c>
      <c r="J7499" s="38" t="n">
        <f aca="false">Sens!$J$7480+Sens!$J$7494</f>
        <v>314.715545613658</v>
      </c>
      <c r="K7499" s="38" t="n">
        <f aca="false">Sens!$K$7480+Sens!$K$7494</f>
        <v>360.221631931821</v>
      </c>
      <c r="L7499" s="38" t="n">
        <f aca="false">Sens!$L$7480+Sens!$L$7494</f>
        <v>396.557323497822</v>
      </c>
      <c r="M7499" s="38" t="n">
        <f aca="false">Sens!$M$7480+Sens!$M$7494</f>
        <v>425.386440239605</v>
      </c>
      <c r="N7499" s="38" t="n">
        <f aca="false">Sens!$N$7480+Sens!$N$7494</f>
        <v>56.398</v>
      </c>
      <c r="O7499" s="38" t="n">
        <f aca="false">Sens!$O$7480+Sens!$O$7494</f>
        <v>65.437</v>
      </c>
    </row>
    <row r="7500" customFormat="false" ht="17.15" hidden="false" customHeight="false" outlineLevel="0" collapsed="false">
      <c r="A7500" s="1" t="s">
        <v>751</v>
      </c>
    </row>
    <row r="7501" customFormat="false" ht="15" hidden="false" customHeight="false" outlineLevel="0" collapsed="false">
      <c r="A7501" s="5" t="s">
        <v>544</v>
      </c>
      <c r="B7501" s="0" t="s">
        <v>86</v>
      </c>
      <c r="C7501" s="38" t="n">
        <f aca="false">Q!$D$34</f>
        <v>2.406</v>
      </c>
      <c r="D7501" s="38" t="n">
        <f aca="false">Q!$E$34</f>
        <v>2.274</v>
      </c>
      <c r="E7501" s="38" t="n">
        <f aca="false">Q!$P$34</f>
        <v>2.114</v>
      </c>
      <c r="F7501" s="38" t="n">
        <f aca="false">Sens!$F$7539</f>
        <v>3.24888962733561</v>
      </c>
      <c r="G7501" s="38" t="n">
        <f aca="false">Sens!$E$7501+Sens!$F$7501</f>
        <v>5.36288962733561</v>
      </c>
      <c r="H7501" s="38" t="n">
        <f aca="false">Sens!$H$7539</f>
        <v>7.42354172302123</v>
      </c>
      <c r="I7501" s="38" t="n">
        <f aca="false">Sens!$I$7539</f>
        <v>8.48968024898619</v>
      </c>
      <c r="J7501" s="38" t="n">
        <f aca="false">Sens!$J$7539</f>
        <v>9.63598826439483</v>
      </c>
      <c r="K7501" s="38" t="n">
        <f aca="false">Sens!$K$7539</f>
        <v>9.63598826439483</v>
      </c>
      <c r="L7501" s="38" t="n">
        <f aca="false">Sens!$L$7539</f>
        <v>9.63598826439483</v>
      </c>
      <c r="M7501" s="38" t="n">
        <f aca="false">Sens!$M$7539</f>
        <v>9.63598826439483</v>
      </c>
      <c r="N7501" s="38" t="n">
        <f aca="false">Q!$N$34</f>
        <v>1.057</v>
      </c>
      <c r="O7501" s="38" t="n">
        <f aca="false">Q!$O$34</f>
        <v>1.217</v>
      </c>
    </row>
    <row r="7502" customFormat="false" ht="15" hidden="false" customHeight="false" outlineLevel="0" collapsed="false">
      <c r="A7502" s="5" t="s">
        <v>752</v>
      </c>
      <c r="B7502" s="0" t="s">
        <v>86</v>
      </c>
      <c r="F7502" s="38" t="n">
        <f aca="false">Sens!$F$7540</f>
        <v>2.59</v>
      </c>
      <c r="H7502" s="38" t="n">
        <f aca="false">Sens!$H$7540</f>
        <v>3.76965165045626</v>
      </c>
      <c r="I7502" s="38" t="n">
        <f aca="false">Sens!$I$7540</f>
        <v>2.10589651022864</v>
      </c>
      <c r="J7502" s="38" t="n">
        <f aca="false">Sens!$J$7540</f>
        <v>2.10589651022864</v>
      </c>
      <c r="K7502" s="38" t="n">
        <f aca="false">Sens!$K$7540</f>
        <v>3.03184385018094</v>
      </c>
      <c r="L7502" s="38" t="n">
        <f aca="false">Sens!$L$7540</f>
        <v>8.01944213829919</v>
      </c>
      <c r="M7502" s="38" t="n">
        <f aca="false">Sens!$M$7540</f>
        <v>15.4751142339777</v>
      </c>
    </row>
    <row r="7503" customFormat="false" ht="17.15" hidden="false" customHeight="false" outlineLevel="0" collapsed="false">
      <c r="A7503" s="5" t="s">
        <v>753</v>
      </c>
      <c r="B7503" s="0" t="s">
        <v>86</v>
      </c>
      <c r="C7503" s="38" t="n">
        <f aca="false">Q!$D$39</f>
        <v>2.427</v>
      </c>
      <c r="D7503" s="38" t="n">
        <f aca="false">Q!$E$39</f>
        <v>19.61</v>
      </c>
      <c r="E7503" s="38" t="n">
        <f aca="false">Q!$P$39</f>
        <v>71.492</v>
      </c>
      <c r="F7503" s="39" t="n">
        <v>0</v>
      </c>
      <c r="G7503" s="38" t="n">
        <f aca="false">Sens!$E$7503+Sens!$F$7503</f>
        <v>71.492</v>
      </c>
      <c r="H7503" s="39" t="n">
        <v>0</v>
      </c>
      <c r="I7503" s="39" t="n">
        <v>0</v>
      </c>
      <c r="J7503" s="39" t="n">
        <v>0</v>
      </c>
      <c r="K7503" s="39" t="n">
        <v>0</v>
      </c>
      <c r="L7503" s="39" t="n">
        <v>0</v>
      </c>
      <c r="M7503" s="39" t="n">
        <v>0</v>
      </c>
      <c r="N7503" s="38" t="n">
        <f aca="false">Q!$N$39</f>
        <v>6.017</v>
      </c>
      <c r="O7503" s="38" t="n">
        <f aca="false">Q!$O$39</f>
        <v>13.593</v>
      </c>
      <c r="P7503" s="5" t="s">
        <v>754</v>
      </c>
    </row>
    <row r="7504" customFormat="false" ht="15" hidden="false" customHeight="false" outlineLevel="0" collapsed="false">
      <c r="A7504" s="5" t="s">
        <v>547</v>
      </c>
      <c r="B7504" s="0" t="s">
        <v>86</v>
      </c>
      <c r="C7504" s="38" t="n">
        <f aca="false">Q!$D$36</f>
        <v>68.614</v>
      </c>
      <c r="D7504" s="38" t="n">
        <f aca="false">Q!$E$36</f>
        <v>97.311</v>
      </c>
      <c r="E7504" s="38" t="n">
        <f aca="false">Q!$P$36</f>
        <v>120.691</v>
      </c>
      <c r="F7504" s="38" t="n">
        <f aca="false">Sens!$F$7480-Sens!$F$7501+Sens!$F$7502+Sens!$F$7503</f>
        <v>56.0316019995185</v>
      </c>
      <c r="G7504" s="38" t="n">
        <f aca="false">Sens!$E$7504+Sens!$F$7504</f>
        <v>176.722601999518</v>
      </c>
      <c r="H7504" s="38" t="n">
        <f aca="false">Sens!$H$7480-Sens!$H$7501+Sens!$H$7502+Sens!$H$7503</f>
        <v>127.892977696936</v>
      </c>
      <c r="I7504" s="38" t="n">
        <f aca="false">Sens!$I$7480-Sens!$I$7501+Sens!$I$7502+Sens!$I$7503</f>
        <v>145.059971464568</v>
      </c>
      <c r="J7504" s="38" t="n">
        <f aca="false">Sens!$J$7480-Sens!$J$7501+Sens!$J$7502+Sens!$J$7503</f>
        <v>162.301047638521</v>
      </c>
      <c r="K7504" s="38" t="n">
        <f aca="false">Sens!$K$7480-Sens!$K$7501+Sens!$K$7502+Sens!$K$7503</f>
        <v>174.811068079608</v>
      </c>
      <c r="L7504" s="38" t="n">
        <f aca="false">Sens!$L$7480-Sens!$L$7501+Sens!$L$7502+Sens!$L$7503</f>
        <v>190.599438342064</v>
      </c>
      <c r="M7504" s="38" t="n">
        <f aca="false">Sens!$M$7480-Sens!$M$7501+Sens!$M$7502+Sens!$M$7503</f>
        <v>208.094988213801</v>
      </c>
      <c r="N7504" s="38" t="n">
        <f aca="false">Q!$N$36</f>
        <v>42.536</v>
      </c>
      <c r="O7504" s="38" t="n">
        <f aca="false">Q!$O$36</f>
        <v>54.775</v>
      </c>
    </row>
    <row r="7505" customFormat="false" ht="15" hidden="false" customHeight="false" outlineLevel="0" collapsed="false">
      <c r="A7505" s="5" t="s">
        <v>548</v>
      </c>
      <c r="B7505" s="0" t="s">
        <v>86</v>
      </c>
      <c r="C7505" s="38" t="n">
        <f aca="false">Q!$D$37</f>
        <v>9.265</v>
      </c>
      <c r="D7505" s="38" t="n">
        <f aca="false">Q!$E$37</f>
        <v>19.087</v>
      </c>
      <c r="E7505" s="38" t="n">
        <f aca="false">Q!$P$37</f>
        <v>27.759</v>
      </c>
      <c r="F7505" s="38" t="n">
        <f aca="false">Sens!$F$7504*tax</f>
        <v>9.72621910890414</v>
      </c>
      <c r="G7505" s="38" t="n">
        <f aca="false">Sens!$E$7505+Sens!$F$7505</f>
        <v>37.4852191089041</v>
      </c>
      <c r="H7505" s="38" t="n">
        <f aca="false">Sens!$H$7504*tax</f>
        <v>22.2002419916761</v>
      </c>
      <c r="I7505" s="38" t="n">
        <f aca="false">Sens!$I$7504*tax</f>
        <v>25.1801664783365</v>
      </c>
      <c r="J7505" s="38" t="n">
        <f aca="false">Sens!$J$7504*tax</f>
        <v>28.1729505244292</v>
      </c>
      <c r="K7505" s="38" t="n">
        <f aca="false">Sens!$K$7504*tax</f>
        <v>30.3444965007146</v>
      </c>
      <c r="L7505" s="38" t="n">
        <f aca="false">Sens!$L$7504*tax</f>
        <v>33.0851132788405</v>
      </c>
      <c r="M7505" s="38" t="n">
        <f aca="false">Sens!$M$7504*tax</f>
        <v>36.1220700213006</v>
      </c>
      <c r="N7505" s="38" t="n">
        <f aca="false">Q!$N$37</f>
        <v>7.231</v>
      </c>
      <c r="O7505" s="38" t="n">
        <f aca="false">Q!$O$37</f>
        <v>11.856</v>
      </c>
    </row>
    <row r="7506" customFormat="false" ht="15" hidden="false" customHeight="false" outlineLevel="0" collapsed="false">
      <c r="A7506" s="3" t="s">
        <v>549</v>
      </c>
      <c r="B7506" s="8" t="s">
        <v>86</v>
      </c>
      <c r="C7506" s="38" t="n">
        <f aca="false">Q!$D$38</f>
        <v>59.248</v>
      </c>
      <c r="D7506" s="38" t="n">
        <f aca="false">Q!$E$38</f>
        <v>77.67</v>
      </c>
      <c r="E7506" s="38" t="n">
        <f aca="false">Q!$P$38</f>
        <v>92.902</v>
      </c>
      <c r="F7506" s="38" t="n">
        <f aca="false">Sens!$F$7504-Sens!$F$7505</f>
        <v>46.3053828906144</v>
      </c>
      <c r="G7506" s="38" t="n">
        <f aca="false">Sens!$E$7506+Sens!$F$7506</f>
        <v>139.207382890614</v>
      </c>
      <c r="H7506" s="38" t="n">
        <f aca="false">Sens!$H$7504-Sens!$H$7505</f>
        <v>105.69273570526</v>
      </c>
      <c r="I7506" s="38" t="n">
        <f aca="false">Sens!$I$7504-Sens!$I$7505</f>
        <v>119.879804986231</v>
      </c>
      <c r="J7506" s="38" t="n">
        <f aca="false">Sens!$J$7504-Sens!$J$7505</f>
        <v>134.128097114092</v>
      </c>
      <c r="K7506" s="38" t="n">
        <f aca="false">Sens!$K$7504-Sens!$K$7505</f>
        <v>144.466571578893</v>
      </c>
      <c r="L7506" s="38" t="n">
        <f aca="false">Sens!$L$7504-Sens!$L$7505</f>
        <v>157.514325063223</v>
      </c>
      <c r="M7506" s="38" t="n">
        <f aca="false">Sens!$M$7504-Sens!$M$7505</f>
        <v>171.9729181925</v>
      </c>
      <c r="N7506" s="38" t="n">
        <f aca="false">Q!$N$38</f>
        <v>35.291</v>
      </c>
      <c r="O7506" s="38" t="n">
        <f aca="false">Q!$O$38</f>
        <v>42.379</v>
      </c>
    </row>
    <row r="7507" customFormat="false" ht="17.15" hidden="false" customHeight="false" outlineLevel="0" collapsed="false">
      <c r="A7507" s="5" t="s">
        <v>552</v>
      </c>
      <c r="B7507" s="5" t="s">
        <v>33</v>
      </c>
      <c r="C7507" s="22" t="n">
        <f aca="false">Q!$D$41</f>
        <v>10.721</v>
      </c>
      <c r="D7507" s="22" t="n">
        <f aca="false">Q!$E$41</f>
        <v>10.827</v>
      </c>
      <c r="E7507" s="22" t="n">
        <f aca="false">(Q!$L$41+Q!$M$41)/2</f>
        <v>10.8885</v>
      </c>
      <c r="F7507" s="22" t="n">
        <f aca="false">Sens!$G$7507</f>
        <v>10.924806</v>
      </c>
      <c r="G7507" s="22" t="n">
        <f aca="false">Q!$M$41*(1+sh_g*0.25)</f>
        <v>10.924806</v>
      </c>
      <c r="H7507" s="22" t="n">
        <f aca="false">Sens!$G$7507*(1+sh_g)</f>
        <v>11.012204448</v>
      </c>
      <c r="I7507" s="22" t="n">
        <f aca="false">Sens!$H$7507*(1+sh_g)</f>
        <v>11.100302083584</v>
      </c>
      <c r="J7507" s="22" t="n">
        <f aca="false">Sens!$I$7507*(1+sh_g)</f>
        <v>11.1891045002527</v>
      </c>
      <c r="K7507" s="22" t="n">
        <f aca="false">Sens!$J$7507*(1+sh_g)</f>
        <v>11.2786173362547</v>
      </c>
      <c r="L7507" s="22" t="n">
        <f aca="false">Sens!$K$7507*(1+sh_g)</f>
        <v>11.3688462749447</v>
      </c>
      <c r="M7507" s="22" t="n">
        <f aca="false">Sens!$L$7507*(1+sh_g)</f>
        <v>11.4597970451443</v>
      </c>
      <c r="P7507" s="5" t="s">
        <v>755</v>
      </c>
    </row>
    <row r="7508" customFormat="false" ht="17.15" hidden="false" customHeight="false" outlineLevel="0" collapsed="false">
      <c r="A7508" s="5" t="s">
        <v>756</v>
      </c>
      <c r="B7508" s="0" t="s">
        <v>86</v>
      </c>
      <c r="C7508" s="38" t="n">
        <f aca="false">Sens!$C$7506+Sens!$C$7482*(1-tax)</f>
        <v>59.248</v>
      </c>
      <c r="D7508" s="38" t="n">
        <f aca="false">Sens!$D$7506+Sens!$D$7482*(1-tax)</f>
        <v>77.67</v>
      </c>
      <c r="E7508" s="38" t="n">
        <f aca="false">Sens!$E$7506+Sens!$E$7482*(1-tax)</f>
        <v>92.902</v>
      </c>
      <c r="F7508" s="38" t="n">
        <f aca="false">Sens!$F$7506+Sens!$F$7482*(1-tax)</f>
        <v>49.421977850263</v>
      </c>
      <c r="G7508" s="38" t="n">
        <f aca="false">Sens!$G$7506+Sens!$G$7482*(1-tax)</f>
        <v>142.323977850263</v>
      </c>
      <c r="H7508" s="38" t="n">
        <f aca="false">Sens!$H$7506+Sens!$H$7482*(1-tax)</f>
        <v>118.224131660605</v>
      </c>
      <c r="I7508" s="38" t="n">
        <f aca="false">Sens!$I$7506+Sens!$I$7482*(1-tax)</f>
        <v>141.02107006117</v>
      </c>
      <c r="J7508" s="38" t="n">
        <f aca="false">Sens!$J$7506+Sens!$J$7482*(1-tax)</f>
        <v>163.917534058375</v>
      </c>
      <c r="K7508" s="38" t="n">
        <f aca="false">Sens!$K$7506+Sens!$K$7482*(1-tax)</f>
        <v>181.633877275552</v>
      </c>
      <c r="L7508" s="38" t="n">
        <f aca="false">Sens!$L$7506+Sens!$L$7482*(1-tax)</f>
        <v>199.530402403778</v>
      </c>
      <c r="M7508" s="38" t="n">
        <f aca="false">Sens!$M$7506+Sens!$M$7482*(1-tax)</f>
        <v>216.302440383341</v>
      </c>
      <c r="N7508" s="38" t="n">
        <f aca="false">Sens!$N$7506+Sens!$N$7482*(1-tax)</f>
        <v>35.291</v>
      </c>
      <c r="O7508" s="38" t="n">
        <f aca="false">Sens!$O$7506+Sens!$O$7482*(1-tax)</f>
        <v>42.379</v>
      </c>
    </row>
    <row r="7509" customFormat="false" ht="17.15" hidden="false" customHeight="false" outlineLevel="0" collapsed="false">
      <c r="A7509" s="43" t="s">
        <v>757</v>
      </c>
      <c r="B7509" s="14" t="s">
        <v>27</v>
      </c>
      <c r="C7509" s="44" t="n">
        <f aca="false">Sens!$C$7508/Sens!$C$7507</f>
        <v>5.52635015390355</v>
      </c>
      <c r="D7509" s="44" t="n">
        <f aca="false">Sens!$D$7508/Sens!$D$7507</f>
        <v>7.1737323358271</v>
      </c>
      <c r="E7509" s="44" t="n">
        <f aca="false">Sens!$E$7508/Sens!$E$7507</f>
        <v>8.53212104513937</v>
      </c>
      <c r="F7509" s="14"/>
      <c r="G7509" s="44" t="n">
        <f aca="false">Sens!$G$7508/Sens!$G$7507</f>
        <v>13.0275977303636</v>
      </c>
      <c r="H7509" s="44" t="n">
        <f aca="false">Sens!$H$7508/Sens!$H$7507</f>
        <v>10.7357370832392</v>
      </c>
      <c r="I7509" s="44" t="n">
        <f aca="false">Sens!$I$7508/Sens!$I$7507</f>
        <v>12.7042551634449</v>
      </c>
      <c r="J7509" s="44" t="n">
        <f aca="false">Sens!$J$7508/Sens!$J$7507</f>
        <v>14.6497455676344</v>
      </c>
      <c r="K7509" s="44" t="n">
        <f aca="false">Sens!$K$7508/Sens!$K$7507</f>
        <v>16.104268090708</v>
      </c>
      <c r="L7509" s="44" t="n">
        <f aca="false">Sens!$L$7508/Sens!$L$7507</f>
        <v>17.5506289361581</v>
      </c>
      <c r="M7509" s="44" t="n">
        <f aca="false">Sens!$M$7508/Sens!$M$7507</f>
        <v>18.8748927691518</v>
      </c>
      <c r="N7509" s="14"/>
      <c r="O7509" s="14"/>
    </row>
    <row r="7510" customFormat="false" ht="17.15" hidden="false" customHeight="false" outlineLevel="0" collapsed="false">
      <c r="A7510" s="0" t="s">
        <v>758</v>
      </c>
      <c r="B7510" s="0" t="s">
        <v>27</v>
      </c>
      <c r="C7510" s="30" t="n">
        <f aca="false">Sens!$C$7506/Sens!$C$7507</f>
        <v>5.52635015390355</v>
      </c>
      <c r="D7510" s="30" t="n">
        <f aca="false">Sens!$D$7506/Sens!$D$7507</f>
        <v>7.1737323358271</v>
      </c>
      <c r="E7510" s="30" t="n">
        <f aca="false">Sens!$E$7506/Sens!$E$7507</f>
        <v>8.53212104513937</v>
      </c>
      <c r="G7510" s="30" t="n">
        <f aca="false">Sens!$G$7506/Sens!$G$7507</f>
        <v>12.7423208147233</v>
      </c>
      <c r="H7510" s="30" t="n">
        <f aca="false">Sens!$H$7506/Sens!$H$7507</f>
        <v>9.59778182509639</v>
      </c>
      <c r="I7510" s="30" t="n">
        <f aca="false">Sens!$I$7506/Sens!$I$7507</f>
        <v>10.799688520506</v>
      </c>
      <c r="J7510" s="30" t="n">
        <f aca="false">Sens!$J$7506/Sens!$J$7507</f>
        <v>11.9873844337644</v>
      </c>
      <c r="K7510" s="30" t="n">
        <f aca="false">Sens!$K$7506/Sens!$K$7507</f>
        <v>12.8088902453061</v>
      </c>
      <c r="L7510" s="30" t="n">
        <f aca="false">Sens!$L$7506/Sens!$L$7507</f>
        <v>13.8549085152432</v>
      </c>
      <c r="M7510" s="30" t="n">
        <f aca="false">Sens!$M$7506/Sens!$M$7507</f>
        <v>15.0066286091313</v>
      </c>
    </row>
    <row r="7511" customFormat="false" ht="17.15" hidden="false" customHeight="false" outlineLevel="0" collapsed="false">
      <c r="A7511" s="0" t="s">
        <v>759</v>
      </c>
      <c r="B7511" s="0" t="s">
        <v>27</v>
      </c>
      <c r="C7511" s="30" t="n">
        <f aca="false">(Sens!$C$7506-Sens!$C$7503*(1-tax))/Sens!$C$7507</f>
        <v>5.33926775917445</v>
      </c>
      <c r="D7511" s="30" t="n">
        <f aca="false">(Sens!$D$7506-Sens!$D$7503*(1-tax))/Sens!$D$7507</f>
        <v>5.67691812755503</v>
      </c>
      <c r="E7511" s="30" t="n">
        <f aca="false">(Sens!$E$7506-Sens!$E$7503*(1-tax))/Sens!$E$7507</f>
        <v>3.10602057006846</v>
      </c>
      <c r="G7511" s="30" t="n">
        <f aca="false">(Sens!$G$7506-Sens!$G$7503*(1-tax))/Sens!$G$7507</f>
        <v>7.33425269682635</v>
      </c>
      <c r="H7511" s="30" t="n">
        <f aca="false">(Sens!$H$7506-Sens!$H$7503*(1-tax))/Sens!$H$7507</f>
        <v>9.59778182509639</v>
      </c>
      <c r="I7511" s="30" t="n">
        <f aca="false">(Sens!$I$7506-Sens!$I$7503*(1-tax))/Sens!$I$7507</f>
        <v>10.799688520506</v>
      </c>
      <c r="J7511" s="30" t="n">
        <f aca="false">(Sens!$J$7506-Sens!$J$7503*(1-tax))/Sens!$J$7507</f>
        <v>11.9873844337644</v>
      </c>
      <c r="K7511" s="30" t="n">
        <f aca="false">(Sens!$K$7506-Sens!$K$7503*(1-tax))/Sens!$K$7507</f>
        <v>12.8088902453061</v>
      </c>
      <c r="L7511" s="30" t="n">
        <f aca="false">(Sens!$L$7506-Sens!$L$7503*(1-tax))/Sens!$L$7507</f>
        <v>13.8549085152432</v>
      </c>
      <c r="M7511" s="30" t="n">
        <f aca="false">(Sens!$M$7506-Sens!$M$7503*(1-tax))/Sens!$M$7507</f>
        <v>15.0066286091313</v>
      </c>
      <c r="P7511" s="5" t="s">
        <v>760</v>
      </c>
    </row>
    <row r="7512" customFormat="false" ht="17.15" hidden="false" customHeight="false" outlineLevel="0" collapsed="false">
      <c r="A7512" s="0" t="s">
        <v>761</v>
      </c>
      <c r="B7512" s="0" t="s">
        <v>52</v>
      </c>
      <c r="H7512" s="13" t="n">
        <f aca="false">Sens!$H$7509/Sens!$G$7509-1</f>
        <v>-0.175923504437261</v>
      </c>
      <c r="I7512" s="13" t="n">
        <f aca="false">Sens!$I$7509/Sens!$H$7509-1</f>
        <v>0.183361241519136</v>
      </c>
      <c r="J7512" s="13" t="n">
        <f aca="false">Sens!$J$7509/Sens!$I$7509-1</f>
        <v>0.153136911936991</v>
      </c>
      <c r="K7512" s="13" t="n">
        <f aca="false">Sens!$K$7509/Sens!$J$7509-1</f>
        <v>0.0992865382103958</v>
      </c>
      <c r="L7512" s="13" t="n">
        <f aca="false">Sens!$L$7509/Sens!$K$7509-1</f>
        <v>0.0898122682324627</v>
      </c>
      <c r="M7512" s="13" t="n">
        <f aca="false">Sens!$M$7509/Sens!$L$7509-1</f>
        <v>0.0754539246320329</v>
      </c>
    </row>
    <row r="7515" customFormat="false" ht="19.4" hidden="false" customHeight="false" outlineLevel="0" collapsed="false">
      <c r="A7515" s="31" t="s">
        <v>1288</v>
      </c>
    </row>
    <row r="7516" customFormat="false" ht="17.15" hidden="false" customHeight="false" outlineLevel="0" collapsed="false">
      <c r="A7516" s="6" t="s">
        <v>16</v>
      </c>
      <c r="B7516" s="6" t="s">
        <v>17</v>
      </c>
      <c r="C7516" s="20" t="s">
        <v>497</v>
      </c>
      <c r="D7516" s="20" t="s">
        <v>498</v>
      </c>
      <c r="E7516" s="20" t="s">
        <v>580</v>
      </c>
      <c r="F7516" s="20" t="s">
        <v>581</v>
      </c>
      <c r="G7516" s="20" t="s">
        <v>582</v>
      </c>
      <c r="H7516" s="20" t="s">
        <v>583</v>
      </c>
      <c r="I7516" s="20" t="s">
        <v>584</v>
      </c>
      <c r="J7516" s="20" t="s">
        <v>585</v>
      </c>
      <c r="K7516" s="20" t="s">
        <v>586</v>
      </c>
      <c r="L7516" s="20" t="s">
        <v>587</v>
      </c>
      <c r="M7516" s="20" t="s">
        <v>588</v>
      </c>
      <c r="N7516" s="20" t="s">
        <v>589</v>
      </c>
      <c r="O7516" s="20" t="s">
        <v>590</v>
      </c>
      <c r="P7516" s="6" t="s">
        <v>23</v>
      </c>
      <c r="R7516" s="20" t="n">
        <v>2023</v>
      </c>
      <c r="S7516" s="20" t="n">
        <v>2024</v>
      </c>
      <c r="T7516" s="20" t="n">
        <v>2025</v>
      </c>
      <c r="U7516" s="20" t="n">
        <v>2026</v>
      </c>
      <c r="V7516" s="20" t="n">
        <v>2027</v>
      </c>
      <c r="W7516" s="20" t="n">
        <v>2028</v>
      </c>
      <c r="X7516" s="20" t="n">
        <v>2029</v>
      </c>
      <c r="Y7516" s="20" t="n">
        <v>2030</v>
      </c>
      <c r="Z7516" s="20" t="n">
        <v>2031</v>
      </c>
      <c r="AA7516" s="20" t="n">
        <v>2032</v>
      </c>
    </row>
    <row r="7517" customFormat="false" ht="15" hidden="false" customHeight="false" outlineLevel="0" collapsed="false">
      <c r="A7517" s="5" t="s">
        <v>549</v>
      </c>
      <c r="B7517" s="0" t="s">
        <v>86</v>
      </c>
      <c r="C7517" s="38" t="n">
        <f aca="false">Sens!$C$7506</f>
        <v>59.248</v>
      </c>
      <c r="D7517" s="38" t="n">
        <f aca="false">Sens!$D$7506</f>
        <v>77.67</v>
      </c>
      <c r="E7517" s="38" t="n">
        <f aca="false">Sens!$E$7506</f>
        <v>92.902</v>
      </c>
      <c r="F7517" s="38" t="n">
        <f aca="false">Sens!$F$7506</f>
        <v>46.3053828906144</v>
      </c>
      <c r="G7517" s="38" t="n">
        <f aca="false">Sens!$G$7506</f>
        <v>139.207382890614</v>
      </c>
      <c r="H7517" s="38" t="n">
        <f aca="false">Sens!$H$7506</f>
        <v>105.69273570526</v>
      </c>
      <c r="I7517" s="38" t="n">
        <f aca="false">Sens!$I$7506</f>
        <v>119.879804986231</v>
      </c>
      <c r="J7517" s="38" t="n">
        <f aca="false">Sens!$J$7506</f>
        <v>134.128097114092</v>
      </c>
      <c r="K7517" s="38" t="n">
        <f aca="false">Sens!$K$7506</f>
        <v>144.466571578893</v>
      </c>
      <c r="L7517" s="38" t="n">
        <f aca="false">Sens!$L$7506</f>
        <v>157.514325063223</v>
      </c>
      <c r="M7517" s="38" t="n">
        <f aca="false">Sens!$M$7506</f>
        <v>171.9729181925</v>
      </c>
    </row>
    <row r="7518" customFormat="false" ht="17.15" hidden="false" customHeight="false" outlineLevel="0" collapsed="false">
      <c r="A7518" s="5" t="s">
        <v>784</v>
      </c>
      <c r="B7518" s="0" t="s">
        <v>86</v>
      </c>
      <c r="C7518" s="38" t="n">
        <f aca="false">Sens!$C$7494</f>
        <v>32.067</v>
      </c>
      <c r="D7518" s="38" t="n">
        <f aca="false">Sens!$D$7494</f>
        <v>41.86</v>
      </c>
      <c r="E7518" s="38" t="n">
        <f aca="false">Sens!$E$7494</f>
        <v>26.703</v>
      </c>
      <c r="F7518" s="38" t="n">
        <f aca="false">Sens!$F$7494</f>
        <v>28.2071421626285</v>
      </c>
      <c r="G7518" s="38" t="n">
        <f aca="false">Sens!$G$7494</f>
        <v>54.9101421626285</v>
      </c>
      <c r="H7518" s="38" t="n">
        <f aca="false">Sens!$H$7494</f>
        <v>78.1799395827871</v>
      </c>
      <c r="I7518" s="38" t="n">
        <f aca="false">Sens!$I$7494</f>
        <v>111.171125554384</v>
      </c>
      <c r="J7518" s="38" t="n">
        <f aca="false">Sens!$J$7494</f>
        <v>144.884406220971</v>
      </c>
      <c r="K7518" s="38" t="n">
        <f aca="false">Sens!$K$7494</f>
        <v>178.806419437999</v>
      </c>
      <c r="L7518" s="38" t="n">
        <f aca="false">Sens!$L$7494</f>
        <v>204.341339029663</v>
      </c>
      <c r="M7518" s="38" t="n">
        <f aca="false">Sens!$M$7494</f>
        <v>223.130577995387</v>
      </c>
    </row>
    <row r="7519" customFormat="false" ht="15" hidden="false" customHeight="false" outlineLevel="0" collapsed="false">
      <c r="A7519" s="5" t="s">
        <v>785</v>
      </c>
      <c r="B7519" s="0" t="s">
        <v>86</v>
      </c>
      <c r="C7519" s="38" t="n">
        <f aca="false">Q!$D$48</f>
        <v>22.011</v>
      </c>
      <c r="D7519" s="38" t="n">
        <f aca="false">Q!$E$48</f>
        <v>19.467</v>
      </c>
      <c r="E7519" s="38" t="n">
        <f aca="false">Q!$P$48</f>
        <v>10.07</v>
      </c>
      <c r="F7519" s="38" t="n">
        <f aca="false">sbc_r*Sens!$F$7436</f>
        <v>10.8507035798037</v>
      </c>
      <c r="G7519" s="38" t="n">
        <f aca="false">Sens!$E$7519+Sens!$F$7519</f>
        <v>20.9207035798037</v>
      </c>
      <c r="H7519" s="38" t="n">
        <f aca="false">sbc_r*Sens!$H$7436</f>
        <v>23.46224366345</v>
      </c>
      <c r="I7519" s="38" t="n">
        <f aca="false">sbc_r*Sens!$I$7436</f>
        <v>26.6125957111676</v>
      </c>
      <c r="J7519" s="38" t="n">
        <f aca="false">sbc_r*Sens!$J$7436</f>
        <v>29.6280801413323</v>
      </c>
      <c r="K7519" s="38" t="n">
        <f aca="false">sbc_r*Sens!$K$7436</f>
        <v>32.2712258901105</v>
      </c>
      <c r="L7519" s="38" t="n">
        <f aca="false">sbc_r*Sens!$L$7436</f>
        <v>34.7390505016737</v>
      </c>
      <c r="M7519" s="38" t="n">
        <f aca="false">sbc_r*Sens!$M$7436</f>
        <v>37.0405146906692</v>
      </c>
    </row>
    <row r="7520" customFormat="false" ht="17.15" hidden="false" customHeight="false" outlineLevel="0" collapsed="false">
      <c r="A7520" s="5" t="s">
        <v>786</v>
      </c>
      <c r="B7520" s="0" t="s">
        <v>86</v>
      </c>
      <c r="C7520" s="38" t="n">
        <f aca="false">Q!$D$44-Sens!$C$7517-Sens!$C$7518-Sens!$C$7519</f>
        <v>2.551</v>
      </c>
      <c r="D7520" s="38" t="n">
        <f aca="false">Q!$E$44-Sens!$D$7517-Sens!$D$7518-Sens!$D$7519</f>
        <v>0.51700000000001</v>
      </c>
      <c r="E7520" s="38" t="n">
        <f aca="false">Q!$P$44-Sens!$E$7517-Sens!$E$7518-Sens!$E$7519</f>
        <v>-58.256</v>
      </c>
      <c r="F7520" s="38" t="n">
        <f aca="false">oth_r*Sens!$F$7436</f>
        <v>5.22265251035878</v>
      </c>
      <c r="G7520" s="38" t="n">
        <f aca="false">Sens!$E$7520+Sens!$F$7520</f>
        <v>-53.0333474896412</v>
      </c>
      <c r="H7520" s="38" t="n">
        <f aca="false">oth_r*Sens!$H$7436</f>
        <v>11.2928295263397</v>
      </c>
      <c r="I7520" s="38" t="n">
        <f aca="false">oth_r*Sens!$I$7436</f>
        <v>12.8091546115766</v>
      </c>
      <c r="J7520" s="38" t="n">
        <f aca="false">oth_r*Sens!$J$7436</f>
        <v>14.2605653162668</v>
      </c>
      <c r="K7520" s="38" t="n">
        <f aca="false">oth_r*Sens!$K$7436</f>
        <v>15.5327622460396</v>
      </c>
      <c r="L7520" s="38" t="n">
        <f aca="false">oth_r*Sens!$L$7436</f>
        <v>16.720573737517</v>
      </c>
      <c r="M7520" s="38" t="n">
        <f aca="false">oth_r*Sens!$M$7436</f>
        <v>17.8283127551536</v>
      </c>
      <c r="P7520" s="8" t="s">
        <v>787</v>
      </c>
    </row>
    <row r="7521" customFormat="false" ht="15" hidden="false" customHeight="false" outlineLevel="0" collapsed="false">
      <c r="A7521" s="3" t="s">
        <v>555</v>
      </c>
      <c r="B7521" s="8" t="s">
        <v>86</v>
      </c>
      <c r="C7521" s="38" t="n">
        <f aca="false">Q!$D$44</f>
        <v>115.877</v>
      </c>
      <c r="D7521" s="38" t="n">
        <f aca="false">Q!$E$44</f>
        <v>139.514</v>
      </c>
      <c r="E7521" s="38" t="n">
        <f aca="false">Q!$P$44</f>
        <v>71.419</v>
      </c>
      <c r="F7521" s="38" t="n">
        <f aca="false">Sens!$F$7517+Sens!$F$7518+Sens!$F$7519+Sens!$F$7520</f>
        <v>90.5858811434053</v>
      </c>
      <c r="G7521" s="38" t="n">
        <f aca="false">Sens!$E$7521+Sens!$F$7521</f>
        <v>162.004881143405</v>
      </c>
      <c r="H7521" s="38" t="n">
        <f aca="false">Sens!$H$7517+Sens!$H$7518+Sens!$H$7519+Sens!$H$7520</f>
        <v>218.627748477837</v>
      </c>
      <c r="I7521" s="38" t="n">
        <f aca="false">Sens!$I$7517+Sens!$I$7518+Sens!$I$7519+Sens!$I$7520</f>
        <v>270.47268086336</v>
      </c>
      <c r="J7521" s="38" t="n">
        <f aca="false">Sens!$J$7517+Sens!$J$7518+Sens!$J$7519+Sens!$J$7520</f>
        <v>322.901148792662</v>
      </c>
      <c r="K7521" s="38" t="n">
        <f aca="false">Sens!$K$7517+Sens!$K$7518+Sens!$K$7519+Sens!$K$7520</f>
        <v>371.076979153043</v>
      </c>
      <c r="L7521" s="38" t="n">
        <f aca="false">Sens!$L$7517+Sens!$L$7518+Sens!$L$7519+Sens!$L$7520</f>
        <v>413.315288332076</v>
      </c>
      <c r="M7521" s="38" t="n">
        <f aca="false">Sens!$M$7517+Sens!$M$7518+Sens!$M$7519+Sens!$M$7520</f>
        <v>449.97232363371</v>
      </c>
    </row>
    <row r="7522" customFormat="false" ht="17.15" hidden="false" customHeight="false" outlineLevel="0" collapsed="false">
      <c r="A7522" s="5" t="s">
        <v>788</v>
      </c>
      <c r="B7522" s="0" t="s">
        <v>86</v>
      </c>
      <c r="C7522" s="38" t="n">
        <f aca="false">Sens!$C$7403</f>
        <v>25.2781053077374</v>
      </c>
      <c r="D7522" s="38" t="n">
        <f aca="false">Sens!$D$7403</f>
        <v>69.5686316310026</v>
      </c>
      <c r="E7522" s="38" t="n">
        <f aca="false">Sens!$E$7403</f>
        <v>64.1899206485108</v>
      </c>
      <c r="F7522" s="38" t="n">
        <f aca="false">Sens!$F$7403</f>
        <v>96.2481299895</v>
      </c>
      <c r="G7522" s="38" t="n">
        <f aca="false">Sens!$G$7403</f>
        <v>160.438050638011</v>
      </c>
      <c r="H7522" s="38" t="n">
        <f aca="false">Sens!$H$7403</f>
        <v>198.57136494475</v>
      </c>
      <c r="I7522" s="38" t="n">
        <f aca="false">Sens!$I$7403</f>
        <v>204.6464699105</v>
      </c>
      <c r="J7522" s="38" t="n">
        <f aca="false">Sens!$J$7403</f>
        <v>209.8832381105</v>
      </c>
      <c r="K7522" s="38" t="n">
        <f aca="false">Sens!$K$7403</f>
        <v>155.238385275201</v>
      </c>
      <c r="L7522" s="38" t="n">
        <f aca="false">Sens!$L$7403</f>
        <v>132.014141639902</v>
      </c>
      <c r="M7522" s="38" t="n">
        <f aca="false">Sens!$M$7403</f>
        <v>132.230981659852</v>
      </c>
    </row>
    <row r="7523" customFormat="false" ht="17.15" hidden="false" customHeight="false" outlineLevel="0" collapsed="false">
      <c r="A7523" s="5" t="s">
        <v>789</v>
      </c>
      <c r="B7523" s="0" t="s">
        <v>86</v>
      </c>
      <c r="C7523" s="38" t="n">
        <f aca="false">cx_awso*Sens!$C$7434</f>
        <v>21.0469989286053</v>
      </c>
      <c r="D7523" s="38" t="n">
        <f aca="false">cx_awso*Sens!$D$7434</f>
        <v>24.0042459822698</v>
      </c>
      <c r="E7523" s="38" t="n">
        <f aca="false">cx_awso*Sens!$E$7434</f>
        <v>14.261729404886</v>
      </c>
      <c r="F7523" s="38" t="n">
        <f aca="false">cx_awso*Sens!$F$7434</f>
        <v>14.3538599588493</v>
      </c>
      <c r="G7523" s="38" t="n">
        <f aca="false">Sens!$E$7523+Sens!$F$7523</f>
        <v>28.6155893637353</v>
      </c>
      <c r="H7523" s="38" t="n">
        <f aca="false">cx_awso*Sens!$H$7434</f>
        <v>32.2034154158406</v>
      </c>
      <c r="I7523" s="38" t="n">
        <f aca="false">cx_awso*Sens!$I$7434</f>
        <v>35.7539519042915</v>
      </c>
      <c r="J7523" s="38" t="n">
        <f aca="false">cx_awso*Sens!$J$7434</f>
        <v>39.1551076091815</v>
      </c>
      <c r="K7523" s="38" t="n">
        <f aca="false">cx_awso*Sens!$K$7434</f>
        <v>42.287516217916</v>
      </c>
      <c r="L7523" s="38" t="n">
        <f aca="false">cx_awso*Sens!$L$7434</f>
        <v>45.6705175153492</v>
      </c>
      <c r="M7523" s="38" t="n">
        <f aca="false">cx_awso*Sens!$M$7434</f>
        <v>49.3241589165772</v>
      </c>
    </row>
    <row r="7524" customFormat="false" ht="17.15" hidden="false" customHeight="false" outlineLevel="0" collapsed="false">
      <c r="A7524" s="5" t="s">
        <v>790</v>
      </c>
      <c r="B7524" s="0" t="s">
        <v>86</v>
      </c>
      <c r="C7524" s="38" t="n">
        <f aca="false">Q!$D$46-Sens!$C$7522-Sens!$C$7523</f>
        <v>31.3328957636573</v>
      </c>
      <c r="D7524" s="38" t="n">
        <f aca="false">Q!$E$46-Sens!$D$7522-Sens!$D$7523</f>
        <v>34.7471223867276</v>
      </c>
      <c r="E7524" s="38" t="n">
        <f aca="false">Q!$P$46-Sens!$E$7522-Sens!$E$7523</f>
        <v>17.8583499466032</v>
      </c>
      <c r="F7524" s="38" t="n">
        <f aca="false">cx_rt*Sens!$F$7366</f>
        <v>20.6195895799373</v>
      </c>
      <c r="G7524" s="38" t="n">
        <f aca="false">Sens!$E$7524+Sens!$F$7524</f>
        <v>38.4779395265405</v>
      </c>
      <c r="H7524" s="38" t="n">
        <f aca="false">cx_rt*Sens!$H$7366</f>
        <v>42.5978994743075</v>
      </c>
      <c r="I7524" s="38" t="n">
        <f aca="false">cx_rt*Sens!$I$7366</f>
        <v>46.5813904136335</v>
      </c>
      <c r="J7524" s="38" t="n">
        <f aca="false">cx_rt*Sens!$J$7366</f>
        <v>50.2781676586844</v>
      </c>
      <c r="K7524" s="38" t="n">
        <f aca="false">cx_rt*Sens!$K$7366</f>
        <v>53.5312440191755</v>
      </c>
      <c r="L7524" s="38" t="n">
        <f aca="false">cx_rt*Sens!$L$7366</f>
        <v>57.0116717051447</v>
      </c>
      <c r="M7524" s="38" t="n">
        <f aca="false">cx_rt*Sens!$M$7366</f>
        <v>60.7365554669226</v>
      </c>
    </row>
    <row r="7525" customFormat="false" ht="15" hidden="false" customHeight="false" outlineLevel="0" collapsed="false">
      <c r="A7525" s="3" t="s">
        <v>791</v>
      </c>
      <c r="B7525" s="8" t="s">
        <v>86</v>
      </c>
      <c r="C7525" s="38" t="n">
        <f aca="false">Q!$D$46</f>
        <v>77.658</v>
      </c>
      <c r="D7525" s="38" t="n">
        <f aca="false">Q!$E$46</f>
        <v>128.32</v>
      </c>
      <c r="E7525" s="38" t="n">
        <f aca="false">Q!$P$46</f>
        <v>96.31</v>
      </c>
      <c r="F7525" s="38" t="n">
        <f aca="false">Sens!$F$7522+Sens!$F$7523+Sens!$F$7524</f>
        <v>131.221579528287</v>
      </c>
      <c r="G7525" s="38" t="n">
        <f aca="false">Sens!$E$7525+Sens!$F$7525</f>
        <v>227.531579528287</v>
      </c>
      <c r="H7525" s="38" t="n">
        <f aca="false">Sens!$H$7522+Sens!$H$7523+Sens!$H$7524</f>
        <v>273.372679834898</v>
      </c>
      <c r="I7525" s="38" t="n">
        <f aca="false">Sens!$I$7522+Sens!$I$7523+Sens!$I$7524</f>
        <v>286.981812228425</v>
      </c>
      <c r="J7525" s="38" t="n">
        <f aca="false">Sens!$J$7522+Sens!$J$7523+Sens!$J$7524</f>
        <v>299.316513378366</v>
      </c>
      <c r="K7525" s="38" t="n">
        <f aca="false">Sens!$K$7522+Sens!$K$7523+Sens!$K$7524</f>
        <v>251.057145512292</v>
      </c>
      <c r="L7525" s="38" t="n">
        <f aca="false">Sens!$L$7522+Sens!$L$7523+Sens!$L$7524</f>
        <v>234.696330860396</v>
      </c>
      <c r="M7525" s="38" t="n">
        <f aca="false">Sens!$M$7522+Sens!$M$7523+Sens!$M$7524</f>
        <v>242.291696043352</v>
      </c>
    </row>
    <row r="7526" customFormat="false" ht="17.15" hidden="false" customHeight="false" outlineLevel="0" collapsed="false">
      <c r="A7526" s="5" t="s">
        <v>563</v>
      </c>
      <c r="B7526" s="0" t="s">
        <v>86</v>
      </c>
      <c r="C7526" s="38" t="n">
        <f aca="false">Q!$D$50</f>
        <v>2.043</v>
      </c>
      <c r="D7526" s="38" t="n">
        <f aca="false">Q!$E$50</f>
        <v>1.557</v>
      </c>
      <c r="E7526" s="38" t="n">
        <f aca="false">lease_pr/2</f>
        <v>0.8</v>
      </c>
      <c r="F7526" s="38" t="n">
        <f aca="false">lease_pr/2</f>
        <v>0.8</v>
      </c>
      <c r="G7526" s="38" t="n">
        <f aca="false">Sens!$E$7526+Sens!$F$7526</f>
        <v>1.6</v>
      </c>
      <c r="H7526" s="38" t="n">
        <f aca="false">lease_pr</f>
        <v>1.6</v>
      </c>
      <c r="I7526" s="38" t="n">
        <f aca="false">lease_pr</f>
        <v>1.6</v>
      </c>
      <c r="J7526" s="38" t="n">
        <f aca="false">lease_pr</f>
        <v>1.6</v>
      </c>
      <c r="K7526" s="38" t="n">
        <f aca="false">lease_pr</f>
        <v>1.6</v>
      </c>
      <c r="L7526" s="38" t="n">
        <f aca="false">lease_pr</f>
        <v>1.6</v>
      </c>
      <c r="M7526" s="38" t="n">
        <f aca="false">lease_pr</f>
        <v>1.6</v>
      </c>
      <c r="P7526" s="8" t="s">
        <v>792</v>
      </c>
    </row>
    <row r="7527" customFormat="false" ht="15" hidden="false" customHeight="false" outlineLevel="0" collapsed="false">
      <c r="A7527" s="47" t="s">
        <v>793</v>
      </c>
      <c r="B7527" s="14" t="s">
        <v>86</v>
      </c>
      <c r="C7527" s="48" t="n">
        <f aca="false">Sens!$C$7521-Sens!$C$7525-Sens!$C$7526</f>
        <v>36.176</v>
      </c>
      <c r="D7527" s="48" t="n">
        <f aca="false">Sens!$D$7521-Sens!$D$7525-Sens!$D$7526</f>
        <v>9.63700000000002</v>
      </c>
      <c r="E7527" s="48" t="n">
        <f aca="false">Sens!$E$7521-Sens!$E$7525-Sens!$E$7526</f>
        <v>-25.691</v>
      </c>
      <c r="F7527" s="48" t="n">
        <f aca="false">Sens!$F$7521-Sens!$F$7525-Sens!$F$7526</f>
        <v>-41.4356983848813</v>
      </c>
      <c r="G7527" s="48" t="n">
        <f aca="false">Sens!$G$7521-Sens!$G$7525-Sens!$G$7526</f>
        <v>-67.1266983848813</v>
      </c>
      <c r="H7527" s="48" t="n">
        <f aca="false">Sens!$H$7521-Sens!$H$7525-Sens!$H$7526</f>
        <v>-56.3449313570613</v>
      </c>
      <c r="I7527" s="48" t="n">
        <f aca="false">Sens!$I$7521-Sens!$I$7525-Sens!$I$7526</f>
        <v>-18.1091313650653</v>
      </c>
      <c r="J7527" s="48" t="n">
        <f aca="false">Sens!$J$7521-Sens!$J$7525-Sens!$J$7526</f>
        <v>21.9846354142961</v>
      </c>
      <c r="K7527" s="48" t="n">
        <f aca="false">Sens!$K$7521-Sens!$K$7525-Sens!$K$7526</f>
        <v>118.41983364075</v>
      </c>
      <c r="L7527" s="48" t="n">
        <f aca="false">Sens!$L$7521-Sens!$L$7525-Sens!$L$7526</f>
        <v>177.018957471681</v>
      </c>
      <c r="M7527" s="48" t="n">
        <f aca="false">Sens!$M$7521-Sens!$M$7525-Sens!$M$7526</f>
        <v>206.080627590357</v>
      </c>
      <c r="N7527" s="14"/>
      <c r="O7527" s="14"/>
    </row>
    <row r="7528" customFormat="false" ht="17.15" hidden="false" customHeight="false" outlineLevel="0" collapsed="false">
      <c r="A7528" s="5" t="s">
        <v>794</v>
      </c>
      <c r="B7528" s="0" t="s">
        <v>86</v>
      </c>
      <c r="C7528" s="38" t="n">
        <f aca="false">dps*Sens!$C$7507</f>
        <v>0</v>
      </c>
      <c r="D7528" s="38" t="n">
        <f aca="false">dps*Sens!$D$7507</f>
        <v>0</v>
      </c>
      <c r="E7528" s="38" t="n">
        <f aca="false">dps*Sens!$E$7507</f>
        <v>0</v>
      </c>
      <c r="F7528" s="38" t="n">
        <f aca="false">0</f>
        <v>0</v>
      </c>
      <c r="G7528" s="38" t="n">
        <f aca="false">dps*Sens!$G$7507</f>
        <v>0</v>
      </c>
      <c r="H7528" s="38" t="n">
        <f aca="false">dps*Sens!$H$7507</f>
        <v>0</v>
      </c>
      <c r="I7528" s="38" t="n">
        <f aca="false">dps*Sens!$I$7507</f>
        <v>0</v>
      </c>
      <c r="J7528" s="38" t="n">
        <f aca="false">dps*Sens!$J$7507</f>
        <v>0</v>
      </c>
      <c r="K7528" s="38" t="n">
        <f aca="false">dps*Sens!$K$7507</f>
        <v>0</v>
      </c>
      <c r="L7528" s="38" t="n">
        <f aca="false">dps*Sens!$L$7507</f>
        <v>0</v>
      </c>
      <c r="M7528" s="38" t="n">
        <f aca="false">dps*Sens!$M$7507</f>
        <v>0</v>
      </c>
      <c r="P7528" s="8" t="s">
        <v>795</v>
      </c>
    </row>
    <row r="7529" customFormat="false" ht="17.15" hidden="false" customHeight="false" outlineLevel="0" collapsed="false">
      <c r="A7529" s="5" t="s">
        <v>796</v>
      </c>
      <c r="B7529" s="0" t="s">
        <v>86</v>
      </c>
      <c r="C7529" s="38" t="n">
        <f aca="false">0</f>
        <v>0</v>
      </c>
      <c r="D7529" s="38" t="n">
        <f aca="false">0</f>
        <v>0</v>
      </c>
      <c r="E7529" s="38" t="n">
        <f aca="false">0</f>
        <v>0</v>
      </c>
      <c r="F7529" s="38" t="n">
        <f aca="false">0</f>
        <v>0</v>
      </c>
      <c r="G7529" s="38" t="n">
        <f aca="false">0</f>
        <v>0</v>
      </c>
      <c r="H7529" s="38" t="n">
        <f aca="false">0</f>
        <v>0</v>
      </c>
      <c r="I7529" s="38" t="n">
        <f aca="false">0</f>
        <v>0</v>
      </c>
      <c r="J7529" s="38" t="n">
        <f aca="false">0</f>
        <v>0</v>
      </c>
      <c r="K7529" s="38" t="n">
        <f aca="false">0</f>
        <v>0</v>
      </c>
      <c r="L7529" s="38" t="n">
        <f aca="false">0</f>
        <v>0</v>
      </c>
      <c r="M7529" s="38" t="n">
        <f aca="false">0</f>
        <v>0</v>
      </c>
      <c r="P7529" s="8" t="s">
        <v>797</v>
      </c>
    </row>
    <row r="7530" customFormat="false" ht="15" hidden="false" customHeight="false" outlineLevel="0" collapsed="false">
      <c r="A7530" s="3" t="s">
        <v>798</v>
      </c>
      <c r="B7530" s="8" t="s">
        <v>86</v>
      </c>
      <c r="C7530" s="38" t="n">
        <f aca="false">Sens!$C$7527-Sens!$C$7528</f>
        <v>36.176</v>
      </c>
      <c r="D7530" s="38" t="n">
        <f aca="false">Sens!$D$7527-Sens!$D$7528</f>
        <v>9.63700000000002</v>
      </c>
      <c r="E7530" s="38" t="n">
        <f aca="false">Sens!$E$7527-Sens!$E$7528</f>
        <v>-25.691</v>
      </c>
      <c r="F7530" s="38" t="n">
        <f aca="false">Sens!$F$7527-Sens!$F$7528</f>
        <v>-41.4356983848813</v>
      </c>
      <c r="G7530" s="38" t="n">
        <f aca="false">Sens!$G$7527-Sens!$G$7528</f>
        <v>-67.1266983848813</v>
      </c>
      <c r="H7530" s="38" t="n">
        <f aca="false">Sens!$H$7527-Sens!$H$7528</f>
        <v>-56.3449313570613</v>
      </c>
      <c r="I7530" s="38" t="n">
        <f aca="false">Sens!$I$7527-Sens!$I$7528</f>
        <v>-18.1091313650653</v>
      </c>
      <c r="J7530" s="38" t="n">
        <f aca="false">Sens!$J$7527-Sens!$J$7528</f>
        <v>21.9846354142961</v>
      </c>
      <c r="K7530" s="38" t="n">
        <f aca="false">Sens!$K$7527-Sens!$K$7528</f>
        <v>118.41983364075</v>
      </c>
      <c r="L7530" s="38" t="n">
        <f aca="false">Sens!$L$7527-Sens!$L$7528</f>
        <v>177.018957471681</v>
      </c>
      <c r="M7530" s="38" t="n">
        <f aca="false">Sens!$M$7527-Sens!$M$7528</f>
        <v>206.080627590357</v>
      </c>
    </row>
    <row r="7531" customFormat="false" ht="17.15" hidden="false" customHeight="false" outlineLevel="0" collapsed="false">
      <c r="A7531" s="5" t="s">
        <v>799</v>
      </c>
      <c r="B7531" s="0" t="s">
        <v>86</v>
      </c>
      <c r="E7531" s="38" t="n">
        <f aca="false">Q!$P$53</f>
        <v>39.767</v>
      </c>
      <c r="F7531" s="38" t="n">
        <f aca="false">inv_2h26</f>
        <v>21.3</v>
      </c>
      <c r="G7531" s="38" t="n">
        <f aca="false">Sens!$E$7531+Sens!$F$7531</f>
        <v>61.067</v>
      </c>
      <c r="H7531" s="39" t="n">
        <v>0</v>
      </c>
      <c r="I7531" s="39" t="n">
        <v>0</v>
      </c>
      <c r="J7531" s="39" t="n">
        <v>0</v>
      </c>
      <c r="K7531" s="39" t="n">
        <v>0</v>
      </c>
      <c r="L7531" s="39" t="n">
        <v>0</v>
      </c>
      <c r="M7531" s="39" t="n">
        <v>0</v>
      </c>
    </row>
    <row r="7532" customFormat="false" ht="17.15" hidden="false" customHeight="false" outlineLevel="0" collapsed="false">
      <c r="A7532" s="5" t="s">
        <v>800</v>
      </c>
      <c r="B7532" s="0" t="s">
        <v>86</v>
      </c>
      <c r="F7532" s="38" t="n">
        <f aca="false">iss_2h26</f>
        <v>29.249999</v>
      </c>
      <c r="G7532" s="38" t="n">
        <f aca="false">Sens!$F$7532</f>
        <v>29.249999</v>
      </c>
      <c r="H7532" s="39" t="n">
        <v>0</v>
      </c>
      <c r="I7532" s="39" t="n">
        <v>0</v>
      </c>
      <c r="J7532" s="39" t="n">
        <v>0</v>
      </c>
      <c r="K7532" s="39" t="n">
        <v>0</v>
      </c>
      <c r="L7532" s="39" t="n">
        <v>0</v>
      </c>
      <c r="M7532" s="39" t="n">
        <v>0</v>
      </c>
    </row>
    <row r="7533" customFormat="false" ht="17.15" hidden="false" customHeight="false" outlineLevel="0" collapsed="false">
      <c r="A7533" s="5" t="s">
        <v>801</v>
      </c>
      <c r="B7533" s="0" t="s">
        <v>86</v>
      </c>
      <c r="F7533" s="38" t="n">
        <f aca="false">cash_q2</f>
        <v>122.988</v>
      </c>
      <c r="G7533" s="38" t="n">
        <f aca="false">cash_q2</f>
        <v>122.988</v>
      </c>
      <c r="H7533" s="38" t="n">
        <f aca="false">Sens!$G$7536</f>
        <v>89.5023006151187</v>
      </c>
      <c r="I7533" s="38" t="n">
        <f aca="false">Sens!$H$7536</f>
        <v>50</v>
      </c>
      <c r="J7533" s="38" t="n">
        <f aca="false">Sens!$I$7536</f>
        <v>50</v>
      </c>
      <c r="K7533" s="38" t="n">
        <f aca="false">Sens!$J$7536</f>
        <v>71.9846354142962</v>
      </c>
      <c r="L7533" s="38" t="n">
        <f aca="false">Sens!$K$7536</f>
        <v>190.404469055046</v>
      </c>
      <c r="M7533" s="38" t="n">
        <f aca="false">Sens!$L$7536</f>
        <v>367.423426526727</v>
      </c>
    </row>
    <row r="7534" customFormat="false" ht="15" hidden="false" customHeight="false" outlineLevel="0" collapsed="false">
      <c r="A7534" s="5" t="s">
        <v>802</v>
      </c>
      <c r="B7534" s="0" t="s">
        <v>86</v>
      </c>
      <c r="F7534" s="38" t="n">
        <f aca="false">Sens!$F$7533+Sens!$F$7530-Sens!$F$7529-Sens!$F$7531+Sens!$F$7532</f>
        <v>89.5023006151187</v>
      </c>
      <c r="H7534" s="38" t="n">
        <f aca="false">Sens!$H$7533+Sens!$H$7530-Sens!$H$7529-Sens!$H$7531+Sens!$H$7532</f>
        <v>33.1573692580575</v>
      </c>
      <c r="I7534" s="38" t="n">
        <f aca="false">Sens!$I$7533+Sens!$I$7530-Sens!$I$7529-Sens!$I$7531+Sens!$I$7532</f>
        <v>31.8908686349347</v>
      </c>
      <c r="J7534" s="38" t="n">
        <f aca="false">Sens!$J$7533+Sens!$J$7530-Sens!$J$7529-Sens!$J$7531+Sens!$J$7532</f>
        <v>71.9846354142962</v>
      </c>
      <c r="K7534" s="38" t="n">
        <f aca="false">Sens!$K$7533+Sens!$K$7530-Sens!$K$7529-Sens!$K$7531+Sens!$K$7532</f>
        <v>190.404469055046</v>
      </c>
      <c r="L7534" s="38" t="n">
        <f aca="false">Sens!$L$7533+Sens!$L$7530-Sens!$L$7529-Sens!$L$7531+Sens!$L$7532</f>
        <v>367.423426526727</v>
      </c>
      <c r="M7534" s="38" t="n">
        <f aca="false">Sens!$M$7533+Sens!$M$7530-Sens!$M$7529-Sens!$M$7531+Sens!$M$7532</f>
        <v>573.504054117085</v>
      </c>
    </row>
    <row r="7535" customFormat="false" ht="17.15" hidden="false" customHeight="false" outlineLevel="0" collapsed="false">
      <c r="A7535" s="5" t="s">
        <v>803</v>
      </c>
      <c r="B7535" s="0" t="s">
        <v>86</v>
      </c>
      <c r="F7535" s="38" t="n">
        <f aca="false">MAX(0,min_cash-Sens!$F$7534)</f>
        <v>0</v>
      </c>
      <c r="G7535" s="38" t="n">
        <f aca="false">Sens!$F$7535</f>
        <v>0</v>
      </c>
      <c r="H7535" s="38" t="n">
        <f aca="false">MAX(0,min_cash-Sens!$H$7534)</f>
        <v>16.8426307419426</v>
      </c>
      <c r="I7535" s="38" t="n">
        <f aca="false">MAX(0,min_cash-Sens!$I$7534)</f>
        <v>18.1091313650653</v>
      </c>
      <c r="J7535" s="38" t="n">
        <f aca="false">MAX(0,min_cash-Sens!$J$7534)</f>
        <v>0</v>
      </c>
      <c r="K7535" s="38" t="n">
        <f aca="false">MAX(0,min_cash-Sens!$K$7534)</f>
        <v>0</v>
      </c>
      <c r="L7535" s="38" t="n">
        <f aca="false">MAX(0,min_cash-Sens!$L$7534)</f>
        <v>0</v>
      </c>
      <c r="M7535" s="38" t="n">
        <f aca="false">MAX(0,min_cash-Sens!$M$7534)</f>
        <v>0</v>
      </c>
      <c r="P7535" s="5" t="s">
        <v>804</v>
      </c>
    </row>
    <row r="7536" customFormat="false" ht="15" hidden="false" customHeight="false" outlineLevel="0" collapsed="false">
      <c r="A7536" s="5" t="s">
        <v>805</v>
      </c>
      <c r="B7536" s="0" t="s">
        <v>86</v>
      </c>
      <c r="D7536" s="38" t="n">
        <f aca="false">Q!$E$61</f>
        <v>123.029</v>
      </c>
      <c r="E7536" s="38" t="n">
        <f aca="false">Q!$M$61</f>
        <v>122.988</v>
      </c>
      <c r="F7536" s="38" t="n">
        <f aca="false">Sens!$F$7534+Sens!$F$7535</f>
        <v>89.5023006151187</v>
      </c>
      <c r="G7536" s="38" t="n">
        <f aca="false">Sens!$F$7536</f>
        <v>89.5023006151187</v>
      </c>
      <c r="H7536" s="38" t="n">
        <f aca="false">Sens!$H$7534+Sens!$H$7535</f>
        <v>50</v>
      </c>
      <c r="I7536" s="38" t="n">
        <f aca="false">Sens!$I$7534+Sens!$I$7535</f>
        <v>50</v>
      </c>
      <c r="J7536" s="38" t="n">
        <f aca="false">Sens!$J$7534+Sens!$J$7535</f>
        <v>71.9846354142962</v>
      </c>
      <c r="K7536" s="38" t="n">
        <f aca="false">Sens!$K$7534+Sens!$K$7535</f>
        <v>190.404469055046</v>
      </c>
      <c r="L7536" s="38" t="n">
        <f aca="false">Sens!$L$7534+Sens!$L$7535</f>
        <v>367.423426526727</v>
      </c>
      <c r="M7536" s="38" t="n">
        <f aca="false">Sens!$M$7534+Sens!$M$7535</f>
        <v>573.504054117085</v>
      </c>
    </row>
    <row r="7537" customFormat="false" ht="15" hidden="false" customHeight="false" outlineLevel="0" collapsed="false">
      <c r="A7537" s="5" t="s">
        <v>806</v>
      </c>
      <c r="B7537" s="0" t="s">
        <v>86</v>
      </c>
      <c r="D7537" s="38" t="n">
        <f aca="false">Q!$E$62</f>
        <v>68.836</v>
      </c>
      <c r="E7537" s="38" t="n">
        <f aca="false">Q!$M$62</f>
        <v>132.995</v>
      </c>
      <c r="F7537" s="38" t="n">
        <f aca="false">debt_q2+Sens!$F$7532+Sens!$F$7535</f>
        <v>162.244999</v>
      </c>
      <c r="G7537" s="38" t="n">
        <f aca="false">Sens!$F$7537</f>
        <v>162.244999</v>
      </c>
      <c r="H7537" s="38" t="n">
        <f aca="false">Sens!$G$7537+Sens!$H$7535</f>
        <v>179.087629741943</v>
      </c>
      <c r="I7537" s="38" t="n">
        <f aca="false">Sens!$H$7537+Sens!$I$7535</f>
        <v>197.196761107008</v>
      </c>
      <c r="J7537" s="38" t="n">
        <f aca="false">Sens!$I$7537+Sens!$J$7535</f>
        <v>197.196761107008</v>
      </c>
      <c r="K7537" s="38" t="n">
        <f aca="false">Sens!$J$7537+Sens!$K$7535</f>
        <v>197.196761107008</v>
      </c>
      <c r="L7537" s="38" t="n">
        <f aca="false">Sens!$K$7537+Sens!$L$7535</f>
        <v>197.196761107008</v>
      </c>
      <c r="M7537" s="38" t="n">
        <f aca="false">Sens!$L$7537+Sens!$M$7535</f>
        <v>197.196761107008</v>
      </c>
    </row>
    <row r="7538" customFormat="false" ht="15" hidden="false" customHeight="false" outlineLevel="0" collapsed="false">
      <c r="A7538" s="5" t="s">
        <v>807</v>
      </c>
      <c r="B7538" s="0" t="s">
        <v>86</v>
      </c>
      <c r="D7538" s="38" t="n">
        <f aca="false">Sens!$D$7537-Sens!$D$7536</f>
        <v>-54.193</v>
      </c>
      <c r="E7538" s="38" t="n">
        <f aca="false">Sens!$E$7537-Sens!$E$7536</f>
        <v>10.007</v>
      </c>
      <c r="F7538" s="38" t="n">
        <f aca="false">Sens!$F$7537-Sens!$F$7536</f>
        <v>72.7426983848813</v>
      </c>
      <c r="G7538" s="38" t="n">
        <f aca="false">Sens!$G$7537-Sens!$G$7536</f>
        <v>72.7426983848813</v>
      </c>
      <c r="H7538" s="38" t="n">
        <f aca="false">Sens!$H$7537-Sens!$H$7536</f>
        <v>129.087629741943</v>
      </c>
      <c r="I7538" s="38" t="n">
        <f aca="false">Sens!$I$7537-Sens!$I$7536</f>
        <v>147.196761107008</v>
      </c>
      <c r="J7538" s="38" t="n">
        <f aca="false">Sens!$J$7537-Sens!$J$7536</f>
        <v>125.212125692712</v>
      </c>
      <c r="K7538" s="38" t="n">
        <f aca="false">Sens!$K$7537-Sens!$K$7536</f>
        <v>6.79229205196145</v>
      </c>
      <c r="L7538" s="38" t="n">
        <f aca="false">Sens!$L$7537-Sens!$L$7536</f>
        <v>-170.226665419719</v>
      </c>
      <c r="M7538" s="38" t="n">
        <f aca="false">Sens!$M$7537-Sens!$M$7536</f>
        <v>-376.307293010077</v>
      </c>
    </row>
    <row r="7539" customFormat="false" ht="17.15" hidden="false" customHeight="false" outlineLevel="0" collapsed="false">
      <c r="A7539" s="5" t="s">
        <v>808</v>
      </c>
      <c r="B7539" s="0" t="s">
        <v>86</v>
      </c>
      <c r="F7539" s="38" t="n">
        <f aca="false">debt_q2*kd_book*0.5+iss_2h26*kd_new*iss_t</f>
        <v>3.24888962733561</v>
      </c>
      <c r="H7539" s="38" t="n">
        <f aca="false">debt_q2*kd_book+(Sens!$G$7537-debt_q2)*kd_new</f>
        <v>7.42354172302123</v>
      </c>
      <c r="I7539" s="38" t="n">
        <f aca="false">debt_q2*kd_book+(Sens!$H$7537-debt_q2)*kd_new</f>
        <v>8.48968024898619</v>
      </c>
      <c r="J7539" s="38" t="n">
        <f aca="false">debt_q2*kd_book+(Sens!$I$7537-debt_q2)*kd_new</f>
        <v>9.63598826439483</v>
      </c>
      <c r="K7539" s="38" t="n">
        <f aca="false">debt_q2*kd_book+(Sens!$J$7537-debt_q2)*kd_new</f>
        <v>9.63598826439483</v>
      </c>
      <c r="L7539" s="38" t="n">
        <f aca="false">debt_q2*kd_book+(Sens!$K$7537-debt_q2)*kd_new</f>
        <v>9.63598826439483</v>
      </c>
      <c r="M7539" s="38" t="n">
        <f aca="false">debt_q2*kd_book+(Sens!$L$7537-debt_q2)*kd_new</f>
        <v>9.63598826439483</v>
      </c>
    </row>
    <row r="7540" customFormat="false" ht="17.15" hidden="false" customHeight="false" outlineLevel="0" collapsed="false">
      <c r="A7540" s="5" t="s">
        <v>809</v>
      </c>
      <c r="B7540" s="0" t="s">
        <v>86</v>
      </c>
      <c r="F7540" s="38" t="n">
        <f aca="false">cash_q2*y_cash*0.5</f>
        <v>2.59</v>
      </c>
      <c r="H7540" s="38" t="n">
        <f aca="false">Sens!$G$7536*y_cash</f>
        <v>3.76965165045626</v>
      </c>
      <c r="I7540" s="38" t="n">
        <f aca="false">Sens!$H$7536*y_cash</f>
        <v>2.10589651022864</v>
      </c>
      <c r="J7540" s="38" t="n">
        <f aca="false">Sens!$I$7536*y_cash</f>
        <v>2.10589651022864</v>
      </c>
      <c r="K7540" s="38" t="n">
        <f aca="false">Sens!$J$7536*y_cash</f>
        <v>3.03184385018094</v>
      </c>
      <c r="L7540" s="38" t="n">
        <f aca="false">Sens!$K$7536*y_cash</f>
        <v>8.01944213829919</v>
      </c>
      <c r="M7540" s="38" t="n">
        <f aca="false">Sens!$L$7536*y_cash</f>
        <v>15.4751142339777</v>
      </c>
    </row>
    <row r="7541" customFormat="false" ht="17.15" hidden="false" customHeight="false" outlineLevel="0" collapsed="false">
      <c r="A7541" s="47" t="s">
        <v>810</v>
      </c>
      <c r="B7541" s="14" t="s">
        <v>86</v>
      </c>
      <c r="C7541" s="14"/>
      <c r="D7541" s="14"/>
      <c r="E7541" s="14"/>
      <c r="F7541" s="14"/>
      <c r="G7541" s="48" t="n">
        <f aca="false">SUM(Sens!$G$7530:$K$7530)</f>
        <v>-1.17629205196147</v>
      </c>
      <c r="H7541" s="14"/>
      <c r="I7541" s="14"/>
      <c r="J7541" s="14"/>
      <c r="K7541" s="14"/>
      <c r="L7541" s="14"/>
      <c r="M7541" s="14"/>
      <c r="N7541" s="14"/>
      <c r="O7541" s="14"/>
    </row>
    <row r="7542" customFormat="false" ht="17.15" hidden="false" customHeight="false" outlineLevel="0" collapsed="false">
      <c r="A7542" s="0" t="s">
        <v>776</v>
      </c>
      <c r="B7542" s="0" t="s">
        <v>86</v>
      </c>
      <c r="G7542" s="38" t="n">
        <f aca="false">SUM(Sens!$G$7535:$K$7535)</f>
        <v>34.9517621070079</v>
      </c>
    </row>
    <row r="7543" customFormat="false" ht="17.15" hidden="false" customHeight="false" outlineLevel="0" collapsed="false">
      <c r="A7543" s="24" t="s">
        <v>813</v>
      </c>
      <c r="B7543" s="25" t="s">
        <v>86</v>
      </c>
      <c r="C7543" s="25"/>
      <c r="D7543" s="25"/>
      <c r="E7543" s="25"/>
      <c r="F7543" s="25"/>
      <c r="G7543" s="41" t="n">
        <f aca="false">Sens!$G$7541-(Sens!$G$7530+Sens!$H$7530+Sens!$I$7530+Sens!$J$7530+Sens!$K$7530)</f>
        <v>-2.8421709430404E-014</v>
      </c>
      <c r="H7543" s="25"/>
      <c r="I7543" s="25"/>
      <c r="J7543" s="25"/>
      <c r="K7543" s="25"/>
      <c r="L7543" s="25"/>
      <c r="M7543" s="25"/>
      <c r="N7543" s="25"/>
      <c r="O7543" s="25"/>
    </row>
    <row r="7546" customFormat="false" ht="19.4" hidden="false" customHeight="false" outlineLevel="0" collapsed="false">
      <c r="A7546" s="31" t="s">
        <v>1289</v>
      </c>
    </row>
    <row r="7547" customFormat="false" ht="17.15" hidden="false" customHeight="false" outlineLevel="0" collapsed="false">
      <c r="A7547" s="6" t="s">
        <v>16</v>
      </c>
      <c r="B7547" s="6" t="s">
        <v>17</v>
      </c>
      <c r="C7547" s="20" t="s">
        <v>497</v>
      </c>
      <c r="D7547" s="20" t="s">
        <v>498</v>
      </c>
      <c r="E7547" s="20" t="s">
        <v>580</v>
      </c>
      <c r="F7547" s="20" t="s">
        <v>581</v>
      </c>
      <c r="G7547" s="20" t="s">
        <v>582</v>
      </c>
      <c r="H7547" s="20" t="s">
        <v>583</v>
      </c>
      <c r="I7547" s="20" t="s">
        <v>584</v>
      </c>
      <c r="J7547" s="20" t="s">
        <v>585</v>
      </c>
      <c r="K7547" s="20" t="s">
        <v>586</v>
      </c>
      <c r="L7547" s="20" t="s">
        <v>587</v>
      </c>
      <c r="M7547" s="20" t="s">
        <v>588</v>
      </c>
      <c r="N7547" s="20" t="s">
        <v>589</v>
      </c>
      <c r="O7547" s="20" t="s">
        <v>590</v>
      </c>
      <c r="P7547" s="6" t="s">
        <v>23</v>
      </c>
      <c r="R7547" s="20" t="n">
        <v>2023</v>
      </c>
      <c r="S7547" s="20" t="n">
        <v>2024</v>
      </c>
      <c r="T7547" s="20" t="n">
        <v>2025</v>
      </c>
      <c r="U7547" s="20" t="n">
        <v>2026</v>
      </c>
      <c r="V7547" s="20" t="n">
        <v>2027</v>
      </c>
      <c r="W7547" s="20" t="n">
        <v>2028</v>
      </c>
      <c r="X7547" s="20" t="n">
        <v>2029</v>
      </c>
      <c r="Y7547" s="20" t="n">
        <v>2030</v>
      </c>
      <c r="Z7547" s="20" t="n">
        <v>2031</v>
      </c>
      <c r="AA7547" s="20" t="n">
        <v>2032</v>
      </c>
    </row>
    <row r="7548" customFormat="false" ht="17.15" hidden="false" customHeight="false" outlineLevel="0" collapsed="false">
      <c r="A7548" s="1" t="s">
        <v>915</v>
      </c>
    </row>
    <row r="7549" customFormat="false" ht="17.15" hidden="false" customHeight="false" outlineLevel="0" collapsed="false">
      <c r="A7549" s="0" t="s">
        <v>916</v>
      </c>
      <c r="B7549" s="0" t="s">
        <v>86</v>
      </c>
      <c r="H7549" s="38" t="n">
        <f aca="false">Sens!$H$7483*(1-tax)</f>
        <v>121.243762954598</v>
      </c>
      <c r="I7549" s="38" t="n">
        <f aca="false">Sens!$I$7483*(1-tax)</f>
        <v>146.296727721585</v>
      </c>
      <c r="J7549" s="38" t="n">
        <f aca="false">Sens!$J$7483*(1-tax)</f>
        <v>170.140518399982</v>
      </c>
      <c r="K7549" s="38" t="n">
        <f aca="false">Sens!$K$7483*(1-tax)</f>
        <v>187.091644407888</v>
      </c>
      <c r="L7549" s="38" t="n">
        <f aca="false">Sens!$L$7483*(1-tax)</f>
        <v>200.866341135815</v>
      </c>
      <c r="M7549" s="38" t="n">
        <f aca="false">Sens!$M$7483*(1-tax)</f>
        <v>211.476896331068</v>
      </c>
    </row>
    <row r="7550" customFormat="false" ht="15" hidden="false" customHeight="false" outlineLevel="0" collapsed="false">
      <c r="A7550" s="5" t="s">
        <v>917</v>
      </c>
      <c r="B7550" s="0" t="s">
        <v>86</v>
      </c>
      <c r="H7550" s="38" t="n">
        <f aca="false">Sens!$H$7494</f>
        <v>78.1799395827871</v>
      </c>
      <c r="I7550" s="38" t="n">
        <f aca="false">Sens!$I$7494</f>
        <v>111.171125554384</v>
      </c>
      <c r="J7550" s="38" t="n">
        <f aca="false">Sens!$J$7494</f>
        <v>144.884406220971</v>
      </c>
      <c r="K7550" s="38" t="n">
        <f aca="false">Sens!$K$7494</f>
        <v>178.806419437999</v>
      </c>
      <c r="L7550" s="38" t="n">
        <f aca="false">Sens!$L$7494</f>
        <v>204.341339029663</v>
      </c>
      <c r="M7550" s="38" t="n">
        <f aca="false">Sens!$M$7494</f>
        <v>223.130577995387</v>
      </c>
    </row>
    <row r="7551" customFormat="false" ht="15" hidden="false" customHeight="false" outlineLevel="0" collapsed="false">
      <c r="A7551" s="5" t="s">
        <v>918</v>
      </c>
      <c r="B7551" s="0" t="s">
        <v>86</v>
      </c>
      <c r="H7551" s="38" t="n">
        <f aca="false">Sens!$H$7525</f>
        <v>273.372679834898</v>
      </c>
      <c r="I7551" s="38" t="n">
        <f aca="false">Sens!$I$7525</f>
        <v>286.981812228425</v>
      </c>
      <c r="J7551" s="38" t="n">
        <f aca="false">Sens!$J$7525</f>
        <v>299.316513378366</v>
      </c>
      <c r="K7551" s="38" t="n">
        <f aca="false">Sens!$K$7525</f>
        <v>251.057145512292</v>
      </c>
      <c r="L7551" s="38" t="n">
        <f aca="false">Sens!$L$7525</f>
        <v>234.696330860396</v>
      </c>
      <c r="M7551" s="38" t="n">
        <f aca="false">Sens!$M$7525</f>
        <v>242.291696043352</v>
      </c>
    </row>
    <row r="7552" customFormat="false" ht="15" hidden="false" customHeight="false" outlineLevel="0" collapsed="false">
      <c r="A7552" s="5" t="s">
        <v>919</v>
      </c>
      <c r="B7552" s="0" t="s">
        <v>86</v>
      </c>
      <c r="H7552" s="38" t="n">
        <f aca="false">Sens!$H$7526</f>
        <v>1.6</v>
      </c>
      <c r="I7552" s="38" t="n">
        <f aca="false">Sens!$I$7526</f>
        <v>1.6</v>
      </c>
      <c r="J7552" s="38" t="n">
        <f aca="false">Sens!$J$7526</f>
        <v>1.6</v>
      </c>
      <c r="K7552" s="38" t="n">
        <f aca="false">Sens!$K$7526</f>
        <v>1.6</v>
      </c>
      <c r="L7552" s="38" t="n">
        <f aca="false">Sens!$L$7526</f>
        <v>1.6</v>
      </c>
      <c r="M7552" s="38" t="n">
        <f aca="false">Sens!$M$7526</f>
        <v>1.6</v>
      </c>
    </row>
    <row r="7553" customFormat="false" ht="15" hidden="false" customHeight="false" outlineLevel="0" collapsed="false">
      <c r="A7553" s="5" t="s">
        <v>920</v>
      </c>
      <c r="B7553" s="0" t="s">
        <v>86</v>
      </c>
      <c r="H7553" s="38" t="n">
        <f aca="false">Sens!$H$7520</f>
        <v>11.2928295263397</v>
      </c>
      <c r="I7553" s="38" t="n">
        <f aca="false">Sens!$I$7520</f>
        <v>12.8091546115766</v>
      </c>
      <c r="J7553" s="38" t="n">
        <f aca="false">Sens!$J$7520</f>
        <v>14.2605653162668</v>
      </c>
      <c r="K7553" s="38" t="n">
        <f aca="false">Sens!$K$7520</f>
        <v>15.5327622460396</v>
      </c>
      <c r="L7553" s="38" t="n">
        <f aca="false">Sens!$L$7520</f>
        <v>16.720573737517</v>
      </c>
      <c r="M7553" s="38" t="n">
        <f aca="false">Sens!$M$7520</f>
        <v>17.8283127551536</v>
      </c>
    </row>
    <row r="7554" customFormat="false" ht="17.15" hidden="false" customHeight="false" outlineLevel="0" collapsed="false">
      <c r="A7554" s="1" t="s">
        <v>921</v>
      </c>
      <c r="B7554" s="8" t="s">
        <v>86</v>
      </c>
      <c r="H7554" s="38" t="n">
        <f aca="false">Sens!$H$7549+Sens!$H$7550-Sens!$H$7551+Sens!$H$7553</f>
        <v>-62.6561477711731</v>
      </c>
      <c r="I7554" s="38" t="n">
        <f aca="false">Sens!$I$7549+Sens!$I$7550-Sens!$I$7551+Sens!$I$7553</f>
        <v>-16.7048043408794</v>
      </c>
      <c r="J7554" s="38" t="n">
        <f aca="false">Sens!$J$7549+Sens!$J$7550-Sens!$J$7551+Sens!$J$7553</f>
        <v>29.9689765588539</v>
      </c>
      <c r="K7554" s="38" t="n">
        <f aca="false">Sens!$K$7549+Sens!$K$7550-Sens!$K$7551+Sens!$K$7553</f>
        <v>130.373680579634</v>
      </c>
      <c r="L7554" s="38" t="n">
        <f aca="false">Sens!$L$7549+Sens!$L$7550-Sens!$L$7551+Sens!$L$7553</f>
        <v>187.231923042598</v>
      </c>
      <c r="M7554" s="38" t="n">
        <f aca="false">Sens!$M$7549+Sens!$M$7550-Sens!$M$7551+Sens!$M$7553</f>
        <v>210.144091038257</v>
      </c>
    </row>
    <row r="7555" customFormat="false" ht="15" hidden="false" customHeight="false" outlineLevel="0" collapsed="false">
      <c r="A7555" s="5" t="s">
        <v>922</v>
      </c>
      <c r="B7555" s="0" t="s">
        <v>57</v>
      </c>
      <c r="H7555" s="40" t="n">
        <f aca="false">1/(1+wacc)^(2027-2026-0.5)</f>
        <v>0.947751320380232</v>
      </c>
      <c r="I7555" s="40" t="n">
        <f aca="false">1/(1+wacc)^(2028-2026-0.5)</f>
        <v>0.851301099754987</v>
      </c>
      <c r="J7555" s="40" t="n">
        <f aca="false">1/(1+wacc)^(2029-2026-0.5)</f>
        <v>0.764666370660713</v>
      </c>
      <c r="K7555" s="40" t="n">
        <f aca="false">1/(1+wacc)^(2030-2026-0.5)</f>
        <v>0.686848235703811</v>
      </c>
      <c r="L7555" s="40" t="n">
        <f aca="false">1/(1+wacc)^(2031-2026-0.5)</f>
        <v>0.616949452715975</v>
      </c>
      <c r="M7555" s="40" t="n">
        <f aca="false">1/(1+wacc)^(2032-2026-0.5)</f>
        <v>0.554164089562688</v>
      </c>
    </row>
    <row r="7556" customFormat="false" ht="15" hidden="false" customHeight="false" outlineLevel="0" collapsed="false">
      <c r="A7556" s="5" t="s">
        <v>923</v>
      </c>
      <c r="B7556" s="0" t="s">
        <v>86</v>
      </c>
      <c r="H7556" s="38" t="n">
        <f aca="false">Sens!$H$7554*Sens!$H$7555</f>
        <v>-59.3824467800682</v>
      </c>
      <c r="I7556" s="38" t="n">
        <f aca="false">Sens!$I$7554*Sens!$I$7555</f>
        <v>-14.2208183065825</v>
      </c>
      <c r="J7556" s="38" t="n">
        <f aca="false">Sens!$J$7554*Sens!$J$7555</f>
        <v>22.9162685376748</v>
      </c>
      <c r="K7556" s="38" t="n">
        <f aca="false">Sens!$K$7554*Sens!$K$7555</f>
        <v>89.5469324883341</v>
      </c>
      <c r="L7556" s="38" t="n">
        <f aca="false">Sens!$L$7554*Sens!$L$7555</f>
        <v>115.512632452091</v>
      </c>
      <c r="M7556" s="38" t="n">
        <f aca="false">Sens!$M$7554*Sens!$M$7555</f>
        <v>116.454308887194</v>
      </c>
    </row>
    <row r="7557" customFormat="false" ht="15" hidden="false" customHeight="false" outlineLevel="0" collapsed="false">
      <c r="A7557" s="5" t="s">
        <v>924</v>
      </c>
      <c r="B7557" s="0" t="s">
        <v>86</v>
      </c>
      <c r="C7557" s="38" t="n">
        <f aca="false">SUM(Sens!$H$7556:$M$7556)</f>
        <v>270.826877278643</v>
      </c>
    </row>
    <row r="7558" customFormat="false" ht="17.15" hidden="false" customHeight="false" outlineLevel="0" collapsed="false">
      <c r="A7558" s="5" t="s">
        <v>925</v>
      </c>
      <c r="B7558" s="0" t="s">
        <v>86</v>
      </c>
      <c r="C7558" s="38" t="n">
        <f aca="false">Sens!$M$7549*(1+tg)*(1-tg/ronic)/(wacc-tg)</f>
        <v>1922.56097134792</v>
      </c>
    </row>
    <row r="7559" customFormat="false" ht="15" hidden="false" customHeight="false" outlineLevel="0" collapsed="false">
      <c r="A7559" s="5" t="s">
        <v>926</v>
      </c>
      <c r="B7559" s="0" t="s">
        <v>86</v>
      </c>
      <c r="C7559" s="38" t="n">
        <f aca="false">Sens!$C$7558/(1+wacc)^6</f>
        <v>1009.74776248869</v>
      </c>
    </row>
    <row r="7560" customFormat="false" ht="17.15" hidden="false" customHeight="false" outlineLevel="0" collapsed="false">
      <c r="A7560" s="5" t="s">
        <v>927</v>
      </c>
      <c r="B7560" s="0" t="s">
        <v>86</v>
      </c>
      <c r="C7560" s="38" t="n">
        <f aca="false">Sens!$C$7557+Sens!$C$7559</f>
        <v>1280.57463976734</v>
      </c>
    </row>
    <row r="7561" customFormat="false" ht="17.15" hidden="false" customHeight="false" outlineLevel="0" collapsed="false">
      <c r="A7561" s="5" t="s">
        <v>928</v>
      </c>
      <c r="B7561" s="0" t="s">
        <v>52</v>
      </c>
      <c r="C7561" s="13" t="n">
        <f aca="false">Sens!$C$7559/Sens!$C$7560</f>
        <v>0.788511447229778</v>
      </c>
    </row>
    <row r="7562" customFormat="false" ht="17.15" hidden="false" customHeight="false" outlineLevel="0" collapsed="false">
      <c r="A7562" s="5" t="s">
        <v>929</v>
      </c>
      <c r="B7562" s="0" t="s">
        <v>86</v>
      </c>
      <c r="C7562" s="38" t="n">
        <f aca="false">Sens!$G$7538+fin_debt</f>
        <v>97.2636983848813</v>
      </c>
    </row>
    <row r="7563" customFormat="false" ht="17.15" hidden="false" customHeight="false" outlineLevel="0" collapsed="false">
      <c r="A7563" s="5" t="s">
        <v>930</v>
      </c>
      <c r="B7563" s="0" t="s">
        <v>86</v>
      </c>
      <c r="C7563" s="38" t="n">
        <f aca="false">(ant_val*ant_sh_lo+oai_val*oai_sh)*(1-liq_disc)</f>
        <v>155.784</v>
      </c>
    </row>
    <row r="7564" customFormat="false" ht="15" hidden="false" customHeight="false" outlineLevel="0" collapsed="false">
      <c r="A7564" s="5" t="s">
        <v>931</v>
      </c>
      <c r="B7564" s="0" t="s">
        <v>86</v>
      </c>
      <c r="C7564" s="38" t="n">
        <f aca="false">Sens!$C$7560-Sens!$C$7562+Sens!$C$7563</f>
        <v>1339.09494138246</v>
      </c>
    </row>
    <row r="7565" customFormat="false" ht="17.15" hidden="false" customHeight="false" outlineLevel="0" collapsed="false">
      <c r="A7565" s="5" t="s">
        <v>932</v>
      </c>
      <c r="B7565" s="0" t="s">
        <v>27</v>
      </c>
      <c r="C7565" s="30" t="n">
        <f aca="false">Sens!$C$7564/sh_out</f>
        <v>124.147594941373</v>
      </c>
    </row>
    <row r="7566" customFormat="false" ht="17.15" hidden="false" customHeight="false" outlineLevel="0" collapsed="false">
      <c r="A7566" s="1" t="s">
        <v>933</v>
      </c>
      <c r="B7566" s="8" t="s">
        <v>27</v>
      </c>
      <c r="C7566" s="30" t="n">
        <f aca="false">Sens!$C$7565*(1+ke)^tp_yf-dps*tp_yf</f>
        <v>135.987407863532</v>
      </c>
    </row>
    <row r="7567" customFormat="false" ht="17.15" hidden="false" customHeight="false" outlineLevel="0" collapsed="false">
      <c r="A7567" s="3" t="s">
        <v>934</v>
      </c>
    </row>
    <row r="7568" customFormat="false" ht="17.15" hidden="false" customHeight="false" outlineLevel="0" collapsed="false">
      <c r="A7568" s="5" t="s">
        <v>935</v>
      </c>
      <c r="B7568" s="0" t="s">
        <v>86</v>
      </c>
      <c r="C7568" s="38" t="n">
        <f aca="false">(1-tp_yf)*(Sens!$H$7495+sbc_ab*Sens!$H$7519*Sens!$H$7359/Sens!$H$7436)+tp_yf*(Sens!$I$7495+sbc_ab*Sens!$I$7519*Sens!$I$7359/Sens!$I$7436)</f>
        <v>59.634664536349</v>
      </c>
    </row>
    <row r="7569" customFormat="false" ht="15" hidden="false" customHeight="false" outlineLevel="0" collapsed="false">
      <c r="A7569" s="5" t="s">
        <v>936</v>
      </c>
      <c r="B7569" s="0" t="s">
        <v>57</v>
      </c>
      <c r="C7569" s="30" t="n">
        <f aca="false">m_ads*m_x</f>
        <v>9.11</v>
      </c>
    </row>
    <row r="7570" customFormat="false" ht="17.15" hidden="false" customHeight="false" outlineLevel="0" collapsed="false">
      <c r="A7570" s="5" t="s">
        <v>937</v>
      </c>
      <c r="B7570" s="0" t="s">
        <v>86</v>
      </c>
      <c r="C7570" s="38" t="n">
        <f aca="false">Sens!$C$7568*Sens!$C$7569</f>
        <v>543.271793926139</v>
      </c>
    </row>
    <row r="7571" customFormat="false" ht="17.15" hidden="false" customHeight="false" outlineLevel="0" collapsed="false">
      <c r="A7571" s="5" t="s">
        <v>938</v>
      </c>
      <c r="B7571" s="0" t="s">
        <v>86</v>
      </c>
      <c r="C7571" s="38" t="n">
        <f aca="false">(1-tp_yf)*(Sens!$H$7496+sbc_ab*Sens!$H$7519*(Sens!$H$7366-Sens!$H$7359)/Sens!$H$7436+IF(internal_ai_reading=2,1,0)*(1-ext_sh)*Sens!$H$7396)+tp_yf*(Sens!$I$7496+sbc_ab*Sens!$I$7519*(Sens!$I$7366-Sens!$I$7359)/Sens!$I$7436+IF(internal_ai_reading=2,1,0)*(1-ext_sh)*Sens!$I$7396)</f>
        <v>51.2224827206816</v>
      </c>
    </row>
    <row r="7572" customFormat="false" ht="17.15" hidden="false" customHeight="false" outlineLevel="0" collapsed="false">
      <c r="A7572" s="5" t="s">
        <v>939</v>
      </c>
      <c r="B7572" s="0" t="s">
        <v>57</v>
      </c>
      <c r="C7572" s="30" t="n">
        <f aca="false">m_retail*m_x</f>
        <v>17.72</v>
      </c>
    </row>
    <row r="7573" customFormat="false" ht="17.15" hidden="false" customHeight="false" outlineLevel="0" collapsed="false">
      <c r="A7573" s="5" t="s">
        <v>940</v>
      </c>
      <c r="B7573" s="0" t="s">
        <v>86</v>
      </c>
      <c r="C7573" s="38" t="n">
        <f aca="false">Sens!$C$7571*Sens!$C$7572</f>
        <v>907.662393810478</v>
      </c>
    </row>
    <row r="7574" customFormat="false" ht="17.15" hidden="false" customHeight="false" outlineLevel="0" collapsed="false">
      <c r="A7574" s="0" t="s">
        <v>941</v>
      </c>
      <c r="B7574" s="0" t="s">
        <v>86</v>
      </c>
      <c r="C7574" s="38" t="n">
        <f aca="false">(1-tp_yf)*(Sens!$H$7497+sbc_ab*Sens!$H$7519*Sens!$H$7434/Sens!$H$7436)+tp_yf*(Sens!$I$7497+sbc_ab*Sens!$I$7519*Sens!$I$7434/Sens!$I$7436)</f>
        <v>96.2439586897193</v>
      </c>
    </row>
    <row r="7575" customFormat="false" ht="17.15" hidden="false" customHeight="false" outlineLevel="0" collapsed="false">
      <c r="A7575" s="0" t="s">
        <v>942</v>
      </c>
      <c r="B7575" s="0" t="s">
        <v>57</v>
      </c>
      <c r="C7575" s="30" t="n">
        <f aca="false">m_cloud*m_x</f>
        <v>13.82</v>
      </c>
    </row>
    <row r="7576" customFormat="false" ht="17.15" hidden="false" customHeight="false" outlineLevel="0" collapsed="false">
      <c r="A7576" s="0" t="s">
        <v>943</v>
      </c>
      <c r="B7576" s="0" t="s">
        <v>86</v>
      </c>
      <c r="C7576" s="38" t="n">
        <f aca="false">Sens!$C$7574*Sens!$C$7575</f>
        <v>1330.09150909192</v>
      </c>
    </row>
    <row r="7577" customFormat="false" ht="17.15" hidden="false" customHeight="false" outlineLevel="0" collapsed="false">
      <c r="A7577" s="0" t="s">
        <v>944</v>
      </c>
      <c r="B7577" s="0" t="s">
        <v>86</v>
      </c>
      <c r="H7577" s="38" t="n">
        <f aca="false">Sens!$H$7415-tax*Sens!$H$7416-ext_sh*Sens!$H$7403</f>
        <v>-115.885394236225</v>
      </c>
      <c r="I7577" s="38" t="n">
        <f aca="false">Sens!$I$7415-tax*Sens!$I$7416-ext_sh*Sens!$I$7403</f>
        <v>-89.5935137276694</v>
      </c>
      <c r="J7577" s="38" t="n">
        <f aca="false">Sens!$J$7415-tax*Sens!$J$7416-ext_sh*Sens!$J$7403</f>
        <v>-62.3510647460279</v>
      </c>
      <c r="K7577" s="38" t="n">
        <f aca="false">Sens!$K$7415-tax*Sens!$K$7416-ext_sh*Sens!$K$7403</f>
        <v>8.85932514072565</v>
      </c>
      <c r="L7577" s="38" t="n">
        <f aca="false">Sens!$L$7415-tax*Sens!$L$7416-ext_sh*Sens!$L$7403</f>
        <v>45.6968344120177</v>
      </c>
      <c r="M7577" s="38" t="n">
        <f aca="false">Sens!$M$7415-tax*Sens!$M$7416-ext_sh*Sens!$M$7403</f>
        <v>54.7466688757428</v>
      </c>
    </row>
    <row r="7578" customFormat="false" ht="17.15" hidden="false" customHeight="false" outlineLevel="0" collapsed="false">
      <c r="A7578" s="5" t="s">
        <v>945</v>
      </c>
      <c r="B7578" s="0" t="s">
        <v>86</v>
      </c>
      <c r="H7578" s="38" t="n">
        <f aca="false">Sens!$H$7577*Sens!$H$7555</f>
        <v>-109.830535400166</v>
      </c>
      <c r="I7578" s="38" t="n">
        <f aca="false">Sens!$I$7577*Sens!$I$7555</f>
        <v>-76.2710567672785</v>
      </c>
      <c r="J7578" s="38" t="n">
        <f aca="false">Sens!$J$7577*Sens!$J$7555</f>
        <v>-47.6777623861763</v>
      </c>
      <c r="K7578" s="38" t="n">
        <f aca="false">Sens!$K$7577*Sens!$K$7555</f>
        <v>6.08501184243383</v>
      </c>
      <c r="L7578" s="38" t="n">
        <f aca="false">Sens!$L$7577*Sens!$L$7555</f>
        <v>28.1926369813469</v>
      </c>
      <c r="M7578" s="38" t="n">
        <f aca="false">Sens!$M$7577*Sens!$M$7555</f>
        <v>30.338637914116</v>
      </c>
    </row>
    <row r="7579" customFormat="false" ht="17.15" hidden="false" customHeight="false" outlineLevel="0" collapsed="false">
      <c r="A7579" s="5" t="s">
        <v>946</v>
      </c>
      <c r="B7579" s="0" t="s">
        <v>86</v>
      </c>
      <c r="C7579" s="38" t="n">
        <f aca="false">Sens!$M$7416*(1-tax)*(1+tg)*(1-tg/ronic)/(wacc-tg)</f>
        <v>391.533160655061</v>
      </c>
    </row>
    <row r="7580" customFormat="false" ht="17.15" hidden="false" customHeight="false" outlineLevel="0" collapsed="false">
      <c r="A7580" s="0" t="s">
        <v>947</v>
      </c>
      <c r="B7580" s="0" t="s">
        <v>86</v>
      </c>
      <c r="C7580" s="38" t="n">
        <f aca="false">(SUM(Sens!$I$7578:$M$7578)+Sens!$C$7579/(1+wacc)^6)*(1+wacc)^tp_yf</f>
        <v>159.796867964901</v>
      </c>
    </row>
    <row r="7581" customFormat="false" ht="17.15" hidden="false" customHeight="false" outlineLevel="0" collapsed="false">
      <c r="A7581" s="5" t="s">
        <v>948</v>
      </c>
      <c r="B7581" s="0" t="s">
        <v>86</v>
      </c>
      <c r="C7581" s="38" t="n">
        <f aca="false">(1-tp_yf)*(Sens!$H$7498)+tp_yf*(Sens!$I$7498)</f>
        <v>74.6707041238437</v>
      </c>
    </row>
    <row r="7582" customFormat="false" ht="17.15" hidden="false" customHeight="false" outlineLevel="0" collapsed="false">
      <c r="A7582" s="5" t="s">
        <v>949</v>
      </c>
      <c r="B7582" s="0" t="s">
        <v>86</v>
      </c>
      <c r="C7582" s="38" t="n">
        <f aca="false">Sens!$C$7581*m_ai</f>
        <v>448.024224743062</v>
      </c>
    </row>
    <row r="7583" customFormat="false" ht="17.15" hidden="false" customHeight="false" outlineLevel="0" collapsed="false">
      <c r="A7583" s="0" t="s">
        <v>950</v>
      </c>
      <c r="B7583" s="0" t="s">
        <v>86</v>
      </c>
      <c r="C7583" s="38" t="n">
        <f aca="false">IF(ai_leg=1,Sens!$C$7580,Sens!$C$7582)</f>
        <v>159.796867964901</v>
      </c>
    </row>
    <row r="7584" customFormat="false" ht="17.15" hidden="false" customHeight="false" outlineLevel="0" collapsed="false">
      <c r="A7584" s="5" t="s">
        <v>951</v>
      </c>
      <c r="B7584" s="0" t="s">
        <v>86</v>
      </c>
      <c r="C7584" s="38" t="n">
        <f aca="false">Sens!$C$7570+Sens!$C$7573+Sens!$C$7576+Sens!$C$7583</f>
        <v>2940.82256479344</v>
      </c>
    </row>
    <row r="7585" customFormat="false" ht="17.15" hidden="false" customHeight="false" outlineLevel="0" collapsed="false">
      <c r="A7585" s="5" t="s">
        <v>952</v>
      </c>
      <c r="B7585" s="0" t="s">
        <v>86</v>
      </c>
      <c r="C7585" s="38" t="n">
        <f aca="false">Sens!$H$7538+fin_debt</f>
        <v>153.608629741943</v>
      </c>
    </row>
    <row r="7586" customFormat="false" ht="15" hidden="false" customHeight="false" outlineLevel="0" collapsed="false">
      <c r="A7586" s="5" t="s">
        <v>953</v>
      </c>
      <c r="B7586" s="0" t="s">
        <v>86</v>
      </c>
      <c r="C7586" s="38" t="n">
        <f aca="false">Sens!$C$7584-Sens!$C$7585+Sens!$C$7563</f>
        <v>2942.9979350515</v>
      </c>
    </row>
    <row r="7587" customFormat="false" ht="15" hidden="false" customHeight="false" outlineLevel="0" collapsed="false">
      <c r="A7587" s="3" t="s">
        <v>954</v>
      </c>
      <c r="B7587" s="8" t="s">
        <v>27</v>
      </c>
      <c r="C7587" s="30" t="n">
        <f aca="false">Sens!$C$7586/sh_val</f>
        <v>266.809987009572</v>
      </c>
    </row>
    <row r="7588" customFormat="false" ht="17.15" hidden="false" customHeight="false" outlineLevel="0" collapsed="false">
      <c r="A7588" s="47" t="s">
        <v>955</v>
      </c>
      <c r="B7588" s="14" t="s">
        <v>27</v>
      </c>
      <c r="C7588" s="44" t="n">
        <f aca="false">w_dcf*Sens!$C$7566+(1-w_dcf)*Sens!$C$7587</f>
        <v>201.398697436552</v>
      </c>
      <c r="D7588" s="14"/>
      <c r="E7588" s="14"/>
      <c r="F7588" s="14"/>
      <c r="G7588" s="14"/>
      <c r="H7588" s="14"/>
      <c r="I7588" s="14"/>
      <c r="J7588" s="14"/>
      <c r="K7588" s="14"/>
      <c r="L7588" s="14"/>
      <c r="M7588" s="14"/>
      <c r="N7588" s="14"/>
      <c r="O7588" s="14"/>
    </row>
    <row r="7589" customFormat="false" ht="17.15" hidden="false" customHeight="false" outlineLevel="0" collapsed="false">
      <c r="A7589" s="5" t="s">
        <v>956</v>
      </c>
      <c r="B7589" s="0" t="s">
        <v>27</v>
      </c>
      <c r="C7589" s="30" t="n">
        <f aca="false">v022_wdcf*Sens!$C$7566+(1-v022_wdcf)*Sens!$C$7587</f>
        <v>207.939826393854</v>
      </c>
    </row>
    <row r="7590" customFormat="false" ht="17.15" hidden="false" customHeight="false" outlineLevel="0" collapsed="false">
      <c r="A7590" s="5" t="s">
        <v>957</v>
      </c>
      <c r="B7590" s="0" t="s">
        <v>27</v>
      </c>
      <c r="C7590" s="30" t="n">
        <f aca="false">(Sens!$C$7586-Sens!$C$7583+Sens!$C$7582)/sh_val</f>
        <v>292.940463148162</v>
      </c>
    </row>
    <row r="7593" customFormat="false" ht="19.4" hidden="false" customHeight="false" outlineLevel="0" collapsed="false">
      <c r="A7593" s="31" t="s">
        <v>1290</v>
      </c>
    </row>
    <row r="7594" customFormat="false" ht="17.15" hidden="false" customHeight="false" outlineLevel="0" collapsed="false">
      <c r="A7594" s="6" t="s">
        <v>16</v>
      </c>
      <c r="B7594" s="6" t="s">
        <v>17</v>
      </c>
      <c r="C7594" s="20" t="s">
        <v>497</v>
      </c>
      <c r="D7594" s="20" t="s">
        <v>498</v>
      </c>
      <c r="E7594" s="20" t="s">
        <v>580</v>
      </c>
      <c r="F7594" s="20" t="s">
        <v>581</v>
      </c>
      <c r="G7594" s="20" t="s">
        <v>582</v>
      </c>
      <c r="H7594" s="20" t="s">
        <v>583</v>
      </c>
      <c r="I7594" s="20" t="s">
        <v>584</v>
      </c>
      <c r="J7594" s="20" t="s">
        <v>585</v>
      </c>
      <c r="K7594" s="20" t="s">
        <v>586</v>
      </c>
      <c r="L7594" s="20" t="s">
        <v>587</v>
      </c>
      <c r="M7594" s="20" t="s">
        <v>588</v>
      </c>
      <c r="N7594" s="20" t="s">
        <v>589</v>
      </c>
      <c r="O7594" s="20" t="s">
        <v>590</v>
      </c>
      <c r="P7594" s="6" t="s">
        <v>23</v>
      </c>
      <c r="R7594" s="20" t="n">
        <v>2023</v>
      </c>
      <c r="S7594" s="20" t="n">
        <v>2024</v>
      </c>
      <c r="T7594" s="20" t="n">
        <v>2025</v>
      </c>
      <c r="U7594" s="20" t="n">
        <v>2026</v>
      </c>
      <c r="V7594" s="20" t="n">
        <v>2027</v>
      </c>
      <c r="W7594" s="20" t="n">
        <v>2028</v>
      </c>
      <c r="X7594" s="20" t="n">
        <v>2029</v>
      </c>
      <c r="Y7594" s="20" t="n">
        <v>2030</v>
      </c>
      <c r="Z7594" s="20" t="n">
        <v>2031</v>
      </c>
      <c r="AA7594" s="20" t="n">
        <v>2032</v>
      </c>
    </row>
    <row r="7595" customFormat="false" ht="17.15" hidden="false" customHeight="false" outlineLevel="0" collapsed="false">
      <c r="A7595" s="1" t="s">
        <v>666</v>
      </c>
    </row>
    <row r="7596" customFormat="false" ht="17.15" hidden="false" customHeight="false" outlineLevel="0" collapsed="false">
      <c r="A7596" s="0" t="s">
        <v>519</v>
      </c>
      <c r="B7596" s="0" t="s">
        <v>86</v>
      </c>
      <c r="C7596" s="38" t="n">
        <f aca="false">Q!$D$10</f>
        <v>247.029</v>
      </c>
      <c r="D7596" s="38" t="n">
        <f aca="false">Q!$E$10</f>
        <v>269.287</v>
      </c>
      <c r="E7596" s="38" t="n">
        <f aca="false">Q!$P$10</f>
        <v>134.686</v>
      </c>
      <c r="F7596" s="38" t="n">
        <f aca="false">Sens!$O$7596*(1+Sens!$F$7597)*Sens!$F$7608</f>
        <v>158.293876822267</v>
      </c>
      <c r="G7596" s="38" t="n">
        <f aca="false">Sens!$E$7596+Sens!$F$7596</f>
        <v>292.979876822267</v>
      </c>
      <c r="H7596" s="38" t="n">
        <f aca="false">Sens!$G$7596*(1+Sens!$H$7597)</f>
        <v>318.184543087396</v>
      </c>
      <c r="I7596" s="38" t="n">
        <f aca="false">Sens!$H$7596*(1+Sens!$I$7597)</f>
        <v>341.736278761793</v>
      </c>
      <c r="J7596" s="38" t="n">
        <f aca="false">Sens!$I$7596*(1+Sens!$J$7597)</f>
        <v>362.927192787048</v>
      </c>
      <c r="K7596" s="38" t="n">
        <f aca="false">Sens!$J$7596*(1+Sens!$K$7597)</f>
        <v>381.0735524264</v>
      </c>
      <c r="L7596" s="38" t="n">
        <f aca="false">Sens!$K$7596*(1+Sens!$L$7597)</f>
        <v>400.12723004772</v>
      </c>
      <c r="M7596" s="38" t="n">
        <f aca="false">Sens!$L$7596*(1+Sens!$M$7597)</f>
        <v>420.133591550106</v>
      </c>
      <c r="N7596" s="38" t="n">
        <f aca="false">Q!$N$10</f>
        <v>118.892</v>
      </c>
      <c r="O7596" s="38" t="n">
        <f aca="false">Q!$O$10</f>
        <v>150.395</v>
      </c>
      <c r="P7596" s="8" t="s">
        <v>667</v>
      </c>
    </row>
    <row r="7597" customFormat="false" ht="17.15" hidden="false" customHeight="false" outlineLevel="0" collapsed="false">
      <c r="A7597" s="0" t="s">
        <v>668</v>
      </c>
      <c r="B7597" s="0" t="s">
        <v>52</v>
      </c>
      <c r="E7597" s="13" t="n">
        <f aca="false">Sens!$E$7596/Sens!$N$7596-1</f>
        <v>0.132843252699929</v>
      </c>
      <c r="F7597" s="13" t="n">
        <f aca="false">Sens!$O$7596/(Q!$F$10+Q!$G$10)-1</f>
        <v>0.0980382135842941</v>
      </c>
      <c r="G7597" s="13" t="n">
        <f aca="false">Sens!$G$7596/Sens!$D$7596-1</f>
        <v>0.0879837378791657</v>
      </c>
      <c r="H7597" s="13" t="n">
        <f aca="false">Sens!$F$7597+(g_os-Sens!$F$7597)*1/4</f>
        <v>0.0860286601882206</v>
      </c>
      <c r="I7597" s="13" t="n">
        <f aca="false">Sens!$F$7597+(g_os-Sens!$F$7597)*2/4</f>
        <v>0.074019106792147</v>
      </c>
      <c r="J7597" s="13" t="n">
        <f aca="false">Sens!$F$7597+(g_os-Sens!$F$7597)*3/4</f>
        <v>0.0620095533960735</v>
      </c>
      <c r="K7597" s="13" t="n">
        <f aca="false">Sens!$F$7597+(g_os-Sens!$F$7597)*4/4</f>
        <v>0.05</v>
      </c>
      <c r="L7597" s="13" t="n">
        <f aca="false">g_os</f>
        <v>0.05</v>
      </c>
      <c r="M7597" s="13" t="n">
        <f aca="false">g_os</f>
        <v>0.05</v>
      </c>
      <c r="P7597" s="8" t="s">
        <v>669</v>
      </c>
    </row>
    <row r="7598" customFormat="false" ht="17.15" hidden="false" customHeight="false" outlineLevel="0" collapsed="false">
      <c r="A7598" s="0" t="s">
        <v>520</v>
      </c>
      <c r="B7598" s="0" t="s">
        <v>86</v>
      </c>
      <c r="C7598" s="38" t="n">
        <f aca="false">Q!$D$11</f>
        <v>21.215</v>
      </c>
      <c r="D7598" s="38" t="n">
        <f aca="false">Q!$E$11</f>
        <v>22.561</v>
      </c>
      <c r="E7598" s="38" t="n">
        <f aca="false">Q!$P$11</f>
        <v>11.579</v>
      </c>
      <c r="F7598" s="38" t="n">
        <f aca="false">Sens!$O$7598*(1+Sens!$F$7599)*Sens!$F$7608</f>
        <v>11.5938724610325</v>
      </c>
      <c r="G7598" s="38" t="n">
        <f aca="false">Sens!$E$7598+Sens!$F$7598</f>
        <v>23.1728724610325</v>
      </c>
      <c r="H7598" s="38" t="n">
        <f aca="false">Sens!$G$7598*(1+Sens!$H$7599)</f>
        <v>24.353392759506</v>
      </c>
      <c r="I7598" s="38" t="n">
        <f aca="false">Sens!$H$7598*(1+Sens!$I$7599)</f>
        <v>25.4240338872015</v>
      </c>
      <c r="J7598" s="38" t="n">
        <f aca="false">Sens!$I$7598*(1+Sens!$J$7599)</f>
        <v>26.3642491017174</v>
      </c>
      <c r="K7598" s="38" t="n">
        <f aca="false">Sens!$J$7598*(1+Sens!$K$7599)</f>
        <v>27.155176574769</v>
      </c>
      <c r="L7598" s="38" t="n">
        <f aca="false">Sens!$K$7598*(1+Sens!$L$7599)</f>
        <v>27.969831872012</v>
      </c>
      <c r="M7598" s="38" t="n">
        <f aca="false">Sens!$L$7598*(1+Sens!$M$7599)</f>
        <v>28.8089268281724</v>
      </c>
      <c r="N7598" s="38" t="n">
        <f aca="false">Q!$N$11</f>
        <v>11.128</v>
      </c>
      <c r="O7598" s="38" t="n">
        <f aca="false">Q!$O$11</f>
        <v>11.433</v>
      </c>
      <c r="P7598" s="8" t="s">
        <v>667</v>
      </c>
    </row>
    <row r="7599" customFormat="false" ht="17.15" hidden="false" customHeight="false" outlineLevel="0" collapsed="false">
      <c r="A7599" s="0" t="s">
        <v>670</v>
      </c>
      <c r="B7599" s="0" t="s">
        <v>52</v>
      </c>
      <c r="E7599" s="13" t="n">
        <f aca="false">Sens!$E$7598/Sens!$N$7598-1</f>
        <v>0.0405283968368082</v>
      </c>
      <c r="F7599" s="13" t="n">
        <f aca="false">Sens!$O$7598/(Q!$F$11+Q!$G$11)-1</f>
        <v>0.0579254187100955</v>
      </c>
      <c r="G7599" s="13" t="n">
        <f aca="false">Sens!$G$7598/Sens!$D$7598-1</f>
        <v>0.0271208040881397</v>
      </c>
      <c r="H7599" s="13" t="n">
        <f aca="false">Sens!$F$7599+(g_ps-Sens!$F$7599)*1/4</f>
        <v>0.0509440640325716</v>
      </c>
      <c r="I7599" s="13" t="n">
        <f aca="false">Sens!$F$7599+(g_ps-Sens!$F$7599)*2/4</f>
        <v>0.0439627093550477</v>
      </c>
      <c r="J7599" s="13" t="n">
        <f aca="false">Sens!$F$7599+(g_ps-Sens!$F$7599)*3/4</f>
        <v>0.0369813546775239</v>
      </c>
      <c r="K7599" s="13" t="n">
        <f aca="false">Sens!$F$7599+(g_ps-Sens!$F$7599)*4/4</f>
        <v>0.03</v>
      </c>
      <c r="L7599" s="13" t="n">
        <f aca="false">g_ps</f>
        <v>0.03</v>
      </c>
      <c r="M7599" s="13" t="n">
        <f aca="false">g_ps</f>
        <v>0.03</v>
      </c>
      <c r="P7599" s="8" t="s">
        <v>671</v>
      </c>
    </row>
    <row r="7600" customFormat="false" ht="17.15" hidden="false" customHeight="false" outlineLevel="0" collapsed="false">
      <c r="A7600" s="0" t="s">
        <v>521</v>
      </c>
      <c r="B7600" s="0" t="s">
        <v>86</v>
      </c>
      <c r="C7600" s="38" t="n">
        <f aca="false">Q!$D$12</f>
        <v>156.146</v>
      </c>
      <c r="D7600" s="38" t="n">
        <f aca="false">Q!$E$12</f>
        <v>172.162</v>
      </c>
      <c r="E7600" s="38" t="n">
        <f aca="false">Q!$P$12</f>
        <v>88.358</v>
      </c>
      <c r="F7600" s="38" t="n">
        <f aca="false">Sens!$O$7600*(1+Sens!$F$7601)*Sens!$F$7608</f>
        <v>102.004388260171</v>
      </c>
      <c r="G7600" s="38" t="n">
        <f aca="false">Sens!$E$7600+Sens!$F$7600</f>
        <v>190.362388260171</v>
      </c>
      <c r="H7600" s="38" t="n">
        <f aca="false">Sens!$G$7600*(1+Sens!$H$7601)</f>
        <v>210.343106588311</v>
      </c>
      <c r="I7600" s="38" t="n">
        <f aca="false">Sens!$H$7600*(1+Sens!$I$7601)</f>
        <v>229.969728494648</v>
      </c>
      <c r="J7600" s="38" t="n">
        <f aca="false">Sens!$I$7600*(1+Sens!$J$7601)</f>
        <v>248.747636972598</v>
      </c>
      <c r="K7600" s="38" t="n">
        <f aca="false">Sens!$J$7600*(1+Sens!$K$7601)</f>
        <v>266.15997156068</v>
      </c>
      <c r="L7600" s="38" t="n">
        <f aca="false">Sens!$K$7600*(1+Sens!$L$7601)</f>
        <v>284.791169569927</v>
      </c>
      <c r="M7600" s="38" t="n">
        <f aca="false">Sens!$L$7600*(1+Sens!$M$7601)</f>
        <v>304.726551439822</v>
      </c>
      <c r="N7600" s="38" t="n">
        <f aca="false">Q!$N$12</f>
        <v>76.86</v>
      </c>
      <c r="O7600" s="38" t="n">
        <f aca="false">Q!$O$12</f>
        <v>95.302</v>
      </c>
      <c r="P7600" s="8" t="s">
        <v>667</v>
      </c>
    </row>
    <row r="7601" customFormat="false" ht="17.15" hidden="false" customHeight="false" outlineLevel="0" collapsed="false">
      <c r="A7601" s="0" t="s">
        <v>672</v>
      </c>
      <c r="B7601" s="0" t="s">
        <v>52</v>
      </c>
      <c r="E7601" s="13" t="n">
        <f aca="false">Sens!$E$7600/Sens!$N$7600-1</f>
        <v>0.1495966692688</v>
      </c>
      <c r="F7601" s="13" t="n">
        <f aca="false">Sens!$O$7600/(Q!$F$12+Q!$G$12)-1</f>
        <v>0.11661530890813</v>
      </c>
      <c r="G7601" s="13" t="n">
        <f aca="false">Sens!$G$7600/Sens!$D$7600-1</f>
        <v>0.105716640490767</v>
      </c>
      <c r="H7601" s="13" t="n">
        <f aca="false">Sens!$F$7601+(g_sp-Sens!$F$7601)*1/4</f>
        <v>0.104961481681098</v>
      </c>
      <c r="I7601" s="13" t="n">
        <f aca="false">Sens!$F$7601+(g_sp-Sens!$F$7601)*2/4</f>
        <v>0.0933076544540651</v>
      </c>
      <c r="J7601" s="13" t="n">
        <f aca="false">Sens!$F$7601+(g_sp-Sens!$F$7601)*3/4</f>
        <v>0.0816538272270325</v>
      </c>
      <c r="K7601" s="13" t="n">
        <f aca="false">Sens!$F$7601+(g_sp-Sens!$F$7601)*4/4</f>
        <v>0.07</v>
      </c>
      <c r="L7601" s="13" t="n">
        <f aca="false">g_sp</f>
        <v>0.07</v>
      </c>
      <c r="M7601" s="13" t="n">
        <f aca="false">g_sp</f>
        <v>0.07</v>
      </c>
      <c r="P7601" s="8" t="s">
        <v>673</v>
      </c>
    </row>
    <row r="7602" customFormat="false" ht="17.15" hidden="false" customHeight="false" outlineLevel="0" collapsed="false">
      <c r="A7602" s="0" t="s">
        <v>522</v>
      </c>
      <c r="B7602" s="0" t="s">
        <v>86</v>
      </c>
      <c r="C7602" s="38" t="n">
        <f aca="false">Q!$D$13</f>
        <v>56.214</v>
      </c>
      <c r="D7602" s="38" t="n">
        <f aca="false">Q!$E$13</f>
        <v>68.635</v>
      </c>
      <c r="E7602" s="38" t="n">
        <f aca="false">Q!$P$13</f>
        <v>37.052</v>
      </c>
      <c r="F7602" s="38" t="n">
        <f aca="false">Sens!$O$7602*(1+Sens!$F$7603)*Sens!$F$7608</f>
        <v>46.1572219944148</v>
      </c>
      <c r="G7602" s="38" t="n">
        <f aca="false">Sens!$E$7602+Sens!$F$7602</f>
        <v>83.2092219944148</v>
      </c>
      <c r="H7602" s="38" t="n">
        <f aca="false">Sens!$G$7602*(1+Sens!$H$7603)</f>
        <v>99.8969223878976</v>
      </c>
      <c r="I7602" s="38" t="n">
        <f aca="false">Sens!$H$7602*(1+Sens!$I$7603)</f>
        <v>116.583111095496</v>
      </c>
      <c r="J7602" s="38" t="n">
        <f aca="false">Sens!$I$7602*(1+Sens!$J$7603)</f>
        <v>132.148941941952</v>
      </c>
      <c r="K7602" s="38" t="n">
        <f aca="false">Sens!$J$7602*(1+Sens!$K$7603)</f>
        <v>145.363836136147</v>
      </c>
      <c r="L7602" s="38" t="n">
        <f aca="false">Sens!$K$7602*(1+Sens!$L$7603)</f>
        <v>159.900219749762</v>
      </c>
      <c r="M7602" s="38" t="n">
        <f aca="false">Sens!$L$7602*(1+Sens!$M$7603)</f>
        <v>175.890241724738</v>
      </c>
      <c r="N7602" s="38" t="n">
        <f aca="false">Q!$N$13</f>
        <v>29.615</v>
      </c>
      <c r="O7602" s="38" t="n">
        <f aca="false">Q!$O$13</f>
        <v>39.02</v>
      </c>
      <c r="P7602" s="8" t="s">
        <v>667</v>
      </c>
    </row>
    <row r="7603" customFormat="false" ht="17.15" hidden="false" customHeight="false" outlineLevel="0" collapsed="false">
      <c r="A7603" s="0" t="s">
        <v>674</v>
      </c>
      <c r="B7603" s="0" t="s">
        <v>52</v>
      </c>
      <c r="E7603" s="13" t="n">
        <f aca="false">Sens!$E$7602/Sens!$N$7602-1</f>
        <v>0.25112274185379</v>
      </c>
      <c r="F7603" s="13" t="n">
        <f aca="false">Sens!$O$7602/(Q!$F$13+Q!$G$13)-1</f>
        <v>0.234068123596572</v>
      </c>
      <c r="G7603" s="13" t="n">
        <f aca="false">Sens!$G$7602/Sens!$D$7602-1</f>
        <v>0.212343876949294</v>
      </c>
      <c r="H7603" s="13" t="n">
        <f aca="false">Sens!$F$7603+(g_ad-Sens!$F$7603)*1/4</f>
        <v>0.200551092697429</v>
      </c>
      <c r="I7603" s="13" t="n">
        <f aca="false">Sens!$F$7603+(g_ad-Sens!$F$7603)*2/4</f>
        <v>0.167034061798286</v>
      </c>
      <c r="J7603" s="13" t="n">
        <f aca="false">Sens!$F$7603+(g_ad-Sens!$F$7603)*3/4</f>
        <v>0.133517030899143</v>
      </c>
      <c r="K7603" s="13" t="n">
        <f aca="false">Sens!$F$7603+(g_ad-Sens!$F$7603)*4/4</f>
        <v>0.1</v>
      </c>
      <c r="L7603" s="13" t="n">
        <f aca="false">g_ad</f>
        <v>0.1</v>
      </c>
      <c r="M7603" s="13" t="n">
        <f aca="false">g_ad</f>
        <v>0.1</v>
      </c>
      <c r="P7603" s="8" t="s">
        <v>675</v>
      </c>
    </row>
    <row r="7604" customFormat="false" ht="17.15" hidden="false" customHeight="false" outlineLevel="0" collapsed="false">
      <c r="A7604" s="0" t="s">
        <v>523</v>
      </c>
      <c r="B7604" s="0" t="s">
        <v>86</v>
      </c>
      <c r="C7604" s="38" t="n">
        <f aca="false">Q!$D$14</f>
        <v>44.374</v>
      </c>
      <c r="D7604" s="38" t="n">
        <f aca="false">Q!$E$14</f>
        <v>49.619</v>
      </c>
      <c r="E7604" s="38" t="n">
        <f aca="false">Q!$P$14</f>
        <v>27.157</v>
      </c>
      <c r="F7604" s="38" t="n">
        <f aca="false">Sens!$O$7604*(1+Sens!$F$7605)*Sens!$F$7608</f>
        <v>27.7764165988154</v>
      </c>
      <c r="G7604" s="38" t="n">
        <f aca="false">Sens!$E$7604+Sens!$F$7604</f>
        <v>54.9334165988154</v>
      </c>
      <c r="H7604" s="38" t="n">
        <f aca="false">Sens!$G$7604*(1+Sens!$H$7605)</f>
        <v>61.1564112561829</v>
      </c>
      <c r="I7604" s="38" t="n">
        <f aca="false">Sens!$H$7604*(1+Sens!$I$7605)</f>
        <v>67.2020282103945</v>
      </c>
      <c r="J7604" s="38" t="n">
        <f aca="false">Sens!$I$7604*(1+Sens!$J$7605)</f>
        <v>72.8757274028885</v>
      </c>
      <c r="K7604" s="38" t="n">
        <f aca="false">Sens!$J$7604*(1+Sens!$K$7605)</f>
        <v>77.9770283210907</v>
      </c>
      <c r="L7604" s="38" t="n">
        <f aca="false">Sens!$K$7604*(1+Sens!$L$7605)</f>
        <v>83.4354203035671</v>
      </c>
      <c r="M7604" s="38" t="n">
        <f aca="false">Sens!$L$7604*(1+Sens!$M$7605)</f>
        <v>89.2758997248168</v>
      </c>
      <c r="N7604" s="38" t="n">
        <f aca="false">Q!$N$14</f>
        <v>23.923</v>
      </c>
      <c r="O7604" s="38" t="n">
        <f aca="false">Q!$O$14</f>
        <v>25.696</v>
      </c>
      <c r="P7604" s="8" t="s">
        <v>667</v>
      </c>
    </row>
    <row r="7605" customFormat="false" ht="17.15" hidden="false" customHeight="false" outlineLevel="0" collapsed="false">
      <c r="A7605" s="0" t="s">
        <v>676</v>
      </c>
      <c r="B7605" s="0" t="s">
        <v>52</v>
      </c>
      <c r="E7605" s="13" t="n">
        <f aca="false">Sens!$E$7604/Sens!$N$7604-1</f>
        <v>0.135183714417088</v>
      </c>
      <c r="F7605" s="13" t="n">
        <f aca="false">Sens!$O$7604/(Q!$F$14+Q!$G$14)-1</f>
        <v>0.127709997366804</v>
      </c>
      <c r="G7605" s="13" t="n">
        <f aca="false">Sens!$G$7604/Sens!$D$7604-1</f>
        <v>0.107104468022641</v>
      </c>
      <c r="H7605" s="13" t="n">
        <f aca="false">Sens!$F$7605+(g_sub-Sens!$F$7605)*1/4</f>
        <v>0.113282498025103</v>
      </c>
      <c r="I7605" s="13" t="n">
        <f aca="false">Sens!$F$7605+(g_sub-Sens!$F$7605)*2/4</f>
        <v>0.0988549986834021</v>
      </c>
      <c r="J7605" s="13" t="n">
        <f aca="false">Sens!$F$7605+(g_sub-Sens!$F$7605)*3/4</f>
        <v>0.084427499341701</v>
      </c>
      <c r="K7605" s="13" t="n">
        <f aca="false">Sens!$F$7605+(g_sub-Sens!$F$7605)*4/4</f>
        <v>0.07</v>
      </c>
      <c r="L7605" s="13" t="n">
        <f aca="false">g_sub</f>
        <v>0.07</v>
      </c>
      <c r="M7605" s="13" t="n">
        <f aca="false">g_sub</f>
        <v>0.07</v>
      </c>
      <c r="P7605" s="8" t="s">
        <v>677</v>
      </c>
    </row>
    <row r="7606" customFormat="false" ht="17.15" hidden="false" customHeight="false" outlineLevel="0" collapsed="false">
      <c r="A7606" s="0" t="s">
        <v>524</v>
      </c>
      <c r="B7606" s="0" t="s">
        <v>86</v>
      </c>
      <c r="C7606" s="38" t="n">
        <f aca="false">Q!$D$15</f>
        <v>5.425</v>
      </c>
      <c r="D7606" s="38" t="n">
        <f aca="false">Q!$E$15</f>
        <v>5.935</v>
      </c>
      <c r="E7606" s="38" t="n">
        <f aca="false">Q!$P$15</f>
        <v>3.474</v>
      </c>
      <c r="F7606" s="38" t="n">
        <f aca="false">Sens!$O$7606*(1+Sens!$F$7607)*Sens!$F$7608</f>
        <v>3.22246550883619</v>
      </c>
      <c r="G7606" s="38" t="n">
        <f aca="false">Sens!$E$7606+Sens!$F$7606</f>
        <v>6.69646550883619</v>
      </c>
      <c r="H7606" s="38" t="n">
        <f aca="false">Sens!$G$7606*(1+Sens!$H$7607)</f>
        <v>7.16251344209196</v>
      </c>
      <c r="I7606" s="38" t="n">
        <f aca="false">Sens!$H$7606*(1+Sens!$I$7607)</f>
        <v>7.61421070299826</v>
      </c>
      <c r="J7606" s="38" t="n">
        <f aca="false">Sens!$I$7606*(1+Sens!$J$7607)</f>
        <v>8.04465753523932</v>
      </c>
      <c r="K7606" s="38" t="n">
        <f aca="false">Sens!$J$7606*(1+Sens!$K$7607)</f>
        <v>8.44689041200128</v>
      </c>
      <c r="L7606" s="38" t="n">
        <f aca="false">Sens!$K$7606*(1+Sens!$L$7607)</f>
        <v>8.86923493260135</v>
      </c>
      <c r="M7606" s="38" t="n">
        <f aca="false">Sens!$L$7606*(1+Sens!$M$7607)</f>
        <v>9.31269667923142</v>
      </c>
      <c r="N7606" s="38" t="n">
        <f aca="false">Q!$N$15</f>
        <v>2.811</v>
      </c>
      <c r="O7606" s="38" t="n">
        <f aca="false">Q!$O$15</f>
        <v>3.124</v>
      </c>
      <c r="P7606" s="8" t="s">
        <v>667</v>
      </c>
    </row>
    <row r="7607" customFormat="false" ht="17.15" hidden="false" customHeight="false" outlineLevel="0" collapsed="false">
      <c r="A7607" s="0" t="s">
        <v>678</v>
      </c>
      <c r="B7607" s="0" t="s">
        <v>52</v>
      </c>
      <c r="E7607" s="13" t="n">
        <f aca="false">Sens!$E$7606/Sens!$N$7606-1</f>
        <v>0.235859124866596</v>
      </c>
      <c r="F7607" s="13" t="n">
        <f aca="false">Sens!$O$7606/(Q!$F$15+Q!$G$15)-1</f>
        <v>0.0761281433000345</v>
      </c>
      <c r="G7607" s="13" t="n">
        <f aca="false">Sens!$G$7606/Sens!$D$7606-1</f>
        <v>0.128300843948811</v>
      </c>
      <c r="H7607" s="13" t="n">
        <f aca="false">Sens!$F$7607+(g_ot-Sens!$F$7607)*1/4</f>
        <v>0.0695961074750259</v>
      </c>
      <c r="I7607" s="13" t="n">
        <f aca="false">Sens!$F$7607+(g_ot-Sens!$F$7607)*2/4</f>
        <v>0.0630640716500172</v>
      </c>
      <c r="J7607" s="13" t="n">
        <f aca="false">Sens!$F$7607+(g_ot-Sens!$F$7607)*3/4</f>
        <v>0.0565320358250086</v>
      </c>
      <c r="K7607" s="13" t="n">
        <f aca="false">Sens!$F$7607+(g_ot-Sens!$F$7607)*4/4</f>
        <v>0.05</v>
      </c>
      <c r="L7607" s="13" t="n">
        <f aca="false">g_ot</f>
        <v>0.05</v>
      </c>
      <c r="M7607" s="13" t="n">
        <f aca="false">g_ot</f>
        <v>0.05</v>
      </c>
      <c r="P7607" s="8" t="s">
        <v>679</v>
      </c>
    </row>
    <row r="7608" customFormat="false" ht="17.15" hidden="false" customHeight="false" outlineLevel="0" collapsed="false">
      <c r="A7608" s="0" t="s">
        <v>680</v>
      </c>
      <c r="B7608" s="0" t="s">
        <v>57</v>
      </c>
      <c r="F7608" s="40" t="n">
        <f aca="false">(g26q3_mid*Q!$O$8/Q!$J$8-Thesis!$F$86-Thesis!$F$90)/(Sens!$O$7596*(1+Sens!$F$7597)+Sens!$O$7598*(1+Sens!$F$7599)+Sens!$O$7600*(1+Sens!$F$7601)+Sens!$O$7602*(1+Sens!$F$7603)+Sens!$O$7604*(1+Sens!$F$7605)+Sens!$O$7606*(1+Sens!$F$7607))</f>
        <v>0.958546670622329</v>
      </c>
      <c r="P7608" s="8" t="s">
        <v>681</v>
      </c>
    </row>
    <row r="7609" customFormat="false" ht="17.15" hidden="false" customHeight="false" outlineLevel="0" collapsed="false">
      <c r="A7609" s="3" t="s">
        <v>682</v>
      </c>
      <c r="B7609" s="8" t="s">
        <v>86</v>
      </c>
      <c r="C7609" s="38" t="n">
        <f aca="false">Sens!$C$7596+Sens!$C$7598+Sens!$C$7600+Sens!$C$7602+Sens!$C$7604+Sens!$C$7606</f>
        <v>530.403</v>
      </c>
      <c r="D7609" s="38" t="n">
        <f aca="false">Sens!$D$7596+Sens!$D$7598+Sens!$D$7600+Sens!$D$7602+Sens!$D$7604+Sens!$D$7606</f>
        <v>588.199</v>
      </c>
      <c r="E7609" s="38" t="n">
        <f aca="false">Sens!$E$7596+Sens!$E$7598+Sens!$E$7600+Sens!$E$7602+Sens!$E$7604+Sens!$E$7606</f>
        <v>302.306</v>
      </c>
      <c r="F7609" s="38" t="n">
        <f aca="false">Sens!$F$7596+Sens!$F$7598+Sens!$F$7600+Sens!$F$7602+Sens!$F$7604+Sens!$F$7606</f>
        <v>349.048241645537</v>
      </c>
      <c r="G7609" s="38" t="n">
        <f aca="false">Sens!$G$7596+Sens!$G$7598+Sens!$G$7600+Sens!$G$7602+Sens!$G$7604+Sens!$G$7606</f>
        <v>651.354241645537</v>
      </c>
      <c r="H7609" s="38" t="n">
        <f aca="false">Sens!$H$7596+Sens!$H$7598+Sens!$H$7600+Sens!$H$7602+Sens!$H$7604+Sens!$H$7606</f>
        <v>721.096889521386</v>
      </c>
      <c r="I7609" s="38" t="n">
        <f aca="false">Sens!$I$7596+Sens!$I$7598+Sens!$I$7600+Sens!$I$7602+Sens!$I$7604+Sens!$I$7606</f>
        <v>788.529391152531</v>
      </c>
      <c r="J7609" s="38" t="n">
        <f aca="false">Sens!$J$7596+Sens!$J$7598+Sens!$J$7600+Sens!$J$7602+Sens!$J$7604+Sens!$J$7606</f>
        <v>851.108405741443</v>
      </c>
      <c r="K7609" s="38" t="n">
        <f aca="false">Sens!$K$7596+Sens!$K$7598+Sens!$K$7600+Sens!$K$7602+Sens!$K$7604+Sens!$K$7606</f>
        <v>906.176455431088</v>
      </c>
      <c r="L7609" s="38" t="n">
        <f aca="false">Sens!$L$7596+Sens!$L$7598+Sens!$L$7600+Sens!$L$7602+Sens!$L$7604+Sens!$L$7606</f>
        <v>965.093106475589</v>
      </c>
      <c r="M7609" s="38" t="n">
        <f aca="false">Sens!$M$7596+Sens!$M$7598+Sens!$M$7600+Sens!$M$7602+Sens!$M$7604+Sens!$M$7606</f>
        <v>1028.14790794689</v>
      </c>
      <c r="N7609" s="38" t="n">
        <f aca="false">Sens!$N$7596+Sens!$N$7598+Sens!$N$7600+Sens!$N$7602+Sens!$N$7604+Sens!$N$7606</f>
        <v>263.229</v>
      </c>
      <c r="O7609" s="38" t="n">
        <f aca="false">Sens!$O$7596+Sens!$O$7598+Sens!$O$7600+Sens!$O$7602+Sens!$O$7604+Sens!$O$7606</f>
        <v>324.97</v>
      </c>
    </row>
    <row r="7610" customFormat="false" ht="17.15" hidden="false" customHeight="false" outlineLevel="0" collapsed="false">
      <c r="A7610" s="5" t="s">
        <v>683</v>
      </c>
      <c r="B7610" s="0" t="s">
        <v>52</v>
      </c>
      <c r="C7610" s="13" t="n">
        <f aca="false">Q!$D$5/(Q!$D$5+Q!$D$6)</f>
        <v>0.730570905519011</v>
      </c>
      <c r="D7610" s="13" t="n">
        <f aca="false">Q!$E$5/(Q!$E$5+Q!$E$6)</f>
        <v>0.724763217890544</v>
      </c>
      <c r="E7610" s="13" t="n">
        <f aca="false">Q!$P$5/(Q!$P$5+Q!$P$6)</f>
        <v>0.728797972914861</v>
      </c>
      <c r="F7610" s="13" t="n">
        <f aca="false">Sens!$O$7610</f>
        <v>0.718066283041511</v>
      </c>
      <c r="G7610" s="13" t="n">
        <f aca="false">Sens!$G$7611/Sens!$G$7609</f>
        <v>0.723047066202847</v>
      </c>
      <c r="H7610" s="13" t="n">
        <f aca="false">Sens!$G$7610</f>
        <v>0.723047066202847</v>
      </c>
      <c r="I7610" s="13" t="n">
        <f aca="false">Sens!$G$7610</f>
        <v>0.723047066202847</v>
      </c>
      <c r="J7610" s="13" t="n">
        <f aca="false">Sens!$G$7610</f>
        <v>0.723047066202847</v>
      </c>
      <c r="K7610" s="13" t="n">
        <f aca="false">Sens!$G$7610</f>
        <v>0.723047066202847</v>
      </c>
      <c r="L7610" s="13" t="n">
        <f aca="false">Sens!$G$7610</f>
        <v>0.723047066202847</v>
      </c>
      <c r="M7610" s="13" t="n">
        <f aca="false">Sens!$G$7610</f>
        <v>0.723047066202847</v>
      </c>
      <c r="N7610" s="13" t="n">
        <f aca="false">Q!$N$5/(Q!$N$5+Q!$N$6)</f>
        <v>0.733030935041352</v>
      </c>
      <c r="O7610" s="13" t="n">
        <f aca="false">Q!$O$5/(Q!$O$5+Q!$O$6)</f>
        <v>0.718066283041511</v>
      </c>
      <c r="P7610" s="8" t="s">
        <v>684</v>
      </c>
    </row>
    <row r="7611" customFormat="false" ht="17.15" hidden="false" customHeight="false" outlineLevel="0" collapsed="false">
      <c r="A7611" s="1" t="s">
        <v>512</v>
      </c>
      <c r="B7611" s="8" t="s">
        <v>86</v>
      </c>
      <c r="C7611" s="38" t="n">
        <f aca="false">Q!$D$5</f>
        <v>387.497</v>
      </c>
      <c r="D7611" s="38" t="n">
        <f aca="false">Q!$E$5</f>
        <v>426.305</v>
      </c>
      <c r="E7611" s="38" t="n">
        <f aca="false">Q!$P$5</f>
        <v>220.32</v>
      </c>
      <c r="F7611" s="38" t="n">
        <f aca="false">Sens!$F$7609*Sens!$F$7610</f>
        <v>250.639773480586</v>
      </c>
      <c r="G7611" s="38" t="n">
        <f aca="false">Sens!$E$7611+Sens!$F$7611</f>
        <v>470.959773480586</v>
      </c>
      <c r="H7611" s="38" t="n">
        <f aca="false">Sens!$H$7609*Sens!$H$7610</f>
        <v>521.386990416437</v>
      </c>
      <c r="I7611" s="38" t="n">
        <f aca="false">Sens!$I$7609*Sens!$I$7610</f>
        <v>570.143862887555</v>
      </c>
      <c r="J7611" s="38" t="n">
        <f aca="false">Sens!$J$7609*Sens!$J$7610</f>
        <v>615.391435791933</v>
      </c>
      <c r="K7611" s="38" t="n">
        <f aca="false">Sens!$K$7609*Sens!$K$7610</f>
        <v>655.208227561543</v>
      </c>
      <c r="L7611" s="38" t="n">
        <f aca="false">Sens!$L$7609*Sens!$L$7610</f>
        <v>697.807739249767</v>
      </c>
      <c r="M7611" s="38" t="n">
        <f aca="false">Sens!$M$7609*Sens!$M$7610</f>
        <v>743.399328463592</v>
      </c>
      <c r="N7611" s="38" t="n">
        <f aca="false">Q!$N$5</f>
        <v>192.955</v>
      </c>
      <c r="O7611" s="38" t="n">
        <f aca="false">Q!$O$5</f>
        <v>233.35</v>
      </c>
      <c r="P7611" s="5" t="s">
        <v>685</v>
      </c>
    </row>
    <row r="7612" customFormat="false" ht="17.15" hidden="false" customHeight="false" outlineLevel="0" collapsed="false">
      <c r="A7612" s="1" t="s">
        <v>515</v>
      </c>
      <c r="B7612" s="8" t="s">
        <v>86</v>
      </c>
      <c r="C7612" s="38" t="n">
        <f aca="false">Q!$D$6</f>
        <v>142.906</v>
      </c>
      <c r="D7612" s="38" t="n">
        <f aca="false">Q!$E$6</f>
        <v>161.894</v>
      </c>
      <c r="E7612" s="38" t="n">
        <f aca="false">Q!$P$6</f>
        <v>81.986</v>
      </c>
      <c r="F7612" s="38" t="n">
        <f aca="false">Sens!$F$7609*(1-Sens!$F$7610)</f>
        <v>98.408468164951</v>
      </c>
      <c r="G7612" s="38" t="n">
        <f aca="false">Sens!$E$7612+Sens!$F$7612</f>
        <v>180.394468164951</v>
      </c>
      <c r="H7612" s="38" t="n">
        <f aca="false">Sens!$H$7609*(1-Sens!$H$7610)</f>
        <v>199.709899104949</v>
      </c>
      <c r="I7612" s="38" t="n">
        <f aca="false">Sens!$I$7609*(1-Sens!$I$7610)</f>
        <v>218.385528264976</v>
      </c>
      <c r="J7612" s="38" t="n">
        <f aca="false">Sens!$J$7609*(1-Sens!$J$7610)</f>
        <v>235.71696994951</v>
      </c>
      <c r="K7612" s="38" t="n">
        <f aca="false">Sens!$K$7609*(1-Sens!$K$7610)</f>
        <v>250.968227869545</v>
      </c>
      <c r="L7612" s="38" t="n">
        <f aca="false">Sens!$L$7609*(1-Sens!$L$7610)</f>
        <v>267.285367225822</v>
      </c>
      <c r="M7612" s="38" t="n">
        <f aca="false">Sens!$M$7609*(1-Sens!$M$7610)</f>
        <v>284.748579483295</v>
      </c>
      <c r="N7612" s="38" t="n">
        <f aca="false">Q!$N$6</f>
        <v>70.274</v>
      </c>
      <c r="O7612" s="38" t="n">
        <f aca="false">Q!$O$6</f>
        <v>91.62</v>
      </c>
      <c r="P7612" s="5" t="s">
        <v>686</v>
      </c>
    </row>
    <row r="7613" customFormat="false" ht="17.15" hidden="false" customHeight="false" outlineLevel="0" collapsed="false">
      <c r="A7613" s="5" t="s">
        <v>687</v>
      </c>
      <c r="B7613" s="0" t="s">
        <v>86</v>
      </c>
      <c r="C7613" s="38" t="n">
        <f aca="false">Sens!$C$7602*Sens!$C$7610</f>
        <v>41.0683128828457</v>
      </c>
      <c r="D7613" s="38" t="n">
        <f aca="false">Sens!$D$7602*Sens!$D$7610</f>
        <v>49.7441234599175</v>
      </c>
      <c r="E7613" s="38" t="n">
        <f aca="false">Sens!$E$7602*Sens!$E$7610</f>
        <v>27.0034224924414</v>
      </c>
      <c r="F7613" s="38" t="n">
        <f aca="false">Sens!$F$7602*Sens!$F$7610</f>
        <v>33.1439448330513</v>
      </c>
      <c r="G7613" s="38" t="n">
        <f aca="false">Sens!$G$7602*Sens!$G$7610</f>
        <v>60.164183844083</v>
      </c>
      <c r="H7613" s="38" t="n">
        <f aca="false">Sens!$H$7602*Sens!$H$7610</f>
        <v>72.2301766552629</v>
      </c>
      <c r="I7613" s="38" t="n">
        <f aca="false">Sens!$I$7602*Sens!$I$7610</f>
        <v>84.2950764463991</v>
      </c>
      <c r="J7613" s="38" t="n">
        <f aca="false">Sens!$J$7602*Sens!$J$7610</f>
        <v>95.5499047729386</v>
      </c>
      <c r="K7613" s="38" t="n">
        <f aca="false">Sens!$K$7602*Sens!$K$7610</f>
        <v>105.104895250232</v>
      </c>
      <c r="L7613" s="38" t="n">
        <f aca="false">Sens!$L$7602*Sens!$L$7610</f>
        <v>115.615384775256</v>
      </c>
      <c r="M7613" s="38" t="n">
        <f aca="false">Sens!$M$7602*Sens!$M$7610</f>
        <v>127.176923252781</v>
      </c>
      <c r="N7613" s="38" t="n">
        <f aca="false">Sens!$N$7602*Sens!$N$7610</f>
        <v>21.7087111412496</v>
      </c>
      <c r="O7613" s="38" t="n">
        <f aca="false">Sens!$O$7602*Sens!$O$7610</f>
        <v>28.0189463642798</v>
      </c>
      <c r="P7613" s="5" t="s">
        <v>688</v>
      </c>
    </row>
    <row r="7614" customFormat="false" ht="15" hidden="false" customHeight="false" outlineLevel="0" collapsed="false">
      <c r="A7614" s="5" t="s">
        <v>689</v>
      </c>
      <c r="B7614" s="0" t="s">
        <v>86</v>
      </c>
      <c r="C7614" s="38" t="n">
        <f aca="false">Sens!$C$7602-Sens!$C$7613</f>
        <v>15.1456871171543</v>
      </c>
      <c r="D7614" s="38" t="n">
        <f aca="false">Sens!$D$7602-Sens!$D$7613</f>
        <v>18.8908765400825</v>
      </c>
      <c r="E7614" s="38" t="n">
        <f aca="false">Sens!$E$7602-Sens!$E$7613</f>
        <v>10.0485775075586</v>
      </c>
      <c r="F7614" s="38" t="n">
        <f aca="false">Sens!$F$7602-Sens!$F$7613</f>
        <v>13.0132771613635</v>
      </c>
      <c r="G7614" s="38" t="n">
        <f aca="false">Sens!$G$7602-Sens!$G$7613</f>
        <v>23.0450381503318</v>
      </c>
      <c r="H7614" s="38" t="n">
        <f aca="false">Sens!$H$7602-Sens!$H$7613</f>
        <v>27.6667457326347</v>
      </c>
      <c r="I7614" s="38" t="n">
        <f aca="false">Sens!$I$7602-Sens!$I$7613</f>
        <v>32.2880346490971</v>
      </c>
      <c r="J7614" s="38" t="n">
        <f aca="false">Sens!$J$7602-Sens!$J$7613</f>
        <v>36.5990371690132</v>
      </c>
      <c r="K7614" s="38" t="n">
        <f aca="false">Sens!$K$7602-Sens!$K$7613</f>
        <v>40.2589408859145</v>
      </c>
      <c r="L7614" s="38" t="n">
        <f aca="false">Sens!$L$7602-Sens!$L$7613</f>
        <v>44.2848349745059</v>
      </c>
      <c r="M7614" s="38" t="n">
        <f aca="false">Sens!$M$7602-Sens!$M$7613</f>
        <v>48.7133184719565</v>
      </c>
      <c r="N7614" s="38" t="n">
        <f aca="false">Sens!$N$7602-Sens!$N$7613</f>
        <v>7.90628885875037</v>
      </c>
      <c r="O7614" s="38" t="n">
        <f aca="false">Sens!$O$7602-Sens!$O$7613</f>
        <v>11.0010536357202</v>
      </c>
    </row>
    <row r="7615" customFormat="false" ht="19.4" hidden="false" customHeight="false" outlineLevel="0" collapsed="false">
      <c r="A7615" s="31" t="s">
        <v>1291</v>
      </c>
    </row>
    <row r="7616" customFormat="false" ht="17.15" hidden="false" customHeight="false" outlineLevel="0" collapsed="false">
      <c r="A7616" s="6" t="s">
        <v>16</v>
      </c>
      <c r="B7616" s="6" t="s">
        <v>17</v>
      </c>
      <c r="C7616" s="20" t="s">
        <v>497</v>
      </c>
      <c r="D7616" s="20" t="s">
        <v>498</v>
      </c>
      <c r="E7616" s="20" t="s">
        <v>580</v>
      </c>
      <c r="F7616" s="20" t="s">
        <v>581</v>
      </c>
      <c r="G7616" s="20" t="s">
        <v>582</v>
      </c>
      <c r="H7616" s="20" t="s">
        <v>583</v>
      </c>
      <c r="I7616" s="20" t="s">
        <v>584</v>
      </c>
      <c r="J7616" s="20" t="s">
        <v>585</v>
      </c>
      <c r="K7616" s="20" t="s">
        <v>586</v>
      </c>
      <c r="L7616" s="20" t="s">
        <v>587</v>
      </c>
      <c r="M7616" s="20" t="s">
        <v>588</v>
      </c>
      <c r="N7616" s="20" t="s">
        <v>589</v>
      </c>
      <c r="O7616" s="20" t="s">
        <v>590</v>
      </c>
      <c r="P7616" s="6" t="s">
        <v>23</v>
      </c>
      <c r="R7616" s="20" t="n">
        <v>2023</v>
      </c>
      <c r="S7616" s="20" t="n">
        <v>2024</v>
      </c>
      <c r="T7616" s="20" t="n">
        <v>2025</v>
      </c>
      <c r="U7616" s="20" t="n">
        <v>2026</v>
      </c>
      <c r="V7616" s="20" t="n">
        <v>2027</v>
      </c>
      <c r="W7616" s="20" t="n">
        <v>2028</v>
      </c>
      <c r="X7616" s="20" t="n">
        <v>2029</v>
      </c>
      <c r="Y7616" s="20" t="n">
        <v>2030</v>
      </c>
      <c r="Z7616" s="20" t="n">
        <v>2031</v>
      </c>
      <c r="AA7616" s="20" t="n">
        <v>2032</v>
      </c>
    </row>
    <row r="7617" customFormat="false" ht="17.15" hidden="false" customHeight="false" outlineLevel="0" collapsed="false">
      <c r="A7617" s="1" t="s">
        <v>591</v>
      </c>
    </row>
    <row r="7618" customFormat="false" ht="17.15" hidden="false" customHeight="false" outlineLevel="0" collapsed="false">
      <c r="A7618" s="5" t="s">
        <v>592</v>
      </c>
      <c r="B7618" s="0" t="s">
        <v>144</v>
      </c>
      <c r="H7618" s="32" t="n">
        <f aca="false">pace_B</f>
        <v>3634.3</v>
      </c>
      <c r="I7618" s="32" t="n">
        <f aca="false">pace_B</f>
        <v>3634.3</v>
      </c>
      <c r="J7618" s="32" t="n">
        <f aca="false">pace_B</f>
        <v>3634.3</v>
      </c>
      <c r="K7618" s="32" t="n">
        <f aca="false">pace_B+(Sens!$J$7619*tg-pace_B)*1/3</f>
        <v>2570.86716666667</v>
      </c>
      <c r="L7618" s="32" t="n">
        <f aca="false">pace_B+(Sens!$J$7619*tg-pace_B)*2/3</f>
        <v>1507.43433333333</v>
      </c>
      <c r="M7618" s="32" t="n">
        <f aca="false">pace_B+(Sens!$J$7619*tg-pace_B)*3/3</f>
        <v>444.0015</v>
      </c>
      <c r="P7618" s="5" t="s">
        <v>593</v>
      </c>
    </row>
    <row r="7619" customFormat="false" ht="17.15" hidden="false" customHeight="false" outlineLevel="0" collapsed="false">
      <c r="A7619" s="15" t="s">
        <v>594</v>
      </c>
      <c r="B7619" s="14" t="s">
        <v>129</v>
      </c>
      <c r="C7619" s="33" t="n">
        <f aca="false">mw_ye24</f>
        <v>360</v>
      </c>
      <c r="D7619" s="33" t="n">
        <f aca="false">mw_ye25</f>
        <v>1440</v>
      </c>
      <c r="E7619" s="33" t="n">
        <f aca="false">mw_open</f>
        <v>2080</v>
      </c>
      <c r="F7619" s="33" t="n">
        <f aca="false">Sens!$E$7619+pace_B*0.5</f>
        <v>3897.15</v>
      </c>
      <c r="G7619" s="33" t="n">
        <f aca="false">Sens!$F$7619</f>
        <v>3897.15</v>
      </c>
      <c r="H7619" s="33" t="n">
        <f aca="false">Sens!$G$7619+Sens!$H$7618</f>
        <v>7531.45</v>
      </c>
      <c r="I7619" s="33" t="n">
        <f aca="false">Sens!$H$7619+Sens!$I$7618</f>
        <v>11165.75</v>
      </c>
      <c r="J7619" s="33" t="n">
        <f aca="false">Sens!$I$7619+Sens!$J$7618</f>
        <v>14800.05</v>
      </c>
      <c r="K7619" s="33" t="n">
        <f aca="false">Sens!$J$7619+Sens!$K$7618</f>
        <v>17370.9171666667</v>
      </c>
      <c r="L7619" s="33" t="n">
        <f aca="false">Sens!$K$7619+Sens!$L$7618</f>
        <v>18878.3515</v>
      </c>
      <c r="M7619" s="33" t="n">
        <f aca="false">Sens!$L$7619+Sens!$M$7618</f>
        <v>19322.353</v>
      </c>
      <c r="N7619" s="33" t="n">
        <f aca="false">(mw_ye24+mw_ye25)/2</f>
        <v>900</v>
      </c>
      <c r="O7619" s="33" t="n">
        <f aca="false">mw_ye25</f>
        <v>1440</v>
      </c>
      <c r="P7619" s="5" t="s">
        <v>595</v>
      </c>
    </row>
    <row r="7620" customFormat="false" ht="17.15" hidden="false" customHeight="false" outlineLevel="0" collapsed="false">
      <c r="A7620" s="5" t="s">
        <v>596</v>
      </c>
      <c r="B7620" s="0" t="s">
        <v>129</v>
      </c>
      <c r="C7620" s="32" t="n">
        <f aca="false">(mw_ye23+mw_ye24)/2</f>
        <v>240</v>
      </c>
      <c r="D7620" s="32" t="n">
        <f aca="false">(Sens!$C$7619+Sens!$D$7619)/2</f>
        <v>900</v>
      </c>
      <c r="E7620" s="32" t="n">
        <f aca="false">(Sens!$D$7619+Sens!$E$7619)/2</f>
        <v>1760</v>
      </c>
      <c r="F7620" s="32" t="n">
        <f aca="false">(Sens!$E$7619+Sens!$F$7619)/2</f>
        <v>2988.575</v>
      </c>
      <c r="G7620" s="32" t="n">
        <f aca="false">(Sens!$E$7620+Sens!$F$7620)/2</f>
        <v>2374.2875</v>
      </c>
      <c r="H7620" s="32" t="n">
        <f aca="false">(Sens!$G$7619+Sens!$H$7619)/2</f>
        <v>5714.3</v>
      </c>
      <c r="I7620" s="32" t="n">
        <f aca="false">(Sens!$H$7619+Sens!$I$7619)/2</f>
        <v>9348.6</v>
      </c>
      <c r="J7620" s="32" t="n">
        <f aca="false">(Sens!$I$7619+Sens!$J$7619)/2</f>
        <v>12982.9</v>
      </c>
      <c r="K7620" s="32" t="n">
        <f aca="false">(Sens!$J$7619+Sens!$K$7619)/2</f>
        <v>16085.4835833333</v>
      </c>
      <c r="L7620" s="32" t="n">
        <f aca="false">(Sens!$K$7619+Sens!$L$7619)/2</f>
        <v>18124.6343333333</v>
      </c>
      <c r="M7620" s="32" t="n">
        <f aca="false">(Sens!$L$7619+Sens!$M$7619)/2</f>
        <v>19100.35225</v>
      </c>
      <c r="N7620" s="32" t="n">
        <f aca="false">(Sens!$C$7619+Sens!$N$7619)/2</f>
        <v>630</v>
      </c>
      <c r="O7620" s="32" t="n">
        <f aca="false">(Sens!$N$7619+Sens!$O$7619)/2</f>
        <v>1170</v>
      </c>
    </row>
    <row r="7621" customFormat="false" ht="15" hidden="false" customHeight="false" outlineLevel="0" collapsed="false">
      <c r="A7621" s="5" t="s">
        <v>597</v>
      </c>
      <c r="B7621" s="5" t="s">
        <v>123</v>
      </c>
      <c r="C7621" s="34" t="n">
        <v>1</v>
      </c>
      <c r="D7621" s="34" t="n">
        <v>1</v>
      </c>
      <c r="E7621" s="34" t="n">
        <v>0.5</v>
      </c>
      <c r="F7621" s="34" t="n">
        <v>0.5</v>
      </c>
      <c r="G7621" s="34" t="n">
        <v>1</v>
      </c>
      <c r="H7621" s="34" t="n">
        <v>1</v>
      </c>
      <c r="I7621" s="34" t="n">
        <v>1</v>
      </c>
      <c r="J7621" s="34" t="n">
        <v>1</v>
      </c>
      <c r="K7621" s="34" t="n">
        <v>1</v>
      </c>
      <c r="L7621" s="34" t="n">
        <v>1</v>
      </c>
      <c r="M7621" s="34" t="n">
        <v>1</v>
      </c>
      <c r="N7621" s="34" t="n">
        <v>0.5</v>
      </c>
      <c r="O7621" s="34" t="n">
        <v>0.5</v>
      </c>
    </row>
    <row r="7622" customFormat="false" ht="17.15" hidden="false" customHeight="false" outlineLevel="0" collapsed="false">
      <c r="A7622" s="5" t="s">
        <v>598</v>
      </c>
      <c r="B7622" s="0" t="s">
        <v>129</v>
      </c>
      <c r="C7622" s="32" t="n">
        <f aca="false">Sens!$C$7619-mw_ye23</f>
        <v>240</v>
      </c>
      <c r="D7622" s="32" t="n">
        <f aca="false">Sens!$D$7619-Sens!$C$7619</f>
        <v>1080</v>
      </c>
      <c r="E7622" s="32" t="n">
        <f aca="false">Sens!$E$7619-Sens!$D$7619</f>
        <v>640</v>
      </c>
      <c r="F7622" s="32" t="n">
        <f aca="false">Sens!$F$7619-Sens!$E$7619</f>
        <v>1817.15</v>
      </c>
      <c r="G7622" s="32" t="n">
        <f aca="false">Sens!$E$7622+Sens!$F$7622</f>
        <v>2457.15</v>
      </c>
      <c r="H7622" s="32" t="n">
        <f aca="false">Sens!$H$7619-Sens!$G$7619</f>
        <v>3634.3</v>
      </c>
      <c r="I7622" s="32" t="n">
        <f aca="false">Sens!$I$7619-Sens!$H$7619</f>
        <v>3634.3</v>
      </c>
      <c r="J7622" s="32" t="n">
        <f aca="false">Sens!$J$7619-Sens!$I$7619</f>
        <v>3634.3</v>
      </c>
      <c r="K7622" s="32" t="n">
        <f aca="false">Sens!$K$7619-Sens!$J$7619</f>
        <v>2570.86716666667</v>
      </c>
      <c r="L7622" s="32" t="n">
        <f aca="false">Sens!$L$7619-Sens!$K$7619</f>
        <v>1507.43433333333</v>
      </c>
      <c r="M7622" s="32" t="n">
        <f aca="false">Sens!$M$7619-Sens!$L$7619</f>
        <v>444.001499999999</v>
      </c>
      <c r="N7622" s="32" t="n">
        <f aca="false">Sens!$N$7619-Sens!$C$7619</f>
        <v>540</v>
      </c>
      <c r="O7622" s="32" t="n">
        <f aca="false">Sens!$O$7619-Sens!$N$7619</f>
        <v>540</v>
      </c>
    </row>
    <row r="7623" customFormat="false" ht="17.15" hidden="false" customHeight="false" outlineLevel="0" collapsed="false">
      <c r="A7623" s="5" t="s">
        <v>599</v>
      </c>
      <c r="B7623" s="0" t="s">
        <v>129</v>
      </c>
      <c r="C7623" s="32" t="n">
        <f aca="false">Sens!$C$7622/ext_sh</f>
        <v>300</v>
      </c>
      <c r="D7623" s="32" t="n">
        <f aca="false">Sens!$D$7622/ext_sh</f>
        <v>1350</v>
      </c>
      <c r="E7623" s="32" t="n">
        <f aca="false">Sens!$E$7622/ext_sh</f>
        <v>800</v>
      </c>
      <c r="F7623" s="32" t="n">
        <f aca="false">Sens!$F$7622/ext_sh</f>
        <v>2271.4375</v>
      </c>
      <c r="G7623" s="32" t="n">
        <f aca="false">Sens!$G$7622/ext_sh</f>
        <v>3071.4375</v>
      </c>
      <c r="H7623" s="32" t="n">
        <f aca="false">Sens!$H$7622/ext_sh</f>
        <v>4542.875</v>
      </c>
      <c r="I7623" s="32" t="n">
        <f aca="false">Sens!$I$7622/ext_sh</f>
        <v>4542.875</v>
      </c>
      <c r="J7623" s="32" t="n">
        <f aca="false">Sens!$J$7622/ext_sh</f>
        <v>4542.875</v>
      </c>
      <c r="K7623" s="32" t="n">
        <f aca="false">Sens!$K$7622/ext_sh</f>
        <v>3213.58395833333</v>
      </c>
      <c r="L7623" s="32" t="n">
        <f aca="false">Sens!$L$7622/ext_sh</f>
        <v>1884.29291666667</v>
      </c>
      <c r="M7623" s="32" t="n">
        <f aca="false">Sens!$M$7622/ext_sh</f>
        <v>555.001874999998</v>
      </c>
      <c r="N7623" s="32" t="n">
        <f aca="false">Sens!$N$7622/ext_sh</f>
        <v>675</v>
      </c>
      <c r="O7623" s="32" t="n">
        <f aca="false">Sens!$O$7622/ext_sh</f>
        <v>675</v>
      </c>
      <c r="P7623" s="8" t="s">
        <v>600</v>
      </c>
      <c r="R7623" s="32" t="n">
        <f aca="false">mw_ye23/ext_sh</f>
        <v>150</v>
      </c>
      <c r="S7623" s="32" t="n">
        <f aca="false">Sens!$C$7623</f>
        <v>300</v>
      </c>
      <c r="T7623" s="32" t="n">
        <f aca="false">Sens!$D$7623</f>
        <v>1350</v>
      </c>
      <c r="U7623" s="32" t="n">
        <f aca="false">Sens!$G$7623</f>
        <v>3071.4375</v>
      </c>
      <c r="V7623" s="32" t="n">
        <f aca="false">Sens!$H$7623</f>
        <v>4542.875</v>
      </c>
      <c r="W7623" s="32" t="n">
        <f aca="false">Sens!$I$7623</f>
        <v>4542.875</v>
      </c>
      <c r="X7623" s="32" t="n">
        <f aca="false">Sens!$J$7623</f>
        <v>4542.875</v>
      </c>
      <c r="Y7623" s="32" t="n">
        <f aca="false">Sens!$K$7623</f>
        <v>3213.58395833333</v>
      </c>
      <c r="Z7623" s="32" t="n">
        <f aca="false">Sens!$L$7623</f>
        <v>1884.29291666667</v>
      </c>
      <c r="AA7623" s="32" t="n">
        <f aca="false">Sens!$M$7623</f>
        <v>555.001874999998</v>
      </c>
    </row>
    <row r="7624" customFormat="false" ht="17.15" hidden="false" customHeight="false" outlineLevel="0" collapsed="false">
      <c r="A7624" s="1" t="s">
        <v>601</v>
      </c>
    </row>
    <row r="7625" customFormat="false" ht="17.15" hidden="false" customHeight="false" outlineLevel="0" collapsed="false">
      <c r="A7625" s="0" t="s">
        <v>602</v>
      </c>
      <c r="B7625" s="0" t="s">
        <v>52</v>
      </c>
      <c r="F7625" s="35" t="n">
        <f aca="false">na_vr26</f>
        <v>0</v>
      </c>
      <c r="G7625" s="35" t="n">
        <f aca="false">na_vr26</f>
        <v>0</v>
      </c>
      <c r="H7625" s="35" t="n">
        <f aca="false">na_vr27</f>
        <v>0.5</v>
      </c>
      <c r="I7625" s="35" t="n">
        <f aca="false">na_vr28</f>
        <v>1</v>
      </c>
      <c r="J7625" s="35" t="n">
        <f aca="false">na_vr28</f>
        <v>1</v>
      </c>
      <c r="K7625" s="35" t="n">
        <f aca="false">na_vr28</f>
        <v>1</v>
      </c>
      <c r="L7625" s="35" t="n">
        <f aca="false">na_vr28</f>
        <v>1</v>
      </c>
      <c r="M7625" s="35" t="n">
        <f aca="false">na_vr28</f>
        <v>1</v>
      </c>
    </row>
    <row r="7626" customFormat="false" ht="17.15" hidden="false" customHeight="false" outlineLevel="0" collapsed="false">
      <c r="A7626" s="5" t="s">
        <v>603</v>
      </c>
      <c r="B7626" s="0" t="s">
        <v>173</v>
      </c>
      <c r="F7626" s="36" t="n">
        <f aca="false">cust_sh*tk_he_gb300*cf_chip+(1-cust_sh)*((1-Sens!$F$7625)*tk_he_gb300+Sens!$F$7625*tk_he_vr200)</f>
        <v>10.8864110021101</v>
      </c>
      <c r="G7626" s="36" t="n">
        <f aca="false">cust_sh*tk_he_gb300*cf_chip+(1-cust_sh)*((1-Sens!$G$7625)*tk_he_gb300+Sens!$G$7625*tk_he_vr200)</f>
        <v>10.8864110021101</v>
      </c>
      <c r="H7626" s="36" t="n">
        <f aca="false">cust_sh*tk_he_gb300*cf_chip+(1-cust_sh)*((1-Sens!$H$7625)*tk_he_gb300+Sens!$H$7625*tk_he_vr200)</f>
        <v>11.2211760027286</v>
      </c>
      <c r="I7626" s="36" t="n">
        <f aca="false">cust_sh*tk_he_gb300*cf_chip+(1-cust_sh)*((1-Sens!$I$7625)*tk_he_gb300+Sens!$I$7625*tk_he_vr200)</f>
        <v>11.5559410033471</v>
      </c>
      <c r="J7626" s="36" t="n">
        <f aca="false">cust_sh*tk_he_gb300*cf_chip+(1-cust_sh)*((1-Sens!$J$7625)*tk_he_gb300+Sens!$J$7625*tk_he_vr200)</f>
        <v>11.5559410033471</v>
      </c>
      <c r="K7626" s="36" t="n">
        <f aca="false">cust_sh*tk_he_gb300*cf_chip+(1-cust_sh)*((1-Sens!$K$7625)*tk_he_gb300+Sens!$K$7625*tk_he_vr200)</f>
        <v>11.5559410033471</v>
      </c>
      <c r="L7626" s="36" t="n">
        <f aca="false">cust_sh*tk_he_gb300*cf_chip+(1-cust_sh)*((1-Sens!$L$7625)*tk_he_gb300+Sens!$L$7625*tk_he_vr200)</f>
        <v>11.5559410033471</v>
      </c>
      <c r="M7626" s="36" t="n">
        <f aca="false">cust_sh*tk_he_gb300*cf_chip+(1-cust_sh)*((1-Sens!$M$7625)*tk_he_gb300+Sens!$M$7625*tk_he_vr200)</f>
        <v>11.5559410033471</v>
      </c>
    </row>
    <row r="7627" customFormat="false" ht="17.15" hidden="false" customHeight="false" outlineLevel="0" collapsed="false">
      <c r="A7627" s="5" t="s">
        <v>604</v>
      </c>
      <c r="B7627" s="0" t="s">
        <v>173</v>
      </c>
      <c r="F7627" s="36" t="n">
        <f aca="false">cust_sh*tk_ox_gb300+(1-cust_sh)*((1-Sens!$F$7625)*tk_ox_gb300+Sens!$F$7625*tk_ox_vr200)</f>
        <v>1.98263481314457</v>
      </c>
      <c r="G7627" s="36" t="n">
        <f aca="false">cust_sh*tk_ox_gb300+(1-cust_sh)*((1-Sens!$G$7625)*tk_ox_gb300+Sens!$G$7625*tk_ox_vr200)</f>
        <v>1.98263481314457</v>
      </c>
      <c r="H7627" s="36" t="n">
        <f aca="false">cust_sh*tk_ox_gb300+(1-cust_sh)*((1-Sens!$H$7625)*tk_ox_gb300+Sens!$H$7625*tk_ox_vr200)</f>
        <v>2.01034999693694</v>
      </c>
      <c r="I7627" s="36" t="n">
        <f aca="false">cust_sh*tk_ox_gb300+(1-cust_sh)*((1-Sens!$I$7625)*tk_ox_gb300+Sens!$I$7625*tk_ox_vr200)</f>
        <v>2.0380651807293</v>
      </c>
      <c r="J7627" s="36" t="n">
        <f aca="false">cust_sh*tk_ox_gb300+(1-cust_sh)*((1-Sens!$J$7625)*tk_ox_gb300+Sens!$J$7625*tk_ox_vr200)</f>
        <v>2.0380651807293</v>
      </c>
      <c r="K7627" s="36" t="n">
        <f aca="false">cust_sh*tk_ox_gb300+(1-cust_sh)*((1-Sens!$K$7625)*tk_ox_gb300+Sens!$K$7625*tk_ox_vr200)</f>
        <v>2.0380651807293</v>
      </c>
      <c r="L7627" s="36" t="n">
        <f aca="false">cust_sh*tk_ox_gb300+(1-cust_sh)*((1-Sens!$L$7625)*tk_ox_gb300+Sens!$L$7625*tk_ox_vr200)</f>
        <v>2.0380651807293</v>
      </c>
      <c r="M7627" s="36" t="n">
        <f aca="false">cust_sh*tk_ox_gb300+(1-cust_sh)*((1-Sens!$M$7625)*tk_ox_gb300+Sens!$M$7625*tk_ox_vr200)</f>
        <v>2.0380651807293</v>
      </c>
    </row>
    <row r="7628" customFormat="false" ht="17.15" hidden="false" customHeight="false" outlineLevel="0" collapsed="false">
      <c r="A7628" s="5" t="s">
        <v>605</v>
      </c>
      <c r="B7628" s="0" t="s">
        <v>192</v>
      </c>
      <c r="F7628" s="36" t="n">
        <f aca="false">cust_sh*tk_cx_gb300*cf_cx+(1-cust_sh)*((1-Sens!$F$7625)*tk_cx_gb300+Sens!$F$7625*tk_cx_vr200)</f>
        <v>32.237224</v>
      </c>
      <c r="G7628" s="36" t="n">
        <f aca="false">cust_sh*tk_cx_gb300*cf_cx+(1-cust_sh)*((1-Sens!$G$7625)*tk_cx_gb300+Sens!$G$7625*tk_cx_vr200)</f>
        <v>32.237224</v>
      </c>
      <c r="H7628" s="36" t="n">
        <f aca="false">cust_sh*tk_cx_gb300*cf_cx+(1-cust_sh)*((1-Sens!$H$7625)*tk_cx_gb300+Sens!$H$7625*tk_cx_vr200)</f>
        <v>33.574506</v>
      </c>
      <c r="I7628" s="36" t="n">
        <f aca="false">cust_sh*tk_cx_gb300*cf_cx+(1-cust_sh)*((1-Sens!$I$7625)*tk_cx_gb300+Sens!$I$7625*tk_cx_vr200)</f>
        <v>34.911788</v>
      </c>
      <c r="J7628" s="36" t="n">
        <f aca="false">cust_sh*tk_cx_gb300*cf_cx+(1-cust_sh)*((1-Sens!$J$7625)*tk_cx_gb300+Sens!$J$7625*tk_cx_vr200)</f>
        <v>34.911788</v>
      </c>
      <c r="K7628" s="36" t="n">
        <f aca="false">cust_sh*tk_cx_gb300*cf_cx+(1-cust_sh)*((1-Sens!$K$7625)*tk_cx_gb300+Sens!$K$7625*tk_cx_vr200)</f>
        <v>34.911788</v>
      </c>
      <c r="L7628" s="36" t="n">
        <f aca="false">cust_sh*tk_cx_gb300*cf_cx+(1-cust_sh)*((1-Sens!$L$7625)*tk_cx_gb300+Sens!$L$7625*tk_cx_vr200)</f>
        <v>34.911788</v>
      </c>
      <c r="M7628" s="36" t="n">
        <f aca="false">cust_sh*tk_cx_gb300*cf_cx+(1-cust_sh)*((1-Sens!$M$7625)*tk_cx_gb300+Sens!$M$7625*tk_cx_vr200)</f>
        <v>34.911788</v>
      </c>
    </row>
    <row r="7629" customFormat="false" ht="17.15" hidden="false" customHeight="false" outlineLevel="0" collapsed="false">
      <c r="A7629" s="5" t="s">
        <v>606</v>
      </c>
      <c r="B7629" s="0" t="s">
        <v>129</v>
      </c>
      <c r="F7629" s="32" t="n">
        <f aca="false">Sens!$F$7619-mw_open</f>
        <v>1817.15</v>
      </c>
      <c r="G7629" s="32" t="n">
        <f aca="false">Sens!$F$7629</f>
        <v>1817.15</v>
      </c>
      <c r="H7629" s="32" t="n">
        <f aca="false">Sens!$H$7619-mw_open</f>
        <v>5451.45</v>
      </c>
      <c r="I7629" s="32" t="n">
        <f aca="false">Sens!$I$7619-mw_open</f>
        <v>9085.75</v>
      </c>
      <c r="J7629" s="32" t="n">
        <f aca="false">Sens!$J$7619-mw_open</f>
        <v>12720.05</v>
      </c>
      <c r="K7629" s="32" t="n">
        <f aca="false">Sens!$K$7619-mw_open</f>
        <v>15290.9171666667</v>
      </c>
      <c r="L7629" s="32" t="n">
        <f aca="false">Sens!$L$7619-mw_open</f>
        <v>16798.3515</v>
      </c>
      <c r="M7629" s="32" t="n">
        <f aca="false">Sens!$M$7619-mw_open</f>
        <v>17242.353</v>
      </c>
    </row>
    <row r="7630" customFormat="false" ht="17.15" hidden="false" customHeight="false" outlineLevel="0" collapsed="false">
      <c r="A7630" s="0" t="s">
        <v>607</v>
      </c>
      <c r="B7630" s="0" t="s">
        <v>608</v>
      </c>
      <c r="F7630" s="32" t="n">
        <f aca="false">Sens!$F$7622*Sens!$F$7626</f>
        <v>19782.2417524844</v>
      </c>
      <c r="G7630" s="32" t="n">
        <f aca="false">Sens!$F$7630</f>
        <v>19782.2417524844</v>
      </c>
      <c r="H7630" s="32" t="n">
        <f aca="false">Sens!$G$7630+Sens!$H$7622*Sens!$H$7626</f>
        <v>60563.3616992009</v>
      </c>
      <c r="I7630" s="32" t="n">
        <f aca="false">Sens!$H$7630+Sens!$I$7622*Sens!$I$7626</f>
        <v>102561.118087665</v>
      </c>
      <c r="J7630" s="32" t="n">
        <f aca="false">Sens!$I$7630+Sens!$J$7622*Sens!$J$7626</f>
        <v>144558.87447613</v>
      </c>
      <c r="K7630" s="32" t="n">
        <f aca="false">Sens!$J$7630+Sens!$K$7622*Sens!$K$7626</f>
        <v>174267.663781572</v>
      </c>
      <c r="L7630" s="32" t="n">
        <f aca="false">Sens!$K$7630+Sens!$L$7622*Sens!$L$7626</f>
        <v>191687.486003992</v>
      </c>
      <c r="M7630" s="32" t="n">
        <f aca="false">Sens!$L$7630+Sens!$M$7622*Sens!$M$7626</f>
        <v>196818.341143389</v>
      </c>
    </row>
    <row r="7631" customFormat="false" ht="17.15" hidden="false" customHeight="false" outlineLevel="0" collapsed="false">
      <c r="A7631" s="0" t="s">
        <v>609</v>
      </c>
      <c r="B7631" s="0" t="s">
        <v>608</v>
      </c>
      <c r="F7631" s="32" t="n">
        <f aca="false">Sens!$F$7622*Sens!$F$7627</f>
        <v>3602.74485070566</v>
      </c>
      <c r="G7631" s="32" t="n">
        <f aca="false">Sens!$F$7631</f>
        <v>3602.74485070566</v>
      </c>
      <c r="H7631" s="32" t="n">
        <f aca="false">Sens!$G$7631+Sens!$H$7622*Sens!$H$7627</f>
        <v>10908.9598445736</v>
      </c>
      <c r="I7631" s="32" t="n">
        <f aca="false">Sens!$H$7631+Sens!$I$7622*Sens!$I$7627</f>
        <v>18315.9001308981</v>
      </c>
      <c r="J7631" s="32" t="n">
        <f aca="false">Sens!$I$7631+Sens!$J$7622*Sens!$J$7627</f>
        <v>25722.8404172225</v>
      </c>
      <c r="K7631" s="32" t="n">
        <f aca="false">Sens!$J$7631+Sens!$K$7622*Sens!$K$7627</f>
        <v>30962.4352738861</v>
      </c>
      <c r="L7631" s="32" t="n">
        <f aca="false">Sens!$K$7631+Sens!$L$7622*Sens!$L$7627</f>
        <v>34034.6847008886</v>
      </c>
      <c r="M7631" s="32" t="n">
        <f aca="false">Sens!$L$7631+Sens!$M$7622*Sens!$M$7627</f>
        <v>34939.5886982302</v>
      </c>
    </row>
    <row r="7632" customFormat="false" ht="17.15" hidden="false" customHeight="false" outlineLevel="0" collapsed="false">
      <c r="A7632" s="5" t="s">
        <v>610</v>
      </c>
      <c r="B7632" s="0" t="s">
        <v>173</v>
      </c>
      <c r="F7632" s="36" t="n">
        <f aca="false">IF(Sens!$F$7629&gt;0,Sens!$F$7630/Sens!$F$7629,Sens!$F$7626)</f>
        <v>10.8864110021101</v>
      </c>
      <c r="G7632" s="36" t="n">
        <f aca="false">IF(Sens!$G$7629&gt;0,Sens!$G$7630/Sens!$G$7629,Sens!$G$7626)</f>
        <v>10.8864110021101</v>
      </c>
      <c r="H7632" s="36" t="n">
        <f aca="false">IF(Sens!$H$7629&gt;0,Sens!$H$7630/Sens!$H$7629,Sens!$H$7626)</f>
        <v>11.1095876691891</v>
      </c>
      <c r="I7632" s="36" t="n">
        <f aca="false">IF(Sens!$I$7629&gt;0,Sens!$I$7630/Sens!$I$7629,Sens!$I$7626)</f>
        <v>11.2881290028523</v>
      </c>
      <c r="J7632" s="36" t="n">
        <f aca="false">IF(Sens!$J$7629&gt;0,Sens!$J$7630/Sens!$J$7629,Sens!$J$7626)</f>
        <v>11.3646467172794</v>
      </c>
      <c r="K7632" s="36" t="n">
        <f aca="false">IF(Sens!$K$7629&gt;0,Sens!$K$7630/Sens!$K$7629,Sens!$K$7626)</f>
        <v>11.3968090914432</v>
      </c>
      <c r="L7632" s="36" t="n">
        <f aca="false">IF(Sens!$L$7629&gt;0,Sens!$L$7630/Sens!$L$7629,Sens!$L$7626)</f>
        <v>11.4110891181192</v>
      </c>
      <c r="M7632" s="36" t="n">
        <f aca="false">IF(Sens!$M$7629&gt;0,Sens!$M$7630/Sens!$M$7629,Sens!$M$7626)</f>
        <v>11.4148191458201</v>
      </c>
    </row>
    <row r="7633" customFormat="false" ht="17.15" hidden="false" customHeight="false" outlineLevel="0" collapsed="false">
      <c r="A7633" s="5" t="s">
        <v>611</v>
      </c>
      <c r="B7633" s="0" t="s">
        <v>173</v>
      </c>
      <c r="F7633" s="36" t="n">
        <f aca="false">IF(Sens!$F$7629&gt;0,Sens!$F$7631/Sens!$F$7629,Sens!$F$7627)</f>
        <v>1.98263481314457</v>
      </c>
      <c r="G7633" s="36" t="n">
        <f aca="false">IF(Sens!$G$7629&gt;0,Sens!$G$7631/Sens!$G$7629,Sens!$G$7627)</f>
        <v>1.98263481314457</v>
      </c>
      <c r="H7633" s="36" t="n">
        <f aca="false">IF(Sens!$H$7629&gt;0,Sens!$H$7631/Sens!$H$7629,Sens!$H$7627)</f>
        <v>2.00111160233948</v>
      </c>
      <c r="I7633" s="36" t="n">
        <f aca="false">IF(Sens!$I$7629&gt;0,Sens!$I$7631/Sens!$I$7629,Sens!$I$7627)</f>
        <v>2.01589303369541</v>
      </c>
      <c r="J7633" s="36" t="n">
        <f aca="false">IF(Sens!$J$7629&gt;0,Sens!$J$7631/Sens!$J$7629,Sens!$J$7627)</f>
        <v>2.02222793284795</v>
      </c>
      <c r="K7633" s="36" t="n">
        <f aca="false">IF(Sens!$K$7629&gt;0,Sens!$K$7631/Sens!$K$7629,Sens!$K$7627)</f>
        <v>2.02489065478573</v>
      </c>
      <c r="L7633" s="36" t="n">
        <f aca="false">IF(Sens!$L$7629&gt;0,Sens!$L$7631/Sens!$L$7629,Sens!$L$7627)</f>
        <v>2.0260728977417</v>
      </c>
      <c r="M7633" s="36" t="n">
        <f aca="false">IF(Sens!$M$7629&gt;0,Sens!$M$7631/Sens!$M$7629,Sens!$M$7627)</f>
        <v>2.02638170661685</v>
      </c>
    </row>
    <row r="7634" customFormat="false" ht="17.15" hidden="false" customHeight="false" outlineLevel="0" collapsed="false">
      <c r="A7634" s="15" t="s">
        <v>612</v>
      </c>
      <c r="B7634" s="14" t="s">
        <v>173</v>
      </c>
      <c r="C7634" s="14"/>
      <c r="D7634" s="14"/>
      <c r="E7634" s="14"/>
      <c r="F7634" s="37" t="n">
        <f aca="false">Sens!$F$7632*k_B</f>
        <v>10.7987645808025</v>
      </c>
      <c r="G7634" s="37" t="n">
        <f aca="false">Sens!$G$7632*k_B</f>
        <v>10.7987645808025</v>
      </c>
      <c r="H7634" s="37" t="n">
        <f aca="false">Sens!$H$7632*k_B</f>
        <v>11.0201444540452</v>
      </c>
      <c r="I7634" s="37" t="n">
        <f aca="false">Sens!$I$7632*k_B</f>
        <v>11.1972483526393</v>
      </c>
      <c r="J7634" s="37" t="n">
        <f aca="false">Sens!$J$7632*k_B</f>
        <v>11.2731500234653</v>
      </c>
      <c r="K7634" s="37" t="n">
        <f aca="false">Sens!$K$7632*k_B</f>
        <v>11.3050534585724</v>
      </c>
      <c r="L7634" s="37" t="n">
        <f aca="false">Sens!$L$7632*k_B</f>
        <v>11.3192185168503</v>
      </c>
      <c r="M7634" s="37" t="n">
        <f aca="false">Sens!$M$7632*k_B</f>
        <v>11.3229185141234</v>
      </c>
      <c r="N7634" s="14"/>
      <c r="O7634" s="14"/>
      <c r="P7634" s="5" t="s">
        <v>613</v>
      </c>
    </row>
    <row r="7635" customFormat="false" ht="17.15" hidden="false" customHeight="false" outlineLevel="0" collapsed="false">
      <c r="A7635" s="5" t="s">
        <v>614</v>
      </c>
      <c r="B7635" s="0" t="s">
        <v>129</v>
      </c>
      <c r="F7635" s="32" t="n">
        <f aca="false">Sens!$F$7629/2</f>
        <v>908.575</v>
      </c>
      <c r="H7635" s="32" t="n">
        <f aca="false">(Sens!$G$7629+Sens!$H$7629)/2</f>
        <v>3634.3</v>
      </c>
      <c r="I7635" s="32" t="n">
        <f aca="false">(Sens!$H$7629+Sens!$I$7629)/2</f>
        <v>7268.6</v>
      </c>
      <c r="J7635" s="32" t="n">
        <f aca="false">(Sens!$I$7629+Sens!$J$7629)/2</f>
        <v>10902.9</v>
      </c>
      <c r="K7635" s="32" t="n">
        <f aca="false">(Sens!$J$7629+Sens!$K$7629)/2</f>
        <v>14005.4835833333</v>
      </c>
      <c r="L7635" s="32" t="n">
        <f aca="false">(Sens!$K$7629+Sens!$L$7629)/2</f>
        <v>16044.6343333333</v>
      </c>
      <c r="M7635" s="32" t="n">
        <f aca="false">(Sens!$L$7629+Sens!$M$7629)/2</f>
        <v>17020.35225</v>
      </c>
    </row>
    <row r="7636" customFormat="false" ht="17.15" hidden="false" customHeight="false" outlineLevel="0" collapsed="false">
      <c r="A7636" s="1" t="s">
        <v>615</v>
      </c>
    </row>
    <row r="7637" customFormat="false" ht="17.15" hidden="false" customHeight="false" outlineLevel="0" collapsed="false">
      <c r="A7637" s="1" t="s">
        <v>616</v>
      </c>
      <c r="B7637" s="8" t="s">
        <v>86</v>
      </c>
      <c r="C7637" s="38" t="n">
        <f aca="false">Sens!$C$7620*rpm_open*Sens!$C$7621/1000</f>
        <v>2.32100535697364</v>
      </c>
      <c r="D7637" s="38" t="n">
        <f aca="false">Sens!$D$7620*rpm_open*Sens!$D$7621/1000</f>
        <v>8.70377008865116</v>
      </c>
      <c r="E7637" s="38" t="n">
        <f aca="false">Sens!$E$7620*rpm_open*Sens!$E$7621/1000</f>
        <v>8.51035297557002</v>
      </c>
      <c r="F7637" s="38" t="n">
        <f aca="false">(mw_open*rpm_open+Sens!$F$7635*Sens!$F$7634)*Sens!$F$7621/1000</f>
        <v>14.9634336447205</v>
      </c>
      <c r="G7637" s="38" t="n">
        <f aca="false">Sens!$E$7637+Sens!$F$7637</f>
        <v>23.4737866202905</v>
      </c>
      <c r="H7637" s="38" t="n">
        <f aca="false">(mw_open*rpm_open+Sens!$H$7635*Sens!$H$7634)/1000</f>
        <v>60.1658907497746</v>
      </c>
      <c r="I7637" s="38" t="n">
        <f aca="false">(mw_open*rpm_open+Sens!$I$7635*Sens!$I$7634)/1000</f>
        <v>101.503699136432</v>
      </c>
      <c r="J7637" s="38" t="n">
        <f aca="false">(mw_open*rpm_open+Sens!$J$7635*Sens!$J$7634)/1000</f>
        <v>143.025407151278</v>
      </c>
      <c r="K7637" s="38" t="n">
        <f aca="false">(mw_open*rpm_open+Sens!$K$7635*Sens!$K$7634)/1000</f>
        <v>178.44812038318</v>
      </c>
      <c r="L7637" s="38" t="n">
        <f aca="false">(mw_open*rpm_open+Sens!$L$7635*Sens!$L$7634)/1000</f>
        <v>201.728101802396</v>
      </c>
      <c r="M7637" s="38" t="n">
        <f aca="false">(mw_open*rpm_open+Sens!$M$7635*Sens!$M$7634)/1000</f>
        <v>212.835441368865</v>
      </c>
      <c r="N7637" s="38" t="n">
        <f aca="false">Sens!$N$7620*rpm_open*Sens!$N$7621/1000</f>
        <v>3.04631953102791</v>
      </c>
      <c r="O7637" s="38" t="n">
        <f aca="false">Sens!$O$7620*rpm_open*Sens!$O$7621/1000</f>
        <v>5.65745055762326</v>
      </c>
      <c r="P7637" s="5" t="s">
        <v>617</v>
      </c>
    </row>
    <row r="7638" customFormat="false" ht="17.15" hidden="false" customHeight="false" outlineLevel="0" collapsed="false">
      <c r="A7638" s="5" t="s">
        <v>618</v>
      </c>
      <c r="B7638" s="0" t="s">
        <v>173</v>
      </c>
      <c r="C7638" s="36" t="n">
        <f aca="false">Sens!$C$7637*1000/(Sens!$C$7620*Sens!$C$7621)</f>
        <v>9.67085565405685</v>
      </c>
      <c r="D7638" s="36" t="n">
        <f aca="false">Sens!$D$7637*1000/(Sens!$D$7620*Sens!$D$7621)</f>
        <v>9.67085565405685</v>
      </c>
      <c r="E7638" s="36" t="n">
        <f aca="false">Sens!$E$7637*1000/(Sens!$E$7620*Sens!$E$7621)</f>
        <v>9.67085565405685</v>
      </c>
      <c r="F7638" s="36" t="n">
        <f aca="false">Sens!$F$7637*1000/(Sens!$F$7620*Sens!$F$7621)</f>
        <v>10.0137581588017</v>
      </c>
      <c r="G7638" s="36" t="n">
        <f aca="false">Sens!$G$7637*1000/(Sens!$G$7620*Sens!$G$7621)</f>
        <v>9.88666562928478</v>
      </c>
      <c r="H7638" s="36" t="n">
        <f aca="false">Sens!$H$7637*1000/(Sens!$H$7620*Sens!$H$7621)</f>
        <v>10.5290045586992</v>
      </c>
      <c r="I7638" s="36" t="n">
        <f aca="false">Sens!$I$7637*1000/(Sens!$I$7620*Sens!$I$7621)</f>
        <v>10.8576363451674</v>
      </c>
      <c r="J7638" s="36" t="n">
        <f aca="false">Sens!$J$7637*1000/(Sens!$J$7620*Sens!$J$7621)</f>
        <v>11.0164452588619</v>
      </c>
      <c r="K7638" s="36" t="n">
        <f aca="false">Sens!$K$7637*1000/(Sens!$K$7620*Sens!$K$7621)</f>
        <v>11.0937367508227</v>
      </c>
      <c r="L7638" s="36" t="n">
        <f aca="false">Sens!$L$7637*1000/(Sens!$L$7620*Sens!$L$7621)</f>
        <v>11.1300508519168</v>
      </c>
      <c r="M7638" s="36" t="n">
        <f aca="false">Sens!$M$7637*1000/(Sens!$M$7620*Sens!$M$7621)</f>
        <v>11.1430113216297</v>
      </c>
      <c r="N7638" s="36" t="n">
        <f aca="false">Sens!$N$7637*1000/(Sens!$N$7620*Sens!$N$7621)</f>
        <v>9.67085565405685</v>
      </c>
      <c r="O7638" s="36" t="n">
        <f aca="false">Sens!$O$7637*1000/(Sens!$O$7620*Sens!$O$7621)</f>
        <v>9.67085565405685</v>
      </c>
    </row>
    <row r="7639" customFormat="false" ht="17.15" hidden="false" customHeight="false" outlineLevel="0" collapsed="false">
      <c r="A7639" s="0" t="s">
        <v>619</v>
      </c>
      <c r="B7639" s="0" t="s">
        <v>86</v>
      </c>
      <c r="C7639" s="38" t="n">
        <f aca="false">Sens!$C$7620/ext_sh*(ox_open+rent_mw)*Sens!$C$7621/1000</f>
        <v>0.642569210675032</v>
      </c>
      <c r="D7639" s="38" t="n">
        <f aca="false">Sens!$D$7620/ext_sh*(ox_open+rent_mw)*Sens!$D$7621/1000</f>
        <v>2.40963454003137</v>
      </c>
      <c r="E7639" s="38" t="n">
        <f aca="false">Sens!$E$7620/ext_sh*(ox_open+rent_mw)*Sens!$E$7621/1000</f>
        <v>2.35608710580845</v>
      </c>
      <c r="F7639" s="38" t="n">
        <f aca="false">((mw_open*ox_open+Sens!$F$7635*Sens!$F$7633)/ext_sh+Sens!$F$7620/ext_sh*rent_mw)*Sens!$F$7621/1000</f>
        <v>4.05421991106232</v>
      </c>
      <c r="G7639" s="38" t="n">
        <f aca="false">Sens!$E$7639+Sens!$F$7639</f>
        <v>6.41030701687077</v>
      </c>
      <c r="H7639" s="38" t="n">
        <f aca="false">((mw_open*ox_open+Sens!$H$7635*Sens!$H$7633)/ext_sh+Sens!$H$7620/ext_sh*rent_mw)*Sens!$H$7621/1000</f>
        <v>15.8108975546616</v>
      </c>
      <c r="I7639" s="38" t="n">
        <f aca="false">((mw_open*ox_open+Sens!$I$7635*Sens!$I$7633)/ext_sh+Sens!$I$7620/ext_sh*rent_mw)*Sens!$I$7621/1000</f>
        <v>26.1871623400817</v>
      </c>
      <c r="J7639" s="38" t="n">
        <f aca="false">((mw_open*ox_open+Sens!$J$7635*Sens!$J$7633)/ext_sh+Sens!$J$7620/ext_sh*rent_mw)*Sens!$J$7621/1000</f>
        <v>36.5826128954935</v>
      </c>
      <c r="K7639" s="38" t="n">
        <f aca="false">((mw_open*ox_open+Sens!$K$7635*Sens!$K$7633)/ext_sh+Sens!$K$7620/ext_sh*rent_mw)*Sens!$K$7621/1000</f>
        <v>45.4546361137628</v>
      </c>
      <c r="L7639" s="38" t="n">
        <f aca="false">((mw_open*ox_open+Sens!$L$7635*Sens!$L$7633)/ext_sh+Sens!$L$7620/ext_sh*rent_mw)*Sens!$L$7621/1000</f>
        <v>51.2855695554452</v>
      </c>
      <c r="M7639" s="38" t="n">
        <f aca="false">((mw_open*ox_open+Sens!$M$7635*Sens!$M$7633)/ext_sh+Sens!$M$7620/ext_sh*rent_mw)*Sens!$M$7621/1000</f>
        <v>54.0722927838398</v>
      </c>
      <c r="N7639" s="38" t="n">
        <f aca="false">Sens!$N$7620/ext_sh*(ox_open+rent_mw)*Sens!$N$7621/1000</f>
        <v>0.84337208901098</v>
      </c>
      <c r="O7639" s="38" t="n">
        <f aca="false">Sens!$O$7620/ext_sh*(ox_open+rent_mw)*Sens!$O$7621/1000</f>
        <v>1.56626245102039</v>
      </c>
    </row>
    <row r="7640" customFormat="false" ht="17.15" hidden="false" customHeight="false" outlineLevel="0" collapsed="false">
      <c r="A7640" s="0" t="s">
        <v>620</v>
      </c>
      <c r="B7640" s="0" t="s">
        <v>86</v>
      </c>
      <c r="C7640" s="38" t="n">
        <f aca="false">Q!$D$7</f>
        <v>107.556</v>
      </c>
      <c r="D7640" s="38" t="n">
        <f aca="false">Q!$E$7</f>
        <v>128.725</v>
      </c>
      <c r="E7640" s="38" t="n">
        <f aca="false">Q!$P$7</f>
        <v>79.819</v>
      </c>
      <c r="N7640" s="38" t="n">
        <f aca="false">Q!$N$7</f>
        <v>60.14</v>
      </c>
      <c r="O7640" s="38" t="n">
        <f aca="false">Q!$O$7</f>
        <v>68.585</v>
      </c>
    </row>
    <row r="7641" customFormat="false" ht="17.15" hidden="false" customHeight="false" outlineLevel="0" collapsed="false">
      <c r="A7641" s="1" t="s">
        <v>621</v>
      </c>
      <c r="B7641" s="8" t="s">
        <v>86</v>
      </c>
      <c r="C7641" s="38" t="n">
        <f aca="false">Sens!$C$7640-Sens!$C$7637</f>
        <v>105.234994643026</v>
      </c>
      <c r="D7641" s="38" t="n">
        <f aca="false">Sens!$D$7640-Sens!$D$7637</f>
        <v>120.021229911349</v>
      </c>
      <c r="E7641" s="38" t="n">
        <f aca="false">Sens!$E$7640-Sens!$E$7637</f>
        <v>71.30864702443</v>
      </c>
      <c r="F7641" s="38" t="n">
        <f aca="false">Sens!$O$7641*(1+Sens!$F$7642)</f>
        <v>71.7692997942464</v>
      </c>
      <c r="G7641" s="38" t="n">
        <f aca="false">Sens!$E$7641+Sens!$F$7641</f>
        <v>143.077946818676</v>
      </c>
      <c r="H7641" s="38" t="n">
        <f aca="false">Sens!$G$7641*(1+Sens!$H$7642)</f>
        <v>161.017077079203</v>
      </c>
      <c r="I7641" s="38" t="n">
        <f aca="false">Sens!$H$7641*(1+Sens!$I$7642)</f>
        <v>178.769759521457</v>
      </c>
      <c r="J7641" s="38" t="n">
        <f aca="false">Sens!$I$7641*(1+Sens!$J$7642)</f>
        <v>195.775538045907</v>
      </c>
      <c r="K7641" s="38" t="n">
        <f aca="false">Sens!$J$7641*(1+Sens!$K$7642)</f>
        <v>211.43758108958</v>
      </c>
      <c r="L7641" s="38" t="n">
        <f aca="false">Sens!$K$7641*(1+Sens!$L$7642)</f>
        <v>228.352587576746</v>
      </c>
      <c r="M7641" s="38" t="n">
        <f aca="false">Sens!$L$7641*(1+Sens!$M$7642)</f>
        <v>246.620794582886</v>
      </c>
      <c r="N7641" s="38" t="n">
        <f aca="false">Sens!$N$7640-Sens!$N$7637</f>
        <v>57.0936804689721</v>
      </c>
      <c r="O7641" s="38" t="n">
        <f aca="false">Sens!$O$7640-Sens!$O$7637</f>
        <v>62.9275494423768</v>
      </c>
      <c r="P7641" s="5" t="s">
        <v>622</v>
      </c>
    </row>
    <row r="7642" customFormat="false" ht="17.15" hidden="false" customHeight="false" outlineLevel="0" collapsed="false">
      <c r="A7642" s="0" t="s">
        <v>623</v>
      </c>
      <c r="B7642" s="0" t="s">
        <v>52</v>
      </c>
      <c r="D7642" s="13" t="n">
        <f aca="false">Sens!$D$7641/Sens!$C$7641-1</f>
        <v>0.140506827776062</v>
      </c>
      <c r="E7642" s="13" t="n">
        <f aca="false">Sens!$E$7641/Sens!$N$7641-1</f>
        <v>0.248976181579029</v>
      </c>
      <c r="F7642" s="13" t="n">
        <f aca="false">Sens!$D$7642</f>
        <v>0.140506827776062</v>
      </c>
      <c r="G7642" s="13" t="n">
        <f aca="false">Sens!$G$7641/Sens!$D$7641-1</f>
        <v>0.19210532106993</v>
      </c>
      <c r="H7642" s="13" t="n">
        <f aca="false">Sens!$F$7642+(g_awso_lt-Sens!$F$7642)*1/4</f>
        <v>0.125380120832046</v>
      </c>
      <c r="I7642" s="13" t="n">
        <f aca="false">Sens!$F$7642+(g_awso_lt-Sens!$F$7642)*2/4</f>
        <v>0.110253413888031</v>
      </c>
      <c r="J7642" s="13" t="n">
        <f aca="false">Sens!$F$7642+(g_awso_lt-Sens!$F$7642)*3/4</f>
        <v>0.0951267069440154</v>
      </c>
      <c r="K7642" s="13" t="n">
        <f aca="false">Sens!$F$7642+(g_awso_lt-Sens!$F$7642)*4/4</f>
        <v>0.08</v>
      </c>
      <c r="L7642" s="13" t="n">
        <f aca="false">g_awso_lt</f>
        <v>0.08</v>
      </c>
      <c r="M7642" s="13" t="n">
        <f aca="false">g_awso_lt</f>
        <v>0.08</v>
      </c>
      <c r="P7642" s="5" t="s">
        <v>624</v>
      </c>
    </row>
    <row r="7643" customFormat="false" ht="17.15" hidden="false" customHeight="false" outlineLevel="0" collapsed="false">
      <c r="A7643" s="1" t="s">
        <v>625</v>
      </c>
    </row>
    <row r="7644" customFormat="false" ht="17.15" hidden="false" customHeight="false" outlineLevel="0" collapsed="false">
      <c r="A7644" s="0" t="s">
        <v>626</v>
      </c>
      <c r="B7644" s="0" t="s">
        <v>86</v>
      </c>
      <c r="F7644" s="38" t="n">
        <f aca="false">cx_rt*Sens!$F$7609+cx_awso*Sens!$F$7641</f>
        <v>34.9734495387866</v>
      </c>
    </row>
    <row r="7645" customFormat="false" ht="17.15" hidden="false" customHeight="false" outlineLevel="0" collapsed="false">
      <c r="A7645" s="0" t="s">
        <v>627</v>
      </c>
      <c r="B7645" s="0" t="s">
        <v>52</v>
      </c>
      <c r="C7645" s="13" t="n">
        <f aca="false">tk_cx_h100/(tk_cx_h100+tk_fac*(1-colo_sh))</f>
        <v>0.730756458006641</v>
      </c>
      <c r="D7645" s="13" t="n">
        <f aca="false">tk_cx_h100/(tk_cx_h100+tk_fac*(1-colo_sh))</f>
        <v>0.730756458006641</v>
      </c>
      <c r="E7645" s="13" t="n">
        <f aca="false">Sens!$F$7645</f>
        <v>0.760792334328868</v>
      </c>
      <c r="F7645" s="13" t="n">
        <f aca="false">Sens!$F$7628/(Sens!$F$7628+tk_fac*(1-colo_sh))</f>
        <v>0.760792334328868</v>
      </c>
      <c r="G7645" s="13" t="n">
        <f aca="false">Sens!$G$7628/(Sens!$G$7628+tk_fac*(1-colo_sh))</f>
        <v>0.760792334328868</v>
      </c>
      <c r="H7645" s="13" t="n">
        <f aca="false">Sens!$H$7628/(Sens!$H$7628+tk_fac*(1-colo_sh))</f>
        <v>0.768110668862996</v>
      </c>
      <c r="I7645" s="13" t="n">
        <f aca="false">Sens!$I$7628/(Sens!$I$7628+tk_fac*(1-colo_sh))</f>
        <v>0.77499450139483</v>
      </c>
      <c r="J7645" s="13" t="n">
        <f aca="false">Sens!$J$7628/(Sens!$J$7628+tk_fac*(1-colo_sh))</f>
        <v>0.77499450139483</v>
      </c>
      <c r="K7645" s="13" t="n">
        <f aca="false">Sens!$K$7628/(Sens!$K$7628+tk_fac*(1-colo_sh))</f>
        <v>0.77499450139483</v>
      </c>
      <c r="L7645" s="13" t="n">
        <f aca="false">Sens!$L$7628/(Sens!$L$7628+tk_fac*(1-colo_sh))</f>
        <v>0.77499450139483</v>
      </c>
      <c r="M7645" s="13" t="n">
        <f aca="false">Sens!$M$7628/(Sens!$M$7628+tk_fac*(1-colo_sh))</f>
        <v>0.77499450139483</v>
      </c>
    </row>
    <row r="7646" customFormat="false" ht="17.15" hidden="false" customHeight="false" outlineLevel="0" collapsed="false">
      <c r="A7646" s="1" t="s">
        <v>628</v>
      </c>
      <c r="B7646" s="8" t="s">
        <v>86</v>
      </c>
      <c r="C7646" s="38" t="n">
        <f aca="false">Q!$D$46-cx_rt*Q!$D$16-cx_awso*Sens!$C$7641</f>
        <v>25.2781053077374</v>
      </c>
      <c r="D7646" s="38" t="n">
        <f aca="false">Q!$E$46-cx_rt*Q!$E$16-cx_awso*Sens!$D$7641</f>
        <v>69.5686316310026</v>
      </c>
      <c r="E7646" s="38" t="n">
        <f aca="false">Q!$P$46-cx_rt*Q!$P$16-cx_awso*Sens!$E$7641</f>
        <v>64.1899206485108</v>
      </c>
      <c r="F7646" s="38" t="n">
        <f aca="false">MAX(Sens!$F$7623*(Sens!$F$7628+tk_fac*(1-colo_sh))/1000,capex_g26-Q!$P$46-Sens!$F$7644)</f>
        <v>96.2481299895</v>
      </c>
      <c r="G7646" s="38" t="n">
        <f aca="false">Sens!$E$7646+Sens!$F$7646</f>
        <v>160.438050638011</v>
      </c>
      <c r="H7646" s="38" t="n">
        <f aca="false">Sens!$H$7623*(Sens!$H$7628+tk_fac*(1-colo_sh))/1000+Sens!$H$7647</f>
        <v>198.57136494475</v>
      </c>
      <c r="I7646" s="38" t="n">
        <f aca="false">Sens!$I$7623*(Sens!$I$7628+tk_fac*(1-colo_sh))/1000+Sens!$I$7647</f>
        <v>204.6464699105</v>
      </c>
      <c r="J7646" s="38" t="n">
        <f aca="false">Sens!$J$7623*(Sens!$J$7628+tk_fac*(1-colo_sh))/1000+Sens!$J$7647</f>
        <v>209.8832381105</v>
      </c>
      <c r="K7646" s="38" t="n">
        <f aca="false">Sens!$K$7623*(Sens!$K$7628+tk_fac*(1-colo_sh))/1000+Sens!$K$7647</f>
        <v>155.238385275201</v>
      </c>
      <c r="L7646" s="38" t="n">
        <f aca="false">Sens!$L$7623*(Sens!$L$7628+tk_fac*(1-colo_sh))/1000+Sens!$L$7647</f>
        <v>132.014141639902</v>
      </c>
      <c r="M7646" s="38" t="n">
        <f aca="false">Sens!$M$7623*(Sens!$M$7628+tk_fac*(1-colo_sh))/1000+Sens!$M$7647</f>
        <v>132.230981659852</v>
      </c>
      <c r="P7646" s="5" t="s">
        <v>629</v>
      </c>
      <c r="R7646" s="38" t="n">
        <f aca="false">Q!$C$46-cx_rt*Q!$C$16-cx_awso*(Q!$C$7-mw_ye23/2*rpm_open/1000)</f>
        <v>1.50429979529945</v>
      </c>
      <c r="S7646" s="38" t="n">
        <f aca="false">Sens!$C$7646</f>
        <v>25.2781053077374</v>
      </c>
      <c r="T7646" s="38" t="n">
        <f aca="false">Sens!$D$7646</f>
        <v>69.5686316310026</v>
      </c>
      <c r="U7646" s="38" t="n">
        <f aca="false">Sens!$G$7646</f>
        <v>160.438050638011</v>
      </c>
      <c r="V7646" s="38" t="n">
        <f aca="false">Sens!$H$7646</f>
        <v>198.57136494475</v>
      </c>
      <c r="W7646" s="38" t="n">
        <f aca="false">Sens!$I$7646</f>
        <v>204.6464699105</v>
      </c>
      <c r="X7646" s="38" t="n">
        <f aca="false">Sens!$J$7646</f>
        <v>209.8832381105</v>
      </c>
      <c r="Y7646" s="38" t="n">
        <f aca="false">Sens!$K$7646</f>
        <v>155.238385275201</v>
      </c>
      <c r="Z7646" s="38" t="n">
        <f aca="false">Sens!$L$7646</f>
        <v>132.014141639902</v>
      </c>
      <c r="AA7646" s="38" t="n">
        <f aca="false">Sens!$M$7646</f>
        <v>132.230981659852</v>
      </c>
    </row>
    <row r="7647" customFormat="false" ht="17.15" hidden="false" customHeight="false" outlineLevel="0" collapsed="false">
      <c r="A7647" s="0" t="s">
        <v>630</v>
      </c>
      <c r="B7647" s="0" t="s">
        <v>86</v>
      </c>
      <c r="H7647" s="38" t="n">
        <f aca="false">SUMPRODUCT(--(Sens!$R$7616:$AA$7616=2027-tk_life),Sens!$R$7623:$AA$7623)*Sens!$H$7628/1000</f>
        <v>0</v>
      </c>
      <c r="I7647" s="38" t="n">
        <f aca="false">SUMPRODUCT(--(Sens!$R$7616:$AA$7616=2028-tk_life),Sens!$R$7623:$AA$7623)*Sens!$I$7628/1000</f>
        <v>0</v>
      </c>
      <c r="J7647" s="38" t="n">
        <f aca="false">SUMPRODUCT(--(Sens!$R$7616:$AA$7616=2029-tk_life),Sens!$R$7623:$AA$7623)*Sens!$J$7628/1000</f>
        <v>5.2367682</v>
      </c>
      <c r="K7647" s="38" t="n">
        <f aca="false">SUMPRODUCT(--(Sens!$R$7616:$AA$7616=2030-tk_life),Sens!$R$7623:$AA$7623)*Sens!$K$7628/1000</f>
        <v>10.4735364</v>
      </c>
      <c r="L7647" s="38" t="n">
        <f aca="false">SUMPRODUCT(--(Sens!$R$7616:$AA$7616=2031-tk_life),Sens!$R$7623:$AA$7623)*Sens!$L$7628/1000</f>
        <v>47.1309138</v>
      </c>
      <c r="M7647" s="38" t="n">
        <f aca="false">SUMPRODUCT(--(Sens!$R$7616:$AA$7616=2032-tk_life),Sens!$R$7623:$AA$7623)*Sens!$M$7628/1000</f>
        <v>107.22937485525</v>
      </c>
    </row>
    <row r="7648" customFormat="false" ht="17.15" hidden="false" customHeight="false" outlineLevel="0" collapsed="false">
      <c r="A7648" s="0" t="s">
        <v>631</v>
      </c>
      <c r="B7648" s="0" t="s">
        <v>86</v>
      </c>
      <c r="C7648" s="38" t="n">
        <f aca="false">MIN(Sens!$C$7646,Sens!$C$7623*(tk_cx_h100+tk_fac*(1-colo_sh))/1000)</f>
        <v>11.2938642</v>
      </c>
      <c r="D7648" s="38" t="n">
        <f aca="false">MIN(Sens!$D$7646,Sens!$D$7623*(tk_cx_h100+tk_fac*(1-colo_sh))/1000)</f>
        <v>50.8223889</v>
      </c>
      <c r="E7648" s="38" t="n">
        <f aca="false">MIN(Sens!$E$7646,Sens!$E$7623*(Sens!$F$7628+tk_fac*(1-colo_sh))/1000)</f>
        <v>33.8985792</v>
      </c>
      <c r="F7648" s="38" t="n">
        <f aca="false">Sens!$F$7646</f>
        <v>96.2481299895</v>
      </c>
      <c r="G7648" s="38" t="n">
        <f aca="false">Sens!$E$7648+Sens!$F$7648</f>
        <v>130.1467091895</v>
      </c>
      <c r="H7648" s="38" t="n">
        <f aca="false">Sens!$H$7646</f>
        <v>198.57136494475</v>
      </c>
      <c r="I7648" s="38" t="n">
        <f aca="false">Sens!$I$7646</f>
        <v>204.6464699105</v>
      </c>
      <c r="J7648" s="38" t="n">
        <f aca="false">Sens!$J$7646</f>
        <v>209.8832381105</v>
      </c>
      <c r="K7648" s="38" t="n">
        <f aca="false">Sens!$K$7646</f>
        <v>155.238385275201</v>
      </c>
      <c r="L7648" s="38" t="n">
        <f aca="false">Sens!$L$7646</f>
        <v>132.014141639902</v>
      </c>
      <c r="M7648" s="38" t="n">
        <f aca="false">Sens!$M$7646</f>
        <v>132.230981659852</v>
      </c>
      <c r="P7648" s="5" t="s">
        <v>632</v>
      </c>
      <c r="R7648" s="38" t="n">
        <f aca="false">MIN(Sens!$R$7646,Sens!$R$7623*(tk_cx_h100+tk_fac*(1-colo_sh))/1000)</f>
        <v>1.50429979529945</v>
      </c>
      <c r="S7648" s="38" t="n">
        <f aca="false">Sens!$C$7648</f>
        <v>11.2938642</v>
      </c>
      <c r="T7648" s="38" t="n">
        <f aca="false">Sens!$D$7648</f>
        <v>50.8223889</v>
      </c>
      <c r="U7648" s="38" t="n">
        <f aca="false">Sens!$G$7648</f>
        <v>130.1467091895</v>
      </c>
      <c r="V7648" s="38" t="n">
        <f aca="false">Sens!$H$7648</f>
        <v>198.57136494475</v>
      </c>
      <c r="W7648" s="38" t="n">
        <f aca="false">Sens!$I$7648</f>
        <v>204.6464699105</v>
      </c>
      <c r="X7648" s="38" t="n">
        <f aca="false">Sens!$J$7648</f>
        <v>209.8832381105</v>
      </c>
      <c r="Y7648" s="38" t="n">
        <f aca="false">Sens!$K$7648</f>
        <v>155.238385275201</v>
      </c>
      <c r="Z7648" s="38" t="n">
        <f aca="false">Sens!$L$7648</f>
        <v>132.014141639902</v>
      </c>
      <c r="AA7648" s="38" t="n">
        <f aca="false">Sens!$M$7648</f>
        <v>132.230981659852</v>
      </c>
    </row>
    <row r="7649" customFormat="false" ht="17.15" hidden="false" customHeight="false" outlineLevel="0" collapsed="false">
      <c r="A7649" s="5" t="s">
        <v>633</v>
      </c>
      <c r="B7649" s="0" t="s">
        <v>86</v>
      </c>
      <c r="C7649" s="38" t="n">
        <f aca="false">Sens!$C$7646-Sens!$C$7648</f>
        <v>13.9842411077374</v>
      </c>
      <c r="D7649" s="38" t="n">
        <f aca="false">Sens!$D$7646-Sens!$D$7648</f>
        <v>18.7462427310026</v>
      </c>
      <c r="E7649" s="38" t="n">
        <f aca="false">Sens!$E$7646-Sens!$E$7648</f>
        <v>30.2913414485108</v>
      </c>
      <c r="F7649" s="38" t="n">
        <f aca="false">Sens!$F$7646-Sens!$F$7648</f>
        <v>0</v>
      </c>
      <c r="G7649" s="38" t="n">
        <f aca="false">Sens!$G$7646-Sens!$G$7648</f>
        <v>30.2913414485108</v>
      </c>
      <c r="H7649" s="38" t="n">
        <f aca="false">Sens!$H$7646-Sens!$H$7648</f>
        <v>0</v>
      </c>
      <c r="I7649" s="38" t="n">
        <f aca="false">Sens!$I$7646-Sens!$I$7648</f>
        <v>0</v>
      </c>
      <c r="J7649" s="38" t="n">
        <f aca="false">Sens!$J$7646-Sens!$J$7648</f>
        <v>0</v>
      </c>
      <c r="K7649" s="38" t="n">
        <f aca="false">Sens!$K$7646-Sens!$K$7648</f>
        <v>0</v>
      </c>
      <c r="L7649" s="38" t="n">
        <f aca="false">Sens!$L$7646-Sens!$L$7648</f>
        <v>0</v>
      </c>
      <c r="M7649" s="38" t="n">
        <f aca="false">Sens!$M$7646-Sens!$M$7648</f>
        <v>0</v>
      </c>
    </row>
    <row r="7650" customFormat="false" ht="17.15" hidden="false" customHeight="false" outlineLevel="0" collapsed="false">
      <c r="A7650" s="5" t="s">
        <v>634</v>
      </c>
      <c r="B7650" s="0" t="s">
        <v>86</v>
      </c>
      <c r="C7650" s="38" t="n">
        <f aca="false">Sens!$C$7648*Sens!$C$7645</f>
        <v>8.2530642</v>
      </c>
      <c r="D7650" s="38" t="n">
        <f aca="false">Sens!$D$7648*Sens!$D$7645</f>
        <v>37.1387889</v>
      </c>
      <c r="E7650" s="38" t="n">
        <f aca="false">Sens!$E$7648*Sens!$E$7645</f>
        <v>25.7897792</v>
      </c>
      <c r="F7650" s="38" t="n">
        <f aca="false">Sens!$F$7648*Sens!$F$7645</f>
        <v>73.2248394895</v>
      </c>
      <c r="G7650" s="38" t="n">
        <f aca="false">Sens!$E$7650+Sens!$F$7650</f>
        <v>99.0146186895</v>
      </c>
      <c r="H7650" s="38" t="n">
        <f aca="false">(Sens!$H$7648-Sens!$H$7647)*Sens!$H$7645+Sens!$H$7647</f>
        <v>152.52478394475</v>
      </c>
      <c r="I7650" s="38" t="n">
        <f aca="false">(Sens!$I$7648-Sens!$I$7647)*Sens!$I$7645+Sens!$I$7647</f>
        <v>158.5998889105</v>
      </c>
      <c r="J7650" s="38" t="n">
        <f aca="false">(Sens!$J$7648-Sens!$J$7647)*Sens!$J$7645+Sens!$J$7647</f>
        <v>163.8366571105</v>
      </c>
      <c r="K7650" s="38" t="n">
        <f aca="false">(Sens!$K$7648-Sens!$K$7647)*Sens!$K$7645+Sens!$K$7647</f>
        <v>122.665498273534</v>
      </c>
      <c r="L7650" s="38" t="n">
        <f aca="false">(Sens!$L$7648-Sens!$L$7647)*Sens!$L$7645+Sens!$L$7647</f>
        <v>112.914948636568</v>
      </c>
      <c r="M7650" s="38" t="n">
        <f aca="false">(Sens!$M$7648-Sens!$M$7647)*Sens!$M$7645+Sens!$M$7647</f>
        <v>126.605482654852</v>
      </c>
      <c r="R7650" s="38" t="n">
        <f aca="false">Sens!$R$7648*Sens!$C$7645</f>
        <v>1.09927679019314</v>
      </c>
      <c r="S7650" s="38" t="n">
        <f aca="false">Sens!$C$7650</f>
        <v>8.2530642</v>
      </c>
      <c r="T7650" s="38" t="n">
        <f aca="false">Sens!$D$7650</f>
        <v>37.1387889</v>
      </c>
      <c r="U7650" s="38" t="n">
        <f aca="false">Sens!$G$7650</f>
        <v>99.0146186895</v>
      </c>
      <c r="V7650" s="38" t="n">
        <f aca="false">Sens!$H$7650</f>
        <v>152.52478394475</v>
      </c>
      <c r="W7650" s="38" t="n">
        <f aca="false">Sens!$I$7650</f>
        <v>158.5998889105</v>
      </c>
      <c r="X7650" s="38" t="n">
        <f aca="false">Sens!$J$7650</f>
        <v>163.8366571105</v>
      </c>
      <c r="Y7650" s="38" t="n">
        <f aca="false">Sens!$K$7650</f>
        <v>122.665498273534</v>
      </c>
      <c r="Z7650" s="38" t="n">
        <f aca="false">Sens!$L$7650</f>
        <v>112.914948636568</v>
      </c>
      <c r="AA7650" s="38" t="n">
        <f aca="false">Sens!$M$7650</f>
        <v>126.605482654852</v>
      </c>
    </row>
    <row r="7651" customFormat="false" ht="15" hidden="false" customHeight="false" outlineLevel="0" collapsed="false">
      <c r="A7651" s="5" t="s">
        <v>635</v>
      </c>
      <c r="B7651" s="0" t="s">
        <v>86</v>
      </c>
      <c r="C7651" s="38" t="n">
        <f aca="false">Sens!$C$7648-Sens!$C$7650</f>
        <v>3.0408</v>
      </c>
      <c r="D7651" s="38" t="n">
        <f aca="false">Sens!$D$7648-Sens!$D$7650</f>
        <v>13.6836</v>
      </c>
      <c r="E7651" s="38" t="n">
        <f aca="false">Sens!$E$7648-Sens!$E$7650</f>
        <v>8.1088</v>
      </c>
      <c r="F7651" s="38" t="n">
        <f aca="false">Sens!$F$7648-Sens!$F$7650</f>
        <v>23.0232905</v>
      </c>
      <c r="G7651" s="38" t="n">
        <f aca="false">Sens!$G$7648-Sens!$G$7650</f>
        <v>31.1320905</v>
      </c>
      <c r="H7651" s="38" t="n">
        <f aca="false">Sens!$H$7648-Sens!$H$7650</f>
        <v>46.046581</v>
      </c>
      <c r="I7651" s="38" t="n">
        <f aca="false">Sens!$I$7648-Sens!$I$7650</f>
        <v>46.046581</v>
      </c>
      <c r="J7651" s="38" t="n">
        <f aca="false">Sens!$J$7648-Sens!$J$7650</f>
        <v>46.046581</v>
      </c>
      <c r="K7651" s="38" t="n">
        <f aca="false">Sens!$K$7648-Sens!$K$7650</f>
        <v>32.5728870016667</v>
      </c>
      <c r="L7651" s="38" t="n">
        <f aca="false">Sens!$L$7648-Sens!$L$7650</f>
        <v>19.0991930033334</v>
      </c>
      <c r="M7651" s="38" t="n">
        <f aca="false">Sens!$M$7648-Sens!$M$7650</f>
        <v>5.62549900499998</v>
      </c>
      <c r="R7651" s="38" t="n">
        <f aca="false">Sens!$R$7648-Sens!$R$7650</f>
        <v>0.405023005106309</v>
      </c>
      <c r="S7651" s="38" t="n">
        <f aca="false">Sens!$S$7648-Sens!$S$7650</f>
        <v>3.0408</v>
      </c>
      <c r="T7651" s="38" t="n">
        <f aca="false">Sens!$T$7648-Sens!$T$7650</f>
        <v>13.6836</v>
      </c>
      <c r="U7651" s="38" t="n">
        <f aca="false">Sens!$U$7648-Sens!$U$7650</f>
        <v>31.1320905</v>
      </c>
      <c r="V7651" s="38" t="n">
        <f aca="false">Sens!$V$7648-Sens!$V$7650</f>
        <v>46.046581</v>
      </c>
      <c r="W7651" s="38" t="n">
        <f aca="false">Sens!$W$7648-Sens!$W$7650</f>
        <v>46.046581</v>
      </c>
      <c r="X7651" s="38" t="n">
        <f aca="false">Sens!$X$7648-Sens!$X$7650</f>
        <v>46.046581</v>
      </c>
      <c r="Y7651" s="38" t="n">
        <f aca="false">Sens!$Y$7648-Sens!$Y$7650</f>
        <v>32.5728870016667</v>
      </c>
      <c r="Z7651" s="38" t="n">
        <f aca="false">Sens!$Z$7648-Sens!$Z$7650</f>
        <v>19.0991930033334</v>
      </c>
      <c r="AA7651" s="38" t="n">
        <f aca="false">Sens!$AA$7648-Sens!$AA$7650</f>
        <v>5.62549900499998</v>
      </c>
    </row>
    <row r="7652" customFormat="false" ht="17.15" hidden="false" customHeight="false" outlineLevel="0" collapsed="false">
      <c r="A7652" s="0" t="s">
        <v>636</v>
      </c>
      <c r="B7652" s="0" t="s">
        <v>52</v>
      </c>
      <c r="C7652" s="13" t="n">
        <f aca="false">Sens!$C$7646/Sens!$C$7768</f>
        <v>0.325505489553393</v>
      </c>
      <c r="D7652" s="13" t="n">
        <f aca="false">Sens!$D$7646/Sens!$D$7768</f>
        <v>0.54214956071542</v>
      </c>
      <c r="E7652" s="13" t="n">
        <f aca="false">Sens!$E$7646/Sens!$E$7768</f>
        <v>0.666492790452817</v>
      </c>
      <c r="F7652" s="13" t="n">
        <f aca="false">Sens!$F$7646/Sens!$F$7768</f>
        <v>0.733477910687338</v>
      </c>
      <c r="G7652" s="13" t="n">
        <f aca="false">Sens!$G$7646/Sens!$G$7768</f>
        <v>0.705124321514523</v>
      </c>
      <c r="H7652" s="13" t="n">
        <f aca="false">Sens!$H$7646/Sens!$H$7768</f>
        <v>0.726376041178204</v>
      </c>
      <c r="I7652" s="13" t="n">
        <f aca="false">Sens!$I$7646/Sens!$I$7768</f>
        <v>0.713099092661699</v>
      </c>
      <c r="J7652" s="13" t="n">
        <f aca="false">Sens!$J$7646/Sens!$J$7768</f>
        <v>0.701208348786245</v>
      </c>
      <c r="K7652" s="13" t="n">
        <f aca="false">Sens!$K$7646/Sens!$K$7768</f>
        <v>0.618338844562383</v>
      </c>
      <c r="L7652" s="13" t="n">
        <f aca="false">Sens!$L$7646/Sens!$L$7768</f>
        <v>0.562489158462506</v>
      </c>
      <c r="M7652" s="13" t="n">
        <f aca="false">Sens!$M$7646/Sens!$M$7768</f>
        <v>0.545751190895923</v>
      </c>
    </row>
    <row r="7653" customFormat="false" ht="17.15" hidden="false" customHeight="false" outlineLevel="0" collapsed="false">
      <c r="A7653" s="0" t="s">
        <v>637</v>
      </c>
      <c r="B7653" s="0" t="s">
        <v>86</v>
      </c>
      <c r="C7653" s="38" t="n">
        <f aca="false">Sens!$S$7653</f>
        <v>0.183212798365523</v>
      </c>
      <c r="D7653" s="38" t="n">
        <f aca="false">Sens!$T$7653</f>
        <v>1.55872349836552</v>
      </c>
      <c r="E7653" s="38" t="n">
        <f aca="false">Sens!$G$7653/2</f>
        <v>3.87426082418276</v>
      </c>
      <c r="F7653" s="38" t="n">
        <f aca="false">Sens!$G$7653/2</f>
        <v>3.87426082418276</v>
      </c>
      <c r="G7653" s="38" t="n">
        <f aca="false">Sens!$U$7653</f>
        <v>7.74852164836552</v>
      </c>
      <c r="H7653" s="38" t="n">
        <f aca="false">Sens!$V$7653</f>
        <v>24.2509580966155</v>
      </c>
      <c r="I7653" s="38" t="n">
        <f aca="false">Sens!$W$7653</f>
        <v>49.6717554207405</v>
      </c>
      <c r="J7653" s="38" t="n">
        <f aca="false">Sens!$X$7653</f>
        <v>76.1050702391572</v>
      </c>
      <c r="K7653" s="38" t="n">
        <f aca="false">Sens!$Y$7653</f>
        <v>103.227966959208</v>
      </c>
      <c r="L7653" s="38" t="n">
        <f aca="false">Sens!$Z$7653</f>
        <v>122.296705971464</v>
      </c>
      <c r="M7653" s="38" t="n">
        <f aca="false">Sens!$AA$7653</f>
        <v>134.926065927559</v>
      </c>
      <c r="N7653" s="38" t="n">
        <f aca="false">Sens!$D$7653/2</f>
        <v>0.779361749182762</v>
      </c>
      <c r="O7653" s="38" t="n">
        <f aca="false">Sens!$D$7653/2</f>
        <v>0.779361749182762</v>
      </c>
      <c r="R7653" s="38" t="n">
        <f aca="false">SUMPRODUCT(--(Sens!$R$7616:$AA$7616&lt;Sens!R$7616),--(Sens!$R$7616:$AA$7616&gt;=Sens!R$7616-tk_life),Sens!$R$7650:$AA$7650)/tk_life</f>
        <v>0</v>
      </c>
      <c r="S7653" s="38" t="n">
        <f aca="false">SUMPRODUCT(--(Sens!$R$7616:$AA$7616&lt;Sens!S$7616),--(Sens!$R$7616:$AA$7616&gt;=Sens!S$7616-tk_life),Sens!$R$7650:$AA$7650)/tk_life</f>
        <v>0.183212798365523</v>
      </c>
      <c r="T7653" s="38" t="n">
        <f aca="false">SUMPRODUCT(--(Sens!$R$7616:$AA$7616&lt;Sens!T$7616),--(Sens!$R$7616:$AA$7616&gt;=Sens!T$7616-tk_life),Sens!$R$7650:$AA$7650)/tk_life</f>
        <v>1.55872349836552</v>
      </c>
      <c r="U7653" s="38" t="n">
        <f aca="false">SUMPRODUCT(--(Sens!$R$7616:$AA$7616&lt;Sens!U$7616),--(Sens!$R$7616:$AA$7616&gt;=Sens!U$7616-tk_life),Sens!$R$7650:$AA$7650)/tk_life</f>
        <v>7.74852164836552</v>
      </c>
      <c r="V7653" s="38" t="n">
        <f aca="false">SUMPRODUCT(--(Sens!$R$7616:$AA$7616&lt;Sens!V$7616),--(Sens!$R$7616:$AA$7616&gt;=Sens!V$7616-tk_life),Sens!$R$7650:$AA$7650)/tk_life</f>
        <v>24.2509580966155</v>
      </c>
      <c r="W7653" s="38" t="n">
        <f aca="false">SUMPRODUCT(--(Sens!$R$7616:$AA$7616&lt;Sens!W$7616),--(Sens!$R$7616:$AA$7616&gt;=Sens!W$7616-tk_life),Sens!$R$7650:$AA$7650)/tk_life</f>
        <v>49.6717554207405</v>
      </c>
      <c r="X7653" s="38" t="n">
        <f aca="false">SUMPRODUCT(--(Sens!$R$7616:$AA$7616&lt;Sens!X$7616),--(Sens!$R$7616:$AA$7616&gt;=Sens!X$7616-tk_life),Sens!$R$7650:$AA$7650)/tk_life</f>
        <v>76.1050702391572</v>
      </c>
      <c r="Y7653" s="38" t="n">
        <f aca="false">SUMPRODUCT(--(Sens!$R$7616:$AA$7616&lt;Sens!Y$7616),--(Sens!$R$7616:$AA$7616&gt;=Sens!Y$7616-tk_life),Sens!$R$7650:$AA$7650)/tk_life</f>
        <v>103.227966959208</v>
      </c>
      <c r="Z7653" s="38" t="n">
        <f aca="false">SUMPRODUCT(--(Sens!$R$7616:$AA$7616&lt;Sens!Z$7616),--(Sens!$R$7616:$AA$7616&gt;=Sens!Z$7616-tk_life),Sens!$R$7650:$AA$7650)/tk_life</f>
        <v>122.296705971464</v>
      </c>
      <c r="AA7653" s="38" t="n">
        <f aca="false">SUMPRODUCT(--(Sens!$R$7616:$AA$7616&lt;Sens!AA$7616),--(Sens!$R$7616:$AA$7616&gt;=Sens!AA$7616-tk_life),Sens!$R$7650:$AA$7650)/tk_life</f>
        <v>134.926065927559</v>
      </c>
    </row>
    <row r="7654" customFormat="false" ht="17.15" hidden="false" customHeight="false" outlineLevel="0" collapsed="false">
      <c r="A7654" s="0" t="s">
        <v>638</v>
      </c>
      <c r="B7654" s="0" t="s">
        <v>86</v>
      </c>
      <c r="C7654" s="38" t="n">
        <f aca="false">Sens!$S$7654</f>
        <v>0.0202511502553155</v>
      </c>
      <c r="D7654" s="38" t="n">
        <f aca="false">Sens!$T$7654</f>
        <v>0.172291150255315</v>
      </c>
      <c r="E7654" s="38" t="n">
        <f aca="false">Sens!$G$7654/2</f>
        <v>0.428235575127658</v>
      </c>
      <c r="F7654" s="38" t="n">
        <f aca="false">Sens!$G$7654/2</f>
        <v>0.428235575127658</v>
      </c>
      <c r="G7654" s="38" t="n">
        <f aca="false">Sens!$U$7654</f>
        <v>0.856471150255315</v>
      </c>
      <c r="H7654" s="38" t="n">
        <f aca="false">Sens!$V$7654</f>
        <v>2.41307567525532</v>
      </c>
      <c r="I7654" s="38" t="n">
        <f aca="false">Sens!$W$7654</f>
        <v>4.71540472525532</v>
      </c>
      <c r="J7654" s="38" t="n">
        <f aca="false">Sens!$X$7654</f>
        <v>7.01773377525532</v>
      </c>
      <c r="K7654" s="38" t="n">
        <f aca="false">Sens!$Y$7654</f>
        <v>9.32006282525532</v>
      </c>
      <c r="L7654" s="38" t="n">
        <f aca="false">Sens!$Z$7654</f>
        <v>10.9487071753387</v>
      </c>
      <c r="M7654" s="38" t="n">
        <f aca="false">Sens!$AA$7654</f>
        <v>11.9036668255053</v>
      </c>
      <c r="N7654" s="38" t="n">
        <f aca="false">Sens!$D$7654/2</f>
        <v>0.0861455751276577</v>
      </c>
      <c r="O7654" s="38" t="n">
        <f aca="false">Sens!$D$7654/2</f>
        <v>0.0861455751276577</v>
      </c>
      <c r="R7654" s="38" t="n">
        <f aca="false">SUMPRODUCT(--(Sens!$R$7616:$AA$7616&lt;Sens!R$7616),Sens!$R$7651:$AA$7651)/fac_life</f>
        <v>0</v>
      </c>
      <c r="S7654" s="38" t="n">
        <f aca="false">SUMPRODUCT(--(Sens!$R$7616:$AA$7616&lt;Sens!S$7616),Sens!$R$7651:$AA$7651)/fac_life</f>
        <v>0.0202511502553155</v>
      </c>
      <c r="T7654" s="38" t="n">
        <f aca="false">SUMPRODUCT(--(Sens!$R$7616:$AA$7616&lt;Sens!T$7616),Sens!$R$7651:$AA$7651)/fac_life</f>
        <v>0.172291150255315</v>
      </c>
      <c r="U7654" s="38" t="n">
        <f aca="false">SUMPRODUCT(--(Sens!$R$7616:$AA$7616&lt;Sens!U$7616),Sens!$R$7651:$AA$7651)/fac_life</f>
        <v>0.856471150255315</v>
      </c>
      <c r="V7654" s="38" t="n">
        <f aca="false">SUMPRODUCT(--(Sens!$R$7616:$AA$7616&lt;Sens!V$7616),Sens!$R$7651:$AA$7651)/fac_life</f>
        <v>2.41307567525532</v>
      </c>
      <c r="W7654" s="38" t="n">
        <f aca="false">SUMPRODUCT(--(Sens!$R$7616:$AA$7616&lt;Sens!W$7616),Sens!$R$7651:$AA$7651)/fac_life</f>
        <v>4.71540472525532</v>
      </c>
      <c r="X7654" s="38" t="n">
        <f aca="false">SUMPRODUCT(--(Sens!$R$7616:$AA$7616&lt;Sens!X$7616),Sens!$R$7651:$AA$7651)/fac_life</f>
        <v>7.01773377525532</v>
      </c>
      <c r="Y7654" s="38" t="n">
        <f aca="false">SUMPRODUCT(--(Sens!$R$7616:$AA$7616&lt;Sens!Y$7616),Sens!$R$7651:$AA$7651)/fac_life</f>
        <v>9.32006282525532</v>
      </c>
      <c r="Z7654" s="38" t="n">
        <f aca="false">SUMPRODUCT(--(Sens!$R$7616:$AA$7616&lt;Sens!Z$7616),Sens!$R$7651:$AA$7651)/fac_life</f>
        <v>10.9487071753387</v>
      </c>
      <c r="AA7654" s="38" t="n">
        <f aca="false">SUMPRODUCT(--(Sens!$R$7616:$AA$7616&lt;Sens!AA$7616),Sens!$R$7651:$AA$7651)/fac_life</f>
        <v>11.9036668255053</v>
      </c>
    </row>
    <row r="7655" customFormat="false" ht="17.15" hidden="false" customHeight="false" outlineLevel="0" collapsed="false">
      <c r="A7655" s="1" t="s">
        <v>639</v>
      </c>
      <c r="B7655" s="8" t="s">
        <v>86</v>
      </c>
      <c r="C7655" s="38" t="n">
        <f aca="false">Sens!$C$7653+Sens!$C$7654</f>
        <v>0.203463948620839</v>
      </c>
      <c r="D7655" s="38" t="n">
        <f aca="false">Sens!$D$7653+Sens!$D$7654</f>
        <v>1.73101464862084</v>
      </c>
      <c r="E7655" s="38" t="n">
        <f aca="false">Sens!$E$7653+Sens!$E$7654</f>
        <v>4.30249639931042</v>
      </c>
      <c r="F7655" s="38" t="n">
        <f aca="false">Sens!$F$7653+Sens!$F$7654</f>
        <v>4.30249639931042</v>
      </c>
      <c r="G7655" s="38" t="n">
        <f aca="false">Sens!$G$7653+Sens!$G$7654</f>
        <v>8.60499279862084</v>
      </c>
      <c r="H7655" s="38" t="n">
        <f aca="false">Sens!$H$7653+Sens!$H$7654</f>
        <v>26.6640337718708</v>
      </c>
      <c r="I7655" s="38" t="n">
        <f aca="false">Sens!$I$7653+Sens!$I$7654</f>
        <v>54.3871601459959</v>
      </c>
      <c r="J7655" s="38" t="n">
        <f aca="false">Sens!$J$7653+Sens!$J$7654</f>
        <v>83.1228040144125</v>
      </c>
      <c r="K7655" s="38" t="n">
        <f aca="false">Sens!$K$7653+Sens!$K$7654</f>
        <v>112.548029784464</v>
      </c>
      <c r="L7655" s="38" t="n">
        <f aca="false">Sens!$L$7653+Sens!$L$7654</f>
        <v>133.245413146803</v>
      </c>
      <c r="M7655" s="38" t="n">
        <f aca="false">Sens!$M$7653+Sens!$M$7654</f>
        <v>146.829732753064</v>
      </c>
      <c r="N7655" s="38" t="n">
        <f aca="false">Sens!$N$7653+Sens!$N$7654</f>
        <v>0.865507324310419</v>
      </c>
      <c r="O7655" s="38" t="n">
        <f aca="false">Sens!$O$7653+Sens!$O$7654</f>
        <v>0.865507324310419</v>
      </c>
      <c r="R7655" s="38" t="n">
        <f aca="false">Sens!$R$7653+Sens!$R$7654</f>
        <v>0</v>
      </c>
      <c r="S7655" s="38" t="n">
        <f aca="false">Sens!$S$7653+Sens!$S$7654</f>
        <v>0.203463948620839</v>
      </c>
      <c r="T7655" s="38" t="n">
        <f aca="false">Sens!$T$7653+Sens!$T$7654</f>
        <v>1.73101464862084</v>
      </c>
      <c r="U7655" s="38" t="n">
        <f aca="false">Sens!$U$7653+Sens!$U$7654</f>
        <v>8.60499279862084</v>
      </c>
      <c r="V7655" s="38" t="n">
        <f aca="false">Sens!$V$7653+Sens!$V$7654</f>
        <v>26.6640337718708</v>
      </c>
      <c r="W7655" s="38" t="n">
        <f aca="false">Sens!$W$7653+Sens!$W$7654</f>
        <v>54.3871601459959</v>
      </c>
      <c r="X7655" s="38" t="n">
        <f aca="false">Sens!$X$7653+Sens!$X$7654</f>
        <v>83.1228040144125</v>
      </c>
      <c r="Y7655" s="38" t="n">
        <f aca="false">Sens!$Y$7653+Sens!$Y$7654</f>
        <v>112.548029784464</v>
      </c>
      <c r="Z7655" s="38" t="n">
        <f aca="false">Sens!$Z$7653+Sens!$Z$7654</f>
        <v>133.245413146803</v>
      </c>
      <c r="AA7655" s="38" t="n">
        <f aca="false">Sens!$AA$7653+Sens!$AA$7654</f>
        <v>146.829732753064</v>
      </c>
    </row>
    <row r="7656" customFormat="false" ht="17.15" hidden="false" customHeight="false" outlineLevel="0" collapsed="false">
      <c r="A7656" s="0" t="s">
        <v>640</v>
      </c>
      <c r="B7656" s="0" t="s">
        <v>86</v>
      </c>
      <c r="C7656" s="38" t="n">
        <f aca="false">Sens!$S$7656</f>
        <v>12.5947000466786</v>
      </c>
      <c r="D7656" s="38" t="n">
        <f aca="false">Sens!$T$7656</f>
        <v>61.6860742980578</v>
      </c>
      <c r="G7656" s="38" t="n">
        <f aca="false">Sens!$U$7656</f>
        <v>183.227790688937</v>
      </c>
      <c r="H7656" s="38" t="n">
        <f aca="false">Sens!$V$7656</f>
        <v>355.135121861816</v>
      </c>
      <c r="I7656" s="38" t="n">
        <f aca="false">Sens!$W$7656</f>
        <v>505.39443162632</v>
      </c>
      <c r="J7656" s="38" t="n">
        <f aca="false">Sens!$X$7656</f>
        <v>632.154865722408</v>
      </c>
      <c r="K7656" s="38" t="n">
        <f aca="false">Sens!$Y$7656</f>
        <v>674.845221213145</v>
      </c>
      <c r="L7656" s="38" t="n">
        <f aca="false">Sens!$Z$7656</f>
        <v>673.613949706244</v>
      </c>
      <c r="M7656" s="38" t="n">
        <f aca="false">Sens!$AA$7656</f>
        <v>659.015198613032</v>
      </c>
      <c r="R7656" s="38" t="n">
        <f aca="false">SUM(Sens!$R$7648:$R$7648)-SUM(Sens!$R$7655:$R$7655)</f>
        <v>1.50429979529945</v>
      </c>
      <c r="S7656" s="38" t="n">
        <f aca="false">SUM(Sens!$R$7648:$S$7648)-SUM(Sens!$R$7655:$S$7655)</f>
        <v>12.5947000466786</v>
      </c>
      <c r="T7656" s="38" t="n">
        <f aca="false">SUM(Sens!$R$7648:$T$7648)-SUM(Sens!$R$7655:$T$7655)</f>
        <v>61.6860742980578</v>
      </c>
      <c r="U7656" s="38" t="n">
        <f aca="false">SUM(Sens!$R$7648:$U$7648)-SUM(Sens!$R$7655:$U$7655)</f>
        <v>183.227790688937</v>
      </c>
      <c r="V7656" s="38" t="n">
        <f aca="false">SUM(Sens!$R$7648:$V$7648)-SUM(Sens!$R$7655:$V$7655)</f>
        <v>355.135121861816</v>
      </c>
      <c r="W7656" s="38" t="n">
        <f aca="false">SUM(Sens!$R$7648:$W$7648)-SUM(Sens!$R$7655:$W$7655)</f>
        <v>505.39443162632</v>
      </c>
      <c r="X7656" s="38" t="n">
        <f aca="false">SUM(Sens!$R$7648:$X$7648)-SUM(Sens!$R$7655:$X$7655)</f>
        <v>632.154865722408</v>
      </c>
      <c r="Y7656" s="38" t="n">
        <f aca="false">SUM(Sens!$R$7648:$Y$7648)-SUM(Sens!$R$7655:$Y$7655)</f>
        <v>674.845221213145</v>
      </c>
      <c r="Z7656" s="38" t="n">
        <f aca="false">SUM(Sens!$R$7648:$Z$7648)-SUM(Sens!$R$7655:$Z$7655)</f>
        <v>673.613949706244</v>
      </c>
      <c r="AA7656" s="38" t="n">
        <f aca="false">SUM(Sens!$R$7648:$AA$7648)-SUM(Sens!$R$7655:$AA$7655)</f>
        <v>659.015198613032</v>
      </c>
    </row>
    <row r="7657" customFormat="false" ht="17.15" hidden="false" customHeight="false" outlineLevel="0" collapsed="false">
      <c r="A7657" s="1" t="s">
        <v>641</v>
      </c>
    </row>
    <row r="7658" customFormat="false" ht="17.15" hidden="false" customHeight="false" outlineLevel="0" collapsed="false">
      <c r="A7658" s="0" t="s">
        <v>642</v>
      </c>
      <c r="B7658" s="0" t="s">
        <v>86</v>
      </c>
      <c r="C7658" s="38" t="n">
        <f aca="false">Sens!$C$7637-ext_sh*Sens!$C$7639</f>
        <v>1.80694998843362</v>
      </c>
      <c r="D7658" s="38" t="n">
        <f aca="false">Sens!$D$7637-ext_sh*Sens!$D$7639</f>
        <v>6.77606245662607</v>
      </c>
      <c r="E7658" s="38" t="n">
        <f aca="false">Sens!$E$7637-ext_sh*Sens!$E$7639</f>
        <v>6.62548329092326</v>
      </c>
      <c r="F7658" s="38" t="n">
        <f aca="false">Sens!$F$7637-ext_sh*Sens!$F$7639</f>
        <v>11.7200577158706</v>
      </c>
      <c r="G7658" s="38" t="n">
        <f aca="false">Sens!$G$7637-ext_sh*Sens!$G$7639</f>
        <v>18.3455410067939</v>
      </c>
      <c r="H7658" s="38" t="n">
        <f aca="false">Sens!$H$7637-ext_sh*Sens!$H$7639</f>
        <v>47.5171727060453</v>
      </c>
      <c r="I7658" s="38" t="n">
        <f aca="false">Sens!$I$7637-ext_sh*Sens!$I$7639</f>
        <v>80.5539692643667</v>
      </c>
      <c r="J7658" s="38" t="n">
        <f aca="false">Sens!$J$7637-ext_sh*Sens!$J$7639</f>
        <v>113.759316834883</v>
      </c>
      <c r="K7658" s="38" t="n">
        <f aca="false">Sens!$K$7637-ext_sh*Sens!$K$7639</f>
        <v>142.084411492169</v>
      </c>
      <c r="L7658" s="38" t="n">
        <f aca="false">Sens!$L$7637-ext_sh*Sens!$L$7639</f>
        <v>160.69964615804</v>
      </c>
      <c r="M7658" s="38" t="n">
        <f aca="false">Sens!$M$7637-ext_sh*Sens!$M$7639</f>
        <v>169.577607141793</v>
      </c>
      <c r="N7658" s="38" t="n">
        <f aca="false">Sens!$N$7637-ext_sh*Sens!$N$7639</f>
        <v>2.37162185981912</v>
      </c>
      <c r="O7658" s="38" t="n">
        <f aca="false">Sens!$O$7637-ext_sh*Sens!$O$7639</f>
        <v>4.40444059680694</v>
      </c>
    </row>
    <row r="7659" customFormat="false" ht="17.15" hidden="false" customHeight="false" outlineLevel="0" collapsed="false">
      <c r="A7659" s="1" t="s">
        <v>643</v>
      </c>
      <c r="B7659" s="8" t="s">
        <v>86</v>
      </c>
      <c r="C7659" s="38" t="n">
        <f aca="false">Sens!$C$7658-ext_sh*Sens!$C$7655</f>
        <v>1.64417882953695</v>
      </c>
      <c r="D7659" s="38" t="n">
        <f aca="false">Sens!$D$7658-ext_sh*Sens!$D$7655</f>
        <v>5.39125073772939</v>
      </c>
      <c r="E7659" s="38" t="n">
        <f aca="false">Sens!$E$7658-ext_sh*Sens!$E$7655</f>
        <v>3.18348617147493</v>
      </c>
      <c r="F7659" s="38" t="n">
        <f aca="false">Sens!$F$7658-ext_sh*Sens!$F$7655</f>
        <v>8.27806059642226</v>
      </c>
      <c r="G7659" s="38" t="n">
        <f aca="false">Sens!$G$7658-ext_sh*Sens!$G$7655</f>
        <v>11.4615467678972</v>
      </c>
      <c r="H7659" s="38" t="n">
        <f aca="false">Sens!$H$7658-ext_sh*Sens!$H$7655</f>
        <v>26.1859456885487</v>
      </c>
      <c r="I7659" s="38" t="n">
        <f aca="false">Sens!$I$7658-ext_sh*Sens!$I$7655</f>
        <v>37.04424114757</v>
      </c>
      <c r="J7659" s="38" t="n">
        <f aca="false">Sens!$J$7658-ext_sh*Sens!$J$7655</f>
        <v>47.2610736233534</v>
      </c>
      <c r="K7659" s="38" t="n">
        <f aca="false">Sens!$K$7658-ext_sh*Sens!$K$7655</f>
        <v>52.0459876645985</v>
      </c>
      <c r="L7659" s="38" t="n">
        <f aca="false">Sens!$L$7658-ext_sh*Sens!$L$7655</f>
        <v>54.1033156405981</v>
      </c>
      <c r="M7659" s="38" t="n">
        <f aca="false">Sens!$M$7658-ext_sh*Sens!$M$7655</f>
        <v>52.1138209393421</v>
      </c>
      <c r="N7659" s="38" t="n">
        <f aca="false">Sens!$N$7658-ext_sh*Sens!$N$7655</f>
        <v>1.67921600037079</v>
      </c>
      <c r="O7659" s="38" t="n">
        <f aca="false">Sens!$O$7658-ext_sh*Sens!$O$7655</f>
        <v>3.71203473735861</v>
      </c>
    </row>
    <row r="7660" customFormat="false" ht="17.15" hidden="false" customHeight="false" outlineLevel="0" collapsed="false">
      <c r="A7660" s="0" t="s">
        <v>644</v>
      </c>
      <c r="B7660" s="0" t="s">
        <v>52</v>
      </c>
      <c r="C7660" s="13" t="n">
        <f aca="false">Sens!$C$7659/Sens!$C$7637</f>
        <v>0.708390794789371</v>
      </c>
      <c r="D7660" s="13" t="n">
        <f aca="false">Sens!$D$7659/Sens!$D$7637</f>
        <v>0.619415573115729</v>
      </c>
      <c r="E7660" s="13" t="n">
        <f aca="false">Sens!$E$7659/Sens!$E$7637</f>
        <v>0.374072166056273</v>
      </c>
      <c r="F7660" s="13" t="n">
        <f aca="false">Sens!$F$7659/Sens!$F$7637</f>
        <v>0.553219320710057</v>
      </c>
      <c r="G7660" s="13" t="n">
        <f aca="false">Sens!$G$7659/Sens!$G$7637</f>
        <v>0.488270041527512</v>
      </c>
      <c r="H7660" s="13" t="n">
        <f aca="false">Sens!$H$7659/Sens!$H$7637</f>
        <v>0.435229086816882</v>
      </c>
      <c r="I7660" s="13" t="n">
        <f aca="false">Sens!$I$7659/Sens!$I$7637</f>
        <v>0.364954592421095</v>
      </c>
      <c r="J7660" s="13" t="n">
        <f aca="false">Sens!$J$7659/Sens!$J$7637</f>
        <v>0.330438308582232</v>
      </c>
      <c r="K7660" s="13" t="n">
        <f aca="false">Sens!$K$7659/Sens!$K$7637</f>
        <v>0.2916589289528</v>
      </c>
      <c r="L7660" s="13" t="n">
        <f aca="false">Sens!$L$7659/Sens!$L$7637</f>
        <v>0.268199200593258</v>
      </c>
      <c r="M7660" s="13" t="n">
        <f aca="false">Sens!$M$7659/Sens!$M$7637</f>
        <v>0.244854995033574</v>
      </c>
      <c r="N7660" s="13" t="n">
        <f aca="false">Sens!$N$7659/Sens!$N$7637</f>
        <v>0.551227795793364</v>
      </c>
      <c r="O7660" s="13" t="n">
        <f aca="false">Sens!$O$7659/Sens!$O$7637</f>
        <v>0.656132068597002</v>
      </c>
    </row>
    <row r="7661" customFormat="false" ht="17.15" hidden="false" customHeight="false" outlineLevel="0" collapsed="false">
      <c r="A7661" s="5" t="s">
        <v>645</v>
      </c>
      <c r="B7661" s="0" t="s">
        <v>86</v>
      </c>
      <c r="C7661" s="39" t="n">
        <v>0</v>
      </c>
      <c r="D7661" s="39" t="n">
        <v>0</v>
      </c>
      <c r="E7661" s="39" t="n">
        <v>0</v>
      </c>
      <c r="F7661" s="38" t="n">
        <f aca="false">IF(internal_ai_reading=2,1,0)*(1-ext_sh)/ext_sh*(mw_open*he_open+Sens!$F$7635*Sens!$F$7632)*Sens!$F$7621/1000</f>
        <v>3.77122048175818</v>
      </c>
      <c r="G7661" s="38" t="n">
        <f aca="false">Sens!$E$7661+Sens!$F$7661</f>
        <v>3.77122048175818</v>
      </c>
      <c r="H7661" s="38" t="n">
        <f aca="false">IF(internal_ai_reading=2,1,0)*(1-ext_sh)/ext_sh*(mw_open*he_open+Sens!$H$7635*Sens!$H$7632)*Sens!$H$7621/1000</f>
        <v>15.1635543609893</v>
      </c>
      <c r="I7661" s="38" t="n">
        <f aca="false">IF(internal_ai_reading=2,1,0)*(1-ext_sh)/ext_sh*(mw_open*he_open+Sens!$I$7635*Sens!$I$7632)*Sens!$I$7621/1000</f>
        <v>25.5818843619889</v>
      </c>
      <c r="J7661" s="38" t="n">
        <f aca="false">IF(internal_ai_reading=2,1,0)*(1-ext_sh)/ext_sh*(mw_open*he_open+Sens!$J$7635*Sens!$J$7632)*Sens!$J$7621/1000</f>
        <v>36.0465624179122</v>
      </c>
      <c r="K7661" s="38" t="n">
        <f aca="false">IF(internal_ai_reading=2,1,0)*(1-ext_sh)/ext_sh*(mw_open*he_open+Sens!$K$7635*Sens!$K$7632)*Sens!$K$7621/1000</f>
        <v>44.9741164026038</v>
      </c>
      <c r="L7661" s="38" t="n">
        <f aca="false">IF(internal_ai_reading=2,1,0)*(1-ext_sh)/ext_sh*(mw_open*he_open+Sens!$L$7635*Sens!$L$7632)*Sens!$L$7621/1000</f>
        <v>50.8413488057813</v>
      </c>
      <c r="M7661" s="38" t="n">
        <f aca="false">IF(internal_ai_reading=2,1,0)*(1-ext_sh)/ext_sh*(mw_open*he_open+Sens!$M$7635*Sens!$M$7632)*Sens!$M$7621/1000</f>
        <v>53.6407214274315</v>
      </c>
      <c r="N7661" s="39" t="n">
        <v>0</v>
      </c>
      <c r="O7661" s="39" t="n">
        <v>0</v>
      </c>
      <c r="P7661" s="8" t="s">
        <v>646</v>
      </c>
    </row>
    <row r="7662" customFormat="false" ht="17.15" hidden="false" customHeight="false" outlineLevel="0" collapsed="false">
      <c r="A7662" s="5" t="s">
        <v>647</v>
      </c>
      <c r="B7662" s="0" t="s">
        <v>86</v>
      </c>
      <c r="C7662" s="38" t="n">
        <f aca="false">(1-ext_sh)*(Sens!$C$7639+Sens!$C$7655)</f>
        <v>0.169206631859174</v>
      </c>
      <c r="D7662" s="38" t="n">
        <f aca="false">(1-ext_sh)*(Sens!$D$7639+Sens!$D$7655)</f>
        <v>0.828129837730442</v>
      </c>
      <c r="E7662" s="38" t="n">
        <f aca="false">(1-ext_sh)*(Sens!$E$7639+Sens!$E$7655)</f>
        <v>1.33171670102377</v>
      </c>
      <c r="F7662" s="38" t="n">
        <f aca="false">(1-ext_sh)*(Sens!$F$7639+Sens!$F$7655)</f>
        <v>1.67134326207455</v>
      </c>
      <c r="G7662" s="38" t="n">
        <f aca="false">(1-ext_sh)*(Sens!$G$7639+Sens!$G$7655)</f>
        <v>3.00305996309832</v>
      </c>
      <c r="H7662" s="38" t="n">
        <f aca="false">(1-ext_sh)*(Sens!$H$7639+Sens!$H$7655)</f>
        <v>8.49498626530648</v>
      </c>
      <c r="I7662" s="38" t="n">
        <f aca="false">(1-ext_sh)*(Sens!$I$7639+Sens!$I$7655)</f>
        <v>16.1148644972155</v>
      </c>
      <c r="J7662" s="38" t="n">
        <f aca="false">(1-ext_sh)*(Sens!$J$7639+Sens!$J$7655)</f>
        <v>23.9410833819812</v>
      </c>
      <c r="K7662" s="38" t="n">
        <f aca="false">(1-ext_sh)*(Sens!$K$7639+Sens!$K$7655)</f>
        <v>31.6005331796453</v>
      </c>
      <c r="L7662" s="38" t="n">
        <f aca="false">(1-ext_sh)*(Sens!$L$7639+Sens!$L$7655)</f>
        <v>36.9061965404496</v>
      </c>
      <c r="M7662" s="38" t="n">
        <f aca="false">(1-ext_sh)*(Sens!$M$7639+Sens!$M$7655)</f>
        <v>40.1804051073808</v>
      </c>
      <c r="N7662" s="38" t="n">
        <f aca="false">(1-ext_sh)*(Sens!$N$7639+Sens!$N$7655)</f>
        <v>0.34177588266428</v>
      </c>
      <c r="O7662" s="38" t="n">
        <f aca="false">(1-ext_sh)*(Sens!$O$7639+Sens!$O$7655)</f>
        <v>0.486353955066162</v>
      </c>
    </row>
    <row r="7663" customFormat="false" ht="17.15" hidden="false" customHeight="false" outlineLevel="0" collapsed="false">
      <c r="A7663" s="0" t="s">
        <v>648</v>
      </c>
      <c r="B7663" s="0" t="s">
        <v>86</v>
      </c>
      <c r="C7663" s="38" t="n">
        <f aca="false">Q!$D$24</f>
        <v>39.834</v>
      </c>
      <c r="D7663" s="38" t="n">
        <f aca="false">Q!$E$24</f>
        <v>45.606</v>
      </c>
      <c r="E7663" s="38" t="n">
        <f aca="false">Q!$P$24</f>
        <v>30.782</v>
      </c>
      <c r="N7663" s="38" t="n">
        <f aca="false">Q!$N$24</f>
        <v>21.707</v>
      </c>
      <c r="O7663" s="38" t="n">
        <f aca="false">Q!$O$24</f>
        <v>23.899</v>
      </c>
    </row>
    <row r="7664" customFormat="false" ht="17.15" hidden="false" customHeight="false" outlineLevel="0" collapsed="false">
      <c r="A7664" s="0" t="s">
        <v>649</v>
      </c>
      <c r="B7664" s="0" t="s">
        <v>86</v>
      </c>
      <c r="C7664" s="38" t="n">
        <f aca="false">Sens!$C$7663-Sens!$C$7659</f>
        <v>38.1898211704631</v>
      </c>
      <c r="D7664" s="38" t="n">
        <f aca="false">Sens!$D$7663-Sens!$D$7659</f>
        <v>40.2147492622706</v>
      </c>
      <c r="E7664" s="38" t="n">
        <f aca="false">Sens!$E$7663-Sens!$E$7659</f>
        <v>27.5985138285251</v>
      </c>
      <c r="F7664" s="38" t="n">
        <f aca="false">Sens!$F$7641*Sens!$F$7665</f>
        <v>25.5484769754606</v>
      </c>
      <c r="G7664" s="38" t="n">
        <f aca="false">Sens!$E$7664+Sens!$F$7664</f>
        <v>53.1469908039857</v>
      </c>
      <c r="H7664" s="38" t="n">
        <f aca="false">Sens!$H$7641*Sens!$H$7665</f>
        <v>57.3189525076539</v>
      </c>
      <c r="I7664" s="38" t="n">
        <f aca="false">Sens!$I$7641*Sens!$I$7665</f>
        <v>63.6385627021087</v>
      </c>
      <c r="J7664" s="38" t="n">
        <f aca="false">Sens!$J$7641*Sens!$J$7665</f>
        <v>69.6922896066105</v>
      </c>
      <c r="K7664" s="38" t="n">
        <f aca="false">Sens!$K$7641*Sens!$K$7665</f>
        <v>75.2676727751394</v>
      </c>
      <c r="L7664" s="38" t="n">
        <f aca="false">Sens!$L$7641*Sens!$L$7665</f>
        <v>81.2890865971505</v>
      </c>
      <c r="M7664" s="38" t="n">
        <f aca="false">Sens!$M$7641*Sens!$M$7665</f>
        <v>87.7922135249226</v>
      </c>
      <c r="N7664" s="38" t="n">
        <f aca="false">Sens!$N$7663-Sens!$N$7659</f>
        <v>20.0277839996292</v>
      </c>
      <c r="O7664" s="38" t="n">
        <f aca="false">Sens!$O$7663-Sens!$O$7659</f>
        <v>20.1869652626414</v>
      </c>
      <c r="P7664" s="5" t="s">
        <v>650</v>
      </c>
    </row>
    <row r="7665" customFormat="false" ht="17.15" hidden="false" customHeight="false" outlineLevel="0" collapsed="false">
      <c r="A7665" s="0" t="s">
        <v>651</v>
      </c>
      <c r="B7665" s="0" t="s">
        <v>52</v>
      </c>
      <c r="C7665" s="13" t="n">
        <f aca="false">Sens!$C$7664/Sens!$C$7641</f>
        <v>0.362900395443635</v>
      </c>
      <c r="D7665" s="13" t="n">
        <f aca="false">Sens!$D$7664/Sens!$D$7641</f>
        <v>0.335063632425483</v>
      </c>
      <c r="E7665" s="13" t="n">
        <f aca="false">Sens!$E$7664/Sens!$E$7641</f>
        <v>0.387028992698038</v>
      </c>
      <c r="F7665" s="13" t="n">
        <f aca="false">(Sens!$O$7664+Sens!$E$7664)/(Sens!$O$7641+Sens!$E$7641)</f>
        <v>0.355980580118587</v>
      </c>
      <c r="G7665" s="13" t="n">
        <f aca="false">Sens!$G$7664/Sens!$G$7641</f>
        <v>0.371454804780916</v>
      </c>
      <c r="H7665" s="13" t="n">
        <f aca="false">Sens!$F$7665</f>
        <v>0.355980580118587</v>
      </c>
      <c r="I7665" s="13" t="n">
        <f aca="false">Sens!$F$7665</f>
        <v>0.355980580118587</v>
      </c>
      <c r="J7665" s="13" t="n">
        <f aca="false">Sens!$F$7665</f>
        <v>0.355980580118587</v>
      </c>
      <c r="K7665" s="13" t="n">
        <f aca="false">Sens!$F$7665</f>
        <v>0.355980580118587</v>
      </c>
      <c r="L7665" s="13" t="n">
        <f aca="false">Sens!$F$7665</f>
        <v>0.355980580118587</v>
      </c>
      <c r="M7665" s="13" t="n">
        <f aca="false">Sens!$F$7665</f>
        <v>0.355980580118587</v>
      </c>
      <c r="N7665" s="13" t="n">
        <f aca="false">Sens!$N$7664/Sens!$N$7641</f>
        <v>0.35078810535806</v>
      </c>
      <c r="O7665" s="13" t="n">
        <f aca="false">Sens!$O$7664/Sens!$O$7641</f>
        <v>0.320796939361619</v>
      </c>
      <c r="P7665" s="8" t="s">
        <v>652</v>
      </c>
    </row>
    <row r="7666" customFormat="false" ht="17.15" hidden="false" customHeight="false" outlineLevel="0" collapsed="false">
      <c r="A7666" s="0" t="s">
        <v>653</v>
      </c>
      <c r="B7666" s="0" t="s">
        <v>52</v>
      </c>
      <c r="D7666" s="13" t="n">
        <f aca="false">(Q!$E$31-ext_sh*Sens!$D$7655)/Sens!$D$7641</f>
        <v>0.167180325480118</v>
      </c>
    </row>
    <row r="7667" customFormat="false" ht="17.15" hidden="false" customHeight="false" outlineLevel="0" collapsed="false">
      <c r="A7667" s="0" t="s">
        <v>654</v>
      </c>
      <c r="B7667" s="0" t="s">
        <v>86</v>
      </c>
      <c r="C7667" s="38" t="n">
        <f aca="false">Q!$D$31</f>
        <v>13.32</v>
      </c>
      <c r="D7667" s="38" t="n">
        <f aca="false">Q!$E$31</f>
        <v>21.45</v>
      </c>
      <c r="E7667" s="38" t="n">
        <f aca="false">Q!$P$31</f>
        <v>15.353</v>
      </c>
      <c r="F7667" s="38" t="n">
        <f aca="false">ext_sh*Sens!$F$7655+Sens!$D$7666*Sens!$F$7641</f>
        <v>15.4404120185306</v>
      </c>
      <c r="G7667" s="38" t="n">
        <f aca="false">Sens!$E$7667+Sens!$F$7667</f>
        <v>30.7934120185306</v>
      </c>
      <c r="H7667" s="38" t="n">
        <f aca="false">ext_sh*Sens!$H$7655+Sens!$D$7666*Sens!$H$7641</f>
        <v>48.250114371455</v>
      </c>
      <c r="I7667" s="38" t="n">
        <f aca="false">ext_sh*Sens!$I$7655+Sens!$D$7666*Sens!$I$7641</f>
        <v>73.3965146995963</v>
      </c>
      <c r="J7667" s="38" t="n">
        <f aca="false">ext_sh*Sens!$J$7655+Sens!$D$7666*Sens!$J$7641</f>
        <v>99.22806138309</v>
      </c>
      <c r="K7667" s="38" t="n">
        <f aca="false">ext_sh*Sens!$K$7655+Sens!$D$7666*Sens!$K$7641</f>
        <v>125.386627452856</v>
      </c>
      <c r="L7667" s="38" t="n">
        <f aca="false">ext_sh*Sens!$L$7655+Sens!$D$7666*Sens!$L$7641</f>
        <v>144.77239043275</v>
      </c>
      <c r="M7667" s="38" t="n">
        <f aca="false">ext_sh*Sens!$M$7655+Sens!$D$7666*Sens!$M$7641</f>
        <v>158.693930910983</v>
      </c>
      <c r="N7667" s="38" t="n">
        <f aca="false">Q!$N$31</f>
        <v>9.234</v>
      </c>
      <c r="O7667" s="38" t="n">
        <f aca="false">Q!$O$31</f>
        <v>12.216</v>
      </c>
    </row>
    <row r="7668" customFormat="false" ht="17.15" hidden="false" customHeight="false" outlineLevel="0" collapsed="false">
      <c r="A7668" s="1" t="s">
        <v>655</v>
      </c>
    </row>
    <row r="7669" customFormat="false" ht="17.15" hidden="false" customHeight="false" outlineLevel="0" collapsed="false">
      <c r="A7669" s="15" t="s">
        <v>656</v>
      </c>
      <c r="B7669" s="14" t="s">
        <v>52</v>
      </c>
      <c r="C7669" s="14"/>
      <c r="D7669" s="14"/>
      <c r="E7669" s="14"/>
      <c r="F7669" s="14"/>
      <c r="G7669" s="17" t="n">
        <f aca="false">Sens!$G$7659*(1-tax)/(ext_sh*(Sens!$D$7656+Sens!$G$7656)/2)</f>
        <v>0.0966870495301478</v>
      </c>
      <c r="H7669" s="17" t="n">
        <f aca="false">Sens!$H$7659*(1-tax)/(ext_sh*(Sens!$G$7656+Sens!$H$7656)/2)</f>
        <v>0.100492020334136</v>
      </c>
      <c r="I7669" s="17" t="n">
        <f aca="false">Sens!$I$7659*(1-tax)/(ext_sh*(Sens!$H$7656+Sens!$I$7656)/2)</f>
        <v>0.0889392292218236</v>
      </c>
      <c r="J7669" s="17" t="n">
        <f aca="false">Sens!$J$7659*(1-tax)/(ext_sh*(Sens!$I$7656+Sens!$J$7656)/2)</f>
        <v>0.0858364613777012</v>
      </c>
      <c r="K7669" s="17" t="n">
        <f aca="false">Sens!$K$7659*(1-tax)/(ext_sh*(Sens!$J$7656+Sens!$K$7656)/2)</f>
        <v>0.08227162714687</v>
      </c>
      <c r="L7669" s="17" t="n">
        <f aca="false">Sens!$L$7659*(1-tax)/(ext_sh*(Sens!$K$7656+Sens!$L$7656)/2)</f>
        <v>0.0828942732763872</v>
      </c>
      <c r="M7669" s="17" t="n">
        <f aca="false">Sens!$M$7659*(1-tax)/(ext_sh*(Sens!$L$7656+Sens!$M$7656)/2)</f>
        <v>0.0807945482347635</v>
      </c>
      <c r="N7669" s="14"/>
      <c r="O7669" s="14"/>
      <c r="P7669" s="8" t="s">
        <v>657</v>
      </c>
    </row>
    <row r="7670" customFormat="false" ht="17.15" hidden="false" customHeight="false" outlineLevel="0" collapsed="false">
      <c r="A7670" s="5" t="s">
        <v>658</v>
      </c>
      <c r="B7670" s="0" t="s">
        <v>57</v>
      </c>
      <c r="H7670" s="36" t="n">
        <f aca="false">Sens!$H$7637*1000/(mw_open*he_open+Sens!$H$7635*Sens!$H$7632)</f>
        <v>0.991949006767191</v>
      </c>
      <c r="I7670" s="36" t="n">
        <f aca="false">Sens!$I$7637*1000/(mw_open*he_open+Sens!$I$7635*Sens!$I$7632)</f>
        <v>0.991949006767191</v>
      </c>
      <c r="J7670" s="36" t="n">
        <f aca="false">Sens!$J$7637*1000/(mw_open*he_open+Sens!$J$7635*Sens!$J$7632)</f>
        <v>0.991949006767191</v>
      </c>
      <c r="K7670" s="36" t="n">
        <f aca="false">Sens!$K$7637*1000/(mw_open*he_open+Sens!$K$7635*Sens!$K$7632)</f>
        <v>0.991949006767191</v>
      </c>
      <c r="L7670" s="36" t="n">
        <f aca="false">Sens!$L$7637*1000/(mw_open*he_open+Sens!$L$7635*Sens!$L$7632)</f>
        <v>0.991949006767191</v>
      </c>
      <c r="M7670" s="36" t="n">
        <f aca="false">Sens!$M$7637*1000/(mw_open*he_open+Sens!$M$7635*Sens!$M$7632)</f>
        <v>0.991949006767191</v>
      </c>
    </row>
    <row r="7671" customFormat="false" ht="17.15" hidden="false" customHeight="false" outlineLevel="0" collapsed="false">
      <c r="A7671" s="5" t="s">
        <v>659</v>
      </c>
      <c r="B7671" s="0" t="s">
        <v>57</v>
      </c>
      <c r="H7671" s="36" t="n">
        <f aca="false">Sens!$H$7670*(Sens!$H$7637+wacc*ext_sh*(Sens!$G$7656+Sens!$H$7656)/2/(1-tax)-Sens!$H$7659)/Sens!$H$7637</f>
        <v>1.04696246089529</v>
      </c>
      <c r="I7671" s="36" t="n">
        <f aca="false">Sens!$I$7670*(Sens!$I$7637+wacc*ext_sh*(Sens!$H$7656+Sens!$I$7656)/2/(1-tax)-Sens!$I$7659)/Sens!$I$7637</f>
        <v>1.09109607940198</v>
      </c>
      <c r="J7671" s="36" t="n">
        <f aca="false">Sens!$J$7670*(Sens!$J$7637+wacc*ext_sh*(Sens!$I$7656+Sens!$J$7656)/2/(1-tax)-Sens!$J$7659)/Sens!$J$7637</f>
        <v>1.09681234280071</v>
      </c>
      <c r="K7671" s="36" t="n">
        <f aca="false">Sens!$K$7670*(Sens!$K$7637+wacc*ext_sh*(Sens!$J$7656+Sens!$K$7656)/2/(1-tax)-Sens!$K$7659)/Sens!$K$7637</f>
        <v>1.10105220068984</v>
      </c>
      <c r="L7671" s="36" t="n">
        <f aca="false">Sens!$L$7670*(Sens!$L$7637+wacc*ext_sh*(Sens!$K$7656+Sens!$L$7656)/2/(1-tax)-Sens!$L$7659)/Sens!$L$7637</f>
        <v>1.08952452639895</v>
      </c>
      <c r="M7671" s="36" t="n">
        <f aca="false">Sens!$M$7670*(Sens!$M$7637+wacc*ext_sh*(Sens!$L$7656+Sens!$M$7656)/2/(1-tax)-Sens!$M$7659)/Sens!$M$7637</f>
        <v>1.08965878549519</v>
      </c>
    </row>
    <row r="7672" customFormat="false" ht="17.15" hidden="false" customHeight="false" outlineLevel="0" collapsed="false">
      <c r="A7672" s="5" t="s">
        <v>660</v>
      </c>
      <c r="B7672" s="0" t="s">
        <v>52</v>
      </c>
      <c r="C7672" s="13" t="n">
        <f aca="false">Sens!$C$7638/tk_pq</f>
        <v>0.195316432429398</v>
      </c>
      <c r="D7672" s="13" t="n">
        <f aca="false">Sens!$D$7638/tk_pq</f>
        <v>0.195316432429398</v>
      </c>
      <c r="E7672" s="13" t="n">
        <f aca="false">Sens!$E$7638/tk_pq</f>
        <v>0.195316432429398</v>
      </c>
      <c r="F7672" s="13" t="n">
        <f aca="false">Sens!$F$7638/tk_pq</f>
        <v>0.202241827274866</v>
      </c>
      <c r="G7672" s="13" t="n">
        <f aca="false">Sens!$G$7638/tk_pq</f>
        <v>0.199675016194063</v>
      </c>
      <c r="H7672" s="13" t="n">
        <f aca="false">Sens!$H$7638/tk_pq</f>
        <v>0.212647947710325</v>
      </c>
      <c r="I7672" s="13" t="n">
        <f aca="false">Sens!$I$7638/tk_pq</f>
        <v>0.219285125475351</v>
      </c>
      <c r="J7672" s="13" t="n">
        <f aca="false">Sens!$J$7638/tk_pq</f>
        <v>0.222492493217189</v>
      </c>
      <c r="K7672" s="13" t="n">
        <f aca="false">Sens!$K$7638/tk_pq</f>
        <v>0.224053502812094</v>
      </c>
      <c r="L7672" s="13" t="n">
        <f aca="false">Sens!$L$7638/tk_pq</f>
        <v>0.224786916785614</v>
      </c>
      <c r="M7672" s="13" t="n">
        <f aca="false">Sens!$M$7638/tk_pq</f>
        <v>0.225048671566937</v>
      </c>
      <c r="N7672" s="13" t="n">
        <f aca="false">Sens!$N$7638/tk_pq</f>
        <v>0.195316432429398</v>
      </c>
      <c r="O7672" s="13" t="n">
        <f aca="false">Sens!$O$7638/tk_pq</f>
        <v>0.195316432429398</v>
      </c>
      <c r="P7672" s="5" t="s">
        <v>661</v>
      </c>
    </row>
    <row r="7675" customFormat="false" ht="17.15" hidden="false" customHeight="false" outlineLevel="0" collapsed="false">
      <c r="A7675" s="1" t="s">
        <v>690</v>
      </c>
    </row>
    <row r="7676" customFormat="false" ht="17.15" hidden="false" customHeight="false" outlineLevel="0" collapsed="false">
      <c r="A7676" s="0" t="s">
        <v>691</v>
      </c>
      <c r="B7676" s="0" t="s">
        <v>86</v>
      </c>
      <c r="C7676" s="38" t="n">
        <f aca="false">Sens!$C$7637</f>
        <v>2.32100535697364</v>
      </c>
      <c r="D7676" s="38" t="n">
        <f aca="false">Sens!$D$7637</f>
        <v>8.70377008865116</v>
      </c>
      <c r="E7676" s="38" t="n">
        <f aca="false">Sens!$E$7637</f>
        <v>8.51035297557002</v>
      </c>
      <c r="F7676" s="38" t="n">
        <f aca="false">Sens!$F$7637</f>
        <v>14.9634336447205</v>
      </c>
      <c r="G7676" s="38" t="n">
        <f aca="false">Sens!$G$7637</f>
        <v>23.4737866202905</v>
      </c>
      <c r="H7676" s="38" t="n">
        <f aca="false">Sens!$H$7637</f>
        <v>60.1658907497746</v>
      </c>
      <c r="I7676" s="38" t="n">
        <f aca="false">Sens!$I$7637</f>
        <v>101.503699136432</v>
      </c>
      <c r="J7676" s="38" t="n">
        <f aca="false">Sens!$J$7637</f>
        <v>143.025407151278</v>
      </c>
      <c r="K7676" s="38" t="n">
        <f aca="false">Sens!$K$7637</f>
        <v>178.44812038318</v>
      </c>
      <c r="L7676" s="38" t="n">
        <f aca="false">Sens!$L$7637</f>
        <v>201.728101802396</v>
      </c>
      <c r="M7676" s="38" t="n">
        <f aca="false">Sens!$M$7637</f>
        <v>212.835441368865</v>
      </c>
      <c r="N7676" s="38" t="n">
        <f aca="false">Sens!$N$7637</f>
        <v>3.04631953102791</v>
      </c>
      <c r="O7676" s="38" t="n">
        <f aca="false">Sens!$O$7637</f>
        <v>5.65745055762326</v>
      </c>
      <c r="P7676" s="8" t="s">
        <v>692</v>
      </c>
    </row>
    <row r="7677" customFormat="false" ht="17.15" hidden="false" customHeight="false" outlineLevel="0" collapsed="false">
      <c r="A7677" s="0" t="s">
        <v>693</v>
      </c>
      <c r="B7677" s="0" t="s">
        <v>86</v>
      </c>
      <c r="C7677" s="38" t="n">
        <f aca="false">Sens!$C$7641</f>
        <v>105.234994643026</v>
      </c>
      <c r="D7677" s="38" t="n">
        <f aca="false">Sens!$D$7641</f>
        <v>120.021229911349</v>
      </c>
      <c r="E7677" s="38" t="n">
        <f aca="false">Sens!$E$7641</f>
        <v>71.30864702443</v>
      </c>
      <c r="F7677" s="38" t="n">
        <f aca="false">Sens!$F$7641</f>
        <v>71.7692997942464</v>
      </c>
      <c r="G7677" s="38" t="n">
        <f aca="false">Sens!$G$7641</f>
        <v>143.077946818676</v>
      </c>
      <c r="H7677" s="38" t="n">
        <f aca="false">Sens!$H$7641</f>
        <v>161.017077079203</v>
      </c>
      <c r="I7677" s="38" t="n">
        <f aca="false">Sens!$I$7641</f>
        <v>178.769759521457</v>
      </c>
      <c r="J7677" s="38" t="n">
        <f aca="false">Sens!$J$7641</f>
        <v>195.775538045907</v>
      </c>
      <c r="K7677" s="38" t="n">
        <f aca="false">Sens!$K$7641</f>
        <v>211.43758108958</v>
      </c>
      <c r="L7677" s="38" t="n">
        <f aca="false">Sens!$L$7641</f>
        <v>228.352587576746</v>
      </c>
      <c r="M7677" s="38" t="n">
        <f aca="false">Sens!$M$7641</f>
        <v>246.620794582886</v>
      </c>
      <c r="N7677" s="38" t="n">
        <f aca="false">Sens!$N$7641</f>
        <v>57.0936804689721</v>
      </c>
      <c r="O7677" s="38" t="n">
        <f aca="false">Sens!$O$7641</f>
        <v>62.9275494423768</v>
      </c>
      <c r="P7677" s="8" t="s">
        <v>692</v>
      </c>
    </row>
    <row r="7678" customFormat="false" ht="17.15" hidden="false" customHeight="false" outlineLevel="0" collapsed="false">
      <c r="A7678" s="1" t="s">
        <v>516</v>
      </c>
      <c r="B7678" s="8" t="s">
        <v>86</v>
      </c>
      <c r="C7678" s="38" t="n">
        <f aca="false">Q!$D$7</f>
        <v>107.556</v>
      </c>
      <c r="D7678" s="38" t="n">
        <f aca="false">Q!$E$7</f>
        <v>128.725</v>
      </c>
      <c r="E7678" s="38" t="n">
        <f aca="false">Q!$P$7</f>
        <v>79.819</v>
      </c>
      <c r="F7678" s="38" t="n">
        <f aca="false">Sens!$F$7676+Sens!$F$7677</f>
        <v>86.7327334389669</v>
      </c>
      <c r="G7678" s="38" t="n">
        <f aca="false">Sens!$G$7676+Sens!$G$7677</f>
        <v>166.551733438967</v>
      </c>
      <c r="H7678" s="38" t="n">
        <f aca="false">Sens!$H$7676+Sens!$H$7677</f>
        <v>221.182967828978</v>
      </c>
      <c r="I7678" s="38" t="n">
        <f aca="false">Sens!$I$7676+Sens!$I$7677</f>
        <v>280.27345865789</v>
      </c>
      <c r="J7678" s="38" t="n">
        <f aca="false">Sens!$J$7676+Sens!$J$7677</f>
        <v>338.800945197185</v>
      </c>
      <c r="K7678" s="38" t="n">
        <f aca="false">Sens!$K$7676+Sens!$K$7677</f>
        <v>389.88570147276</v>
      </c>
      <c r="L7678" s="38" t="n">
        <f aca="false">Sens!$L$7676+Sens!$L$7677</f>
        <v>430.080689379143</v>
      </c>
      <c r="M7678" s="38" t="n">
        <f aca="false">Sens!$M$7676+Sens!$M$7677</f>
        <v>459.456235951751</v>
      </c>
      <c r="N7678" s="38" t="n">
        <f aca="false">Q!$N$7</f>
        <v>60.14</v>
      </c>
      <c r="O7678" s="38" t="n">
        <f aca="false">Q!$O$7</f>
        <v>68.585</v>
      </c>
      <c r="P7678" s="5" t="s">
        <v>694</v>
      </c>
    </row>
    <row r="7679" customFormat="false" ht="15" hidden="false" customHeight="false" outlineLevel="0" collapsed="false">
      <c r="A7679" s="3" t="s">
        <v>695</v>
      </c>
      <c r="B7679" s="8" t="s">
        <v>86</v>
      </c>
      <c r="C7679" s="38" t="n">
        <f aca="false">Q!$D$8</f>
        <v>637.959</v>
      </c>
      <c r="D7679" s="38" t="n">
        <f aca="false">Q!$E$8</f>
        <v>716.924</v>
      </c>
      <c r="E7679" s="38" t="n">
        <f aca="false">Q!$P$8</f>
        <v>382.125</v>
      </c>
      <c r="F7679" s="38" t="n">
        <f aca="false">Sens!$F$7609+Sens!$F$7678</f>
        <v>435.780975084504</v>
      </c>
      <c r="G7679" s="38" t="n">
        <f aca="false">Sens!$G$7609+Sens!$G$7678</f>
        <v>817.905975084504</v>
      </c>
      <c r="H7679" s="38" t="n">
        <f aca="false">Sens!$H$7609+Sens!$H$7678</f>
        <v>942.279857350364</v>
      </c>
      <c r="I7679" s="38" t="n">
        <f aca="false">Sens!$I$7609+Sens!$I$7678</f>
        <v>1068.80284981042</v>
      </c>
      <c r="J7679" s="38" t="n">
        <f aca="false">Sens!$J$7609+Sens!$J$7678</f>
        <v>1189.90935093863</v>
      </c>
      <c r="K7679" s="38" t="n">
        <f aca="false">Sens!$K$7609+Sens!$K$7678</f>
        <v>1296.06215690385</v>
      </c>
      <c r="L7679" s="38" t="n">
        <f aca="false">Sens!$L$7609+Sens!$L$7678</f>
        <v>1395.17379585473</v>
      </c>
      <c r="M7679" s="38" t="n">
        <f aca="false">Sens!$M$7609+Sens!$M$7678</f>
        <v>1487.60414389864</v>
      </c>
      <c r="N7679" s="38" t="n">
        <f aca="false">Q!$N$8</f>
        <v>323.369</v>
      </c>
      <c r="O7679" s="38" t="n">
        <f aca="false">Q!$O$8</f>
        <v>393.555</v>
      </c>
    </row>
    <row r="7680" customFormat="false" ht="17.15" hidden="false" customHeight="false" outlineLevel="0" collapsed="false">
      <c r="A7680" s="24" t="s">
        <v>703</v>
      </c>
      <c r="B7680" s="25" t="s">
        <v>86</v>
      </c>
      <c r="C7680" s="41" t="n">
        <f aca="false">Sens!$C$7609-(Sens!$C$7611+Sens!$C$7612)</f>
        <v>0</v>
      </c>
      <c r="D7680" s="41" t="n">
        <f aca="false">Sens!$D$7609-(Sens!$D$7611+Sens!$D$7612)</f>
        <v>0</v>
      </c>
      <c r="E7680" s="41" t="n">
        <f aca="false">Sens!$E$7609-(Sens!$E$7611+Sens!$E$7612)</f>
        <v>0</v>
      </c>
      <c r="F7680" s="41" t="n">
        <f aca="false">Sens!$F$7609-(Sens!$F$7611+Sens!$F$7612)</f>
        <v>0</v>
      </c>
      <c r="G7680" s="41" t="n">
        <f aca="false">Sens!$G$7609-(Sens!$G$7611+Sens!$G$7612)</f>
        <v>0</v>
      </c>
      <c r="H7680" s="41" t="n">
        <f aca="false">Sens!$H$7609-(Sens!$H$7611+Sens!$H$7612)</f>
        <v>0</v>
      </c>
      <c r="I7680" s="41" t="n">
        <f aca="false">Sens!$I$7609-(Sens!$I$7611+Sens!$I$7612)</f>
        <v>0</v>
      </c>
      <c r="J7680" s="41" t="n">
        <f aca="false">Sens!$J$7609-(Sens!$J$7611+Sens!$J$7612)</f>
        <v>0</v>
      </c>
      <c r="K7680" s="41" t="n">
        <f aca="false">Sens!$K$7609-(Sens!$K$7611+Sens!$K$7612)</f>
        <v>0</v>
      </c>
      <c r="L7680" s="41" t="n">
        <f aca="false">Sens!$L$7609-(Sens!$L$7611+Sens!$L$7612)</f>
        <v>0</v>
      </c>
      <c r="M7680" s="41" t="n">
        <f aca="false">Sens!$M$7609-(Sens!$M$7611+Sens!$M$7612)</f>
        <v>0</v>
      </c>
      <c r="N7680" s="41" t="n">
        <f aca="false">Sens!$N$7609-(Sens!$N$7611+Sens!$N$7612)</f>
        <v>0</v>
      </c>
      <c r="O7680" s="41" t="n">
        <f aca="false">Sens!$O$7609-(Sens!$O$7611+Sens!$O$7612)</f>
        <v>0</v>
      </c>
    </row>
    <row r="7681" customFormat="false" ht="17.15" hidden="false" customHeight="false" outlineLevel="0" collapsed="false">
      <c r="A7681" s="24" t="s">
        <v>704</v>
      </c>
      <c r="B7681" s="25" t="s">
        <v>86</v>
      </c>
      <c r="C7681" s="41" t="n">
        <f aca="false">Sens!$C$7676+Sens!$C$7677-Sens!$C$7678</f>
        <v>0</v>
      </c>
      <c r="D7681" s="41" t="n">
        <f aca="false">Sens!$D$7676+Sens!$D$7677-Sens!$D$7678</f>
        <v>0</v>
      </c>
      <c r="E7681" s="41" t="n">
        <f aca="false">Sens!$E$7676+Sens!$E$7677-Sens!$E$7678</f>
        <v>0</v>
      </c>
      <c r="F7681" s="41" t="n">
        <f aca="false">Sens!$F$7676+Sens!$F$7677-Sens!$F$7678</f>
        <v>0</v>
      </c>
      <c r="G7681" s="41" t="n">
        <f aca="false">Sens!$G$7676+Sens!$G$7677-Sens!$G$7678</f>
        <v>0</v>
      </c>
      <c r="H7681" s="41" t="n">
        <f aca="false">Sens!$H$7676+Sens!$H$7677-Sens!$H$7678</f>
        <v>0</v>
      </c>
      <c r="I7681" s="41" t="n">
        <f aca="false">Sens!$I$7676+Sens!$I$7677-Sens!$I$7678</f>
        <v>0</v>
      </c>
      <c r="J7681" s="41" t="n">
        <f aca="false">Sens!$J$7676+Sens!$J$7677-Sens!$J$7678</f>
        <v>0</v>
      </c>
      <c r="K7681" s="41" t="n">
        <f aca="false">Sens!$K$7676+Sens!$K$7677-Sens!$K$7678</f>
        <v>0</v>
      </c>
      <c r="L7681" s="41" t="n">
        <f aca="false">Sens!$L$7676+Sens!$L$7677-Sens!$L$7678</f>
        <v>0</v>
      </c>
      <c r="M7681" s="41" t="n">
        <f aca="false">Sens!$M$7676+Sens!$M$7677-Sens!$M$7678</f>
        <v>0</v>
      </c>
      <c r="N7681" s="41" t="n">
        <f aca="false">Sens!$N$7676+Sens!$N$7677-Sens!$N$7678</f>
        <v>0</v>
      </c>
      <c r="O7681" s="41" t="n">
        <f aca="false">Sens!$O$7676+Sens!$O$7677-Sens!$O$7678</f>
        <v>0</v>
      </c>
    </row>
    <row r="7682" customFormat="false" ht="17.15" hidden="false" customHeight="false" outlineLevel="0" collapsed="false">
      <c r="A7682" s="24" t="s">
        <v>705</v>
      </c>
      <c r="B7682" s="25" t="s">
        <v>86</v>
      </c>
      <c r="C7682" s="41" t="n">
        <f aca="false">Sens!$C$7611+Sens!$C$7612+Sens!$C$7678-Sens!$C$7679</f>
        <v>0</v>
      </c>
      <c r="D7682" s="41" t="n">
        <f aca="false">Sens!$D$7611+Sens!$D$7612+Sens!$D$7678-Sens!$D$7679</f>
        <v>0</v>
      </c>
      <c r="E7682" s="41" t="n">
        <f aca="false">Sens!$E$7611+Sens!$E$7612+Sens!$E$7678-Sens!$E$7679</f>
        <v>0</v>
      </c>
      <c r="F7682" s="41" t="n">
        <f aca="false">Sens!$F$7611+Sens!$F$7612+Sens!$F$7678-Sens!$F$7679</f>
        <v>0</v>
      </c>
      <c r="G7682" s="41" t="n">
        <f aca="false">Sens!$G$7611+Sens!$G$7612+Sens!$G$7678-Sens!$G$7679</f>
        <v>0</v>
      </c>
      <c r="H7682" s="41" t="n">
        <f aca="false">Sens!$H$7611+Sens!$H$7612+Sens!$H$7678-Sens!$H$7679</f>
        <v>0</v>
      </c>
      <c r="I7682" s="41" t="n">
        <f aca="false">Sens!$I$7611+Sens!$I$7612+Sens!$I$7678-Sens!$I$7679</f>
        <v>0</v>
      </c>
      <c r="J7682" s="41" t="n">
        <f aca="false">Sens!$J$7611+Sens!$J$7612+Sens!$J$7678-Sens!$J$7679</f>
        <v>0</v>
      </c>
      <c r="K7682" s="41" t="n">
        <f aca="false">Sens!$K$7611+Sens!$K$7612+Sens!$K$7678-Sens!$K$7679</f>
        <v>0</v>
      </c>
      <c r="L7682" s="41" t="n">
        <f aca="false">Sens!$L$7611+Sens!$L$7612+Sens!$L$7678-Sens!$L$7679</f>
        <v>0</v>
      </c>
      <c r="M7682" s="41" t="n">
        <f aca="false">Sens!$M$7611+Sens!$M$7612+Sens!$M$7678-Sens!$M$7679</f>
        <v>0</v>
      </c>
      <c r="N7682" s="41" t="n">
        <f aca="false">Sens!$N$7611+Sens!$N$7612+Sens!$N$7678-Sens!$N$7679</f>
        <v>0</v>
      </c>
      <c r="O7682" s="41" t="n">
        <f aca="false">Sens!$O$7611+Sens!$O$7612+Sens!$O$7678-Sens!$O$7679</f>
        <v>0</v>
      </c>
    </row>
    <row r="7683" customFormat="false" ht="15" hidden="false" customHeight="false" outlineLevel="0" collapsed="false">
      <c r="A7683" s="5" t="s">
        <v>699</v>
      </c>
      <c r="B7683" s="0" t="s">
        <v>52</v>
      </c>
      <c r="G7683" s="13" t="n">
        <f aca="false">Sens!$G$7679/Sens!$D$7679-1</f>
        <v>0.140854504918937</v>
      </c>
      <c r="H7683" s="13" t="n">
        <f aca="false">Sens!$H$7679/Sens!$G$7679-1</f>
        <v>0.152063789793209</v>
      </c>
      <c r="I7683" s="13" t="n">
        <f aca="false">Sens!$I$7679/Sens!$H$7679-1</f>
        <v>0.134273264437417</v>
      </c>
      <c r="J7683" s="13" t="n">
        <f aca="false">Sens!$J$7679/Sens!$I$7679-1</f>
        <v>0.113310421234083</v>
      </c>
      <c r="K7683" s="13" t="n">
        <f aca="false">Sens!$K$7679/Sens!$J$7679-1</f>
        <v>0.0892108343223652</v>
      </c>
      <c r="L7683" s="13" t="n">
        <f aca="false">Sens!$L$7679/Sens!$K$7679-1</f>
        <v>0.076471362444261</v>
      </c>
      <c r="M7683" s="13" t="n">
        <f aca="false">Sens!$M$7679/Sens!$L$7679-1</f>
        <v>0.066250060256672</v>
      </c>
    </row>
    <row r="7684" customFormat="false" ht="17.15" hidden="false" customHeight="false" outlineLevel="0" collapsed="false">
      <c r="A7684" s="0" t="s">
        <v>700</v>
      </c>
      <c r="B7684" s="0" t="s">
        <v>52</v>
      </c>
      <c r="C7684" s="13" t="n">
        <f aca="false">Sens!$C$7678/Sens!$C$7679</f>
        <v>0.168593906504964</v>
      </c>
      <c r="D7684" s="13" t="n">
        <f aca="false">Sens!$D$7678/Sens!$D$7679</f>
        <v>0.179551807444025</v>
      </c>
      <c r="E7684" s="13" t="n">
        <f aca="false">Sens!$E$7678/Sens!$E$7679</f>
        <v>0.208881910369643</v>
      </c>
      <c r="F7684" s="13" t="n">
        <f aca="false">Sens!$F$7678/Sens!$F$7679</f>
        <v>0.199028269699356</v>
      </c>
      <c r="G7684" s="13" t="n">
        <f aca="false">Sens!$G$7678/Sens!$G$7679</f>
        <v>0.203631882529968</v>
      </c>
      <c r="H7684" s="13" t="n">
        <f aca="false">Sens!$H$7678/Sens!$H$7679</f>
        <v>0.234731715958496</v>
      </c>
      <c r="I7684" s="13" t="n">
        <f aca="false">Sens!$I$7678/Sens!$I$7679</f>
        <v>0.262231204480418</v>
      </c>
      <c r="J7684" s="13" t="n">
        <f aca="false">Sens!$J$7678/Sens!$J$7679</f>
        <v>0.284728366013706</v>
      </c>
      <c r="K7684" s="13" t="n">
        <f aca="false">Sens!$K$7678/Sens!$K$7679</f>
        <v>0.300823304959505</v>
      </c>
      <c r="L7684" s="13" t="n">
        <f aca="false">Sens!$L$7678/Sens!$L$7679</f>
        <v>0.308263164529735</v>
      </c>
      <c r="M7684" s="13" t="n">
        <f aca="false">Sens!$M$7678/Sens!$M$7679</f>
        <v>0.308856517936036</v>
      </c>
      <c r="N7684" s="13" t="n">
        <f aca="false">Sens!$N$7678/Sens!$N$7679</f>
        <v>0.185979484737251</v>
      </c>
      <c r="O7684" s="13" t="n">
        <f aca="false">Sens!$O$7678/Sens!$O$7679</f>
        <v>0.174270432341096</v>
      </c>
    </row>
    <row r="7685" customFormat="false" ht="17.15" hidden="false" customHeight="false" outlineLevel="0" collapsed="false">
      <c r="A7685" s="0" t="s">
        <v>701</v>
      </c>
      <c r="B7685" s="0" t="s">
        <v>52</v>
      </c>
      <c r="C7685" s="13" t="n">
        <f aca="false">Sens!$C$7676/Sens!$C$7678</f>
        <v>0.0215795060896058</v>
      </c>
      <c r="D7685" s="13" t="n">
        <f aca="false">Sens!$D$7676/Sens!$D$7678</f>
        <v>0.0676152269462122</v>
      </c>
      <c r="E7685" s="13" t="n">
        <f aca="false">Sens!$E$7676/Sens!$E$7678</f>
        <v>0.106620641395783</v>
      </c>
      <c r="F7685" s="13" t="n">
        <f aca="false">Sens!$F$7676/Sens!$F$7678</f>
        <v>0.172523487401099</v>
      </c>
      <c r="G7685" s="13" t="n">
        <f aca="false">Sens!$G$7676/Sens!$G$7678</f>
        <v>0.140939911795589</v>
      </c>
      <c r="H7685" s="13" t="n">
        <f aca="false">Sens!$H$7676/Sens!$H$7678</f>
        <v>0.272018642937714</v>
      </c>
      <c r="I7685" s="13" t="n">
        <f aca="false">Sens!$I$7676/Sens!$I$7678</f>
        <v>0.362159512436497</v>
      </c>
      <c r="J7685" s="13" t="n">
        <f aca="false">Sens!$J$7676/Sens!$J$7678</f>
        <v>0.422151735934609</v>
      </c>
      <c r="K7685" s="13" t="n">
        <f aca="false">Sens!$K$7676/Sens!$K$7678</f>
        <v>0.45769342068485</v>
      </c>
      <c r="L7685" s="13" t="n">
        <f aca="false">Sens!$L$7676/Sens!$L$7678</f>
        <v>0.469047103913472</v>
      </c>
      <c r="M7685" s="13" t="n">
        <f aca="false">Sens!$M$7676/Sens!$M$7678</f>
        <v>0.463233328258093</v>
      </c>
      <c r="N7685" s="13" t="n">
        <f aca="false">Sens!$N$7676/Sens!$N$7678</f>
        <v>0.0506537999838362</v>
      </c>
      <c r="O7685" s="13" t="n">
        <f aca="false">Sens!$O$7676/Sens!$O$7678</f>
        <v>0.0824881615167056</v>
      </c>
    </row>
    <row r="7688" customFormat="false" ht="19.4" hidden="false" customHeight="false" outlineLevel="0" collapsed="false">
      <c r="A7688" s="31" t="s">
        <v>1292</v>
      </c>
    </row>
    <row r="7689" customFormat="false" ht="17.15" hidden="false" customHeight="false" outlineLevel="0" collapsed="false">
      <c r="A7689" s="6" t="s">
        <v>16</v>
      </c>
      <c r="B7689" s="6" t="s">
        <v>17</v>
      </c>
      <c r="C7689" s="20" t="s">
        <v>497</v>
      </c>
      <c r="D7689" s="20" t="s">
        <v>498</v>
      </c>
      <c r="E7689" s="20" t="s">
        <v>580</v>
      </c>
      <c r="F7689" s="20" t="s">
        <v>581</v>
      </c>
      <c r="G7689" s="20" t="s">
        <v>582</v>
      </c>
      <c r="H7689" s="20" t="s">
        <v>583</v>
      </c>
      <c r="I7689" s="20" t="s">
        <v>584</v>
      </c>
      <c r="J7689" s="20" t="s">
        <v>585</v>
      </c>
      <c r="K7689" s="20" t="s">
        <v>586</v>
      </c>
      <c r="L7689" s="20" t="s">
        <v>587</v>
      </c>
      <c r="M7689" s="20" t="s">
        <v>588</v>
      </c>
      <c r="N7689" s="20" t="s">
        <v>589</v>
      </c>
      <c r="O7689" s="20" t="s">
        <v>590</v>
      </c>
      <c r="P7689" s="6" t="s">
        <v>23</v>
      </c>
      <c r="R7689" s="20" t="n">
        <v>2023</v>
      </c>
      <c r="S7689" s="20" t="n">
        <v>2024</v>
      </c>
      <c r="T7689" s="20" t="n">
        <v>2025</v>
      </c>
      <c r="U7689" s="20" t="n">
        <v>2026</v>
      </c>
      <c r="V7689" s="20" t="n">
        <v>2027</v>
      </c>
      <c r="W7689" s="20" t="n">
        <v>2028</v>
      </c>
      <c r="X7689" s="20" t="n">
        <v>2029</v>
      </c>
      <c r="Y7689" s="20" t="n">
        <v>2030</v>
      </c>
      <c r="Z7689" s="20" t="n">
        <v>2031</v>
      </c>
      <c r="AA7689" s="20" t="n">
        <v>2032</v>
      </c>
    </row>
    <row r="7690" customFormat="false" ht="17.15" hidden="false" customHeight="false" outlineLevel="0" collapsed="false">
      <c r="A7690" s="1" t="s">
        <v>716</v>
      </c>
    </row>
    <row r="7691" customFormat="false" ht="15" hidden="false" customHeight="false" outlineLevel="0" collapsed="false">
      <c r="A7691" s="0" t="s">
        <v>519</v>
      </c>
      <c r="B7691" s="0" t="s">
        <v>86</v>
      </c>
      <c r="C7691" s="38" t="n">
        <f aca="false">Sens!$C$7596</f>
        <v>247.029</v>
      </c>
      <c r="D7691" s="38" t="n">
        <f aca="false">Sens!$D$7596</f>
        <v>269.287</v>
      </c>
      <c r="E7691" s="38" t="n">
        <f aca="false">Sens!$E$7596</f>
        <v>134.686</v>
      </c>
      <c r="F7691" s="38" t="n">
        <f aca="false">Sens!$F$7596</f>
        <v>158.293876822267</v>
      </c>
      <c r="G7691" s="38" t="n">
        <f aca="false">Sens!$G$7596</f>
        <v>292.979876822267</v>
      </c>
      <c r="H7691" s="38" t="n">
        <f aca="false">Sens!$H$7596</f>
        <v>318.184543087396</v>
      </c>
      <c r="I7691" s="38" t="n">
        <f aca="false">Sens!$I$7596</f>
        <v>341.736278761793</v>
      </c>
      <c r="J7691" s="38" t="n">
        <f aca="false">Sens!$J$7596</f>
        <v>362.927192787048</v>
      </c>
      <c r="K7691" s="38" t="n">
        <f aca="false">Sens!$K$7596</f>
        <v>381.0735524264</v>
      </c>
      <c r="L7691" s="38" t="n">
        <f aca="false">Sens!$L$7596</f>
        <v>400.12723004772</v>
      </c>
      <c r="M7691" s="38" t="n">
        <f aca="false">Sens!$M$7596</f>
        <v>420.133591550106</v>
      </c>
      <c r="N7691" s="38" t="n">
        <f aca="false">Sens!$N$7596</f>
        <v>118.892</v>
      </c>
      <c r="O7691" s="38" t="n">
        <f aca="false">Sens!$O$7596</f>
        <v>150.395</v>
      </c>
    </row>
    <row r="7692" customFormat="false" ht="15" hidden="false" customHeight="false" outlineLevel="0" collapsed="false">
      <c r="A7692" s="0" t="s">
        <v>520</v>
      </c>
      <c r="B7692" s="0" t="s">
        <v>86</v>
      </c>
      <c r="C7692" s="38" t="n">
        <f aca="false">Sens!$C$7598</f>
        <v>21.215</v>
      </c>
      <c r="D7692" s="38" t="n">
        <f aca="false">Sens!$D$7598</f>
        <v>22.561</v>
      </c>
      <c r="E7692" s="38" t="n">
        <f aca="false">Sens!$E$7598</f>
        <v>11.579</v>
      </c>
      <c r="F7692" s="38" t="n">
        <f aca="false">Sens!$F$7598</f>
        <v>11.5938724610325</v>
      </c>
      <c r="G7692" s="38" t="n">
        <f aca="false">Sens!$G$7598</f>
        <v>23.1728724610325</v>
      </c>
      <c r="H7692" s="38" t="n">
        <f aca="false">Sens!$H$7598</f>
        <v>24.353392759506</v>
      </c>
      <c r="I7692" s="38" t="n">
        <f aca="false">Sens!$I$7598</f>
        <v>25.4240338872015</v>
      </c>
      <c r="J7692" s="38" t="n">
        <f aca="false">Sens!$J$7598</f>
        <v>26.3642491017174</v>
      </c>
      <c r="K7692" s="38" t="n">
        <f aca="false">Sens!$K$7598</f>
        <v>27.155176574769</v>
      </c>
      <c r="L7692" s="38" t="n">
        <f aca="false">Sens!$L$7598</f>
        <v>27.969831872012</v>
      </c>
      <c r="M7692" s="38" t="n">
        <f aca="false">Sens!$M$7598</f>
        <v>28.8089268281724</v>
      </c>
      <c r="N7692" s="38" t="n">
        <f aca="false">Sens!$N$7598</f>
        <v>11.128</v>
      </c>
      <c r="O7692" s="38" t="n">
        <f aca="false">Sens!$O$7598</f>
        <v>11.433</v>
      </c>
    </row>
    <row r="7693" customFormat="false" ht="15" hidden="false" customHeight="false" outlineLevel="0" collapsed="false">
      <c r="A7693" s="0" t="s">
        <v>521</v>
      </c>
      <c r="B7693" s="0" t="s">
        <v>86</v>
      </c>
      <c r="C7693" s="38" t="n">
        <f aca="false">Sens!$C$7600</f>
        <v>156.146</v>
      </c>
      <c r="D7693" s="38" t="n">
        <f aca="false">Sens!$D$7600</f>
        <v>172.162</v>
      </c>
      <c r="E7693" s="38" t="n">
        <f aca="false">Sens!$E$7600</f>
        <v>88.358</v>
      </c>
      <c r="F7693" s="38" t="n">
        <f aca="false">Sens!$F$7600</f>
        <v>102.004388260171</v>
      </c>
      <c r="G7693" s="38" t="n">
        <f aca="false">Sens!$G$7600</f>
        <v>190.362388260171</v>
      </c>
      <c r="H7693" s="38" t="n">
        <f aca="false">Sens!$H$7600</f>
        <v>210.343106588311</v>
      </c>
      <c r="I7693" s="38" t="n">
        <f aca="false">Sens!$I$7600</f>
        <v>229.969728494648</v>
      </c>
      <c r="J7693" s="38" t="n">
        <f aca="false">Sens!$J$7600</f>
        <v>248.747636972598</v>
      </c>
      <c r="K7693" s="38" t="n">
        <f aca="false">Sens!$K$7600</f>
        <v>266.15997156068</v>
      </c>
      <c r="L7693" s="38" t="n">
        <f aca="false">Sens!$L$7600</f>
        <v>284.791169569927</v>
      </c>
      <c r="M7693" s="38" t="n">
        <f aca="false">Sens!$M$7600</f>
        <v>304.726551439822</v>
      </c>
      <c r="N7693" s="38" t="n">
        <f aca="false">Sens!$N$7600</f>
        <v>76.86</v>
      </c>
      <c r="O7693" s="38" t="n">
        <f aca="false">Sens!$O$7600</f>
        <v>95.302</v>
      </c>
    </row>
    <row r="7694" customFormat="false" ht="15" hidden="false" customHeight="false" outlineLevel="0" collapsed="false">
      <c r="A7694" s="0" t="s">
        <v>522</v>
      </c>
      <c r="B7694" s="0" t="s">
        <v>86</v>
      </c>
      <c r="C7694" s="38" t="n">
        <f aca="false">Sens!$C$7602</f>
        <v>56.214</v>
      </c>
      <c r="D7694" s="38" t="n">
        <f aca="false">Sens!$D$7602</f>
        <v>68.635</v>
      </c>
      <c r="E7694" s="38" t="n">
        <f aca="false">Sens!$E$7602</f>
        <v>37.052</v>
      </c>
      <c r="F7694" s="38" t="n">
        <f aca="false">Sens!$F$7602</f>
        <v>46.1572219944148</v>
      </c>
      <c r="G7694" s="38" t="n">
        <f aca="false">Sens!$G$7602</f>
        <v>83.2092219944148</v>
      </c>
      <c r="H7694" s="38" t="n">
        <f aca="false">Sens!$H$7602</f>
        <v>99.8969223878976</v>
      </c>
      <c r="I7694" s="38" t="n">
        <f aca="false">Sens!$I$7602</f>
        <v>116.583111095496</v>
      </c>
      <c r="J7694" s="38" t="n">
        <f aca="false">Sens!$J$7602</f>
        <v>132.148941941952</v>
      </c>
      <c r="K7694" s="38" t="n">
        <f aca="false">Sens!$K$7602</f>
        <v>145.363836136147</v>
      </c>
      <c r="L7694" s="38" t="n">
        <f aca="false">Sens!$L$7602</f>
        <v>159.900219749762</v>
      </c>
      <c r="M7694" s="38" t="n">
        <f aca="false">Sens!$M$7602</f>
        <v>175.890241724738</v>
      </c>
      <c r="N7694" s="38" t="n">
        <f aca="false">Sens!$N$7602</f>
        <v>29.615</v>
      </c>
      <c r="O7694" s="38" t="n">
        <f aca="false">Sens!$O$7602</f>
        <v>39.02</v>
      </c>
    </row>
    <row r="7695" customFormat="false" ht="15" hidden="false" customHeight="false" outlineLevel="0" collapsed="false">
      <c r="A7695" s="0" t="s">
        <v>523</v>
      </c>
      <c r="B7695" s="0" t="s">
        <v>86</v>
      </c>
      <c r="C7695" s="38" t="n">
        <f aca="false">Sens!$C$7604</f>
        <v>44.374</v>
      </c>
      <c r="D7695" s="38" t="n">
        <f aca="false">Sens!$D$7604</f>
        <v>49.619</v>
      </c>
      <c r="E7695" s="38" t="n">
        <f aca="false">Sens!$E$7604</f>
        <v>27.157</v>
      </c>
      <c r="F7695" s="38" t="n">
        <f aca="false">Sens!$F$7604</f>
        <v>27.7764165988154</v>
      </c>
      <c r="G7695" s="38" t="n">
        <f aca="false">Sens!$G$7604</f>
        <v>54.9334165988154</v>
      </c>
      <c r="H7695" s="38" t="n">
        <f aca="false">Sens!$H$7604</f>
        <v>61.1564112561829</v>
      </c>
      <c r="I7695" s="38" t="n">
        <f aca="false">Sens!$I$7604</f>
        <v>67.2020282103945</v>
      </c>
      <c r="J7695" s="38" t="n">
        <f aca="false">Sens!$J$7604</f>
        <v>72.8757274028885</v>
      </c>
      <c r="K7695" s="38" t="n">
        <f aca="false">Sens!$K$7604</f>
        <v>77.9770283210907</v>
      </c>
      <c r="L7695" s="38" t="n">
        <f aca="false">Sens!$L$7604</f>
        <v>83.4354203035671</v>
      </c>
      <c r="M7695" s="38" t="n">
        <f aca="false">Sens!$M$7604</f>
        <v>89.2758997248168</v>
      </c>
      <c r="N7695" s="38" t="n">
        <f aca="false">Sens!$N$7604</f>
        <v>23.923</v>
      </c>
      <c r="O7695" s="38" t="n">
        <f aca="false">Sens!$O$7604</f>
        <v>25.696</v>
      </c>
    </row>
    <row r="7696" customFormat="false" ht="15" hidden="false" customHeight="false" outlineLevel="0" collapsed="false">
      <c r="A7696" s="0" t="s">
        <v>524</v>
      </c>
      <c r="B7696" s="0" t="s">
        <v>86</v>
      </c>
      <c r="C7696" s="38" t="n">
        <f aca="false">Sens!$C$7606</f>
        <v>5.425</v>
      </c>
      <c r="D7696" s="38" t="n">
        <f aca="false">Sens!$D$7606</f>
        <v>5.935</v>
      </c>
      <c r="E7696" s="38" t="n">
        <f aca="false">Sens!$E$7606</f>
        <v>3.474</v>
      </c>
      <c r="F7696" s="38" t="n">
        <f aca="false">Sens!$F$7606</f>
        <v>3.22246550883619</v>
      </c>
      <c r="G7696" s="38" t="n">
        <f aca="false">Sens!$G$7606</f>
        <v>6.69646550883619</v>
      </c>
      <c r="H7696" s="38" t="n">
        <f aca="false">Sens!$H$7606</f>
        <v>7.16251344209196</v>
      </c>
      <c r="I7696" s="38" t="n">
        <f aca="false">Sens!$I$7606</f>
        <v>7.61421070299826</v>
      </c>
      <c r="J7696" s="38" t="n">
        <f aca="false">Sens!$J$7606</f>
        <v>8.04465753523932</v>
      </c>
      <c r="K7696" s="38" t="n">
        <f aca="false">Sens!$K$7606</f>
        <v>8.44689041200128</v>
      </c>
      <c r="L7696" s="38" t="n">
        <f aca="false">Sens!$L$7606</f>
        <v>8.86923493260135</v>
      </c>
      <c r="M7696" s="38" t="n">
        <f aca="false">Sens!$M$7606</f>
        <v>9.31269667923142</v>
      </c>
      <c r="N7696" s="38" t="n">
        <f aca="false">Sens!$N$7606</f>
        <v>2.811</v>
      </c>
      <c r="O7696" s="38" t="n">
        <f aca="false">Sens!$O$7606</f>
        <v>3.124</v>
      </c>
    </row>
    <row r="7697" customFormat="false" ht="17.15" hidden="false" customHeight="false" outlineLevel="0" collapsed="false">
      <c r="A7697" s="0" t="s">
        <v>717</v>
      </c>
      <c r="B7697" s="0" t="s">
        <v>86</v>
      </c>
      <c r="C7697" s="38" t="n">
        <f aca="false">Sens!$C$7678</f>
        <v>107.556</v>
      </c>
      <c r="D7697" s="38" t="n">
        <f aca="false">Sens!$D$7678</f>
        <v>128.725</v>
      </c>
      <c r="E7697" s="38" t="n">
        <f aca="false">Sens!$E$7678</f>
        <v>79.819</v>
      </c>
      <c r="F7697" s="38" t="n">
        <f aca="false">Sens!$F$7678</f>
        <v>86.7327334389669</v>
      </c>
      <c r="G7697" s="38" t="n">
        <f aca="false">Sens!$G$7678</f>
        <v>166.551733438967</v>
      </c>
      <c r="H7697" s="38" t="n">
        <f aca="false">Sens!$H$7678</f>
        <v>221.182967828978</v>
      </c>
      <c r="I7697" s="38" t="n">
        <f aca="false">Sens!$I$7678</f>
        <v>280.27345865789</v>
      </c>
      <c r="J7697" s="38" t="n">
        <f aca="false">Sens!$J$7678</f>
        <v>338.800945197185</v>
      </c>
      <c r="K7697" s="38" t="n">
        <f aca="false">Sens!$K$7678</f>
        <v>389.88570147276</v>
      </c>
      <c r="L7697" s="38" t="n">
        <f aca="false">Sens!$L$7678</f>
        <v>430.080689379143</v>
      </c>
      <c r="M7697" s="38" t="n">
        <f aca="false">Sens!$M$7678</f>
        <v>459.456235951751</v>
      </c>
      <c r="N7697" s="38" t="n">
        <f aca="false">Sens!$N$7678</f>
        <v>60.14</v>
      </c>
      <c r="O7697" s="38" t="n">
        <f aca="false">Sens!$O$7678</f>
        <v>68.585</v>
      </c>
    </row>
    <row r="7698" customFormat="false" ht="15" hidden="false" customHeight="false" outlineLevel="0" collapsed="false">
      <c r="A7698" s="1" t="s">
        <v>512</v>
      </c>
      <c r="B7698" s="8" t="s">
        <v>86</v>
      </c>
      <c r="C7698" s="38" t="n">
        <f aca="false">Sens!$C$7611</f>
        <v>387.497</v>
      </c>
      <c r="D7698" s="38" t="n">
        <f aca="false">Sens!$D$7611</f>
        <v>426.305</v>
      </c>
      <c r="E7698" s="38" t="n">
        <f aca="false">Sens!$E$7611</f>
        <v>220.32</v>
      </c>
      <c r="F7698" s="38" t="n">
        <f aca="false">Sens!$F$7611</f>
        <v>250.639773480586</v>
      </c>
      <c r="G7698" s="38" t="n">
        <f aca="false">Sens!$G$7611</f>
        <v>470.959773480586</v>
      </c>
      <c r="H7698" s="38" t="n">
        <f aca="false">Sens!$H$7611</f>
        <v>521.386990416437</v>
      </c>
      <c r="I7698" s="38" t="n">
        <f aca="false">Sens!$I$7611</f>
        <v>570.143862887555</v>
      </c>
      <c r="J7698" s="38" t="n">
        <f aca="false">Sens!$J$7611</f>
        <v>615.391435791933</v>
      </c>
      <c r="K7698" s="38" t="n">
        <f aca="false">Sens!$K$7611</f>
        <v>655.208227561543</v>
      </c>
      <c r="L7698" s="38" t="n">
        <f aca="false">Sens!$L$7611</f>
        <v>697.807739249767</v>
      </c>
      <c r="M7698" s="38" t="n">
        <f aca="false">Sens!$M$7611</f>
        <v>743.399328463592</v>
      </c>
      <c r="N7698" s="38" t="n">
        <f aca="false">Sens!$N$7611</f>
        <v>192.955</v>
      </c>
      <c r="O7698" s="38" t="n">
        <f aca="false">Sens!$O$7611</f>
        <v>233.35</v>
      </c>
    </row>
    <row r="7699" customFormat="false" ht="15" hidden="false" customHeight="false" outlineLevel="0" collapsed="false">
      <c r="A7699" s="1" t="s">
        <v>515</v>
      </c>
      <c r="B7699" s="8" t="s">
        <v>86</v>
      </c>
      <c r="C7699" s="38" t="n">
        <f aca="false">Sens!$C$7612</f>
        <v>142.906</v>
      </c>
      <c r="D7699" s="38" t="n">
        <f aca="false">Sens!$D$7612</f>
        <v>161.894</v>
      </c>
      <c r="E7699" s="38" t="n">
        <f aca="false">Sens!$E$7612</f>
        <v>81.986</v>
      </c>
      <c r="F7699" s="38" t="n">
        <f aca="false">Sens!$F$7612</f>
        <v>98.408468164951</v>
      </c>
      <c r="G7699" s="38" t="n">
        <f aca="false">Sens!$G$7612</f>
        <v>180.394468164951</v>
      </c>
      <c r="H7699" s="38" t="n">
        <f aca="false">Sens!$H$7612</f>
        <v>199.709899104949</v>
      </c>
      <c r="I7699" s="38" t="n">
        <f aca="false">Sens!$I$7612</f>
        <v>218.385528264976</v>
      </c>
      <c r="J7699" s="38" t="n">
        <f aca="false">Sens!$J$7612</f>
        <v>235.71696994951</v>
      </c>
      <c r="K7699" s="38" t="n">
        <f aca="false">Sens!$K$7612</f>
        <v>250.968227869545</v>
      </c>
      <c r="L7699" s="38" t="n">
        <f aca="false">Sens!$L$7612</f>
        <v>267.285367225822</v>
      </c>
      <c r="M7699" s="38" t="n">
        <f aca="false">Sens!$M$7612</f>
        <v>284.748579483295</v>
      </c>
      <c r="N7699" s="38" t="n">
        <f aca="false">Sens!$N$7612</f>
        <v>70.274</v>
      </c>
      <c r="O7699" s="38" t="n">
        <f aca="false">Sens!$O$7612</f>
        <v>91.62</v>
      </c>
    </row>
    <row r="7700" customFormat="false" ht="15" hidden="false" customHeight="false" outlineLevel="0" collapsed="false">
      <c r="A7700" s="1" t="s">
        <v>516</v>
      </c>
      <c r="B7700" s="8" t="s">
        <v>86</v>
      </c>
      <c r="C7700" s="38" t="n">
        <f aca="false">Sens!$C$7678</f>
        <v>107.556</v>
      </c>
      <c r="D7700" s="38" t="n">
        <f aca="false">Sens!$D$7678</f>
        <v>128.725</v>
      </c>
      <c r="E7700" s="38" t="n">
        <f aca="false">Sens!$E$7678</f>
        <v>79.819</v>
      </c>
      <c r="F7700" s="38" t="n">
        <f aca="false">Sens!$F$7678</f>
        <v>86.7327334389669</v>
      </c>
      <c r="G7700" s="38" t="n">
        <f aca="false">Sens!$G$7678</f>
        <v>166.551733438967</v>
      </c>
      <c r="H7700" s="38" t="n">
        <f aca="false">Sens!$H$7678</f>
        <v>221.182967828978</v>
      </c>
      <c r="I7700" s="38" t="n">
        <f aca="false">Sens!$I$7678</f>
        <v>280.27345865789</v>
      </c>
      <c r="J7700" s="38" t="n">
        <f aca="false">Sens!$J$7678</f>
        <v>338.800945197185</v>
      </c>
      <c r="K7700" s="38" t="n">
        <f aca="false">Sens!$K$7678</f>
        <v>389.88570147276</v>
      </c>
      <c r="L7700" s="38" t="n">
        <f aca="false">Sens!$L$7678</f>
        <v>430.080689379143</v>
      </c>
      <c r="M7700" s="38" t="n">
        <f aca="false">Sens!$M$7678</f>
        <v>459.456235951751</v>
      </c>
      <c r="N7700" s="38" t="n">
        <f aca="false">Sens!$N$7678</f>
        <v>60.14</v>
      </c>
      <c r="O7700" s="38" t="n">
        <f aca="false">Sens!$O$7678</f>
        <v>68.585</v>
      </c>
    </row>
    <row r="7701" customFormat="false" ht="17.15" hidden="false" customHeight="false" outlineLevel="0" collapsed="false">
      <c r="A7701" s="0" t="s">
        <v>691</v>
      </c>
      <c r="B7701" s="0" t="s">
        <v>86</v>
      </c>
      <c r="C7701" s="38" t="n">
        <f aca="false">Sens!$C$7676</f>
        <v>2.32100535697364</v>
      </c>
      <c r="D7701" s="38" t="n">
        <f aca="false">Sens!$D$7676</f>
        <v>8.70377008865116</v>
      </c>
      <c r="E7701" s="38" t="n">
        <f aca="false">Sens!$E$7676</f>
        <v>8.51035297557002</v>
      </c>
      <c r="F7701" s="38" t="n">
        <f aca="false">Sens!$F$7676</f>
        <v>14.9634336447205</v>
      </c>
      <c r="G7701" s="38" t="n">
        <f aca="false">Sens!$G$7676</f>
        <v>23.4737866202905</v>
      </c>
      <c r="H7701" s="38" t="n">
        <f aca="false">Sens!$H$7676</f>
        <v>60.1658907497746</v>
      </c>
      <c r="I7701" s="38" t="n">
        <f aca="false">Sens!$I$7676</f>
        <v>101.503699136432</v>
      </c>
      <c r="J7701" s="38" t="n">
        <f aca="false">Sens!$J$7676</f>
        <v>143.025407151278</v>
      </c>
      <c r="K7701" s="38" t="n">
        <f aca="false">Sens!$K$7676</f>
        <v>178.44812038318</v>
      </c>
      <c r="L7701" s="38" t="n">
        <f aca="false">Sens!$L$7676</f>
        <v>201.728101802396</v>
      </c>
      <c r="M7701" s="38" t="n">
        <f aca="false">Sens!$M$7676</f>
        <v>212.835441368865</v>
      </c>
      <c r="N7701" s="38" t="n">
        <f aca="false">Sens!$N$7676</f>
        <v>3.04631953102791</v>
      </c>
      <c r="O7701" s="38" t="n">
        <f aca="false">Sens!$O$7676</f>
        <v>5.65745055762326</v>
      </c>
    </row>
    <row r="7702" customFormat="false" ht="17.15" hidden="false" customHeight="false" outlineLevel="0" collapsed="false">
      <c r="A7702" s="0" t="s">
        <v>693</v>
      </c>
      <c r="B7702" s="0" t="s">
        <v>86</v>
      </c>
      <c r="C7702" s="38" t="n">
        <f aca="false">Sens!$C$7677</f>
        <v>105.234994643026</v>
      </c>
      <c r="D7702" s="38" t="n">
        <f aca="false">Sens!$D$7677</f>
        <v>120.021229911349</v>
      </c>
      <c r="E7702" s="38" t="n">
        <f aca="false">Sens!$E$7677</f>
        <v>71.30864702443</v>
      </c>
      <c r="F7702" s="38" t="n">
        <f aca="false">Sens!$F$7677</f>
        <v>71.7692997942464</v>
      </c>
      <c r="G7702" s="38" t="n">
        <f aca="false">Sens!$G$7677</f>
        <v>143.077946818676</v>
      </c>
      <c r="H7702" s="38" t="n">
        <f aca="false">Sens!$H$7677</f>
        <v>161.017077079203</v>
      </c>
      <c r="I7702" s="38" t="n">
        <f aca="false">Sens!$I$7677</f>
        <v>178.769759521457</v>
      </c>
      <c r="J7702" s="38" t="n">
        <f aca="false">Sens!$J$7677</f>
        <v>195.775538045907</v>
      </c>
      <c r="K7702" s="38" t="n">
        <f aca="false">Sens!$K$7677</f>
        <v>211.43758108958</v>
      </c>
      <c r="L7702" s="38" t="n">
        <f aca="false">Sens!$L$7677</f>
        <v>228.352587576746</v>
      </c>
      <c r="M7702" s="38" t="n">
        <f aca="false">Sens!$M$7677</f>
        <v>246.620794582886</v>
      </c>
      <c r="N7702" s="38" t="n">
        <f aca="false">Sens!$N$7677</f>
        <v>57.0936804689721</v>
      </c>
      <c r="O7702" s="38" t="n">
        <f aca="false">Sens!$O$7677</f>
        <v>62.9275494423768</v>
      </c>
    </row>
    <row r="7703" customFormat="false" ht="15" hidden="false" customHeight="false" outlineLevel="0" collapsed="false">
      <c r="A7703" s="3" t="s">
        <v>517</v>
      </c>
      <c r="B7703" s="8" t="s">
        <v>86</v>
      </c>
      <c r="C7703" s="38" t="n">
        <f aca="false">Sens!$C$7679</f>
        <v>637.959</v>
      </c>
      <c r="D7703" s="38" t="n">
        <f aca="false">Sens!$D$7679</f>
        <v>716.924</v>
      </c>
      <c r="E7703" s="38" t="n">
        <f aca="false">Sens!$E$7679</f>
        <v>382.125</v>
      </c>
      <c r="F7703" s="38" t="n">
        <f aca="false">Sens!$F$7679</f>
        <v>435.780975084504</v>
      </c>
      <c r="G7703" s="38" t="n">
        <f aca="false">Sens!$G$7679</f>
        <v>817.905975084504</v>
      </c>
      <c r="H7703" s="38" t="n">
        <f aca="false">Sens!$H$7679</f>
        <v>942.279857350364</v>
      </c>
      <c r="I7703" s="38" t="n">
        <f aca="false">Sens!$I$7679</f>
        <v>1068.80284981042</v>
      </c>
      <c r="J7703" s="38" t="n">
        <f aca="false">Sens!$J$7679</f>
        <v>1189.90935093863</v>
      </c>
      <c r="K7703" s="38" t="n">
        <f aca="false">Sens!$K$7679</f>
        <v>1296.06215690385</v>
      </c>
      <c r="L7703" s="38" t="n">
        <f aca="false">Sens!$L$7679</f>
        <v>1395.17379585473</v>
      </c>
      <c r="M7703" s="38" t="n">
        <f aca="false">Sens!$M$7679</f>
        <v>1487.60414389864</v>
      </c>
      <c r="N7703" s="38" t="n">
        <f aca="false">Sens!$N$7679</f>
        <v>323.369</v>
      </c>
      <c r="O7703" s="38" t="n">
        <f aca="false">Sens!$O$7679</f>
        <v>393.555</v>
      </c>
    </row>
    <row r="7704" customFormat="false" ht="17.15" hidden="false" customHeight="false" outlineLevel="0" collapsed="false">
      <c r="A7704" s="24" t="s">
        <v>703</v>
      </c>
      <c r="B7704" s="25" t="s">
        <v>86</v>
      </c>
      <c r="C7704" s="41" t="n">
        <f aca="false">Sens!$C$7691+Sens!$C$7692+Sens!$C$7693+Sens!$C$7694+Sens!$C$7695+Sens!$C$7696-(Sens!$C$7698+Sens!$C$7699)</f>
        <v>0</v>
      </c>
      <c r="D7704" s="41" t="n">
        <f aca="false">Sens!$D$7691+Sens!$D$7692+Sens!$D$7693+Sens!$D$7694+Sens!$D$7695+Sens!$D$7696-(Sens!$D$7698+Sens!$D$7699)</f>
        <v>0</v>
      </c>
      <c r="E7704" s="41" t="n">
        <f aca="false">Sens!$E$7691+Sens!$E$7692+Sens!$E$7693+Sens!$E$7694+Sens!$E$7695+Sens!$E$7696-(Sens!$E$7698+Sens!$E$7699)</f>
        <v>0</v>
      </c>
      <c r="F7704" s="41" t="n">
        <f aca="false">Sens!$F$7691+Sens!$F$7692+Sens!$F$7693+Sens!$F$7694+Sens!$F$7695+Sens!$F$7696-(Sens!$F$7698+Sens!$F$7699)</f>
        <v>0</v>
      </c>
      <c r="G7704" s="41" t="n">
        <f aca="false">Sens!$G$7691+Sens!$G$7692+Sens!$G$7693+Sens!$G$7694+Sens!$G$7695+Sens!$G$7696-(Sens!$G$7698+Sens!$G$7699)</f>
        <v>0</v>
      </c>
      <c r="H7704" s="41" t="n">
        <f aca="false">Sens!$H$7691+Sens!$H$7692+Sens!$H$7693+Sens!$H$7694+Sens!$H$7695+Sens!$H$7696-(Sens!$H$7698+Sens!$H$7699)</f>
        <v>0</v>
      </c>
      <c r="I7704" s="41" t="n">
        <f aca="false">Sens!$I$7691+Sens!$I$7692+Sens!$I$7693+Sens!$I$7694+Sens!$I$7695+Sens!$I$7696-(Sens!$I$7698+Sens!$I$7699)</f>
        <v>0</v>
      </c>
      <c r="J7704" s="41" t="n">
        <f aca="false">Sens!$J$7691+Sens!$J$7692+Sens!$J$7693+Sens!$J$7694+Sens!$J$7695+Sens!$J$7696-(Sens!$J$7698+Sens!$J$7699)</f>
        <v>0</v>
      </c>
      <c r="K7704" s="41" t="n">
        <f aca="false">Sens!$K$7691+Sens!$K$7692+Sens!$K$7693+Sens!$K$7694+Sens!$K$7695+Sens!$K$7696-(Sens!$K$7698+Sens!$K$7699)</f>
        <v>0</v>
      </c>
      <c r="L7704" s="41" t="n">
        <f aca="false">Sens!$L$7691+Sens!$L$7692+Sens!$L$7693+Sens!$L$7694+Sens!$L$7695+Sens!$L$7696-(Sens!$L$7698+Sens!$L$7699)</f>
        <v>0</v>
      </c>
      <c r="M7704" s="41" t="n">
        <f aca="false">Sens!$M$7691+Sens!$M$7692+Sens!$M$7693+Sens!$M$7694+Sens!$M$7695+Sens!$M$7696-(Sens!$M$7698+Sens!$M$7699)</f>
        <v>0</v>
      </c>
      <c r="N7704" s="41" t="n">
        <f aca="false">Sens!$N$7691+Sens!$N$7692+Sens!$N$7693+Sens!$N$7694+Sens!$N$7695+Sens!$N$7696-(Sens!$N$7698+Sens!$N$7699)</f>
        <v>0</v>
      </c>
      <c r="O7704" s="41" t="n">
        <f aca="false">Sens!$O$7691+Sens!$O$7692+Sens!$O$7693+Sens!$O$7694+Sens!$O$7695+Sens!$O$7696-(Sens!$O$7698+Sens!$O$7699)</f>
        <v>0</v>
      </c>
    </row>
    <row r="7705" customFormat="false" ht="17.15" hidden="false" customHeight="false" outlineLevel="0" collapsed="false">
      <c r="A7705" s="24" t="s">
        <v>704</v>
      </c>
      <c r="B7705" s="25" t="s">
        <v>86</v>
      </c>
      <c r="C7705" s="41" t="n">
        <f aca="false">Sens!$C$7701+Sens!$C$7702-Sens!$C$7700</f>
        <v>0</v>
      </c>
      <c r="D7705" s="41" t="n">
        <f aca="false">Sens!$D$7701+Sens!$D$7702-Sens!$D$7700</f>
        <v>0</v>
      </c>
      <c r="E7705" s="41" t="n">
        <f aca="false">Sens!$E$7701+Sens!$E$7702-Sens!$E$7700</f>
        <v>0</v>
      </c>
      <c r="F7705" s="41" t="n">
        <f aca="false">Sens!$F$7701+Sens!$F$7702-Sens!$F$7700</f>
        <v>0</v>
      </c>
      <c r="G7705" s="41" t="n">
        <f aca="false">Sens!$G$7701+Sens!$G$7702-Sens!$G$7700</f>
        <v>0</v>
      </c>
      <c r="H7705" s="41" t="n">
        <f aca="false">Sens!$H$7701+Sens!$H$7702-Sens!$H$7700</f>
        <v>0</v>
      </c>
      <c r="I7705" s="41" t="n">
        <f aca="false">Sens!$I$7701+Sens!$I$7702-Sens!$I$7700</f>
        <v>0</v>
      </c>
      <c r="J7705" s="41" t="n">
        <f aca="false">Sens!$J$7701+Sens!$J$7702-Sens!$J$7700</f>
        <v>0</v>
      </c>
      <c r="K7705" s="41" t="n">
        <f aca="false">Sens!$K$7701+Sens!$K$7702-Sens!$K$7700</f>
        <v>0</v>
      </c>
      <c r="L7705" s="41" t="n">
        <f aca="false">Sens!$L$7701+Sens!$L$7702-Sens!$L$7700</f>
        <v>0</v>
      </c>
      <c r="M7705" s="41" t="n">
        <f aca="false">Sens!$M$7701+Sens!$M$7702-Sens!$M$7700</f>
        <v>0</v>
      </c>
      <c r="N7705" s="41" t="n">
        <f aca="false">Sens!$N$7701+Sens!$N$7702-Sens!$N$7700</f>
        <v>0</v>
      </c>
      <c r="O7705" s="41" t="n">
        <f aca="false">Sens!$O$7701+Sens!$O$7702-Sens!$O$7700</f>
        <v>0</v>
      </c>
    </row>
    <row r="7706" customFormat="false" ht="17.15" hidden="false" customHeight="false" outlineLevel="0" collapsed="false">
      <c r="A7706" s="24" t="s">
        <v>763</v>
      </c>
      <c r="B7706" s="25" t="s">
        <v>86</v>
      </c>
      <c r="C7706" s="41" t="n">
        <f aca="false">Sens!$C$7691+Sens!$C$7692+Sens!$C$7693+Sens!$C$7694+Sens!$C$7695+Sens!$C$7696+Sens!$C$7697-Sens!$C$7703</f>
        <v>0</v>
      </c>
      <c r="D7706" s="41" t="n">
        <f aca="false">Sens!$D$7691+Sens!$D$7692+Sens!$D$7693+Sens!$D$7694+Sens!$D$7695+Sens!$D$7696+Sens!$D$7697-Sens!$D$7703</f>
        <v>0</v>
      </c>
      <c r="E7706" s="41" t="n">
        <f aca="false">Sens!$E$7691+Sens!$E$7692+Sens!$E$7693+Sens!$E$7694+Sens!$E$7695+Sens!$E$7696+Sens!$E$7697-Sens!$E$7703</f>
        <v>0</v>
      </c>
      <c r="F7706" s="41" t="n">
        <f aca="false">Sens!$F$7691+Sens!$F$7692+Sens!$F$7693+Sens!$F$7694+Sens!$F$7695+Sens!$F$7696+Sens!$F$7697-Sens!$F$7703</f>
        <v>0</v>
      </c>
      <c r="G7706" s="41" t="n">
        <f aca="false">Sens!$G$7691+Sens!$G$7692+Sens!$G$7693+Sens!$G$7694+Sens!$G$7695+Sens!$G$7696+Sens!$G$7697-Sens!$G$7703</f>
        <v>0</v>
      </c>
      <c r="H7706" s="41" t="n">
        <f aca="false">Sens!$H$7691+Sens!$H$7692+Sens!$H$7693+Sens!$H$7694+Sens!$H$7695+Sens!$H$7696+Sens!$H$7697-Sens!$H$7703</f>
        <v>0</v>
      </c>
      <c r="I7706" s="41" t="n">
        <f aca="false">Sens!$I$7691+Sens!$I$7692+Sens!$I$7693+Sens!$I$7694+Sens!$I$7695+Sens!$I$7696+Sens!$I$7697-Sens!$I$7703</f>
        <v>0</v>
      </c>
      <c r="J7706" s="41" t="n">
        <f aca="false">Sens!$J$7691+Sens!$J$7692+Sens!$J$7693+Sens!$J$7694+Sens!$J$7695+Sens!$J$7696+Sens!$J$7697-Sens!$J$7703</f>
        <v>0</v>
      </c>
      <c r="K7706" s="41" t="n">
        <f aca="false">Sens!$K$7691+Sens!$K$7692+Sens!$K$7693+Sens!$K$7694+Sens!$K$7695+Sens!$K$7696+Sens!$K$7697-Sens!$K$7703</f>
        <v>0</v>
      </c>
      <c r="L7706" s="41" t="n">
        <f aca="false">Sens!$L$7691+Sens!$L$7692+Sens!$L$7693+Sens!$L$7694+Sens!$L$7695+Sens!$L$7696+Sens!$L$7697-Sens!$L$7703</f>
        <v>0</v>
      </c>
      <c r="M7706" s="41" t="n">
        <f aca="false">Sens!$M$7691+Sens!$M$7692+Sens!$M$7693+Sens!$M$7694+Sens!$M$7695+Sens!$M$7696+Sens!$M$7697-Sens!$M$7703</f>
        <v>0</v>
      </c>
      <c r="N7706" s="41" t="n">
        <f aca="false">Sens!$N$7691+Sens!$N$7692+Sens!$N$7693+Sens!$N$7694+Sens!$N$7695+Sens!$N$7696+Sens!$N$7697-Sens!$N$7703</f>
        <v>0</v>
      </c>
      <c r="O7706" s="41" t="n">
        <f aca="false">Sens!$O$7691+Sens!$O$7692+Sens!$O$7693+Sens!$O$7694+Sens!$O$7695+Sens!$O$7696+Sens!$O$7697-Sens!$O$7703</f>
        <v>0</v>
      </c>
    </row>
    <row r="7707" customFormat="false" ht="17.15" hidden="false" customHeight="false" outlineLevel="0" collapsed="false">
      <c r="A7707" s="24" t="s">
        <v>705</v>
      </c>
      <c r="B7707" s="25" t="s">
        <v>86</v>
      </c>
      <c r="C7707" s="41" t="n">
        <f aca="false">Sens!$C$7698+Sens!$C$7699+Sens!$C$7700-Sens!$C$7703</f>
        <v>0</v>
      </c>
      <c r="D7707" s="41" t="n">
        <f aca="false">Sens!$D$7698+Sens!$D$7699+Sens!$D$7700-Sens!$D$7703</f>
        <v>0</v>
      </c>
      <c r="E7707" s="41" t="n">
        <f aca="false">Sens!$E$7698+Sens!$E$7699+Sens!$E$7700-Sens!$E$7703</f>
        <v>0</v>
      </c>
      <c r="F7707" s="41" t="n">
        <f aca="false">Sens!$F$7698+Sens!$F$7699+Sens!$F$7700-Sens!$F$7703</f>
        <v>0</v>
      </c>
      <c r="G7707" s="41" t="n">
        <f aca="false">Sens!$G$7698+Sens!$G$7699+Sens!$G$7700-Sens!$G$7703</f>
        <v>0</v>
      </c>
      <c r="H7707" s="41" t="n">
        <f aca="false">Sens!$H$7698+Sens!$H$7699+Sens!$H$7700-Sens!$H$7703</f>
        <v>0</v>
      </c>
      <c r="I7707" s="41" t="n">
        <f aca="false">Sens!$I$7698+Sens!$I$7699+Sens!$I$7700-Sens!$I$7703</f>
        <v>0</v>
      </c>
      <c r="J7707" s="41" t="n">
        <f aca="false">Sens!$J$7698+Sens!$J$7699+Sens!$J$7700-Sens!$J$7703</f>
        <v>0</v>
      </c>
      <c r="K7707" s="41" t="n">
        <f aca="false">Sens!$K$7698+Sens!$K$7699+Sens!$K$7700-Sens!$K$7703</f>
        <v>0</v>
      </c>
      <c r="L7707" s="41" t="n">
        <f aca="false">Sens!$L$7698+Sens!$L$7699+Sens!$L$7700-Sens!$L$7703</f>
        <v>0</v>
      </c>
      <c r="M7707" s="41" t="n">
        <f aca="false">Sens!$M$7698+Sens!$M$7699+Sens!$M$7700-Sens!$M$7703</f>
        <v>0</v>
      </c>
      <c r="N7707" s="41" t="n">
        <f aca="false">Sens!$N$7698+Sens!$N$7699+Sens!$N$7700-Sens!$N$7703</f>
        <v>0</v>
      </c>
      <c r="O7707" s="41" t="n">
        <f aca="false">Sens!$O$7698+Sens!$O$7699+Sens!$O$7700-Sens!$O$7703</f>
        <v>0</v>
      </c>
    </row>
    <row r="7708" customFormat="false" ht="17.15" hidden="false" customHeight="false" outlineLevel="0" collapsed="false">
      <c r="A7708" s="1" t="s">
        <v>719</v>
      </c>
    </row>
    <row r="7709" customFormat="false" ht="17.15" hidden="false" customHeight="false" outlineLevel="0" collapsed="false">
      <c r="A7709" s="0" t="s">
        <v>720</v>
      </c>
      <c r="B7709" s="0" t="s">
        <v>86</v>
      </c>
      <c r="C7709" s="38" t="n">
        <f aca="false">Sens!$C$7613*m_ad</f>
        <v>20.5341564414228</v>
      </c>
      <c r="D7709" s="38" t="n">
        <f aca="false">Sens!$D$7613*m_ad</f>
        <v>24.8720617299587</v>
      </c>
      <c r="E7709" s="38" t="n">
        <f aca="false">Sens!$E$7613*m_ad</f>
        <v>13.5017112462207</v>
      </c>
      <c r="F7709" s="38" t="n">
        <f aca="false">Sens!$F$7613*m_ad</f>
        <v>16.5719724165257</v>
      </c>
      <c r="G7709" s="38" t="n">
        <f aca="false">Sens!$G$7613*m_ad</f>
        <v>30.0820919220415</v>
      </c>
      <c r="H7709" s="38" t="n">
        <f aca="false">Sens!$H$7613*m_ad</f>
        <v>36.1150883276314</v>
      </c>
      <c r="I7709" s="38" t="n">
        <f aca="false">Sens!$I$7613*m_ad</f>
        <v>42.1475382231996</v>
      </c>
      <c r="J7709" s="38" t="n">
        <f aca="false">Sens!$J$7613*m_ad</f>
        <v>47.7749523864693</v>
      </c>
      <c r="K7709" s="38" t="n">
        <f aca="false">Sens!$K$7613*m_ad</f>
        <v>52.5524476251162</v>
      </c>
      <c r="L7709" s="38" t="n">
        <f aca="false">Sens!$L$7613*m_ad</f>
        <v>57.8076923876279</v>
      </c>
      <c r="M7709" s="38" t="n">
        <f aca="false">Sens!$M$7613*m_ad</f>
        <v>63.5884616263907</v>
      </c>
      <c r="N7709" s="38" t="n">
        <f aca="false">Sens!$N$7613*m_ad</f>
        <v>10.8543555706248</v>
      </c>
      <c r="O7709" s="38" t="n">
        <f aca="false">Sens!$O$7613*m_ad</f>
        <v>14.0094731821399</v>
      </c>
    </row>
    <row r="7710" customFormat="false" ht="17.15" hidden="false" customHeight="false" outlineLevel="0" collapsed="false">
      <c r="A7710" s="0" t="s">
        <v>721</v>
      </c>
      <c r="B7710" s="0" t="s">
        <v>86</v>
      </c>
      <c r="C7710" s="38" t="n">
        <f aca="false">Sens!$C$7611-Sens!$C$7613</f>
        <v>346.428687117154</v>
      </c>
      <c r="D7710" s="38" t="n">
        <f aca="false">Sens!$D$7611-Sens!$D$7613</f>
        <v>376.560876540083</v>
      </c>
      <c r="E7710" s="38" t="n">
        <f aca="false">Sens!$E$7611-Sens!$E$7613</f>
        <v>193.316577507559</v>
      </c>
      <c r="F7710" s="38" t="n">
        <f aca="false">Sens!$F$7611-Sens!$F$7613</f>
        <v>217.495828647535</v>
      </c>
      <c r="G7710" s="38" t="n">
        <f aca="false">Sens!$G$7611-Sens!$G$7613</f>
        <v>410.795589636503</v>
      </c>
      <c r="H7710" s="38" t="n">
        <f aca="false">Sens!$H$7611-Sens!$H$7613</f>
        <v>449.156813761174</v>
      </c>
      <c r="I7710" s="38" t="n">
        <f aca="false">Sens!$I$7611-Sens!$I$7613</f>
        <v>485.848786441156</v>
      </c>
      <c r="J7710" s="38" t="n">
        <f aca="false">Sens!$J$7611-Sens!$J$7613</f>
        <v>519.841531018994</v>
      </c>
      <c r="K7710" s="38" t="n">
        <f aca="false">Sens!$K$7611-Sens!$K$7613</f>
        <v>550.103332311311</v>
      </c>
      <c r="L7710" s="38" t="n">
        <f aca="false">Sens!$L$7611-Sens!$L$7613</f>
        <v>582.192354474511</v>
      </c>
      <c r="M7710" s="38" t="n">
        <f aca="false">Sens!$M$7611-Sens!$M$7613</f>
        <v>616.22240521081</v>
      </c>
      <c r="N7710" s="38" t="n">
        <f aca="false">Sens!$N$7611-Sens!$N$7613</f>
        <v>171.24628885875</v>
      </c>
      <c r="O7710" s="38" t="n">
        <f aca="false">Sens!$O$7611-Sens!$O$7613</f>
        <v>205.33105363572</v>
      </c>
    </row>
    <row r="7711" customFormat="false" ht="17.15" hidden="false" customHeight="false" outlineLevel="0" collapsed="false">
      <c r="A7711" s="0" t="s">
        <v>722</v>
      </c>
      <c r="B7711" s="0" t="s">
        <v>86</v>
      </c>
      <c r="C7711" s="38" t="n">
        <f aca="false">Sens!$C$7662*Sens!$C$7610</f>
        <v>0.123617442257179</v>
      </c>
      <c r="D7711" s="38" t="n">
        <f aca="false">Sens!$D$7662*Sens!$D$7610</f>
        <v>0.600198046024689</v>
      </c>
      <c r="E7711" s="38" t="n">
        <f aca="false">Sens!$E$7662*Sens!$E$7610</f>
        <v>0.970552432202993</v>
      </c>
      <c r="F7711" s="38" t="n">
        <f aca="false">Sens!$F$7662*Sens!$F$7610</f>
        <v>1.20013524388435</v>
      </c>
      <c r="G7711" s="38" t="n">
        <f aca="false">Sens!$G$7662*Sens!$G$7610</f>
        <v>2.17135369594947</v>
      </c>
      <c r="H7711" s="38" t="n">
        <f aca="false">Sens!$H$7662*Sens!$H$7610</f>
        <v>6.14227489656333</v>
      </c>
      <c r="I7711" s="38" t="n">
        <f aca="false">Sens!$I$7662*Sens!$I$7610</f>
        <v>11.6518054969681</v>
      </c>
      <c r="J7711" s="38" t="n">
        <f aca="false">Sens!$J$7662*Sens!$J$7610</f>
        <v>17.3105301010592</v>
      </c>
      <c r="K7711" s="38" t="n">
        <f aca="false">Sens!$K$7662*Sens!$K$7610</f>
        <v>22.8486728059883</v>
      </c>
      <c r="L7711" s="38" t="n">
        <f aca="false">Sens!$L$7662*Sens!$L$7610</f>
        <v>26.6849171332777</v>
      </c>
      <c r="M7711" s="38" t="n">
        <f aca="false">Sens!$M$7662*Sens!$M$7610</f>
        <v>29.0523240317336</v>
      </c>
      <c r="N7711" s="38" t="n">
        <f aca="false">Sens!$N$7662*Sens!$N$7610</f>
        <v>0.25053229484398</v>
      </c>
      <c r="O7711" s="38" t="n">
        <f aca="false">Sens!$O$7662*Sens!$O$7610</f>
        <v>0.349234376756897</v>
      </c>
    </row>
    <row r="7712" customFormat="false" ht="17.15" hidden="false" customHeight="false" outlineLevel="0" collapsed="false">
      <c r="A7712" s="0" t="s">
        <v>723</v>
      </c>
      <c r="B7712" s="0" t="s">
        <v>52</v>
      </c>
      <c r="C7712" s="28" t="n">
        <f aca="false">(Sens!$C$7713-Sens!$C$7709+Sens!$C$7711)/Sens!$C$7710</f>
        <v>0.0131526665379575</v>
      </c>
      <c r="D7712" s="28" t="n">
        <f aca="false">(Sens!$D$7713-Sens!$D$7709+Sens!$D$7711)/Sens!$D$7710</f>
        <v>0.0141999252954702</v>
      </c>
      <c r="E7712" s="28" t="n">
        <f aca="false">(Sens!$E$7713-Sens!$E$7709+Sens!$E$7711)/Sens!$E$7710</f>
        <v>0.0251341154940129</v>
      </c>
      <c r="F7712" s="28" t="n">
        <f aca="false">Sens!$O$7712+(Sens!$E$7712-Sens!$N$7712)</f>
        <v>0.0217171685713677</v>
      </c>
      <c r="G7712" s="28" t="n">
        <f aca="false">(Sens!$G$7713-Sens!$G$7709+Sens!$G$7711)/Sens!$G$7710</f>
        <v>0.0233071940458981</v>
      </c>
      <c r="H7712" s="28" t="n">
        <f aca="false">Sens!$G$7712+step_na</f>
        <v>0.0263071940458981</v>
      </c>
      <c r="I7712" s="28" t="n">
        <f aca="false">Sens!$H$7712+step_na</f>
        <v>0.0293071940458981</v>
      </c>
      <c r="J7712" s="28" t="n">
        <f aca="false">Sens!$I$7712+step_na</f>
        <v>0.0323071940458981</v>
      </c>
      <c r="K7712" s="28" t="n">
        <f aca="false">Sens!$J$7712+step_na</f>
        <v>0.0353071940458981</v>
      </c>
      <c r="L7712" s="28" t="n">
        <f aca="false">Sens!$K$7712</f>
        <v>0.0353071940458981</v>
      </c>
      <c r="M7712" s="28" t="n">
        <f aca="false">Sens!$L$7712</f>
        <v>0.0353071940458981</v>
      </c>
      <c r="N7712" s="28" t="n">
        <f aca="false">(Sens!$N$7713-Sens!$N$7709+Sens!$N$7711)/Sens!$N$7710</f>
        <v>0.0160831323269779</v>
      </c>
      <c r="O7712" s="28" t="n">
        <f aca="false">(Sens!$O$7713-Sens!$O$7709+Sens!$O$7711)/Sens!$O$7710</f>
        <v>0.0126661854043327</v>
      </c>
      <c r="P7712" s="8" t="s">
        <v>724</v>
      </c>
    </row>
    <row r="7713" customFormat="false" ht="17.15" hidden="false" customHeight="false" outlineLevel="0" collapsed="false">
      <c r="A7713" s="1" t="s">
        <v>725</v>
      </c>
      <c r="B7713" s="8" t="s">
        <v>86</v>
      </c>
      <c r="C7713" s="38" t="n">
        <f aca="false">Q!$D$22</f>
        <v>24.967</v>
      </c>
      <c r="D7713" s="38" t="n">
        <f aca="false">Q!$E$22</f>
        <v>29.619</v>
      </c>
      <c r="E7713" s="38" t="n">
        <f aca="false">Q!$P$22</f>
        <v>17.39</v>
      </c>
      <c r="F7713" s="38" t="n">
        <f aca="false">Sens!$F$7709+Sens!$F$7710*Sens!$F$7712-Sens!$F$7711</f>
        <v>20.0952307469491</v>
      </c>
      <c r="G7713" s="38" t="n">
        <f aca="false">Sens!$E$7713+Sens!$F$7713</f>
        <v>37.4852307469491</v>
      </c>
      <c r="H7713" s="38" t="n">
        <f aca="false">Sens!$H$7709+Sens!$H$7710*Sens!$H$7712-Sens!$H$7711</f>
        <v>41.7888688877206</v>
      </c>
      <c r="I7713" s="38" t="n">
        <f aca="false">Sens!$I$7709+Sens!$I$7710*Sens!$I$7712-Sens!$I$7711</f>
        <v>44.7345973874265</v>
      </c>
      <c r="J7713" s="38" t="n">
        <f aca="false">Sens!$J$7709+Sens!$J$7710*Sens!$J$7712-Sens!$J$7711</f>
        <v>47.2590435011574</v>
      </c>
      <c r="K7713" s="38" t="n">
        <f aca="false">Sens!$K$7709+Sens!$K$7710*Sens!$K$7712-Sens!$K$7711</f>
        <v>49.1263799183386</v>
      </c>
      <c r="L7713" s="38" t="n">
        <f aca="false">Sens!$L$7709+Sens!$L$7710*Sens!$L$7712-Sens!$L$7711</f>
        <v>51.67835368582</v>
      </c>
      <c r="M7713" s="38" t="n">
        <f aca="false">Sens!$M$7709+Sens!$M$7710*Sens!$M$7712-Sens!$M$7711</f>
        <v>56.2932216308652</v>
      </c>
      <c r="N7713" s="38" t="n">
        <f aca="false">Q!$N$22</f>
        <v>13.358</v>
      </c>
      <c r="O7713" s="38" t="n">
        <f aca="false">Q!$O$22</f>
        <v>16.261</v>
      </c>
    </row>
    <row r="7714" customFormat="false" ht="17.15" hidden="false" customHeight="false" outlineLevel="0" collapsed="false">
      <c r="A7714" s="0" t="s">
        <v>726</v>
      </c>
      <c r="B7714" s="0" t="s">
        <v>86</v>
      </c>
      <c r="C7714" s="38" t="n">
        <f aca="false">Sens!$C$7614*m_ad</f>
        <v>7.57284355857716</v>
      </c>
      <c r="D7714" s="38" t="n">
        <f aca="false">Sens!$D$7614*m_ad</f>
        <v>9.44543827004127</v>
      </c>
      <c r="E7714" s="38" t="n">
        <f aca="false">Sens!$E$7614*m_ad</f>
        <v>5.02428875377928</v>
      </c>
      <c r="F7714" s="38" t="n">
        <f aca="false">Sens!$F$7614*m_ad</f>
        <v>6.50663858068173</v>
      </c>
      <c r="G7714" s="38" t="n">
        <f aca="false">Sens!$G$7614*m_ad</f>
        <v>11.5225190751659</v>
      </c>
      <c r="H7714" s="38" t="n">
        <f aca="false">Sens!$H$7614*m_ad</f>
        <v>13.8333728663174</v>
      </c>
      <c r="I7714" s="38" t="n">
        <f aca="false">Sens!$I$7614*m_ad</f>
        <v>16.1440173245485</v>
      </c>
      <c r="J7714" s="38" t="n">
        <f aca="false">Sens!$J$7614*m_ad</f>
        <v>18.2995185845066</v>
      </c>
      <c r="K7714" s="38" t="n">
        <f aca="false">Sens!$K$7614*m_ad</f>
        <v>20.1294704429572</v>
      </c>
      <c r="L7714" s="38" t="n">
        <f aca="false">Sens!$L$7614*m_ad</f>
        <v>22.142417487253</v>
      </c>
      <c r="M7714" s="38" t="n">
        <f aca="false">Sens!$M$7614*m_ad</f>
        <v>24.3566592359783</v>
      </c>
      <c r="N7714" s="38" t="n">
        <f aca="false">Sens!$N$7614*m_ad</f>
        <v>3.95314442937518</v>
      </c>
      <c r="O7714" s="38" t="n">
        <f aca="false">Sens!$O$7614*m_ad</f>
        <v>5.50052681786011</v>
      </c>
    </row>
    <row r="7715" customFormat="false" ht="17.15" hidden="false" customHeight="false" outlineLevel="0" collapsed="false">
      <c r="A7715" s="0" t="s">
        <v>727</v>
      </c>
      <c r="B7715" s="0" t="s">
        <v>86</v>
      </c>
      <c r="C7715" s="38" t="n">
        <f aca="false">Sens!$C$7612-Sens!$C$7614</f>
        <v>127.760312882846</v>
      </c>
      <c r="D7715" s="38" t="n">
        <f aca="false">Sens!$D$7612-Sens!$D$7614</f>
        <v>143.003123459917</v>
      </c>
      <c r="E7715" s="38" t="n">
        <f aca="false">Sens!$E$7612-Sens!$E$7614</f>
        <v>71.9374224924414</v>
      </c>
      <c r="F7715" s="38" t="n">
        <f aca="false">Sens!$F$7612-Sens!$F$7614</f>
        <v>85.3951910035875</v>
      </c>
      <c r="G7715" s="38" t="n">
        <f aca="false">Sens!$G$7612-Sens!$G$7614</f>
        <v>157.349430014619</v>
      </c>
      <c r="H7715" s="38" t="n">
        <f aca="false">Sens!$H$7612-Sens!$H$7614</f>
        <v>172.043153372315</v>
      </c>
      <c r="I7715" s="38" t="n">
        <f aca="false">Sens!$I$7612-Sens!$I$7614</f>
        <v>186.097493615879</v>
      </c>
      <c r="J7715" s="38" t="n">
        <f aca="false">Sens!$J$7612-Sens!$J$7614</f>
        <v>199.117932780497</v>
      </c>
      <c r="K7715" s="38" t="n">
        <f aca="false">Sens!$K$7612-Sens!$K$7614</f>
        <v>210.70928698363</v>
      </c>
      <c r="L7715" s="38" t="n">
        <f aca="false">Sens!$L$7612-Sens!$L$7614</f>
        <v>223.000532251316</v>
      </c>
      <c r="M7715" s="38" t="n">
        <f aca="false">Sens!$M$7612-Sens!$M$7614</f>
        <v>236.035261011339</v>
      </c>
      <c r="N7715" s="38" t="n">
        <f aca="false">Sens!$N$7612-Sens!$N$7614</f>
        <v>62.3677111412496</v>
      </c>
      <c r="O7715" s="38" t="n">
        <f aca="false">Sens!$O$7612-Sens!$O$7614</f>
        <v>80.6189463642798</v>
      </c>
    </row>
    <row r="7716" customFormat="false" ht="17.15" hidden="false" customHeight="false" outlineLevel="0" collapsed="false">
      <c r="A7716" s="0" t="s">
        <v>728</v>
      </c>
      <c r="B7716" s="0" t="s">
        <v>86</v>
      </c>
      <c r="C7716" s="38" t="n">
        <f aca="false">Sens!$C$7662*(1-Sens!$C$7610)</f>
        <v>0.0455891896019953</v>
      </c>
      <c r="D7716" s="38" t="n">
        <f aca="false">Sens!$D$7662*(1-Sens!$D$7610)</f>
        <v>0.227931791705753</v>
      </c>
      <c r="E7716" s="38" t="n">
        <f aca="false">Sens!$E$7662*(1-Sens!$E$7610)</f>
        <v>0.361164268820781</v>
      </c>
      <c r="F7716" s="38" t="n">
        <f aca="false">Sens!$F$7662*(1-Sens!$F$7610)</f>
        <v>0.471208018190203</v>
      </c>
      <c r="G7716" s="38" t="n">
        <f aca="false">Sens!$G$7662*(1-Sens!$G$7610)</f>
        <v>0.83170626714885</v>
      </c>
      <c r="H7716" s="38" t="n">
        <f aca="false">Sens!$H$7662*(1-Sens!$H$7610)</f>
        <v>2.35271136874315</v>
      </c>
      <c r="I7716" s="38" t="n">
        <f aca="false">Sens!$I$7662*(1-Sens!$I$7610)</f>
        <v>4.46305900024741</v>
      </c>
      <c r="J7716" s="38" t="n">
        <f aca="false">Sens!$J$7662*(1-Sens!$J$7610)</f>
        <v>6.63055328092195</v>
      </c>
      <c r="K7716" s="38" t="n">
        <f aca="false">Sens!$K$7662*(1-Sens!$K$7610)</f>
        <v>8.75186037365703</v>
      </c>
      <c r="L7716" s="38" t="n">
        <f aca="false">Sens!$L$7662*(1-Sens!$L$7610)</f>
        <v>10.2212794071718</v>
      </c>
      <c r="M7716" s="38" t="n">
        <f aca="false">Sens!$M$7662*(1-Sens!$M$7610)</f>
        <v>11.1280810756472</v>
      </c>
      <c r="N7716" s="38" t="n">
        <f aca="false">Sens!$N$7662*(1-Sens!$N$7610)</f>
        <v>0.0912435878202994</v>
      </c>
      <c r="O7716" s="38" t="n">
        <f aca="false">Sens!$O$7662*(1-Sens!$O$7610)</f>
        <v>0.137119578309265</v>
      </c>
    </row>
    <row r="7717" customFormat="false" ht="17.15" hidden="false" customHeight="false" outlineLevel="0" collapsed="false">
      <c r="A7717" s="0" t="s">
        <v>729</v>
      </c>
      <c r="B7717" s="0" t="s">
        <v>52</v>
      </c>
      <c r="C7717" s="28" t="n">
        <f aca="false">(Sens!$C$7718-Sens!$C$7714+Sens!$C$7716)/Sens!$C$7715</f>
        <v>-0.0292364215826579</v>
      </c>
      <c r="D7717" s="28" t="n">
        <f aca="false">(Sens!$D$7718-Sens!$D$7714+Sens!$D$7716)/Sens!$D$7715</f>
        <v>-0.0312406216748665</v>
      </c>
      <c r="E7717" s="28" t="n">
        <f aca="false">(Sens!$E$7718-Sens!$E$7714+Sens!$E$7716)/Sens!$E$7715</f>
        <v>-0.0211590078184749</v>
      </c>
      <c r="F7717" s="28" t="n">
        <f aca="false">Sens!$O$7717+(Sens!$E$7717-Sens!$N$7717)</f>
        <v>-0.0382539955245511</v>
      </c>
      <c r="G7717" s="28" t="n">
        <f aca="false">(Sens!$G$7718-Sens!$G$7714+Sens!$G$7716)/Sens!$G$7715</f>
        <v>-0.030385172031133</v>
      </c>
      <c r="H7717" s="28" t="n">
        <f aca="false">Sens!$G$7717+step_in</f>
        <v>-0.030385172031133</v>
      </c>
      <c r="I7717" s="28" t="n">
        <f aca="false">Sens!$H$7717+step_in</f>
        <v>-0.030385172031133</v>
      </c>
      <c r="J7717" s="28" t="n">
        <f aca="false">Sens!$I$7717+step_in</f>
        <v>-0.030385172031133</v>
      </c>
      <c r="K7717" s="28" t="n">
        <f aca="false">Sens!$J$7717+step_in</f>
        <v>-0.030385172031133</v>
      </c>
      <c r="L7717" s="28" t="n">
        <f aca="false">Sens!$K$7717</f>
        <v>-0.030385172031133</v>
      </c>
      <c r="M7717" s="28" t="n">
        <f aca="false">Sens!$L$7717</f>
        <v>-0.030385172031133</v>
      </c>
      <c r="N7717" s="28" t="n">
        <f aca="false">(Sens!$N$7718-Sens!$N$7714+Sens!$N$7716)/Sens!$N$7715</f>
        <v>-0.0216602600421776</v>
      </c>
      <c r="O7717" s="28" t="n">
        <f aca="false">(Sens!$O$7718-Sens!$O$7714+Sens!$O$7716)/Sens!$O$7715</f>
        <v>-0.0387552477482538</v>
      </c>
      <c r="P7717" s="8" t="s">
        <v>724</v>
      </c>
    </row>
    <row r="7718" customFormat="false" ht="17.15" hidden="false" customHeight="false" outlineLevel="0" collapsed="false">
      <c r="A7718" s="1" t="s">
        <v>730</v>
      </c>
      <c r="B7718" s="8" t="s">
        <v>86</v>
      </c>
      <c r="C7718" s="38" t="n">
        <f aca="false">Q!$D$23</f>
        <v>3.792</v>
      </c>
      <c r="D7718" s="38" t="n">
        <f aca="false">Q!$E$23</f>
        <v>4.75</v>
      </c>
      <c r="E7718" s="38" t="n">
        <f aca="false">Q!$P$23</f>
        <v>3.141</v>
      </c>
      <c r="F7718" s="38" t="n">
        <f aca="false">Sens!$F$7714+Sens!$F$7715*Sens!$F$7717-Sens!$F$7716</f>
        <v>2.7687233080221</v>
      </c>
      <c r="G7718" s="38" t="n">
        <f aca="false">Sens!$E$7718+Sens!$F$7718</f>
        <v>5.9097233080221</v>
      </c>
      <c r="H7718" s="38" t="n">
        <f aca="false">Sens!$H$7714+Sens!$H$7715*Sens!$H$7717-Sens!$H$7716</f>
        <v>6.25310068557783</v>
      </c>
      <c r="I7718" s="38" t="n">
        <f aca="false">Sens!$I$7714+Sens!$I$7715*Sens!$I$7717-Sens!$I$7716</f>
        <v>6.02635396621997</v>
      </c>
      <c r="J7718" s="38" t="n">
        <f aca="false">Sens!$J$7714+Sens!$J$7715*Sens!$J$7717-Sens!$J$7716</f>
        <v>5.61873266156566</v>
      </c>
      <c r="K7718" s="38" t="n">
        <f aca="false">Sens!$K$7714+Sens!$K$7715*Sens!$K$7717-Sens!$K$7716</f>
        <v>4.97517213574524</v>
      </c>
      <c r="L7718" s="38" t="n">
        <f aca="false">Sens!$L$7714+Sens!$L$7715*Sens!$L$7717-Sens!$L$7716</f>
        <v>5.14522854459066</v>
      </c>
      <c r="M7718" s="38" t="n">
        <f aca="false">Sens!$M$7714+Sens!$M$7715*Sens!$M$7717-Sens!$M$7716</f>
        <v>6.05660614908815</v>
      </c>
      <c r="N7718" s="38" t="n">
        <f aca="false">Q!$N$23</f>
        <v>2.511</v>
      </c>
      <c r="O7718" s="38" t="n">
        <f aca="false">Q!$O$23</f>
        <v>2.239</v>
      </c>
    </row>
    <row r="7719" customFormat="false" ht="17.15" hidden="false" customHeight="false" outlineLevel="0" collapsed="false">
      <c r="A7719" s="0" t="s">
        <v>731</v>
      </c>
      <c r="B7719" s="0" t="s">
        <v>86</v>
      </c>
      <c r="C7719" s="38" t="n">
        <f aca="false">Sens!$C$7659</f>
        <v>1.64417882953695</v>
      </c>
      <c r="D7719" s="38" t="n">
        <f aca="false">Sens!$D$7659</f>
        <v>5.39125073772939</v>
      </c>
      <c r="E7719" s="38" t="n">
        <f aca="false">Sens!$E$7659</f>
        <v>3.18348617147493</v>
      </c>
      <c r="F7719" s="38" t="n">
        <f aca="false">Sens!$F$7659</f>
        <v>8.27806059642226</v>
      </c>
      <c r="G7719" s="38" t="n">
        <f aca="false">Sens!$G$7659</f>
        <v>11.4615467678972</v>
      </c>
      <c r="H7719" s="38" t="n">
        <f aca="false">Sens!$H$7659</f>
        <v>26.1859456885487</v>
      </c>
      <c r="I7719" s="38" t="n">
        <f aca="false">Sens!$I$7659</f>
        <v>37.04424114757</v>
      </c>
      <c r="J7719" s="38" t="n">
        <f aca="false">Sens!$J$7659</f>
        <v>47.2610736233534</v>
      </c>
      <c r="K7719" s="38" t="n">
        <f aca="false">Sens!$K$7659</f>
        <v>52.0459876645985</v>
      </c>
      <c r="L7719" s="38" t="n">
        <f aca="false">Sens!$L$7659</f>
        <v>54.1033156405981</v>
      </c>
      <c r="M7719" s="38" t="n">
        <f aca="false">Sens!$M$7659</f>
        <v>52.1138209393421</v>
      </c>
      <c r="N7719" s="38" t="n">
        <f aca="false">Sens!$N$7659</f>
        <v>1.67921600037079</v>
      </c>
      <c r="O7719" s="38" t="n">
        <f aca="false">Sens!$O$7659</f>
        <v>3.71203473735861</v>
      </c>
    </row>
    <row r="7720" customFormat="false" ht="17.15" hidden="false" customHeight="false" outlineLevel="0" collapsed="false">
      <c r="A7720" s="0" t="s">
        <v>649</v>
      </c>
      <c r="B7720" s="0" t="s">
        <v>86</v>
      </c>
      <c r="C7720" s="38" t="n">
        <f aca="false">Sens!$C$7664</f>
        <v>38.1898211704631</v>
      </c>
      <c r="D7720" s="38" t="n">
        <f aca="false">Sens!$D$7664</f>
        <v>40.2147492622706</v>
      </c>
      <c r="E7720" s="38" t="n">
        <f aca="false">Sens!$E$7664</f>
        <v>27.5985138285251</v>
      </c>
      <c r="F7720" s="38" t="n">
        <f aca="false">Sens!$F$7664</f>
        <v>25.5484769754606</v>
      </c>
      <c r="G7720" s="38" t="n">
        <f aca="false">Sens!$G$7664</f>
        <v>53.1469908039857</v>
      </c>
      <c r="H7720" s="38" t="n">
        <f aca="false">Sens!$H$7664</f>
        <v>57.3189525076539</v>
      </c>
      <c r="I7720" s="38" t="n">
        <f aca="false">Sens!$I$7664</f>
        <v>63.6385627021087</v>
      </c>
      <c r="J7720" s="38" t="n">
        <f aca="false">Sens!$J$7664</f>
        <v>69.6922896066105</v>
      </c>
      <c r="K7720" s="38" t="n">
        <f aca="false">Sens!$K$7664</f>
        <v>75.2676727751394</v>
      </c>
      <c r="L7720" s="38" t="n">
        <f aca="false">Sens!$L$7664</f>
        <v>81.2890865971505</v>
      </c>
      <c r="M7720" s="38" t="n">
        <f aca="false">Sens!$M$7664</f>
        <v>87.7922135249226</v>
      </c>
      <c r="N7720" s="38" t="n">
        <f aca="false">Sens!$N$7664</f>
        <v>20.0277839996292</v>
      </c>
      <c r="O7720" s="38" t="n">
        <f aca="false">Sens!$O$7664</f>
        <v>20.1869652626414</v>
      </c>
    </row>
    <row r="7721" customFormat="false" ht="17.15" hidden="false" customHeight="false" outlineLevel="0" collapsed="false">
      <c r="A7721" s="1" t="s">
        <v>732</v>
      </c>
      <c r="B7721" s="8" t="s">
        <v>86</v>
      </c>
      <c r="C7721" s="38" t="n">
        <f aca="false">Q!$D$24</f>
        <v>39.834</v>
      </c>
      <c r="D7721" s="38" t="n">
        <f aca="false">Q!$E$24</f>
        <v>45.606</v>
      </c>
      <c r="E7721" s="38" t="n">
        <f aca="false">Q!$P$24</f>
        <v>30.782</v>
      </c>
      <c r="F7721" s="38" t="n">
        <f aca="false">Sens!$F$7719+Sens!$F$7720</f>
        <v>33.8265375718829</v>
      </c>
      <c r="G7721" s="38" t="n">
        <f aca="false">Sens!$G$7719+Sens!$G$7720</f>
        <v>64.6085375718829</v>
      </c>
      <c r="H7721" s="38" t="n">
        <f aca="false">Sens!$H$7719+Sens!$H$7720</f>
        <v>83.5048981962026</v>
      </c>
      <c r="I7721" s="38" t="n">
        <f aca="false">Sens!$I$7719+Sens!$I$7720</f>
        <v>100.682803849679</v>
      </c>
      <c r="J7721" s="38" t="n">
        <f aca="false">Sens!$J$7719+Sens!$J$7720</f>
        <v>116.953363229964</v>
      </c>
      <c r="K7721" s="38" t="n">
        <f aca="false">Sens!$K$7719+Sens!$K$7720</f>
        <v>127.313660439738</v>
      </c>
      <c r="L7721" s="38" t="n">
        <f aca="false">Sens!$L$7719+Sens!$L$7720</f>
        <v>135.392402237749</v>
      </c>
      <c r="M7721" s="38" t="n">
        <f aca="false">Sens!$M$7719+Sens!$M$7720</f>
        <v>139.906034464265</v>
      </c>
      <c r="N7721" s="38" t="n">
        <f aca="false">Q!$N$24</f>
        <v>21.707</v>
      </c>
      <c r="O7721" s="38" t="n">
        <f aca="false">Q!$O$24</f>
        <v>23.899</v>
      </c>
    </row>
    <row r="7722" customFormat="false" ht="17.15" hidden="false" customHeight="false" outlineLevel="0" collapsed="false">
      <c r="A7722" s="5" t="s">
        <v>733</v>
      </c>
      <c r="B7722" s="0" t="s">
        <v>86</v>
      </c>
      <c r="C7722" s="38" t="n">
        <f aca="false">Q!$D$26</f>
        <v>0</v>
      </c>
      <c r="D7722" s="38" t="n">
        <f aca="false">Q!$E$26</f>
        <v>0</v>
      </c>
      <c r="E7722" s="38" t="n">
        <f aca="false">Q!$P$26</f>
        <v>0</v>
      </c>
      <c r="F7722" s="39" t="n">
        <v>0</v>
      </c>
      <c r="G7722" s="38" t="n">
        <f aca="false">Sens!$E$7722+Sens!$F$7722</f>
        <v>0</v>
      </c>
      <c r="H7722" s="39" t="n">
        <v>0</v>
      </c>
      <c r="I7722" s="39" t="n">
        <v>0</v>
      </c>
      <c r="J7722" s="39" t="n">
        <v>0</v>
      </c>
      <c r="K7722" s="39" t="n">
        <v>0</v>
      </c>
      <c r="L7722" s="39" t="n">
        <v>0</v>
      </c>
      <c r="M7722" s="39" t="n">
        <v>0</v>
      </c>
      <c r="N7722" s="38" t="n">
        <f aca="false">Q!$N$26</f>
        <v>0</v>
      </c>
      <c r="O7722" s="38" t="n">
        <f aca="false">Q!$O$26</f>
        <v>0</v>
      </c>
    </row>
    <row r="7723" customFormat="false" ht="15" hidden="false" customHeight="false" outlineLevel="0" collapsed="false">
      <c r="A7723" s="3" t="s">
        <v>534</v>
      </c>
      <c r="B7723" s="8" t="s">
        <v>86</v>
      </c>
      <c r="C7723" s="38" t="n">
        <f aca="false">Q!$D$25</f>
        <v>68.593</v>
      </c>
      <c r="D7723" s="38" t="n">
        <f aca="false">Q!$E$25</f>
        <v>79.975</v>
      </c>
      <c r="E7723" s="38" t="n">
        <f aca="false">Q!$P$25</f>
        <v>51.313</v>
      </c>
      <c r="F7723" s="38" t="n">
        <f aca="false">Sens!$F$7713+Sens!$F$7718+Sens!$F$7721+Sens!$F$7722</f>
        <v>56.6904916268541</v>
      </c>
      <c r="G7723" s="38" t="n">
        <f aca="false">Sens!$G$7713+Sens!$G$7718+Sens!$G$7721+Sens!$G$7722</f>
        <v>108.003491626854</v>
      </c>
      <c r="H7723" s="38" t="n">
        <f aca="false">Sens!$H$7713+Sens!$H$7718+Sens!$H$7721+Sens!$H$7722</f>
        <v>131.546867769501</v>
      </c>
      <c r="I7723" s="38" t="n">
        <f aca="false">Sens!$I$7713+Sens!$I$7718+Sens!$I$7721+Sens!$I$7722</f>
        <v>151.443755203325</v>
      </c>
      <c r="J7723" s="38" t="n">
        <f aca="false">Sens!$J$7713+Sens!$J$7718+Sens!$J$7721+Sens!$J$7722</f>
        <v>169.831139392687</v>
      </c>
      <c r="K7723" s="38" t="n">
        <f aca="false">Sens!$K$7713+Sens!$K$7718+Sens!$K$7721+Sens!$K$7722</f>
        <v>181.415212493822</v>
      </c>
      <c r="L7723" s="38" t="n">
        <f aca="false">Sens!$L$7713+Sens!$L$7718+Sens!$L$7721+Sens!$L$7722</f>
        <v>192.215984468159</v>
      </c>
      <c r="M7723" s="38" t="n">
        <f aca="false">Sens!$M$7713+Sens!$M$7718+Sens!$M$7721+Sens!$M$7722</f>
        <v>202.255862244218</v>
      </c>
      <c r="N7723" s="38" t="n">
        <f aca="false">Q!$N$25</f>
        <v>37.576</v>
      </c>
      <c r="O7723" s="38" t="n">
        <f aca="false">Q!$O$25</f>
        <v>42.399</v>
      </c>
    </row>
    <row r="7724" customFormat="false" ht="17.15" hidden="false" customHeight="false" outlineLevel="0" collapsed="false">
      <c r="A7724" s="24" t="s">
        <v>764</v>
      </c>
      <c r="B7724" s="25" t="s">
        <v>86</v>
      </c>
      <c r="C7724" s="41" t="n">
        <f aca="false">Sens!$C$7713+Sens!$C$7718+Sens!$C$7721+Sens!$C$7722-Sens!$C$7723</f>
        <v>0</v>
      </c>
      <c r="D7724" s="41" t="n">
        <f aca="false">Sens!$D$7713+Sens!$D$7718+Sens!$D$7721+Sens!$D$7722-Sens!$D$7723</f>
        <v>0</v>
      </c>
      <c r="E7724" s="41" t="n">
        <f aca="false">Sens!$E$7713+Sens!$E$7718+Sens!$E$7721+Sens!$E$7722-Sens!$E$7723</f>
        <v>0</v>
      </c>
      <c r="F7724" s="41" t="n">
        <f aca="false">Sens!$F$7713+Sens!$F$7718+Sens!$F$7721+Sens!$F$7722-Sens!$F$7723</f>
        <v>0</v>
      </c>
      <c r="G7724" s="41" t="n">
        <f aca="false">Sens!$G$7713+Sens!$G$7718+Sens!$G$7721+Sens!$G$7722-Sens!$G$7723</f>
        <v>0</v>
      </c>
      <c r="H7724" s="41" t="n">
        <f aca="false">Sens!$H$7713+Sens!$H$7718+Sens!$H$7721+Sens!$H$7722-Sens!$H$7723</f>
        <v>0</v>
      </c>
      <c r="I7724" s="41" t="n">
        <f aca="false">Sens!$I$7713+Sens!$I$7718+Sens!$I$7721+Sens!$I$7722-Sens!$I$7723</f>
        <v>0</v>
      </c>
      <c r="J7724" s="41" t="n">
        <f aca="false">Sens!$J$7713+Sens!$J$7718+Sens!$J$7721+Sens!$J$7722-Sens!$J$7723</f>
        <v>0</v>
      </c>
      <c r="K7724" s="41" t="n">
        <f aca="false">Sens!$K$7713+Sens!$K$7718+Sens!$K$7721+Sens!$K$7722-Sens!$K$7723</f>
        <v>0</v>
      </c>
      <c r="L7724" s="41" t="n">
        <f aca="false">Sens!$L$7713+Sens!$L$7718+Sens!$L$7721+Sens!$L$7722-Sens!$L$7723</f>
        <v>0</v>
      </c>
      <c r="M7724" s="41" t="n">
        <f aca="false">Sens!$M$7713+Sens!$M$7718+Sens!$M$7721+Sens!$M$7722-Sens!$M$7723</f>
        <v>0</v>
      </c>
      <c r="N7724" s="41" t="n">
        <f aca="false">Sens!$N$7713+Sens!$N$7718+Sens!$N$7721+Sens!$N$7722-Sens!$N$7723</f>
        <v>0</v>
      </c>
      <c r="O7724" s="41" t="n">
        <f aca="false">Sens!$O$7713+Sens!$O$7718+Sens!$O$7721+Sens!$O$7722-Sens!$O$7723</f>
        <v>0</v>
      </c>
    </row>
    <row r="7725" customFormat="false" ht="17.15" hidden="false" customHeight="false" outlineLevel="0" collapsed="false">
      <c r="A7725" s="5" t="s">
        <v>735</v>
      </c>
      <c r="B7725" s="0" t="s">
        <v>86</v>
      </c>
      <c r="C7725" s="38" t="n">
        <f aca="false">Sens!$C$7661</f>
        <v>0</v>
      </c>
      <c r="D7725" s="38" t="n">
        <f aca="false">Sens!$D$7661</f>
        <v>0</v>
      </c>
      <c r="E7725" s="38" t="n">
        <f aca="false">Sens!$E$7661</f>
        <v>0</v>
      </c>
      <c r="F7725" s="38" t="n">
        <f aca="false">Sens!$F$7661</f>
        <v>3.77122048175818</v>
      </c>
      <c r="G7725" s="38" t="n">
        <f aca="false">Sens!$G$7661</f>
        <v>3.77122048175818</v>
      </c>
      <c r="H7725" s="38" t="n">
        <f aca="false">Sens!$H$7661</f>
        <v>15.1635543609893</v>
      </c>
      <c r="I7725" s="38" t="n">
        <f aca="false">Sens!$I$7661</f>
        <v>25.5818843619889</v>
      </c>
      <c r="J7725" s="38" t="n">
        <f aca="false">Sens!$J$7661</f>
        <v>36.0465624179122</v>
      </c>
      <c r="K7725" s="38" t="n">
        <f aca="false">Sens!$K$7661</f>
        <v>44.9741164026038</v>
      </c>
      <c r="L7725" s="38" t="n">
        <f aca="false">Sens!$L$7661</f>
        <v>50.8413488057813</v>
      </c>
      <c r="M7725" s="38" t="n">
        <f aca="false">Sens!$M$7661</f>
        <v>53.6407214274315</v>
      </c>
      <c r="N7725" s="38" t="n">
        <f aca="false">Sens!$N$7661</f>
        <v>0</v>
      </c>
      <c r="O7725" s="38" t="n">
        <f aca="false">Sens!$O$7661</f>
        <v>0</v>
      </c>
      <c r="P7725" s="5" t="s">
        <v>736</v>
      </c>
    </row>
    <row r="7726" customFormat="false" ht="17.15" hidden="false" customHeight="false" outlineLevel="0" collapsed="false">
      <c r="A7726" s="5" t="s">
        <v>737</v>
      </c>
      <c r="B7726" s="0" t="s">
        <v>86</v>
      </c>
      <c r="C7726" s="38" t="n">
        <f aca="false">Sens!$C$7723+Sens!$C$7725</f>
        <v>68.593</v>
      </c>
      <c r="D7726" s="38" t="n">
        <f aca="false">Sens!$D$7723+Sens!$D$7725</f>
        <v>79.975</v>
      </c>
      <c r="E7726" s="38" t="n">
        <f aca="false">Sens!$E$7723+Sens!$E$7725</f>
        <v>51.313</v>
      </c>
      <c r="F7726" s="38" t="n">
        <f aca="false">Sens!$F$7723+Sens!$F$7725</f>
        <v>60.4617121086123</v>
      </c>
      <c r="G7726" s="38" t="n">
        <f aca="false">Sens!$G$7723+Sens!$G$7725</f>
        <v>111.774712108612</v>
      </c>
      <c r="H7726" s="38" t="n">
        <f aca="false">Sens!$H$7723+Sens!$H$7725</f>
        <v>146.71042213049</v>
      </c>
      <c r="I7726" s="38" t="n">
        <f aca="false">Sens!$I$7723+Sens!$I$7725</f>
        <v>177.025639565314</v>
      </c>
      <c r="J7726" s="38" t="n">
        <f aca="false">Sens!$J$7723+Sens!$J$7725</f>
        <v>205.877701810599</v>
      </c>
      <c r="K7726" s="38" t="n">
        <f aca="false">Sens!$K$7723+Sens!$K$7725</f>
        <v>226.389328896426</v>
      </c>
      <c r="L7726" s="38" t="n">
        <f aca="false">Sens!$L$7723+Sens!$L$7725</f>
        <v>243.057333273941</v>
      </c>
      <c r="M7726" s="38" t="n">
        <f aca="false">Sens!$M$7723+Sens!$M$7725</f>
        <v>255.896583671649</v>
      </c>
      <c r="N7726" s="38" t="n">
        <f aca="false">Sens!$N$7723+Sens!$N$7725</f>
        <v>37.576</v>
      </c>
      <c r="O7726" s="38" t="n">
        <f aca="false">Sens!$O$7723+Sens!$O$7725</f>
        <v>42.399</v>
      </c>
    </row>
    <row r="7727" customFormat="false" ht="17.15" hidden="false" customHeight="false" outlineLevel="0" collapsed="false">
      <c r="A7727" s="0" t="s">
        <v>738</v>
      </c>
      <c r="B7727" s="0" t="s">
        <v>52</v>
      </c>
      <c r="C7727" s="13" t="n">
        <f aca="false">Sens!$C$7713/Sens!$C$7698</f>
        <v>0.0644314665661928</v>
      </c>
      <c r="D7727" s="13" t="n">
        <f aca="false">Sens!$D$7713/Sens!$D$7698</f>
        <v>0.0694784250712518</v>
      </c>
      <c r="E7727" s="13" t="n">
        <f aca="false">Sens!$E$7713/Sens!$E$7698</f>
        <v>0.0789306463326071</v>
      </c>
      <c r="F7727" s="13" t="n">
        <f aca="false">Sens!$F$7713/Sens!$F$7698</f>
        <v>0.0801757457241943</v>
      </c>
      <c r="G7727" s="13" t="n">
        <f aca="false">Sens!$G$7713/Sens!$G$7698</f>
        <v>0.0795932749625682</v>
      </c>
      <c r="H7727" s="13" t="n">
        <f aca="false">Sens!$H$7713/Sens!$H$7698</f>
        <v>0.0801494276915951</v>
      </c>
      <c r="I7727" s="13" t="n">
        <f aca="false">Sens!$I$7713/Sens!$I$7698</f>
        <v>0.0784619467108939</v>
      </c>
      <c r="J7727" s="13" t="n">
        <f aca="false">Sens!$J$7713/Sens!$J$7698</f>
        <v>0.0767950945569155</v>
      </c>
      <c r="K7727" s="13" t="n">
        <f aca="false">Sens!$K$7713/Sens!$K$7698</f>
        <v>0.0749782708028101</v>
      </c>
      <c r="L7727" s="13" t="n">
        <f aca="false">Sens!$L$7713/Sens!$L$7698</f>
        <v>0.0740581549602486</v>
      </c>
      <c r="M7727" s="13" t="n">
        <f aca="false">Sens!$M$7713/Sens!$M$7698</f>
        <v>0.075724068445432</v>
      </c>
      <c r="N7727" s="13" t="n">
        <f aca="false">Sens!$N$7713/Sens!$N$7698</f>
        <v>0.069228576611127</v>
      </c>
      <c r="O7727" s="13" t="n">
        <f aca="false">Sens!$O$7713/Sens!$O$7698</f>
        <v>0.069685022498393</v>
      </c>
    </row>
    <row r="7728" customFormat="false" ht="17.15" hidden="false" customHeight="false" outlineLevel="0" collapsed="false">
      <c r="A7728" s="0" t="s">
        <v>739</v>
      </c>
      <c r="B7728" s="0" t="s">
        <v>52</v>
      </c>
      <c r="C7728" s="13" t="n">
        <f aca="false">Sens!$C$7718/Sens!$C$7699</f>
        <v>0.026534925055631</v>
      </c>
      <c r="D7728" s="13" t="n">
        <f aca="false">Sens!$D$7718/Sens!$D$7699</f>
        <v>0.0293401855535103</v>
      </c>
      <c r="E7728" s="13" t="n">
        <f aca="false">Sens!$E$7718/Sens!$E$7699</f>
        <v>0.03831141902276</v>
      </c>
      <c r="F7728" s="13" t="n">
        <f aca="false">Sens!$F$7718/Sens!$F$7699</f>
        <v>0.0281350107328284</v>
      </c>
      <c r="G7728" s="13" t="n">
        <f aca="false">Sens!$G$7718/Sens!$G$7699</f>
        <v>0.0327600029432073</v>
      </c>
      <c r="H7728" s="13" t="n">
        <f aca="false">Sens!$H$7718/Sens!$H$7699</f>
        <v>0.031310920057557</v>
      </c>
      <c r="I7728" s="13" t="n">
        <f aca="false">Sens!$I$7718/Sens!$I$7699</f>
        <v>0.0275950243319601</v>
      </c>
      <c r="J7728" s="13" t="n">
        <f aca="false">Sens!$J$7718/Sens!$J$7699</f>
        <v>0.0238367762099147</v>
      </c>
      <c r="K7728" s="13" t="n">
        <f aca="false">Sens!$K$7718/Sens!$K$7699</f>
        <v>0.0198239122855479</v>
      </c>
      <c r="L7728" s="13" t="n">
        <f aca="false">Sens!$L$7718/Sens!$L$7699</f>
        <v>0.0192499447238486</v>
      </c>
      <c r="M7728" s="13" t="n">
        <f aca="false">Sens!$M$7718/Sens!$M$7699</f>
        <v>0.0212700135680342</v>
      </c>
      <c r="N7728" s="13" t="n">
        <f aca="false">Sens!$N$7718/Sens!$N$7699</f>
        <v>0.0357315650169337</v>
      </c>
      <c r="O7728" s="13" t="n">
        <f aca="false">Sens!$O$7718/Sens!$O$7699</f>
        <v>0.0244378956559703</v>
      </c>
    </row>
    <row r="7729" customFormat="false" ht="17.15" hidden="false" customHeight="false" outlineLevel="0" collapsed="false">
      <c r="A7729" s="14" t="s">
        <v>740</v>
      </c>
      <c r="B7729" s="14" t="s">
        <v>52</v>
      </c>
      <c r="C7729" s="17" t="n">
        <f aca="false">Sens!$C$7721/Sens!$C$7700</f>
        <v>0.370355907620217</v>
      </c>
      <c r="D7729" s="17" t="n">
        <f aca="false">Sens!$D$7721/Sens!$D$7700</f>
        <v>0.35429015342785</v>
      </c>
      <c r="E7729" s="17" t="n">
        <f aca="false">Sens!$E$7721/Sens!$E$7700</f>
        <v>0.385647527531039</v>
      </c>
      <c r="F7729" s="17" t="n">
        <f aca="false">Sens!$F$7721/Sens!$F$7700</f>
        <v>0.390008895496028</v>
      </c>
      <c r="G7729" s="17" t="n">
        <f aca="false">Sens!$G$7721/Sens!$G$7700</f>
        <v>0.387918733944362</v>
      </c>
      <c r="H7729" s="17" t="n">
        <f aca="false">Sens!$H$7721/Sens!$H$7700</f>
        <v>0.377537651365497</v>
      </c>
      <c r="I7729" s="17" t="n">
        <f aca="false">Sens!$I$7721/Sens!$I$7700</f>
        <v>0.359230604038662</v>
      </c>
      <c r="J7729" s="17" t="n">
        <f aca="false">Sens!$J$7721/Sens!$J$7700</f>
        <v>0.345197865849801</v>
      </c>
      <c r="K7729" s="17" t="n">
        <f aca="false">Sens!$K$7721/Sens!$K$7700</f>
        <v>0.32654098357242</v>
      </c>
      <c r="L7729" s="17" t="n">
        <f aca="false">Sens!$L$7721/Sens!$L$7700</f>
        <v>0.314806978274702</v>
      </c>
      <c r="M7729" s="17" t="n">
        <f aca="false">Sens!$M$7721/Sens!$M$7700</f>
        <v>0.304503505485029</v>
      </c>
      <c r="N7729" s="17" t="n">
        <f aca="false">Sens!$N$7721/Sens!$N$7700</f>
        <v>0.360941137346192</v>
      </c>
      <c r="O7729" s="17" t="n">
        <f aca="false">Sens!$O$7721/Sens!$O$7700</f>
        <v>0.348458117664212</v>
      </c>
    </row>
    <row r="7730" customFormat="false" ht="17.15" hidden="false" customHeight="false" outlineLevel="0" collapsed="false">
      <c r="A7730" s="0" t="s">
        <v>741</v>
      </c>
      <c r="B7730" s="0" t="s">
        <v>52</v>
      </c>
      <c r="C7730" s="13" t="n">
        <f aca="false">Sens!$C$7719/Sens!$C$7701</f>
        <v>0.708390794789371</v>
      </c>
      <c r="D7730" s="13" t="n">
        <f aca="false">Sens!$D$7719/Sens!$D$7701</f>
        <v>0.619415573115729</v>
      </c>
      <c r="E7730" s="13" t="n">
        <f aca="false">Sens!$E$7719/Sens!$E$7701</f>
        <v>0.374072166056273</v>
      </c>
      <c r="F7730" s="13" t="n">
        <f aca="false">Sens!$F$7719/Sens!$F$7701</f>
        <v>0.553219320710057</v>
      </c>
      <c r="G7730" s="13" t="n">
        <f aca="false">Sens!$G$7719/Sens!$G$7701</f>
        <v>0.488270041527512</v>
      </c>
      <c r="H7730" s="13" t="n">
        <f aca="false">Sens!$H$7719/Sens!$H$7701</f>
        <v>0.435229086816882</v>
      </c>
      <c r="I7730" s="13" t="n">
        <f aca="false">Sens!$I$7719/Sens!$I$7701</f>
        <v>0.364954592421095</v>
      </c>
      <c r="J7730" s="13" t="n">
        <f aca="false">Sens!$J$7719/Sens!$J$7701</f>
        <v>0.330438308582232</v>
      </c>
      <c r="K7730" s="13" t="n">
        <f aca="false">Sens!$K$7719/Sens!$K$7701</f>
        <v>0.2916589289528</v>
      </c>
      <c r="L7730" s="13" t="n">
        <f aca="false">Sens!$L$7719/Sens!$L$7701</f>
        <v>0.268199200593258</v>
      </c>
      <c r="M7730" s="13" t="n">
        <f aca="false">Sens!$M$7719/Sens!$M$7701</f>
        <v>0.244854995033574</v>
      </c>
      <c r="N7730" s="13" t="n">
        <f aca="false">Sens!$N$7719/Sens!$N$7701</f>
        <v>0.551227795793364</v>
      </c>
      <c r="O7730" s="13" t="n">
        <f aca="false">Sens!$O$7719/Sens!$O$7701</f>
        <v>0.656132068597002</v>
      </c>
    </row>
    <row r="7731" customFormat="false" ht="15" hidden="false" customHeight="false" outlineLevel="0" collapsed="false">
      <c r="A7731" s="5" t="s">
        <v>742</v>
      </c>
      <c r="B7731" s="0" t="s">
        <v>52</v>
      </c>
      <c r="C7731" s="13" t="n">
        <f aca="false">Sens!$C$7723/Sens!$C$7703</f>
        <v>0.107519448742004</v>
      </c>
      <c r="D7731" s="13" t="n">
        <f aca="false">Sens!$D$7723/Sens!$D$7703</f>
        <v>0.111552967957552</v>
      </c>
      <c r="E7731" s="13" t="n">
        <f aca="false">Sens!$E$7723/Sens!$E$7703</f>
        <v>0.13428328426562</v>
      </c>
      <c r="F7731" s="13" t="n">
        <f aca="false">Sens!$F$7723/Sens!$F$7703</f>
        <v>0.130089413875539</v>
      </c>
      <c r="G7731" s="13" t="n">
        <f aca="false">Sens!$G$7723/Sens!$G$7703</f>
        <v>0.132048786678316</v>
      </c>
      <c r="H7731" s="13" t="n">
        <f aca="false">Sens!$H$7723/Sens!$H$7703</f>
        <v>0.139604881440853</v>
      </c>
      <c r="I7731" s="13" t="n">
        <f aca="false">Sens!$I$7723/Sens!$I$7703</f>
        <v>0.141694752432769</v>
      </c>
      <c r="J7731" s="13" t="n">
        <f aca="false">Sens!$J$7723/Sens!$J$7703</f>
        <v>0.14272611544629</v>
      </c>
      <c r="K7731" s="13" t="n">
        <f aca="false">Sens!$K$7723/Sens!$K$7703</f>
        <v>0.139974160596744</v>
      </c>
      <c r="L7731" s="13" t="n">
        <f aca="false">Sens!$L$7723/Sens!$L$7703</f>
        <v>0.137772071866073</v>
      </c>
      <c r="M7731" s="13" t="n">
        <f aca="false">Sens!$M$7723/Sens!$M$7703</f>
        <v>0.13596080857516</v>
      </c>
      <c r="N7731" s="13" t="n">
        <f aca="false">Sens!$N$7723/Sens!$N$7703</f>
        <v>0.116201614873411</v>
      </c>
      <c r="O7731" s="13" t="n">
        <f aca="false">Sens!$O$7723/Sens!$O$7703</f>
        <v>0.107733353660861</v>
      </c>
    </row>
    <row r="7732" customFormat="false" ht="17.15" hidden="false" customHeight="false" outlineLevel="0" collapsed="false">
      <c r="A7732" s="1" t="s">
        <v>743</v>
      </c>
    </row>
    <row r="7733" customFormat="false" ht="17.15" hidden="false" customHeight="false" outlineLevel="0" collapsed="false">
      <c r="A7733" s="5" t="s">
        <v>744</v>
      </c>
      <c r="B7733" s="0" t="s">
        <v>52</v>
      </c>
      <c r="D7733" s="28" t="n">
        <f aca="false">(Q!$E$29+Q!$E$30-(1-ext_sh)*Sens!$D$7655)/Sens!$D$7609</f>
        <v>0.0341105596409988</v>
      </c>
    </row>
    <row r="7734" customFormat="false" ht="17.15" hidden="false" customHeight="false" outlineLevel="0" collapsed="false">
      <c r="A7734" s="0" t="s">
        <v>538</v>
      </c>
      <c r="B7734" s="0" t="s">
        <v>86</v>
      </c>
      <c r="C7734" s="38" t="n">
        <f aca="false">Q!$D$29</f>
        <v>14.285</v>
      </c>
      <c r="D7734" s="38" t="n">
        <f aca="false">Q!$E$29</f>
        <v>15.503</v>
      </c>
      <c r="E7734" s="38" t="n">
        <f aca="false">Q!$P$29</f>
        <v>8.78</v>
      </c>
      <c r="F7734" s="38" t="n">
        <f aca="false">(Sens!$D$7733*Sens!$F$7609+(1-ext_sh)*Sens!$F$7655)*Sens!$F$7610</f>
        <v>9.16735846116642</v>
      </c>
      <c r="G7734" s="38" t="n">
        <f aca="false">Sens!$E$7734+Sens!$F$7734</f>
        <v>17.9473584611664</v>
      </c>
      <c r="H7734" s="38" t="n">
        <f aca="false">(Sens!$D$7733*Sens!$H$7609+(1-ext_sh)*Sens!$H$7655)*Sens!$H$7610</f>
        <v>21.6406723110177</v>
      </c>
      <c r="I7734" s="38" t="n">
        <f aca="false">(Sens!$D$7733*Sens!$I$7609+(1-ext_sh)*Sens!$I$7655)*Sens!$I$7610</f>
        <v>27.3128215555087</v>
      </c>
      <c r="J7734" s="38" t="n">
        <f aca="false">(Sens!$D$7733*Sens!$J$7609+(1-ext_sh)*Sens!$J$7655)*Sens!$J$7610</f>
        <v>33.0116861885756</v>
      </c>
      <c r="K7734" s="38" t="n">
        <f aca="false">(Sens!$D$7733*Sens!$K$7609+(1-ext_sh)*Sens!$K$7655)*Sens!$K$7610</f>
        <v>38.6250238720245</v>
      </c>
      <c r="L7734" s="38" t="n">
        <f aca="false">(Sens!$D$7733*Sens!$L$7609+(1-ext_sh)*Sens!$L$7655)*Sens!$L$7610</f>
        <v>43.0711535197861</v>
      </c>
      <c r="M7734" s="38" t="n">
        <f aca="false">(Sens!$D$7733*Sens!$M$7609+(1-ext_sh)*Sens!$M$7655)*Sens!$M$7610</f>
        <v>46.590728630326</v>
      </c>
      <c r="N7734" s="38" t="n">
        <f aca="false">Q!$N$29</f>
        <v>7.272</v>
      </c>
      <c r="O7734" s="38" t="n">
        <f aca="false">Q!$O$29</f>
        <v>8.231</v>
      </c>
    </row>
    <row r="7735" customFormat="false" ht="17.15" hidden="false" customHeight="false" outlineLevel="0" collapsed="false">
      <c r="A7735" s="0" t="s">
        <v>540</v>
      </c>
      <c r="B7735" s="0" t="s">
        <v>86</v>
      </c>
      <c r="C7735" s="38" t="n">
        <f aca="false">Q!$D$30</f>
        <v>4.462</v>
      </c>
      <c r="D7735" s="38" t="n">
        <f aca="false">Q!$E$30</f>
        <v>4.907</v>
      </c>
      <c r="E7735" s="38" t="n">
        <f aca="false">Q!$P$30</f>
        <v>2.57</v>
      </c>
      <c r="F7735" s="38" t="n">
        <f aca="false">(Sens!$D$7733*Sens!$F$7609+(1-ext_sh)*Sens!$F$7655)*(1-Sens!$F$7610)</f>
        <v>3.59937168293151</v>
      </c>
      <c r="G7735" s="38" t="n">
        <f aca="false">Sens!$E$7735+Sens!$F$7735</f>
        <v>6.16937168293151</v>
      </c>
      <c r="H7735" s="38" t="n">
        <f aca="false">(Sens!$D$7733*Sens!$H$7609+(1-ext_sh)*Sens!$H$7655)*(1-Sens!$H$7610)</f>
        <v>8.28915290031442</v>
      </c>
      <c r="I7735" s="38" t="n">
        <f aca="false">(Sens!$D$7733*Sens!$I$7609+(1-ext_sh)*Sens!$I$7655)*(1-Sens!$I$7610)</f>
        <v>10.4617892992793</v>
      </c>
      <c r="J7735" s="38" t="n">
        <f aca="false">(Sens!$D$7733*Sens!$J$7609+(1-ext_sh)*Sens!$J$7655)*(1-Sens!$J$7610)</f>
        <v>12.6446586493057</v>
      </c>
      <c r="K7735" s="38" t="n">
        <f aca="false">(Sens!$D$7733*Sens!$K$7609+(1-ext_sh)*Sens!$K$7655)*(1-Sens!$K$7610)</f>
        <v>14.7947681131192</v>
      </c>
      <c r="L7735" s="38" t="n">
        <f aca="false">(Sens!$D$7733*Sens!$L$7609+(1-ext_sh)*Sens!$L$7655)*(1-Sens!$L$7610)</f>
        <v>16.4977950771268</v>
      </c>
      <c r="M7735" s="38" t="n">
        <f aca="false">(Sens!$D$7733*Sens!$M$7609+(1-ext_sh)*Sens!$M$7655)*(1-Sens!$M$7610)</f>
        <v>17.8459184540772</v>
      </c>
      <c r="N7735" s="38" t="n">
        <f aca="false">Q!$N$30</f>
        <v>2.316</v>
      </c>
      <c r="O7735" s="38" t="n">
        <f aca="false">Q!$O$30</f>
        <v>2.591</v>
      </c>
    </row>
    <row r="7736" customFormat="false" ht="17.15" hidden="false" customHeight="false" outlineLevel="0" collapsed="false">
      <c r="A7736" s="0" t="s">
        <v>541</v>
      </c>
      <c r="B7736" s="0" t="s">
        <v>86</v>
      </c>
      <c r="C7736" s="38" t="n">
        <f aca="false">Sens!$C$7667</f>
        <v>13.32</v>
      </c>
      <c r="D7736" s="38" t="n">
        <f aca="false">Sens!$D$7667</f>
        <v>21.45</v>
      </c>
      <c r="E7736" s="38" t="n">
        <f aca="false">Sens!$E$7667</f>
        <v>15.353</v>
      </c>
      <c r="F7736" s="38" t="n">
        <f aca="false">Sens!$F$7667</f>
        <v>15.4404120185306</v>
      </c>
      <c r="G7736" s="38" t="n">
        <f aca="false">Sens!$G$7667</f>
        <v>30.7934120185306</v>
      </c>
      <c r="H7736" s="38" t="n">
        <f aca="false">Sens!$H$7667</f>
        <v>48.250114371455</v>
      </c>
      <c r="I7736" s="38" t="n">
        <f aca="false">Sens!$I$7667</f>
        <v>73.3965146995963</v>
      </c>
      <c r="J7736" s="38" t="n">
        <f aca="false">Sens!$J$7667</f>
        <v>99.22806138309</v>
      </c>
      <c r="K7736" s="38" t="n">
        <f aca="false">Sens!$K$7667</f>
        <v>125.386627452856</v>
      </c>
      <c r="L7736" s="38" t="n">
        <f aca="false">Sens!$L$7667</f>
        <v>144.77239043275</v>
      </c>
      <c r="M7736" s="38" t="n">
        <f aca="false">Sens!$M$7667</f>
        <v>158.693930910983</v>
      </c>
      <c r="N7736" s="38" t="n">
        <f aca="false">Sens!$N$7667</f>
        <v>9.234</v>
      </c>
      <c r="O7736" s="38" t="n">
        <f aca="false">Sens!$O$7667</f>
        <v>12.216</v>
      </c>
    </row>
    <row r="7737" customFormat="false" ht="17.15" hidden="false" customHeight="false" outlineLevel="0" collapsed="false">
      <c r="A7737" s="5" t="s">
        <v>745</v>
      </c>
      <c r="B7737" s="0" t="s">
        <v>86</v>
      </c>
      <c r="C7737" s="38" t="n">
        <f aca="false">Sens!$C$7734+Sens!$C$7735+Sens!$C$7736</f>
        <v>32.067</v>
      </c>
      <c r="D7737" s="38" t="n">
        <f aca="false">Sens!$D$7734+Sens!$D$7735+Sens!$D$7736</f>
        <v>41.86</v>
      </c>
      <c r="E7737" s="38" t="n">
        <f aca="false">Sens!$E$7734+Sens!$E$7735+Sens!$E$7736</f>
        <v>26.703</v>
      </c>
      <c r="F7737" s="38" t="n">
        <f aca="false">Sens!$F$7734+Sens!$F$7735+Sens!$F$7736</f>
        <v>28.2071421626285</v>
      </c>
      <c r="G7737" s="38" t="n">
        <f aca="false">Sens!$G$7734+Sens!$G$7735+Sens!$G$7736</f>
        <v>54.9101421626285</v>
      </c>
      <c r="H7737" s="38" t="n">
        <f aca="false">Sens!$H$7734+Sens!$H$7735+Sens!$H$7736</f>
        <v>78.1799395827871</v>
      </c>
      <c r="I7737" s="38" t="n">
        <f aca="false">Sens!$I$7734+Sens!$I$7735+Sens!$I$7736</f>
        <v>111.171125554384</v>
      </c>
      <c r="J7737" s="38" t="n">
        <f aca="false">Sens!$J$7734+Sens!$J$7735+Sens!$J$7736</f>
        <v>144.884406220971</v>
      </c>
      <c r="K7737" s="38" t="n">
        <f aca="false">Sens!$K$7734+Sens!$K$7735+Sens!$K$7736</f>
        <v>178.806419437999</v>
      </c>
      <c r="L7737" s="38" t="n">
        <f aca="false">Sens!$L$7734+Sens!$L$7735+Sens!$L$7736</f>
        <v>204.341339029663</v>
      </c>
      <c r="M7737" s="38" t="n">
        <f aca="false">Sens!$M$7734+Sens!$M$7735+Sens!$M$7736</f>
        <v>223.130577995387</v>
      </c>
      <c r="N7737" s="38" t="n">
        <f aca="false">Sens!$N$7734+Sens!$N$7735+Sens!$N$7736</f>
        <v>18.822</v>
      </c>
      <c r="O7737" s="38" t="n">
        <f aca="false">Sens!$O$7734+Sens!$O$7735+Sens!$O$7736</f>
        <v>23.038</v>
      </c>
    </row>
    <row r="7738" customFormat="false" ht="17.15" hidden="false" customHeight="false" outlineLevel="0" collapsed="false">
      <c r="A7738" s="0" t="s">
        <v>746</v>
      </c>
      <c r="B7738" s="0" t="s">
        <v>86</v>
      </c>
      <c r="C7738" s="38" t="n">
        <f aca="false">Sens!$C$7709+Sens!$C$7714</f>
        <v>28.107</v>
      </c>
      <c r="D7738" s="38" t="n">
        <f aca="false">Sens!$D$7709+Sens!$D$7714</f>
        <v>34.3175</v>
      </c>
      <c r="E7738" s="38" t="n">
        <f aca="false">Sens!$E$7709+Sens!$E$7714</f>
        <v>18.526</v>
      </c>
      <c r="F7738" s="38" t="n">
        <f aca="false">Sens!$F$7709+Sens!$F$7714</f>
        <v>23.0786109972074</v>
      </c>
      <c r="G7738" s="38" t="n">
        <f aca="false">Sens!$G$7709+Sens!$G$7714</f>
        <v>41.6046109972074</v>
      </c>
      <c r="H7738" s="38" t="n">
        <f aca="false">Sens!$H$7709+Sens!$H$7714</f>
        <v>49.9484611939488</v>
      </c>
      <c r="I7738" s="38" t="n">
        <f aca="false">Sens!$I$7709+Sens!$I$7714</f>
        <v>58.2915555477481</v>
      </c>
      <c r="J7738" s="38" t="n">
        <f aca="false">Sens!$J$7709+Sens!$J$7714</f>
        <v>66.0744709709759</v>
      </c>
      <c r="K7738" s="38" t="n">
        <f aca="false">Sens!$K$7709+Sens!$K$7714</f>
        <v>72.6819180680735</v>
      </c>
      <c r="L7738" s="38" t="n">
        <f aca="false">Sens!$L$7709+Sens!$L$7714</f>
        <v>79.9501098748808</v>
      </c>
      <c r="M7738" s="38" t="n">
        <f aca="false">Sens!$M$7709+Sens!$M$7714</f>
        <v>87.9451208623689</v>
      </c>
      <c r="N7738" s="38" t="n">
        <f aca="false">Sens!$N$7709+Sens!$N$7714</f>
        <v>14.8075</v>
      </c>
      <c r="O7738" s="38" t="n">
        <f aca="false">Sens!$O$7709+Sens!$O$7714</f>
        <v>19.51</v>
      </c>
    </row>
    <row r="7739" customFormat="false" ht="17.15" hidden="false" customHeight="false" outlineLevel="0" collapsed="false">
      <c r="A7739" s="0" t="s">
        <v>747</v>
      </c>
      <c r="B7739" s="0" t="s">
        <v>86</v>
      </c>
      <c r="C7739" s="38" t="n">
        <f aca="false">Sens!$C$7713+Sens!$C$7718+Sens!$C$7734+Sens!$C$7735-Sens!$C$7738</f>
        <v>19.399</v>
      </c>
      <c r="D7739" s="38" t="n">
        <f aca="false">Sens!$D$7713+Sens!$D$7718+Sens!$D$7734+Sens!$D$7735-Sens!$D$7738</f>
        <v>20.4615</v>
      </c>
      <c r="E7739" s="38" t="n">
        <f aca="false">Sens!$E$7713+Sens!$E$7718+Sens!$E$7734+Sens!$E$7735-Sens!$E$7738</f>
        <v>13.355</v>
      </c>
      <c r="F7739" s="38" t="n">
        <f aca="false">Sens!$F$7713+Sens!$F$7718+Sens!$F$7734+Sens!$F$7735-Sens!$F$7738</f>
        <v>12.5520732018618</v>
      </c>
      <c r="G7739" s="38" t="n">
        <f aca="false">Sens!$G$7713+Sens!$G$7718+Sens!$G$7734+Sens!$G$7735-Sens!$G$7738</f>
        <v>25.9070732018618</v>
      </c>
      <c r="H7739" s="38" t="n">
        <f aca="false">Sens!$H$7713+Sens!$H$7718+Sens!$H$7734+Sens!$H$7735-Sens!$H$7738</f>
        <v>28.0233335906818</v>
      </c>
      <c r="I7739" s="38" t="n">
        <f aca="false">Sens!$I$7713+Sens!$I$7718+Sens!$I$7734+Sens!$I$7735-Sens!$I$7738</f>
        <v>30.2440066606864</v>
      </c>
      <c r="J7739" s="38" t="n">
        <f aca="false">Sens!$J$7713+Sens!$J$7718+Sens!$J$7734+Sens!$J$7735-Sens!$J$7738</f>
        <v>32.4596500296286</v>
      </c>
      <c r="K7739" s="38" t="n">
        <f aca="false">Sens!$K$7713+Sens!$K$7718+Sens!$K$7734+Sens!$K$7735-Sens!$K$7738</f>
        <v>34.839425971154</v>
      </c>
      <c r="L7739" s="38" t="n">
        <f aca="false">Sens!$L$7713+Sens!$L$7718+Sens!$L$7734+Sens!$L$7735-Sens!$L$7738</f>
        <v>36.4424209524427</v>
      </c>
      <c r="M7739" s="38" t="n">
        <f aca="false">Sens!$M$7713+Sens!$M$7718+Sens!$M$7734+Sens!$M$7735-Sens!$M$7738</f>
        <v>38.8413540019876</v>
      </c>
      <c r="N7739" s="38" t="n">
        <f aca="false">Sens!$N$7713+Sens!$N$7718+Sens!$N$7734+Sens!$N$7735-Sens!$N$7738</f>
        <v>10.6495</v>
      </c>
      <c r="O7739" s="38" t="n">
        <f aca="false">Sens!$O$7713+Sens!$O$7718+Sens!$O$7734+Sens!$O$7735-Sens!$O$7738</f>
        <v>9.81200000000001</v>
      </c>
    </row>
    <row r="7740" customFormat="false" ht="17.15" hidden="false" customHeight="false" outlineLevel="0" collapsed="false">
      <c r="A7740" s="0" t="s">
        <v>748</v>
      </c>
      <c r="B7740" s="0" t="s">
        <v>86</v>
      </c>
      <c r="C7740" s="38" t="n">
        <f aca="false">Sens!$C$7720+Sens!$C$7736-ext_sh*Sens!$C$7655</f>
        <v>51.3470500115664</v>
      </c>
      <c r="D7740" s="38" t="n">
        <f aca="false">Sens!$D$7720+Sens!$D$7736-ext_sh*Sens!$D$7655</f>
        <v>60.2799375433739</v>
      </c>
      <c r="E7740" s="38" t="n">
        <f aca="false">Sens!$E$7720+Sens!$E$7736-ext_sh*Sens!$E$7655</f>
        <v>39.5095167090767</v>
      </c>
      <c r="F7740" s="38" t="n">
        <f aca="false">Sens!$F$7720+Sens!$F$7736-ext_sh*Sens!$F$7655</f>
        <v>37.5468918745429</v>
      </c>
      <c r="G7740" s="38" t="n">
        <f aca="false">Sens!$G$7720+Sens!$G$7736-ext_sh*Sens!$G$7655</f>
        <v>77.0564085836196</v>
      </c>
      <c r="H7740" s="38" t="n">
        <f aca="false">Sens!$H$7720+Sens!$H$7736-ext_sh*Sens!$H$7655</f>
        <v>84.2378398616123</v>
      </c>
      <c r="I7740" s="38" t="n">
        <f aca="false">Sens!$I$7720+Sens!$I$7736-ext_sh*Sens!$I$7655</f>
        <v>93.5253492849083</v>
      </c>
      <c r="J7740" s="38" t="n">
        <f aca="false">Sens!$J$7720+Sens!$J$7736-ext_sh*Sens!$J$7655</f>
        <v>102.42210777817</v>
      </c>
      <c r="K7740" s="38" t="n">
        <f aca="false">Sens!$K$7720+Sens!$K$7736-ext_sh*Sens!$K$7655</f>
        <v>110.615876400424</v>
      </c>
      <c r="L7740" s="38" t="n">
        <f aca="false">Sens!$L$7720+Sens!$L$7736-ext_sh*Sens!$L$7655</f>
        <v>119.465146512458</v>
      </c>
      <c r="M7740" s="38" t="n">
        <f aca="false">Sens!$M$7720+Sens!$M$7736-ext_sh*Sens!$M$7655</f>
        <v>129.022358233455</v>
      </c>
      <c r="N7740" s="38" t="n">
        <f aca="false">Sens!$N$7720+Sens!$N$7736-ext_sh*Sens!$N$7655</f>
        <v>28.5693781401809</v>
      </c>
      <c r="O7740" s="38" t="n">
        <f aca="false">Sens!$O$7720+Sens!$O$7736-ext_sh*Sens!$O$7655</f>
        <v>31.7105594031931</v>
      </c>
    </row>
    <row r="7741" customFormat="false" ht="17.15" hidden="false" customHeight="false" outlineLevel="0" collapsed="false">
      <c r="A7741" s="0" t="s">
        <v>749</v>
      </c>
      <c r="B7741" s="0" t="s">
        <v>86</v>
      </c>
      <c r="C7741" s="38" t="n">
        <f aca="false">Sens!$C$7658</f>
        <v>1.80694998843362</v>
      </c>
      <c r="D7741" s="38" t="n">
        <f aca="false">Sens!$D$7658</f>
        <v>6.77606245662607</v>
      </c>
      <c r="E7741" s="38" t="n">
        <f aca="false">Sens!$E$7658</f>
        <v>6.62548329092326</v>
      </c>
      <c r="F7741" s="38" t="n">
        <f aca="false">Sens!$F$7658</f>
        <v>11.7200577158706</v>
      </c>
      <c r="G7741" s="38" t="n">
        <f aca="false">Sens!$G$7658</f>
        <v>18.3455410067939</v>
      </c>
      <c r="H7741" s="38" t="n">
        <f aca="false">Sens!$H$7658</f>
        <v>47.5171727060453</v>
      </c>
      <c r="I7741" s="38" t="n">
        <f aca="false">Sens!$I$7658</f>
        <v>80.5539692643667</v>
      </c>
      <c r="J7741" s="38" t="n">
        <f aca="false">Sens!$J$7658</f>
        <v>113.759316834883</v>
      </c>
      <c r="K7741" s="38" t="n">
        <f aca="false">Sens!$K$7658</f>
        <v>142.084411492169</v>
      </c>
      <c r="L7741" s="38" t="n">
        <f aca="false">Sens!$L$7658</f>
        <v>160.69964615804</v>
      </c>
      <c r="M7741" s="38" t="n">
        <f aca="false">Sens!$M$7658</f>
        <v>169.577607141793</v>
      </c>
      <c r="N7741" s="38" t="n">
        <f aca="false">Sens!$N$7658</f>
        <v>2.37162185981912</v>
      </c>
      <c r="O7741" s="38" t="n">
        <f aca="false">Sens!$O$7658</f>
        <v>4.40444059680694</v>
      </c>
    </row>
    <row r="7742" customFormat="false" ht="17.15" hidden="false" customHeight="false" outlineLevel="0" collapsed="false">
      <c r="A7742" s="0" t="s">
        <v>750</v>
      </c>
      <c r="B7742" s="0" t="s">
        <v>86</v>
      </c>
      <c r="C7742" s="38" t="n">
        <f aca="false">Sens!$C$7723+Sens!$C$7737</f>
        <v>100.66</v>
      </c>
      <c r="D7742" s="38" t="n">
        <f aca="false">Sens!$D$7723+Sens!$D$7737</f>
        <v>121.835</v>
      </c>
      <c r="E7742" s="38" t="n">
        <f aca="false">Sens!$E$7723+Sens!$E$7737</f>
        <v>78.016</v>
      </c>
      <c r="F7742" s="38" t="n">
        <f aca="false">Sens!$F$7723+Sens!$F$7737</f>
        <v>84.8976337894826</v>
      </c>
      <c r="G7742" s="38" t="n">
        <f aca="false">Sens!$G$7723+Sens!$G$7737</f>
        <v>162.913633789483</v>
      </c>
      <c r="H7742" s="38" t="n">
        <f aca="false">Sens!$H$7723+Sens!$H$7737</f>
        <v>209.726807352288</v>
      </c>
      <c r="I7742" s="38" t="n">
        <f aca="false">Sens!$I$7723+Sens!$I$7737</f>
        <v>262.61488075771</v>
      </c>
      <c r="J7742" s="38" t="n">
        <f aca="false">Sens!$J$7723+Sens!$J$7737</f>
        <v>314.715545613658</v>
      </c>
      <c r="K7742" s="38" t="n">
        <f aca="false">Sens!$K$7723+Sens!$K$7737</f>
        <v>360.221631931821</v>
      </c>
      <c r="L7742" s="38" t="n">
        <f aca="false">Sens!$L$7723+Sens!$L$7737</f>
        <v>396.557323497822</v>
      </c>
      <c r="M7742" s="38" t="n">
        <f aca="false">Sens!$M$7723+Sens!$M$7737</f>
        <v>425.386440239605</v>
      </c>
      <c r="N7742" s="38" t="n">
        <f aca="false">Sens!$N$7723+Sens!$N$7737</f>
        <v>56.398</v>
      </c>
      <c r="O7742" s="38" t="n">
        <f aca="false">Sens!$O$7723+Sens!$O$7737</f>
        <v>65.437</v>
      </c>
    </row>
    <row r="7743" customFormat="false" ht="17.15" hidden="false" customHeight="false" outlineLevel="0" collapsed="false">
      <c r="A7743" s="1" t="s">
        <v>751</v>
      </c>
    </row>
    <row r="7744" customFormat="false" ht="15" hidden="false" customHeight="false" outlineLevel="0" collapsed="false">
      <c r="A7744" s="5" t="s">
        <v>544</v>
      </c>
      <c r="B7744" s="0" t="s">
        <v>86</v>
      </c>
      <c r="C7744" s="38" t="n">
        <f aca="false">Q!$D$34</f>
        <v>2.406</v>
      </c>
      <c r="D7744" s="38" t="n">
        <f aca="false">Q!$E$34</f>
        <v>2.274</v>
      </c>
      <c r="E7744" s="38" t="n">
        <f aca="false">Q!$P$34</f>
        <v>2.114</v>
      </c>
      <c r="F7744" s="38" t="n">
        <f aca="false">Sens!$F$7782</f>
        <v>3.24888962733561</v>
      </c>
      <c r="G7744" s="38" t="n">
        <f aca="false">Sens!$E$7744+Sens!$F$7744</f>
        <v>5.36288962733561</v>
      </c>
      <c r="H7744" s="38" t="n">
        <f aca="false">Sens!$H$7782</f>
        <v>7.42354172302123</v>
      </c>
      <c r="I7744" s="38" t="n">
        <f aca="false">Sens!$I$7782</f>
        <v>8.48968024898619</v>
      </c>
      <c r="J7744" s="38" t="n">
        <f aca="false">Sens!$J$7782</f>
        <v>9.63598826439483</v>
      </c>
      <c r="K7744" s="38" t="n">
        <f aca="false">Sens!$K$7782</f>
        <v>9.63598826439483</v>
      </c>
      <c r="L7744" s="38" t="n">
        <f aca="false">Sens!$L$7782</f>
        <v>9.63598826439483</v>
      </c>
      <c r="M7744" s="38" t="n">
        <f aca="false">Sens!$M$7782</f>
        <v>9.63598826439483</v>
      </c>
      <c r="N7744" s="38" t="n">
        <f aca="false">Q!$N$34</f>
        <v>1.057</v>
      </c>
      <c r="O7744" s="38" t="n">
        <f aca="false">Q!$O$34</f>
        <v>1.217</v>
      </c>
    </row>
    <row r="7745" customFormat="false" ht="15" hidden="false" customHeight="false" outlineLevel="0" collapsed="false">
      <c r="A7745" s="5" t="s">
        <v>752</v>
      </c>
      <c r="B7745" s="0" t="s">
        <v>86</v>
      </c>
      <c r="F7745" s="38" t="n">
        <f aca="false">Sens!$F$7783</f>
        <v>2.59</v>
      </c>
      <c r="H7745" s="38" t="n">
        <f aca="false">Sens!$H$7783</f>
        <v>3.76965165045626</v>
      </c>
      <c r="I7745" s="38" t="n">
        <f aca="false">Sens!$I$7783</f>
        <v>2.10589651022864</v>
      </c>
      <c r="J7745" s="38" t="n">
        <f aca="false">Sens!$J$7783</f>
        <v>2.10589651022864</v>
      </c>
      <c r="K7745" s="38" t="n">
        <f aca="false">Sens!$K$7783</f>
        <v>3.03184385018094</v>
      </c>
      <c r="L7745" s="38" t="n">
        <f aca="false">Sens!$L$7783</f>
        <v>8.01944213829919</v>
      </c>
      <c r="M7745" s="38" t="n">
        <f aca="false">Sens!$M$7783</f>
        <v>15.4751142339777</v>
      </c>
    </row>
    <row r="7746" customFormat="false" ht="17.15" hidden="false" customHeight="false" outlineLevel="0" collapsed="false">
      <c r="A7746" s="5" t="s">
        <v>753</v>
      </c>
      <c r="B7746" s="0" t="s">
        <v>86</v>
      </c>
      <c r="C7746" s="38" t="n">
        <f aca="false">Q!$D$39</f>
        <v>2.427</v>
      </c>
      <c r="D7746" s="38" t="n">
        <f aca="false">Q!$E$39</f>
        <v>19.61</v>
      </c>
      <c r="E7746" s="38" t="n">
        <f aca="false">Q!$P$39</f>
        <v>71.492</v>
      </c>
      <c r="F7746" s="39" t="n">
        <v>0</v>
      </c>
      <c r="G7746" s="38" t="n">
        <f aca="false">Sens!$E$7746+Sens!$F$7746</f>
        <v>71.492</v>
      </c>
      <c r="H7746" s="39" t="n">
        <v>0</v>
      </c>
      <c r="I7746" s="39" t="n">
        <v>0</v>
      </c>
      <c r="J7746" s="39" t="n">
        <v>0</v>
      </c>
      <c r="K7746" s="39" t="n">
        <v>0</v>
      </c>
      <c r="L7746" s="39" t="n">
        <v>0</v>
      </c>
      <c r="M7746" s="39" t="n">
        <v>0</v>
      </c>
      <c r="N7746" s="38" t="n">
        <f aca="false">Q!$N$39</f>
        <v>6.017</v>
      </c>
      <c r="O7746" s="38" t="n">
        <f aca="false">Q!$O$39</f>
        <v>13.593</v>
      </c>
      <c r="P7746" s="5" t="s">
        <v>754</v>
      </c>
    </row>
    <row r="7747" customFormat="false" ht="15" hidden="false" customHeight="false" outlineLevel="0" collapsed="false">
      <c r="A7747" s="5" t="s">
        <v>547</v>
      </c>
      <c r="B7747" s="0" t="s">
        <v>86</v>
      </c>
      <c r="C7747" s="38" t="n">
        <f aca="false">Q!$D$36</f>
        <v>68.614</v>
      </c>
      <c r="D7747" s="38" t="n">
        <f aca="false">Q!$E$36</f>
        <v>97.311</v>
      </c>
      <c r="E7747" s="38" t="n">
        <f aca="false">Q!$P$36</f>
        <v>120.691</v>
      </c>
      <c r="F7747" s="38" t="n">
        <f aca="false">Sens!$F$7723-Sens!$F$7744+Sens!$F$7745+Sens!$F$7746</f>
        <v>56.0316019995185</v>
      </c>
      <c r="G7747" s="38" t="n">
        <f aca="false">Sens!$E$7747+Sens!$F$7747</f>
        <v>176.722601999518</v>
      </c>
      <c r="H7747" s="38" t="n">
        <f aca="false">Sens!$H$7723-Sens!$H$7744+Sens!$H$7745+Sens!$H$7746</f>
        <v>127.892977696936</v>
      </c>
      <c r="I7747" s="38" t="n">
        <f aca="false">Sens!$I$7723-Sens!$I$7744+Sens!$I$7745+Sens!$I$7746</f>
        <v>145.059971464568</v>
      </c>
      <c r="J7747" s="38" t="n">
        <f aca="false">Sens!$J$7723-Sens!$J$7744+Sens!$J$7745+Sens!$J$7746</f>
        <v>162.301047638521</v>
      </c>
      <c r="K7747" s="38" t="n">
        <f aca="false">Sens!$K$7723-Sens!$K$7744+Sens!$K$7745+Sens!$K$7746</f>
        <v>174.811068079608</v>
      </c>
      <c r="L7747" s="38" t="n">
        <f aca="false">Sens!$L$7723-Sens!$L$7744+Sens!$L$7745+Sens!$L$7746</f>
        <v>190.599438342064</v>
      </c>
      <c r="M7747" s="38" t="n">
        <f aca="false">Sens!$M$7723-Sens!$M$7744+Sens!$M$7745+Sens!$M$7746</f>
        <v>208.094988213801</v>
      </c>
      <c r="N7747" s="38" t="n">
        <f aca="false">Q!$N$36</f>
        <v>42.536</v>
      </c>
      <c r="O7747" s="38" t="n">
        <f aca="false">Q!$O$36</f>
        <v>54.775</v>
      </c>
    </row>
    <row r="7748" customFormat="false" ht="15" hidden="false" customHeight="false" outlineLevel="0" collapsed="false">
      <c r="A7748" s="5" t="s">
        <v>548</v>
      </c>
      <c r="B7748" s="0" t="s">
        <v>86</v>
      </c>
      <c r="C7748" s="38" t="n">
        <f aca="false">Q!$D$37</f>
        <v>9.265</v>
      </c>
      <c r="D7748" s="38" t="n">
        <f aca="false">Q!$E$37</f>
        <v>19.087</v>
      </c>
      <c r="E7748" s="38" t="n">
        <f aca="false">Q!$P$37</f>
        <v>27.759</v>
      </c>
      <c r="F7748" s="38" t="n">
        <f aca="false">Sens!$F$7747*tax</f>
        <v>9.72621910890414</v>
      </c>
      <c r="G7748" s="38" t="n">
        <f aca="false">Sens!$E$7748+Sens!$F$7748</f>
        <v>37.4852191089041</v>
      </c>
      <c r="H7748" s="38" t="n">
        <f aca="false">Sens!$H$7747*tax</f>
        <v>22.2002419916761</v>
      </c>
      <c r="I7748" s="38" t="n">
        <f aca="false">Sens!$I$7747*tax</f>
        <v>25.1801664783365</v>
      </c>
      <c r="J7748" s="38" t="n">
        <f aca="false">Sens!$J$7747*tax</f>
        <v>28.1729505244292</v>
      </c>
      <c r="K7748" s="38" t="n">
        <f aca="false">Sens!$K$7747*tax</f>
        <v>30.3444965007146</v>
      </c>
      <c r="L7748" s="38" t="n">
        <f aca="false">Sens!$L$7747*tax</f>
        <v>33.0851132788405</v>
      </c>
      <c r="M7748" s="38" t="n">
        <f aca="false">Sens!$M$7747*tax</f>
        <v>36.1220700213006</v>
      </c>
      <c r="N7748" s="38" t="n">
        <f aca="false">Q!$N$37</f>
        <v>7.231</v>
      </c>
      <c r="O7748" s="38" t="n">
        <f aca="false">Q!$O$37</f>
        <v>11.856</v>
      </c>
    </row>
    <row r="7749" customFormat="false" ht="15" hidden="false" customHeight="false" outlineLevel="0" collapsed="false">
      <c r="A7749" s="3" t="s">
        <v>549</v>
      </c>
      <c r="B7749" s="8" t="s">
        <v>86</v>
      </c>
      <c r="C7749" s="38" t="n">
        <f aca="false">Q!$D$38</f>
        <v>59.248</v>
      </c>
      <c r="D7749" s="38" t="n">
        <f aca="false">Q!$E$38</f>
        <v>77.67</v>
      </c>
      <c r="E7749" s="38" t="n">
        <f aca="false">Q!$P$38</f>
        <v>92.902</v>
      </c>
      <c r="F7749" s="38" t="n">
        <f aca="false">Sens!$F$7747-Sens!$F$7748</f>
        <v>46.3053828906144</v>
      </c>
      <c r="G7749" s="38" t="n">
        <f aca="false">Sens!$E$7749+Sens!$F$7749</f>
        <v>139.207382890614</v>
      </c>
      <c r="H7749" s="38" t="n">
        <f aca="false">Sens!$H$7747-Sens!$H$7748</f>
        <v>105.69273570526</v>
      </c>
      <c r="I7749" s="38" t="n">
        <f aca="false">Sens!$I$7747-Sens!$I$7748</f>
        <v>119.879804986231</v>
      </c>
      <c r="J7749" s="38" t="n">
        <f aca="false">Sens!$J$7747-Sens!$J$7748</f>
        <v>134.128097114092</v>
      </c>
      <c r="K7749" s="38" t="n">
        <f aca="false">Sens!$K$7747-Sens!$K$7748</f>
        <v>144.466571578893</v>
      </c>
      <c r="L7749" s="38" t="n">
        <f aca="false">Sens!$L$7747-Sens!$L$7748</f>
        <v>157.514325063223</v>
      </c>
      <c r="M7749" s="38" t="n">
        <f aca="false">Sens!$M$7747-Sens!$M$7748</f>
        <v>171.9729181925</v>
      </c>
      <c r="N7749" s="38" t="n">
        <f aca="false">Q!$N$38</f>
        <v>35.291</v>
      </c>
      <c r="O7749" s="38" t="n">
        <f aca="false">Q!$O$38</f>
        <v>42.379</v>
      </c>
    </row>
    <row r="7750" customFormat="false" ht="17.15" hidden="false" customHeight="false" outlineLevel="0" collapsed="false">
      <c r="A7750" s="5" t="s">
        <v>552</v>
      </c>
      <c r="B7750" s="5" t="s">
        <v>33</v>
      </c>
      <c r="C7750" s="22" t="n">
        <f aca="false">Q!$D$41</f>
        <v>10.721</v>
      </c>
      <c r="D7750" s="22" t="n">
        <f aca="false">Q!$E$41</f>
        <v>10.827</v>
      </c>
      <c r="E7750" s="22" t="n">
        <f aca="false">(Q!$L$41+Q!$M$41)/2</f>
        <v>10.8885</v>
      </c>
      <c r="F7750" s="22" t="n">
        <f aca="false">Sens!$G$7750</f>
        <v>10.924806</v>
      </c>
      <c r="G7750" s="22" t="n">
        <f aca="false">Q!$M$41*(1+sh_g*0.25)</f>
        <v>10.924806</v>
      </c>
      <c r="H7750" s="22" t="n">
        <f aca="false">Sens!$G$7750*(1+sh_g)</f>
        <v>11.012204448</v>
      </c>
      <c r="I7750" s="22" t="n">
        <f aca="false">Sens!$H$7750*(1+sh_g)</f>
        <v>11.100302083584</v>
      </c>
      <c r="J7750" s="22" t="n">
        <f aca="false">Sens!$I$7750*(1+sh_g)</f>
        <v>11.1891045002527</v>
      </c>
      <c r="K7750" s="22" t="n">
        <f aca="false">Sens!$J$7750*(1+sh_g)</f>
        <v>11.2786173362547</v>
      </c>
      <c r="L7750" s="22" t="n">
        <f aca="false">Sens!$K$7750*(1+sh_g)</f>
        <v>11.3688462749447</v>
      </c>
      <c r="M7750" s="22" t="n">
        <f aca="false">Sens!$L$7750*(1+sh_g)</f>
        <v>11.4597970451443</v>
      </c>
      <c r="P7750" s="5" t="s">
        <v>755</v>
      </c>
    </row>
    <row r="7751" customFormat="false" ht="17.15" hidden="false" customHeight="false" outlineLevel="0" collapsed="false">
      <c r="A7751" s="5" t="s">
        <v>756</v>
      </c>
      <c r="B7751" s="0" t="s">
        <v>86</v>
      </c>
      <c r="C7751" s="38" t="n">
        <f aca="false">Sens!$C$7749+Sens!$C$7725*(1-tax)</f>
        <v>59.248</v>
      </c>
      <c r="D7751" s="38" t="n">
        <f aca="false">Sens!$D$7749+Sens!$D$7725*(1-tax)</f>
        <v>77.67</v>
      </c>
      <c r="E7751" s="38" t="n">
        <f aca="false">Sens!$E$7749+Sens!$E$7725*(1-tax)</f>
        <v>92.902</v>
      </c>
      <c r="F7751" s="38" t="n">
        <f aca="false">Sens!$F$7749+Sens!$F$7725*(1-tax)</f>
        <v>49.421977850263</v>
      </c>
      <c r="G7751" s="38" t="n">
        <f aca="false">Sens!$G$7749+Sens!$G$7725*(1-tax)</f>
        <v>142.323977850263</v>
      </c>
      <c r="H7751" s="38" t="n">
        <f aca="false">Sens!$H$7749+Sens!$H$7725*(1-tax)</f>
        <v>118.224131660605</v>
      </c>
      <c r="I7751" s="38" t="n">
        <f aca="false">Sens!$I$7749+Sens!$I$7725*(1-tax)</f>
        <v>141.02107006117</v>
      </c>
      <c r="J7751" s="38" t="n">
        <f aca="false">Sens!$J$7749+Sens!$J$7725*(1-tax)</f>
        <v>163.917534058375</v>
      </c>
      <c r="K7751" s="38" t="n">
        <f aca="false">Sens!$K$7749+Sens!$K$7725*(1-tax)</f>
        <v>181.633877275552</v>
      </c>
      <c r="L7751" s="38" t="n">
        <f aca="false">Sens!$L$7749+Sens!$L$7725*(1-tax)</f>
        <v>199.530402403778</v>
      </c>
      <c r="M7751" s="38" t="n">
        <f aca="false">Sens!$M$7749+Sens!$M$7725*(1-tax)</f>
        <v>216.302440383341</v>
      </c>
      <c r="N7751" s="38" t="n">
        <f aca="false">Sens!$N$7749+Sens!$N$7725*(1-tax)</f>
        <v>35.291</v>
      </c>
      <c r="O7751" s="38" t="n">
        <f aca="false">Sens!$O$7749+Sens!$O$7725*(1-tax)</f>
        <v>42.379</v>
      </c>
    </row>
    <row r="7752" customFormat="false" ht="17.15" hidden="false" customHeight="false" outlineLevel="0" collapsed="false">
      <c r="A7752" s="43" t="s">
        <v>757</v>
      </c>
      <c r="B7752" s="14" t="s">
        <v>27</v>
      </c>
      <c r="C7752" s="44" t="n">
        <f aca="false">Sens!$C$7751/Sens!$C$7750</f>
        <v>5.52635015390355</v>
      </c>
      <c r="D7752" s="44" t="n">
        <f aca="false">Sens!$D$7751/Sens!$D$7750</f>
        <v>7.1737323358271</v>
      </c>
      <c r="E7752" s="44" t="n">
        <f aca="false">Sens!$E$7751/Sens!$E$7750</f>
        <v>8.53212104513937</v>
      </c>
      <c r="F7752" s="14"/>
      <c r="G7752" s="44" t="n">
        <f aca="false">Sens!$G$7751/Sens!$G$7750</f>
        <v>13.0275977303636</v>
      </c>
      <c r="H7752" s="44" t="n">
        <f aca="false">Sens!$H$7751/Sens!$H$7750</f>
        <v>10.7357370832392</v>
      </c>
      <c r="I7752" s="44" t="n">
        <f aca="false">Sens!$I$7751/Sens!$I$7750</f>
        <v>12.7042551634449</v>
      </c>
      <c r="J7752" s="44" t="n">
        <f aca="false">Sens!$J$7751/Sens!$J$7750</f>
        <v>14.6497455676344</v>
      </c>
      <c r="K7752" s="44" t="n">
        <f aca="false">Sens!$K$7751/Sens!$K$7750</f>
        <v>16.104268090708</v>
      </c>
      <c r="L7752" s="44" t="n">
        <f aca="false">Sens!$L$7751/Sens!$L$7750</f>
        <v>17.5506289361581</v>
      </c>
      <c r="M7752" s="44" t="n">
        <f aca="false">Sens!$M$7751/Sens!$M$7750</f>
        <v>18.8748927691518</v>
      </c>
      <c r="N7752" s="14"/>
      <c r="O7752" s="14"/>
    </row>
    <row r="7753" customFormat="false" ht="17.15" hidden="false" customHeight="false" outlineLevel="0" collapsed="false">
      <c r="A7753" s="0" t="s">
        <v>758</v>
      </c>
      <c r="B7753" s="0" t="s">
        <v>27</v>
      </c>
      <c r="C7753" s="30" t="n">
        <f aca="false">Sens!$C$7749/Sens!$C$7750</f>
        <v>5.52635015390355</v>
      </c>
      <c r="D7753" s="30" t="n">
        <f aca="false">Sens!$D$7749/Sens!$D$7750</f>
        <v>7.1737323358271</v>
      </c>
      <c r="E7753" s="30" t="n">
        <f aca="false">Sens!$E$7749/Sens!$E$7750</f>
        <v>8.53212104513937</v>
      </c>
      <c r="G7753" s="30" t="n">
        <f aca="false">Sens!$G$7749/Sens!$G$7750</f>
        <v>12.7423208147233</v>
      </c>
      <c r="H7753" s="30" t="n">
        <f aca="false">Sens!$H$7749/Sens!$H$7750</f>
        <v>9.59778182509639</v>
      </c>
      <c r="I7753" s="30" t="n">
        <f aca="false">Sens!$I$7749/Sens!$I$7750</f>
        <v>10.799688520506</v>
      </c>
      <c r="J7753" s="30" t="n">
        <f aca="false">Sens!$J$7749/Sens!$J$7750</f>
        <v>11.9873844337644</v>
      </c>
      <c r="K7753" s="30" t="n">
        <f aca="false">Sens!$K$7749/Sens!$K$7750</f>
        <v>12.8088902453061</v>
      </c>
      <c r="L7753" s="30" t="n">
        <f aca="false">Sens!$L$7749/Sens!$L$7750</f>
        <v>13.8549085152432</v>
      </c>
      <c r="M7753" s="30" t="n">
        <f aca="false">Sens!$M$7749/Sens!$M$7750</f>
        <v>15.0066286091313</v>
      </c>
    </row>
    <row r="7754" customFormat="false" ht="17.15" hidden="false" customHeight="false" outlineLevel="0" collapsed="false">
      <c r="A7754" s="0" t="s">
        <v>759</v>
      </c>
      <c r="B7754" s="0" t="s">
        <v>27</v>
      </c>
      <c r="C7754" s="30" t="n">
        <f aca="false">(Sens!$C$7749-Sens!$C$7746*(1-tax))/Sens!$C$7750</f>
        <v>5.33926775917445</v>
      </c>
      <c r="D7754" s="30" t="n">
        <f aca="false">(Sens!$D$7749-Sens!$D$7746*(1-tax))/Sens!$D$7750</f>
        <v>5.67691812755503</v>
      </c>
      <c r="E7754" s="30" t="n">
        <f aca="false">(Sens!$E$7749-Sens!$E$7746*(1-tax))/Sens!$E$7750</f>
        <v>3.10602057006846</v>
      </c>
      <c r="G7754" s="30" t="n">
        <f aca="false">(Sens!$G$7749-Sens!$G$7746*(1-tax))/Sens!$G$7750</f>
        <v>7.33425269682635</v>
      </c>
      <c r="H7754" s="30" t="n">
        <f aca="false">(Sens!$H$7749-Sens!$H$7746*(1-tax))/Sens!$H$7750</f>
        <v>9.59778182509639</v>
      </c>
      <c r="I7754" s="30" t="n">
        <f aca="false">(Sens!$I$7749-Sens!$I$7746*(1-tax))/Sens!$I$7750</f>
        <v>10.799688520506</v>
      </c>
      <c r="J7754" s="30" t="n">
        <f aca="false">(Sens!$J$7749-Sens!$J$7746*(1-tax))/Sens!$J$7750</f>
        <v>11.9873844337644</v>
      </c>
      <c r="K7754" s="30" t="n">
        <f aca="false">(Sens!$K$7749-Sens!$K$7746*(1-tax))/Sens!$K$7750</f>
        <v>12.8088902453061</v>
      </c>
      <c r="L7754" s="30" t="n">
        <f aca="false">(Sens!$L$7749-Sens!$L$7746*(1-tax))/Sens!$L$7750</f>
        <v>13.8549085152432</v>
      </c>
      <c r="M7754" s="30" t="n">
        <f aca="false">(Sens!$M$7749-Sens!$M$7746*(1-tax))/Sens!$M$7750</f>
        <v>15.0066286091313</v>
      </c>
      <c r="P7754" s="5" t="s">
        <v>760</v>
      </c>
    </row>
    <row r="7755" customFormat="false" ht="17.15" hidden="false" customHeight="false" outlineLevel="0" collapsed="false">
      <c r="A7755" s="0" t="s">
        <v>761</v>
      </c>
      <c r="B7755" s="0" t="s">
        <v>52</v>
      </c>
      <c r="H7755" s="13" t="n">
        <f aca="false">Sens!$H$7752/Sens!$G$7752-1</f>
        <v>-0.175923504437261</v>
      </c>
      <c r="I7755" s="13" t="n">
        <f aca="false">Sens!$I$7752/Sens!$H$7752-1</f>
        <v>0.183361241519136</v>
      </c>
      <c r="J7755" s="13" t="n">
        <f aca="false">Sens!$J$7752/Sens!$I$7752-1</f>
        <v>0.153136911936991</v>
      </c>
      <c r="K7755" s="13" t="n">
        <f aca="false">Sens!$K$7752/Sens!$J$7752-1</f>
        <v>0.0992865382103958</v>
      </c>
      <c r="L7755" s="13" t="n">
        <f aca="false">Sens!$L$7752/Sens!$K$7752-1</f>
        <v>0.0898122682324627</v>
      </c>
      <c r="M7755" s="13" t="n">
        <f aca="false">Sens!$M$7752/Sens!$L$7752-1</f>
        <v>0.0754539246320329</v>
      </c>
    </row>
    <row r="7758" customFormat="false" ht="19.4" hidden="false" customHeight="false" outlineLevel="0" collapsed="false">
      <c r="A7758" s="31" t="s">
        <v>1293</v>
      </c>
    </row>
    <row r="7759" customFormat="false" ht="17.15" hidden="false" customHeight="false" outlineLevel="0" collapsed="false">
      <c r="A7759" s="6" t="s">
        <v>16</v>
      </c>
      <c r="B7759" s="6" t="s">
        <v>17</v>
      </c>
      <c r="C7759" s="20" t="s">
        <v>497</v>
      </c>
      <c r="D7759" s="20" t="s">
        <v>498</v>
      </c>
      <c r="E7759" s="20" t="s">
        <v>580</v>
      </c>
      <c r="F7759" s="20" t="s">
        <v>581</v>
      </c>
      <c r="G7759" s="20" t="s">
        <v>582</v>
      </c>
      <c r="H7759" s="20" t="s">
        <v>583</v>
      </c>
      <c r="I7759" s="20" t="s">
        <v>584</v>
      </c>
      <c r="J7759" s="20" t="s">
        <v>585</v>
      </c>
      <c r="K7759" s="20" t="s">
        <v>586</v>
      </c>
      <c r="L7759" s="20" t="s">
        <v>587</v>
      </c>
      <c r="M7759" s="20" t="s">
        <v>588</v>
      </c>
      <c r="N7759" s="20" t="s">
        <v>589</v>
      </c>
      <c r="O7759" s="20" t="s">
        <v>590</v>
      </c>
      <c r="P7759" s="6" t="s">
        <v>23</v>
      </c>
      <c r="R7759" s="20" t="n">
        <v>2023</v>
      </c>
      <c r="S7759" s="20" t="n">
        <v>2024</v>
      </c>
      <c r="T7759" s="20" t="n">
        <v>2025</v>
      </c>
      <c r="U7759" s="20" t="n">
        <v>2026</v>
      </c>
      <c r="V7759" s="20" t="n">
        <v>2027</v>
      </c>
      <c r="W7759" s="20" t="n">
        <v>2028</v>
      </c>
      <c r="X7759" s="20" t="n">
        <v>2029</v>
      </c>
      <c r="Y7759" s="20" t="n">
        <v>2030</v>
      </c>
      <c r="Z7759" s="20" t="n">
        <v>2031</v>
      </c>
      <c r="AA7759" s="20" t="n">
        <v>2032</v>
      </c>
    </row>
    <row r="7760" customFormat="false" ht="15" hidden="false" customHeight="false" outlineLevel="0" collapsed="false">
      <c r="A7760" s="5" t="s">
        <v>549</v>
      </c>
      <c r="B7760" s="0" t="s">
        <v>86</v>
      </c>
      <c r="C7760" s="38" t="n">
        <f aca="false">Sens!$C$7749</f>
        <v>59.248</v>
      </c>
      <c r="D7760" s="38" t="n">
        <f aca="false">Sens!$D$7749</f>
        <v>77.67</v>
      </c>
      <c r="E7760" s="38" t="n">
        <f aca="false">Sens!$E$7749</f>
        <v>92.902</v>
      </c>
      <c r="F7760" s="38" t="n">
        <f aca="false">Sens!$F$7749</f>
        <v>46.3053828906144</v>
      </c>
      <c r="G7760" s="38" t="n">
        <f aca="false">Sens!$G$7749</f>
        <v>139.207382890614</v>
      </c>
      <c r="H7760" s="38" t="n">
        <f aca="false">Sens!$H$7749</f>
        <v>105.69273570526</v>
      </c>
      <c r="I7760" s="38" t="n">
        <f aca="false">Sens!$I$7749</f>
        <v>119.879804986231</v>
      </c>
      <c r="J7760" s="38" t="n">
        <f aca="false">Sens!$J$7749</f>
        <v>134.128097114092</v>
      </c>
      <c r="K7760" s="38" t="n">
        <f aca="false">Sens!$K$7749</f>
        <v>144.466571578893</v>
      </c>
      <c r="L7760" s="38" t="n">
        <f aca="false">Sens!$L$7749</f>
        <v>157.514325063223</v>
      </c>
      <c r="M7760" s="38" t="n">
        <f aca="false">Sens!$M$7749</f>
        <v>171.9729181925</v>
      </c>
    </row>
    <row r="7761" customFormat="false" ht="17.15" hidden="false" customHeight="false" outlineLevel="0" collapsed="false">
      <c r="A7761" s="5" t="s">
        <v>784</v>
      </c>
      <c r="B7761" s="0" t="s">
        <v>86</v>
      </c>
      <c r="C7761" s="38" t="n">
        <f aca="false">Sens!$C$7737</f>
        <v>32.067</v>
      </c>
      <c r="D7761" s="38" t="n">
        <f aca="false">Sens!$D$7737</f>
        <v>41.86</v>
      </c>
      <c r="E7761" s="38" t="n">
        <f aca="false">Sens!$E$7737</f>
        <v>26.703</v>
      </c>
      <c r="F7761" s="38" t="n">
        <f aca="false">Sens!$F$7737</f>
        <v>28.2071421626285</v>
      </c>
      <c r="G7761" s="38" t="n">
        <f aca="false">Sens!$G$7737</f>
        <v>54.9101421626285</v>
      </c>
      <c r="H7761" s="38" t="n">
        <f aca="false">Sens!$H$7737</f>
        <v>78.1799395827871</v>
      </c>
      <c r="I7761" s="38" t="n">
        <f aca="false">Sens!$I$7737</f>
        <v>111.171125554384</v>
      </c>
      <c r="J7761" s="38" t="n">
        <f aca="false">Sens!$J$7737</f>
        <v>144.884406220971</v>
      </c>
      <c r="K7761" s="38" t="n">
        <f aca="false">Sens!$K$7737</f>
        <v>178.806419437999</v>
      </c>
      <c r="L7761" s="38" t="n">
        <f aca="false">Sens!$L$7737</f>
        <v>204.341339029663</v>
      </c>
      <c r="M7761" s="38" t="n">
        <f aca="false">Sens!$M$7737</f>
        <v>223.130577995387</v>
      </c>
    </row>
    <row r="7762" customFormat="false" ht="15" hidden="false" customHeight="false" outlineLevel="0" collapsed="false">
      <c r="A7762" s="5" t="s">
        <v>785</v>
      </c>
      <c r="B7762" s="0" t="s">
        <v>86</v>
      </c>
      <c r="C7762" s="38" t="n">
        <f aca="false">Q!$D$48</f>
        <v>22.011</v>
      </c>
      <c r="D7762" s="38" t="n">
        <f aca="false">Q!$E$48</f>
        <v>19.467</v>
      </c>
      <c r="E7762" s="38" t="n">
        <f aca="false">Q!$P$48</f>
        <v>10.07</v>
      </c>
      <c r="F7762" s="38" t="n">
        <f aca="false">sbc_r*Sens!$F$7679</f>
        <v>10.8507035798037</v>
      </c>
      <c r="G7762" s="38" t="n">
        <f aca="false">Sens!$E$7762+Sens!$F$7762</f>
        <v>20.9207035798037</v>
      </c>
      <c r="H7762" s="38" t="n">
        <f aca="false">sbc_r*Sens!$H$7679</f>
        <v>23.46224366345</v>
      </c>
      <c r="I7762" s="38" t="n">
        <f aca="false">sbc_r*Sens!$I$7679</f>
        <v>26.6125957111676</v>
      </c>
      <c r="J7762" s="38" t="n">
        <f aca="false">sbc_r*Sens!$J$7679</f>
        <v>29.6280801413323</v>
      </c>
      <c r="K7762" s="38" t="n">
        <f aca="false">sbc_r*Sens!$K$7679</f>
        <v>32.2712258901105</v>
      </c>
      <c r="L7762" s="38" t="n">
        <f aca="false">sbc_r*Sens!$L$7679</f>
        <v>34.7390505016737</v>
      </c>
      <c r="M7762" s="38" t="n">
        <f aca="false">sbc_r*Sens!$M$7679</f>
        <v>37.0405146906692</v>
      </c>
    </row>
    <row r="7763" customFormat="false" ht="17.15" hidden="false" customHeight="false" outlineLevel="0" collapsed="false">
      <c r="A7763" s="5" t="s">
        <v>786</v>
      </c>
      <c r="B7763" s="0" t="s">
        <v>86</v>
      </c>
      <c r="C7763" s="38" t="n">
        <f aca="false">Q!$D$44-Sens!$C$7760-Sens!$C$7761-Sens!$C$7762</f>
        <v>2.551</v>
      </c>
      <c r="D7763" s="38" t="n">
        <f aca="false">Q!$E$44-Sens!$D$7760-Sens!$D$7761-Sens!$D$7762</f>
        <v>0.51700000000001</v>
      </c>
      <c r="E7763" s="38" t="n">
        <f aca="false">Q!$P$44-Sens!$E$7760-Sens!$E$7761-Sens!$E$7762</f>
        <v>-58.256</v>
      </c>
      <c r="F7763" s="38" t="n">
        <f aca="false">oth_r*Sens!$F$7679</f>
        <v>5.22265251035878</v>
      </c>
      <c r="G7763" s="38" t="n">
        <f aca="false">Sens!$E$7763+Sens!$F$7763</f>
        <v>-53.0333474896412</v>
      </c>
      <c r="H7763" s="38" t="n">
        <f aca="false">oth_r*Sens!$H$7679</f>
        <v>11.2928295263397</v>
      </c>
      <c r="I7763" s="38" t="n">
        <f aca="false">oth_r*Sens!$I$7679</f>
        <v>12.8091546115766</v>
      </c>
      <c r="J7763" s="38" t="n">
        <f aca="false">oth_r*Sens!$J$7679</f>
        <v>14.2605653162668</v>
      </c>
      <c r="K7763" s="38" t="n">
        <f aca="false">oth_r*Sens!$K$7679</f>
        <v>15.5327622460396</v>
      </c>
      <c r="L7763" s="38" t="n">
        <f aca="false">oth_r*Sens!$L$7679</f>
        <v>16.720573737517</v>
      </c>
      <c r="M7763" s="38" t="n">
        <f aca="false">oth_r*Sens!$M$7679</f>
        <v>17.8283127551536</v>
      </c>
      <c r="P7763" s="8" t="s">
        <v>787</v>
      </c>
    </row>
    <row r="7764" customFormat="false" ht="15" hidden="false" customHeight="false" outlineLevel="0" collapsed="false">
      <c r="A7764" s="3" t="s">
        <v>555</v>
      </c>
      <c r="B7764" s="8" t="s">
        <v>86</v>
      </c>
      <c r="C7764" s="38" t="n">
        <f aca="false">Q!$D$44</f>
        <v>115.877</v>
      </c>
      <c r="D7764" s="38" t="n">
        <f aca="false">Q!$E$44</f>
        <v>139.514</v>
      </c>
      <c r="E7764" s="38" t="n">
        <f aca="false">Q!$P$44</f>
        <v>71.419</v>
      </c>
      <c r="F7764" s="38" t="n">
        <f aca="false">Sens!$F$7760+Sens!$F$7761+Sens!$F$7762+Sens!$F$7763</f>
        <v>90.5858811434053</v>
      </c>
      <c r="G7764" s="38" t="n">
        <f aca="false">Sens!$E$7764+Sens!$F$7764</f>
        <v>162.004881143405</v>
      </c>
      <c r="H7764" s="38" t="n">
        <f aca="false">Sens!$H$7760+Sens!$H$7761+Sens!$H$7762+Sens!$H$7763</f>
        <v>218.627748477837</v>
      </c>
      <c r="I7764" s="38" t="n">
        <f aca="false">Sens!$I$7760+Sens!$I$7761+Sens!$I$7762+Sens!$I$7763</f>
        <v>270.47268086336</v>
      </c>
      <c r="J7764" s="38" t="n">
        <f aca="false">Sens!$J$7760+Sens!$J$7761+Sens!$J$7762+Sens!$J$7763</f>
        <v>322.901148792662</v>
      </c>
      <c r="K7764" s="38" t="n">
        <f aca="false">Sens!$K$7760+Sens!$K$7761+Sens!$K$7762+Sens!$K$7763</f>
        <v>371.076979153043</v>
      </c>
      <c r="L7764" s="38" t="n">
        <f aca="false">Sens!$L$7760+Sens!$L$7761+Sens!$L$7762+Sens!$L$7763</f>
        <v>413.315288332076</v>
      </c>
      <c r="M7764" s="38" t="n">
        <f aca="false">Sens!$M$7760+Sens!$M$7761+Sens!$M$7762+Sens!$M$7763</f>
        <v>449.97232363371</v>
      </c>
    </row>
    <row r="7765" customFormat="false" ht="17.15" hidden="false" customHeight="false" outlineLevel="0" collapsed="false">
      <c r="A7765" s="5" t="s">
        <v>788</v>
      </c>
      <c r="B7765" s="0" t="s">
        <v>86</v>
      </c>
      <c r="C7765" s="38" t="n">
        <f aca="false">Sens!$C$7646</f>
        <v>25.2781053077374</v>
      </c>
      <c r="D7765" s="38" t="n">
        <f aca="false">Sens!$D$7646</f>
        <v>69.5686316310026</v>
      </c>
      <c r="E7765" s="38" t="n">
        <f aca="false">Sens!$E$7646</f>
        <v>64.1899206485108</v>
      </c>
      <c r="F7765" s="38" t="n">
        <f aca="false">Sens!$F$7646</f>
        <v>96.2481299895</v>
      </c>
      <c r="G7765" s="38" t="n">
        <f aca="false">Sens!$G$7646</f>
        <v>160.438050638011</v>
      </c>
      <c r="H7765" s="38" t="n">
        <f aca="false">Sens!$H$7646</f>
        <v>198.57136494475</v>
      </c>
      <c r="I7765" s="38" t="n">
        <f aca="false">Sens!$I$7646</f>
        <v>204.6464699105</v>
      </c>
      <c r="J7765" s="38" t="n">
        <f aca="false">Sens!$J$7646</f>
        <v>209.8832381105</v>
      </c>
      <c r="K7765" s="38" t="n">
        <f aca="false">Sens!$K$7646</f>
        <v>155.238385275201</v>
      </c>
      <c r="L7765" s="38" t="n">
        <f aca="false">Sens!$L$7646</f>
        <v>132.014141639902</v>
      </c>
      <c r="M7765" s="38" t="n">
        <f aca="false">Sens!$M$7646</f>
        <v>132.230981659852</v>
      </c>
    </row>
    <row r="7766" customFormat="false" ht="17.15" hidden="false" customHeight="false" outlineLevel="0" collapsed="false">
      <c r="A7766" s="5" t="s">
        <v>789</v>
      </c>
      <c r="B7766" s="0" t="s">
        <v>86</v>
      </c>
      <c r="C7766" s="38" t="n">
        <f aca="false">cx_awso*Sens!$C$7677</f>
        <v>21.0469989286053</v>
      </c>
      <c r="D7766" s="38" t="n">
        <f aca="false">cx_awso*Sens!$D$7677</f>
        <v>24.0042459822698</v>
      </c>
      <c r="E7766" s="38" t="n">
        <f aca="false">cx_awso*Sens!$E$7677</f>
        <v>14.261729404886</v>
      </c>
      <c r="F7766" s="38" t="n">
        <f aca="false">cx_awso*Sens!$F$7677</f>
        <v>14.3538599588493</v>
      </c>
      <c r="G7766" s="38" t="n">
        <f aca="false">Sens!$E$7766+Sens!$F$7766</f>
        <v>28.6155893637353</v>
      </c>
      <c r="H7766" s="38" t="n">
        <f aca="false">cx_awso*Sens!$H$7677</f>
        <v>32.2034154158406</v>
      </c>
      <c r="I7766" s="38" t="n">
        <f aca="false">cx_awso*Sens!$I$7677</f>
        <v>35.7539519042915</v>
      </c>
      <c r="J7766" s="38" t="n">
        <f aca="false">cx_awso*Sens!$J$7677</f>
        <v>39.1551076091815</v>
      </c>
      <c r="K7766" s="38" t="n">
        <f aca="false">cx_awso*Sens!$K$7677</f>
        <v>42.287516217916</v>
      </c>
      <c r="L7766" s="38" t="n">
        <f aca="false">cx_awso*Sens!$L$7677</f>
        <v>45.6705175153492</v>
      </c>
      <c r="M7766" s="38" t="n">
        <f aca="false">cx_awso*Sens!$M$7677</f>
        <v>49.3241589165772</v>
      </c>
    </row>
    <row r="7767" customFormat="false" ht="17.15" hidden="false" customHeight="false" outlineLevel="0" collapsed="false">
      <c r="A7767" s="5" t="s">
        <v>790</v>
      </c>
      <c r="B7767" s="0" t="s">
        <v>86</v>
      </c>
      <c r="C7767" s="38" t="n">
        <f aca="false">Q!$D$46-Sens!$C$7765-Sens!$C$7766</f>
        <v>31.3328957636573</v>
      </c>
      <c r="D7767" s="38" t="n">
        <f aca="false">Q!$E$46-Sens!$D$7765-Sens!$D$7766</f>
        <v>34.7471223867276</v>
      </c>
      <c r="E7767" s="38" t="n">
        <f aca="false">Q!$P$46-Sens!$E$7765-Sens!$E$7766</f>
        <v>17.8583499466032</v>
      </c>
      <c r="F7767" s="38" t="n">
        <f aca="false">cx_rt*Sens!$F$7609</f>
        <v>20.6195895799373</v>
      </c>
      <c r="G7767" s="38" t="n">
        <f aca="false">Sens!$E$7767+Sens!$F$7767</f>
        <v>38.4779395265405</v>
      </c>
      <c r="H7767" s="38" t="n">
        <f aca="false">cx_rt*Sens!$H$7609</f>
        <v>42.5978994743075</v>
      </c>
      <c r="I7767" s="38" t="n">
        <f aca="false">cx_rt*Sens!$I$7609</f>
        <v>46.5813904136335</v>
      </c>
      <c r="J7767" s="38" t="n">
        <f aca="false">cx_rt*Sens!$J$7609</f>
        <v>50.2781676586844</v>
      </c>
      <c r="K7767" s="38" t="n">
        <f aca="false">cx_rt*Sens!$K$7609</f>
        <v>53.5312440191755</v>
      </c>
      <c r="L7767" s="38" t="n">
        <f aca="false">cx_rt*Sens!$L$7609</f>
        <v>57.0116717051447</v>
      </c>
      <c r="M7767" s="38" t="n">
        <f aca="false">cx_rt*Sens!$M$7609</f>
        <v>60.7365554669226</v>
      </c>
    </row>
    <row r="7768" customFormat="false" ht="15" hidden="false" customHeight="false" outlineLevel="0" collapsed="false">
      <c r="A7768" s="3" t="s">
        <v>791</v>
      </c>
      <c r="B7768" s="8" t="s">
        <v>86</v>
      </c>
      <c r="C7768" s="38" t="n">
        <f aca="false">Q!$D$46</f>
        <v>77.658</v>
      </c>
      <c r="D7768" s="38" t="n">
        <f aca="false">Q!$E$46</f>
        <v>128.32</v>
      </c>
      <c r="E7768" s="38" t="n">
        <f aca="false">Q!$P$46</f>
        <v>96.31</v>
      </c>
      <c r="F7768" s="38" t="n">
        <f aca="false">Sens!$F$7765+Sens!$F$7766+Sens!$F$7767</f>
        <v>131.221579528287</v>
      </c>
      <c r="G7768" s="38" t="n">
        <f aca="false">Sens!$E$7768+Sens!$F$7768</f>
        <v>227.531579528287</v>
      </c>
      <c r="H7768" s="38" t="n">
        <f aca="false">Sens!$H$7765+Sens!$H$7766+Sens!$H$7767</f>
        <v>273.372679834898</v>
      </c>
      <c r="I7768" s="38" t="n">
        <f aca="false">Sens!$I$7765+Sens!$I$7766+Sens!$I$7767</f>
        <v>286.981812228425</v>
      </c>
      <c r="J7768" s="38" t="n">
        <f aca="false">Sens!$J$7765+Sens!$J$7766+Sens!$J$7767</f>
        <v>299.316513378366</v>
      </c>
      <c r="K7768" s="38" t="n">
        <f aca="false">Sens!$K$7765+Sens!$K$7766+Sens!$K$7767</f>
        <v>251.057145512292</v>
      </c>
      <c r="L7768" s="38" t="n">
        <f aca="false">Sens!$L$7765+Sens!$L$7766+Sens!$L$7767</f>
        <v>234.696330860396</v>
      </c>
      <c r="M7768" s="38" t="n">
        <f aca="false">Sens!$M$7765+Sens!$M$7766+Sens!$M$7767</f>
        <v>242.291696043352</v>
      </c>
    </row>
    <row r="7769" customFormat="false" ht="17.15" hidden="false" customHeight="false" outlineLevel="0" collapsed="false">
      <c r="A7769" s="5" t="s">
        <v>563</v>
      </c>
      <c r="B7769" s="0" t="s">
        <v>86</v>
      </c>
      <c r="C7769" s="38" t="n">
        <f aca="false">Q!$D$50</f>
        <v>2.043</v>
      </c>
      <c r="D7769" s="38" t="n">
        <f aca="false">Q!$E$50</f>
        <v>1.557</v>
      </c>
      <c r="E7769" s="38" t="n">
        <f aca="false">lease_pr/2</f>
        <v>0.8</v>
      </c>
      <c r="F7769" s="38" t="n">
        <f aca="false">lease_pr/2</f>
        <v>0.8</v>
      </c>
      <c r="G7769" s="38" t="n">
        <f aca="false">Sens!$E$7769+Sens!$F$7769</f>
        <v>1.6</v>
      </c>
      <c r="H7769" s="38" t="n">
        <f aca="false">lease_pr</f>
        <v>1.6</v>
      </c>
      <c r="I7769" s="38" t="n">
        <f aca="false">lease_pr</f>
        <v>1.6</v>
      </c>
      <c r="J7769" s="38" t="n">
        <f aca="false">lease_pr</f>
        <v>1.6</v>
      </c>
      <c r="K7769" s="38" t="n">
        <f aca="false">lease_pr</f>
        <v>1.6</v>
      </c>
      <c r="L7769" s="38" t="n">
        <f aca="false">lease_pr</f>
        <v>1.6</v>
      </c>
      <c r="M7769" s="38" t="n">
        <f aca="false">lease_pr</f>
        <v>1.6</v>
      </c>
      <c r="P7769" s="8" t="s">
        <v>792</v>
      </c>
    </row>
    <row r="7770" customFormat="false" ht="15" hidden="false" customHeight="false" outlineLevel="0" collapsed="false">
      <c r="A7770" s="47" t="s">
        <v>793</v>
      </c>
      <c r="B7770" s="14" t="s">
        <v>86</v>
      </c>
      <c r="C7770" s="48" t="n">
        <f aca="false">Sens!$C$7764-Sens!$C$7768-Sens!$C$7769</f>
        <v>36.176</v>
      </c>
      <c r="D7770" s="48" t="n">
        <f aca="false">Sens!$D$7764-Sens!$D$7768-Sens!$D$7769</f>
        <v>9.63700000000002</v>
      </c>
      <c r="E7770" s="48" t="n">
        <f aca="false">Sens!$E$7764-Sens!$E$7768-Sens!$E$7769</f>
        <v>-25.691</v>
      </c>
      <c r="F7770" s="48" t="n">
        <f aca="false">Sens!$F$7764-Sens!$F$7768-Sens!$F$7769</f>
        <v>-41.4356983848813</v>
      </c>
      <c r="G7770" s="48" t="n">
        <f aca="false">Sens!$G$7764-Sens!$G$7768-Sens!$G$7769</f>
        <v>-67.1266983848813</v>
      </c>
      <c r="H7770" s="48" t="n">
        <f aca="false">Sens!$H$7764-Sens!$H$7768-Sens!$H$7769</f>
        <v>-56.3449313570613</v>
      </c>
      <c r="I7770" s="48" t="n">
        <f aca="false">Sens!$I$7764-Sens!$I$7768-Sens!$I$7769</f>
        <v>-18.1091313650653</v>
      </c>
      <c r="J7770" s="48" t="n">
        <f aca="false">Sens!$J$7764-Sens!$J$7768-Sens!$J$7769</f>
        <v>21.9846354142961</v>
      </c>
      <c r="K7770" s="48" t="n">
        <f aca="false">Sens!$K$7764-Sens!$K$7768-Sens!$K$7769</f>
        <v>118.41983364075</v>
      </c>
      <c r="L7770" s="48" t="n">
        <f aca="false">Sens!$L$7764-Sens!$L$7768-Sens!$L$7769</f>
        <v>177.018957471681</v>
      </c>
      <c r="M7770" s="48" t="n">
        <f aca="false">Sens!$M$7764-Sens!$M$7768-Sens!$M$7769</f>
        <v>206.080627590357</v>
      </c>
      <c r="N7770" s="14"/>
      <c r="O7770" s="14"/>
    </row>
    <row r="7771" customFormat="false" ht="17.15" hidden="false" customHeight="false" outlineLevel="0" collapsed="false">
      <c r="A7771" s="5" t="s">
        <v>794</v>
      </c>
      <c r="B7771" s="0" t="s">
        <v>86</v>
      </c>
      <c r="C7771" s="38" t="n">
        <f aca="false">dps*Sens!$C$7750</f>
        <v>0</v>
      </c>
      <c r="D7771" s="38" t="n">
        <f aca="false">dps*Sens!$D$7750</f>
        <v>0</v>
      </c>
      <c r="E7771" s="38" t="n">
        <f aca="false">dps*Sens!$E$7750</f>
        <v>0</v>
      </c>
      <c r="F7771" s="38" t="n">
        <f aca="false">0</f>
        <v>0</v>
      </c>
      <c r="G7771" s="38" t="n">
        <f aca="false">dps*Sens!$G$7750</f>
        <v>0</v>
      </c>
      <c r="H7771" s="38" t="n">
        <f aca="false">dps*Sens!$H$7750</f>
        <v>0</v>
      </c>
      <c r="I7771" s="38" t="n">
        <f aca="false">dps*Sens!$I$7750</f>
        <v>0</v>
      </c>
      <c r="J7771" s="38" t="n">
        <f aca="false">dps*Sens!$J$7750</f>
        <v>0</v>
      </c>
      <c r="K7771" s="38" t="n">
        <f aca="false">dps*Sens!$K$7750</f>
        <v>0</v>
      </c>
      <c r="L7771" s="38" t="n">
        <f aca="false">dps*Sens!$L$7750</f>
        <v>0</v>
      </c>
      <c r="M7771" s="38" t="n">
        <f aca="false">dps*Sens!$M$7750</f>
        <v>0</v>
      </c>
      <c r="P7771" s="8" t="s">
        <v>795</v>
      </c>
    </row>
    <row r="7772" customFormat="false" ht="17.15" hidden="false" customHeight="false" outlineLevel="0" collapsed="false">
      <c r="A7772" s="5" t="s">
        <v>796</v>
      </c>
      <c r="B7772" s="0" t="s">
        <v>86</v>
      </c>
      <c r="C7772" s="38" t="n">
        <f aca="false">0</f>
        <v>0</v>
      </c>
      <c r="D7772" s="38" t="n">
        <f aca="false">0</f>
        <v>0</v>
      </c>
      <c r="E7772" s="38" t="n">
        <f aca="false">0</f>
        <v>0</v>
      </c>
      <c r="F7772" s="38" t="n">
        <f aca="false">0</f>
        <v>0</v>
      </c>
      <c r="G7772" s="38" t="n">
        <f aca="false">0</f>
        <v>0</v>
      </c>
      <c r="H7772" s="38" t="n">
        <f aca="false">0</f>
        <v>0</v>
      </c>
      <c r="I7772" s="38" t="n">
        <f aca="false">0</f>
        <v>0</v>
      </c>
      <c r="J7772" s="38" t="n">
        <f aca="false">0</f>
        <v>0</v>
      </c>
      <c r="K7772" s="38" t="n">
        <f aca="false">0</f>
        <v>0</v>
      </c>
      <c r="L7772" s="38" t="n">
        <f aca="false">0</f>
        <v>0</v>
      </c>
      <c r="M7772" s="38" t="n">
        <f aca="false">0</f>
        <v>0</v>
      </c>
      <c r="P7772" s="8" t="s">
        <v>797</v>
      </c>
    </row>
    <row r="7773" customFormat="false" ht="15" hidden="false" customHeight="false" outlineLevel="0" collapsed="false">
      <c r="A7773" s="3" t="s">
        <v>798</v>
      </c>
      <c r="B7773" s="8" t="s">
        <v>86</v>
      </c>
      <c r="C7773" s="38" t="n">
        <f aca="false">Sens!$C$7770-Sens!$C$7771</f>
        <v>36.176</v>
      </c>
      <c r="D7773" s="38" t="n">
        <f aca="false">Sens!$D$7770-Sens!$D$7771</f>
        <v>9.63700000000002</v>
      </c>
      <c r="E7773" s="38" t="n">
        <f aca="false">Sens!$E$7770-Sens!$E$7771</f>
        <v>-25.691</v>
      </c>
      <c r="F7773" s="38" t="n">
        <f aca="false">Sens!$F$7770-Sens!$F$7771</f>
        <v>-41.4356983848813</v>
      </c>
      <c r="G7773" s="38" t="n">
        <f aca="false">Sens!$G$7770-Sens!$G$7771</f>
        <v>-67.1266983848813</v>
      </c>
      <c r="H7773" s="38" t="n">
        <f aca="false">Sens!$H$7770-Sens!$H$7771</f>
        <v>-56.3449313570613</v>
      </c>
      <c r="I7773" s="38" t="n">
        <f aca="false">Sens!$I$7770-Sens!$I$7771</f>
        <v>-18.1091313650653</v>
      </c>
      <c r="J7773" s="38" t="n">
        <f aca="false">Sens!$J$7770-Sens!$J$7771</f>
        <v>21.9846354142961</v>
      </c>
      <c r="K7773" s="38" t="n">
        <f aca="false">Sens!$K$7770-Sens!$K$7771</f>
        <v>118.41983364075</v>
      </c>
      <c r="L7773" s="38" t="n">
        <f aca="false">Sens!$L$7770-Sens!$L$7771</f>
        <v>177.018957471681</v>
      </c>
      <c r="M7773" s="38" t="n">
        <f aca="false">Sens!$M$7770-Sens!$M$7771</f>
        <v>206.080627590357</v>
      </c>
    </row>
    <row r="7774" customFormat="false" ht="17.15" hidden="false" customHeight="false" outlineLevel="0" collapsed="false">
      <c r="A7774" s="5" t="s">
        <v>799</v>
      </c>
      <c r="B7774" s="0" t="s">
        <v>86</v>
      </c>
      <c r="E7774" s="38" t="n">
        <f aca="false">Q!$P$53</f>
        <v>39.767</v>
      </c>
      <c r="F7774" s="38" t="n">
        <f aca="false">inv_2h26</f>
        <v>21.3</v>
      </c>
      <c r="G7774" s="38" t="n">
        <f aca="false">Sens!$E$7774+Sens!$F$7774</f>
        <v>61.067</v>
      </c>
      <c r="H7774" s="39" t="n">
        <v>0</v>
      </c>
      <c r="I7774" s="39" t="n">
        <v>0</v>
      </c>
      <c r="J7774" s="39" t="n">
        <v>0</v>
      </c>
      <c r="K7774" s="39" t="n">
        <v>0</v>
      </c>
      <c r="L7774" s="39" t="n">
        <v>0</v>
      </c>
      <c r="M7774" s="39" t="n">
        <v>0</v>
      </c>
    </row>
    <row r="7775" customFormat="false" ht="17.15" hidden="false" customHeight="false" outlineLevel="0" collapsed="false">
      <c r="A7775" s="5" t="s">
        <v>800</v>
      </c>
      <c r="B7775" s="0" t="s">
        <v>86</v>
      </c>
      <c r="F7775" s="38" t="n">
        <f aca="false">iss_2h26</f>
        <v>29.249999</v>
      </c>
      <c r="G7775" s="38" t="n">
        <f aca="false">Sens!$F$7775</f>
        <v>29.249999</v>
      </c>
      <c r="H7775" s="39" t="n">
        <v>0</v>
      </c>
      <c r="I7775" s="39" t="n">
        <v>0</v>
      </c>
      <c r="J7775" s="39" t="n">
        <v>0</v>
      </c>
      <c r="K7775" s="39" t="n">
        <v>0</v>
      </c>
      <c r="L7775" s="39" t="n">
        <v>0</v>
      </c>
      <c r="M7775" s="39" t="n">
        <v>0</v>
      </c>
    </row>
    <row r="7776" customFormat="false" ht="17.15" hidden="false" customHeight="false" outlineLevel="0" collapsed="false">
      <c r="A7776" s="5" t="s">
        <v>801</v>
      </c>
      <c r="B7776" s="0" t="s">
        <v>86</v>
      </c>
      <c r="F7776" s="38" t="n">
        <f aca="false">cash_q2</f>
        <v>122.988</v>
      </c>
      <c r="G7776" s="38" t="n">
        <f aca="false">cash_q2</f>
        <v>122.988</v>
      </c>
      <c r="H7776" s="38" t="n">
        <f aca="false">Sens!$G$7779</f>
        <v>89.5023006151187</v>
      </c>
      <c r="I7776" s="38" t="n">
        <f aca="false">Sens!$H$7779</f>
        <v>50</v>
      </c>
      <c r="J7776" s="38" t="n">
        <f aca="false">Sens!$I$7779</f>
        <v>50</v>
      </c>
      <c r="K7776" s="38" t="n">
        <f aca="false">Sens!$J$7779</f>
        <v>71.9846354142962</v>
      </c>
      <c r="L7776" s="38" t="n">
        <f aca="false">Sens!$K$7779</f>
        <v>190.404469055046</v>
      </c>
      <c r="M7776" s="38" t="n">
        <f aca="false">Sens!$L$7779</f>
        <v>367.423426526727</v>
      </c>
    </row>
    <row r="7777" customFormat="false" ht="15" hidden="false" customHeight="false" outlineLevel="0" collapsed="false">
      <c r="A7777" s="5" t="s">
        <v>802</v>
      </c>
      <c r="B7777" s="0" t="s">
        <v>86</v>
      </c>
      <c r="F7777" s="38" t="n">
        <f aca="false">Sens!$F$7776+Sens!$F$7773-Sens!$F$7772-Sens!$F$7774+Sens!$F$7775</f>
        <v>89.5023006151187</v>
      </c>
      <c r="H7777" s="38" t="n">
        <f aca="false">Sens!$H$7776+Sens!$H$7773-Sens!$H$7772-Sens!$H$7774+Sens!$H$7775</f>
        <v>33.1573692580575</v>
      </c>
      <c r="I7777" s="38" t="n">
        <f aca="false">Sens!$I$7776+Sens!$I$7773-Sens!$I$7772-Sens!$I$7774+Sens!$I$7775</f>
        <v>31.8908686349347</v>
      </c>
      <c r="J7777" s="38" t="n">
        <f aca="false">Sens!$J$7776+Sens!$J$7773-Sens!$J$7772-Sens!$J$7774+Sens!$J$7775</f>
        <v>71.9846354142962</v>
      </c>
      <c r="K7777" s="38" t="n">
        <f aca="false">Sens!$K$7776+Sens!$K$7773-Sens!$K$7772-Sens!$K$7774+Sens!$K$7775</f>
        <v>190.404469055046</v>
      </c>
      <c r="L7777" s="38" t="n">
        <f aca="false">Sens!$L$7776+Sens!$L$7773-Sens!$L$7772-Sens!$L$7774+Sens!$L$7775</f>
        <v>367.423426526727</v>
      </c>
      <c r="M7777" s="38" t="n">
        <f aca="false">Sens!$M$7776+Sens!$M$7773-Sens!$M$7772-Sens!$M$7774+Sens!$M$7775</f>
        <v>573.504054117085</v>
      </c>
    </row>
    <row r="7778" customFormat="false" ht="17.15" hidden="false" customHeight="false" outlineLevel="0" collapsed="false">
      <c r="A7778" s="5" t="s">
        <v>803</v>
      </c>
      <c r="B7778" s="0" t="s">
        <v>86</v>
      </c>
      <c r="F7778" s="38" t="n">
        <f aca="false">MAX(0,min_cash-Sens!$F$7777)</f>
        <v>0</v>
      </c>
      <c r="G7778" s="38" t="n">
        <f aca="false">Sens!$F$7778</f>
        <v>0</v>
      </c>
      <c r="H7778" s="38" t="n">
        <f aca="false">MAX(0,min_cash-Sens!$H$7777)</f>
        <v>16.8426307419426</v>
      </c>
      <c r="I7778" s="38" t="n">
        <f aca="false">MAX(0,min_cash-Sens!$I$7777)</f>
        <v>18.1091313650653</v>
      </c>
      <c r="J7778" s="38" t="n">
        <f aca="false">MAX(0,min_cash-Sens!$J$7777)</f>
        <v>0</v>
      </c>
      <c r="K7778" s="38" t="n">
        <f aca="false">MAX(0,min_cash-Sens!$K$7777)</f>
        <v>0</v>
      </c>
      <c r="L7778" s="38" t="n">
        <f aca="false">MAX(0,min_cash-Sens!$L$7777)</f>
        <v>0</v>
      </c>
      <c r="M7778" s="38" t="n">
        <f aca="false">MAX(0,min_cash-Sens!$M$7777)</f>
        <v>0</v>
      </c>
      <c r="P7778" s="5" t="s">
        <v>804</v>
      </c>
    </row>
    <row r="7779" customFormat="false" ht="15" hidden="false" customHeight="false" outlineLevel="0" collapsed="false">
      <c r="A7779" s="5" t="s">
        <v>805</v>
      </c>
      <c r="B7779" s="0" t="s">
        <v>86</v>
      </c>
      <c r="D7779" s="38" t="n">
        <f aca="false">Q!$E$61</f>
        <v>123.029</v>
      </c>
      <c r="E7779" s="38" t="n">
        <f aca="false">Q!$M$61</f>
        <v>122.988</v>
      </c>
      <c r="F7779" s="38" t="n">
        <f aca="false">Sens!$F$7777+Sens!$F$7778</f>
        <v>89.5023006151187</v>
      </c>
      <c r="G7779" s="38" t="n">
        <f aca="false">Sens!$F$7779</f>
        <v>89.5023006151187</v>
      </c>
      <c r="H7779" s="38" t="n">
        <f aca="false">Sens!$H$7777+Sens!$H$7778</f>
        <v>50</v>
      </c>
      <c r="I7779" s="38" t="n">
        <f aca="false">Sens!$I$7777+Sens!$I$7778</f>
        <v>50</v>
      </c>
      <c r="J7779" s="38" t="n">
        <f aca="false">Sens!$J$7777+Sens!$J$7778</f>
        <v>71.9846354142962</v>
      </c>
      <c r="K7779" s="38" t="n">
        <f aca="false">Sens!$K$7777+Sens!$K$7778</f>
        <v>190.404469055046</v>
      </c>
      <c r="L7779" s="38" t="n">
        <f aca="false">Sens!$L$7777+Sens!$L$7778</f>
        <v>367.423426526727</v>
      </c>
      <c r="M7779" s="38" t="n">
        <f aca="false">Sens!$M$7777+Sens!$M$7778</f>
        <v>573.504054117085</v>
      </c>
    </row>
    <row r="7780" customFormat="false" ht="15" hidden="false" customHeight="false" outlineLevel="0" collapsed="false">
      <c r="A7780" s="5" t="s">
        <v>806</v>
      </c>
      <c r="B7780" s="0" t="s">
        <v>86</v>
      </c>
      <c r="D7780" s="38" t="n">
        <f aca="false">Q!$E$62</f>
        <v>68.836</v>
      </c>
      <c r="E7780" s="38" t="n">
        <f aca="false">Q!$M$62</f>
        <v>132.995</v>
      </c>
      <c r="F7780" s="38" t="n">
        <f aca="false">debt_q2+Sens!$F$7775+Sens!$F$7778</f>
        <v>162.244999</v>
      </c>
      <c r="G7780" s="38" t="n">
        <f aca="false">Sens!$F$7780</f>
        <v>162.244999</v>
      </c>
      <c r="H7780" s="38" t="n">
        <f aca="false">Sens!$G$7780+Sens!$H$7778</f>
        <v>179.087629741943</v>
      </c>
      <c r="I7780" s="38" t="n">
        <f aca="false">Sens!$H$7780+Sens!$I$7778</f>
        <v>197.196761107008</v>
      </c>
      <c r="J7780" s="38" t="n">
        <f aca="false">Sens!$I$7780+Sens!$J$7778</f>
        <v>197.196761107008</v>
      </c>
      <c r="K7780" s="38" t="n">
        <f aca="false">Sens!$J$7780+Sens!$K$7778</f>
        <v>197.196761107008</v>
      </c>
      <c r="L7780" s="38" t="n">
        <f aca="false">Sens!$K$7780+Sens!$L$7778</f>
        <v>197.196761107008</v>
      </c>
      <c r="M7780" s="38" t="n">
        <f aca="false">Sens!$L$7780+Sens!$M$7778</f>
        <v>197.196761107008</v>
      </c>
    </row>
    <row r="7781" customFormat="false" ht="15" hidden="false" customHeight="false" outlineLevel="0" collapsed="false">
      <c r="A7781" s="5" t="s">
        <v>807</v>
      </c>
      <c r="B7781" s="0" t="s">
        <v>86</v>
      </c>
      <c r="D7781" s="38" t="n">
        <f aca="false">Sens!$D$7780-Sens!$D$7779</f>
        <v>-54.193</v>
      </c>
      <c r="E7781" s="38" t="n">
        <f aca="false">Sens!$E$7780-Sens!$E$7779</f>
        <v>10.007</v>
      </c>
      <c r="F7781" s="38" t="n">
        <f aca="false">Sens!$F$7780-Sens!$F$7779</f>
        <v>72.7426983848813</v>
      </c>
      <c r="G7781" s="38" t="n">
        <f aca="false">Sens!$G$7780-Sens!$G$7779</f>
        <v>72.7426983848813</v>
      </c>
      <c r="H7781" s="38" t="n">
        <f aca="false">Sens!$H$7780-Sens!$H$7779</f>
        <v>129.087629741943</v>
      </c>
      <c r="I7781" s="38" t="n">
        <f aca="false">Sens!$I$7780-Sens!$I$7779</f>
        <v>147.196761107008</v>
      </c>
      <c r="J7781" s="38" t="n">
        <f aca="false">Sens!$J$7780-Sens!$J$7779</f>
        <v>125.212125692712</v>
      </c>
      <c r="K7781" s="38" t="n">
        <f aca="false">Sens!$K$7780-Sens!$K$7779</f>
        <v>6.79229205196145</v>
      </c>
      <c r="L7781" s="38" t="n">
        <f aca="false">Sens!$L$7780-Sens!$L$7779</f>
        <v>-170.226665419719</v>
      </c>
      <c r="M7781" s="38" t="n">
        <f aca="false">Sens!$M$7780-Sens!$M$7779</f>
        <v>-376.307293010077</v>
      </c>
    </row>
    <row r="7782" customFormat="false" ht="17.15" hidden="false" customHeight="false" outlineLevel="0" collapsed="false">
      <c r="A7782" s="5" t="s">
        <v>808</v>
      </c>
      <c r="B7782" s="0" t="s">
        <v>86</v>
      </c>
      <c r="F7782" s="38" t="n">
        <f aca="false">debt_q2*kd_book*0.5+iss_2h26*kd_new*iss_t</f>
        <v>3.24888962733561</v>
      </c>
      <c r="H7782" s="38" t="n">
        <f aca="false">debt_q2*kd_book+(Sens!$G$7780-debt_q2)*kd_new</f>
        <v>7.42354172302123</v>
      </c>
      <c r="I7782" s="38" t="n">
        <f aca="false">debt_q2*kd_book+(Sens!$H$7780-debt_q2)*kd_new</f>
        <v>8.48968024898619</v>
      </c>
      <c r="J7782" s="38" t="n">
        <f aca="false">debt_q2*kd_book+(Sens!$I$7780-debt_q2)*kd_new</f>
        <v>9.63598826439483</v>
      </c>
      <c r="K7782" s="38" t="n">
        <f aca="false">debt_q2*kd_book+(Sens!$J$7780-debt_q2)*kd_new</f>
        <v>9.63598826439483</v>
      </c>
      <c r="L7782" s="38" t="n">
        <f aca="false">debt_q2*kd_book+(Sens!$K$7780-debt_q2)*kd_new</f>
        <v>9.63598826439483</v>
      </c>
      <c r="M7782" s="38" t="n">
        <f aca="false">debt_q2*kd_book+(Sens!$L$7780-debt_q2)*kd_new</f>
        <v>9.63598826439483</v>
      </c>
    </row>
    <row r="7783" customFormat="false" ht="17.15" hidden="false" customHeight="false" outlineLevel="0" collapsed="false">
      <c r="A7783" s="5" t="s">
        <v>809</v>
      </c>
      <c r="B7783" s="0" t="s">
        <v>86</v>
      </c>
      <c r="F7783" s="38" t="n">
        <f aca="false">cash_q2*y_cash*0.5</f>
        <v>2.59</v>
      </c>
      <c r="H7783" s="38" t="n">
        <f aca="false">Sens!$G$7779*y_cash</f>
        <v>3.76965165045626</v>
      </c>
      <c r="I7783" s="38" t="n">
        <f aca="false">Sens!$H$7779*y_cash</f>
        <v>2.10589651022864</v>
      </c>
      <c r="J7783" s="38" t="n">
        <f aca="false">Sens!$I$7779*y_cash</f>
        <v>2.10589651022864</v>
      </c>
      <c r="K7783" s="38" t="n">
        <f aca="false">Sens!$J$7779*y_cash</f>
        <v>3.03184385018094</v>
      </c>
      <c r="L7783" s="38" t="n">
        <f aca="false">Sens!$K$7779*y_cash</f>
        <v>8.01944213829919</v>
      </c>
      <c r="M7783" s="38" t="n">
        <f aca="false">Sens!$L$7779*y_cash</f>
        <v>15.4751142339777</v>
      </c>
    </row>
    <row r="7784" customFormat="false" ht="17.15" hidden="false" customHeight="false" outlineLevel="0" collapsed="false">
      <c r="A7784" s="47" t="s">
        <v>810</v>
      </c>
      <c r="B7784" s="14" t="s">
        <v>86</v>
      </c>
      <c r="C7784" s="14"/>
      <c r="D7784" s="14"/>
      <c r="E7784" s="14"/>
      <c r="F7784" s="14"/>
      <c r="G7784" s="48" t="n">
        <f aca="false">SUM(Sens!$G$7773:$K$7773)</f>
        <v>-1.17629205196147</v>
      </c>
      <c r="H7784" s="14"/>
      <c r="I7784" s="14"/>
      <c r="J7784" s="14"/>
      <c r="K7784" s="14"/>
      <c r="L7784" s="14"/>
      <c r="M7784" s="14"/>
      <c r="N7784" s="14"/>
      <c r="O7784" s="14"/>
    </row>
    <row r="7785" customFormat="false" ht="17.15" hidden="false" customHeight="false" outlineLevel="0" collapsed="false">
      <c r="A7785" s="0" t="s">
        <v>776</v>
      </c>
      <c r="B7785" s="0" t="s">
        <v>86</v>
      </c>
      <c r="G7785" s="38" t="n">
        <f aca="false">SUM(Sens!$G$7778:$K$7778)</f>
        <v>34.9517621070079</v>
      </c>
    </row>
    <row r="7786" customFormat="false" ht="17.15" hidden="false" customHeight="false" outlineLevel="0" collapsed="false">
      <c r="A7786" s="24" t="s">
        <v>813</v>
      </c>
      <c r="B7786" s="25" t="s">
        <v>86</v>
      </c>
      <c r="C7786" s="25"/>
      <c r="D7786" s="25"/>
      <c r="E7786" s="25"/>
      <c r="F7786" s="25"/>
      <c r="G7786" s="41" t="n">
        <f aca="false">Sens!$G$7784-(Sens!$G$7773+Sens!$H$7773+Sens!$I$7773+Sens!$J$7773+Sens!$K$7773)</f>
        <v>-2.8421709430404E-014</v>
      </c>
      <c r="H7786" s="25"/>
      <c r="I7786" s="25"/>
      <c r="J7786" s="25"/>
      <c r="K7786" s="25"/>
      <c r="L7786" s="25"/>
      <c r="M7786" s="25"/>
      <c r="N7786" s="25"/>
      <c r="O7786" s="25"/>
    </row>
    <row r="7789" customFormat="false" ht="19.4" hidden="false" customHeight="false" outlineLevel="0" collapsed="false">
      <c r="A7789" s="31" t="s">
        <v>1294</v>
      </c>
    </row>
    <row r="7790" customFormat="false" ht="17.15" hidden="false" customHeight="false" outlineLevel="0" collapsed="false">
      <c r="A7790" s="6" t="s">
        <v>16</v>
      </c>
      <c r="B7790" s="6" t="s">
        <v>17</v>
      </c>
      <c r="C7790" s="20" t="s">
        <v>497</v>
      </c>
      <c r="D7790" s="20" t="s">
        <v>498</v>
      </c>
      <c r="E7790" s="20" t="s">
        <v>580</v>
      </c>
      <c r="F7790" s="20" t="s">
        <v>581</v>
      </c>
      <c r="G7790" s="20" t="s">
        <v>582</v>
      </c>
      <c r="H7790" s="20" t="s">
        <v>583</v>
      </c>
      <c r="I7790" s="20" t="s">
        <v>584</v>
      </c>
      <c r="J7790" s="20" t="s">
        <v>585</v>
      </c>
      <c r="K7790" s="20" t="s">
        <v>586</v>
      </c>
      <c r="L7790" s="20" t="s">
        <v>587</v>
      </c>
      <c r="M7790" s="20" t="s">
        <v>588</v>
      </c>
      <c r="N7790" s="20" t="s">
        <v>589</v>
      </c>
      <c r="O7790" s="20" t="s">
        <v>590</v>
      </c>
      <c r="P7790" s="6" t="s">
        <v>23</v>
      </c>
      <c r="R7790" s="20" t="n">
        <v>2023</v>
      </c>
      <c r="S7790" s="20" t="n">
        <v>2024</v>
      </c>
      <c r="T7790" s="20" t="n">
        <v>2025</v>
      </c>
      <c r="U7790" s="20" t="n">
        <v>2026</v>
      </c>
      <c r="V7790" s="20" t="n">
        <v>2027</v>
      </c>
      <c r="W7790" s="20" t="n">
        <v>2028</v>
      </c>
      <c r="X7790" s="20" t="n">
        <v>2029</v>
      </c>
      <c r="Y7790" s="20" t="n">
        <v>2030</v>
      </c>
      <c r="Z7790" s="20" t="n">
        <v>2031</v>
      </c>
      <c r="AA7790" s="20" t="n">
        <v>2032</v>
      </c>
    </row>
    <row r="7791" customFormat="false" ht="17.15" hidden="false" customHeight="false" outlineLevel="0" collapsed="false">
      <c r="A7791" s="1" t="s">
        <v>915</v>
      </c>
    </row>
    <row r="7792" customFormat="false" ht="17.15" hidden="false" customHeight="false" outlineLevel="0" collapsed="false">
      <c r="A7792" s="0" t="s">
        <v>916</v>
      </c>
      <c r="B7792" s="0" t="s">
        <v>86</v>
      </c>
      <c r="H7792" s="38" t="n">
        <f aca="false">Sens!$H$7726*(1-tax)</f>
        <v>121.243762954598</v>
      </c>
      <c r="I7792" s="38" t="n">
        <f aca="false">Sens!$I$7726*(1-tax)</f>
        <v>146.296727721585</v>
      </c>
      <c r="J7792" s="38" t="n">
        <f aca="false">Sens!$J$7726*(1-tax)</f>
        <v>170.140518399982</v>
      </c>
      <c r="K7792" s="38" t="n">
        <f aca="false">Sens!$K$7726*(1-tax)</f>
        <v>187.091644407888</v>
      </c>
      <c r="L7792" s="38" t="n">
        <f aca="false">Sens!$L$7726*(1-tax)</f>
        <v>200.866341135815</v>
      </c>
      <c r="M7792" s="38" t="n">
        <f aca="false">Sens!$M$7726*(1-tax)</f>
        <v>211.476896331068</v>
      </c>
    </row>
    <row r="7793" customFormat="false" ht="15" hidden="false" customHeight="false" outlineLevel="0" collapsed="false">
      <c r="A7793" s="5" t="s">
        <v>917</v>
      </c>
      <c r="B7793" s="0" t="s">
        <v>86</v>
      </c>
      <c r="H7793" s="38" t="n">
        <f aca="false">Sens!$H$7737</f>
        <v>78.1799395827871</v>
      </c>
      <c r="I7793" s="38" t="n">
        <f aca="false">Sens!$I$7737</f>
        <v>111.171125554384</v>
      </c>
      <c r="J7793" s="38" t="n">
        <f aca="false">Sens!$J$7737</f>
        <v>144.884406220971</v>
      </c>
      <c r="K7793" s="38" t="n">
        <f aca="false">Sens!$K$7737</f>
        <v>178.806419437999</v>
      </c>
      <c r="L7793" s="38" t="n">
        <f aca="false">Sens!$L$7737</f>
        <v>204.341339029663</v>
      </c>
      <c r="M7793" s="38" t="n">
        <f aca="false">Sens!$M$7737</f>
        <v>223.130577995387</v>
      </c>
    </row>
    <row r="7794" customFormat="false" ht="15" hidden="false" customHeight="false" outlineLevel="0" collapsed="false">
      <c r="A7794" s="5" t="s">
        <v>918</v>
      </c>
      <c r="B7794" s="0" t="s">
        <v>86</v>
      </c>
      <c r="H7794" s="38" t="n">
        <f aca="false">Sens!$H$7768</f>
        <v>273.372679834898</v>
      </c>
      <c r="I7794" s="38" t="n">
        <f aca="false">Sens!$I$7768</f>
        <v>286.981812228425</v>
      </c>
      <c r="J7794" s="38" t="n">
        <f aca="false">Sens!$J$7768</f>
        <v>299.316513378366</v>
      </c>
      <c r="K7794" s="38" t="n">
        <f aca="false">Sens!$K$7768</f>
        <v>251.057145512292</v>
      </c>
      <c r="L7794" s="38" t="n">
        <f aca="false">Sens!$L$7768</f>
        <v>234.696330860396</v>
      </c>
      <c r="M7794" s="38" t="n">
        <f aca="false">Sens!$M$7768</f>
        <v>242.291696043352</v>
      </c>
    </row>
    <row r="7795" customFormat="false" ht="15" hidden="false" customHeight="false" outlineLevel="0" collapsed="false">
      <c r="A7795" s="5" t="s">
        <v>919</v>
      </c>
      <c r="B7795" s="0" t="s">
        <v>86</v>
      </c>
      <c r="H7795" s="38" t="n">
        <f aca="false">Sens!$H$7769</f>
        <v>1.6</v>
      </c>
      <c r="I7795" s="38" t="n">
        <f aca="false">Sens!$I$7769</f>
        <v>1.6</v>
      </c>
      <c r="J7795" s="38" t="n">
        <f aca="false">Sens!$J$7769</f>
        <v>1.6</v>
      </c>
      <c r="K7795" s="38" t="n">
        <f aca="false">Sens!$K$7769</f>
        <v>1.6</v>
      </c>
      <c r="L7795" s="38" t="n">
        <f aca="false">Sens!$L$7769</f>
        <v>1.6</v>
      </c>
      <c r="M7795" s="38" t="n">
        <f aca="false">Sens!$M$7769</f>
        <v>1.6</v>
      </c>
    </row>
    <row r="7796" customFormat="false" ht="15" hidden="false" customHeight="false" outlineLevel="0" collapsed="false">
      <c r="A7796" s="5" t="s">
        <v>920</v>
      </c>
      <c r="B7796" s="0" t="s">
        <v>86</v>
      </c>
      <c r="H7796" s="38" t="n">
        <f aca="false">Sens!$H$7763</f>
        <v>11.2928295263397</v>
      </c>
      <c r="I7796" s="38" t="n">
        <f aca="false">Sens!$I$7763</f>
        <v>12.8091546115766</v>
      </c>
      <c r="J7796" s="38" t="n">
        <f aca="false">Sens!$J$7763</f>
        <v>14.2605653162668</v>
      </c>
      <c r="K7796" s="38" t="n">
        <f aca="false">Sens!$K$7763</f>
        <v>15.5327622460396</v>
      </c>
      <c r="L7796" s="38" t="n">
        <f aca="false">Sens!$L$7763</f>
        <v>16.720573737517</v>
      </c>
      <c r="M7796" s="38" t="n">
        <f aca="false">Sens!$M$7763</f>
        <v>17.8283127551536</v>
      </c>
    </row>
    <row r="7797" customFormat="false" ht="17.15" hidden="false" customHeight="false" outlineLevel="0" collapsed="false">
      <c r="A7797" s="1" t="s">
        <v>921</v>
      </c>
      <c r="B7797" s="8" t="s">
        <v>86</v>
      </c>
      <c r="H7797" s="38" t="n">
        <f aca="false">Sens!$H$7792+Sens!$H$7793-Sens!$H$7794+Sens!$H$7796</f>
        <v>-62.6561477711731</v>
      </c>
      <c r="I7797" s="38" t="n">
        <f aca="false">Sens!$I$7792+Sens!$I$7793-Sens!$I$7794+Sens!$I$7796</f>
        <v>-16.7048043408794</v>
      </c>
      <c r="J7797" s="38" t="n">
        <f aca="false">Sens!$J$7792+Sens!$J$7793-Sens!$J$7794+Sens!$J$7796</f>
        <v>29.9689765588539</v>
      </c>
      <c r="K7797" s="38" t="n">
        <f aca="false">Sens!$K$7792+Sens!$K$7793-Sens!$K$7794+Sens!$K$7796</f>
        <v>130.373680579634</v>
      </c>
      <c r="L7797" s="38" t="n">
        <f aca="false">Sens!$L$7792+Sens!$L$7793-Sens!$L$7794+Sens!$L$7796</f>
        <v>187.231923042598</v>
      </c>
      <c r="M7797" s="38" t="n">
        <f aca="false">Sens!$M$7792+Sens!$M$7793-Sens!$M$7794+Sens!$M$7796</f>
        <v>210.144091038257</v>
      </c>
    </row>
    <row r="7798" customFormat="false" ht="15" hidden="false" customHeight="false" outlineLevel="0" collapsed="false">
      <c r="A7798" s="5" t="s">
        <v>922</v>
      </c>
      <c r="B7798" s="0" t="s">
        <v>57</v>
      </c>
      <c r="H7798" s="40" t="n">
        <f aca="false">1/(1+wacc)^(2027-2026-0.5)</f>
        <v>0.947751320380232</v>
      </c>
      <c r="I7798" s="40" t="n">
        <f aca="false">1/(1+wacc)^(2028-2026-0.5)</f>
        <v>0.851301099754987</v>
      </c>
      <c r="J7798" s="40" t="n">
        <f aca="false">1/(1+wacc)^(2029-2026-0.5)</f>
        <v>0.764666370660713</v>
      </c>
      <c r="K7798" s="40" t="n">
        <f aca="false">1/(1+wacc)^(2030-2026-0.5)</f>
        <v>0.686848235703811</v>
      </c>
      <c r="L7798" s="40" t="n">
        <f aca="false">1/(1+wacc)^(2031-2026-0.5)</f>
        <v>0.616949452715975</v>
      </c>
      <c r="M7798" s="40" t="n">
        <f aca="false">1/(1+wacc)^(2032-2026-0.5)</f>
        <v>0.554164089562688</v>
      </c>
    </row>
    <row r="7799" customFormat="false" ht="15" hidden="false" customHeight="false" outlineLevel="0" collapsed="false">
      <c r="A7799" s="5" t="s">
        <v>923</v>
      </c>
      <c r="B7799" s="0" t="s">
        <v>86</v>
      </c>
      <c r="H7799" s="38" t="n">
        <f aca="false">Sens!$H$7797*Sens!$H$7798</f>
        <v>-59.3824467800682</v>
      </c>
      <c r="I7799" s="38" t="n">
        <f aca="false">Sens!$I$7797*Sens!$I$7798</f>
        <v>-14.2208183065825</v>
      </c>
      <c r="J7799" s="38" t="n">
        <f aca="false">Sens!$J$7797*Sens!$J$7798</f>
        <v>22.9162685376748</v>
      </c>
      <c r="K7799" s="38" t="n">
        <f aca="false">Sens!$K$7797*Sens!$K$7798</f>
        <v>89.5469324883341</v>
      </c>
      <c r="L7799" s="38" t="n">
        <f aca="false">Sens!$L$7797*Sens!$L$7798</f>
        <v>115.512632452091</v>
      </c>
      <c r="M7799" s="38" t="n">
        <f aca="false">Sens!$M$7797*Sens!$M$7798</f>
        <v>116.454308887194</v>
      </c>
    </row>
    <row r="7800" customFormat="false" ht="15" hidden="false" customHeight="false" outlineLevel="0" collapsed="false">
      <c r="A7800" s="5" t="s">
        <v>924</v>
      </c>
      <c r="B7800" s="0" t="s">
        <v>86</v>
      </c>
      <c r="C7800" s="38" t="n">
        <f aca="false">SUM(Sens!$H$7799:$M$7799)</f>
        <v>270.826877278643</v>
      </c>
    </row>
    <row r="7801" customFormat="false" ht="17.15" hidden="false" customHeight="false" outlineLevel="0" collapsed="false">
      <c r="A7801" s="5" t="s">
        <v>925</v>
      </c>
      <c r="B7801" s="0" t="s">
        <v>86</v>
      </c>
      <c r="C7801" s="38" t="n">
        <f aca="false">Sens!$M$7792*(1+tg)*(1-tg/ronic)/(wacc-tg)</f>
        <v>1922.56097134792</v>
      </c>
    </row>
    <row r="7802" customFormat="false" ht="15" hidden="false" customHeight="false" outlineLevel="0" collapsed="false">
      <c r="A7802" s="5" t="s">
        <v>926</v>
      </c>
      <c r="B7802" s="0" t="s">
        <v>86</v>
      </c>
      <c r="C7802" s="38" t="n">
        <f aca="false">Sens!$C$7801/(1+wacc)^6</f>
        <v>1009.74776248869</v>
      </c>
    </row>
    <row r="7803" customFormat="false" ht="17.15" hidden="false" customHeight="false" outlineLevel="0" collapsed="false">
      <c r="A7803" s="5" t="s">
        <v>927</v>
      </c>
      <c r="B7803" s="0" t="s">
        <v>86</v>
      </c>
      <c r="C7803" s="38" t="n">
        <f aca="false">Sens!$C$7800+Sens!$C$7802</f>
        <v>1280.57463976734</v>
      </c>
    </row>
    <row r="7804" customFormat="false" ht="17.15" hidden="false" customHeight="false" outlineLevel="0" collapsed="false">
      <c r="A7804" s="5" t="s">
        <v>928</v>
      </c>
      <c r="B7804" s="0" t="s">
        <v>52</v>
      </c>
      <c r="C7804" s="13" t="n">
        <f aca="false">Sens!$C$7802/Sens!$C$7803</f>
        <v>0.788511447229778</v>
      </c>
    </row>
    <row r="7805" customFormat="false" ht="17.15" hidden="false" customHeight="false" outlineLevel="0" collapsed="false">
      <c r="A7805" s="5" t="s">
        <v>929</v>
      </c>
      <c r="B7805" s="0" t="s">
        <v>86</v>
      </c>
      <c r="C7805" s="38" t="n">
        <f aca="false">Sens!$G$7781+fin_debt</f>
        <v>97.2636983848813</v>
      </c>
    </row>
    <row r="7806" customFormat="false" ht="17.15" hidden="false" customHeight="false" outlineLevel="0" collapsed="false">
      <c r="A7806" s="5" t="s">
        <v>930</v>
      </c>
      <c r="B7806" s="0" t="s">
        <v>86</v>
      </c>
      <c r="C7806" s="38" t="n">
        <f aca="false">(ant_val*ant_sh_hi+oai_val*oai_sh)*(1-liq_disc)</f>
        <v>202.104</v>
      </c>
    </row>
    <row r="7807" customFormat="false" ht="15" hidden="false" customHeight="false" outlineLevel="0" collapsed="false">
      <c r="A7807" s="5" t="s">
        <v>931</v>
      </c>
      <c r="B7807" s="0" t="s">
        <v>86</v>
      </c>
      <c r="C7807" s="38" t="n">
        <f aca="false">Sens!$C$7803-Sens!$C$7805+Sens!$C$7806</f>
        <v>1385.41494138246</v>
      </c>
    </row>
    <row r="7808" customFormat="false" ht="17.15" hidden="false" customHeight="false" outlineLevel="0" collapsed="false">
      <c r="A7808" s="5" t="s">
        <v>932</v>
      </c>
      <c r="B7808" s="0" t="s">
        <v>27</v>
      </c>
      <c r="C7808" s="30" t="n">
        <f aca="false">Sens!$C$7807/sh_out</f>
        <v>128.44192570163</v>
      </c>
    </row>
    <row r="7809" customFormat="false" ht="17.15" hidden="false" customHeight="false" outlineLevel="0" collapsed="false">
      <c r="A7809" s="1" t="s">
        <v>933</v>
      </c>
      <c r="B7809" s="8" t="s">
        <v>27</v>
      </c>
      <c r="C7809" s="30" t="n">
        <f aca="false">Sens!$C$7808*(1+ke)^tp_yf-dps*tp_yf</f>
        <v>140.691283994776</v>
      </c>
    </row>
    <row r="7810" customFormat="false" ht="17.15" hidden="false" customHeight="false" outlineLevel="0" collapsed="false">
      <c r="A7810" s="3" t="s">
        <v>934</v>
      </c>
    </row>
    <row r="7811" customFormat="false" ht="17.15" hidden="false" customHeight="false" outlineLevel="0" collapsed="false">
      <c r="A7811" s="5" t="s">
        <v>935</v>
      </c>
      <c r="B7811" s="0" t="s">
        <v>86</v>
      </c>
      <c r="C7811" s="38" t="n">
        <f aca="false">(1-tp_yf)*(Sens!$H$7738+sbc_ab*Sens!$H$7762*Sens!$H$7602/Sens!$H$7679)+tp_yf*(Sens!$I$7738+sbc_ab*Sens!$I$7762*Sens!$I$7602/Sens!$I$7679)</f>
        <v>59.634664536349</v>
      </c>
    </row>
    <row r="7812" customFormat="false" ht="15" hidden="false" customHeight="false" outlineLevel="0" collapsed="false">
      <c r="A7812" s="5" t="s">
        <v>936</v>
      </c>
      <c r="B7812" s="0" t="s">
        <v>57</v>
      </c>
      <c r="C7812" s="30" t="n">
        <f aca="false">m_ads*m_x</f>
        <v>9.11</v>
      </c>
    </row>
    <row r="7813" customFormat="false" ht="17.15" hidden="false" customHeight="false" outlineLevel="0" collapsed="false">
      <c r="A7813" s="5" t="s">
        <v>937</v>
      </c>
      <c r="B7813" s="0" t="s">
        <v>86</v>
      </c>
      <c r="C7813" s="38" t="n">
        <f aca="false">Sens!$C$7811*Sens!$C$7812</f>
        <v>543.271793926139</v>
      </c>
    </row>
    <row r="7814" customFormat="false" ht="17.15" hidden="false" customHeight="false" outlineLevel="0" collapsed="false">
      <c r="A7814" s="5" t="s">
        <v>938</v>
      </c>
      <c r="B7814" s="0" t="s">
        <v>86</v>
      </c>
      <c r="C7814" s="38" t="n">
        <f aca="false">(1-tp_yf)*(Sens!$H$7739+sbc_ab*Sens!$H$7762*(Sens!$H$7609-Sens!$H$7602)/Sens!$H$7679+IF(internal_ai_reading=2,1,0)*(1-ext_sh)*Sens!$H$7639)+tp_yf*(Sens!$I$7739+sbc_ab*Sens!$I$7762*(Sens!$I$7609-Sens!$I$7602)/Sens!$I$7679+IF(internal_ai_reading=2,1,0)*(1-ext_sh)*Sens!$I$7639)</f>
        <v>51.2224827206816</v>
      </c>
    </row>
    <row r="7815" customFormat="false" ht="17.15" hidden="false" customHeight="false" outlineLevel="0" collapsed="false">
      <c r="A7815" s="5" t="s">
        <v>939</v>
      </c>
      <c r="B7815" s="0" t="s">
        <v>57</v>
      </c>
      <c r="C7815" s="30" t="n">
        <f aca="false">m_retail*m_x</f>
        <v>17.72</v>
      </c>
    </row>
    <row r="7816" customFormat="false" ht="17.15" hidden="false" customHeight="false" outlineLevel="0" collapsed="false">
      <c r="A7816" s="5" t="s">
        <v>940</v>
      </c>
      <c r="B7816" s="0" t="s">
        <v>86</v>
      </c>
      <c r="C7816" s="38" t="n">
        <f aca="false">Sens!$C$7814*Sens!$C$7815</f>
        <v>907.662393810478</v>
      </c>
    </row>
    <row r="7817" customFormat="false" ht="17.15" hidden="false" customHeight="false" outlineLevel="0" collapsed="false">
      <c r="A7817" s="0" t="s">
        <v>941</v>
      </c>
      <c r="B7817" s="0" t="s">
        <v>86</v>
      </c>
      <c r="C7817" s="38" t="n">
        <f aca="false">(1-tp_yf)*(Sens!$H$7740+sbc_ab*Sens!$H$7762*Sens!$H$7677/Sens!$H$7679)+tp_yf*(Sens!$I$7740+sbc_ab*Sens!$I$7762*Sens!$I$7677/Sens!$I$7679)</f>
        <v>96.2439586897193</v>
      </c>
    </row>
    <row r="7818" customFormat="false" ht="17.15" hidden="false" customHeight="false" outlineLevel="0" collapsed="false">
      <c r="A7818" s="0" t="s">
        <v>942</v>
      </c>
      <c r="B7818" s="0" t="s">
        <v>57</v>
      </c>
      <c r="C7818" s="30" t="n">
        <f aca="false">m_cloud*m_x</f>
        <v>13.82</v>
      </c>
    </row>
    <row r="7819" customFormat="false" ht="17.15" hidden="false" customHeight="false" outlineLevel="0" collapsed="false">
      <c r="A7819" s="0" t="s">
        <v>943</v>
      </c>
      <c r="B7819" s="0" t="s">
        <v>86</v>
      </c>
      <c r="C7819" s="38" t="n">
        <f aca="false">Sens!$C$7817*Sens!$C$7818</f>
        <v>1330.09150909192</v>
      </c>
    </row>
    <row r="7820" customFormat="false" ht="17.15" hidden="false" customHeight="false" outlineLevel="0" collapsed="false">
      <c r="A7820" s="0" t="s">
        <v>944</v>
      </c>
      <c r="B7820" s="0" t="s">
        <v>86</v>
      </c>
      <c r="H7820" s="38" t="n">
        <f aca="false">Sens!$H$7658-tax*Sens!$H$7659-ext_sh*Sens!$H$7646</f>
        <v>-115.885394236225</v>
      </c>
      <c r="I7820" s="38" t="n">
        <f aca="false">Sens!$I$7658-tax*Sens!$I$7659-ext_sh*Sens!$I$7646</f>
        <v>-89.5935137276694</v>
      </c>
      <c r="J7820" s="38" t="n">
        <f aca="false">Sens!$J$7658-tax*Sens!$J$7659-ext_sh*Sens!$J$7646</f>
        <v>-62.3510647460279</v>
      </c>
      <c r="K7820" s="38" t="n">
        <f aca="false">Sens!$K$7658-tax*Sens!$K$7659-ext_sh*Sens!$K$7646</f>
        <v>8.85932514072565</v>
      </c>
      <c r="L7820" s="38" t="n">
        <f aca="false">Sens!$L$7658-tax*Sens!$L$7659-ext_sh*Sens!$L$7646</f>
        <v>45.6968344120177</v>
      </c>
      <c r="M7820" s="38" t="n">
        <f aca="false">Sens!$M$7658-tax*Sens!$M$7659-ext_sh*Sens!$M$7646</f>
        <v>54.7466688757428</v>
      </c>
    </row>
    <row r="7821" customFormat="false" ht="17.15" hidden="false" customHeight="false" outlineLevel="0" collapsed="false">
      <c r="A7821" s="5" t="s">
        <v>945</v>
      </c>
      <c r="B7821" s="0" t="s">
        <v>86</v>
      </c>
      <c r="H7821" s="38" t="n">
        <f aca="false">Sens!$H$7820*Sens!$H$7798</f>
        <v>-109.830535400166</v>
      </c>
      <c r="I7821" s="38" t="n">
        <f aca="false">Sens!$I$7820*Sens!$I$7798</f>
        <v>-76.2710567672785</v>
      </c>
      <c r="J7821" s="38" t="n">
        <f aca="false">Sens!$J$7820*Sens!$J$7798</f>
        <v>-47.6777623861763</v>
      </c>
      <c r="K7821" s="38" t="n">
        <f aca="false">Sens!$K$7820*Sens!$K$7798</f>
        <v>6.08501184243383</v>
      </c>
      <c r="L7821" s="38" t="n">
        <f aca="false">Sens!$L$7820*Sens!$L$7798</f>
        <v>28.1926369813469</v>
      </c>
      <c r="M7821" s="38" t="n">
        <f aca="false">Sens!$M$7820*Sens!$M$7798</f>
        <v>30.338637914116</v>
      </c>
    </row>
    <row r="7822" customFormat="false" ht="17.15" hidden="false" customHeight="false" outlineLevel="0" collapsed="false">
      <c r="A7822" s="5" t="s">
        <v>946</v>
      </c>
      <c r="B7822" s="0" t="s">
        <v>86</v>
      </c>
      <c r="C7822" s="38" t="n">
        <f aca="false">Sens!$M$7659*(1-tax)*(1+tg)*(1-tg/ronic)/(wacc-tg)</f>
        <v>391.533160655061</v>
      </c>
    </row>
    <row r="7823" customFormat="false" ht="17.15" hidden="false" customHeight="false" outlineLevel="0" collapsed="false">
      <c r="A7823" s="0" t="s">
        <v>947</v>
      </c>
      <c r="B7823" s="0" t="s">
        <v>86</v>
      </c>
      <c r="C7823" s="38" t="n">
        <f aca="false">(SUM(Sens!$I$7821:$M$7821)+Sens!$C$7822/(1+wacc)^6)*(1+wacc)^tp_yf</f>
        <v>159.796867964901</v>
      </c>
    </row>
    <row r="7824" customFormat="false" ht="17.15" hidden="false" customHeight="false" outlineLevel="0" collapsed="false">
      <c r="A7824" s="5" t="s">
        <v>948</v>
      </c>
      <c r="B7824" s="0" t="s">
        <v>86</v>
      </c>
      <c r="C7824" s="38" t="n">
        <f aca="false">(1-tp_yf)*(Sens!$H$7741)+tp_yf*(Sens!$I$7741)</f>
        <v>74.6707041238437</v>
      </c>
    </row>
    <row r="7825" customFormat="false" ht="17.15" hidden="false" customHeight="false" outlineLevel="0" collapsed="false">
      <c r="A7825" s="5" t="s">
        <v>949</v>
      </c>
      <c r="B7825" s="0" t="s">
        <v>86</v>
      </c>
      <c r="C7825" s="38" t="n">
        <f aca="false">Sens!$C$7824*m_ai</f>
        <v>448.024224743062</v>
      </c>
    </row>
    <row r="7826" customFormat="false" ht="17.15" hidden="false" customHeight="false" outlineLevel="0" collapsed="false">
      <c r="A7826" s="0" t="s">
        <v>950</v>
      </c>
      <c r="B7826" s="0" t="s">
        <v>86</v>
      </c>
      <c r="C7826" s="38" t="n">
        <f aca="false">IF(ai_leg=1,Sens!$C$7823,Sens!$C$7825)</f>
        <v>159.796867964901</v>
      </c>
    </row>
    <row r="7827" customFormat="false" ht="17.15" hidden="false" customHeight="false" outlineLevel="0" collapsed="false">
      <c r="A7827" s="5" t="s">
        <v>951</v>
      </c>
      <c r="B7827" s="0" t="s">
        <v>86</v>
      </c>
      <c r="C7827" s="38" t="n">
        <f aca="false">Sens!$C$7813+Sens!$C$7816+Sens!$C$7819+Sens!$C$7826</f>
        <v>2940.82256479344</v>
      </c>
    </row>
    <row r="7828" customFormat="false" ht="17.15" hidden="false" customHeight="false" outlineLevel="0" collapsed="false">
      <c r="A7828" s="5" t="s">
        <v>952</v>
      </c>
      <c r="B7828" s="0" t="s">
        <v>86</v>
      </c>
      <c r="C7828" s="38" t="n">
        <f aca="false">Sens!$H$7781+fin_debt</f>
        <v>153.608629741943</v>
      </c>
    </row>
    <row r="7829" customFormat="false" ht="15" hidden="false" customHeight="false" outlineLevel="0" collapsed="false">
      <c r="A7829" s="5" t="s">
        <v>953</v>
      </c>
      <c r="B7829" s="0" t="s">
        <v>86</v>
      </c>
      <c r="C7829" s="38" t="n">
        <f aca="false">Sens!$C$7827-Sens!$C$7828+Sens!$C$7806</f>
        <v>2989.3179350515</v>
      </c>
    </row>
    <row r="7830" customFormat="false" ht="15" hidden="false" customHeight="false" outlineLevel="0" collapsed="false">
      <c r="A7830" s="3" t="s">
        <v>954</v>
      </c>
      <c r="B7830" s="8" t="s">
        <v>27</v>
      </c>
      <c r="C7830" s="30" t="n">
        <f aca="false">Sens!$C$7829/sh_val</f>
        <v>271.009323492649</v>
      </c>
    </row>
    <row r="7831" customFormat="false" ht="17.15" hidden="false" customHeight="false" outlineLevel="0" collapsed="false">
      <c r="A7831" s="47" t="s">
        <v>955</v>
      </c>
      <c r="B7831" s="14" t="s">
        <v>27</v>
      </c>
      <c r="C7831" s="44" t="n">
        <f aca="false">w_dcf*Sens!$C$7809+(1-w_dcf)*Sens!$C$7830</f>
        <v>205.850303743712</v>
      </c>
      <c r="D7831" s="14"/>
      <c r="E7831" s="14"/>
      <c r="F7831" s="14"/>
      <c r="G7831" s="14"/>
      <c r="H7831" s="14"/>
      <c r="I7831" s="14"/>
      <c r="J7831" s="14"/>
      <c r="K7831" s="14"/>
      <c r="L7831" s="14"/>
      <c r="M7831" s="14"/>
      <c r="N7831" s="14"/>
      <c r="O7831" s="14"/>
    </row>
    <row r="7832" customFormat="false" ht="17.15" hidden="false" customHeight="false" outlineLevel="0" collapsed="false">
      <c r="A7832" s="5" t="s">
        <v>956</v>
      </c>
      <c r="B7832" s="0" t="s">
        <v>27</v>
      </c>
      <c r="C7832" s="30" t="n">
        <f aca="false">v022_wdcf*Sens!$C$7809+(1-v022_wdcf)*Sens!$C$7830</f>
        <v>212.366205718606</v>
      </c>
    </row>
    <row r="7833" customFormat="false" ht="17.15" hidden="false" customHeight="false" outlineLevel="0" collapsed="false">
      <c r="A7833" s="5" t="s">
        <v>957</v>
      </c>
      <c r="B7833" s="0" t="s">
        <v>27</v>
      </c>
      <c r="C7833" s="30" t="n">
        <f aca="false">(Sens!$C$7829-Sens!$C$7826+Sens!$C$7825)/sh_val</f>
        <v>297.13979963124</v>
      </c>
    </row>
    <row r="7836" customFormat="false" ht="19.4" hidden="false" customHeight="false" outlineLevel="0" collapsed="false">
      <c r="A7836" s="31" t="s">
        <v>1295</v>
      </c>
    </row>
    <row r="7837" customFormat="false" ht="17.15" hidden="false" customHeight="false" outlineLevel="0" collapsed="false">
      <c r="A7837" s="6" t="s">
        <v>16</v>
      </c>
      <c r="B7837" s="6" t="s">
        <v>17</v>
      </c>
      <c r="C7837" s="20" t="s">
        <v>497</v>
      </c>
      <c r="D7837" s="20" t="s">
        <v>498</v>
      </c>
      <c r="E7837" s="20" t="s">
        <v>580</v>
      </c>
      <c r="F7837" s="20" t="s">
        <v>581</v>
      </c>
      <c r="G7837" s="20" t="s">
        <v>582</v>
      </c>
      <c r="H7837" s="20" t="s">
        <v>583</v>
      </c>
      <c r="I7837" s="20" t="s">
        <v>584</v>
      </c>
      <c r="J7837" s="20" t="s">
        <v>585</v>
      </c>
      <c r="K7837" s="20" t="s">
        <v>586</v>
      </c>
      <c r="L7837" s="20" t="s">
        <v>587</v>
      </c>
      <c r="M7837" s="20" t="s">
        <v>588</v>
      </c>
      <c r="N7837" s="20" t="s">
        <v>589</v>
      </c>
      <c r="O7837" s="20" t="s">
        <v>590</v>
      </c>
      <c r="P7837" s="6" t="s">
        <v>23</v>
      </c>
      <c r="R7837" s="20" t="n">
        <v>2023</v>
      </c>
      <c r="S7837" s="20" t="n">
        <v>2024</v>
      </c>
      <c r="T7837" s="20" t="n">
        <v>2025</v>
      </c>
      <c r="U7837" s="20" t="n">
        <v>2026</v>
      </c>
      <c r="V7837" s="20" t="n">
        <v>2027</v>
      </c>
      <c r="W7837" s="20" t="n">
        <v>2028</v>
      </c>
      <c r="X7837" s="20" t="n">
        <v>2029</v>
      </c>
      <c r="Y7837" s="20" t="n">
        <v>2030</v>
      </c>
      <c r="Z7837" s="20" t="n">
        <v>2031</v>
      </c>
      <c r="AA7837" s="20" t="n">
        <v>2032</v>
      </c>
    </row>
    <row r="7838" customFormat="false" ht="17.15" hidden="false" customHeight="false" outlineLevel="0" collapsed="false">
      <c r="A7838" s="1" t="s">
        <v>666</v>
      </c>
    </row>
    <row r="7839" customFormat="false" ht="17.15" hidden="false" customHeight="false" outlineLevel="0" collapsed="false">
      <c r="A7839" s="0" t="s">
        <v>519</v>
      </c>
      <c r="B7839" s="0" t="s">
        <v>86</v>
      </c>
      <c r="C7839" s="38" t="n">
        <f aca="false">Q!$D$10</f>
        <v>247.029</v>
      </c>
      <c r="D7839" s="38" t="n">
        <f aca="false">Q!$E$10</f>
        <v>269.287</v>
      </c>
      <c r="E7839" s="38" t="n">
        <f aca="false">Q!$P$10</f>
        <v>134.686</v>
      </c>
      <c r="F7839" s="38" t="n">
        <f aca="false">Sens!$O$7839*(1+Sens!$F$7840)*Sens!$F$7851</f>
        <v>158.293876822267</v>
      </c>
      <c r="G7839" s="38" t="n">
        <f aca="false">Sens!$E$7839+Sens!$F$7839</f>
        <v>292.979876822267</v>
      </c>
      <c r="H7839" s="38" t="n">
        <f aca="false">Sens!$G$7839*(1+Sens!$H$7840)</f>
        <v>318.184543087396</v>
      </c>
      <c r="I7839" s="38" t="n">
        <f aca="false">Sens!$H$7839*(1+Sens!$I$7840)</f>
        <v>341.736278761793</v>
      </c>
      <c r="J7839" s="38" t="n">
        <f aca="false">Sens!$I$7839*(1+Sens!$J$7840)</f>
        <v>362.927192787048</v>
      </c>
      <c r="K7839" s="38" t="n">
        <f aca="false">Sens!$J$7839*(1+Sens!$K$7840)</f>
        <v>381.0735524264</v>
      </c>
      <c r="L7839" s="38" t="n">
        <f aca="false">Sens!$K$7839*(1+Sens!$L$7840)</f>
        <v>400.12723004772</v>
      </c>
      <c r="M7839" s="38" t="n">
        <f aca="false">Sens!$L$7839*(1+Sens!$M$7840)</f>
        <v>420.133591550106</v>
      </c>
      <c r="N7839" s="38" t="n">
        <f aca="false">Q!$N$10</f>
        <v>118.892</v>
      </c>
      <c r="O7839" s="38" t="n">
        <f aca="false">Q!$O$10</f>
        <v>150.395</v>
      </c>
      <c r="P7839" s="8" t="s">
        <v>667</v>
      </c>
    </row>
    <row r="7840" customFormat="false" ht="17.15" hidden="false" customHeight="false" outlineLevel="0" collapsed="false">
      <c r="A7840" s="0" t="s">
        <v>668</v>
      </c>
      <c r="B7840" s="0" t="s">
        <v>52</v>
      </c>
      <c r="E7840" s="13" t="n">
        <f aca="false">Sens!$E$7839/Sens!$N$7839-1</f>
        <v>0.132843252699929</v>
      </c>
      <c r="F7840" s="13" t="n">
        <f aca="false">Sens!$O$7839/(Q!$F$10+Q!$G$10)-1</f>
        <v>0.0980382135842941</v>
      </c>
      <c r="G7840" s="13" t="n">
        <f aca="false">Sens!$G$7839/Sens!$D$7839-1</f>
        <v>0.0879837378791657</v>
      </c>
      <c r="H7840" s="13" t="n">
        <f aca="false">Sens!$F$7840+(g_os-Sens!$F$7840)*1/4</f>
        <v>0.0860286601882206</v>
      </c>
      <c r="I7840" s="13" t="n">
        <f aca="false">Sens!$F$7840+(g_os-Sens!$F$7840)*2/4</f>
        <v>0.074019106792147</v>
      </c>
      <c r="J7840" s="13" t="n">
        <f aca="false">Sens!$F$7840+(g_os-Sens!$F$7840)*3/4</f>
        <v>0.0620095533960735</v>
      </c>
      <c r="K7840" s="13" t="n">
        <f aca="false">Sens!$F$7840+(g_os-Sens!$F$7840)*4/4</f>
        <v>0.05</v>
      </c>
      <c r="L7840" s="13" t="n">
        <f aca="false">g_os</f>
        <v>0.05</v>
      </c>
      <c r="M7840" s="13" t="n">
        <f aca="false">g_os</f>
        <v>0.05</v>
      </c>
      <c r="P7840" s="8" t="s">
        <v>669</v>
      </c>
    </row>
    <row r="7841" customFormat="false" ht="17.15" hidden="false" customHeight="false" outlineLevel="0" collapsed="false">
      <c r="A7841" s="0" t="s">
        <v>520</v>
      </c>
      <c r="B7841" s="0" t="s">
        <v>86</v>
      </c>
      <c r="C7841" s="38" t="n">
        <f aca="false">Q!$D$11</f>
        <v>21.215</v>
      </c>
      <c r="D7841" s="38" t="n">
        <f aca="false">Q!$E$11</f>
        <v>22.561</v>
      </c>
      <c r="E7841" s="38" t="n">
        <f aca="false">Q!$P$11</f>
        <v>11.579</v>
      </c>
      <c r="F7841" s="38" t="n">
        <f aca="false">Sens!$O$7841*(1+Sens!$F$7842)*Sens!$F$7851</f>
        <v>11.5938724610325</v>
      </c>
      <c r="G7841" s="38" t="n">
        <f aca="false">Sens!$E$7841+Sens!$F$7841</f>
        <v>23.1728724610325</v>
      </c>
      <c r="H7841" s="38" t="n">
        <f aca="false">Sens!$G$7841*(1+Sens!$H$7842)</f>
        <v>24.353392759506</v>
      </c>
      <c r="I7841" s="38" t="n">
        <f aca="false">Sens!$H$7841*(1+Sens!$I$7842)</f>
        <v>25.4240338872015</v>
      </c>
      <c r="J7841" s="38" t="n">
        <f aca="false">Sens!$I$7841*(1+Sens!$J$7842)</f>
        <v>26.3642491017174</v>
      </c>
      <c r="K7841" s="38" t="n">
        <f aca="false">Sens!$J$7841*(1+Sens!$K$7842)</f>
        <v>27.155176574769</v>
      </c>
      <c r="L7841" s="38" t="n">
        <f aca="false">Sens!$K$7841*(1+Sens!$L$7842)</f>
        <v>27.969831872012</v>
      </c>
      <c r="M7841" s="38" t="n">
        <f aca="false">Sens!$L$7841*(1+Sens!$M$7842)</f>
        <v>28.8089268281724</v>
      </c>
      <c r="N7841" s="38" t="n">
        <f aca="false">Q!$N$11</f>
        <v>11.128</v>
      </c>
      <c r="O7841" s="38" t="n">
        <f aca="false">Q!$O$11</f>
        <v>11.433</v>
      </c>
      <c r="P7841" s="8" t="s">
        <v>667</v>
      </c>
    </row>
    <row r="7842" customFormat="false" ht="17.15" hidden="false" customHeight="false" outlineLevel="0" collapsed="false">
      <c r="A7842" s="0" t="s">
        <v>670</v>
      </c>
      <c r="B7842" s="0" t="s">
        <v>52</v>
      </c>
      <c r="E7842" s="13" t="n">
        <f aca="false">Sens!$E$7841/Sens!$N$7841-1</f>
        <v>0.0405283968368082</v>
      </c>
      <c r="F7842" s="13" t="n">
        <f aca="false">Sens!$O$7841/(Q!$F$11+Q!$G$11)-1</f>
        <v>0.0579254187100955</v>
      </c>
      <c r="G7842" s="13" t="n">
        <f aca="false">Sens!$G$7841/Sens!$D$7841-1</f>
        <v>0.0271208040881397</v>
      </c>
      <c r="H7842" s="13" t="n">
        <f aca="false">Sens!$F$7842+(g_ps-Sens!$F$7842)*1/4</f>
        <v>0.0509440640325716</v>
      </c>
      <c r="I7842" s="13" t="n">
        <f aca="false">Sens!$F$7842+(g_ps-Sens!$F$7842)*2/4</f>
        <v>0.0439627093550477</v>
      </c>
      <c r="J7842" s="13" t="n">
        <f aca="false">Sens!$F$7842+(g_ps-Sens!$F$7842)*3/4</f>
        <v>0.0369813546775239</v>
      </c>
      <c r="K7842" s="13" t="n">
        <f aca="false">Sens!$F$7842+(g_ps-Sens!$F$7842)*4/4</f>
        <v>0.03</v>
      </c>
      <c r="L7842" s="13" t="n">
        <f aca="false">g_ps</f>
        <v>0.03</v>
      </c>
      <c r="M7842" s="13" t="n">
        <f aca="false">g_ps</f>
        <v>0.03</v>
      </c>
      <c r="P7842" s="8" t="s">
        <v>671</v>
      </c>
    </row>
    <row r="7843" customFormat="false" ht="17.15" hidden="false" customHeight="false" outlineLevel="0" collapsed="false">
      <c r="A7843" s="0" t="s">
        <v>521</v>
      </c>
      <c r="B7843" s="0" t="s">
        <v>86</v>
      </c>
      <c r="C7843" s="38" t="n">
        <f aca="false">Q!$D$12</f>
        <v>156.146</v>
      </c>
      <c r="D7843" s="38" t="n">
        <f aca="false">Q!$E$12</f>
        <v>172.162</v>
      </c>
      <c r="E7843" s="38" t="n">
        <f aca="false">Q!$P$12</f>
        <v>88.358</v>
      </c>
      <c r="F7843" s="38" t="n">
        <f aca="false">Sens!$O$7843*(1+Sens!$F$7844)*Sens!$F$7851</f>
        <v>102.004388260171</v>
      </c>
      <c r="G7843" s="38" t="n">
        <f aca="false">Sens!$E$7843+Sens!$F$7843</f>
        <v>190.362388260171</v>
      </c>
      <c r="H7843" s="38" t="n">
        <f aca="false">Sens!$G$7843*(1+Sens!$H$7844)</f>
        <v>210.343106588311</v>
      </c>
      <c r="I7843" s="38" t="n">
        <f aca="false">Sens!$H$7843*(1+Sens!$I$7844)</f>
        <v>229.969728494648</v>
      </c>
      <c r="J7843" s="38" t="n">
        <f aca="false">Sens!$I$7843*(1+Sens!$J$7844)</f>
        <v>248.747636972598</v>
      </c>
      <c r="K7843" s="38" t="n">
        <f aca="false">Sens!$J$7843*(1+Sens!$K$7844)</f>
        <v>266.15997156068</v>
      </c>
      <c r="L7843" s="38" t="n">
        <f aca="false">Sens!$K$7843*(1+Sens!$L$7844)</f>
        <v>284.791169569927</v>
      </c>
      <c r="M7843" s="38" t="n">
        <f aca="false">Sens!$L$7843*(1+Sens!$M$7844)</f>
        <v>304.726551439822</v>
      </c>
      <c r="N7843" s="38" t="n">
        <f aca="false">Q!$N$12</f>
        <v>76.86</v>
      </c>
      <c r="O7843" s="38" t="n">
        <f aca="false">Q!$O$12</f>
        <v>95.302</v>
      </c>
      <c r="P7843" s="8" t="s">
        <v>667</v>
      </c>
    </row>
    <row r="7844" customFormat="false" ht="17.15" hidden="false" customHeight="false" outlineLevel="0" collapsed="false">
      <c r="A7844" s="0" t="s">
        <v>672</v>
      </c>
      <c r="B7844" s="0" t="s">
        <v>52</v>
      </c>
      <c r="E7844" s="13" t="n">
        <f aca="false">Sens!$E$7843/Sens!$N$7843-1</f>
        <v>0.1495966692688</v>
      </c>
      <c r="F7844" s="13" t="n">
        <f aca="false">Sens!$O$7843/(Q!$F$12+Q!$G$12)-1</f>
        <v>0.11661530890813</v>
      </c>
      <c r="G7844" s="13" t="n">
        <f aca="false">Sens!$G$7843/Sens!$D$7843-1</f>
        <v>0.105716640490767</v>
      </c>
      <c r="H7844" s="13" t="n">
        <f aca="false">Sens!$F$7844+(g_sp-Sens!$F$7844)*1/4</f>
        <v>0.104961481681098</v>
      </c>
      <c r="I7844" s="13" t="n">
        <f aca="false">Sens!$F$7844+(g_sp-Sens!$F$7844)*2/4</f>
        <v>0.0933076544540651</v>
      </c>
      <c r="J7844" s="13" t="n">
        <f aca="false">Sens!$F$7844+(g_sp-Sens!$F$7844)*3/4</f>
        <v>0.0816538272270325</v>
      </c>
      <c r="K7844" s="13" t="n">
        <f aca="false">Sens!$F$7844+(g_sp-Sens!$F$7844)*4/4</f>
        <v>0.07</v>
      </c>
      <c r="L7844" s="13" t="n">
        <f aca="false">g_sp</f>
        <v>0.07</v>
      </c>
      <c r="M7844" s="13" t="n">
        <f aca="false">g_sp</f>
        <v>0.07</v>
      </c>
      <c r="P7844" s="8" t="s">
        <v>673</v>
      </c>
    </row>
    <row r="7845" customFormat="false" ht="17.15" hidden="false" customHeight="false" outlineLevel="0" collapsed="false">
      <c r="A7845" s="0" t="s">
        <v>522</v>
      </c>
      <c r="B7845" s="0" t="s">
        <v>86</v>
      </c>
      <c r="C7845" s="38" t="n">
        <f aca="false">Q!$D$13</f>
        <v>56.214</v>
      </c>
      <c r="D7845" s="38" t="n">
        <f aca="false">Q!$E$13</f>
        <v>68.635</v>
      </c>
      <c r="E7845" s="38" t="n">
        <f aca="false">Q!$P$13</f>
        <v>37.052</v>
      </c>
      <c r="F7845" s="38" t="n">
        <f aca="false">Sens!$O$7845*(1+Sens!$F$7846)*Sens!$F$7851</f>
        <v>46.1572219944148</v>
      </c>
      <c r="G7845" s="38" t="n">
        <f aca="false">Sens!$E$7845+Sens!$F$7845</f>
        <v>83.2092219944148</v>
      </c>
      <c r="H7845" s="38" t="n">
        <f aca="false">Sens!$G$7845*(1+Sens!$H$7846)</f>
        <v>99.8969223878976</v>
      </c>
      <c r="I7845" s="38" t="n">
        <f aca="false">Sens!$H$7845*(1+Sens!$I$7846)</f>
        <v>116.583111095496</v>
      </c>
      <c r="J7845" s="38" t="n">
        <f aca="false">Sens!$I$7845*(1+Sens!$J$7846)</f>
        <v>132.148941941952</v>
      </c>
      <c r="K7845" s="38" t="n">
        <f aca="false">Sens!$J$7845*(1+Sens!$K$7846)</f>
        <v>145.363836136147</v>
      </c>
      <c r="L7845" s="38" t="n">
        <f aca="false">Sens!$K$7845*(1+Sens!$L$7846)</f>
        <v>159.900219749762</v>
      </c>
      <c r="M7845" s="38" t="n">
        <f aca="false">Sens!$L$7845*(1+Sens!$M$7846)</f>
        <v>175.890241724738</v>
      </c>
      <c r="N7845" s="38" t="n">
        <f aca="false">Q!$N$13</f>
        <v>29.615</v>
      </c>
      <c r="O7845" s="38" t="n">
        <f aca="false">Q!$O$13</f>
        <v>39.02</v>
      </c>
      <c r="P7845" s="8" t="s">
        <v>667</v>
      </c>
    </row>
    <row r="7846" customFormat="false" ht="17.15" hidden="false" customHeight="false" outlineLevel="0" collapsed="false">
      <c r="A7846" s="0" t="s">
        <v>674</v>
      </c>
      <c r="B7846" s="0" t="s">
        <v>52</v>
      </c>
      <c r="E7846" s="13" t="n">
        <f aca="false">Sens!$E$7845/Sens!$N$7845-1</f>
        <v>0.25112274185379</v>
      </c>
      <c r="F7846" s="13" t="n">
        <f aca="false">Sens!$O$7845/(Q!$F$13+Q!$G$13)-1</f>
        <v>0.234068123596572</v>
      </c>
      <c r="G7846" s="13" t="n">
        <f aca="false">Sens!$G$7845/Sens!$D$7845-1</f>
        <v>0.212343876949294</v>
      </c>
      <c r="H7846" s="13" t="n">
        <f aca="false">Sens!$F$7846+(g_ad-Sens!$F$7846)*1/4</f>
        <v>0.200551092697429</v>
      </c>
      <c r="I7846" s="13" t="n">
        <f aca="false">Sens!$F$7846+(g_ad-Sens!$F$7846)*2/4</f>
        <v>0.167034061798286</v>
      </c>
      <c r="J7846" s="13" t="n">
        <f aca="false">Sens!$F$7846+(g_ad-Sens!$F$7846)*3/4</f>
        <v>0.133517030899143</v>
      </c>
      <c r="K7846" s="13" t="n">
        <f aca="false">Sens!$F$7846+(g_ad-Sens!$F$7846)*4/4</f>
        <v>0.1</v>
      </c>
      <c r="L7846" s="13" t="n">
        <f aca="false">g_ad</f>
        <v>0.1</v>
      </c>
      <c r="M7846" s="13" t="n">
        <f aca="false">g_ad</f>
        <v>0.1</v>
      </c>
      <c r="P7846" s="8" t="s">
        <v>675</v>
      </c>
    </row>
    <row r="7847" customFormat="false" ht="17.15" hidden="false" customHeight="false" outlineLevel="0" collapsed="false">
      <c r="A7847" s="0" t="s">
        <v>523</v>
      </c>
      <c r="B7847" s="0" t="s">
        <v>86</v>
      </c>
      <c r="C7847" s="38" t="n">
        <f aca="false">Q!$D$14</f>
        <v>44.374</v>
      </c>
      <c r="D7847" s="38" t="n">
        <f aca="false">Q!$E$14</f>
        <v>49.619</v>
      </c>
      <c r="E7847" s="38" t="n">
        <f aca="false">Q!$P$14</f>
        <v>27.157</v>
      </c>
      <c r="F7847" s="38" t="n">
        <f aca="false">Sens!$O$7847*(1+Sens!$F$7848)*Sens!$F$7851</f>
        <v>27.7764165988154</v>
      </c>
      <c r="G7847" s="38" t="n">
        <f aca="false">Sens!$E$7847+Sens!$F$7847</f>
        <v>54.9334165988154</v>
      </c>
      <c r="H7847" s="38" t="n">
        <f aca="false">Sens!$G$7847*(1+Sens!$H$7848)</f>
        <v>61.1564112561829</v>
      </c>
      <c r="I7847" s="38" t="n">
        <f aca="false">Sens!$H$7847*(1+Sens!$I$7848)</f>
        <v>67.2020282103945</v>
      </c>
      <c r="J7847" s="38" t="n">
        <f aca="false">Sens!$I$7847*(1+Sens!$J$7848)</f>
        <v>72.8757274028885</v>
      </c>
      <c r="K7847" s="38" t="n">
        <f aca="false">Sens!$J$7847*(1+Sens!$K$7848)</f>
        <v>77.9770283210907</v>
      </c>
      <c r="L7847" s="38" t="n">
        <f aca="false">Sens!$K$7847*(1+Sens!$L$7848)</f>
        <v>83.4354203035671</v>
      </c>
      <c r="M7847" s="38" t="n">
        <f aca="false">Sens!$L$7847*(1+Sens!$M$7848)</f>
        <v>89.2758997248168</v>
      </c>
      <c r="N7847" s="38" t="n">
        <f aca="false">Q!$N$14</f>
        <v>23.923</v>
      </c>
      <c r="O7847" s="38" t="n">
        <f aca="false">Q!$O$14</f>
        <v>25.696</v>
      </c>
      <c r="P7847" s="8" t="s">
        <v>667</v>
      </c>
    </row>
    <row r="7848" customFormat="false" ht="17.15" hidden="false" customHeight="false" outlineLevel="0" collapsed="false">
      <c r="A7848" s="0" t="s">
        <v>676</v>
      </c>
      <c r="B7848" s="0" t="s">
        <v>52</v>
      </c>
      <c r="E7848" s="13" t="n">
        <f aca="false">Sens!$E$7847/Sens!$N$7847-1</f>
        <v>0.135183714417088</v>
      </c>
      <c r="F7848" s="13" t="n">
        <f aca="false">Sens!$O$7847/(Q!$F$14+Q!$G$14)-1</f>
        <v>0.127709997366804</v>
      </c>
      <c r="G7848" s="13" t="n">
        <f aca="false">Sens!$G$7847/Sens!$D$7847-1</f>
        <v>0.107104468022641</v>
      </c>
      <c r="H7848" s="13" t="n">
        <f aca="false">Sens!$F$7848+(g_sub-Sens!$F$7848)*1/4</f>
        <v>0.113282498025103</v>
      </c>
      <c r="I7848" s="13" t="n">
        <f aca="false">Sens!$F$7848+(g_sub-Sens!$F$7848)*2/4</f>
        <v>0.0988549986834021</v>
      </c>
      <c r="J7848" s="13" t="n">
        <f aca="false">Sens!$F$7848+(g_sub-Sens!$F$7848)*3/4</f>
        <v>0.084427499341701</v>
      </c>
      <c r="K7848" s="13" t="n">
        <f aca="false">Sens!$F$7848+(g_sub-Sens!$F$7848)*4/4</f>
        <v>0.07</v>
      </c>
      <c r="L7848" s="13" t="n">
        <f aca="false">g_sub</f>
        <v>0.07</v>
      </c>
      <c r="M7848" s="13" t="n">
        <f aca="false">g_sub</f>
        <v>0.07</v>
      </c>
      <c r="P7848" s="8" t="s">
        <v>677</v>
      </c>
    </row>
    <row r="7849" customFormat="false" ht="17.15" hidden="false" customHeight="false" outlineLevel="0" collapsed="false">
      <c r="A7849" s="0" t="s">
        <v>524</v>
      </c>
      <c r="B7849" s="0" t="s">
        <v>86</v>
      </c>
      <c r="C7849" s="38" t="n">
        <f aca="false">Q!$D$15</f>
        <v>5.425</v>
      </c>
      <c r="D7849" s="38" t="n">
        <f aca="false">Q!$E$15</f>
        <v>5.935</v>
      </c>
      <c r="E7849" s="38" t="n">
        <f aca="false">Q!$P$15</f>
        <v>3.474</v>
      </c>
      <c r="F7849" s="38" t="n">
        <f aca="false">Sens!$O$7849*(1+Sens!$F$7850)*Sens!$F$7851</f>
        <v>3.22246550883619</v>
      </c>
      <c r="G7849" s="38" t="n">
        <f aca="false">Sens!$E$7849+Sens!$F$7849</f>
        <v>6.69646550883619</v>
      </c>
      <c r="H7849" s="38" t="n">
        <f aca="false">Sens!$G$7849*(1+Sens!$H$7850)</f>
        <v>7.16251344209196</v>
      </c>
      <c r="I7849" s="38" t="n">
        <f aca="false">Sens!$H$7849*(1+Sens!$I$7850)</f>
        <v>7.61421070299826</v>
      </c>
      <c r="J7849" s="38" t="n">
        <f aca="false">Sens!$I$7849*(1+Sens!$J$7850)</f>
        <v>8.04465753523932</v>
      </c>
      <c r="K7849" s="38" t="n">
        <f aca="false">Sens!$J$7849*(1+Sens!$K$7850)</f>
        <v>8.44689041200128</v>
      </c>
      <c r="L7849" s="38" t="n">
        <f aca="false">Sens!$K$7849*(1+Sens!$L$7850)</f>
        <v>8.86923493260135</v>
      </c>
      <c r="M7849" s="38" t="n">
        <f aca="false">Sens!$L$7849*(1+Sens!$M$7850)</f>
        <v>9.31269667923142</v>
      </c>
      <c r="N7849" s="38" t="n">
        <f aca="false">Q!$N$15</f>
        <v>2.811</v>
      </c>
      <c r="O7849" s="38" t="n">
        <f aca="false">Q!$O$15</f>
        <v>3.124</v>
      </c>
      <c r="P7849" s="8" t="s">
        <v>667</v>
      </c>
    </row>
    <row r="7850" customFormat="false" ht="17.15" hidden="false" customHeight="false" outlineLevel="0" collapsed="false">
      <c r="A7850" s="0" t="s">
        <v>678</v>
      </c>
      <c r="B7850" s="0" t="s">
        <v>52</v>
      </c>
      <c r="E7850" s="13" t="n">
        <f aca="false">Sens!$E$7849/Sens!$N$7849-1</f>
        <v>0.235859124866596</v>
      </c>
      <c r="F7850" s="13" t="n">
        <f aca="false">Sens!$O$7849/(Q!$F$15+Q!$G$15)-1</f>
        <v>0.0761281433000345</v>
      </c>
      <c r="G7850" s="13" t="n">
        <f aca="false">Sens!$G$7849/Sens!$D$7849-1</f>
        <v>0.128300843948811</v>
      </c>
      <c r="H7850" s="13" t="n">
        <f aca="false">Sens!$F$7850+(g_ot-Sens!$F$7850)*1/4</f>
        <v>0.0695961074750259</v>
      </c>
      <c r="I7850" s="13" t="n">
        <f aca="false">Sens!$F$7850+(g_ot-Sens!$F$7850)*2/4</f>
        <v>0.0630640716500172</v>
      </c>
      <c r="J7850" s="13" t="n">
        <f aca="false">Sens!$F$7850+(g_ot-Sens!$F$7850)*3/4</f>
        <v>0.0565320358250086</v>
      </c>
      <c r="K7850" s="13" t="n">
        <f aca="false">Sens!$F$7850+(g_ot-Sens!$F$7850)*4/4</f>
        <v>0.05</v>
      </c>
      <c r="L7850" s="13" t="n">
        <f aca="false">g_ot</f>
        <v>0.05</v>
      </c>
      <c r="M7850" s="13" t="n">
        <f aca="false">g_ot</f>
        <v>0.05</v>
      </c>
      <c r="P7850" s="8" t="s">
        <v>679</v>
      </c>
    </row>
    <row r="7851" customFormat="false" ht="17.15" hidden="false" customHeight="false" outlineLevel="0" collapsed="false">
      <c r="A7851" s="0" t="s">
        <v>680</v>
      </c>
      <c r="B7851" s="0" t="s">
        <v>57</v>
      </c>
      <c r="F7851" s="40" t="n">
        <f aca="false">(g26q3_mid*Q!$O$8/Q!$J$8-Thesis!$F$86-Thesis!$F$90)/(Sens!$O$7839*(1+Sens!$F$7840)+Sens!$O$7841*(1+Sens!$F$7842)+Sens!$O$7843*(1+Sens!$F$7844)+Sens!$O$7845*(1+Sens!$F$7846)+Sens!$O$7847*(1+Sens!$F$7848)+Sens!$O$7849*(1+Sens!$F$7850))</f>
        <v>0.958546670622329</v>
      </c>
      <c r="P7851" s="8" t="s">
        <v>681</v>
      </c>
    </row>
    <row r="7852" customFormat="false" ht="17.15" hidden="false" customHeight="false" outlineLevel="0" collapsed="false">
      <c r="A7852" s="3" t="s">
        <v>682</v>
      </c>
      <c r="B7852" s="8" t="s">
        <v>86</v>
      </c>
      <c r="C7852" s="38" t="n">
        <f aca="false">Sens!$C$7839+Sens!$C$7841+Sens!$C$7843+Sens!$C$7845+Sens!$C$7847+Sens!$C$7849</f>
        <v>530.403</v>
      </c>
      <c r="D7852" s="38" t="n">
        <f aca="false">Sens!$D$7839+Sens!$D$7841+Sens!$D$7843+Sens!$D$7845+Sens!$D$7847+Sens!$D$7849</f>
        <v>588.199</v>
      </c>
      <c r="E7852" s="38" t="n">
        <f aca="false">Sens!$E$7839+Sens!$E$7841+Sens!$E$7843+Sens!$E$7845+Sens!$E$7847+Sens!$E$7849</f>
        <v>302.306</v>
      </c>
      <c r="F7852" s="38" t="n">
        <f aca="false">Sens!$F$7839+Sens!$F$7841+Sens!$F$7843+Sens!$F$7845+Sens!$F$7847+Sens!$F$7849</f>
        <v>349.048241645537</v>
      </c>
      <c r="G7852" s="38" t="n">
        <f aca="false">Sens!$G$7839+Sens!$G$7841+Sens!$G$7843+Sens!$G$7845+Sens!$G$7847+Sens!$G$7849</f>
        <v>651.354241645537</v>
      </c>
      <c r="H7852" s="38" t="n">
        <f aca="false">Sens!$H$7839+Sens!$H$7841+Sens!$H$7843+Sens!$H$7845+Sens!$H$7847+Sens!$H$7849</f>
        <v>721.096889521386</v>
      </c>
      <c r="I7852" s="38" t="n">
        <f aca="false">Sens!$I$7839+Sens!$I$7841+Sens!$I$7843+Sens!$I$7845+Sens!$I$7847+Sens!$I$7849</f>
        <v>788.529391152531</v>
      </c>
      <c r="J7852" s="38" t="n">
        <f aca="false">Sens!$J$7839+Sens!$J$7841+Sens!$J$7843+Sens!$J$7845+Sens!$J$7847+Sens!$J$7849</f>
        <v>851.108405741443</v>
      </c>
      <c r="K7852" s="38" t="n">
        <f aca="false">Sens!$K$7839+Sens!$K$7841+Sens!$K$7843+Sens!$K$7845+Sens!$K$7847+Sens!$K$7849</f>
        <v>906.176455431088</v>
      </c>
      <c r="L7852" s="38" t="n">
        <f aca="false">Sens!$L$7839+Sens!$L$7841+Sens!$L$7843+Sens!$L$7845+Sens!$L$7847+Sens!$L$7849</f>
        <v>965.093106475589</v>
      </c>
      <c r="M7852" s="38" t="n">
        <f aca="false">Sens!$M$7839+Sens!$M$7841+Sens!$M$7843+Sens!$M$7845+Sens!$M$7847+Sens!$M$7849</f>
        <v>1028.14790794689</v>
      </c>
      <c r="N7852" s="38" t="n">
        <f aca="false">Sens!$N$7839+Sens!$N$7841+Sens!$N$7843+Sens!$N$7845+Sens!$N$7847+Sens!$N$7849</f>
        <v>263.229</v>
      </c>
      <c r="O7852" s="38" t="n">
        <f aca="false">Sens!$O$7839+Sens!$O$7841+Sens!$O$7843+Sens!$O$7845+Sens!$O$7847+Sens!$O$7849</f>
        <v>324.97</v>
      </c>
    </row>
    <row r="7853" customFormat="false" ht="17.15" hidden="false" customHeight="false" outlineLevel="0" collapsed="false">
      <c r="A7853" s="5" t="s">
        <v>683</v>
      </c>
      <c r="B7853" s="0" t="s">
        <v>52</v>
      </c>
      <c r="C7853" s="13" t="n">
        <f aca="false">Q!$D$5/(Q!$D$5+Q!$D$6)</f>
        <v>0.730570905519011</v>
      </c>
      <c r="D7853" s="13" t="n">
        <f aca="false">Q!$E$5/(Q!$E$5+Q!$E$6)</f>
        <v>0.724763217890544</v>
      </c>
      <c r="E7853" s="13" t="n">
        <f aca="false">Q!$P$5/(Q!$P$5+Q!$P$6)</f>
        <v>0.728797972914861</v>
      </c>
      <c r="F7853" s="13" t="n">
        <f aca="false">Sens!$O$7853</f>
        <v>0.718066283041511</v>
      </c>
      <c r="G7853" s="13" t="n">
        <f aca="false">Sens!$G$7854/Sens!$G$7852</f>
        <v>0.723047066202847</v>
      </c>
      <c r="H7853" s="13" t="n">
        <f aca="false">Sens!$G$7853</f>
        <v>0.723047066202847</v>
      </c>
      <c r="I7853" s="13" t="n">
        <f aca="false">Sens!$G$7853</f>
        <v>0.723047066202847</v>
      </c>
      <c r="J7853" s="13" t="n">
        <f aca="false">Sens!$G$7853</f>
        <v>0.723047066202847</v>
      </c>
      <c r="K7853" s="13" t="n">
        <f aca="false">Sens!$G$7853</f>
        <v>0.723047066202847</v>
      </c>
      <c r="L7853" s="13" t="n">
        <f aca="false">Sens!$G$7853</f>
        <v>0.723047066202847</v>
      </c>
      <c r="M7853" s="13" t="n">
        <f aca="false">Sens!$G$7853</f>
        <v>0.723047066202847</v>
      </c>
      <c r="N7853" s="13" t="n">
        <f aca="false">Q!$N$5/(Q!$N$5+Q!$N$6)</f>
        <v>0.733030935041352</v>
      </c>
      <c r="O7853" s="13" t="n">
        <f aca="false">Q!$O$5/(Q!$O$5+Q!$O$6)</f>
        <v>0.718066283041511</v>
      </c>
      <c r="P7853" s="8" t="s">
        <v>684</v>
      </c>
    </row>
    <row r="7854" customFormat="false" ht="17.15" hidden="false" customHeight="false" outlineLevel="0" collapsed="false">
      <c r="A7854" s="1" t="s">
        <v>512</v>
      </c>
      <c r="B7854" s="8" t="s">
        <v>86</v>
      </c>
      <c r="C7854" s="38" t="n">
        <f aca="false">Q!$D$5</f>
        <v>387.497</v>
      </c>
      <c r="D7854" s="38" t="n">
        <f aca="false">Q!$E$5</f>
        <v>426.305</v>
      </c>
      <c r="E7854" s="38" t="n">
        <f aca="false">Q!$P$5</f>
        <v>220.32</v>
      </c>
      <c r="F7854" s="38" t="n">
        <f aca="false">Sens!$F$7852*Sens!$F$7853</f>
        <v>250.639773480586</v>
      </c>
      <c r="G7854" s="38" t="n">
        <f aca="false">Sens!$E$7854+Sens!$F$7854</f>
        <v>470.959773480586</v>
      </c>
      <c r="H7854" s="38" t="n">
        <f aca="false">Sens!$H$7852*Sens!$H$7853</f>
        <v>521.386990416437</v>
      </c>
      <c r="I7854" s="38" t="n">
        <f aca="false">Sens!$I$7852*Sens!$I$7853</f>
        <v>570.143862887555</v>
      </c>
      <c r="J7854" s="38" t="n">
        <f aca="false">Sens!$J$7852*Sens!$J$7853</f>
        <v>615.391435791933</v>
      </c>
      <c r="K7854" s="38" t="n">
        <f aca="false">Sens!$K$7852*Sens!$K$7853</f>
        <v>655.208227561543</v>
      </c>
      <c r="L7854" s="38" t="n">
        <f aca="false">Sens!$L$7852*Sens!$L$7853</f>
        <v>697.807739249767</v>
      </c>
      <c r="M7854" s="38" t="n">
        <f aca="false">Sens!$M$7852*Sens!$M$7853</f>
        <v>743.399328463592</v>
      </c>
      <c r="N7854" s="38" t="n">
        <f aca="false">Q!$N$5</f>
        <v>192.955</v>
      </c>
      <c r="O7854" s="38" t="n">
        <f aca="false">Q!$O$5</f>
        <v>233.35</v>
      </c>
      <c r="P7854" s="5" t="s">
        <v>685</v>
      </c>
    </row>
    <row r="7855" customFormat="false" ht="17.15" hidden="false" customHeight="false" outlineLevel="0" collapsed="false">
      <c r="A7855" s="1" t="s">
        <v>515</v>
      </c>
      <c r="B7855" s="8" t="s">
        <v>86</v>
      </c>
      <c r="C7855" s="38" t="n">
        <f aca="false">Q!$D$6</f>
        <v>142.906</v>
      </c>
      <c r="D7855" s="38" t="n">
        <f aca="false">Q!$E$6</f>
        <v>161.894</v>
      </c>
      <c r="E7855" s="38" t="n">
        <f aca="false">Q!$P$6</f>
        <v>81.986</v>
      </c>
      <c r="F7855" s="38" t="n">
        <f aca="false">Sens!$F$7852*(1-Sens!$F$7853)</f>
        <v>98.408468164951</v>
      </c>
      <c r="G7855" s="38" t="n">
        <f aca="false">Sens!$E$7855+Sens!$F$7855</f>
        <v>180.394468164951</v>
      </c>
      <c r="H7855" s="38" t="n">
        <f aca="false">Sens!$H$7852*(1-Sens!$H$7853)</f>
        <v>199.709899104949</v>
      </c>
      <c r="I7855" s="38" t="n">
        <f aca="false">Sens!$I$7852*(1-Sens!$I$7853)</f>
        <v>218.385528264976</v>
      </c>
      <c r="J7855" s="38" t="n">
        <f aca="false">Sens!$J$7852*(1-Sens!$J$7853)</f>
        <v>235.71696994951</v>
      </c>
      <c r="K7855" s="38" t="n">
        <f aca="false">Sens!$K$7852*(1-Sens!$K$7853)</f>
        <v>250.968227869545</v>
      </c>
      <c r="L7855" s="38" t="n">
        <f aca="false">Sens!$L$7852*(1-Sens!$L$7853)</f>
        <v>267.285367225822</v>
      </c>
      <c r="M7855" s="38" t="n">
        <f aca="false">Sens!$M$7852*(1-Sens!$M$7853)</f>
        <v>284.748579483295</v>
      </c>
      <c r="N7855" s="38" t="n">
        <f aca="false">Q!$N$6</f>
        <v>70.274</v>
      </c>
      <c r="O7855" s="38" t="n">
        <f aca="false">Q!$O$6</f>
        <v>91.62</v>
      </c>
      <c r="P7855" s="5" t="s">
        <v>686</v>
      </c>
    </row>
    <row r="7856" customFormat="false" ht="17.15" hidden="false" customHeight="false" outlineLevel="0" collapsed="false">
      <c r="A7856" s="5" t="s">
        <v>687</v>
      </c>
      <c r="B7856" s="0" t="s">
        <v>86</v>
      </c>
      <c r="C7856" s="38" t="n">
        <f aca="false">Sens!$C$7845*Sens!$C$7853</f>
        <v>41.0683128828457</v>
      </c>
      <c r="D7856" s="38" t="n">
        <f aca="false">Sens!$D$7845*Sens!$D$7853</f>
        <v>49.7441234599175</v>
      </c>
      <c r="E7856" s="38" t="n">
        <f aca="false">Sens!$E$7845*Sens!$E$7853</f>
        <v>27.0034224924414</v>
      </c>
      <c r="F7856" s="38" t="n">
        <f aca="false">Sens!$F$7845*Sens!$F$7853</f>
        <v>33.1439448330513</v>
      </c>
      <c r="G7856" s="38" t="n">
        <f aca="false">Sens!$G$7845*Sens!$G$7853</f>
        <v>60.164183844083</v>
      </c>
      <c r="H7856" s="38" t="n">
        <f aca="false">Sens!$H$7845*Sens!$H$7853</f>
        <v>72.2301766552629</v>
      </c>
      <c r="I7856" s="38" t="n">
        <f aca="false">Sens!$I$7845*Sens!$I$7853</f>
        <v>84.2950764463991</v>
      </c>
      <c r="J7856" s="38" t="n">
        <f aca="false">Sens!$J$7845*Sens!$J$7853</f>
        <v>95.5499047729386</v>
      </c>
      <c r="K7856" s="38" t="n">
        <f aca="false">Sens!$K$7845*Sens!$K$7853</f>
        <v>105.104895250232</v>
      </c>
      <c r="L7856" s="38" t="n">
        <f aca="false">Sens!$L$7845*Sens!$L$7853</f>
        <v>115.615384775256</v>
      </c>
      <c r="M7856" s="38" t="n">
        <f aca="false">Sens!$M$7845*Sens!$M$7853</f>
        <v>127.176923252781</v>
      </c>
      <c r="N7856" s="38" t="n">
        <f aca="false">Sens!$N$7845*Sens!$N$7853</f>
        <v>21.7087111412496</v>
      </c>
      <c r="O7856" s="38" t="n">
        <f aca="false">Sens!$O$7845*Sens!$O$7853</f>
        <v>28.0189463642798</v>
      </c>
      <c r="P7856" s="5" t="s">
        <v>688</v>
      </c>
    </row>
    <row r="7857" customFormat="false" ht="15" hidden="false" customHeight="false" outlineLevel="0" collapsed="false">
      <c r="A7857" s="5" t="s">
        <v>689</v>
      </c>
      <c r="B7857" s="0" t="s">
        <v>86</v>
      </c>
      <c r="C7857" s="38" t="n">
        <f aca="false">Sens!$C$7845-Sens!$C$7856</f>
        <v>15.1456871171543</v>
      </c>
      <c r="D7857" s="38" t="n">
        <f aca="false">Sens!$D$7845-Sens!$D$7856</f>
        <v>18.8908765400825</v>
      </c>
      <c r="E7857" s="38" t="n">
        <f aca="false">Sens!$E$7845-Sens!$E$7856</f>
        <v>10.0485775075586</v>
      </c>
      <c r="F7857" s="38" t="n">
        <f aca="false">Sens!$F$7845-Sens!$F$7856</f>
        <v>13.0132771613635</v>
      </c>
      <c r="G7857" s="38" t="n">
        <f aca="false">Sens!$G$7845-Sens!$G$7856</f>
        <v>23.0450381503318</v>
      </c>
      <c r="H7857" s="38" t="n">
        <f aca="false">Sens!$H$7845-Sens!$H$7856</f>
        <v>27.6667457326347</v>
      </c>
      <c r="I7857" s="38" t="n">
        <f aca="false">Sens!$I$7845-Sens!$I$7856</f>
        <v>32.2880346490971</v>
      </c>
      <c r="J7857" s="38" t="n">
        <f aca="false">Sens!$J$7845-Sens!$J$7856</f>
        <v>36.5990371690132</v>
      </c>
      <c r="K7857" s="38" t="n">
        <f aca="false">Sens!$K$7845-Sens!$K$7856</f>
        <v>40.2589408859145</v>
      </c>
      <c r="L7857" s="38" t="n">
        <f aca="false">Sens!$L$7845-Sens!$L$7856</f>
        <v>44.2848349745059</v>
      </c>
      <c r="M7857" s="38" t="n">
        <f aca="false">Sens!$M$7845-Sens!$M$7856</f>
        <v>48.7133184719565</v>
      </c>
      <c r="N7857" s="38" t="n">
        <f aca="false">Sens!$N$7845-Sens!$N$7856</f>
        <v>7.90628885875037</v>
      </c>
      <c r="O7857" s="38" t="n">
        <f aca="false">Sens!$O$7845-Sens!$O$7856</f>
        <v>11.0010536357202</v>
      </c>
    </row>
    <row r="7858" customFormat="false" ht="19.4" hidden="false" customHeight="false" outlineLevel="0" collapsed="false">
      <c r="A7858" s="31" t="s">
        <v>1296</v>
      </c>
    </row>
    <row r="7859" customFormat="false" ht="17.15" hidden="false" customHeight="false" outlineLevel="0" collapsed="false">
      <c r="A7859" s="6" t="s">
        <v>16</v>
      </c>
      <c r="B7859" s="6" t="s">
        <v>17</v>
      </c>
      <c r="C7859" s="20" t="s">
        <v>497</v>
      </c>
      <c r="D7859" s="20" t="s">
        <v>498</v>
      </c>
      <c r="E7859" s="20" t="s">
        <v>580</v>
      </c>
      <c r="F7859" s="20" t="s">
        <v>581</v>
      </c>
      <c r="G7859" s="20" t="s">
        <v>582</v>
      </c>
      <c r="H7859" s="20" t="s">
        <v>583</v>
      </c>
      <c r="I7859" s="20" t="s">
        <v>584</v>
      </c>
      <c r="J7859" s="20" t="s">
        <v>585</v>
      </c>
      <c r="K7859" s="20" t="s">
        <v>586</v>
      </c>
      <c r="L7859" s="20" t="s">
        <v>587</v>
      </c>
      <c r="M7859" s="20" t="s">
        <v>588</v>
      </c>
      <c r="N7859" s="20" t="s">
        <v>589</v>
      </c>
      <c r="O7859" s="20" t="s">
        <v>590</v>
      </c>
      <c r="P7859" s="6" t="s">
        <v>23</v>
      </c>
      <c r="R7859" s="20" t="n">
        <v>2023</v>
      </c>
      <c r="S7859" s="20" t="n">
        <v>2024</v>
      </c>
      <c r="T7859" s="20" t="n">
        <v>2025</v>
      </c>
      <c r="U7859" s="20" t="n">
        <v>2026</v>
      </c>
      <c r="V7859" s="20" t="n">
        <v>2027</v>
      </c>
      <c r="W7859" s="20" t="n">
        <v>2028</v>
      </c>
      <c r="X7859" s="20" t="n">
        <v>2029</v>
      </c>
      <c r="Y7859" s="20" t="n">
        <v>2030</v>
      </c>
      <c r="Z7859" s="20" t="n">
        <v>2031</v>
      </c>
      <c r="AA7859" s="20" t="n">
        <v>2032</v>
      </c>
    </row>
    <row r="7860" customFormat="false" ht="17.15" hidden="false" customHeight="false" outlineLevel="0" collapsed="false">
      <c r="A7860" s="1" t="s">
        <v>591</v>
      </c>
    </row>
    <row r="7861" customFormat="false" ht="17.15" hidden="false" customHeight="false" outlineLevel="0" collapsed="false">
      <c r="A7861" s="5" t="s">
        <v>592</v>
      </c>
      <c r="B7861" s="0" t="s">
        <v>144</v>
      </c>
      <c r="H7861" s="32" t="n">
        <f aca="false">pace_B</f>
        <v>3634.3</v>
      </c>
      <c r="I7861" s="32" t="n">
        <f aca="false">pace_B</f>
        <v>3634.3</v>
      </c>
      <c r="J7861" s="32" t="n">
        <f aca="false">pace_B</f>
        <v>3634.3</v>
      </c>
      <c r="K7861" s="32" t="n">
        <f aca="false">pace_B+(Sens!$J$7862*tg-pace_B)*1/3</f>
        <v>2570.86716666667</v>
      </c>
      <c r="L7861" s="32" t="n">
        <f aca="false">pace_B+(Sens!$J$7862*tg-pace_B)*2/3</f>
        <v>1507.43433333333</v>
      </c>
      <c r="M7861" s="32" t="n">
        <f aca="false">pace_B+(Sens!$J$7862*tg-pace_B)*3/3</f>
        <v>444.0015</v>
      </c>
      <c r="P7861" s="5" t="s">
        <v>593</v>
      </c>
    </row>
    <row r="7862" customFormat="false" ht="17.15" hidden="false" customHeight="false" outlineLevel="0" collapsed="false">
      <c r="A7862" s="15" t="s">
        <v>594</v>
      </c>
      <c r="B7862" s="14" t="s">
        <v>129</v>
      </c>
      <c r="C7862" s="33" t="n">
        <f aca="false">mw_ye24</f>
        <v>360</v>
      </c>
      <c r="D7862" s="33" t="n">
        <f aca="false">mw_ye25</f>
        <v>1440</v>
      </c>
      <c r="E7862" s="33" t="n">
        <f aca="false">mw_open</f>
        <v>2080</v>
      </c>
      <c r="F7862" s="33" t="n">
        <f aca="false">Sens!$E$7862+pace_B*0.5</f>
        <v>3897.15</v>
      </c>
      <c r="G7862" s="33" t="n">
        <f aca="false">Sens!$F$7862</f>
        <v>3897.15</v>
      </c>
      <c r="H7862" s="33" t="n">
        <f aca="false">Sens!$G$7862+Sens!$H$7861</f>
        <v>7531.45</v>
      </c>
      <c r="I7862" s="33" t="n">
        <f aca="false">Sens!$H$7862+Sens!$I$7861</f>
        <v>11165.75</v>
      </c>
      <c r="J7862" s="33" t="n">
        <f aca="false">Sens!$I$7862+Sens!$J$7861</f>
        <v>14800.05</v>
      </c>
      <c r="K7862" s="33" t="n">
        <f aca="false">Sens!$J$7862+Sens!$K$7861</f>
        <v>17370.9171666667</v>
      </c>
      <c r="L7862" s="33" t="n">
        <f aca="false">Sens!$K$7862+Sens!$L$7861</f>
        <v>18878.3515</v>
      </c>
      <c r="M7862" s="33" t="n">
        <f aca="false">Sens!$L$7862+Sens!$M$7861</f>
        <v>19322.353</v>
      </c>
      <c r="N7862" s="33" t="n">
        <f aca="false">(mw_ye24+mw_ye25)/2</f>
        <v>900</v>
      </c>
      <c r="O7862" s="33" t="n">
        <f aca="false">mw_ye25</f>
        <v>1440</v>
      </c>
      <c r="P7862" s="5" t="s">
        <v>595</v>
      </c>
    </row>
    <row r="7863" customFormat="false" ht="17.15" hidden="false" customHeight="false" outlineLevel="0" collapsed="false">
      <c r="A7863" s="5" t="s">
        <v>596</v>
      </c>
      <c r="B7863" s="0" t="s">
        <v>129</v>
      </c>
      <c r="C7863" s="32" t="n">
        <f aca="false">(mw_ye23+mw_ye24)/2</f>
        <v>240</v>
      </c>
      <c r="D7863" s="32" t="n">
        <f aca="false">(Sens!$C$7862+Sens!$D$7862)/2</f>
        <v>900</v>
      </c>
      <c r="E7863" s="32" t="n">
        <f aca="false">(Sens!$D$7862+Sens!$E$7862)/2</f>
        <v>1760</v>
      </c>
      <c r="F7863" s="32" t="n">
        <f aca="false">(Sens!$E$7862+Sens!$F$7862)/2</f>
        <v>2988.575</v>
      </c>
      <c r="G7863" s="32" t="n">
        <f aca="false">(Sens!$E$7863+Sens!$F$7863)/2</f>
        <v>2374.2875</v>
      </c>
      <c r="H7863" s="32" t="n">
        <f aca="false">(Sens!$G$7862+Sens!$H$7862)/2</f>
        <v>5714.3</v>
      </c>
      <c r="I7863" s="32" t="n">
        <f aca="false">(Sens!$H$7862+Sens!$I$7862)/2</f>
        <v>9348.6</v>
      </c>
      <c r="J7863" s="32" t="n">
        <f aca="false">(Sens!$I$7862+Sens!$J$7862)/2</f>
        <v>12982.9</v>
      </c>
      <c r="K7863" s="32" t="n">
        <f aca="false">(Sens!$J$7862+Sens!$K$7862)/2</f>
        <v>16085.4835833333</v>
      </c>
      <c r="L7863" s="32" t="n">
        <f aca="false">(Sens!$K$7862+Sens!$L$7862)/2</f>
        <v>18124.6343333333</v>
      </c>
      <c r="M7863" s="32" t="n">
        <f aca="false">(Sens!$L$7862+Sens!$M$7862)/2</f>
        <v>19100.35225</v>
      </c>
      <c r="N7863" s="32" t="n">
        <f aca="false">(Sens!$C$7862+Sens!$N$7862)/2</f>
        <v>630</v>
      </c>
      <c r="O7863" s="32" t="n">
        <f aca="false">(Sens!$N$7862+Sens!$O$7862)/2</f>
        <v>1170</v>
      </c>
    </row>
    <row r="7864" customFormat="false" ht="15" hidden="false" customHeight="false" outlineLevel="0" collapsed="false">
      <c r="A7864" s="5" t="s">
        <v>597</v>
      </c>
      <c r="B7864" s="5" t="s">
        <v>123</v>
      </c>
      <c r="C7864" s="34" t="n">
        <v>1</v>
      </c>
      <c r="D7864" s="34" t="n">
        <v>1</v>
      </c>
      <c r="E7864" s="34" t="n">
        <v>0.5</v>
      </c>
      <c r="F7864" s="34" t="n">
        <v>0.5</v>
      </c>
      <c r="G7864" s="34" t="n">
        <v>1</v>
      </c>
      <c r="H7864" s="34" t="n">
        <v>1</v>
      </c>
      <c r="I7864" s="34" t="n">
        <v>1</v>
      </c>
      <c r="J7864" s="34" t="n">
        <v>1</v>
      </c>
      <c r="K7864" s="34" t="n">
        <v>1</v>
      </c>
      <c r="L7864" s="34" t="n">
        <v>1</v>
      </c>
      <c r="M7864" s="34" t="n">
        <v>1</v>
      </c>
      <c r="N7864" s="34" t="n">
        <v>0.5</v>
      </c>
      <c r="O7864" s="34" t="n">
        <v>0.5</v>
      </c>
    </row>
    <row r="7865" customFormat="false" ht="17.15" hidden="false" customHeight="false" outlineLevel="0" collapsed="false">
      <c r="A7865" s="5" t="s">
        <v>598</v>
      </c>
      <c r="B7865" s="0" t="s">
        <v>129</v>
      </c>
      <c r="C7865" s="32" t="n">
        <f aca="false">Sens!$C$7862-mw_ye23</f>
        <v>240</v>
      </c>
      <c r="D7865" s="32" t="n">
        <f aca="false">Sens!$D$7862-Sens!$C$7862</f>
        <v>1080</v>
      </c>
      <c r="E7865" s="32" t="n">
        <f aca="false">Sens!$E$7862-Sens!$D$7862</f>
        <v>640</v>
      </c>
      <c r="F7865" s="32" t="n">
        <f aca="false">Sens!$F$7862-Sens!$E$7862</f>
        <v>1817.15</v>
      </c>
      <c r="G7865" s="32" t="n">
        <f aca="false">Sens!$E$7865+Sens!$F$7865</f>
        <v>2457.15</v>
      </c>
      <c r="H7865" s="32" t="n">
        <f aca="false">Sens!$H$7862-Sens!$G$7862</f>
        <v>3634.3</v>
      </c>
      <c r="I7865" s="32" t="n">
        <f aca="false">Sens!$I$7862-Sens!$H$7862</f>
        <v>3634.3</v>
      </c>
      <c r="J7865" s="32" t="n">
        <f aca="false">Sens!$J$7862-Sens!$I$7862</f>
        <v>3634.3</v>
      </c>
      <c r="K7865" s="32" t="n">
        <f aca="false">Sens!$K$7862-Sens!$J$7862</f>
        <v>2570.86716666667</v>
      </c>
      <c r="L7865" s="32" t="n">
        <f aca="false">Sens!$L$7862-Sens!$K$7862</f>
        <v>1507.43433333333</v>
      </c>
      <c r="M7865" s="32" t="n">
        <f aca="false">Sens!$M$7862-Sens!$L$7862</f>
        <v>444.001499999999</v>
      </c>
      <c r="N7865" s="32" t="n">
        <f aca="false">Sens!$N$7862-Sens!$C$7862</f>
        <v>540</v>
      </c>
      <c r="O7865" s="32" t="n">
        <f aca="false">Sens!$O$7862-Sens!$N$7862</f>
        <v>540</v>
      </c>
    </row>
    <row r="7866" customFormat="false" ht="17.15" hidden="false" customHeight="false" outlineLevel="0" collapsed="false">
      <c r="A7866" s="5" t="s">
        <v>599</v>
      </c>
      <c r="B7866" s="0" t="s">
        <v>129</v>
      </c>
      <c r="C7866" s="32" t="n">
        <f aca="false">Sens!$C$7865/ext_sh</f>
        <v>300</v>
      </c>
      <c r="D7866" s="32" t="n">
        <f aca="false">Sens!$D$7865/ext_sh</f>
        <v>1350</v>
      </c>
      <c r="E7866" s="32" t="n">
        <f aca="false">Sens!$E$7865/ext_sh</f>
        <v>800</v>
      </c>
      <c r="F7866" s="32" t="n">
        <f aca="false">Sens!$F$7865/ext_sh</f>
        <v>2271.4375</v>
      </c>
      <c r="G7866" s="32" t="n">
        <f aca="false">Sens!$G$7865/ext_sh</f>
        <v>3071.4375</v>
      </c>
      <c r="H7866" s="32" t="n">
        <f aca="false">Sens!$H$7865/ext_sh</f>
        <v>4542.875</v>
      </c>
      <c r="I7866" s="32" t="n">
        <f aca="false">Sens!$I$7865/ext_sh</f>
        <v>4542.875</v>
      </c>
      <c r="J7866" s="32" t="n">
        <f aca="false">Sens!$J$7865/ext_sh</f>
        <v>4542.875</v>
      </c>
      <c r="K7866" s="32" t="n">
        <f aca="false">Sens!$K$7865/ext_sh</f>
        <v>3213.58395833333</v>
      </c>
      <c r="L7866" s="32" t="n">
        <f aca="false">Sens!$L$7865/ext_sh</f>
        <v>1884.29291666667</v>
      </c>
      <c r="M7866" s="32" t="n">
        <f aca="false">Sens!$M$7865/ext_sh</f>
        <v>555.001874999998</v>
      </c>
      <c r="N7866" s="32" t="n">
        <f aca="false">Sens!$N$7865/ext_sh</f>
        <v>675</v>
      </c>
      <c r="O7866" s="32" t="n">
        <f aca="false">Sens!$O$7865/ext_sh</f>
        <v>675</v>
      </c>
      <c r="P7866" s="8" t="s">
        <v>600</v>
      </c>
      <c r="R7866" s="32" t="n">
        <f aca="false">mw_ye23/ext_sh</f>
        <v>150</v>
      </c>
      <c r="S7866" s="32" t="n">
        <f aca="false">Sens!$C$7866</f>
        <v>300</v>
      </c>
      <c r="T7866" s="32" t="n">
        <f aca="false">Sens!$D$7866</f>
        <v>1350</v>
      </c>
      <c r="U7866" s="32" t="n">
        <f aca="false">Sens!$G$7866</f>
        <v>3071.4375</v>
      </c>
      <c r="V7866" s="32" t="n">
        <f aca="false">Sens!$H$7866</f>
        <v>4542.875</v>
      </c>
      <c r="W7866" s="32" t="n">
        <f aca="false">Sens!$I$7866</f>
        <v>4542.875</v>
      </c>
      <c r="X7866" s="32" t="n">
        <f aca="false">Sens!$J$7866</f>
        <v>4542.875</v>
      </c>
      <c r="Y7866" s="32" t="n">
        <f aca="false">Sens!$K$7866</f>
        <v>3213.58395833333</v>
      </c>
      <c r="Z7866" s="32" t="n">
        <f aca="false">Sens!$L$7866</f>
        <v>1884.29291666667</v>
      </c>
      <c r="AA7866" s="32" t="n">
        <f aca="false">Sens!$M$7866</f>
        <v>555.001874999998</v>
      </c>
    </row>
    <row r="7867" customFormat="false" ht="17.15" hidden="false" customHeight="false" outlineLevel="0" collapsed="false">
      <c r="A7867" s="1" t="s">
        <v>601</v>
      </c>
    </row>
    <row r="7868" customFormat="false" ht="17.15" hidden="false" customHeight="false" outlineLevel="0" collapsed="false">
      <c r="A7868" s="0" t="s">
        <v>602</v>
      </c>
      <c r="B7868" s="0" t="s">
        <v>52</v>
      </c>
      <c r="F7868" s="35" t="n">
        <f aca="false">na_vr26</f>
        <v>0</v>
      </c>
      <c r="G7868" s="35" t="n">
        <f aca="false">na_vr26</f>
        <v>0</v>
      </c>
      <c r="H7868" s="35" t="n">
        <f aca="false">na_vr27</f>
        <v>0.5</v>
      </c>
      <c r="I7868" s="35" t="n">
        <f aca="false">na_vr28</f>
        <v>1</v>
      </c>
      <c r="J7868" s="35" t="n">
        <f aca="false">na_vr28</f>
        <v>1</v>
      </c>
      <c r="K7868" s="35" t="n">
        <f aca="false">na_vr28</f>
        <v>1</v>
      </c>
      <c r="L7868" s="35" t="n">
        <f aca="false">na_vr28</f>
        <v>1</v>
      </c>
      <c r="M7868" s="35" t="n">
        <f aca="false">na_vr28</f>
        <v>1</v>
      </c>
    </row>
    <row r="7869" customFormat="false" ht="17.15" hidden="false" customHeight="false" outlineLevel="0" collapsed="false">
      <c r="A7869" s="5" t="s">
        <v>603</v>
      </c>
      <c r="B7869" s="0" t="s">
        <v>173</v>
      </c>
      <c r="F7869" s="36" t="n">
        <f aca="false">cust_sh*tk_he_gb300*cf_chip+(1-cust_sh)*((1-Sens!$F$7868)*tk_he_gb300+Sens!$F$7868*tk_he_vr200)</f>
        <v>10.8864110021101</v>
      </c>
      <c r="G7869" s="36" t="n">
        <f aca="false">cust_sh*tk_he_gb300*cf_chip+(1-cust_sh)*((1-Sens!$G$7868)*tk_he_gb300+Sens!$G$7868*tk_he_vr200)</f>
        <v>10.8864110021101</v>
      </c>
      <c r="H7869" s="36" t="n">
        <f aca="false">cust_sh*tk_he_gb300*cf_chip+(1-cust_sh)*((1-Sens!$H$7868)*tk_he_gb300+Sens!$H$7868*tk_he_vr200)</f>
        <v>11.2211760027286</v>
      </c>
      <c r="I7869" s="36" t="n">
        <f aca="false">cust_sh*tk_he_gb300*cf_chip+(1-cust_sh)*((1-Sens!$I$7868)*tk_he_gb300+Sens!$I$7868*tk_he_vr200)</f>
        <v>11.5559410033471</v>
      </c>
      <c r="J7869" s="36" t="n">
        <f aca="false">cust_sh*tk_he_gb300*cf_chip+(1-cust_sh)*((1-Sens!$J$7868)*tk_he_gb300+Sens!$J$7868*tk_he_vr200)</f>
        <v>11.5559410033471</v>
      </c>
      <c r="K7869" s="36" t="n">
        <f aca="false">cust_sh*tk_he_gb300*cf_chip+(1-cust_sh)*((1-Sens!$K$7868)*tk_he_gb300+Sens!$K$7868*tk_he_vr200)</f>
        <v>11.5559410033471</v>
      </c>
      <c r="L7869" s="36" t="n">
        <f aca="false">cust_sh*tk_he_gb300*cf_chip+(1-cust_sh)*((1-Sens!$L$7868)*tk_he_gb300+Sens!$L$7868*tk_he_vr200)</f>
        <v>11.5559410033471</v>
      </c>
      <c r="M7869" s="36" t="n">
        <f aca="false">cust_sh*tk_he_gb300*cf_chip+(1-cust_sh)*((1-Sens!$M$7868)*tk_he_gb300+Sens!$M$7868*tk_he_vr200)</f>
        <v>11.5559410033471</v>
      </c>
    </row>
    <row r="7870" customFormat="false" ht="17.15" hidden="false" customHeight="false" outlineLevel="0" collapsed="false">
      <c r="A7870" s="5" t="s">
        <v>604</v>
      </c>
      <c r="B7870" s="0" t="s">
        <v>173</v>
      </c>
      <c r="F7870" s="36" t="n">
        <f aca="false">cust_sh*tk_ox_gb300+(1-cust_sh)*((1-Sens!$F$7868)*tk_ox_gb300+Sens!$F$7868*tk_ox_vr200)</f>
        <v>1.98263481314457</v>
      </c>
      <c r="G7870" s="36" t="n">
        <f aca="false">cust_sh*tk_ox_gb300+(1-cust_sh)*((1-Sens!$G$7868)*tk_ox_gb300+Sens!$G$7868*tk_ox_vr200)</f>
        <v>1.98263481314457</v>
      </c>
      <c r="H7870" s="36" t="n">
        <f aca="false">cust_sh*tk_ox_gb300+(1-cust_sh)*((1-Sens!$H$7868)*tk_ox_gb300+Sens!$H$7868*tk_ox_vr200)</f>
        <v>2.01034999693694</v>
      </c>
      <c r="I7870" s="36" t="n">
        <f aca="false">cust_sh*tk_ox_gb300+(1-cust_sh)*((1-Sens!$I$7868)*tk_ox_gb300+Sens!$I$7868*tk_ox_vr200)</f>
        <v>2.0380651807293</v>
      </c>
      <c r="J7870" s="36" t="n">
        <f aca="false">cust_sh*tk_ox_gb300+(1-cust_sh)*((1-Sens!$J$7868)*tk_ox_gb300+Sens!$J$7868*tk_ox_vr200)</f>
        <v>2.0380651807293</v>
      </c>
      <c r="K7870" s="36" t="n">
        <f aca="false">cust_sh*tk_ox_gb300+(1-cust_sh)*((1-Sens!$K$7868)*tk_ox_gb300+Sens!$K$7868*tk_ox_vr200)</f>
        <v>2.0380651807293</v>
      </c>
      <c r="L7870" s="36" t="n">
        <f aca="false">cust_sh*tk_ox_gb300+(1-cust_sh)*((1-Sens!$L$7868)*tk_ox_gb300+Sens!$L$7868*tk_ox_vr200)</f>
        <v>2.0380651807293</v>
      </c>
      <c r="M7870" s="36" t="n">
        <f aca="false">cust_sh*tk_ox_gb300+(1-cust_sh)*((1-Sens!$M$7868)*tk_ox_gb300+Sens!$M$7868*tk_ox_vr200)</f>
        <v>2.0380651807293</v>
      </c>
    </row>
    <row r="7871" customFormat="false" ht="17.15" hidden="false" customHeight="false" outlineLevel="0" collapsed="false">
      <c r="A7871" s="5" t="s">
        <v>605</v>
      </c>
      <c r="B7871" s="0" t="s">
        <v>192</v>
      </c>
      <c r="F7871" s="36" t="n">
        <f aca="false">cust_sh*tk_cx_gb300*cf_cx+(1-cust_sh)*((1-Sens!$F$7868)*tk_cx_gb300+Sens!$F$7868*tk_cx_vr200)</f>
        <v>32.237224</v>
      </c>
      <c r="G7871" s="36" t="n">
        <f aca="false">cust_sh*tk_cx_gb300*cf_cx+(1-cust_sh)*((1-Sens!$G$7868)*tk_cx_gb300+Sens!$G$7868*tk_cx_vr200)</f>
        <v>32.237224</v>
      </c>
      <c r="H7871" s="36" t="n">
        <f aca="false">cust_sh*tk_cx_gb300*cf_cx+(1-cust_sh)*((1-Sens!$H$7868)*tk_cx_gb300+Sens!$H$7868*tk_cx_vr200)</f>
        <v>33.574506</v>
      </c>
      <c r="I7871" s="36" t="n">
        <f aca="false">cust_sh*tk_cx_gb300*cf_cx+(1-cust_sh)*((1-Sens!$I$7868)*tk_cx_gb300+Sens!$I$7868*tk_cx_vr200)</f>
        <v>34.911788</v>
      </c>
      <c r="J7871" s="36" t="n">
        <f aca="false">cust_sh*tk_cx_gb300*cf_cx+(1-cust_sh)*((1-Sens!$J$7868)*tk_cx_gb300+Sens!$J$7868*tk_cx_vr200)</f>
        <v>34.911788</v>
      </c>
      <c r="K7871" s="36" t="n">
        <f aca="false">cust_sh*tk_cx_gb300*cf_cx+(1-cust_sh)*((1-Sens!$K$7868)*tk_cx_gb300+Sens!$K$7868*tk_cx_vr200)</f>
        <v>34.911788</v>
      </c>
      <c r="L7871" s="36" t="n">
        <f aca="false">cust_sh*tk_cx_gb300*cf_cx+(1-cust_sh)*((1-Sens!$L$7868)*tk_cx_gb300+Sens!$L$7868*tk_cx_vr200)</f>
        <v>34.911788</v>
      </c>
      <c r="M7871" s="36" t="n">
        <f aca="false">cust_sh*tk_cx_gb300*cf_cx+(1-cust_sh)*((1-Sens!$M$7868)*tk_cx_gb300+Sens!$M$7868*tk_cx_vr200)</f>
        <v>34.911788</v>
      </c>
    </row>
    <row r="7872" customFormat="false" ht="17.15" hidden="false" customHeight="false" outlineLevel="0" collapsed="false">
      <c r="A7872" s="5" t="s">
        <v>606</v>
      </c>
      <c r="B7872" s="0" t="s">
        <v>129</v>
      </c>
      <c r="F7872" s="32" t="n">
        <f aca="false">Sens!$F$7862-mw_open</f>
        <v>1817.15</v>
      </c>
      <c r="G7872" s="32" t="n">
        <f aca="false">Sens!$F$7872</f>
        <v>1817.15</v>
      </c>
      <c r="H7872" s="32" t="n">
        <f aca="false">Sens!$H$7862-mw_open</f>
        <v>5451.45</v>
      </c>
      <c r="I7872" s="32" t="n">
        <f aca="false">Sens!$I$7862-mw_open</f>
        <v>9085.75</v>
      </c>
      <c r="J7872" s="32" t="n">
        <f aca="false">Sens!$J$7862-mw_open</f>
        <v>12720.05</v>
      </c>
      <c r="K7872" s="32" t="n">
        <f aca="false">Sens!$K$7862-mw_open</f>
        <v>15290.9171666667</v>
      </c>
      <c r="L7872" s="32" t="n">
        <f aca="false">Sens!$L$7862-mw_open</f>
        <v>16798.3515</v>
      </c>
      <c r="M7872" s="32" t="n">
        <f aca="false">Sens!$M$7862-mw_open</f>
        <v>17242.353</v>
      </c>
    </row>
    <row r="7873" customFormat="false" ht="17.15" hidden="false" customHeight="false" outlineLevel="0" collapsed="false">
      <c r="A7873" s="0" t="s">
        <v>607</v>
      </c>
      <c r="B7873" s="0" t="s">
        <v>608</v>
      </c>
      <c r="F7873" s="32" t="n">
        <f aca="false">Sens!$F$7865*Sens!$F$7869</f>
        <v>19782.2417524844</v>
      </c>
      <c r="G7873" s="32" t="n">
        <f aca="false">Sens!$F$7873</f>
        <v>19782.2417524844</v>
      </c>
      <c r="H7873" s="32" t="n">
        <f aca="false">Sens!$G$7873+Sens!$H$7865*Sens!$H$7869</f>
        <v>60563.3616992009</v>
      </c>
      <c r="I7873" s="32" t="n">
        <f aca="false">Sens!$H$7873+Sens!$I$7865*Sens!$I$7869</f>
        <v>102561.118087665</v>
      </c>
      <c r="J7873" s="32" t="n">
        <f aca="false">Sens!$I$7873+Sens!$J$7865*Sens!$J$7869</f>
        <v>144558.87447613</v>
      </c>
      <c r="K7873" s="32" t="n">
        <f aca="false">Sens!$J$7873+Sens!$K$7865*Sens!$K$7869</f>
        <v>174267.663781572</v>
      </c>
      <c r="L7873" s="32" t="n">
        <f aca="false">Sens!$K$7873+Sens!$L$7865*Sens!$L$7869</f>
        <v>191687.486003992</v>
      </c>
      <c r="M7873" s="32" t="n">
        <f aca="false">Sens!$L$7873+Sens!$M$7865*Sens!$M$7869</f>
        <v>196818.341143389</v>
      </c>
    </row>
    <row r="7874" customFormat="false" ht="17.15" hidden="false" customHeight="false" outlineLevel="0" collapsed="false">
      <c r="A7874" s="0" t="s">
        <v>609</v>
      </c>
      <c r="B7874" s="0" t="s">
        <v>608</v>
      </c>
      <c r="F7874" s="32" t="n">
        <f aca="false">Sens!$F$7865*Sens!$F$7870</f>
        <v>3602.74485070566</v>
      </c>
      <c r="G7874" s="32" t="n">
        <f aca="false">Sens!$F$7874</f>
        <v>3602.74485070566</v>
      </c>
      <c r="H7874" s="32" t="n">
        <f aca="false">Sens!$G$7874+Sens!$H$7865*Sens!$H$7870</f>
        <v>10908.9598445736</v>
      </c>
      <c r="I7874" s="32" t="n">
        <f aca="false">Sens!$H$7874+Sens!$I$7865*Sens!$I$7870</f>
        <v>18315.9001308981</v>
      </c>
      <c r="J7874" s="32" t="n">
        <f aca="false">Sens!$I$7874+Sens!$J$7865*Sens!$J$7870</f>
        <v>25722.8404172225</v>
      </c>
      <c r="K7874" s="32" t="n">
        <f aca="false">Sens!$J$7874+Sens!$K$7865*Sens!$K$7870</f>
        <v>30962.4352738861</v>
      </c>
      <c r="L7874" s="32" t="n">
        <f aca="false">Sens!$K$7874+Sens!$L$7865*Sens!$L$7870</f>
        <v>34034.6847008886</v>
      </c>
      <c r="M7874" s="32" t="n">
        <f aca="false">Sens!$L$7874+Sens!$M$7865*Sens!$M$7870</f>
        <v>34939.5886982302</v>
      </c>
    </row>
    <row r="7875" customFormat="false" ht="17.15" hidden="false" customHeight="false" outlineLevel="0" collapsed="false">
      <c r="A7875" s="5" t="s">
        <v>610</v>
      </c>
      <c r="B7875" s="0" t="s">
        <v>173</v>
      </c>
      <c r="F7875" s="36" t="n">
        <f aca="false">IF(Sens!$F$7872&gt;0,Sens!$F$7873/Sens!$F$7872,Sens!$F$7869)</f>
        <v>10.8864110021101</v>
      </c>
      <c r="G7875" s="36" t="n">
        <f aca="false">IF(Sens!$G$7872&gt;0,Sens!$G$7873/Sens!$G$7872,Sens!$G$7869)</f>
        <v>10.8864110021101</v>
      </c>
      <c r="H7875" s="36" t="n">
        <f aca="false">IF(Sens!$H$7872&gt;0,Sens!$H$7873/Sens!$H$7872,Sens!$H$7869)</f>
        <v>11.1095876691891</v>
      </c>
      <c r="I7875" s="36" t="n">
        <f aca="false">IF(Sens!$I$7872&gt;0,Sens!$I$7873/Sens!$I$7872,Sens!$I$7869)</f>
        <v>11.2881290028523</v>
      </c>
      <c r="J7875" s="36" t="n">
        <f aca="false">IF(Sens!$J$7872&gt;0,Sens!$J$7873/Sens!$J$7872,Sens!$J$7869)</f>
        <v>11.3646467172794</v>
      </c>
      <c r="K7875" s="36" t="n">
        <f aca="false">IF(Sens!$K$7872&gt;0,Sens!$K$7873/Sens!$K$7872,Sens!$K$7869)</f>
        <v>11.3968090914432</v>
      </c>
      <c r="L7875" s="36" t="n">
        <f aca="false">IF(Sens!$L$7872&gt;0,Sens!$L$7873/Sens!$L$7872,Sens!$L$7869)</f>
        <v>11.4110891181192</v>
      </c>
      <c r="M7875" s="36" t="n">
        <f aca="false">IF(Sens!$M$7872&gt;0,Sens!$M$7873/Sens!$M$7872,Sens!$M$7869)</f>
        <v>11.4148191458201</v>
      </c>
    </row>
    <row r="7876" customFormat="false" ht="17.15" hidden="false" customHeight="false" outlineLevel="0" collapsed="false">
      <c r="A7876" s="5" t="s">
        <v>611</v>
      </c>
      <c r="B7876" s="0" t="s">
        <v>173</v>
      </c>
      <c r="F7876" s="36" t="n">
        <f aca="false">IF(Sens!$F$7872&gt;0,Sens!$F$7874/Sens!$F$7872,Sens!$F$7870)</f>
        <v>1.98263481314457</v>
      </c>
      <c r="G7876" s="36" t="n">
        <f aca="false">IF(Sens!$G$7872&gt;0,Sens!$G$7874/Sens!$G$7872,Sens!$G$7870)</f>
        <v>1.98263481314457</v>
      </c>
      <c r="H7876" s="36" t="n">
        <f aca="false">IF(Sens!$H$7872&gt;0,Sens!$H$7874/Sens!$H$7872,Sens!$H$7870)</f>
        <v>2.00111160233948</v>
      </c>
      <c r="I7876" s="36" t="n">
        <f aca="false">IF(Sens!$I$7872&gt;0,Sens!$I$7874/Sens!$I$7872,Sens!$I$7870)</f>
        <v>2.01589303369541</v>
      </c>
      <c r="J7876" s="36" t="n">
        <f aca="false">IF(Sens!$J$7872&gt;0,Sens!$J$7874/Sens!$J$7872,Sens!$J$7870)</f>
        <v>2.02222793284795</v>
      </c>
      <c r="K7876" s="36" t="n">
        <f aca="false">IF(Sens!$K$7872&gt;0,Sens!$K$7874/Sens!$K$7872,Sens!$K$7870)</f>
        <v>2.02489065478573</v>
      </c>
      <c r="L7876" s="36" t="n">
        <f aca="false">IF(Sens!$L$7872&gt;0,Sens!$L$7874/Sens!$L$7872,Sens!$L$7870)</f>
        <v>2.0260728977417</v>
      </c>
      <c r="M7876" s="36" t="n">
        <f aca="false">IF(Sens!$M$7872&gt;0,Sens!$M$7874/Sens!$M$7872,Sens!$M$7870)</f>
        <v>2.02638170661685</v>
      </c>
    </row>
    <row r="7877" customFormat="false" ht="17.15" hidden="false" customHeight="false" outlineLevel="0" collapsed="false">
      <c r="A7877" s="15" t="s">
        <v>612</v>
      </c>
      <c r="B7877" s="14" t="s">
        <v>173</v>
      </c>
      <c r="C7877" s="14"/>
      <c r="D7877" s="14"/>
      <c r="E7877" s="14"/>
      <c r="F7877" s="37" t="n">
        <f aca="false">Sens!$F$7875*k_B</f>
        <v>10.7987645808025</v>
      </c>
      <c r="G7877" s="37" t="n">
        <f aca="false">Sens!$G$7875*k_B</f>
        <v>10.7987645808025</v>
      </c>
      <c r="H7877" s="37" t="n">
        <f aca="false">Sens!$H$7875*k_B</f>
        <v>11.0201444540452</v>
      </c>
      <c r="I7877" s="37" t="n">
        <f aca="false">Sens!$I$7875*k_B</f>
        <v>11.1972483526393</v>
      </c>
      <c r="J7877" s="37" t="n">
        <f aca="false">Sens!$J$7875*k_B</f>
        <v>11.2731500234653</v>
      </c>
      <c r="K7877" s="37" t="n">
        <f aca="false">Sens!$K$7875*k_B</f>
        <v>11.3050534585724</v>
      </c>
      <c r="L7877" s="37" t="n">
        <f aca="false">Sens!$L$7875*k_B</f>
        <v>11.3192185168503</v>
      </c>
      <c r="M7877" s="37" t="n">
        <f aca="false">Sens!$M$7875*k_B</f>
        <v>11.3229185141234</v>
      </c>
      <c r="N7877" s="14"/>
      <c r="O7877" s="14"/>
      <c r="P7877" s="5" t="s">
        <v>613</v>
      </c>
    </row>
    <row r="7878" customFormat="false" ht="17.15" hidden="false" customHeight="false" outlineLevel="0" collapsed="false">
      <c r="A7878" s="5" t="s">
        <v>614</v>
      </c>
      <c r="B7878" s="0" t="s">
        <v>129</v>
      </c>
      <c r="F7878" s="32" t="n">
        <f aca="false">Sens!$F$7872/2</f>
        <v>908.575</v>
      </c>
      <c r="H7878" s="32" t="n">
        <f aca="false">(Sens!$G$7872+Sens!$H$7872)/2</f>
        <v>3634.3</v>
      </c>
      <c r="I7878" s="32" t="n">
        <f aca="false">(Sens!$H$7872+Sens!$I$7872)/2</f>
        <v>7268.6</v>
      </c>
      <c r="J7878" s="32" t="n">
        <f aca="false">(Sens!$I$7872+Sens!$J$7872)/2</f>
        <v>10902.9</v>
      </c>
      <c r="K7878" s="32" t="n">
        <f aca="false">(Sens!$J$7872+Sens!$K$7872)/2</f>
        <v>14005.4835833333</v>
      </c>
      <c r="L7878" s="32" t="n">
        <f aca="false">(Sens!$K$7872+Sens!$L$7872)/2</f>
        <v>16044.6343333333</v>
      </c>
      <c r="M7878" s="32" t="n">
        <f aca="false">(Sens!$L$7872+Sens!$M$7872)/2</f>
        <v>17020.35225</v>
      </c>
    </row>
    <row r="7879" customFormat="false" ht="17.15" hidden="false" customHeight="false" outlineLevel="0" collapsed="false">
      <c r="A7879" s="1" t="s">
        <v>615</v>
      </c>
    </row>
    <row r="7880" customFormat="false" ht="17.15" hidden="false" customHeight="false" outlineLevel="0" collapsed="false">
      <c r="A7880" s="1" t="s">
        <v>616</v>
      </c>
      <c r="B7880" s="8" t="s">
        <v>86</v>
      </c>
      <c r="C7880" s="38" t="n">
        <f aca="false">Sens!$C$7863*rpm_open*Sens!$C$7864/1000</f>
        <v>2.32100535697364</v>
      </c>
      <c r="D7880" s="38" t="n">
        <f aca="false">Sens!$D$7863*rpm_open*Sens!$D$7864/1000</f>
        <v>8.70377008865116</v>
      </c>
      <c r="E7880" s="38" t="n">
        <f aca="false">Sens!$E$7863*rpm_open*Sens!$E$7864/1000</f>
        <v>8.51035297557002</v>
      </c>
      <c r="F7880" s="38" t="n">
        <f aca="false">(mw_open*rpm_open+Sens!$F$7878*Sens!$F$7877)*Sens!$F$7864/1000</f>
        <v>14.9634336447205</v>
      </c>
      <c r="G7880" s="38" t="n">
        <f aca="false">Sens!$E$7880+Sens!$F$7880</f>
        <v>23.4737866202905</v>
      </c>
      <c r="H7880" s="38" t="n">
        <f aca="false">(mw_open*rpm_open+Sens!$H$7878*Sens!$H$7877)/1000</f>
        <v>60.1658907497746</v>
      </c>
      <c r="I7880" s="38" t="n">
        <f aca="false">(mw_open*rpm_open+Sens!$I$7878*Sens!$I$7877)/1000</f>
        <v>101.503699136432</v>
      </c>
      <c r="J7880" s="38" t="n">
        <f aca="false">(mw_open*rpm_open+Sens!$J$7878*Sens!$J$7877)/1000</f>
        <v>143.025407151278</v>
      </c>
      <c r="K7880" s="38" t="n">
        <f aca="false">(mw_open*rpm_open+Sens!$K$7878*Sens!$K$7877)/1000</f>
        <v>178.44812038318</v>
      </c>
      <c r="L7880" s="38" t="n">
        <f aca="false">(mw_open*rpm_open+Sens!$L$7878*Sens!$L$7877)/1000</f>
        <v>201.728101802396</v>
      </c>
      <c r="M7880" s="38" t="n">
        <f aca="false">(mw_open*rpm_open+Sens!$M$7878*Sens!$M$7877)/1000</f>
        <v>212.835441368865</v>
      </c>
      <c r="N7880" s="38" t="n">
        <f aca="false">Sens!$N$7863*rpm_open*Sens!$N$7864/1000</f>
        <v>3.04631953102791</v>
      </c>
      <c r="O7880" s="38" t="n">
        <f aca="false">Sens!$O$7863*rpm_open*Sens!$O$7864/1000</f>
        <v>5.65745055762326</v>
      </c>
      <c r="P7880" s="5" t="s">
        <v>617</v>
      </c>
    </row>
    <row r="7881" customFormat="false" ht="17.15" hidden="false" customHeight="false" outlineLevel="0" collapsed="false">
      <c r="A7881" s="5" t="s">
        <v>618</v>
      </c>
      <c r="B7881" s="0" t="s">
        <v>173</v>
      </c>
      <c r="C7881" s="36" t="n">
        <f aca="false">Sens!$C$7880*1000/(Sens!$C$7863*Sens!$C$7864)</f>
        <v>9.67085565405685</v>
      </c>
      <c r="D7881" s="36" t="n">
        <f aca="false">Sens!$D$7880*1000/(Sens!$D$7863*Sens!$D$7864)</f>
        <v>9.67085565405685</v>
      </c>
      <c r="E7881" s="36" t="n">
        <f aca="false">Sens!$E$7880*1000/(Sens!$E$7863*Sens!$E$7864)</f>
        <v>9.67085565405685</v>
      </c>
      <c r="F7881" s="36" t="n">
        <f aca="false">Sens!$F$7880*1000/(Sens!$F$7863*Sens!$F$7864)</f>
        <v>10.0137581588017</v>
      </c>
      <c r="G7881" s="36" t="n">
        <f aca="false">Sens!$G$7880*1000/(Sens!$G$7863*Sens!$G$7864)</f>
        <v>9.88666562928478</v>
      </c>
      <c r="H7881" s="36" t="n">
        <f aca="false">Sens!$H$7880*1000/(Sens!$H$7863*Sens!$H$7864)</f>
        <v>10.5290045586992</v>
      </c>
      <c r="I7881" s="36" t="n">
        <f aca="false">Sens!$I$7880*1000/(Sens!$I$7863*Sens!$I$7864)</f>
        <v>10.8576363451674</v>
      </c>
      <c r="J7881" s="36" t="n">
        <f aca="false">Sens!$J$7880*1000/(Sens!$J$7863*Sens!$J$7864)</f>
        <v>11.0164452588619</v>
      </c>
      <c r="K7881" s="36" t="n">
        <f aca="false">Sens!$K$7880*1000/(Sens!$K$7863*Sens!$K$7864)</f>
        <v>11.0937367508227</v>
      </c>
      <c r="L7881" s="36" t="n">
        <f aca="false">Sens!$L$7880*1000/(Sens!$L$7863*Sens!$L$7864)</f>
        <v>11.1300508519168</v>
      </c>
      <c r="M7881" s="36" t="n">
        <f aca="false">Sens!$M$7880*1000/(Sens!$M$7863*Sens!$M$7864)</f>
        <v>11.1430113216297</v>
      </c>
      <c r="N7881" s="36" t="n">
        <f aca="false">Sens!$N$7880*1000/(Sens!$N$7863*Sens!$N$7864)</f>
        <v>9.67085565405685</v>
      </c>
      <c r="O7881" s="36" t="n">
        <f aca="false">Sens!$O$7880*1000/(Sens!$O$7863*Sens!$O$7864)</f>
        <v>9.67085565405685</v>
      </c>
    </row>
    <row r="7882" customFormat="false" ht="17.15" hidden="false" customHeight="false" outlineLevel="0" collapsed="false">
      <c r="A7882" s="0" t="s">
        <v>619</v>
      </c>
      <c r="B7882" s="0" t="s">
        <v>86</v>
      </c>
      <c r="C7882" s="38" t="n">
        <f aca="false">Sens!$C$7863/ext_sh*(ox_open+rent_mw)*Sens!$C$7864/1000</f>
        <v>0.642569210675032</v>
      </c>
      <c r="D7882" s="38" t="n">
        <f aca="false">Sens!$D$7863/ext_sh*(ox_open+rent_mw)*Sens!$D$7864/1000</f>
        <v>2.40963454003137</v>
      </c>
      <c r="E7882" s="38" t="n">
        <f aca="false">Sens!$E$7863/ext_sh*(ox_open+rent_mw)*Sens!$E$7864/1000</f>
        <v>2.35608710580845</v>
      </c>
      <c r="F7882" s="38" t="n">
        <f aca="false">((mw_open*ox_open+Sens!$F$7878*Sens!$F$7876)/ext_sh+Sens!$F$7863/ext_sh*rent_mw)*Sens!$F$7864/1000</f>
        <v>4.05421991106232</v>
      </c>
      <c r="G7882" s="38" t="n">
        <f aca="false">Sens!$E$7882+Sens!$F$7882</f>
        <v>6.41030701687077</v>
      </c>
      <c r="H7882" s="38" t="n">
        <f aca="false">((mw_open*ox_open+Sens!$H$7878*Sens!$H$7876)/ext_sh+Sens!$H$7863/ext_sh*rent_mw)*Sens!$H$7864/1000</f>
        <v>15.8108975546616</v>
      </c>
      <c r="I7882" s="38" t="n">
        <f aca="false">((mw_open*ox_open+Sens!$I$7878*Sens!$I$7876)/ext_sh+Sens!$I$7863/ext_sh*rent_mw)*Sens!$I$7864/1000</f>
        <v>26.1871623400817</v>
      </c>
      <c r="J7882" s="38" t="n">
        <f aca="false">((mw_open*ox_open+Sens!$J$7878*Sens!$J$7876)/ext_sh+Sens!$J$7863/ext_sh*rent_mw)*Sens!$J$7864/1000</f>
        <v>36.5826128954935</v>
      </c>
      <c r="K7882" s="38" t="n">
        <f aca="false">((mw_open*ox_open+Sens!$K$7878*Sens!$K$7876)/ext_sh+Sens!$K$7863/ext_sh*rent_mw)*Sens!$K$7864/1000</f>
        <v>45.4546361137628</v>
      </c>
      <c r="L7882" s="38" t="n">
        <f aca="false">((mw_open*ox_open+Sens!$L$7878*Sens!$L$7876)/ext_sh+Sens!$L$7863/ext_sh*rent_mw)*Sens!$L$7864/1000</f>
        <v>51.2855695554452</v>
      </c>
      <c r="M7882" s="38" t="n">
        <f aca="false">((mw_open*ox_open+Sens!$M$7878*Sens!$M$7876)/ext_sh+Sens!$M$7863/ext_sh*rent_mw)*Sens!$M$7864/1000</f>
        <v>54.0722927838398</v>
      </c>
      <c r="N7882" s="38" t="n">
        <f aca="false">Sens!$N$7863/ext_sh*(ox_open+rent_mw)*Sens!$N$7864/1000</f>
        <v>0.84337208901098</v>
      </c>
      <c r="O7882" s="38" t="n">
        <f aca="false">Sens!$O$7863/ext_sh*(ox_open+rent_mw)*Sens!$O$7864/1000</f>
        <v>1.56626245102039</v>
      </c>
    </row>
    <row r="7883" customFormat="false" ht="17.15" hidden="false" customHeight="false" outlineLevel="0" collapsed="false">
      <c r="A7883" s="0" t="s">
        <v>620</v>
      </c>
      <c r="B7883" s="0" t="s">
        <v>86</v>
      </c>
      <c r="C7883" s="38" t="n">
        <f aca="false">Q!$D$7</f>
        <v>107.556</v>
      </c>
      <c r="D7883" s="38" t="n">
        <f aca="false">Q!$E$7</f>
        <v>128.725</v>
      </c>
      <c r="E7883" s="38" t="n">
        <f aca="false">Q!$P$7</f>
        <v>79.819</v>
      </c>
      <c r="N7883" s="38" t="n">
        <f aca="false">Q!$N$7</f>
        <v>60.14</v>
      </c>
      <c r="O7883" s="38" t="n">
        <f aca="false">Q!$O$7</f>
        <v>68.585</v>
      </c>
    </row>
    <row r="7884" customFormat="false" ht="17.15" hidden="false" customHeight="false" outlineLevel="0" collapsed="false">
      <c r="A7884" s="1" t="s">
        <v>621</v>
      </c>
      <c r="B7884" s="8" t="s">
        <v>86</v>
      </c>
      <c r="C7884" s="38" t="n">
        <f aca="false">Sens!$C$7883-Sens!$C$7880</f>
        <v>105.234994643026</v>
      </c>
      <c r="D7884" s="38" t="n">
        <f aca="false">Sens!$D$7883-Sens!$D$7880</f>
        <v>120.021229911349</v>
      </c>
      <c r="E7884" s="38" t="n">
        <f aca="false">Sens!$E$7883-Sens!$E$7880</f>
        <v>71.30864702443</v>
      </c>
      <c r="F7884" s="38" t="n">
        <f aca="false">Sens!$O$7884*(1+Sens!$F$7885)</f>
        <v>71.7692997942464</v>
      </c>
      <c r="G7884" s="38" t="n">
        <f aca="false">Sens!$E$7884+Sens!$F$7884</f>
        <v>143.077946818676</v>
      </c>
      <c r="H7884" s="38" t="n">
        <f aca="false">Sens!$G$7884*(1+Sens!$H$7885)</f>
        <v>161.017077079203</v>
      </c>
      <c r="I7884" s="38" t="n">
        <f aca="false">Sens!$H$7884*(1+Sens!$I$7885)</f>
        <v>178.769759521457</v>
      </c>
      <c r="J7884" s="38" t="n">
        <f aca="false">Sens!$I$7884*(1+Sens!$J$7885)</f>
        <v>195.775538045907</v>
      </c>
      <c r="K7884" s="38" t="n">
        <f aca="false">Sens!$J$7884*(1+Sens!$K$7885)</f>
        <v>211.43758108958</v>
      </c>
      <c r="L7884" s="38" t="n">
        <f aca="false">Sens!$K$7884*(1+Sens!$L$7885)</f>
        <v>228.352587576746</v>
      </c>
      <c r="M7884" s="38" t="n">
        <f aca="false">Sens!$L$7884*(1+Sens!$M$7885)</f>
        <v>246.620794582886</v>
      </c>
      <c r="N7884" s="38" t="n">
        <f aca="false">Sens!$N$7883-Sens!$N$7880</f>
        <v>57.0936804689721</v>
      </c>
      <c r="O7884" s="38" t="n">
        <f aca="false">Sens!$O$7883-Sens!$O$7880</f>
        <v>62.9275494423768</v>
      </c>
      <c r="P7884" s="5" t="s">
        <v>622</v>
      </c>
    </row>
    <row r="7885" customFormat="false" ht="17.15" hidden="false" customHeight="false" outlineLevel="0" collapsed="false">
      <c r="A7885" s="0" t="s">
        <v>623</v>
      </c>
      <c r="B7885" s="0" t="s">
        <v>52</v>
      </c>
      <c r="D7885" s="13" t="n">
        <f aca="false">Sens!$D$7884/Sens!$C$7884-1</f>
        <v>0.140506827776062</v>
      </c>
      <c r="E7885" s="13" t="n">
        <f aca="false">Sens!$E$7884/Sens!$N$7884-1</f>
        <v>0.248976181579029</v>
      </c>
      <c r="F7885" s="13" t="n">
        <f aca="false">Sens!$D$7885</f>
        <v>0.140506827776062</v>
      </c>
      <c r="G7885" s="13" t="n">
        <f aca="false">Sens!$G$7884/Sens!$D$7884-1</f>
        <v>0.19210532106993</v>
      </c>
      <c r="H7885" s="13" t="n">
        <f aca="false">Sens!$F$7885+(g_awso_lt-Sens!$F$7885)*1/4</f>
        <v>0.125380120832046</v>
      </c>
      <c r="I7885" s="13" t="n">
        <f aca="false">Sens!$F$7885+(g_awso_lt-Sens!$F$7885)*2/4</f>
        <v>0.110253413888031</v>
      </c>
      <c r="J7885" s="13" t="n">
        <f aca="false">Sens!$F$7885+(g_awso_lt-Sens!$F$7885)*3/4</f>
        <v>0.0951267069440154</v>
      </c>
      <c r="K7885" s="13" t="n">
        <f aca="false">Sens!$F$7885+(g_awso_lt-Sens!$F$7885)*4/4</f>
        <v>0.08</v>
      </c>
      <c r="L7885" s="13" t="n">
        <f aca="false">g_awso_lt</f>
        <v>0.08</v>
      </c>
      <c r="M7885" s="13" t="n">
        <f aca="false">g_awso_lt</f>
        <v>0.08</v>
      </c>
      <c r="P7885" s="5" t="s">
        <v>624</v>
      </c>
    </row>
    <row r="7886" customFormat="false" ht="17.15" hidden="false" customHeight="false" outlineLevel="0" collapsed="false">
      <c r="A7886" s="1" t="s">
        <v>625</v>
      </c>
    </row>
    <row r="7887" customFormat="false" ht="17.15" hidden="false" customHeight="false" outlineLevel="0" collapsed="false">
      <c r="A7887" s="0" t="s">
        <v>626</v>
      </c>
      <c r="B7887" s="0" t="s">
        <v>86</v>
      </c>
      <c r="F7887" s="38" t="n">
        <f aca="false">cx_rt*Sens!$F$7852+cx_awso*Sens!$F$7884</f>
        <v>34.9734495387866</v>
      </c>
    </row>
    <row r="7888" customFormat="false" ht="17.15" hidden="false" customHeight="false" outlineLevel="0" collapsed="false">
      <c r="A7888" s="0" t="s">
        <v>627</v>
      </c>
      <c r="B7888" s="0" t="s">
        <v>52</v>
      </c>
      <c r="C7888" s="13" t="n">
        <f aca="false">tk_cx_h100/(tk_cx_h100+tk_fac*(1-colo_sh))</f>
        <v>0.730756458006641</v>
      </c>
      <c r="D7888" s="13" t="n">
        <f aca="false">tk_cx_h100/(tk_cx_h100+tk_fac*(1-colo_sh))</f>
        <v>0.730756458006641</v>
      </c>
      <c r="E7888" s="13" t="n">
        <f aca="false">Sens!$F$7888</f>
        <v>0.760792334328868</v>
      </c>
      <c r="F7888" s="13" t="n">
        <f aca="false">Sens!$F$7871/(Sens!$F$7871+tk_fac*(1-colo_sh))</f>
        <v>0.760792334328868</v>
      </c>
      <c r="G7888" s="13" t="n">
        <f aca="false">Sens!$G$7871/(Sens!$G$7871+tk_fac*(1-colo_sh))</f>
        <v>0.760792334328868</v>
      </c>
      <c r="H7888" s="13" t="n">
        <f aca="false">Sens!$H$7871/(Sens!$H$7871+tk_fac*(1-colo_sh))</f>
        <v>0.768110668862996</v>
      </c>
      <c r="I7888" s="13" t="n">
        <f aca="false">Sens!$I$7871/(Sens!$I$7871+tk_fac*(1-colo_sh))</f>
        <v>0.77499450139483</v>
      </c>
      <c r="J7888" s="13" t="n">
        <f aca="false">Sens!$J$7871/(Sens!$J$7871+tk_fac*(1-colo_sh))</f>
        <v>0.77499450139483</v>
      </c>
      <c r="K7888" s="13" t="n">
        <f aca="false">Sens!$K$7871/(Sens!$K$7871+tk_fac*(1-colo_sh))</f>
        <v>0.77499450139483</v>
      </c>
      <c r="L7888" s="13" t="n">
        <f aca="false">Sens!$L$7871/(Sens!$L$7871+tk_fac*(1-colo_sh))</f>
        <v>0.77499450139483</v>
      </c>
      <c r="M7888" s="13" t="n">
        <f aca="false">Sens!$M$7871/(Sens!$M$7871+tk_fac*(1-colo_sh))</f>
        <v>0.77499450139483</v>
      </c>
    </row>
    <row r="7889" customFormat="false" ht="17.15" hidden="false" customHeight="false" outlineLevel="0" collapsed="false">
      <c r="A7889" s="1" t="s">
        <v>628</v>
      </c>
      <c r="B7889" s="8" t="s">
        <v>86</v>
      </c>
      <c r="C7889" s="38" t="n">
        <f aca="false">Q!$D$46-cx_rt*Q!$D$16-cx_awso*Sens!$C$7884</f>
        <v>25.2781053077374</v>
      </c>
      <c r="D7889" s="38" t="n">
        <f aca="false">Q!$E$46-cx_rt*Q!$E$16-cx_awso*Sens!$D$7884</f>
        <v>69.5686316310026</v>
      </c>
      <c r="E7889" s="38" t="n">
        <f aca="false">Q!$P$46-cx_rt*Q!$P$16-cx_awso*Sens!$E$7884</f>
        <v>64.1899206485108</v>
      </c>
      <c r="F7889" s="38" t="n">
        <f aca="false">MAX(Sens!$F$7866*(Sens!$F$7871+tk_fac*(1-colo_sh))/1000,capex_g26-Q!$P$46-Sens!$F$7887)</f>
        <v>96.2481299895</v>
      </c>
      <c r="G7889" s="38" t="n">
        <f aca="false">Sens!$E$7889+Sens!$F$7889</f>
        <v>160.438050638011</v>
      </c>
      <c r="H7889" s="38" t="n">
        <f aca="false">Sens!$H$7866*(Sens!$H$7871+tk_fac*(1-colo_sh))/1000+Sens!$H$7890</f>
        <v>198.57136494475</v>
      </c>
      <c r="I7889" s="38" t="n">
        <f aca="false">Sens!$I$7866*(Sens!$I$7871+tk_fac*(1-colo_sh))/1000+Sens!$I$7890</f>
        <v>204.6464699105</v>
      </c>
      <c r="J7889" s="38" t="n">
        <f aca="false">Sens!$J$7866*(Sens!$J$7871+tk_fac*(1-colo_sh))/1000+Sens!$J$7890</f>
        <v>209.8832381105</v>
      </c>
      <c r="K7889" s="38" t="n">
        <f aca="false">Sens!$K$7866*(Sens!$K$7871+tk_fac*(1-colo_sh))/1000+Sens!$K$7890</f>
        <v>155.238385275201</v>
      </c>
      <c r="L7889" s="38" t="n">
        <f aca="false">Sens!$L$7866*(Sens!$L$7871+tk_fac*(1-colo_sh))/1000+Sens!$L$7890</f>
        <v>132.014141639902</v>
      </c>
      <c r="M7889" s="38" t="n">
        <f aca="false">Sens!$M$7866*(Sens!$M$7871+tk_fac*(1-colo_sh))/1000+Sens!$M$7890</f>
        <v>132.230981659852</v>
      </c>
      <c r="P7889" s="5" t="s">
        <v>629</v>
      </c>
      <c r="R7889" s="38" t="n">
        <f aca="false">Q!$C$46-cx_rt*Q!$C$16-cx_awso*(Q!$C$7-mw_ye23/2*rpm_open/1000)</f>
        <v>1.50429979529945</v>
      </c>
      <c r="S7889" s="38" t="n">
        <f aca="false">Sens!$C$7889</f>
        <v>25.2781053077374</v>
      </c>
      <c r="T7889" s="38" t="n">
        <f aca="false">Sens!$D$7889</f>
        <v>69.5686316310026</v>
      </c>
      <c r="U7889" s="38" t="n">
        <f aca="false">Sens!$G$7889</f>
        <v>160.438050638011</v>
      </c>
      <c r="V7889" s="38" t="n">
        <f aca="false">Sens!$H$7889</f>
        <v>198.57136494475</v>
      </c>
      <c r="W7889" s="38" t="n">
        <f aca="false">Sens!$I$7889</f>
        <v>204.6464699105</v>
      </c>
      <c r="X7889" s="38" t="n">
        <f aca="false">Sens!$J$7889</f>
        <v>209.8832381105</v>
      </c>
      <c r="Y7889" s="38" t="n">
        <f aca="false">Sens!$K$7889</f>
        <v>155.238385275201</v>
      </c>
      <c r="Z7889" s="38" t="n">
        <f aca="false">Sens!$L$7889</f>
        <v>132.014141639902</v>
      </c>
      <c r="AA7889" s="38" t="n">
        <f aca="false">Sens!$M$7889</f>
        <v>132.230981659852</v>
      </c>
    </row>
    <row r="7890" customFormat="false" ht="17.15" hidden="false" customHeight="false" outlineLevel="0" collapsed="false">
      <c r="A7890" s="0" t="s">
        <v>630</v>
      </c>
      <c r="B7890" s="0" t="s">
        <v>86</v>
      </c>
      <c r="H7890" s="38" t="n">
        <f aca="false">SUMPRODUCT(--(Sens!$R$7859:$AA$7859=2027-tk_life),Sens!$R$7866:$AA$7866)*Sens!$H$7871/1000</f>
        <v>0</v>
      </c>
      <c r="I7890" s="38" t="n">
        <f aca="false">SUMPRODUCT(--(Sens!$R$7859:$AA$7859=2028-tk_life),Sens!$R$7866:$AA$7866)*Sens!$I$7871/1000</f>
        <v>0</v>
      </c>
      <c r="J7890" s="38" t="n">
        <f aca="false">SUMPRODUCT(--(Sens!$R$7859:$AA$7859=2029-tk_life),Sens!$R$7866:$AA$7866)*Sens!$J$7871/1000</f>
        <v>5.2367682</v>
      </c>
      <c r="K7890" s="38" t="n">
        <f aca="false">SUMPRODUCT(--(Sens!$R$7859:$AA$7859=2030-tk_life),Sens!$R$7866:$AA$7866)*Sens!$K$7871/1000</f>
        <v>10.4735364</v>
      </c>
      <c r="L7890" s="38" t="n">
        <f aca="false">SUMPRODUCT(--(Sens!$R$7859:$AA$7859=2031-tk_life),Sens!$R$7866:$AA$7866)*Sens!$L$7871/1000</f>
        <v>47.1309138</v>
      </c>
      <c r="M7890" s="38" t="n">
        <f aca="false">SUMPRODUCT(--(Sens!$R$7859:$AA$7859=2032-tk_life),Sens!$R$7866:$AA$7866)*Sens!$M$7871/1000</f>
        <v>107.22937485525</v>
      </c>
    </row>
    <row r="7891" customFormat="false" ht="17.15" hidden="false" customHeight="false" outlineLevel="0" collapsed="false">
      <c r="A7891" s="0" t="s">
        <v>631</v>
      </c>
      <c r="B7891" s="0" t="s">
        <v>86</v>
      </c>
      <c r="C7891" s="38" t="n">
        <f aca="false">MIN(Sens!$C$7889,Sens!$C$7866*(tk_cx_h100+tk_fac*(1-colo_sh))/1000)</f>
        <v>11.2938642</v>
      </c>
      <c r="D7891" s="38" t="n">
        <f aca="false">MIN(Sens!$D$7889,Sens!$D$7866*(tk_cx_h100+tk_fac*(1-colo_sh))/1000)</f>
        <v>50.8223889</v>
      </c>
      <c r="E7891" s="38" t="n">
        <f aca="false">MIN(Sens!$E$7889,Sens!$E$7866*(Sens!$F$7871+tk_fac*(1-colo_sh))/1000)</f>
        <v>33.8985792</v>
      </c>
      <c r="F7891" s="38" t="n">
        <f aca="false">Sens!$F$7889</f>
        <v>96.2481299895</v>
      </c>
      <c r="G7891" s="38" t="n">
        <f aca="false">Sens!$E$7891+Sens!$F$7891</f>
        <v>130.1467091895</v>
      </c>
      <c r="H7891" s="38" t="n">
        <f aca="false">Sens!$H$7889</f>
        <v>198.57136494475</v>
      </c>
      <c r="I7891" s="38" t="n">
        <f aca="false">Sens!$I$7889</f>
        <v>204.6464699105</v>
      </c>
      <c r="J7891" s="38" t="n">
        <f aca="false">Sens!$J$7889</f>
        <v>209.8832381105</v>
      </c>
      <c r="K7891" s="38" t="n">
        <f aca="false">Sens!$K$7889</f>
        <v>155.238385275201</v>
      </c>
      <c r="L7891" s="38" t="n">
        <f aca="false">Sens!$L$7889</f>
        <v>132.014141639902</v>
      </c>
      <c r="M7891" s="38" t="n">
        <f aca="false">Sens!$M$7889</f>
        <v>132.230981659852</v>
      </c>
      <c r="P7891" s="5" t="s">
        <v>632</v>
      </c>
      <c r="R7891" s="38" t="n">
        <f aca="false">MIN(Sens!$R$7889,Sens!$R$7866*(tk_cx_h100+tk_fac*(1-colo_sh))/1000)</f>
        <v>1.50429979529945</v>
      </c>
      <c r="S7891" s="38" t="n">
        <f aca="false">Sens!$C$7891</f>
        <v>11.2938642</v>
      </c>
      <c r="T7891" s="38" t="n">
        <f aca="false">Sens!$D$7891</f>
        <v>50.8223889</v>
      </c>
      <c r="U7891" s="38" t="n">
        <f aca="false">Sens!$G$7891</f>
        <v>130.1467091895</v>
      </c>
      <c r="V7891" s="38" t="n">
        <f aca="false">Sens!$H$7891</f>
        <v>198.57136494475</v>
      </c>
      <c r="W7891" s="38" t="n">
        <f aca="false">Sens!$I$7891</f>
        <v>204.6464699105</v>
      </c>
      <c r="X7891" s="38" t="n">
        <f aca="false">Sens!$J$7891</f>
        <v>209.8832381105</v>
      </c>
      <c r="Y7891" s="38" t="n">
        <f aca="false">Sens!$K$7891</f>
        <v>155.238385275201</v>
      </c>
      <c r="Z7891" s="38" t="n">
        <f aca="false">Sens!$L$7891</f>
        <v>132.014141639902</v>
      </c>
      <c r="AA7891" s="38" t="n">
        <f aca="false">Sens!$M$7891</f>
        <v>132.230981659852</v>
      </c>
    </row>
    <row r="7892" customFormat="false" ht="17.15" hidden="false" customHeight="false" outlineLevel="0" collapsed="false">
      <c r="A7892" s="5" t="s">
        <v>633</v>
      </c>
      <c r="B7892" s="0" t="s">
        <v>86</v>
      </c>
      <c r="C7892" s="38" t="n">
        <f aca="false">Sens!$C$7889-Sens!$C$7891</f>
        <v>13.9842411077374</v>
      </c>
      <c r="D7892" s="38" t="n">
        <f aca="false">Sens!$D$7889-Sens!$D$7891</f>
        <v>18.7462427310026</v>
      </c>
      <c r="E7892" s="38" t="n">
        <f aca="false">Sens!$E$7889-Sens!$E$7891</f>
        <v>30.2913414485108</v>
      </c>
      <c r="F7892" s="38" t="n">
        <f aca="false">Sens!$F$7889-Sens!$F$7891</f>
        <v>0</v>
      </c>
      <c r="G7892" s="38" t="n">
        <f aca="false">Sens!$G$7889-Sens!$G$7891</f>
        <v>30.2913414485108</v>
      </c>
      <c r="H7892" s="38" t="n">
        <f aca="false">Sens!$H$7889-Sens!$H$7891</f>
        <v>0</v>
      </c>
      <c r="I7892" s="38" t="n">
        <f aca="false">Sens!$I$7889-Sens!$I$7891</f>
        <v>0</v>
      </c>
      <c r="J7892" s="38" t="n">
        <f aca="false">Sens!$J$7889-Sens!$J$7891</f>
        <v>0</v>
      </c>
      <c r="K7892" s="38" t="n">
        <f aca="false">Sens!$K$7889-Sens!$K$7891</f>
        <v>0</v>
      </c>
      <c r="L7892" s="38" t="n">
        <f aca="false">Sens!$L$7889-Sens!$L$7891</f>
        <v>0</v>
      </c>
      <c r="M7892" s="38" t="n">
        <f aca="false">Sens!$M$7889-Sens!$M$7891</f>
        <v>0</v>
      </c>
    </row>
    <row r="7893" customFormat="false" ht="17.15" hidden="false" customHeight="false" outlineLevel="0" collapsed="false">
      <c r="A7893" s="5" t="s">
        <v>634</v>
      </c>
      <c r="B7893" s="0" t="s">
        <v>86</v>
      </c>
      <c r="C7893" s="38" t="n">
        <f aca="false">Sens!$C$7891*Sens!$C$7888</f>
        <v>8.2530642</v>
      </c>
      <c r="D7893" s="38" t="n">
        <f aca="false">Sens!$D$7891*Sens!$D$7888</f>
        <v>37.1387889</v>
      </c>
      <c r="E7893" s="38" t="n">
        <f aca="false">Sens!$E$7891*Sens!$E$7888</f>
        <v>25.7897792</v>
      </c>
      <c r="F7893" s="38" t="n">
        <f aca="false">Sens!$F$7891*Sens!$F$7888</f>
        <v>73.2248394895</v>
      </c>
      <c r="G7893" s="38" t="n">
        <f aca="false">Sens!$E$7893+Sens!$F$7893</f>
        <v>99.0146186895</v>
      </c>
      <c r="H7893" s="38" t="n">
        <f aca="false">(Sens!$H$7891-Sens!$H$7890)*Sens!$H$7888+Sens!$H$7890</f>
        <v>152.52478394475</v>
      </c>
      <c r="I7893" s="38" t="n">
        <f aca="false">(Sens!$I$7891-Sens!$I$7890)*Sens!$I$7888+Sens!$I$7890</f>
        <v>158.5998889105</v>
      </c>
      <c r="J7893" s="38" t="n">
        <f aca="false">(Sens!$J$7891-Sens!$J$7890)*Sens!$J$7888+Sens!$J$7890</f>
        <v>163.8366571105</v>
      </c>
      <c r="K7893" s="38" t="n">
        <f aca="false">(Sens!$K$7891-Sens!$K$7890)*Sens!$K$7888+Sens!$K$7890</f>
        <v>122.665498273534</v>
      </c>
      <c r="L7893" s="38" t="n">
        <f aca="false">(Sens!$L$7891-Sens!$L$7890)*Sens!$L$7888+Sens!$L$7890</f>
        <v>112.914948636568</v>
      </c>
      <c r="M7893" s="38" t="n">
        <f aca="false">(Sens!$M$7891-Sens!$M$7890)*Sens!$M$7888+Sens!$M$7890</f>
        <v>126.605482654852</v>
      </c>
      <c r="R7893" s="38" t="n">
        <f aca="false">Sens!$R$7891*Sens!$C$7888</f>
        <v>1.09927679019314</v>
      </c>
      <c r="S7893" s="38" t="n">
        <f aca="false">Sens!$C$7893</f>
        <v>8.2530642</v>
      </c>
      <c r="T7893" s="38" t="n">
        <f aca="false">Sens!$D$7893</f>
        <v>37.1387889</v>
      </c>
      <c r="U7893" s="38" t="n">
        <f aca="false">Sens!$G$7893</f>
        <v>99.0146186895</v>
      </c>
      <c r="V7893" s="38" t="n">
        <f aca="false">Sens!$H$7893</f>
        <v>152.52478394475</v>
      </c>
      <c r="W7893" s="38" t="n">
        <f aca="false">Sens!$I$7893</f>
        <v>158.5998889105</v>
      </c>
      <c r="X7893" s="38" t="n">
        <f aca="false">Sens!$J$7893</f>
        <v>163.8366571105</v>
      </c>
      <c r="Y7893" s="38" t="n">
        <f aca="false">Sens!$K$7893</f>
        <v>122.665498273534</v>
      </c>
      <c r="Z7893" s="38" t="n">
        <f aca="false">Sens!$L$7893</f>
        <v>112.914948636568</v>
      </c>
      <c r="AA7893" s="38" t="n">
        <f aca="false">Sens!$M$7893</f>
        <v>126.605482654852</v>
      </c>
    </row>
    <row r="7894" customFormat="false" ht="15" hidden="false" customHeight="false" outlineLevel="0" collapsed="false">
      <c r="A7894" s="5" t="s">
        <v>635</v>
      </c>
      <c r="B7894" s="0" t="s">
        <v>86</v>
      </c>
      <c r="C7894" s="38" t="n">
        <f aca="false">Sens!$C$7891-Sens!$C$7893</f>
        <v>3.0408</v>
      </c>
      <c r="D7894" s="38" t="n">
        <f aca="false">Sens!$D$7891-Sens!$D$7893</f>
        <v>13.6836</v>
      </c>
      <c r="E7894" s="38" t="n">
        <f aca="false">Sens!$E$7891-Sens!$E$7893</f>
        <v>8.1088</v>
      </c>
      <c r="F7894" s="38" t="n">
        <f aca="false">Sens!$F$7891-Sens!$F$7893</f>
        <v>23.0232905</v>
      </c>
      <c r="G7894" s="38" t="n">
        <f aca="false">Sens!$G$7891-Sens!$G$7893</f>
        <v>31.1320905</v>
      </c>
      <c r="H7894" s="38" t="n">
        <f aca="false">Sens!$H$7891-Sens!$H$7893</f>
        <v>46.046581</v>
      </c>
      <c r="I7894" s="38" t="n">
        <f aca="false">Sens!$I$7891-Sens!$I$7893</f>
        <v>46.046581</v>
      </c>
      <c r="J7894" s="38" t="n">
        <f aca="false">Sens!$J$7891-Sens!$J$7893</f>
        <v>46.046581</v>
      </c>
      <c r="K7894" s="38" t="n">
        <f aca="false">Sens!$K$7891-Sens!$K$7893</f>
        <v>32.5728870016667</v>
      </c>
      <c r="L7894" s="38" t="n">
        <f aca="false">Sens!$L$7891-Sens!$L$7893</f>
        <v>19.0991930033334</v>
      </c>
      <c r="M7894" s="38" t="n">
        <f aca="false">Sens!$M$7891-Sens!$M$7893</f>
        <v>5.62549900499998</v>
      </c>
      <c r="R7894" s="38" t="n">
        <f aca="false">Sens!$R$7891-Sens!$R$7893</f>
        <v>0.405023005106309</v>
      </c>
      <c r="S7894" s="38" t="n">
        <f aca="false">Sens!$S$7891-Sens!$S$7893</f>
        <v>3.0408</v>
      </c>
      <c r="T7894" s="38" t="n">
        <f aca="false">Sens!$T$7891-Sens!$T$7893</f>
        <v>13.6836</v>
      </c>
      <c r="U7894" s="38" t="n">
        <f aca="false">Sens!$U$7891-Sens!$U$7893</f>
        <v>31.1320905</v>
      </c>
      <c r="V7894" s="38" t="n">
        <f aca="false">Sens!$V$7891-Sens!$V$7893</f>
        <v>46.046581</v>
      </c>
      <c r="W7894" s="38" t="n">
        <f aca="false">Sens!$W$7891-Sens!$W$7893</f>
        <v>46.046581</v>
      </c>
      <c r="X7894" s="38" t="n">
        <f aca="false">Sens!$X$7891-Sens!$X$7893</f>
        <v>46.046581</v>
      </c>
      <c r="Y7894" s="38" t="n">
        <f aca="false">Sens!$Y$7891-Sens!$Y$7893</f>
        <v>32.5728870016667</v>
      </c>
      <c r="Z7894" s="38" t="n">
        <f aca="false">Sens!$Z$7891-Sens!$Z$7893</f>
        <v>19.0991930033334</v>
      </c>
      <c r="AA7894" s="38" t="n">
        <f aca="false">Sens!$AA$7891-Sens!$AA$7893</f>
        <v>5.62549900499998</v>
      </c>
    </row>
    <row r="7895" customFormat="false" ht="17.15" hidden="false" customHeight="false" outlineLevel="0" collapsed="false">
      <c r="A7895" s="0" t="s">
        <v>636</v>
      </c>
      <c r="B7895" s="0" t="s">
        <v>52</v>
      </c>
      <c r="C7895" s="13" t="n">
        <f aca="false">Sens!$C$7889/Sens!$C$8011</f>
        <v>0.325505489553393</v>
      </c>
      <c r="D7895" s="13" t="n">
        <f aca="false">Sens!$D$7889/Sens!$D$8011</f>
        <v>0.54214956071542</v>
      </c>
      <c r="E7895" s="13" t="n">
        <f aca="false">Sens!$E$7889/Sens!$E$8011</f>
        <v>0.666492790452817</v>
      </c>
      <c r="F7895" s="13" t="n">
        <f aca="false">Sens!$F$7889/Sens!$F$8011</f>
        <v>0.733477910687338</v>
      </c>
      <c r="G7895" s="13" t="n">
        <f aca="false">Sens!$G$7889/Sens!$G$8011</f>
        <v>0.705124321514523</v>
      </c>
      <c r="H7895" s="13" t="n">
        <f aca="false">Sens!$H$7889/Sens!$H$8011</f>
        <v>0.726376041178204</v>
      </c>
      <c r="I7895" s="13" t="n">
        <f aca="false">Sens!$I$7889/Sens!$I$8011</f>
        <v>0.713099092661699</v>
      </c>
      <c r="J7895" s="13" t="n">
        <f aca="false">Sens!$J$7889/Sens!$J$8011</f>
        <v>0.701208348786245</v>
      </c>
      <c r="K7895" s="13" t="n">
        <f aca="false">Sens!$K$7889/Sens!$K$8011</f>
        <v>0.618338844562383</v>
      </c>
      <c r="L7895" s="13" t="n">
        <f aca="false">Sens!$L$7889/Sens!$L$8011</f>
        <v>0.562489158462506</v>
      </c>
      <c r="M7895" s="13" t="n">
        <f aca="false">Sens!$M$7889/Sens!$M$8011</f>
        <v>0.545751190895923</v>
      </c>
    </row>
    <row r="7896" customFormat="false" ht="17.15" hidden="false" customHeight="false" outlineLevel="0" collapsed="false">
      <c r="A7896" s="0" t="s">
        <v>637</v>
      </c>
      <c r="B7896" s="0" t="s">
        <v>86</v>
      </c>
      <c r="C7896" s="38" t="n">
        <f aca="false">Sens!$S$7896</f>
        <v>0.183212798365523</v>
      </c>
      <c r="D7896" s="38" t="n">
        <f aca="false">Sens!$T$7896</f>
        <v>1.55872349836552</v>
      </c>
      <c r="E7896" s="38" t="n">
        <f aca="false">Sens!$G$7896/2</f>
        <v>3.87426082418276</v>
      </c>
      <c r="F7896" s="38" t="n">
        <f aca="false">Sens!$G$7896/2</f>
        <v>3.87426082418276</v>
      </c>
      <c r="G7896" s="38" t="n">
        <f aca="false">Sens!$U$7896</f>
        <v>7.74852164836552</v>
      </c>
      <c r="H7896" s="38" t="n">
        <f aca="false">Sens!$V$7896</f>
        <v>24.2509580966155</v>
      </c>
      <c r="I7896" s="38" t="n">
        <f aca="false">Sens!$W$7896</f>
        <v>49.6717554207405</v>
      </c>
      <c r="J7896" s="38" t="n">
        <f aca="false">Sens!$X$7896</f>
        <v>76.1050702391572</v>
      </c>
      <c r="K7896" s="38" t="n">
        <f aca="false">Sens!$Y$7896</f>
        <v>103.227966959208</v>
      </c>
      <c r="L7896" s="38" t="n">
        <f aca="false">Sens!$Z$7896</f>
        <v>122.296705971464</v>
      </c>
      <c r="M7896" s="38" t="n">
        <f aca="false">Sens!$AA$7896</f>
        <v>134.926065927559</v>
      </c>
      <c r="N7896" s="38" t="n">
        <f aca="false">Sens!$D$7896/2</f>
        <v>0.779361749182762</v>
      </c>
      <c r="O7896" s="38" t="n">
        <f aca="false">Sens!$D$7896/2</f>
        <v>0.779361749182762</v>
      </c>
      <c r="R7896" s="38" t="n">
        <f aca="false">SUMPRODUCT(--(Sens!$R$7859:$AA$7859&lt;Sens!R$7859),--(Sens!$R$7859:$AA$7859&gt;=Sens!R$7859-tk_life),Sens!$R$7893:$AA$7893)/tk_life</f>
        <v>0</v>
      </c>
      <c r="S7896" s="38" t="n">
        <f aca="false">SUMPRODUCT(--(Sens!$R$7859:$AA$7859&lt;Sens!S$7859),--(Sens!$R$7859:$AA$7859&gt;=Sens!S$7859-tk_life),Sens!$R$7893:$AA$7893)/tk_life</f>
        <v>0.183212798365523</v>
      </c>
      <c r="T7896" s="38" t="n">
        <f aca="false">SUMPRODUCT(--(Sens!$R$7859:$AA$7859&lt;Sens!T$7859),--(Sens!$R$7859:$AA$7859&gt;=Sens!T$7859-tk_life),Sens!$R$7893:$AA$7893)/tk_life</f>
        <v>1.55872349836552</v>
      </c>
      <c r="U7896" s="38" t="n">
        <f aca="false">SUMPRODUCT(--(Sens!$R$7859:$AA$7859&lt;Sens!U$7859),--(Sens!$R$7859:$AA$7859&gt;=Sens!U$7859-tk_life),Sens!$R$7893:$AA$7893)/tk_life</f>
        <v>7.74852164836552</v>
      </c>
      <c r="V7896" s="38" t="n">
        <f aca="false">SUMPRODUCT(--(Sens!$R$7859:$AA$7859&lt;Sens!V$7859),--(Sens!$R$7859:$AA$7859&gt;=Sens!V$7859-tk_life),Sens!$R$7893:$AA$7893)/tk_life</f>
        <v>24.2509580966155</v>
      </c>
      <c r="W7896" s="38" t="n">
        <f aca="false">SUMPRODUCT(--(Sens!$R$7859:$AA$7859&lt;Sens!W$7859),--(Sens!$R$7859:$AA$7859&gt;=Sens!W$7859-tk_life),Sens!$R$7893:$AA$7893)/tk_life</f>
        <v>49.6717554207405</v>
      </c>
      <c r="X7896" s="38" t="n">
        <f aca="false">SUMPRODUCT(--(Sens!$R$7859:$AA$7859&lt;Sens!X$7859),--(Sens!$R$7859:$AA$7859&gt;=Sens!X$7859-tk_life),Sens!$R$7893:$AA$7893)/tk_life</f>
        <v>76.1050702391572</v>
      </c>
      <c r="Y7896" s="38" t="n">
        <f aca="false">SUMPRODUCT(--(Sens!$R$7859:$AA$7859&lt;Sens!Y$7859),--(Sens!$R$7859:$AA$7859&gt;=Sens!Y$7859-tk_life),Sens!$R$7893:$AA$7893)/tk_life</f>
        <v>103.227966959208</v>
      </c>
      <c r="Z7896" s="38" t="n">
        <f aca="false">SUMPRODUCT(--(Sens!$R$7859:$AA$7859&lt;Sens!Z$7859),--(Sens!$R$7859:$AA$7859&gt;=Sens!Z$7859-tk_life),Sens!$R$7893:$AA$7893)/tk_life</f>
        <v>122.296705971464</v>
      </c>
      <c r="AA7896" s="38" t="n">
        <f aca="false">SUMPRODUCT(--(Sens!$R$7859:$AA$7859&lt;Sens!AA$7859),--(Sens!$R$7859:$AA$7859&gt;=Sens!AA$7859-tk_life),Sens!$R$7893:$AA$7893)/tk_life</f>
        <v>134.926065927559</v>
      </c>
    </row>
    <row r="7897" customFormat="false" ht="17.15" hidden="false" customHeight="false" outlineLevel="0" collapsed="false">
      <c r="A7897" s="0" t="s">
        <v>638</v>
      </c>
      <c r="B7897" s="0" t="s">
        <v>86</v>
      </c>
      <c r="C7897" s="38" t="n">
        <f aca="false">Sens!$S$7897</f>
        <v>0.0202511502553155</v>
      </c>
      <c r="D7897" s="38" t="n">
        <f aca="false">Sens!$T$7897</f>
        <v>0.172291150255315</v>
      </c>
      <c r="E7897" s="38" t="n">
        <f aca="false">Sens!$G$7897/2</f>
        <v>0.428235575127658</v>
      </c>
      <c r="F7897" s="38" t="n">
        <f aca="false">Sens!$G$7897/2</f>
        <v>0.428235575127658</v>
      </c>
      <c r="G7897" s="38" t="n">
        <f aca="false">Sens!$U$7897</f>
        <v>0.856471150255315</v>
      </c>
      <c r="H7897" s="38" t="n">
        <f aca="false">Sens!$V$7897</f>
        <v>2.41307567525532</v>
      </c>
      <c r="I7897" s="38" t="n">
        <f aca="false">Sens!$W$7897</f>
        <v>4.71540472525532</v>
      </c>
      <c r="J7897" s="38" t="n">
        <f aca="false">Sens!$X$7897</f>
        <v>7.01773377525532</v>
      </c>
      <c r="K7897" s="38" t="n">
        <f aca="false">Sens!$Y$7897</f>
        <v>9.32006282525532</v>
      </c>
      <c r="L7897" s="38" t="n">
        <f aca="false">Sens!$Z$7897</f>
        <v>10.9487071753387</v>
      </c>
      <c r="M7897" s="38" t="n">
        <f aca="false">Sens!$AA$7897</f>
        <v>11.9036668255053</v>
      </c>
      <c r="N7897" s="38" t="n">
        <f aca="false">Sens!$D$7897/2</f>
        <v>0.0861455751276577</v>
      </c>
      <c r="O7897" s="38" t="n">
        <f aca="false">Sens!$D$7897/2</f>
        <v>0.0861455751276577</v>
      </c>
      <c r="R7897" s="38" t="n">
        <f aca="false">SUMPRODUCT(--(Sens!$R$7859:$AA$7859&lt;Sens!R$7859),Sens!$R$7894:$AA$7894)/fac_life</f>
        <v>0</v>
      </c>
      <c r="S7897" s="38" t="n">
        <f aca="false">SUMPRODUCT(--(Sens!$R$7859:$AA$7859&lt;Sens!S$7859),Sens!$R$7894:$AA$7894)/fac_life</f>
        <v>0.0202511502553155</v>
      </c>
      <c r="T7897" s="38" t="n">
        <f aca="false">SUMPRODUCT(--(Sens!$R$7859:$AA$7859&lt;Sens!T$7859),Sens!$R$7894:$AA$7894)/fac_life</f>
        <v>0.172291150255315</v>
      </c>
      <c r="U7897" s="38" t="n">
        <f aca="false">SUMPRODUCT(--(Sens!$R$7859:$AA$7859&lt;Sens!U$7859),Sens!$R$7894:$AA$7894)/fac_life</f>
        <v>0.856471150255315</v>
      </c>
      <c r="V7897" s="38" t="n">
        <f aca="false">SUMPRODUCT(--(Sens!$R$7859:$AA$7859&lt;Sens!V$7859),Sens!$R$7894:$AA$7894)/fac_life</f>
        <v>2.41307567525532</v>
      </c>
      <c r="W7897" s="38" t="n">
        <f aca="false">SUMPRODUCT(--(Sens!$R$7859:$AA$7859&lt;Sens!W$7859),Sens!$R$7894:$AA$7894)/fac_life</f>
        <v>4.71540472525532</v>
      </c>
      <c r="X7897" s="38" t="n">
        <f aca="false">SUMPRODUCT(--(Sens!$R$7859:$AA$7859&lt;Sens!X$7859),Sens!$R$7894:$AA$7894)/fac_life</f>
        <v>7.01773377525532</v>
      </c>
      <c r="Y7897" s="38" t="n">
        <f aca="false">SUMPRODUCT(--(Sens!$R$7859:$AA$7859&lt;Sens!Y$7859),Sens!$R$7894:$AA$7894)/fac_life</f>
        <v>9.32006282525532</v>
      </c>
      <c r="Z7897" s="38" t="n">
        <f aca="false">SUMPRODUCT(--(Sens!$R$7859:$AA$7859&lt;Sens!Z$7859),Sens!$R$7894:$AA$7894)/fac_life</f>
        <v>10.9487071753387</v>
      </c>
      <c r="AA7897" s="38" t="n">
        <f aca="false">SUMPRODUCT(--(Sens!$R$7859:$AA$7859&lt;Sens!AA$7859),Sens!$R$7894:$AA$7894)/fac_life</f>
        <v>11.9036668255053</v>
      </c>
    </row>
    <row r="7898" customFormat="false" ht="17.15" hidden="false" customHeight="false" outlineLevel="0" collapsed="false">
      <c r="A7898" s="1" t="s">
        <v>639</v>
      </c>
      <c r="B7898" s="8" t="s">
        <v>86</v>
      </c>
      <c r="C7898" s="38" t="n">
        <f aca="false">Sens!$C$7896+Sens!$C$7897</f>
        <v>0.203463948620839</v>
      </c>
      <c r="D7898" s="38" t="n">
        <f aca="false">Sens!$D$7896+Sens!$D$7897</f>
        <v>1.73101464862084</v>
      </c>
      <c r="E7898" s="38" t="n">
        <f aca="false">Sens!$E$7896+Sens!$E$7897</f>
        <v>4.30249639931042</v>
      </c>
      <c r="F7898" s="38" t="n">
        <f aca="false">Sens!$F$7896+Sens!$F$7897</f>
        <v>4.30249639931042</v>
      </c>
      <c r="G7898" s="38" t="n">
        <f aca="false">Sens!$G$7896+Sens!$G$7897</f>
        <v>8.60499279862084</v>
      </c>
      <c r="H7898" s="38" t="n">
        <f aca="false">Sens!$H$7896+Sens!$H$7897</f>
        <v>26.6640337718708</v>
      </c>
      <c r="I7898" s="38" t="n">
        <f aca="false">Sens!$I$7896+Sens!$I$7897</f>
        <v>54.3871601459959</v>
      </c>
      <c r="J7898" s="38" t="n">
        <f aca="false">Sens!$J$7896+Sens!$J$7897</f>
        <v>83.1228040144125</v>
      </c>
      <c r="K7898" s="38" t="n">
        <f aca="false">Sens!$K$7896+Sens!$K$7897</f>
        <v>112.548029784464</v>
      </c>
      <c r="L7898" s="38" t="n">
        <f aca="false">Sens!$L$7896+Sens!$L$7897</f>
        <v>133.245413146803</v>
      </c>
      <c r="M7898" s="38" t="n">
        <f aca="false">Sens!$M$7896+Sens!$M$7897</f>
        <v>146.829732753064</v>
      </c>
      <c r="N7898" s="38" t="n">
        <f aca="false">Sens!$N$7896+Sens!$N$7897</f>
        <v>0.865507324310419</v>
      </c>
      <c r="O7898" s="38" t="n">
        <f aca="false">Sens!$O$7896+Sens!$O$7897</f>
        <v>0.865507324310419</v>
      </c>
      <c r="R7898" s="38" t="n">
        <f aca="false">Sens!$R$7896+Sens!$R$7897</f>
        <v>0</v>
      </c>
      <c r="S7898" s="38" t="n">
        <f aca="false">Sens!$S$7896+Sens!$S$7897</f>
        <v>0.203463948620839</v>
      </c>
      <c r="T7898" s="38" t="n">
        <f aca="false">Sens!$T$7896+Sens!$T$7897</f>
        <v>1.73101464862084</v>
      </c>
      <c r="U7898" s="38" t="n">
        <f aca="false">Sens!$U$7896+Sens!$U$7897</f>
        <v>8.60499279862084</v>
      </c>
      <c r="V7898" s="38" t="n">
        <f aca="false">Sens!$V$7896+Sens!$V$7897</f>
        <v>26.6640337718708</v>
      </c>
      <c r="W7898" s="38" t="n">
        <f aca="false">Sens!$W$7896+Sens!$W$7897</f>
        <v>54.3871601459959</v>
      </c>
      <c r="X7898" s="38" t="n">
        <f aca="false">Sens!$X$7896+Sens!$X$7897</f>
        <v>83.1228040144125</v>
      </c>
      <c r="Y7898" s="38" t="n">
        <f aca="false">Sens!$Y$7896+Sens!$Y$7897</f>
        <v>112.548029784464</v>
      </c>
      <c r="Z7898" s="38" t="n">
        <f aca="false">Sens!$Z$7896+Sens!$Z$7897</f>
        <v>133.245413146803</v>
      </c>
      <c r="AA7898" s="38" t="n">
        <f aca="false">Sens!$AA$7896+Sens!$AA$7897</f>
        <v>146.829732753064</v>
      </c>
    </row>
    <row r="7899" customFormat="false" ht="17.15" hidden="false" customHeight="false" outlineLevel="0" collapsed="false">
      <c r="A7899" s="0" t="s">
        <v>640</v>
      </c>
      <c r="B7899" s="0" t="s">
        <v>86</v>
      </c>
      <c r="C7899" s="38" t="n">
        <f aca="false">Sens!$S$7899</f>
        <v>12.5947000466786</v>
      </c>
      <c r="D7899" s="38" t="n">
        <f aca="false">Sens!$T$7899</f>
        <v>61.6860742980578</v>
      </c>
      <c r="G7899" s="38" t="n">
        <f aca="false">Sens!$U$7899</f>
        <v>183.227790688937</v>
      </c>
      <c r="H7899" s="38" t="n">
        <f aca="false">Sens!$V$7899</f>
        <v>355.135121861816</v>
      </c>
      <c r="I7899" s="38" t="n">
        <f aca="false">Sens!$W$7899</f>
        <v>505.39443162632</v>
      </c>
      <c r="J7899" s="38" t="n">
        <f aca="false">Sens!$X$7899</f>
        <v>632.154865722408</v>
      </c>
      <c r="K7899" s="38" t="n">
        <f aca="false">Sens!$Y$7899</f>
        <v>674.845221213145</v>
      </c>
      <c r="L7899" s="38" t="n">
        <f aca="false">Sens!$Z$7899</f>
        <v>673.613949706244</v>
      </c>
      <c r="M7899" s="38" t="n">
        <f aca="false">Sens!$AA$7899</f>
        <v>659.015198613032</v>
      </c>
      <c r="R7899" s="38" t="n">
        <f aca="false">SUM(Sens!$R$7891:$R$7891)-SUM(Sens!$R$7898:$R$7898)</f>
        <v>1.50429979529945</v>
      </c>
      <c r="S7899" s="38" t="n">
        <f aca="false">SUM(Sens!$R$7891:$S$7891)-SUM(Sens!$R$7898:$S$7898)</f>
        <v>12.5947000466786</v>
      </c>
      <c r="T7899" s="38" t="n">
        <f aca="false">SUM(Sens!$R$7891:$T$7891)-SUM(Sens!$R$7898:$T$7898)</f>
        <v>61.6860742980578</v>
      </c>
      <c r="U7899" s="38" t="n">
        <f aca="false">SUM(Sens!$R$7891:$U$7891)-SUM(Sens!$R$7898:$U$7898)</f>
        <v>183.227790688937</v>
      </c>
      <c r="V7899" s="38" t="n">
        <f aca="false">SUM(Sens!$R$7891:$V$7891)-SUM(Sens!$R$7898:$V$7898)</f>
        <v>355.135121861816</v>
      </c>
      <c r="W7899" s="38" t="n">
        <f aca="false">SUM(Sens!$R$7891:$W$7891)-SUM(Sens!$R$7898:$W$7898)</f>
        <v>505.39443162632</v>
      </c>
      <c r="X7899" s="38" t="n">
        <f aca="false">SUM(Sens!$R$7891:$X$7891)-SUM(Sens!$R$7898:$X$7898)</f>
        <v>632.154865722408</v>
      </c>
      <c r="Y7899" s="38" t="n">
        <f aca="false">SUM(Sens!$R$7891:$Y$7891)-SUM(Sens!$R$7898:$Y$7898)</f>
        <v>674.845221213145</v>
      </c>
      <c r="Z7899" s="38" t="n">
        <f aca="false">SUM(Sens!$R$7891:$Z$7891)-SUM(Sens!$R$7898:$Z$7898)</f>
        <v>673.613949706244</v>
      </c>
      <c r="AA7899" s="38" t="n">
        <f aca="false">SUM(Sens!$R$7891:$AA$7891)-SUM(Sens!$R$7898:$AA$7898)</f>
        <v>659.015198613032</v>
      </c>
    </row>
    <row r="7900" customFormat="false" ht="17.15" hidden="false" customHeight="false" outlineLevel="0" collapsed="false">
      <c r="A7900" s="1" t="s">
        <v>641</v>
      </c>
    </row>
    <row r="7901" customFormat="false" ht="17.15" hidden="false" customHeight="false" outlineLevel="0" collapsed="false">
      <c r="A7901" s="0" t="s">
        <v>642</v>
      </c>
      <c r="B7901" s="0" t="s">
        <v>86</v>
      </c>
      <c r="C7901" s="38" t="n">
        <f aca="false">Sens!$C$7880-ext_sh*Sens!$C$7882</f>
        <v>1.80694998843362</v>
      </c>
      <c r="D7901" s="38" t="n">
        <f aca="false">Sens!$D$7880-ext_sh*Sens!$D$7882</f>
        <v>6.77606245662607</v>
      </c>
      <c r="E7901" s="38" t="n">
        <f aca="false">Sens!$E$7880-ext_sh*Sens!$E$7882</f>
        <v>6.62548329092326</v>
      </c>
      <c r="F7901" s="38" t="n">
        <f aca="false">Sens!$F$7880-ext_sh*Sens!$F$7882</f>
        <v>11.7200577158706</v>
      </c>
      <c r="G7901" s="38" t="n">
        <f aca="false">Sens!$G$7880-ext_sh*Sens!$G$7882</f>
        <v>18.3455410067939</v>
      </c>
      <c r="H7901" s="38" t="n">
        <f aca="false">Sens!$H$7880-ext_sh*Sens!$H$7882</f>
        <v>47.5171727060453</v>
      </c>
      <c r="I7901" s="38" t="n">
        <f aca="false">Sens!$I$7880-ext_sh*Sens!$I$7882</f>
        <v>80.5539692643667</v>
      </c>
      <c r="J7901" s="38" t="n">
        <f aca="false">Sens!$J$7880-ext_sh*Sens!$J$7882</f>
        <v>113.759316834883</v>
      </c>
      <c r="K7901" s="38" t="n">
        <f aca="false">Sens!$K$7880-ext_sh*Sens!$K$7882</f>
        <v>142.084411492169</v>
      </c>
      <c r="L7901" s="38" t="n">
        <f aca="false">Sens!$L$7880-ext_sh*Sens!$L$7882</f>
        <v>160.69964615804</v>
      </c>
      <c r="M7901" s="38" t="n">
        <f aca="false">Sens!$M$7880-ext_sh*Sens!$M$7882</f>
        <v>169.577607141793</v>
      </c>
      <c r="N7901" s="38" t="n">
        <f aca="false">Sens!$N$7880-ext_sh*Sens!$N$7882</f>
        <v>2.37162185981912</v>
      </c>
      <c r="O7901" s="38" t="n">
        <f aca="false">Sens!$O$7880-ext_sh*Sens!$O$7882</f>
        <v>4.40444059680694</v>
      </c>
    </row>
    <row r="7902" customFormat="false" ht="17.15" hidden="false" customHeight="false" outlineLevel="0" collapsed="false">
      <c r="A7902" s="1" t="s">
        <v>643</v>
      </c>
      <c r="B7902" s="8" t="s">
        <v>86</v>
      </c>
      <c r="C7902" s="38" t="n">
        <f aca="false">Sens!$C$7901-ext_sh*Sens!$C$7898</f>
        <v>1.64417882953695</v>
      </c>
      <c r="D7902" s="38" t="n">
        <f aca="false">Sens!$D$7901-ext_sh*Sens!$D$7898</f>
        <v>5.39125073772939</v>
      </c>
      <c r="E7902" s="38" t="n">
        <f aca="false">Sens!$E$7901-ext_sh*Sens!$E$7898</f>
        <v>3.18348617147493</v>
      </c>
      <c r="F7902" s="38" t="n">
        <f aca="false">Sens!$F$7901-ext_sh*Sens!$F$7898</f>
        <v>8.27806059642226</v>
      </c>
      <c r="G7902" s="38" t="n">
        <f aca="false">Sens!$G$7901-ext_sh*Sens!$G$7898</f>
        <v>11.4615467678972</v>
      </c>
      <c r="H7902" s="38" t="n">
        <f aca="false">Sens!$H$7901-ext_sh*Sens!$H$7898</f>
        <v>26.1859456885487</v>
      </c>
      <c r="I7902" s="38" t="n">
        <f aca="false">Sens!$I$7901-ext_sh*Sens!$I$7898</f>
        <v>37.04424114757</v>
      </c>
      <c r="J7902" s="38" t="n">
        <f aca="false">Sens!$J$7901-ext_sh*Sens!$J$7898</f>
        <v>47.2610736233534</v>
      </c>
      <c r="K7902" s="38" t="n">
        <f aca="false">Sens!$K$7901-ext_sh*Sens!$K$7898</f>
        <v>52.0459876645985</v>
      </c>
      <c r="L7902" s="38" t="n">
        <f aca="false">Sens!$L$7901-ext_sh*Sens!$L$7898</f>
        <v>54.1033156405981</v>
      </c>
      <c r="M7902" s="38" t="n">
        <f aca="false">Sens!$M$7901-ext_sh*Sens!$M$7898</f>
        <v>52.1138209393421</v>
      </c>
      <c r="N7902" s="38" t="n">
        <f aca="false">Sens!$N$7901-ext_sh*Sens!$N$7898</f>
        <v>1.67921600037079</v>
      </c>
      <c r="O7902" s="38" t="n">
        <f aca="false">Sens!$O$7901-ext_sh*Sens!$O$7898</f>
        <v>3.71203473735861</v>
      </c>
    </row>
    <row r="7903" customFormat="false" ht="17.15" hidden="false" customHeight="false" outlineLevel="0" collapsed="false">
      <c r="A7903" s="0" t="s">
        <v>644</v>
      </c>
      <c r="B7903" s="0" t="s">
        <v>52</v>
      </c>
      <c r="C7903" s="13" t="n">
        <f aca="false">Sens!$C$7902/Sens!$C$7880</f>
        <v>0.708390794789371</v>
      </c>
      <c r="D7903" s="13" t="n">
        <f aca="false">Sens!$D$7902/Sens!$D$7880</f>
        <v>0.619415573115729</v>
      </c>
      <c r="E7903" s="13" t="n">
        <f aca="false">Sens!$E$7902/Sens!$E$7880</f>
        <v>0.374072166056273</v>
      </c>
      <c r="F7903" s="13" t="n">
        <f aca="false">Sens!$F$7902/Sens!$F$7880</f>
        <v>0.553219320710057</v>
      </c>
      <c r="G7903" s="13" t="n">
        <f aca="false">Sens!$G$7902/Sens!$G$7880</f>
        <v>0.488270041527512</v>
      </c>
      <c r="H7903" s="13" t="n">
        <f aca="false">Sens!$H$7902/Sens!$H$7880</f>
        <v>0.435229086816882</v>
      </c>
      <c r="I7903" s="13" t="n">
        <f aca="false">Sens!$I$7902/Sens!$I$7880</f>
        <v>0.364954592421095</v>
      </c>
      <c r="J7903" s="13" t="n">
        <f aca="false">Sens!$J$7902/Sens!$J$7880</f>
        <v>0.330438308582232</v>
      </c>
      <c r="K7903" s="13" t="n">
        <f aca="false">Sens!$K$7902/Sens!$K$7880</f>
        <v>0.2916589289528</v>
      </c>
      <c r="L7903" s="13" t="n">
        <f aca="false">Sens!$L$7902/Sens!$L$7880</f>
        <v>0.268199200593258</v>
      </c>
      <c r="M7903" s="13" t="n">
        <f aca="false">Sens!$M$7902/Sens!$M$7880</f>
        <v>0.244854995033574</v>
      </c>
      <c r="N7903" s="13" t="n">
        <f aca="false">Sens!$N$7902/Sens!$N$7880</f>
        <v>0.551227795793364</v>
      </c>
      <c r="O7903" s="13" t="n">
        <f aca="false">Sens!$O$7902/Sens!$O$7880</f>
        <v>0.656132068597002</v>
      </c>
    </row>
    <row r="7904" customFormat="false" ht="17.15" hidden="false" customHeight="false" outlineLevel="0" collapsed="false">
      <c r="A7904" s="5" t="s">
        <v>645</v>
      </c>
      <c r="B7904" s="0" t="s">
        <v>86</v>
      </c>
      <c r="C7904" s="39" t="n">
        <v>0</v>
      </c>
      <c r="D7904" s="39" t="n">
        <v>0</v>
      </c>
      <c r="E7904" s="39" t="n">
        <v>0</v>
      </c>
      <c r="F7904" s="38" t="n">
        <f aca="false">IF(internal_ai_reading=2,1,0)*(1-ext_sh)/ext_sh*(mw_open*he_open+Sens!$F$7878*Sens!$F$7875)*Sens!$F$7864/1000</f>
        <v>3.77122048175818</v>
      </c>
      <c r="G7904" s="38" t="n">
        <f aca="false">Sens!$E$7904+Sens!$F$7904</f>
        <v>3.77122048175818</v>
      </c>
      <c r="H7904" s="38" t="n">
        <f aca="false">IF(internal_ai_reading=2,1,0)*(1-ext_sh)/ext_sh*(mw_open*he_open+Sens!$H$7878*Sens!$H$7875)*Sens!$H$7864/1000</f>
        <v>15.1635543609893</v>
      </c>
      <c r="I7904" s="38" t="n">
        <f aca="false">IF(internal_ai_reading=2,1,0)*(1-ext_sh)/ext_sh*(mw_open*he_open+Sens!$I$7878*Sens!$I$7875)*Sens!$I$7864/1000</f>
        <v>25.5818843619889</v>
      </c>
      <c r="J7904" s="38" t="n">
        <f aca="false">IF(internal_ai_reading=2,1,0)*(1-ext_sh)/ext_sh*(mw_open*he_open+Sens!$J$7878*Sens!$J$7875)*Sens!$J$7864/1000</f>
        <v>36.0465624179122</v>
      </c>
      <c r="K7904" s="38" t="n">
        <f aca="false">IF(internal_ai_reading=2,1,0)*(1-ext_sh)/ext_sh*(mw_open*he_open+Sens!$K$7878*Sens!$K$7875)*Sens!$K$7864/1000</f>
        <v>44.9741164026038</v>
      </c>
      <c r="L7904" s="38" t="n">
        <f aca="false">IF(internal_ai_reading=2,1,0)*(1-ext_sh)/ext_sh*(mw_open*he_open+Sens!$L$7878*Sens!$L$7875)*Sens!$L$7864/1000</f>
        <v>50.8413488057813</v>
      </c>
      <c r="M7904" s="38" t="n">
        <f aca="false">IF(internal_ai_reading=2,1,0)*(1-ext_sh)/ext_sh*(mw_open*he_open+Sens!$M$7878*Sens!$M$7875)*Sens!$M$7864/1000</f>
        <v>53.6407214274315</v>
      </c>
      <c r="N7904" s="39" t="n">
        <v>0</v>
      </c>
      <c r="O7904" s="39" t="n">
        <v>0</v>
      </c>
      <c r="P7904" s="8" t="s">
        <v>646</v>
      </c>
    </row>
    <row r="7905" customFormat="false" ht="17.15" hidden="false" customHeight="false" outlineLevel="0" collapsed="false">
      <c r="A7905" s="5" t="s">
        <v>647</v>
      </c>
      <c r="B7905" s="0" t="s">
        <v>86</v>
      </c>
      <c r="C7905" s="38" t="n">
        <f aca="false">(1-ext_sh)*(Sens!$C$7882+Sens!$C$7898)</f>
        <v>0.169206631859174</v>
      </c>
      <c r="D7905" s="38" t="n">
        <f aca="false">(1-ext_sh)*(Sens!$D$7882+Sens!$D$7898)</f>
        <v>0.828129837730442</v>
      </c>
      <c r="E7905" s="38" t="n">
        <f aca="false">(1-ext_sh)*(Sens!$E$7882+Sens!$E$7898)</f>
        <v>1.33171670102377</v>
      </c>
      <c r="F7905" s="38" t="n">
        <f aca="false">(1-ext_sh)*(Sens!$F$7882+Sens!$F$7898)</f>
        <v>1.67134326207455</v>
      </c>
      <c r="G7905" s="38" t="n">
        <f aca="false">(1-ext_sh)*(Sens!$G$7882+Sens!$G$7898)</f>
        <v>3.00305996309832</v>
      </c>
      <c r="H7905" s="38" t="n">
        <f aca="false">(1-ext_sh)*(Sens!$H$7882+Sens!$H$7898)</f>
        <v>8.49498626530648</v>
      </c>
      <c r="I7905" s="38" t="n">
        <f aca="false">(1-ext_sh)*(Sens!$I$7882+Sens!$I$7898)</f>
        <v>16.1148644972155</v>
      </c>
      <c r="J7905" s="38" t="n">
        <f aca="false">(1-ext_sh)*(Sens!$J$7882+Sens!$J$7898)</f>
        <v>23.9410833819812</v>
      </c>
      <c r="K7905" s="38" t="n">
        <f aca="false">(1-ext_sh)*(Sens!$K$7882+Sens!$K$7898)</f>
        <v>31.6005331796453</v>
      </c>
      <c r="L7905" s="38" t="n">
        <f aca="false">(1-ext_sh)*(Sens!$L$7882+Sens!$L$7898)</f>
        <v>36.9061965404496</v>
      </c>
      <c r="M7905" s="38" t="n">
        <f aca="false">(1-ext_sh)*(Sens!$M$7882+Sens!$M$7898)</f>
        <v>40.1804051073808</v>
      </c>
      <c r="N7905" s="38" t="n">
        <f aca="false">(1-ext_sh)*(Sens!$N$7882+Sens!$N$7898)</f>
        <v>0.34177588266428</v>
      </c>
      <c r="O7905" s="38" t="n">
        <f aca="false">(1-ext_sh)*(Sens!$O$7882+Sens!$O$7898)</f>
        <v>0.486353955066162</v>
      </c>
    </row>
    <row r="7906" customFormat="false" ht="17.15" hidden="false" customHeight="false" outlineLevel="0" collapsed="false">
      <c r="A7906" s="0" t="s">
        <v>648</v>
      </c>
      <c r="B7906" s="0" t="s">
        <v>86</v>
      </c>
      <c r="C7906" s="38" t="n">
        <f aca="false">Q!$D$24</f>
        <v>39.834</v>
      </c>
      <c r="D7906" s="38" t="n">
        <f aca="false">Q!$E$24</f>
        <v>45.606</v>
      </c>
      <c r="E7906" s="38" t="n">
        <f aca="false">Q!$P$24</f>
        <v>30.782</v>
      </c>
      <c r="N7906" s="38" t="n">
        <f aca="false">Q!$N$24</f>
        <v>21.707</v>
      </c>
      <c r="O7906" s="38" t="n">
        <f aca="false">Q!$O$24</f>
        <v>23.899</v>
      </c>
    </row>
    <row r="7907" customFormat="false" ht="17.15" hidden="false" customHeight="false" outlineLevel="0" collapsed="false">
      <c r="A7907" s="0" t="s">
        <v>649</v>
      </c>
      <c r="B7907" s="0" t="s">
        <v>86</v>
      </c>
      <c r="C7907" s="38" t="n">
        <f aca="false">Sens!$C$7906-Sens!$C$7902</f>
        <v>38.1898211704631</v>
      </c>
      <c r="D7907" s="38" t="n">
        <f aca="false">Sens!$D$7906-Sens!$D$7902</f>
        <v>40.2147492622706</v>
      </c>
      <c r="E7907" s="38" t="n">
        <f aca="false">Sens!$E$7906-Sens!$E$7902</f>
        <v>27.5985138285251</v>
      </c>
      <c r="F7907" s="38" t="n">
        <f aca="false">Sens!$F$7884*Sens!$F$7908</f>
        <v>25.5484769754606</v>
      </c>
      <c r="G7907" s="38" t="n">
        <f aca="false">Sens!$E$7907+Sens!$F$7907</f>
        <v>53.1469908039857</v>
      </c>
      <c r="H7907" s="38" t="n">
        <f aca="false">Sens!$H$7884*Sens!$H$7908</f>
        <v>57.3189525076539</v>
      </c>
      <c r="I7907" s="38" t="n">
        <f aca="false">Sens!$I$7884*Sens!$I$7908</f>
        <v>63.6385627021087</v>
      </c>
      <c r="J7907" s="38" t="n">
        <f aca="false">Sens!$J$7884*Sens!$J$7908</f>
        <v>69.6922896066105</v>
      </c>
      <c r="K7907" s="38" t="n">
        <f aca="false">Sens!$K$7884*Sens!$K$7908</f>
        <v>75.2676727751394</v>
      </c>
      <c r="L7907" s="38" t="n">
        <f aca="false">Sens!$L$7884*Sens!$L$7908</f>
        <v>81.2890865971505</v>
      </c>
      <c r="M7907" s="38" t="n">
        <f aca="false">Sens!$M$7884*Sens!$M$7908</f>
        <v>87.7922135249226</v>
      </c>
      <c r="N7907" s="38" t="n">
        <f aca="false">Sens!$N$7906-Sens!$N$7902</f>
        <v>20.0277839996292</v>
      </c>
      <c r="O7907" s="38" t="n">
        <f aca="false">Sens!$O$7906-Sens!$O$7902</f>
        <v>20.1869652626414</v>
      </c>
      <c r="P7907" s="5" t="s">
        <v>650</v>
      </c>
    </row>
    <row r="7908" customFormat="false" ht="17.15" hidden="false" customHeight="false" outlineLevel="0" collapsed="false">
      <c r="A7908" s="0" t="s">
        <v>651</v>
      </c>
      <c r="B7908" s="0" t="s">
        <v>52</v>
      </c>
      <c r="C7908" s="13" t="n">
        <f aca="false">Sens!$C$7907/Sens!$C$7884</f>
        <v>0.362900395443635</v>
      </c>
      <c r="D7908" s="13" t="n">
        <f aca="false">Sens!$D$7907/Sens!$D$7884</f>
        <v>0.335063632425483</v>
      </c>
      <c r="E7908" s="13" t="n">
        <f aca="false">Sens!$E$7907/Sens!$E$7884</f>
        <v>0.387028992698038</v>
      </c>
      <c r="F7908" s="13" t="n">
        <f aca="false">(Sens!$O$7907+Sens!$E$7907)/(Sens!$O$7884+Sens!$E$7884)</f>
        <v>0.355980580118587</v>
      </c>
      <c r="G7908" s="13" t="n">
        <f aca="false">Sens!$G$7907/Sens!$G$7884</f>
        <v>0.371454804780916</v>
      </c>
      <c r="H7908" s="13" t="n">
        <f aca="false">Sens!$F$7908</f>
        <v>0.355980580118587</v>
      </c>
      <c r="I7908" s="13" t="n">
        <f aca="false">Sens!$F$7908</f>
        <v>0.355980580118587</v>
      </c>
      <c r="J7908" s="13" t="n">
        <f aca="false">Sens!$F$7908</f>
        <v>0.355980580118587</v>
      </c>
      <c r="K7908" s="13" t="n">
        <f aca="false">Sens!$F$7908</f>
        <v>0.355980580118587</v>
      </c>
      <c r="L7908" s="13" t="n">
        <f aca="false">Sens!$F$7908</f>
        <v>0.355980580118587</v>
      </c>
      <c r="M7908" s="13" t="n">
        <f aca="false">Sens!$F$7908</f>
        <v>0.355980580118587</v>
      </c>
      <c r="N7908" s="13" t="n">
        <f aca="false">Sens!$N$7907/Sens!$N$7884</f>
        <v>0.35078810535806</v>
      </c>
      <c r="O7908" s="13" t="n">
        <f aca="false">Sens!$O$7907/Sens!$O$7884</f>
        <v>0.320796939361619</v>
      </c>
      <c r="P7908" s="8" t="s">
        <v>652</v>
      </c>
    </row>
    <row r="7909" customFormat="false" ht="17.15" hidden="false" customHeight="false" outlineLevel="0" collapsed="false">
      <c r="A7909" s="0" t="s">
        <v>653</v>
      </c>
      <c r="B7909" s="0" t="s">
        <v>52</v>
      </c>
      <c r="D7909" s="13" t="n">
        <f aca="false">(Q!$E$31-ext_sh*Sens!$D$7898)/Sens!$D$7884</f>
        <v>0.167180325480118</v>
      </c>
    </row>
    <row r="7910" customFormat="false" ht="17.15" hidden="false" customHeight="false" outlineLevel="0" collapsed="false">
      <c r="A7910" s="0" t="s">
        <v>654</v>
      </c>
      <c r="B7910" s="0" t="s">
        <v>86</v>
      </c>
      <c r="C7910" s="38" t="n">
        <f aca="false">Q!$D$31</f>
        <v>13.32</v>
      </c>
      <c r="D7910" s="38" t="n">
        <f aca="false">Q!$E$31</f>
        <v>21.45</v>
      </c>
      <c r="E7910" s="38" t="n">
        <f aca="false">Q!$P$31</f>
        <v>15.353</v>
      </c>
      <c r="F7910" s="38" t="n">
        <f aca="false">ext_sh*Sens!$F$7898+Sens!$D$7909*Sens!$F$7884</f>
        <v>15.4404120185306</v>
      </c>
      <c r="G7910" s="38" t="n">
        <f aca="false">Sens!$E$7910+Sens!$F$7910</f>
        <v>30.7934120185306</v>
      </c>
      <c r="H7910" s="38" t="n">
        <f aca="false">ext_sh*Sens!$H$7898+Sens!$D$7909*Sens!$H$7884</f>
        <v>48.250114371455</v>
      </c>
      <c r="I7910" s="38" t="n">
        <f aca="false">ext_sh*Sens!$I$7898+Sens!$D$7909*Sens!$I$7884</f>
        <v>73.3965146995963</v>
      </c>
      <c r="J7910" s="38" t="n">
        <f aca="false">ext_sh*Sens!$J$7898+Sens!$D$7909*Sens!$J$7884</f>
        <v>99.22806138309</v>
      </c>
      <c r="K7910" s="38" t="n">
        <f aca="false">ext_sh*Sens!$K$7898+Sens!$D$7909*Sens!$K$7884</f>
        <v>125.386627452856</v>
      </c>
      <c r="L7910" s="38" t="n">
        <f aca="false">ext_sh*Sens!$L$7898+Sens!$D$7909*Sens!$L$7884</f>
        <v>144.77239043275</v>
      </c>
      <c r="M7910" s="38" t="n">
        <f aca="false">ext_sh*Sens!$M$7898+Sens!$D$7909*Sens!$M$7884</f>
        <v>158.693930910983</v>
      </c>
      <c r="N7910" s="38" t="n">
        <f aca="false">Q!$N$31</f>
        <v>9.234</v>
      </c>
      <c r="O7910" s="38" t="n">
        <f aca="false">Q!$O$31</f>
        <v>12.216</v>
      </c>
    </row>
    <row r="7911" customFormat="false" ht="17.15" hidden="false" customHeight="false" outlineLevel="0" collapsed="false">
      <c r="A7911" s="1" t="s">
        <v>655</v>
      </c>
    </row>
    <row r="7912" customFormat="false" ht="17.15" hidden="false" customHeight="false" outlineLevel="0" collapsed="false">
      <c r="A7912" s="15" t="s">
        <v>656</v>
      </c>
      <c r="B7912" s="14" t="s">
        <v>52</v>
      </c>
      <c r="C7912" s="14"/>
      <c r="D7912" s="14"/>
      <c r="E7912" s="14"/>
      <c r="F7912" s="14"/>
      <c r="G7912" s="17" t="n">
        <f aca="false">Sens!$G$7902*(1-tax)/(ext_sh*(Sens!$D$7899+Sens!$G$7899)/2)</f>
        <v>0.0966870495301478</v>
      </c>
      <c r="H7912" s="17" t="n">
        <f aca="false">Sens!$H$7902*(1-tax)/(ext_sh*(Sens!$G$7899+Sens!$H$7899)/2)</f>
        <v>0.100492020334136</v>
      </c>
      <c r="I7912" s="17" t="n">
        <f aca="false">Sens!$I$7902*(1-tax)/(ext_sh*(Sens!$H$7899+Sens!$I$7899)/2)</f>
        <v>0.0889392292218236</v>
      </c>
      <c r="J7912" s="17" t="n">
        <f aca="false">Sens!$J$7902*(1-tax)/(ext_sh*(Sens!$I$7899+Sens!$J$7899)/2)</f>
        <v>0.0858364613777012</v>
      </c>
      <c r="K7912" s="17" t="n">
        <f aca="false">Sens!$K$7902*(1-tax)/(ext_sh*(Sens!$J$7899+Sens!$K$7899)/2)</f>
        <v>0.08227162714687</v>
      </c>
      <c r="L7912" s="17" t="n">
        <f aca="false">Sens!$L$7902*(1-tax)/(ext_sh*(Sens!$K$7899+Sens!$L$7899)/2)</f>
        <v>0.0828942732763872</v>
      </c>
      <c r="M7912" s="17" t="n">
        <f aca="false">Sens!$M$7902*(1-tax)/(ext_sh*(Sens!$L$7899+Sens!$M$7899)/2)</f>
        <v>0.0807945482347635</v>
      </c>
      <c r="N7912" s="14"/>
      <c r="O7912" s="14"/>
      <c r="P7912" s="8" t="s">
        <v>657</v>
      </c>
    </row>
    <row r="7913" customFormat="false" ht="17.15" hidden="false" customHeight="false" outlineLevel="0" collapsed="false">
      <c r="A7913" s="5" t="s">
        <v>658</v>
      </c>
      <c r="B7913" s="0" t="s">
        <v>57</v>
      </c>
      <c r="H7913" s="36" t="n">
        <f aca="false">Sens!$H$7880*1000/(mw_open*he_open+Sens!$H$7878*Sens!$H$7875)</f>
        <v>0.991949006767191</v>
      </c>
      <c r="I7913" s="36" t="n">
        <f aca="false">Sens!$I$7880*1000/(mw_open*he_open+Sens!$I$7878*Sens!$I$7875)</f>
        <v>0.991949006767191</v>
      </c>
      <c r="J7913" s="36" t="n">
        <f aca="false">Sens!$J$7880*1000/(mw_open*he_open+Sens!$J$7878*Sens!$J$7875)</f>
        <v>0.991949006767191</v>
      </c>
      <c r="K7913" s="36" t="n">
        <f aca="false">Sens!$K$7880*1000/(mw_open*he_open+Sens!$K$7878*Sens!$K$7875)</f>
        <v>0.991949006767191</v>
      </c>
      <c r="L7913" s="36" t="n">
        <f aca="false">Sens!$L$7880*1000/(mw_open*he_open+Sens!$L$7878*Sens!$L$7875)</f>
        <v>0.991949006767191</v>
      </c>
      <c r="M7913" s="36" t="n">
        <f aca="false">Sens!$M$7880*1000/(mw_open*he_open+Sens!$M$7878*Sens!$M$7875)</f>
        <v>0.991949006767191</v>
      </c>
    </row>
    <row r="7914" customFormat="false" ht="17.15" hidden="false" customHeight="false" outlineLevel="0" collapsed="false">
      <c r="A7914" s="5" t="s">
        <v>659</v>
      </c>
      <c r="B7914" s="0" t="s">
        <v>57</v>
      </c>
      <c r="H7914" s="36" t="n">
        <f aca="false">Sens!$H$7913*(Sens!$H$7880+wacc*ext_sh*(Sens!$G$7899+Sens!$H$7899)/2/(1-tax)-Sens!$H$7902)/Sens!$H$7880</f>
        <v>1.04696246089529</v>
      </c>
      <c r="I7914" s="36" t="n">
        <f aca="false">Sens!$I$7913*(Sens!$I$7880+wacc*ext_sh*(Sens!$H$7899+Sens!$I$7899)/2/(1-tax)-Sens!$I$7902)/Sens!$I$7880</f>
        <v>1.09109607940198</v>
      </c>
      <c r="J7914" s="36" t="n">
        <f aca="false">Sens!$J$7913*(Sens!$J$7880+wacc*ext_sh*(Sens!$I$7899+Sens!$J$7899)/2/(1-tax)-Sens!$J$7902)/Sens!$J$7880</f>
        <v>1.09681234280071</v>
      </c>
      <c r="K7914" s="36" t="n">
        <f aca="false">Sens!$K$7913*(Sens!$K$7880+wacc*ext_sh*(Sens!$J$7899+Sens!$K$7899)/2/(1-tax)-Sens!$K$7902)/Sens!$K$7880</f>
        <v>1.10105220068984</v>
      </c>
      <c r="L7914" s="36" t="n">
        <f aca="false">Sens!$L$7913*(Sens!$L$7880+wacc*ext_sh*(Sens!$K$7899+Sens!$L$7899)/2/(1-tax)-Sens!$L$7902)/Sens!$L$7880</f>
        <v>1.08952452639895</v>
      </c>
      <c r="M7914" s="36" t="n">
        <f aca="false">Sens!$M$7913*(Sens!$M$7880+wacc*ext_sh*(Sens!$L$7899+Sens!$M$7899)/2/(1-tax)-Sens!$M$7902)/Sens!$M$7880</f>
        <v>1.08965878549519</v>
      </c>
    </row>
    <row r="7915" customFormat="false" ht="17.15" hidden="false" customHeight="false" outlineLevel="0" collapsed="false">
      <c r="A7915" s="5" t="s">
        <v>660</v>
      </c>
      <c r="B7915" s="0" t="s">
        <v>52</v>
      </c>
      <c r="C7915" s="13" t="n">
        <f aca="false">Sens!$C$7881/tk_pq</f>
        <v>0.195316432429398</v>
      </c>
      <c r="D7915" s="13" t="n">
        <f aca="false">Sens!$D$7881/tk_pq</f>
        <v>0.195316432429398</v>
      </c>
      <c r="E7915" s="13" t="n">
        <f aca="false">Sens!$E$7881/tk_pq</f>
        <v>0.195316432429398</v>
      </c>
      <c r="F7915" s="13" t="n">
        <f aca="false">Sens!$F$7881/tk_pq</f>
        <v>0.202241827274866</v>
      </c>
      <c r="G7915" s="13" t="n">
        <f aca="false">Sens!$G$7881/tk_pq</f>
        <v>0.199675016194063</v>
      </c>
      <c r="H7915" s="13" t="n">
        <f aca="false">Sens!$H$7881/tk_pq</f>
        <v>0.212647947710325</v>
      </c>
      <c r="I7915" s="13" t="n">
        <f aca="false">Sens!$I$7881/tk_pq</f>
        <v>0.219285125475351</v>
      </c>
      <c r="J7915" s="13" t="n">
        <f aca="false">Sens!$J$7881/tk_pq</f>
        <v>0.222492493217189</v>
      </c>
      <c r="K7915" s="13" t="n">
        <f aca="false">Sens!$K$7881/tk_pq</f>
        <v>0.224053502812094</v>
      </c>
      <c r="L7915" s="13" t="n">
        <f aca="false">Sens!$L$7881/tk_pq</f>
        <v>0.224786916785614</v>
      </c>
      <c r="M7915" s="13" t="n">
        <f aca="false">Sens!$M$7881/tk_pq</f>
        <v>0.225048671566937</v>
      </c>
      <c r="N7915" s="13" t="n">
        <f aca="false">Sens!$N$7881/tk_pq</f>
        <v>0.195316432429398</v>
      </c>
      <c r="O7915" s="13" t="n">
        <f aca="false">Sens!$O$7881/tk_pq</f>
        <v>0.195316432429398</v>
      </c>
      <c r="P7915" s="5" t="s">
        <v>661</v>
      </c>
    </row>
    <row r="7918" customFormat="false" ht="17.15" hidden="false" customHeight="false" outlineLevel="0" collapsed="false">
      <c r="A7918" s="1" t="s">
        <v>690</v>
      </c>
    </row>
    <row r="7919" customFormat="false" ht="17.15" hidden="false" customHeight="false" outlineLevel="0" collapsed="false">
      <c r="A7919" s="0" t="s">
        <v>691</v>
      </c>
      <c r="B7919" s="0" t="s">
        <v>86</v>
      </c>
      <c r="C7919" s="38" t="n">
        <f aca="false">Sens!$C$7880</f>
        <v>2.32100535697364</v>
      </c>
      <c r="D7919" s="38" t="n">
        <f aca="false">Sens!$D$7880</f>
        <v>8.70377008865116</v>
      </c>
      <c r="E7919" s="38" t="n">
        <f aca="false">Sens!$E$7880</f>
        <v>8.51035297557002</v>
      </c>
      <c r="F7919" s="38" t="n">
        <f aca="false">Sens!$F$7880</f>
        <v>14.9634336447205</v>
      </c>
      <c r="G7919" s="38" t="n">
        <f aca="false">Sens!$G$7880</f>
        <v>23.4737866202905</v>
      </c>
      <c r="H7919" s="38" t="n">
        <f aca="false">Sens!$H$7880</f>
        <v>60.1658907497746</v>
      </c>
      <c r="I7919" s="38" t="n">
        <f aca="false">Sens!$I$7880</f>
        <v>101.503699136432</v>
      </c>
      <c r="J7919" s="38" t="n">
        <f aca="false">Sens!$J$7880</f>
        <v>143.025407151278</v>
      </c>
      <c r="K7919" s="38" t="n">
        <f aca="false">Sens!$K$7880</f>
        <v>178.44812038318</v>
      </c>
      <c r="L7919" s="38" t="n">
        <f aca="false">Sens!$L$7880</f>
        <v>201.728101802396</v>
      </c>
      <c r="M7919" s="38" t="n">
        <f aca="false">Sens!$M$7880</f>
        <v>212.835441368865</v>
      </c>
      <c r="N7919" s="38" t="n">
        <f aca="false">Sens!$N$7880</f>
        <v>3.04631953102791</v>
      </c>
      <c r="O7919" s="38" t="n">
        <f aca="false">Sens!$O$7880</f>
        <v>5.65745055762326</v>
      </c>
      <c r="P7919" s="8" t="s">
        <v>692</v>
      </c>
    </row>
    <row r="7920" customFormat="false" ht="17.15" hidden="false" customHeight="false" outlineLevel="0" collapsed="false">
      <c r="A7920" s="0" t="s">
        <v>693</v>
      </c>
      <c r="B7920" s="0" t="s">
        <v>86</v>
      </c>
      <c r="C7920" s="38" t="n">
        <f aca="false">Sens!$C$7884</f>
        <v>105.234994643026</v>
      </c>
      <c r="D7920" s="38" t="n">
        <f aca="false">Sens!$D$7884</f>
        <v>120.021229911349</v>
      </c>
      <c r="E7920" s="38" t="n">
        <f aca="false">Sens!$E$7884</f>
        <v>71.30864702443</v>
      </c>
      <c r="F7920" s="38" t="n">
        <f aca="false">Sens!$F$7884</f>
        <v>71.7692997942464</v>
      </c>
      <c r="G7920" s="38" t="n">
        <f aca="false">Sens!$G$7884</f>
        <v>143.077946818676</v>
      </c>
      <c r="H7920" s="38" t="n">
        <f aca="false">Sens!$H$7884</f>
        <v>161.017077079203</v>
      </c>
      <c r="I7920" s="38" t="n">
        <f aca="false">Sens!$I$7884</f>
        <v>178.769759521457</v>
      </c>
      <c r="J7920" s="38" t="n">
        <f aca="false">Sens!$J$7884</f>
        <v>195.775538045907</v>
      </c>
      <c r="K7920" s="38" t="n">
        <f aca="false">Sens!$K$7884</f>
        <v>211.43758108958</v>
      </c>
      <c r="L7920" s="38" t="n">
        <f aca="false">Sens!$L$7884</f>
        <v>228.352587576746</v>
      </c>
      <c r="M7920" s="38" t="n">
        <f aca="false">Sens!$M$7884</f>
        <v>246.620794582886</v>
      </c>
      <c r="N7920" s="38" t="n">
        <f aca="false">Sens!$N$7884</f>
        <v>57.0936804689721</v>
      </c>
      <c r="O7920" s="38" t="n">
        <f aca="false">Sens!$O$7884</f>
        <v>62.9275494423768</v>
      </c>
      <c r="P7920" s="8" t="s">
        <v>692</v>
      </c>
    </row>
    <row r="7921" customFormat="false" ht="17.15" hidden="false" customHeight="false" outlineLevel="0" collapsed="false">
      <c r="A7921" s="1" t="s">
        <v>516</v>
      </c>
      <c r="B7921" s="8" t="s">
        <v>86</v>
      </c>
      <c r="C7921" s="38" t="n">
        <f aca="false">Q!$D$7</f>
        <v>107.556</v>
      </c>
      <c r="D7921" s="38" t="n">
        <f aca="false">Q!$E$7</f>
        <v>128.725</v>
      </c>
      <c r="E7921" s="38" t="n">
        <f aca="false">Q!$P$7</f>
        <v>79.819</v>
      </c>
      <c r="F7921" s="38" t="n">
        <f aca="false">Sens!$F$7919+Sens!$F$7920</f>
        <v>86.7327334389669</v>
      </c>
      <c r="G7921" s="38" t="n">
        <f aca="false">Sens!$G$7919+Sens!$G$7920</f>
        <v>166.551733438967</v>
      </c>
      <c r="H7921" s="38" t="n">
        <f aca="false">Sens!$H$7919+Sens!$H$7920</f>
        <v>221.182967828978</v>
      </c>
      <c r="I7921" s="38" t="n">
        <f aca="false">Sens!$I$7919+Sens!$I$7920</f>
        <v>280.27345865789</v>
      </c>
      <c r="J7921" s="38" t="n">
        <f aca="false">Sens!$J$7919+Sens!$J$7920</f>
        <v>338.800945197185</v>
      </c>
      <c r="K7921" s="38" t="n">
        <f aca="false">Sens!$K$7919+Sens!$K$7920</f>
        <v>389.88570147276</v>
      </c>
      <c r="L7921" s="38" t="n">
        <f aca="false">Sens!$L$7919+Sens!$L$7920</f>
        <v>430.080689379143</v>
      </c>
      <c r="M7921" s="38" t="n">
        <f aca="false">Sens!$M$7919+Sens!$M$7920</f>
        <v>459.456235951751</v>
      </c>
      <c r="N7921" s="38" t="n">
        <f aca="false">Q!$N$7</f>
        <v>60.14</v>
      </c>
      <c r="O7921" s="38" t="n">
        <f aca="false">Q!$O$7</f>
        <v>68.585</v>
      </c>
      <c r="P7921" s="5" t="s">
        <v>694</v>
      </c>
    </row>
    <row r="7922" customFormat="false" ht="15" hidden="false" customHeight="false" outlineLevel="0" collapsed="false">
      <c r="A7922" s="3" t="s">
        <v>695</v>
      </c>
      <c r="B7922" s="8" t="s">
        <v>86</v>
      </c>
      <c r="C7922" s="38" t="n">
        <f aca="false">Q!$D$8</f>
        <v>637.959</v>
      </c>
      <c r="D7922" s="38" t="n">
        <f aca="false">Q!$E$8</f>
        <v>716.924</v>
      </c>
      <c r="E7922" s="38" t="n">
        <f aca="false">Q!$P$8</f>
        <v>382.125</v>
      </c>
      <c r="F7922" s="38" t="n">
        <f aca="false">Sens!$F$7852+Sens!$F$7921</f>
        <v>435.780975084504</v>
      </c>
      <c r="G7922" s="38" t="n">
        <f aca="false">Sens!$G$7852+Sens!$G$7921</f>
        <v>817.905975084504</v>
      </c>
      <c r="H7922" s="38" t="n">
        <f aca="false">Sens!$H$7852+Sens!$H$7921</f>
        <v>942.279857350364</v>
      </c>
      <c r="I7922" s="38" t="n">
        <f aca="false">Sens!$I$7852+Sens!$I$7921</f>
        <v>1068.80284981042</v>
      </c>
      <c r="J7922" s="38" t="n">
        <f aca="false">Sens!$J$7852+Sens!$J$7921</f>
        <v>1189.90935093863</v>
      </c>
      <c r="K7922" s="38" t="n">
        <f aca="false">Sens!$K$7852+Sens!$K$7921</f>
        <v>1296.06215690385</v>
      </c>
      <c r="L7922" s="38" t="n">
        <f aca="false">Sens!$L$7852+Sens!$L$7921</f>
        <v>1395.17379585473</v>
      </c>
      <c r="M7922" s="38" t="n">
        <f aca="false">Sens!$M$7852+Sens!$M$7921</f>
        <v>1487.60414389864</v>
      </c>
      <c r="N7922" s="38" t="n">
        <f aca="false">Q!$N$8</f>
        <v>323.369</v>
      </c>
      <c r="O7922" s="38" t="n">
        <f aca="false">Q!$O$8</f>
        <v>393.555</v>
      </c>
    </row>
    <row r="7923" customFormat="false" ht="17.15" hidden="false" customHeight="false" outlineLevel="0" collapsed="false">
      <c r="A7923" s="24" t="s">
        <v>703</v>
      </c>
      <c r="B7923" s="25" t="s">
        <v>86</v>
      </c>
      <c r="C7923" s="41" t="n">
        <f aca="false">Sens!$C$7852-(Sens!$C$7854+Sens!$C$7855)</f>
        <v>0</v>
      </c>
      <c r="D7923" s="41" t="n">
        <f aca="false">Sens!$D$7852-(Sens!$D$7854+Sens!$D$7855)</f>
        <v>0</v>
      </c>
      <c r="E7923" s="41" t="n">
        <f aca="false">Sens!$E$7852-(Sens!$E$7854+Sens!$E$7855)</f>
        <v>0</v>
      </c>
      <c r="F7923" s="41" t="n">
        <f aca="false">Sens!$F$7852-(Sens!$F$7854+Sens!$F$7855)</f>
        <v>0</v>
      </c>
      <c r="G7923" s="41" t="n">
        <f aca="false">Sens!$G$7852-(Sens!$G$7854+Sens!$G$7855)</f>
        <v>0</v>
      </c>
      <c r="H7923" s="41" t="n">
        <f aca="false">Sens!$H$7852-(Sens!$H$7854+Sens!$H$7855)</f>
        <v>0</v>
      </c>
      <c r="I7923" s="41" t="n">
        <f aca="false">Sens!$I$7852-(Sens!$I$7854+Sens!$I$7855)</f>
        <v>0</v>
      </c>
      <c r="J7923" s="41" t="n">
        <f aca="false">Sens!$J$7852-(Sens!$J$7854+Sens!$J$7855)</f>
        <v>0</v>
      </c>
      <c r="K7923" s="41" t="n">
        <f aca="false">Sens!$K$7852-(Sens!$K$7854+Sens!$K$7855)</f>
        <v>0</v>
      </c>
      <c r="L7923" s="41" t="n">
        <f aca="false">Sens!$L$7852-(Sens!$L$7854+Sens!$L$7855)</f>
        <v>0</v>
      </c>
      <c r="M7923" s="41" t="n">
        <f aca="false">Sens!$M$7852-(Sens!$M$7854+Sens!$M$7855)</f>
        <v>0</v>
      </c>
      <c r="N7923" s="41" t="n">
        <f aca="false">Sens!$N$7852-(Sens!$N$7854+Sens!$N$7855)</f>
        <v>0</v>
      </c>
      <c r="O7923" s="41" t="n">
        <f aca="false">Sens!$O$7852-(Sens!$O$7854+Sens!$O$7855)</f>
        <v>0</v>
      </c>
    </row>
    <row r="7924" customFormat="false" ht="17.15" hidden="false" customHeight="false" outlineLevel="0" collapsed="false">
      <c r="A7924" s="24" t="s">
        <v>704</v>
      </c>
      <c r="B7924" s="25" t="s">
        <v>86</v>
      </c>
      <c r="C7924" s="41" t="n">
        <f aca="false">Sens!$C$7919+Sens!$C$7920-Sens!$C$7921</f>
        <v>0</v>
      </c>
      <c r="D7924" s="41" t="n">
        <f aca="false">Sens!$D$7919+Sens!$D$7920-Sens!$D$7921</f>
        <v>0</v>
      </c>
      <c r="E7924" s="41" t="n">
        <f aca="false">Sens!$E$7919+Sens!$E$7920-Sens!$E$7921</f>
        <v>0</v>
      </c>
      <c r="F7924" s="41" t="n">
        <f aca="false">Sens!$F$7919+Sens!$F$7920-Sens!$F$7921</f>
        <v>0</v>
      </c>
      <c r="G7924" s="41" t="n">
        <f aca="false">Sens!$G$7919+Sens!$G$7920-Sens!$G$7921</f>
        <v>0</v>
      </c>
      <c r="H7924" s="41" t="n">
        <f aca="false">Sens!$H$7919+Sens!$H$7920-Sens!$H$7921</f>
        <v>0</v>
      </c>
      <c r="I7924" s="41" t="n">
        <f aca="false">Sens!$I$7919+Sens!$I$7920-Sens!$I$7921</f>
        <v>0</v>
      </c>
      <c r="J7924" s="41" t="n">
        <f aca="false">Sens!$J$7919+Sens!$J$7920-Sens!$J$7921</f>
        <v>0</v>
      </c>
      <c r="K7924" s="41" t="n">
        <f aca="false">Sens!$K$7919+Sens!$K$7920-Sens!$K$7921</f>
        <v>0</v>
      </c>
      <c r="L7924" s="41" t="n">
        <f aca="false">Sens!$L$7919+Sens!$L$7920-Sens!$L$7921</f>
        <v>0</v>
      </c>
      <c r="M7924" s="41" t="n">
        <f aca="false">Sens!$M$7919+Sens!$M$7920-Sens!$M$7921</f>
        <v>0</v>
      </c>
      <c r="N7924" s="41" t="n">
        <f aca="false">Sens!$N$7919+Sens!$N$7920-Sens!$N$7921</f>
        <v>0</v>
      </c>
      <c r="O7924" s="41" t="n">
        <f aca="false">Sens!$O$7919+Sens!$O$7920-Sens!$O$7921</f>
        <v>0</v>
      </c>
    </row>
    <row r="7925" customFormat="false" ht="17.15" hidden="false" customHeight="false" outlineLevel="0" collapsed="false">
      <c r="A7925" s="24" t="s">
        <v>705</v>
      </c>
      <c r="B7925" s="25" t="s">
        <v>86</v>
      </c>
      <c r="C7925" s="41" t="n">
        <f aca="false">Sens!$C$7854+Sens!$C$7855+Sens!$C$7921-Sens!$C$7922</f>
        <v>0</v>
      </c>
      <c r="D7925" s="41" t="n">
        <f aca="false">Sens!$D$7854+Sens!$D$7855+Sens!$D$7921-Sens!$D$7922</f>
        <v>0</v>
      </c>
      <c r="E7925" s="41" t="n">
        <f aca="false">Sens!$E$7854+Sens!$E$7855+Sens!$E$7921-Sens!$E$7922</f>
        <v>0</v>
      </c>
      <c r="F7925" s="41" t="n">
        <f aca="false">Sens!$F$7854+Sens!$F$7855+Sens!$F$7921-Sens!$F$7922</f>
        <v>0</v>
      </c>
      <c r="G7925" s="41" t="n">
        <f aca="false">Sens!$G$7854+Sens!$G$7855+Sens!$G$7921-Sens!$G$7922</f>
        <v>0</v>
      </c>
      <c r="H7925" s="41" t="n">
        <f aca="false">Sens!$H$7854+Sens!$H$7855+Sens!$H$7921-Sens!$H$7922</f>
        <v>0</v>
      </c>
      <c r="I7925" s="41" t="n">
        <f aca="false">Sens!$I$7854+Sens!$I$7855+Sens!$I$7921-Sens!$I$7922</f>
        <v>0</v>
      </c>
      <c r="J7925" s="41" t="n">
        <f aca="false">Sens!$J$7854+Sens!$J$7855+Sens!$J$7921-Sens!$J$7922</f>
        <v>0</v>
      </c>
      <c r="K7925" s="41" t="n">
        <f aca="false">Sens!$K$7854+Sens!$K$7855+Sens!$K$7921-Sens!$K$7922</f>
        <v>0</v>
      </c>
      <c r="L7925" s="41" t="n">
        <f aca="false">Sens!$L$7854+Sens!$L$7855+Sens!$L$7921-Sens!$L$7922</f>
        <v>0</v>
      </c>
      <c r="M7925" s="41" t="n">
        <f aca="false">Sens!$M$7854+Sens!$M$7855+Sens!$M$7921-Sens!$M$7922</f>
        <v>0</v>
      </c>
      <c r="N7925" s="41" t="n">
        <f aca="false">Sens!$N$7854+Sens!$N$7855+Sens!$N$7921-Sens!$N$7922</f>
        <v>0</v>
      </c>
      <c r="O7925" s="41" t="n">
        <f aca="false">Sens!$O$7854+Sens!$O$7855+Sens!$O$7921-Sens!$O$7922</f>
        <v>0</v>
      </c>
    </row>
    <row r="7926" customFormat="false" ht="15" hidden="false" customHeight="false" outlineLevel="0" collapsed="false">
      <c r="A7926" s="5" t="s">
        <v>699</v>
      </c>
      <c r="B7926" s="0" t="s">
        <v>52</v>
      </c>
      <c r="G7926" s="13" t="n">
        <f aca="false">Sens!$G$7922/Sens!$D$7922-1</f>
        <v>0.140854504918937</v>
      </c>
      <c r="H7926" s="13" t="n">
        <f aca="false">Sens!$H$7922/Sens!$G$7922-1</f>
        <v>0.152063789793209</v>
      </c>
      <c r="I7926" s="13" t="n">
        <f aca="false">Sens!$I$7922/Sens!$H$7922-1</f>
        <v>0.134273264437417</v>
      </c>
      <c r="J7926" s="13" t="n">
        <f aca="false">Sens!$J$7922/Sens!$I$7922-1</f>
        <v>0.113310421234083</v>
      </c>
      <c r="K7926" s="13" t="n">
        <f aca="false">Sens!$K$7922/Sens!$J$7922-1</f>
        <v>0.0892108343223652</v>
      </c>
      <c r="L7926" s="13" t="n">
        <f aca="false">Sens!$L$7922/Sens!$K$7922-1</f>
        <v>0.076471362444261</v>
      </c>
      <c r="M7926" s="13" t="n">
        <f aca="false">Sens!$M$7922/Sens!$L$7922-1</f>
        <v>0.066250060256672</v>
      </c>
    </row>
    <row r="7927" customFormat="false" ht="17.15" hidden="false" customHeight="false" outlineLevel="0" collapsed="false">
      <c r="A7927" s="0" t="s">
        <v>700</v>
      </c>
      <c r="B7927" s="0" t="s">
        <v>52</v>
      </c>
      <c r="C7927" s="13" t="n">
        <f aca="false">Sens!$C$7921/Sens!$C$7922</f>
        <v>0.168593906504964</v>
      </c>
      <c r="D7927" s="13" t="n">
        <f aca="false">Sens!$D$7921/Sens!$D$7922</f>
        <v>0.179551807444025</v>
      </c>
      <c r="E7927" s="13" t="n">
        <f aca="false">Sens!$E$7921/Sens!$E$7922</f>
        <v>0.208881910369643</v>
      </c>
      <c r="F7927" s="13" t="n">
        <f aca="false">Sens!$F$7921/Sens!$F$7922</f>
        <v>0.199028269699356</v>
      </c>
      <c r="G7927" s="13" t="n">
        <f aca="false">Sens!$G$7921/Sens!$G$7922</f>
        <v>0.203631882529968</v>
      </c>
      <c r="H7927" s="13" t="n">
        <f aca="false">Sens!$H$7921/Sens!$H$7922</f>
        <v>0.234731715958496</v>
      </c>
      <c r="I7927" s="13" t="n">
        <f aca="false">Sens!$I$7921/Sens!$I$7922</f>
        <v>0.262231204480418</v>
      </c>
      <c r="J7927" s="13" t="n">
        <f aca="false">Sens!$J$7921/Sens!$J$7922</f>
        <v>0.284728366013706</v>
      </c>
      <c r="K7927" s="13" t="n">
        <f aca="false">Sens!$K$7921/Sens!$K$7922</f>
        <v>0.300823304959505</v>
      </c>
      <c r="L7927" s="13" t="n">
        <f aca="false">Sens!$L$7921/Sens!$L$7922</f>
        <v>0.308263164529735</v>
      </c>
      <c r="M7927" s="13" t="n">
        <f aca="false">Sens!$M$7921/Sens!$M$7922</f>
        <v>0.308856517936036</v>
      </c>
      <c r="N7927" s="13" t="n">
        <f aca="false">Sens!$N$7921/Sens!$N$7922</f>
        <v>0.185979484737251</v>
      </c>
      <c r="O7927" s="13" t="n">
        <f aca="false">Sens!$O$7921/Sens!$O$7922</f>
        <v>0.174270432341096</v>
      </c>
    </row>
    <row r="7928" customFormat="false" ht="17.15" hidden="false" customHeight="false" outlineLevel="0" collapsed="false">
      <c r="A7928" s="0" t="s">
        <v>701</v>
      </c>
      <c r="B7928" s="0" t="s">
        <v>52</v>
      </c>
      <c r="C7928" s="13" t="n">
        <f aca="false">Sens!$C$7919/Sens!$C$7921</f>
        <v>0.0215795060896058</v>
      </c>
      <c r="D7928" s="13" t="n">
        <f aca="false">Sens!$D$7919/Sens!$D$7921</f>
        <v>0.0676152269462122</v>
      </c>
      <c r="E7928" s="13" t="n">
        <f aca="false">Sens!$E$7919/Sens!$E$7921</f>
        <v>0.106620641395783</v>
      </c>
      <c r="F7928" s="13" t="n">
        <f aca="false">Sens!$F$7919/Sens!$F$7921</f>
        <v>0.172523487401099</v>
      </c>
      <c r="G7928" s="13" t="n">
        <f aca="false">Sens!$G$7919/Sens!$G$7921</f>
        <v>0.140939911795589</v>
      </c>
      <c r="H7928" s="13" t="n">
        <f aca="false">Sens!$H$7919/Sens!$H$7921</f>
        <v>0.272018642937714</v>
      </c>
      <c r="I7928" s="13" t="n">
        <f aca="false">Sens!$I$7919/Sens!$I$7921</f>
        <v>0.362159512436497</v>
      </c>
      <c r="J7928" s="13" t="n">
        <f aca="false">Sens!$J$7919/Sens!$J$7921</f>
        <v>0.422151735934609</v>
      </c>
      <c r="K7928" s="13" t="n">
        <f aca="false">Sens!$K$7919/Sens!$K$7921</f>
        <v>0.45769342068485</v>
      </c>
      <c r="L7928" s="13" t="n">
        <f aca="false">Sens!$L$7919/Sens!$L$7921</f>
        <v>0.469047103913472</v>
      </c>
      <c r="M7928" s="13" t="n">
        <f aca="false">Sens!$M$7919/Sens!$M$7921</f>
        <v>0.463233328258093</v>
      </c>
      <c r="N7928" s="13" t="n">
        <f aca="false">Sens!$N$7919/Sens!$N$7921</f>
        <v>0.0506537999838362</v>
      </c>
      <c r="O7928" s="13" t="n">
        <f aca="false">Sens!$O$7919/Sens!$O$7921</f>
        <v>0.0824881615167056</v>
      </c>
    </row>
    <row r="7931" customFormat="false" ht="19.4" hidden="false" customHeight="false" outlineLevel="0" collapsed="false">
      <c r="A7931" s="31" t="s">
        <v>1297</v>
      </c>
    </row>
    <row r="7932" customFormat="false" ht="17.15" hidden="false" customHeight="false" outlineLevel="0" collapsed="false">
      <c r="A7932" s="6" t="s">
        <v>16</v>
      </c>
      <c r="B7932" s="6" t="s">
        <v>17</v>
      </c>
      <c r="C7932" s="20" t="s">
        <v>497</v>
      </c>
      <c r="D7932" s="20" t="s">
        <v>498</v>
      </c>
      <c r="E7932" s="20" t="s">
        <v>580</v>
      </c>
      <c r="F7932" s="20" t="s">
        <v>581</v>
      </c>
      <c r="G7932" s="20" t="s">
        <v>582</v>
      </c>
      <c r="H7932" s="20" t="s">
        <v>583</v>
      </c>
      <c r="I7932" s="20" t="s">
        <v>584</v>
      </c>
      <c r="J7932" s="20" t="s">
        <v>585</v>
      </c>
      <c r="K7932" s="20" t="s">
        <v>586</v>
      </c>
      <c r="L7932" s="20" t="s">
        <v>587</v>
      </c>
      <c r="M7932" s="20" t="s">
        <v>588</v>
      </c>
      <c r="N7932" s="20" t="s">
        <v>589</v>
      </c>
      <c r="O7932" s="20" t="s">
        <v>590</v>
      </c>
      <c r="P7932" s="6" t="s">
        <v>23</v>
      </c>
      <c r="R7932" s="20" t="n">
        <v>2023</v>
      </c>
      <c r="S7932" s="20" t="n">
        <v>2024</v>
      </c>
      <c r="T7932" s="20" t="n">
        <v>2025</v>
      </c>
      <c r="U7932" s="20" t="n">
        <v>2026</v>
      </c>
      <c r="V7932" s="20" t="n">
        <v>2027</v>
      </c>
      <c r="W7932" s="20" t="n">
        <v>2028</v>
      </c>
      <c r="X7932" s="20" t="n">
        <v>2029</v>
      </c>
      <c r="Y7932" s="20" t="n">
        <v>2030</v>
      </c>
      <c r="Z7932" s="20" t="n">
        <v>2031</v>
      </c>
      <c r="AA7932" s="20" t="n">
        <v>2032</v>
      </c>
    </row>
    <row r="7933" customFormat="false" ht="17.15" hidden="false" customHeight="false" outlineLevel="0" collapsed="false">
      <c r="A7933" s="1" t="s">
        <v>716</v>
      </c>
    </row>
    <row r="7934" customFormat="false" ht="15" hidden="false" customHeight="false" outlineLevel="0" collapsed="false">
      <c r="A7934" s="0" t="s">
        <v>519</v>
      </c>
      <c r="B7934" s="0" t="s">
        <v>86</v>
      </c>
      <c r="C7934" s="38" t="n">
        <f aca="false">Sens!$C$7839</f>
        <v>247.029</v>
      </c>
      <c r="D7934" s="38" t="n">
        <f aca="false">Sens!$D$7839</f>
        <v>269.287</v>
      </c>
      <c r="E7934" s="38" t="n">
        <f aca="false">Sens!$E$7839</f>
        <v>134.686</v>
      </c>
      <c r="F7934" s="38" t="n">
        <f aca="false">Sens!$F$7839</f>
        <v>158.293876822267</v>
      </c>
      <c r="G7934" s="38" t="n">
        <f aca="false">Sens!$G$7839</f>
        <v>292.979876822267</v>
      </c>
      <c r="H7934" s="38" t="n">
        <f aca="false">Sens!$H$7839</f>
        <v>318.184543087396</v>
      </c>
      <c r="I7934" s="38" t="n">
        <f aca="false">Sens!$I$7839</f>
        <v>341.736278761793</v>
      </c>
      <c r="J7934" s="38" t="n">
        <f aca="false">Sens!$J$7839</f>
        <v>362.927192787048</v>
      </c>
      <c r="K7934" s="38" t="n">
        <f aca="false">Sens!$K$7839</f>
        <v>381.0735524264</v>
      </c>
      <c r="L7934" s="38" t="n">
        <f aca="false">Sens!$L$7839</f>
        <v>400.12723004772</v>
      </c>
      <c r="M7934" s="38" t="n">
        <f aca="false">Sens!$M$7839</f>
        <v>420.133591550106</v>
      </c>
      <c r="N7934" s="38" t="n">
        <f aca="false">Sens!$N$7839</f>
        <v>118.892</v>
      </c>
      <c r="O7934" s="38" t="n">
        <f aca="false">Sens!$O$7839</f>
        <v>150.395</v>
      </c>
    </row>
    <row r="7935" customFormat="false" ht="15" hidden="false" customHeight="false" outlineLevel="0" collapsed="false">
      <c r="A7935" s="0" t="s">
        <v>520</v>
      </c>
      <c r="B7935" s="0" t="s">
        <v>86</v>
      </c>
      <c r="C7935" s="38" t="n">
        <f aca="false">Sens!$C$7841</f>
        <v>21.215</v>
      </c>
      <c r="D7935" s="38" t="n">
        <f aca="false">Sens!$D$7841</f>
        <v>22.561</v>
      </c>
      <c r="E7935" s="38" t="n">
        <f aca="false">Sens!$E$7841</f>
        <v>11.579</v>
      </c>
      <c r="F7935" s="38" t="n">
        <f aca="false">Sens!$F$7841</f>
        <v>11.5938724610325</v>
      </c>
      <c r="G7935" s="38" t="n">
        <f aca="false">Sens!$G$7841</f>
        <v>23.1728724610325</v>
      </c>
      <c r="H7935" s="38" t="n">
        <f aca="false">Sens!$H$7841</f>
        <v>24.353392759506</v>
      </c>
      <c r="I7935" s="38" t="n">
        <f aca="false">Sens!$I$7841</f>
        <v>25.4240338872015</v>
      </c>
      <c r="J7935" s="38" t="n">
        <f aca="false">Sens!$J$7841</f>
        <v>26.3642491017174</v>
      </c>
      <c r="K7935" s="38" t="n">
        <f aca="false">Sens!$K$7841</f>
        <v>27.155176574769</v>
      </c>
      <c r="L7935" s="38" t="n">
        <f aca="false">Sens!$L$7841</f>
        <v>27.969831872012</v>
      </c>
      <c r="M7935" s="38" t="n">
        <f aca="false">Sens!$M$7841</f>
        <v>28.8089268281724</v>
      </c>
      <c r="N7935" s="38" t="n">
        <f aca="false">Sens!$N$7841</f>
        <v>11.128</v>
      </c>
      <c r="O7935" s="38" t="n">
        <f aca="false">Sens!$O$7841</f>
        <v>11.433</v>
      </c>
    </row>
    <row r="7936" customFormat="false" ht="15" hidden="false" customHeight="false" outlineLevel="0" collapsed="false">
      <c r="A7936" s="0" t="s">
        <v>521</v>
      </c>
      <c r="B7936" s="0" t="s">
        <v>86</v>
      </c>
      <c r="C7936" s="38" t="n">
        <f aca="false">Sens!$C$7843</f>
        <v>156.146</v>
      </c>
      <c r="D7936" s="38" t="n">
        <f aca="false">Sens!$D$7843</f>
        <v>172.162</v>
      </c>
      <c r="E7936" s="38" t="n">
        <f aca="false">Sens!$E$7843</f>
        <v>88.358</v>
      </c>
      <c r="F7936" s="38" t="n">
        <f aca="false">Sens!$F$7843</f>
        <v>102.004388260171</v>
      </c>
      <c r="G7936" s="38" t="n">
        <f aca="false">Sens!$G$7843</f>
        <v>190.362388260171</v>
      </c>
      <c r="H7936" s="38" t="n">
        <f aca="false">Sens!$H$7843</f>
        <v>210.343106588311</v>
      </c>
      <c r="I7936" s="38" t="n">
        <f aca="false">Sens!$I$7843</f>
        <v>229.969728494648</v>
      </c>
      <c r="J7936" s="38" t="n">
        <f aca="false">Sens!$J$7843</f>
        <v>248.747636972598</v>
      </c>
      <c r="K7936" s="38" t="n">
        <f aca="false">Sens!$K$7843</f>
        <v>266.15997156068</v>
      </c>
      <c r="L7936" s="38" t="n">
        <f aca="false">Sens!$L$7843</f>
        <v>284.791169569927</v>
      </c>
      <c r="M7936" s="38" t="n">
        <f aca="false">Sens!$M$7843</f>
        <v>304.726551439822</v>
      </c>
      <c r="N7936" s="38" t="n">
        <f aca="false">Sens!$N$7843</f>
        <v>76.86</v>
      </c>
      <c r="O7936" s="38" t="n">
        <f aca="false">Sens!$O$7843</f>
        <v>95.302</v>
      </c>
    </row>
    <row r="7937" customFormat="false" ht="15" hidden="false" customHeight="false" outlineLevel="0" collapsed="false">
      <c r="A7937" s="0" t="s">
        <v>522</v>
      </c>
      <c r="B7937" s="0" t="s">
        <v>86</v>
      </c>
      <c r="C7937" s="38" t="n">
        <f aca="false">Sens!$C$7845</f>
        <v>56.214</v>
      </c>
      <c r="D7937" s="38" t="n">
        <f aca="false">Sens!$D$7845</f>
        <v>68.635</v>
      </c>
      <c r="E7937" s="38" t="n">
        <f aca="false">Sens!$E$7845</f>
        <v>37.052</v>
      </c>
      <c r="F7937" s="38" t="n">
        <f aca="false">Sens!$F$7845</f>
        <v>46.1572219944148</v>
      </c>
      <c r="G7937" s="38" t="n">
        <f aca="false">Sens!$G$7845</f>
        <v>83.2092219944148</v>
      </c>
      <c r="H7937" s="38" t="n">
        <f aca="false">Sens!$H$7845</f>
        <v>99.8969223878976</v>
      </c>
      <c r="I7937" s="38" t="n">
        <f aca="false">Sens!$I$7845</f>
        <v>116.583111095496</v>
      </c>
      <c r="J7937" s="38" t="n">
        <f aca="false">Sens!$J$7845</f>
        <v>132.148941941952</v>
      </c>
      <c r="K7937" s="38" t="n">
        <f aca="false">Sens!$K$7845</f>
        <v>145.363836136147</v>
      </c>
      <c r="L7937" s="38" t="n">
        <f aca="false">Sens!$L$7845</f>
        <v>159.900219749762</v>
      </c>
      <c r="M7937" s="38" t="n">
        <f aca="false">Sens!$M$7845</f>
        <v>175.890241724738</v>
      </c>
      <c r="N7937" s="38" t="n">
        <f aca="false">Sens!$N$7845</f>
        <v>29.615</v>
      </c>
      <c r="O7937" s="38" t="n">
        <f aca="false">Sens!$O$7845</f>
        <v>39.02</v>
      </c>
    </row>
    <row r="7938" customFormat="false" ht="15" hidden="false" customHeight="false" outlineLevel="0" collapsed="false">
      <c r="A7938" s="0" t="s">
        <v>523</v>
      </c>
      <c r="B7938" s="0" t="s">
        <v>86</v>
      </c>
      <c r="C7938" s="38" t="n">
        <f aca="false">Sens!$C$7847</f>
        <v>44.374</v>
      </c>
      <c r="D7938" s="38" t="n">
        <f aca="false">Sens!$D$7847</f>
        <v>49.619</v>
      </c>
      <c r="E7938" s="38" t="n">
        <f aca="false">Sens!$E$7847</f>
        <v>27.157</v>
      </c>
      <c r="F7938" s="38" t="n">
        <f aca="false">Sens!$F$7847</f>
        <v>27.7764165988154</v>
      </c>
      <c r="G7938" s="38" t="n">
        <f aca="false">Sens!$G$7847</f>
        <v>54.9334165988154</v>
      </c>
      <c r="H7938" s="38" t="n">
        <f aca="false">Sens!$H$7847</f>
        <v>61.1564112561829</v>
      </c>
      <c r="I7938" s="38" t="n">
        <f aca="false">Sens!$I$7847</f>
        <v>67.2020282103945</v>
      </c>
      <c r="J7938" s="38" t="n">
        <f aca="false">Sens!$J$7847</f>
        <v>72.8757274028885</v>
      </c>
      <c r="K7938" s="38" t="n">
        <f aca="false">Sens!$K$7847</f>
        <v>77.9770283210907</v>
      </c>
      <c r="L7938" s="38" t="n">
        <f aca="false">Sens!$L$7847</f>
        <v>83.4354203035671</v>
      </c>
      <c r="M7938" s="38" t="n">
        <f aca="false">Sens!$M$7847</f>
        <v>89.2758997248168</v>
      </c>
      <c r="N7938" s="38" t="n">
        <f aca="false">Sens!$N$7847</f>
        <v>23.923</v>
      </c>
      <c r="O7938" s="38" t="n">
        <f aca="false">Sens!$O$7847</f>
        <v>25.696</v>
      </c>
    </row>
    <row r="7939" customFormat="false" ht="15" hidden="false" customHeight="false" outlineLevel="0" collapsed="false">
      <c r="A7939" s="0" t="s">
        <v>524</v>
      </c>
      <c r="B7939" s="0" t="s">
        <v>86</v>
      </c>
      <c r="C7939" s="38" t="n">
        <f aca="false">Sens!$C$7849</f>
        <v>5.425</v>
      </c>
      <c r="D7939" s="38" t="n">
        <f aca="false">Sens!$D$7849</f>
        <v>5.935</v>
      </c>
      <c r="E7939" s="38" t="n">
        <f aca="false">Sens!$E$7849</f>
        <v>3.474</v>
      </c>
      <c r="F7939" s="38" t="n">
        <f aca="false">Sens!$F$7849</f>
        <v>3.22246550883619</v>
      </c>
      <c r="G7939" s="38" t="n">
        <f aca="false">Sens!$G$7849</f>
        <v>6.69646550883619</v>
      </c>
      <c r="H7939" s="38" t="n">
        <f aca="false">Sens!$H$7849</f>
        <v>7.16251344209196</v>
      </c>
      <c r="I7939" s="38" t="n">
        <f aca="false">Sens!$I$7849</f>
        <v>7.61421070299826</v>
      </c>
      <c r="J7939" s="38" t="n">
        <f aca="false">Sens!$J$7849</f>
        <v>8.04465753523932</v>
      </c>
      <c r="K7939" s="38" t="n">
        <f aca="false">Sens!$K$7849</f>
        <v>8.44689041200128</v>
      </c>
      <c r="L7939" s="38" t="n">
        <f aca="false">Sens!$L$7849</f>
        <v>8.86923493260135</v>
      </c>
      <c r="M7939" s="38" t="n">
        <f aca="false">Sens!$M$7849</f>
        <v>9.31269667923142</v>
      </c>
      <c r="N7939" s="38" t="n">
        <f aca="false">Sens!$N$7849</f>
        <v>2.811</v>
      </c>
      <c r="O7939" s="38" t="n">
        <f aca="false">Sens!$O$7849</f>
        <v>3.124</v>
      </c>
    </row>
    <row r="7940" customFormat="false" ht="17.15" hidden="false" customHeight="false" outlineLevel="0" collapsed="false">
      <c r="A7940" s="0" t="s">
        <v>717</v>
      </c>
      <c r="B7940" s="0" t="s">
        <v>86</v>
      </c>
      <c r="C7940" s="38" t="n">
        <f aca="false">Sens!$C$7921</f>
        <v>107.556</v>
      </c>
      <c r="D7940" s="38" t="n">
        <f aca="false">Sens!$D$7921</f>
        <v>128.725</v>
      </c>
      <c r="E7940" s="38" t="n">
        <f aca="false">Sens!$E$7921</f>
        <v>79.819</v>
      </c>
      <c r="F7940" s="38" t="n">
        <f aca="false">Sens!$F$7921</f>
        <v>86.7327334389669</v>
      </c>
      <c r="G7940" s="38" t="n">
        <f aca="false">Sens!$G$7921</f>
        <v>166.551733438967</v>
      </c>
      <c r="H7940" s="38" t="n">
        <f aca="false">Sens!$H$7921</f>
        <v>221.182967828978</v>
      </c>
      <c r="I7940" s="38" t="n">
        <f aca="false">Sens!$I$7921</f>
        <v>280.27345865789</v>
      </c>
      <c r="J7940" s="38" t="n">
        <f aca="false">Sens!$J$7921</f>
        <v>338.800945197185</v>
      </c>
      <c r="K7940" s="38" t="n">
        <f aca="false">Sens!$K$7921</f>
        <v>389.88570147276</v>
      </c>
      <c r="L7940" s="38" t="n">
        <f aca="false">Sens!$L$7921</f>
        <v>430.080689379143</v>
      </c>
      <c r="M7940" s="38" t="n">
        <f aca="false">Sens!$M$7921</f>
        <v>459.456235951751</v>
      </c>
      <c r="N7940" s="38" t="n">
        <f aca="false">Sens!$N$7921</f>
        <v>60.14</v>
      </c>
      <c r="O7940" s="38" t="n">
        <f aca="false">Sens!$O$7921</f>
        <v>68.585</v>
      </c>
    </row>
    <row r="7941" customFormat="false" ht="15" hidden="false" customHeight="false" outlineLevel="0" collapsed="false">
      <c r="A7941" s="1" t="s">
        <v>512</v>
      </c>
      <c r="B7941" s="8" t="s">
        <v>86</v>
      </c>
      <c r="C7941" s="38" t="n">
        <f aca="false">Sens!$C$7854</f>
        <v>387.497</v>
      </c>
      <c r="D7941" s="38" t="n">
        <f aca="false">Sens!$D$7854</f>
        <v>426.305</v>
      </c>
      <c r="E7941" s="38" t="n">
        <f aca="false">Sens!$E$7854</f>
        <v>220.32</v>
      </c>
      <c r="F7941" s="38" t="n">
        <f aca="false">Sens!$F$7854</f>
        <v>250.639773480586</v>
      </c>
      <c r="G7941" s="38" t="n">
        <f aca="false">Sens!$G$7854</f>
        <v>470.959773480586</v>
      </c>
      <c r="H7941" s="38" t="n">
        <f aca="false">Sens!$H$7854</f>
        <v>521.386990416437</v>
      </c>
      <c r="I7941" s="38" t="n">
        <f aca="false">Sens!$I$7854</f>
        <v>570.143862887555</v>
      </c>
      <c r="J7941" s="38" t="n">
        <f aca="false">Sens!$J$7854</f>
        <v>615.391435791933</v>
      </c>
      <c r="K7941" s="38" t="n">
        <f aca="false">Sens!$K$7854</f>
        <v>655.208227561543</v>
      </c>
      <c r="L7941" s="38" t="n">
        <f aca="false">Sens!$L$7854</f>
        <v>697.807739249767</v>
      </c>
      <c r="M7941" s="38" t="n">
        <f aca="false">Sens!$M$7854</f>
        <v>743.399328463592</v>
      </c>
      <c r="N7941" s="38" t="n">
        <f aca="false">Sens!$N$7854</f>
        <v>192.955</v>
      </c>
      <c r="O7941" s="38" t="n">
        <f aca="false">Sens!$O$7854</f>
        <v>233.35</v>
      </c>
    </row>
    <row r="7942" customFormat="false" ht="15" hidden="false" customHeight="false" outlineLevel="0" collapsed="false">
      <c r="A7942" s="1" t="s">
        <v>515</v>
      </c>
      <c r="B7942" s="8" t="s">
        <v>86</v>
      </c>
      <c r="C7942" s="38" t="n">
        <f aca="false">Sens!$C$7855</f>
        <v>142.906</v>
      </c>
      <c r="D7942" s="38" t="n">
        <f aca="false">Sens!$D$7855</f>
        <v>161.894</v>
      </c>
      <c r="E7942" s="38" t="n">
        <f aca="false">Sens!$E$7855</f>
        <v>81.986</v>
      </c>
      <c r="F7942" s="38" t="n">
        <f aca="false">Sens!$F$7855</f>
        <v>98.408468164951</v>
      </c>
      <c r="G7942" s="38" t="n">
        <f aca="false">Sens!$G$7855</f>
        <v>180.394468164951</v>
      </c>
      <c r="H7942" s="38" t="n">
        <f aca="false">Sens!$H$7855</f>
        <v>199.709899104949</v>
      </c>
      <c r="I7942" s="38" t="n">
        <f aca="false">Sens!$I$7855</f>
        <v>218.385528264976</v>
      </c>
      <c r="J7942" s="38" t="n">
        <f aca="false">Sens!$J$7855</f>
        <v>235.71696994951</v>
      </c>
      <c r="K7942" s="38" t="n">
        <f aca="false">Sens!$K$7855</f>
        <v>250.968227869545</v>
      </c>
      <c r="L7942" s="38" t="n">
        <f aca="false">Sens!$L$7855</f>
        <v>267.285367225822</v>
      </c>
      <c r="M7942" s="38" t="n">
        <f aca="false">Sens!$M$7855</f>
        <v>284.748579483295</v>
      </c>
      <c r="N7942" s="38" t="n">
        <f aca="false">Sens!$N$7855</f>
        <v>70.274</v>
      </c>
      <c r="O7942" s="38" t="n">
        <f aca="false">Sens!$O$7855</f>
        <v>91.62</v>
      </c>
    </row>
    <row r="7943" customFormat="false" ht="15" hidden="false" customHeight="false" outlineLevel="0" collapsed="false">
      <c r="A7943" s="1" t="s">
        <v>516</v>
      </c>
      <c r="B7943" s="8" t="s">
        <v>86</v>
      </c>
      <c r="C7943" s="38" t="n">
        <f aca="false">Sens!$C$7921</f>
        <v>107.556</v>
      </c>
      <c r="D7943" s="38" t="n">
        <f aca="false">Sens!$D$7921</f>
        <v>128.725</v>
      </c>
      <c r="E7943" s="38" t="n">
        <f aca="false">Sens!$E$7921</f>
        <v>79.819</v>
      </c>
      <c r="F7943" s="38" t="n">
        <f aca="false">Sens!$F$7921</f>
        <v>86.7327334389669</v>
      </c>
      <c r="G7943" s="38" t="n">
        <f aca="false">Sens!$G$7921</f>
        <v>166.551733438967</v>
      </c>
      <c r="H7943" s="38" t="n">
        <f aca="false">Sens!$H$7921</f>
        <v>221.182967828978</v>
      </c>
      <c r="I7943" s="38" t="n">
        <f aca="false">Sens!$I$7921</f>
        <v>280.27345865789</v>
      </c>
      <c r="J7943" s="38" t="n">
        <f aca="false">Sens!$J$7921</f>
        <v>338.800945197185</v>
      </c>
      <c r="K7943" s="38" t="n">
        <f aca="false">Sens!$K$7921</f>
        <v>389.88570147276</v>
      </c>
      <c r="L7943" s="38" t="n">
        <f aca="false">Sens!$L$7921</f>
        <v>430.080689379143</v>
      </c>
      <c r="M7943" s="38" t="n">
        <f aca="false">Sens!$M$7921</f>
        <v>459.456235951751</v>
      </c>
      <c r="N7943" s="38" t="n">
        <f aca="false">Sens!$N$7921</f>
        <v>60.14</v>
      </c>
      <c r="O7943" s="38" t="n">
        <f aca="false">Sens!$O$7921</f>
        <v>68.585</v>
      </c>
    </row>
    <row r="7944" customFormat="false" ht="17.15" hidden="false" customHeight="false" outlineLevel="0" collapsed="false">
      <c r="A7944" s="0" t="s">
        <v>691</v>
      </c>
      <c r="B7944" s="0" t="s">
        <v>86</v>
      </c>
      <c r="C7944" s="38" t="n">
        <f aca="false">Sens!$C$7919</f>
        <v>2.32100535697364</v>
      </c>
      <c r="D7944" s="38" t="n">
        <f aca="false">Sens!$D$7919</f>
        <v>8.70377008865116</v>
      </c>
      <c r="E7944" s="38" t="n">
        <f aca="false">Sens!$E$7919</f>
        <v>8.51035297557002</v>
      </c>
      <c r="F7944" s="38" t="n">
        <f aca="false">Sens!$F$7919</f>
        <v>14.9634336447205</v>
      </c>
      <c r="G7944" s="38" t="n">
        <f aca="false">Sens!$G$7919</f>
        <v>23.4737866202905</v>
      </c>
      <c r="H7944" s="38" t="n">
        <f aca="false">Sens!$H$7919</f>
        <v>60.1658907497746</v>
      </c>
      <c r="I7944" s="38" t="n">
        <f aca="false">Sens!$I$7919</f>
        <v>101.503699136432</v>
      </c>
      <c r="J7944" s="38" t="n">
        <f aca="false">Sens!$J$7919</f>
        <v>143.025407151278</v>
      </c>
      <c r="K7944" s="38" t="n">
        <f aca="false">Sens!$K$7919</f>
        <v>178.44812038318</v>
      </c>
      <c r="L7944" s="38" t="n">
        <f aca="false">Sens!$L$7919</f>
        <v>201.728101802396</v>
      </c>
      <c r="M7944" s="38" t="n">
        <f aca="false">Sens!$M$7919</f>
        <v>212.835441368865</v>
      </c>
      <c r="N7944" s="38" t="n">
        <f aca="false">Sens!$N$7919</f>
        <v>3.04631953102791</v>
      </c>
      <c r="O7944" s="38" t="n">
        <f aca="false">Sens!$O$7919</f>
        <v>5.65745055762326</v>
      </c>
    </row>
    <row r="7945" customFormat="false" ht="17.15" hidden="false" customHeight="false" outlineLevel="0" collapsed="false">
      <c r="A7945" s="0" t="s">
        <v>693</v>
      </c>
      <c r="B7945" s="0" t="s">
        <v>86</v>
      </c>
      <c r="C7945" s="38" t="n">
        <f aca="false">Sens!$C$7920</f>
        <v>105.234994643026</v>
      </c>
      <c r="D7945" s="38" t="n">
        <f aca="false">Sens!$D$7920</f>
        <v>120.021229911349</v>
      </c>
      <c r="E7945" s="38" t="n">
        <f aca="false">Sens!$E$7920</f>
        <v>71.30864702443</v>
      </c>
      <c r="F7945" s="38" t="n">
        <f aca="false">Sens!$F$7920</f>
        <v>71.7692997942464</v>
      </c>
      <c r="G7945" s="38" t="n">
        <f aca="false">Sens!$G$7920</f>
        <v>143.077946818676</v>
      </c>
      <c r="H7945" s="38" t="n">
        <f aca="false">Sens!$H$7920</f>
        <v>161.017077079203</v>
      </c>
      <c r="I7945" s="38" t="n">
        <f aca="false">Sens!$I$7920</f>
        <v>178.769759521457</v>
      </c>
      <c r="J7945" s="38" t="n">
        <f aca="false">Sens!$J$7920</f>
        <v>195.775538045907</v>
      </c>
      <c r="K7945" s="38" t="n">
        <f aca="false">Sens!$K$7920</f>
        <v>211.43758108958</v>
      </c>
      <c r="L7945" s="38" t="n">
        <f aca="false">Sens!$L$7920</f>
        <v>228.352587576746</v>
      </c>
      <c r="M7945" s="38" t="n">
        <f aca="false">Sens!$M$7920</f>
        <v>246.620794582886</v>
      </c>
      <c r="N7945" s="38" t="n">
        <f aca="false">Sens!$N$7920</f>
        <v>57.0936804689721</v>
      </c>
      <c r="O7945" s="38" t="n">
        <f aca="false">Sens!$O$7920</f>
        <v>62.9275494423768</v>
      </c>
    </row>
    <row r="7946" customFormat="false" ht="15" hidden="false" customHeight="false" outlineLevel="0" collapsed="false">
      <c r="A7946" s="3" t="s">
        <v>517</v>
      </c>
      <c r="B7946" s="8" t="s">
        <v>86</v>
      </c>
      <c r="C7946" s="38" t="n">
        <f aca="false">Sens!$C$7922</f>
        <v>637.959</v>
      </c>
      <c r="D7946" s="38" t="n">
        <f aca="false">Sens!$D$7922</f>
        <v>716.924</v>
      </c>
      <c r="E7946" s="38" t="n">
        <f aca="false">Sens!$E$7922</f>
        <v>382.125</v>
      </c>
      <c r="F7946" s="38" t="n">
        <f aca="false">Sens!$F$7922</f>
        <v>435.780975084504</v>
      </c>
      <c r="G7946" s="38" t="n">
        <f aca="false">Sens!$G$7922</f>
        <v>817.905975084504</v>
      </c>
      <c r="H7946" s="38" t="n">
        <f aca="false">Sens!$H$7922</f>
        <v>942.279857350364</v>
      </c>
      <c r="I7946" s="38" t="n">
        <f aca="false">Sens!$I$7922</f>
        <v>1068.80284981042</v>
      </c>
      <c r="J7946" s="38" t="n">
        <f aca="false">Sens!$J$7922</f>
        <v>1189.90935093863</v>
      </c>
      <c r="K7946" s="38" t="n">
        <f aca="false">Sens!$K$7922</f>
        <v>1296.06215690385</v>
      </c>
      <c r="L7946" s="38" t="n">
        <f aca="false">Sens!$L$7922</f>
        <v>1395.17379585473</v>
      </c>
      <c r="M7946" s="38" t="n">
        <f aca="false">Sens!$M$7922</f>
        <v>1487.60414389864</v>
      </c>
      <c r="N7946" s="38" t="n">
        <f aca="false">Sens!$N$7922</f>
        <v>323.369</v>
      </c>
      <c r="O7946" s="38" t="n">
        <f aca="false">Sens!$O$7922</f>
        <v>393.555</v>
      </c>
    </row>
    <row r="7947" customFormat="false" ht="17.15" hidden="false" customHeight="false" outlineLevel="0" collapsed="false">
      <c r="A7947" s="24" t="s">
        <v>703</v>
      </c>
      <c r="B7947" s="25" t="s">
        <v>86</v>
      </c>
      <c r="C7947" s="41" t="n">
        <f aca="false">Sens!$C$7934+Sens!$C$7935+Sens!$C$7936+Sens!$C$7937+Sens!$C$7938+Sens!$C$7939-(Sens!$C$7941+Sens!$C$7942)</f>
        <v>0</v>
      </c>
      <c r="D7947" s="41" t="n">
        <f aca="false">Sens!$D$7934+Sens!$D$7935+Sens!$D$7936+Sens!$D$7937+Sens!$D$7938+Sens!$D$7939-(Sens!$D$7941+Sens!$D$7942)</f>
        <v>0</v>
      </c>
      <c r="E7947" s="41" t="n">
        <f aca="false">Sens!$E$7934+Sens!$E$7935+Sens!$E$7936+Sens!$E$7937+Sens!$E$7938+Sens!$E$7939-(Sens!$E$7941+Sens!$E$7942)</f>
        <v>0</v>
      </c>
      <c r="F7947" s="41" t="n">
        <f aca="false">Sens!$F$7934+Sens!$F$7935+Sens!$F$7936+Sens!$F$7937+Sens!$F$7938+Sens!$F$7939-(Sens!$F$7941+Sens!$F$7942)</f>
        <v>0</v>
      </c>
      <c r="G7947" s="41" t="n">
        <f aca="false">Sens!$G$7934+Sens!$G$7935+Sens!$G$7936+Sens!$G$7937+Sens!$G$7938+Sens!$G$7939-(Sens!$G$7941+Sens!$G$7942)</f>
        <v>0</v>
      </c>
      <c r="H7947" s="41" t="n">
        <f aca="false">Sens!$H$7934+Sens!$H$7935+Sens!$H$7936+Sens!$H$7937+Sens!$H$7938+Sens!$H$7939-(Sens!$H$7941+Sens!$H$7942)</f>
        <v>0</v>
      </c>
      <c r="I7947" s="41" t="n">
        <f aca="false">Sens!$I$7934+Sens!$I$7935+Sens!$I$7936+Sens!$I$7937+Sens!$I$7938+Sens!$I$7939-(Sens!$I$7941+Sens!$I$7942)</f>
        <v>0</v>
      </c>
      <c r="J7947" s="41" t="n">
        <f aca="false">Sens!$J$7934+Sens!$J$7935+Sens!$J$7936+Sens!$J$7937+Sens!$J$7938+Sens!$J$7939-(Sens!$J$7941+Sens!$J$7942)</f>
        <v>0</v>
      </c>
      <c r="K7947" s="41" t="n">
        <f aca="false">Sens!$K$7934+Sens!$K$7935+Sens!$K$7936+Sens!$K$7937+Sens!$K$7938+Sens!$K$7939-(Sens!$K$7941+Sens!$K$7942)</f>
        <v>0</v>
      </c>
      <c r="L7947" s="41" t="n">
        <f aca="false">Sens!$L$7934+Sens!$L$7935+Sens!$L$7936+Sens!$L$7937+Sens!$L$7938+Sens!$L$7939-(Sens!$L$7941+Sens!$L$7942)</f>
        <v>0</v>
      </c>
      <c r="M7947" s="41" t="n">
        <f aca="false">Sens!$M$7934+Sens!$M$7935+Sens!$M$7936+Sens!$M$7937+Sens!$M$7938+Sens!$M$7939-(Sens!$M$7941+Sens!$M$7942)</f>
        <v>0</v>
      </c>
      <c r="N7947" s="41" t="n">
        <f aca="false">Sens!$N$7934+Sens!$N$7935+Sens!$N$7936+Sens!$N$7937+Sens!$N$7938+Sens!$N$7939-(Sens!$N$7941+Sens!$N$7942)</f>
        <v>0</v>
      </c>
      <c r="O7947" s="41" t="n">
        <f aca="false">Sens!$O$7934+Sens!$O$7935+Sens!$O$7936+Sens!$O$7937+Sens!$O$7938+Sens!$O$7939-(Sens!$O$7941+Sens!$O$7942)</f>
        <v>0</v>
      </c>
    </row>
    <row r="7948" customFormat="false" ht="17.15" hidden="false" customHeight="false" outlineLevel="0" collapsed="false">
      <c r="A7948" s="24" t="s">
        <v>704</v>
      </c>
      <c r="B7948" s="25" t="s">
        <v>86</v>
      </c>
      <c r="C7948" s="41" t="n">
        <f aca="false">Sens!$C$7944+Sens!$C$7945-Sens!$C$7943</f>
        <v>0</v>
      </c>
      <c r="D7948" s="41" t="n">
        <f aca="false">Sens!$D$7944+Sens!$D$7945-Sens!$D$7943</f>
        <v>0</v>
      </c>
      <c r="E7948" s="41" t="n">
        <f aca="false">Sens!$E$7944+Sens!$E$7945-Sens!$E$7943</f>
        <v>0</v>
      </c>
      <c r="F7948" s="41" t="n">
        <f aca="false">Sens!$F$7944+Sens!$F$7945-Sens!$F$7943</f>
        <v>0</v>
      </c>
      <c r="G7948" s="41" t="n">
        <f aca="false">Sens!$G$7944+Sens!$G$7945-Sens!$G$7943</f>
        <v>0</v>
      </c>
      <c r="H7948" s="41" t="n">
        <f aca="false">Sens!$H$7944+Sens!$H$7945-Sens!$H$7943</f>
        <v>0</v>
      </c>
      <c r="I7948" s="41" t="n">
        <f aca="false">Sens!$I$7944+Sens!$I$7945-Sens!$I$7943</f>
        <v>0</v>
      </c>
      <c r="J7948" s="41" t="n">
        <f aca="false">Sens!$J$7944+Sens!$J$7945-Sens!$J$7943</f>
        <v>0</v>
      </c>
      <c r="K7948" s="41" t="n">
        <f aca="false">Sens!$K$7944+Sens!$K$7945-Sens!$K$7943</f>
        <v>0</v>
      </c>
      <c r="L7948" s="41" t="n">
        <f aca="false">Sens!$L$7944+Sens!$L$7945-Sens!$L$7943</f>
        <v>0</v>
      </c>
      <c r="M7948" s="41" t="n">
        <f aca="false">Sens!$M$7944+Sens!$M$7945-Sens!$M$7943</f>
        <v>0</v>
      </c>
      <c r="N7948" s="41" t="n">
        <f aca="false">Sens!$N$7944+Sens!$N$7945-Sens!$N$7943</f>
        <v>0</v>
      </c>
      <c r="O7948" s="41" t="n">
        <f aca="false">Sens!$O$7944+Sens!$O$7945-Sens!$O$7943</f>
        <v>0</v>
      </c>
    </row>
    <row r="7949" customFormat="false" ht="17.15" hidden="false" customHeight="false" outlineLevel="0" collapsed="false">
      <c r="A7949" s="24" t="s">
        <v>763</v>
      </c>
      <c r="B7949" s="25" t="s">
        <v>86</v>
      </c>
      <c r="C7949" s="41" t="n">
        <f aca="false">Sens!$C$7934+Sens!$C$7935+Sens!$C$7936+Sens!$C$7937+Sens!$C$7938+Sens!$C$7939+Sens!$C$7940-Sens!$C$7946</f>
        <v>0</v>
      </c>
      <c r="D7949" s="41" t="n">
        <f aca="false">Sens!$D$7934+Sens!$D$7935+Sens!$D$7936+Sens!$D$7937+Sens!$D$7938+Sens!$D$7939+Sens!$D$7940-Sens!$D$7946</f>
        <v>0</v>
      </c>
      <c r="E7949" s="41" t="n">
        <f aca="false">Sens!$E$7934+Sens!$E$7935+Sens!$E$7936+Sens!$E$7937+Sens!$E$7938+Sens!$E$7939+Sens!$E$7940-Sens!$E$7946</f>
        <v>0</v>
      </c>
      <c r="F7949" s="41" t="n">
        <f aca="false">Sens!$F$7934+Sens!$F$7935+Sens!$F$7936+Sens!$F$7937+Sens!$F$7938+Sens!$F$7939+Sens!$F$7940-Sens!$F$7946</f>
        <v>0</v>
      </c>
      <c r="G7949" s="41" t="n">
        <f aca="false">Sens!$G$7934+Sens!$G$7935+Sens!$G$7936+Sens!$G$7937+Sens!$G$7938+Sens!$G$7939+Sens!$G$7940-Sens!$G$7946</f>
        <v>0</v>
      </c>
      <c r="H7949" s="41" t="n">
        <f aca="false">Sens!$H$7934+Sens!$H$7935+Sens!$H$7936+Sens!$H$7937+Sens!$H$7938+Sens!$H$7939+Sens!$H$7940-Sens!$H$7946</f>
        <v>0</v>
      </c>
      <c r="I7949" s="41" t="n">
        <f aca="false">Sens!$I$7934+Sens!$I$7935+Sens!$I$7936+Sens!$I$7937+Sens!$I$7938+Sens!$I$7939+Sens!$I$7940-Sens!$I$7946</f>
        <v>0</v>
      </c>
      <c r="J7949" s="41" t="n">
        <f aca="false">Sens!$J$7934+Sens!$J$7935+Sens!$J$7936+Sens!$J$7937+Sens!$J$7938+Sens!$J$7939+Sens!$J$7940-Sens!$J$7946</f>
        <v>0</v>
      </c>
      <c r="K7949" s="41" t="n">
        <f aca="false">Sens!$K$7934+Sens!$K$7935+Sens!$K$7936+Sens!$K$7937+Sens!$K$7938+Sens!$K$7939+Sens!$K$7940-Sens!$K$7946</f>
        <v>0</v>
      </c>
      <c r="L7949" s="41" t="n">
        <f aca="false">Sens!$L$7934+Sens!$L$7935+Sens!$L$7936+Sens!$L$7937+Sens!$L$7938+Sens!$L$7939+Sens!$L$7940-Sens!$L$7946</f>
        <v>0</v>
      </c>
      <c r="M7949" s="41" t="n">
        <f aca="false">Sens!$M$7934+Sens!$M$7935+Sens!$M$7936+Sens!$M$7937+Sens!$M$7938+Sens!$M$7939+Sens!$M$7940-Sens!$M$7946</f>
        <v>0</v>
      </c>
      <c r="N7949" s="41" t="n">
        <f aca="false">Sens!$N$7934+Sens!$N$7935+Sens!$N$7936+Sens!$N$7937+Sens!$N$7938+Sens!$N$7939+Sens!$N$7940-Sens!$N$7946</f>
        <v>0</v>
      </c>
      <c r="O7949" s="41" t="n">
        <f aca="false">Sens!$O$7934+Sens!$O$7935+Sens!$O$7936+Sens!$O$7937+Sens!$O$7938+Sens!$O$7939+Sens!$O$7940-Sens!$O$7946</f>
        <v>0</v>
      </c>
    </row>
    <row r="7950" customFormat="false" ht="17.15" hidden="false" customHeight="false" outlineLevel="0" collapsed="false">
      <c r="A7950" s="24" t="s">
        <v>705</v>
      </c>
      <c r="B7950" s="25" t="s">
        <v>86</v>
      </c>
      <c r="C7950" s="41" t="n">
        <f aca="false">Sens!$C$7941+Sens!$C$7942+Sens!$C$7943-Sens!$C$7946</f>
        <v>0</v>
      </c>
      <c r="D7950" s="41" t="n">
        <f aca="false">Sens!$D$7941+Sens!$D$7942+Sens!$D$7943-Sens!$D$7946</f>
        <v>0</v>
      </c>
      <c r="E7950" s="41" t="n">
        <f aca="false">Sens!$E$7941+Sens!$E$7942+Sens!$E$7943-Sens!$E$7946</f>
        <v>0</v>
      </c>
      <c r="F7950" s="41" t="n">
        <f aca="false">Sens!$F$7941+Sens!$F$7942+Sens!$F$7943-Sens!$F$7946</f>
        <v>0</v>
      </c>
      <c r="G7950" s="41" t="n">
        <f aca="false">Sens!$G$7941+Sens!$G$7942+Sens!$G$7943-Sens!$G$7946</f>
        <v>0</v>
      </c>
      <c r="H7950" s="41" t="n">
        <f aca="false">Sens!$H$7941+Sens!$H$7942+Sens!$H$7943-Sens!$H$7946</f>
        <v>0</v>
      </c>
      <c r="I7950" s="41" t="n">
        <f aca="false">Sens!$I$7941+Sens!$I$7942+Sens!$I$7943-Sens!$I$7946</f>
        <v>0</v>
      </c>
      <c r="J7950" s="41" t="n">
        <f aca="false">Sens!$J$7941+Sens!$J$7942+Sens!$J$7943-Sens!$J$7946</f>
        <v>0</v>
      </c>
      <c r="K7950" s="41" t="n">
        <f aca="false">Sens!$K$7941+Sens!$K$7942+Sens!$K$7943-Sens!$K$7946</f>
        <v>0</v>
      </c>
      <c r="L7950" s="41" t="n">
        <f aca="false">Sens!$L$7941+Sens!$L$7942+Sens!$L$7943-Sens!$L$7946</f>
        <v>0</v>
      </c>
      <c r="M7950" s="41" t="n">
        <f aca="false">Sens!$M$7941+Sens!$M$7942+Sens!$M$7943-Sens!$M$7946</f>
        <v>0</v>
      </c>
      <c r="N7950" s="41" t="n">
        <f aca="false">Sens!$N$7941+Sens!$N$7942+Sens!$N$7943-Sens!$N$7946</f>
        <v>0</v>
      </c>
      <c r="O7950" s="41" t="n">
        <f aca="false">Sens!$O$7941+Sens!$O$7942+Sens!$O$7943-Sens!$O$7946</f>
        <v>0</v>
      </c>
    </row>
    <row r="7951" customFormat="false" ht="17.15" hidden="false" customHeight="false" outlineLevel="0" collapsed="false">
      <c r="A7951" s="1" t="s">
        <v>719</v>
      </c>
    </row>
    <row r="7952" customFormat="false" ht="17.15" hidden="false" customHeight="false" outlineLevel="0" collapsed="false">
      <c r="A7952" s="0" t="s">
        <v>720</v>
      </c>
      <c r="B7952" s="0" t="s">
        <v>86</v>
      </c>
      <c r="C7952" s="38" t="n">
        <f aca="false">Sens!$C$7856*m_ad</f>
        <v>20.5341564414228</v>
      </c>
      <c r="D7952" s="38" t="n">
        <f aca="false">Sens!$D$7856*m_ad</f>
        <v>24.8720617299587</v>
      </c>
      <c r="E7952" s="38" t="n">
        <f aca="false">Sens!$E$7856*m_ad</f>
        <v>13.5017112462207</v>
      </c>
      <c r="F7952" s="38" t="n">
        <f aca="false">Sens!$F$7856*m_ad</f>
        <v>16.5719724165257</v>
      </c>
      <c r="G7952" s="38" t="n">
        <f aca="false">Sens!$G$7856*m_ad</f>
        <v>30.0820919220415</v>
      </c>
      <c r="H7952" s="38" t="n">
        <f aca="false">Sens!$H$7856*m_ad</f>
        <v>36.1150883276314</v>
      </c>
      <c r="I7952" s="38" t="n">
        <f aca="false">Sens!$I$7856*m_ad</f>
        <v>42.1475382231996</v>
      </c>
      <c r="J7952" s="38" t="n">
        <f aca="false">Sens!$J$7856*m_ad</f>
        <v>47.7749523864693</v>
      </c>
      <c r="K7952" s="38" t="n">
        <f aca="false">Sens!$K$7856*m_ad</f>
        <v>52.5524476251162</v>
      </c>
      <c r="L7952" s="38" t="n">
        <f aca="false">Sens!$L$7856*m_ad</f>
        <v>57.8076923876279</v>
      </c>
      <c r="M7952" s="38" t="n">
        <f aca="false">Sens!$M$7856*m_ad</f>
        <v>63.5884616263907</v>
      </c>
      <c r="N7952" s="38" t="n">
        <f aca="false">Sens!$N$7856*m_ad</f>
        <v>10.8543555706248</v>
      </c>
      <c r="O7952" s="38" t="n">
        <f aca="false">Sens!$O$7856*m_ad</f>
        <v>14.0094731821399</v>
      </c>
    </row>
    <row r="7953" customFormat="false" ht="17.15" hidden="false" customHeight="false" outlineLevel="0" collapsed="false">
      <c r="A7953" s="0" t="s">
        <v>721</v>
      </c>
      <c r="B7953" s="0" t="s">
        <v>86</v>
      </c>
      <c r="C7953" s="38" t="n">
        <f aca="false">Sens!$C$7854-Sens!$C$7856</f>
        <v>346.428687117154</v>
      </c>
      <c r="D7953" s="38" t="n">
        <f aca="false">Sens!$D$7854-Sens!$D$7856</f>
        <v>376.560876540083</v>
      </c>
      <c r="E7953" s="38" t="n">
        <f aca="false">Sens!$E$7854-Sens!$E$7856</f>
        <v>193.316577507559</v>
      </c>
      <c r="F7953" s="38" t="n">
        <f aca="false">Sens!$F$7854-Sens!$F$7856</f>
        <v>217.495828647535</v>
      </c>
      <c r="G7953" s="38" t="n">
        <f aca="false">Sens!$G$7854-Sens!$G$7856</f>
        <v>410.795589636503</v>
      </c>
      <c r="H7953" s="38" t="n">
        <f aca="false">Sens!$H$7854-Sens!$H$7856</f>
        <v>449.156813761174</v>
      </c>
      <c r="I7953" s="38" t="n">
        <f aca="false">Sens!$I$7854-Sens!$I$7856</f>
        <v>485.848786441156</v>
      </c>
      <c r="J7953" s="38" t="n">
        <f aca="false">Sens!$J$7854-Sens!$J$7856</f>
        <v>519.841531018994</v>
      </c>
      <c r="K7953" s="38" t="n">
        <f aca="false">Sens!$K$7854-Sens!$K$7856</f>
        <v>550.103332311311</v>
      </c>
      <c r="L7953" s="38" t="n">
        <f aca="false">Sens!$L$7854-Sens!$L$7856</f>
        <v>582.192354474511</v>
      </c>
      <c r="M7953" s="38" t="n">
        <f aca="false">Sens!$M$7854-Sens!$M$7856</f>
        <v>616.22240521081</v>
      </c>
      <c r="N7953" s="38" t="n">
        <f aca="false">Sens!$N$7854-Sens!$N$7856</f>
        <v>171.24628885875</v>
      </c>
      <c r="O7953" s="38" t="n">
        <f aca="false">Sens!$O$7854-Sens!$O$7856</f>
        <v>205.33105363572</v>
      </c>
    </row>
    <row r="7954" customFormat="false" ht="17.15" hidden="false" customHeight="false" outlineLevel="0" collapsed="false">
      <c r="A7954" s="0" t="s">
        <v>722</v>
      </c>
      <c r="B7954" s="0" t="s">
        <v>86</v>
      </c>
      <c r="C7954" s="38" t="n">
        <f aca="false">Sens!$C$7905*Sens!$C$7853</f>
        <v>0.123617442257179</v>
      </c>
      <c r="D7954" s="38" t="n">
        <f aca="false">Sens!$D$7905*Sens!$D$7853</f>
        <v>0.600198046024689</v>
      </c>
      <c r="E7954" s="38" t="n">
        <f aca="false">Sens!$E$7905*Sens!$E$7853</f>
        <v>0.970552432202993</v>
      </c>
      <c r="F7954" s="38" t="n">
        <f aca="false">Sens!$F$7905*Sens!$F$7853</f>
        <v>1.20013524388435</v>
      </c>
      <c r="G7954" s="38" t="n">
        <f aca="false">Sens!$G$7905*Sens!$G$7853</f>
        <v>2.17135369594947</v>
      </c>
      <c r="H7954" s="38" t="n">
        <f aca="false">Sens!$H$7905*Sens!$H$7853</f>
        <v>6.14227489656333</v>
      </c>
      <c r="I7954" s="38" t="n">
        <f aca="false">Sens!$I$7905*Sens!$I$7853</f>
        <v>11.6518054969681</v>
      </c>
      <c r="J7954" s="38" t="n">
        <f aca="false">Sens!$J$7905*Sens!$J$7853</f>
        <v>17.3105301010592</v>
      </c>
      <c r="K7954" s="38" t="n">
        <f aca="false">Sens!$K$7905*Sens!$K$7853</f>
        <v>22.8486728059883</v>
      </c>
      <c r="L7954" s="38" t="n">
        <f aca="false">Sens!$L$7905*Sens!$L$7853</f>
        <v>26.6849171332777</v>
      </c>
      <c r="M7954" s="38" t="n">
        <f aca="false">Sens!$M$7905*Sens!$M$7853</f>
        <v>29.0523240317336</v>
      </c>
      <c r="N7954" s="38" t="n">
        <f aca="false">Sens!$N$7905*Sens!$N$7853</f>
        <v>0.25053229484398</v>
      </c>
      <c r="O7954" s="38" t="n">
        <f aca="false">Sens!$O$7905*Sens!$O$7853</f>
        <v>0.349234376756897</v>
      </c>
    </row>
    <row r="7955" customFormat="false" ht="17.15" hidden="false" customHeight="false" outlineLevel="0" collapsed="false">
      <c r="A7955" s="0" t="s">
        <v>723</v>
      </c>
      <c r="B7955" s="0" t="s">
        <v>52</v>
      </c>
      <c r="C7955" s="28" t="n">
        <f aca="false">(Sens!$C$7956-Sens!$C$7952+Sens!$C$7954)/Sens!$C$7953</f>
        <v>0.0131526665379575</v>
      </c>
      <c r="D7955" s="28" t="n">
        <f aca="false">(Sens!$D$7956-Sens!$D$7952+Sens!$D$7954)/Sens!$D$7953</f>
        <v>0.0141999252954702</v>
      </c>
      <c r="E7955" s="28" t="n">
        <f aca="false">(Sens!$E$7956-Sens!$E$7952+Sens!$E$7954)/Sens!$E$7953</f>
        <v>0.0251341154940129</v>
      </c>
      <c r="F7955" s="28" t="n">
        <f aca="false">Sens!$O$7955+(Sens!$E$7955-Sens!$N$7955)</f>
        <v>0.0217171685713677</v>
      </c>
      <c r="G7955" s="28" t="n">
        <f aca="false">(Sens!$G$7956-Sens!$G$7952+Sens!$G$7954)/Sens!$G$7953</f>
        <v>0.0233071940458981</v>
      </c>
      <c r="H7955" s="28" t="n">
        <f aca="false">Sens!$G$7955+step_na</f>
        <v>0.0263071940458981</v>
      </c>
      <c r="I7955" s="28" t="n">
        <f aca="false">Sens!$H$7955+step_na</f>
        <v>0.0293071940458981</v>
      </c>
      <c r="J7955" s="28" t="n">
        <f aca="false">Sens!$I$7955+step_na</f>
        <v>0.0323071940458981</v>
      </c>
      <c r="K7955" s="28" t="n">
        <f aca="false">Sens!$J$7955+step_na</f>
        <v>0.0353071940458981</v>
      </c>
      <c r="L7955" s="28" t="n">
        <f aca="false">Sens!$K$7955</f>
        <v>0.0353071940458981</v>
      </c>
      <c r="M7955" s="28" t="n">
        <f aca="false">Sens!$L$7955</f>
        <v>0.0353071940458981</v>
      </c>
      <c r="N7955" s="28" t="n">
        <f aca="false">(Sens!$N$7956-Sens!$N$7952+Sens!$N$7954)/Sens!$N$7953</f>
        <v>0.0160831323269779</v>
      </c>
      <c r="O7955" s="28" t="n">
        <f aca="false">(Sens!$O$7956-Sens!$O$7952+Sens!$O$7954)/Sens!$O$7953</f>
        <v>0.0126661854043327</v>
      </c>
      <c r="P7955" s="8" t="s">
        <v>724</v>
      </c>
    </row>
    <row r="7956" customFormat="false" ht="17.15" hidden="false" customHeight="false" outlineLevel="0" collapsed="false">
      <c r="A7956" s="1" t="s">
        <v>725</v>
      </c>
      <c r="B7956" s="8" t="s">
        <v>86</v>
      </c>
      <c r="C7956" s="38" t="n">
        <f aca="false">Q!$D$22</f>
        <v>24.967</v>
      </c>
      <c r="D7956" s="38" t="n">
        <f aca="false">Q!$E$22</f>
        <v>29.619</v>
      </c>
      <c r="E7956" s="38" t="n">
        <f aca="false">Q!$P$22</f>
        <v>17.39</v>
      </c>
      <c r="F7956" s="38" t="n">
        <f aca="false">Sens!$F$7952+Sens!$F$7953*Sens!$F$7955-Sens!$F$7954</f>
        <v>20.0952307469491</v>
      </c>
      <c r="G7956" s="38" t="n">
        <f aca="false">Sens!$E$7956+Sens!$F$7956</f>
        <v>37.4852307469491</v>
      </c>
      <c r="H7956" s="38" t="n">
        <f aca="false">Sens!$H$7952+Sens!$H$7953*Sens!$H$7955-Sens!$H$7954</f>
        <v>41.7888688877206</v>
      </c>
      <c r="I7956" s="38" t="n">
        <f aca="false">Sens!$I$7952+Sens!$I$7953*Sens!$I$7955-Sens!$I$7954</f>
        <v>44.7345973874265</v>
      </c>
      <c r="J7956" s="38" t="n">
        <f aca="false">Sens!$J$7952+Sens!$J$7953*Sens!$J$7955-Sens!$J$7954</f>
        <v>47.2590435011574</v>
      </c>
      <c r="K7956" s="38" t="n">
        <f aca="false">Sens!$K$7952+Sens!$K$7953*Sens!$K$7955-Sens!$K$7954</f>
        <v>49.1263799183386</v>
      </c>
      <c r="L7956" s="38" t="n">
        <f aca="false">Sens!$L$7952+Sens!$L$7953*Sens!$L$7955-Sens!$L$7954</f>
        <v>51.67835368582</v>
      </c>
      <c r="M7956" s="38" t="n">
        <f aca="false">Sens!$M$7952+Sens!$M$7953*Sens!$M$7955-Sens!$M$7954</f>
        <v>56.2932216308652</v>
      </c>
      <c r="N7956" s="38" t="n">
        <f aca="false">Q!$N$22</f>
        <v>13.358</v>
      </c>
      <c r="O7956" s="38" t="n">
        <f aca="false">Q!$O$22</f>
        <v>16.261</v>
      </c>
    </row>
    <row r="7957" customFormat="false" ht="17.15" hidden="false" customHeight="false" outlineLevel="0" collapsed="false">
      <c r="A7957" s="0" t="s">
        <v>726</v>
      </c>
      <c r="B7957" s="0" t="s">
        <v>86</v>
      </c>
      <c r="C7957" s="38" t="n">
        <f aca="false">Sens!$C$7857*m_ad</f>
        <v>7.57284355857716</v>
      </c>
      <c r="D7957" s="38" t="n">
        <f aca="false">Sens!$D$7857*m_ad</f>
        <v>9.44543827004127</v>
      </c>
      <c r="E7957" s="38" t="n">
        <f aca="false">Sens!$E$7857*m_ad</f>
        <v>5.02428875377928</v>
      </c>
      <c r="F7957" s="38" t="n">
        <f aca="false">Sens!$F$7857*m_ad</f>
        <v>6.50663858068173</v>
      </c>
      <c r="G7957" s="38" t="n">
        <f aca="false">Sens!$G$7857*m_ad</f>
        <v>11.5225190751659</v>
      </c>
      <c r="H7957" s="38" t="n">
        <f aca="false">Sens!$H$7857*m_ad</f>
        <v>13.8333728663174</v>
      </c>
      <c r="I7957" s="38" t="n">
        <f aca="false">Sens!$I$7857*m_ad</f>
        <v>16.1440173245485</v>
      </c>
      <c r="J7957" s="38" t="n">
        <f aca="false">Sens!$J$7857*m_ad</f>
        <v>18.2995185845066</v>
      </c>
      <c r="K7957" s="38" t="n">
        <f aca="false">Sens!$K$7857*m_ad</f>
        <v>20.1294704429572</v>
      </c>
      <c r="L7957" s="38" t="n">
        <f aca="false">Sens!$L$7857*m_ad</f>
        <v>22.142417487253</v>
      </c>
      <c r="M7957" s="38" t="n">
        <f aca="false">Sens!$M$7857*m_ad</f>
        <v>24.3566592359783</v>
      </c>
      <c r="N7957" s="38" t="n">
        <f aca="false">Sens!$N$7857*m_ad</f>
        <v>3.95314442937518</v>
      </c>
      <c r="O7957" s="38" t="n">
        <f aca="false">Sens!$O$7857*m_ad</f>
        <v>5.50052681786011</v>
      </c>
    </row>
    <row r="7958" customFormat="false" ht="17.15" hidden="false" customHeight="false" outlineLevel="0" collapsed="false">
      <c r="A7958" s="0" t="s">
        <v>727</v>
      </c>
      <c r="B7958" s="0" t="s">
        <v>86</v>
      </c>
      <c r="C7958" s="38" t="n">
        <f aca="false">Sens!$C$7855-Sens!$C$7857</f>
        <v>127.760312882846</v>
      </c>
      <c r="D7958" s="38" t="n">
        <f aca="false">Sens!$D$7855-Sens!$D$7857</f>
        <v>143.003123459917</v>
      </c>
      <c r="E7958" s="38" t="n">
        <f aca="false">Sens!$E$7855-Sens!$E$7857</f>
        <v>71.9374224924414</v>
      </c>
      <c r="F7958" s="38" t="n">
        <f aca="false">Sens!$F$7855-Sens!$F$7857</f>
        <v>85.3951910035875</v>
      </c>
      <c r="G7958" s="38" t="n">
        <f aca="false">Sens!$G$7855-Sens!$G$7857</f>
        <v>157.349430014619</v>
      </c>
      <c r="H7958" s="38" t="n">
        <f aca="false">Sens!$H$7855-Sens!$H$7857</f>
        <v>172.043153372315</v>
      </c>
      <c r="I7958" s="38" t="n">
        <f aca="false">Sens!$I$7855-Sens!$I$7857</f>
        <v>186.097493615879</v>
      </c>
      <c r="J7958" s="38" t="n">
        <f aca="false">Sens!$J$7855-Sens!$J$7857</f>
        <v>199.117932780497</v>
      </c>
      <c r="K7958" s="38" t="n">
        <f aca="false">Sens!$K$7855-Sens!$K$7857</f>
        <v>210.70928698363</v>
      </c>
      <c r="L7958" s="38" t="n">
        <f aca="false">Sens!$L$7855-Sens!$L$7857</f>
        <v>223.000532251316</v>
      </c>
      <c r="M7958" s="38" t="n">
        <f aca="false">Sens!$M$7855-Sens!$M$7857</f>
        <v>236.035261011339</v>
      </c>
      <c r="N7958" s="38" t="n">
        <f aca="false">Sens!$N$7855-Sens!$N$7857</f>
        <v>62.3677111412496</v>
      </c>
      <c r="O7958" s="38" t="n">
        <f aca="false">Sens!$O$7855-Sens!$O$7857</f>
        <v>80.6189463642798</v>
      </c>
    </row>
    <row r="7959" customFormat="false" ht="17.15" hidden="false" customHeight="false" outlineLevel="0" collapsed="false">
      <c r="A7959" s="0" t="s">
        <v>728</v>
      </c>
      <c r="B7959" s="0" t="s">
        <v>86</v>
      </c>
      <c r="C7959" s="38" t="n">
        <f aca="false">Sens!$C$7905*(1-Sens!$C$7853)</f>
        <v>0.0455891896019953</v>
      </c>
      <c r="D7959" s="38" t="n">
        <f aca="false">Sens!$D$7905*(1-Sens!$D$7853)</f>
        <v>0.227931791705753</v>
      </c>
      <c r="E7959" s="38" t="n">
        <f aca="false">Sens!$E$7905*(1-Sens!$E$7853)</f>
        <v>0.361164268820781</v>
      </c>
      <c r="F7959" s="38" t="n">
        <f aca="false">Sens!$F$7905*(1-Sens!$F$7853)</f>
        <v>0.471208018190203</v>
      </c>
      <c r="G7959" s="38" t="n">
        <f aca="false">Sens!$G$7905*(1-Sens!$G$7853)</f>
        <v>0.83170626714885</v>
      </c>
      <c r="H7959" s="38" t="n">
        <f aca="false">Sens!$H$7905*(1-Sens!$H$7853)</f>
        <v>2.35271136874315</v>
      </c>
      <c r="I7959" s="38" t="n">
        <f aca="false">Sens!$I$7905*(1-Sens!$I$7853)</f>
        <v>4.46305900024741</v>
      </c>
      <c r="J7959" s="38" t="n">
        <f aca="false">Sens!$J$7905*(1-Sens!$J$7853)</f>
        <v>6.63055328092195</v>
      </c>
      <c r="K7959" s="38" t="n">
        <f aca="false">Sens!$K$7905*(1-Sens!$K$7853)</f>
        <v>8.75186037365703</v>
      </c>
      <c r="L7959" s="38" t="n">
        <f aca="false">Sens!$L$7905*(1-Sens!$L$7853)</f>
        <v>10.2212794071718</v>
      </c>
      <c r="M7959" s="38" t="n">
        <f aca="false">Sens!$M$7905*(1-Sens!$M$7853)</f>
        <v>11.1280810756472</v>
      </c>
      <c r="N7959" s="38" t="n">
        <f aca="false">Sens!$N$7905*(1-Sens!$N$7853)</f>
        <v>0.0912435878202994</v>
      </c>
      <c r="O7959" s="38" t="n">
        <f aca="false">Sens!$O$7905*(1-Sens!$O$7853)</f>
        <v>0.137119578309265</v>
      </c>
    </row>
    <row r="7960" customFormat="false" ht="17.15" hidden="false" customHeight="false" outlineLevel="0" collapsed="false">
      <c r="A7960" s="0" t="s">
        <v>729</v>
      </c>
      <c r="B7960" s="0" t="s">
        <v>52</v>
      </c>
      <c r="C7960" s="28" t="n">
        <f aca="false">(Sens!$C$7961-Sens!$C$7957+Sens!$C$7959)/Sens!$C$7958</f>
        <v>-0.0292364215826579</v>
      </c>
      <c r="D7960" s="28" t="n">
        <f aca="false">(Sens!$D$7961-Sens!$D$7957+Sens!$D$7959)/Sens!$D$7958</f>
        <v>-0.0312406216748665</v>
      </c>
      <c r="E7960" s="28" t="n">
        <f aca="false">(Sens!$E$7961-Sens!$E$7957+Sens!$E$7959)/Sens!$E$7958</f>
        <v>-0.0211590078184749</v>
      </c>
      <c r="F7960" s="28" t="n">
        <f aca="false">Sens!$O$7960+(Sens!$E$7960-Sens!$N$7960)</f>
        <v>-0.0382539955245511</v>
      </c>
      <c r="G7960" s="28" t="n">
        <f aca="false">(Sens!$G$7961-Sens!$G$7957+Sens!$G$7959)/Sens!$G$7958</f>
        <v>-0.030385172031133</v>
      </c>
      <c r="H7960" s="28" t="n">
        <f aca="false">Sens!$G$7960+step_in</f>
        <v>-0.030385172031133</v>
      </c>
      <c r="I7960" s="28" t="n">
        <f aca="false">Sens!$H$7960+step_in</f>
        <v>-0.030385172031133</v>
      </c>
      <c r="J7960" s="28" t="n">
        <f aca="false">Sens!$I$7960+step_in</f>
        <v>-0.030385172031133</v>
      </c>
      <c r="K7960" s="28" t="n">
        <f aca="false">Sens!$J$7960+step_in</f>
        <v>-0.030385172031133</v>
      </c>
      <c r="L7960" s="28" t="n">
        <f aca="false">Sens!$K$7960</f>
        <v>-0.030385172031133</v>
      </c>
      <c r="M7960" s="28" t="n">
        <f aca="false">Sens!$L$7960</f>
        <v>-0.030385172031133</v>
      </c>
      <c r="N7960" s="28" t="n">
        <f aca="false">(Sens!$N$7961-Sens!$N$7957+Sens!$N$7959)/Sens!$N$7958</f>
        <v>-0.0216602600421776</v>
      </c>
      <c r="O7960" s="28" t="n">
        <f aca="false">(Sens!$O$7961-Sens!$O$7957+Sens!$O$7959)/Sens!$O$7958</f>
        <v>-0.0387552477482538</v>
      </c>
      <c r="P7960" s="8" t="s">
        <v>724</v>
      </c>
    </row>
    <row r="7961" customFormat="false" ht="17.15" hidden="false" customHeight="false" outlineLevel="0" collapsed="false">
      <c r="A7961" s="1" t="s">
        <v>730</v>
      </c>
      <c r="B7961" s="8" t="s">
        <v>86</v>
      </c>
      <c r="C7961" s="38" t="n">
        <f aca="false">Q!$D$23</f>
        <v>3.792</v>
      </c>
      <c r="D7961" s="38" t="n">
        <f aca="false">Q!$E$23</f>
        <v>4.75</v>
      </c>
      <c r="E7961" s="38" t="n">
        <f aca="false">Q!$P$23</f>
        <v>3.141</v>
      </c>
      <c r="F7961" s="38" t="n">
        <f aca="false">Sens!$F$7957+Sens!$F$7958*Sens!$F$7960-Sens!$F$7959</f>
        <v>2.7687233080221</v>
      </c>
      <c r="G7961" s="38" t="n">
        <f aca="false">Sens!$E$7961+Sens!$F$7961</f>
        <v>5.9097233080221</v>
      </c>
      <c r="H7961" s="38" t="n">
        <f aca="false">Sens!$H$7957+Sens!$H$7958*Sens!$H$7960-Sens!$H$7959</f>
        <v>6.25310068557783</v>
      </c>
      <c r="I7961" s="38" t="n">
        <f aca="false">Sens!$I$7957+Sens!$I$7958*Sens!$I$7960-Sens!$I$7959</f>
        <v>6.02635396621997</v>
      </c>
      <c r="J7961" s="38" t="n">
        <f aca="false">Sens!$J$7957+Sens!$J$7958*Sens!$J$7960-Sens!$J$7959</f>
        <v>5.61873266156566</v>
      </c>
      <c r="K7961" s="38" t="n">
        <f aca="false">Sens!$K$7957+Sens!$K$7958*Sens!$K$7960-Sens!$K$7959</f>
        <v>4.97517213574524</v>
      </c>
      <c r="L7961" s="38" t="n">
        <f aca="false">Sens!$L$7957+Sens!$L$7958*Sens!$L$7960-Sens!$L$7959</f>
        <v>5.14522854459066</v>
      </c>
      <c r="M7961" s="38" t="n">
        <f aca="false">Sens!$M$7957+Sens!$M$7958*Sens!$M$7960-Sens!$M$7959</f>
        <v>6.05660614908815</v>
      </c>
      <c r="N7961" s="38" t="n">
        <f aca="false">Q!$N$23</f>
        <v>2.511</v>
      </c>
      <c r="O7961" s="38" t="n">
        <f aca="false">Q!$O$23</f>
        <v>2.239</v>
      </c>
    </row>
    <row r="7962" customFormat="false" ht="17.15" hidden="false" customHeight="false" outlineLevel="0" collapsed="false">
      <c r="A7962" s="0" t="s">
        <v>731</v>
      </c>
      <c r="B7962" s="0" t="s">
        <v>86</v>
      </c>
      <c r="C7962" s="38" t="n">
        <f aca="false">Sens!$C$7902</f>
        <v>1.64417882953695</v>
      </c>
      <c r="D7962" s="38" t="n">
        <f aca="false">Sens!$D$7902</f>
        <v>5.39125073772939</v>
      </c>
      <c r="E7962" s="38" t="n">
        <f aca="false">Sens!$E$7902</f>
        <v>3.18348617147493</v>
      </c>
      <c r="F7962" s="38" t="n">
        <f aca="false">Sens!$F$7902</f>
        <v>8.27806059642226</v>
      </c>
      <c r="G7962" s="38" t="n">
        <f aca="false">Sens!$G$7902</f>
        <v>11.4615467678972</v>
      </c>
      <c r="H7962" s="38" t="n">
        <f aca="false">Sens!$H$7902</f>
        <v>26.1859456885487</v>
      </c>
      <c r="I7962" s="38" t="n">
        <f aca="false">Sens!$I$7902</f>
        <v>37.04424114757</v>
      </c>
      <c r="J7962" s="38" t="n">
        <f aca="false">Sens!$J$7902</f>
        <v>47.2610736233534</v>
      </c>
      <c r="K7962" s="38" t="n">
        <f aca="false">Sens!$K$7902</f>
        <v>52.0459876645985</v>
      </c>
      <c r="L7962" s="38" t="n">
        <f aca="false">Sens!$L$7902</f>
        <v>54.1033156405981</v>
      </c>
      <c r="M7962" s="38" t="n">
        <f aca="false">Sens!$M$7902</f>
        <v>52.1138209393421</v>
      </c>
      <c r="N7962" s="38" t="n">
        <f aca="false">Sens!$N$7902</f>
        <v>1.67921600037079</v>
      </c>
      <c r="O7962" s="38" t="n">
        <f aca="false">Sens!$O$7902</f>
        <v>3.71203473735861</v>
      </c>
    </row>
    <row r="7963" customFormat="false" ht="17.15" hidden="false" customHeight="false" outlineLevel="0" collapsed="false">
      <c r="A7963" s="0" t="s">
        <v>649</v>
      </c>
      <c r="B7963" s="0" t="s">
        <v>86</v>
      </c>
      <c r="C7963" s="38" t="n">
        <f aca="false">Sens!$C$7907</f>
        <v>38.1898211704631</v>
      </c>
      <c r="D7963" s="38" t="n">
        <f aca="false">Sens!$D$7907</f>
        <v>40.2147492622706</v>
      </c>
      <c r="E7963" s="38" t="n">
        <f aca="false">Sens!$E$7907</f>
        <v>27.5985138285251</v>
      </c>
      <c r="F7963" s="38" t="n">
        <f aca="false">Sens!$F$7907</f>
        <v>25.5484769754606</v>
      </c>
      <c r="G7963" s="38" t="n">
        <f aca="false">Sens!$G$7907</f>
        <v>53.1469908039857</v>
      </c>
      <c r="H7963" s="38" t="n">
        <f aca="false">Sens!$H$7907</f>
        <v>57.3189525076539</v>
      </c>
      <c r="I7963" s="38" t="n">
        <f aca="false">Sens!$I$7907</f>
        <v>63.6385627021087</v>
      </c>
      <c r="J7963" s="38" t="n">
        <f aca="false">Sens!$J$7907</f>
        <v>69.6922896066105</v>
      </c>
      <c r="K7963" s="38" t="n">
        <f aca="false">Sens!$K$7907</f>
        <v>75.2676727751394</v>
      </c>
      <c r="L7963" s="38" t="n">
        <f aca="false">Sens!$L$7907</f>
        <v>81.2890865971505</v>
      </c>
      <c r="M7963" s="38" t="n">
        <f aca="false">Sens!$M$7907</f>
        <v>87.7922135249226</v>
      </c>
      <c r="N7963" s="38" t="n">
        <f aca="false">Sens!$N$7907</f>
        <v>20.0277839996292</v>
      </c>
      <c r="O7963" s="38" t="n">
        <f aca="false">Sens!$O$7907</f>
        <v>20.1869652626414</v>
      </c>
    </row>
    <row r="7964" customFormat="false" ht="17.15" hidden="false" customHeight="false" outlineLevel="0" collapsed="false">
      <c r="A7964" s="1" t="s">
        <v>732</v>
      </c>
      <c r="B7964" s="8" t="s">
        <v>86</v>
      </c>
      <c r="C7964" s="38" t="n">
        <f aca="false">Q!$D$24</f>
        <v>39.834</v>
      </c>
      <c r="D7964" s="38" t="n">
        <f aca="false">Q!$E$24</f>
        <v>45.606</v>
      </c>
      <c r="E7964" s="38" t="n">
        <f aca="false">Q!$P$24</f>
        <v>30.782</v>
      </c>
      <c r="F7964" s="38" t="n">
        <f aca="false">Sens!$F$7962+Sens!$F$7963</f>
        <v>33.8265375718829</v>
      </c>
      <c r="G7964" s="38" t="n">
        <f aca="false">Sens!$G$7962+Sens!$G$7963</f>
        <v>64.6085375718829</v>
      </c>
      <c r="H7964" s="38" t="n">
        <f aca="false">Sens!$H$7962+Sens!$H$7963</f>
        <v>83.5048981962026</v>
      </c>
      <c r="I7964" s="38" t="n">
        <f aca="false">Sens!$I$7962+Sens!$I$7963</f>
        <v>100.682803849679</v>
      </c>
      <c r="J7964" s="38" t="n">
        <f aca="false">Sens!$J$7962+Sens!$J$7963</f>
        <v>116.953363229964</v>
      </c>
      <c r="K7964" s="38" t="n">
        <f aca="false">Sens!$K$7962+Sens!$K$7963</f>
        <v>127.313660439738</v>
      </c>
      <c r="L7964" s="38" t="n">
        <f aca="false">Sens!$L$7962+Sens!$L$7963</f>
        <v>135.392402237749</v>
      </c>
      <c r="M7964" s="38" t="n">
        <f aca="false">Sens!$M$7962+Sens!$M$7963</f>
        <v>139.906034464265</v>
      </c>
      <c r="N7964" s="38" t="n">
        <f aca="false">Q!$N$24</f>
        <v>21.707</v>
      </c>
      <c r="O7964" s="38" t="n">
        <f aca="false">Q!$O$24</f>
        <v>23.899</v>
      </c>
    </row>
    <row r="7965" customFormat="false" ht="17.15" hidden="false" customHeight="false" outlineLevel="0" collapsed="false">
      <c r="A7965" s="5" t="s">
        <v>733</v>
      </c>
      <c r="B7965" s="0" t="s">
        <v>86</v>
      </c>
      <c r="C7965" s="38" t="n">
        <f aca="false">Q!$D$26</f>
        <v>0</v>
      </c>
      <c r="D7965" s="38" t="n">
        <f aca="false">Q!$E$26</f>
        <v>0</v>
      </c>
      <c r="E7965" s="38" t="n">
        <f aca="false">Q!$P$26</f>
        <v>0</v>
      </c>
      <c r="F7965" s="39" t="n">
        <v>0</v>
      </c>
      <c r="G7965" s="38" t="n">
        <f aca="false">Sens!$E$7965+Sens!$F$7965</f>
        <v>0</v>
      </c>
      <c r="H7965" s="39" t="n">
        <v>0</v>
      </c>
      <c r="I7965" s="39" t="n">
        <v>0</v>
      </c>
      <c r="J7965" s="39" t="n">
        <v>0</v>
      </c>
      <c r="K7965" s="39" t="n">
        <v>0</v>
      </c>
      <c r="L7965" s="39" t="n">
        <v>0</v>
      </c>
      <c r="M7965" s="39" t="n">
        <v>0</v>
      </c>
      <c r="N7965" s="38" t="n">
        <f aca="false">Q!$N$26</f>
        <v>0</v>
      </c>
      <c r="O7965" s="38" t="n">
        <f aca="false">Q!$O$26</f>
        <v>0</v>
      </c>
    </row>
    <row r="7966" customFormat="false" ht="15" hidden="false" customHeight="false" outlineLevel="0" collapsed="false">
      <c r="A7966" s="3" t="s">
        <v>534</v>
      </c>
      <c r="B7966" s="8" t="s">
        <v>86</v>
      </c>
      <c r="C7966" s="38" t="n">
        <f aca="false">Q!$D$25</f>
        <v>68.593</v>
      </c>
      <c r="D7966" s="38" t="n">
        <f aca="false">Q!$E$25</f>
        <v>79.975</v>
      </c>
      <c r="E7966" s="38" t="n">
        <f aca="false">Q!$P$25</f>
        <v>51.313</v>
      </c>
      <c r="F7966" s="38" t="n">
        <f aca="false">Sens!$F$7956+Sens!$F$7961+Sens!$F$7964+Sens!$F$7965</f>
        <v>56.6904916268541</v>
      </c>
      <c r="G7966" s="38" t="n">
        <f aca="false">Sens!$G$7956+Sens!$G$7961+Sens!$G$7964+Sens!$G$7965</f>
        <v>108.003491626854</v>
      </c>
      <c r="H7966" s="38" t="n">
        <f aca="false">Sens!$H$7956+Sens!$H$7961+Sens!$H$7964+Sens!$H$7965</f>
        <v>131.546867769501</v>
      </c>
      <c r="I7966" s="38" t="n">
        <f aca="false">Sens!$I$7956+Sens!$I$7961+Sens!$I$7964+Sens!$I$7965</f>
        <v>151.443755203325</v>
      </c>
      <c r="J7966" s="38" t="n">
        <f aca="false">Sens!$J$7956+Sens!$J$7961+Sens!$J$7964+Sens!$J$7965</f>
        <v>169.831139392687</v>
      </c>
      <c r="K7966" s="38" t="n">
        <f aca="false">Sens!$K$7956+Sens!$K$7961+Sens!$K$7964+Sens!$K$7965</f>
        <v>181.415212493822</v>
      </c>
      <c r="L7966" s="38" t="n">
        <f aca="false">Sens!$L$7956+Sens!$L$7961+Sens!$L$7964+Sens!$L$7965</f>
        <v>192.215984468159</v>
      </c>
      <c r="M7966" s="38" t="n">
        <f aca="false">Sens!$M$7956+Sens!$M$7961+Sens!$M$7964+Sens!$M$7965</f>
        <v>202.255862244218</v>
      </c>
      <c r="N7966" s="38" t="n">
        <f aca="false">Q!$N$25</f>
        <v>37.576</v>
      </c>
      <c r="O7966" s="38" t="n">
        <f aca="false">Q!$O$25</f>
        <v>42.399</v>
      </c>
    </row>
    <row r="7967" customFormat="false" ht="17.15" hidden="false" customHeight="false" outlineLevel="0" collapsed="false">
      <c r="A7967" s="24" t="s">
        <v>764</v>
      </c>
      <c r="B7967" s="25" t="s">
        <v>86</v>
      </c>
      <c r="C7967" s="41" t="n">
        <f aca="false">Sens!$C$7956+Sens!$C$7961+Sens!$C$7964+Sens!$C$7965-Sens!$C$7966</f>
        <v>0</v>
      </c>
      <c r="D7967" s="41" t="n">
        <f aca="false">Sens!$D$7956+Sens!$D$7961+Sens!$D$7964+Sens!$D$7965-Sens!$D$7966</f>
        <v>0</v>
      </c>
      <c r="E7967" s="41" t="n">
        <f aca="false">Sens!$E$7956+Sens!$E$7961+Sens!$E$7964+Sens!$E$7965-Sens!$E$7966</f>
        <v>0</v>
      </c>
      <c r="F7967" s="41" t="n">
        <f aca="false">Sens!$F$7956+Sens!$F$7961+Sens!$F$7964+Sens!$F$7965-Sens!$F$7966</f>
        <v>0</v>
      </c>
      <c r="G7967" s="41" t="n">
        <f aca="false">Sens!$G$7956+Sens!$G$7961+Sens!$G$7964+Sens!$G$7965-Sens!$G$7966</f>
        <v>0</v>
      </c>
      <c r="H7967" s="41" t="n">
        <f aca="false">Sens!$H$7956+Sens!$H$7961+Sens!$H$7964+Sens!$H$7965-Sens!$H$7966</f>
        <v>0</v>
      </c>
      <c r="I7967" s="41" t="n">
        <f aca="false">Sens!$I$7956+Sens!$I$7961+Sens!$I$7964+Sens!$I$7965-Sens!$I$7966</f>
        <v>0</v>
      </c>
      <c r="J7967" s="41" t="n">
        <f aca="false">Sens!$J$7956+Sens!$J$7961+Sens!$J$7964+Sens!$J$7965-Sens!$J$7966</f>
        <v>0</v>
      </c>
      <c r="K7967" s="41" t="n">
        <f aca="false">Sens!$K$7956+Sens!$K$7961+Sens!$K$7964+Sens!$K$7965-Sens!$K$7966</f>
        <v>0</v>
      </c>
      <c r="L7967" s="41" t="n">
        <f aca="false">Sens!$L$7956+Sens!$L$7961+Sens!$L$7964+Sens!$L$7965-Sens!$L$7966</f>
        <v>0</v>
      </c>
      <c r="M7967" s="41" t="n">
        <f aca="false">Sens!$M$7956+Sens!$M$7961+Sens!$M$7964+Sens!$M$7965-Sens!$M$7966</f>
        <v>0</v>
      </c>
      <c r="N7967" s="41" t="n">
        <f aca="false">Sens!$N$7956+Sens!$N$7961+Sens!$N$7964+Sens!$N$7965-Sens!$N$7966</f>
        <v>0</v>
      </c>
      <c r="O7967" s="41" t="n">
        <f aca="false">Sens!$O$7956+Sens!$O$7961+Sens!$O$7964+Sens!$O$7965-Sens!$O$7966</f>
        <v>0</v>
      </c>
    </row>
    <row r="7968" customFormat="false" ht="17.15" hidden="false" customHeight="false" outlineLevel="0" collapsed="false">
      <c r="A7968" s="5" t="s">
        <v>735</v>
      </c>
      <c r="B7968" s="0" t="s">
        <v>86</v>
      </c>
      <c r="C7968" s="38" t="n">
        <f aca="false">Sens!$C$7904</f>
        <v>0</v>
      </c>
      <c r="D7968" s="38" t="n">
        <f aca="false">Sens!$D$7904</f>
        <v>0</v>
      </c>
      <c r="E7968" s="38" t="n">
        <f aca="false">Sens!$E$7904</f>
        <v>0</v>
      </c>
      <c r="F7968" s="38" t="n">
        <f aca="false">Sens!$F$7904</f>
        <v>3.77122048175818</v>
      </c>
      <c r="G7968" s="38" t="n">
        <f aca="false">Sens!$G$7904</f>
        <v>3.77122048175818</v>
      </c>
      <c r="H7968" s="38" t="n">
        <f aca="false">Sens!$H$7904</f>
        <v>15.1635543609893</v>
      </c>
      <c r="I7968" s="38" t="n">
        <f aca="false">Sens!$I$7904</f>
        <v>25.5818843619889</v>
      </c>
      <c r="J7968" s="38" t="n">
        <f aca="false">Sens!$J$7904</f>
        <v>36.0465624179122</v>
      </c>
      <c r="K7968" s="38" t="n">
        <f aca="false">Sens!$K$7904</f>
        <v>44.9741164026038</v>
      </c>
      <c r="L7968" s="38" t="n">
        <f aca="false">Sens!$L$7904</f>
        <v>50.8413488057813</v>
      </c>
      <c r="M7968" s="38" t="n">
        <f aca="false">Sens!$M$7904</f>
        <v>53.6407214274315</v>
      </c>
      <c r="N7968" s="38" t="n">
        <f aca="false">Sens!$N$7904</f>
        <v>0</v>
      </c>
      <c r="O7968" s="38" t="n">
        <f aca="false">Sens!$O$7904</f>
        <v>0</v>
      </c>
      <c r="P7968" s="5" t="s">
        <v>736</v>
      </c>
    </row>
    <row r="7969" customFormat="false" ht="17.15" hidden="false" customHeight="false" outlineLevel="0" collapsed="false">
      <c r="A7969" s="5" t="s">
        <v>737</v>
      </c>
      <c r="B7969" s="0" t="s">
        <v>86</v>
      </c>
      <c r="C7969" s="38" t="n">
        <f aca="false">Sens!$C$7966+Sens!$C$7968</f>
        <v>68.593</v>
      </c>
      <c r="D7969" s="38" t="n">
        <f aca="false">Sens!$D$7966+Sens!$D$7968</f>
        <v>79.975</v>
      </c>
      <c r="E7969" s="38" t="n">
        <f aca="false">Sens!$E$7966+Sens!$E$7968</f>
        <v>51.313</v>
      </c>
      <c r="F7969" s="38" t="n">
        <f aca="false">Sens!$F$7966+Sens!$F$7968</f>
        <v>60.4617121086123</v>
      </c>
      <c r="G7969" s="38" t="n">
        <f aca="false">Sens!$G$7966+Sens!$G$7968</f>
        <v>111.774712108612</v>
      </c>
      <c r="H7969" s="38" t="n">
        <f aca="false">Sens!$H$7966+Sens!$H$7968</f>
        <v>146.71042213049</v>
      </c>
      <c r="I7969" s="38" t="n">
        <f aca="false">Sens!$I$7966+Sens!$I$7968</f>
        <v>177.025639565314</v>
      </c>
      <c r="J7969" s="38" t="n">
        <f aca="false">Sens!$J$7966+Sens!$J$7968</f>
        <v>205.877701810599</v>
      </c>
      <c r="K7969" s="38" t="n">
        <f aca="false">Sens!$K$7966+Sens!$K$7968</f>
        <v>226.389328896426</v>
      </c>
      <c r="L7969" s="38" t="n">
        <f aca="false">Sens!$L$7966+Sens!$L$7968</f>
        <v>243.057333273941</v>
      </c>
      <c r="M7969" s="38" t="n">
        <f aca="false">Sens!$M$7966+Sens!$M$7968</f>
        <v>255.896583671649</v>
      </c>
      <c r="N7969" s="38" t="n">
        <f aca="false">Sens!$N$7966+Sens!$N$7968</f>
        <v>37.576</v>
      </c>
      <c r="O7969" s="38" t="n">
        <f aca="false">Sens!$O$7966+Sens!$O$7968</f>
        <v>42.399</v>
      </c>
    </row>
    <row r="7970" customFormat="false" ht="17.15" hidden="false" customHeight="false" outlineLevel="0" collapsed="false">
      <c r="A7970" s="0" t="s">
        <v>738</v>
      </c>
      <c r="B7970" s="0" t="s">
        <v>52</v>
      </c>
      <c r="C7970" s="13" t="n">
        <f aca="false">Sens!$C$7956/Sens!$C$7941</f>
        <v>0.0644314665661928</v>
      </c>
      <c r="D7970" s="13" t="n">
        <f aca="false">Sens!$D$7956/Sens!$D$7941</f>
        <v>0.0694784250712518</v>
      </c>
      <c r="E7970" s="13" t="n">
        <f aca="false">Sens!$E$7956/Sens!$E$7941</f>
        <v>0.0789306463326071</v>
      </c>
      <c r="F7970" s="13" t="n">
        <f aca="false">Sens!$F$7956/Sens!$F$7941</f>
        <v>0.0801757457241943</v>
      </c>
      <c r="G7970" s="13" t="n">
        <f aca="false">Sens!$G$7956/Sens!$G$7941</f>
        <v>0.0795932749625682</v>
      </c>
      <c r="H7970" s="13" t="n">
        <f aca="false">Sens!$H$7956/Sens!$H$7941</f>
        <v>0.0801494276915951</v>
      </c>
      <c r="I7970" s="13" t="n">
        <f aca="false">Sens!$I$7956/Sens!$I$7941</f>
        <v>0.0784619467108939</v>
      </c>
      <c r="J7970" s="13" t="n">
        <f aca="false">Sens!$J$7956/Sens!$J$7941</f>
        <v>0.0767950945569155</v>
      </c>
      <c r="K7970" s="13" t="n">
        <f aca="false">Sens!$K$7956/Sens!$K$7941</f>
        <v>0.0749782708028101</v>
      </c>
      <c r="L7970" s="13" t="n">
        <f aca="false">Sens!$L$7956/Sens!$L$7941</f>
        <v>0.0740581549602486</v>
      </c>
      <c r="M7970" s="13" t="n">
        <f aca="false">Sens!$M$7956/Sens!$M$7941</f>
        <v>0.075724068445432</v>
      </c>
      <c r="N7970" s="13" t="n">
        <f aca="false">Sens!$N$7956/Sens!$N$7941</f>
        <v>0.069228576611127</v>
      </c>
      <c r="O7970" s="13" t="n">
        <f aca="false">Sens!$O$7956/Sens!$O$7941</f>
        <v>0.069685022498393</v>
      </c>
    </row>
    <row r="7971" customFormat="false" ht="17.15" hidden="false" customHeight="false" outlineLevel="0" collapsed="false">
      <c r="A7971" s="0" t="s">
        <v>739</v>
      </c>
      <c r="B7971" s="0" t="s">
        <v>52</v>
      </c>
      <c r="C7971" s="13" t="n">
        <f aca="false">Sens!$C$7961/Sens!$C$7942</f>
        <v>0.026534925055631</v>
      </c>
      <c r="D7971" s="13" t="n">
        <f aca="false">Sens!$D$7961/Sens!$D$7942</f>
        <v>0.0293401855535103</v>
      </c>
      <c r="E7971" s="13" t="n">
        <f aca="false">Sens!$E$7961/Sens!$E$7942</f>
        <v>0.03831141902276</v>
      </c>
      <c r="F7971" s="13" t="n">
        <f aca="false">Sens!$F$7961/Sens!$F$7942</f>
        <v>0.0281350107328284</v>
      </c>
      <c r="G7971" s="13" t="n">
        <f aca="false">Sens!$G$7961/Sens!$G$7942</f>
        <v>0.0327600029432073</v>
      </c>
      <c r="H7971" s="13" t="n">
        <f aca="false">Sens!$H$7961/Sens!$H$7942</f>
        <v>0.031310920057557</v>
      </c>
      <c r="I7971" s="13" t="n">
        <f aca="false">Sens!$I$7961/Sens!$I$7942</f>
        <v>0.0275950243319601</v>
      </c>
      <c r="J7971" s="13" t="n">
        <f aca="false">Sens!$J$7961/Sens!$J$7942</f>
        <v>0.0238367762099147</v>
      </c>
      <c r="K7971" s="13" t="n">
        <f aca="false">Sens!$K$7961/Sens!$K$7942</f>
        <v>0.0198239122855479</v>
      </c>
      <c r="L7971" s="13" t="n">
        <f aca="false">Sens!$L$7961/Sens!$L$7942</f>
        <v>0.0192499447238486</v>
      </c>
      <c r="M7971" s="13" t="n">
        <f aca="false">Sens!$M$7961/Sens!$M$7942</f>
        <v>0.0212700135680342</v>
      </c>
      <c r="N7971" s="13" t="n">
        <f aca="false">Sens!$N$7961/Sens!$N$7942</f>
        <v>0.0357315650169337</v>
      </c>
      <c r="O7971" s="13" t="n">
        <f aca="false">Sens!$O$7961/Sens!$O$7942</f>
        <v>0.0244378956559703</v>
      </c>
    </row>
    <row r="7972" customFormat="false" ht="17.15" hidden="false" customHeight="false" outlineLevel="0" collapsed="false">
      <c r="A7972" s="14" t="s">
        <v>740</v>
      </c>
      <c r="B7972" s="14" t="s">
        <v>52</v>
      </c>
      <c r="C7972" s="17" t="n">
        <f aca="false">Sens!$C$7964/Sens!$C$7943</f>
        <v>0.370355907620217</v>
      </c>
      <c r="D7972" s="17" t="n">
        <f aca="false">Sens!$D$7964/Sens!$D$7943</f>
        <v>0.35429015342785</v>
      </c>
      <c r="E7972" s="17" t="n">
        <f aca="false">Sens!$E$7964/Sens!$E$7943</f>
        <v>0.385647527531039</v>
      </c>
      <c r="F7972" s="17" t="n">
        <f aca="false">Sens!$F$7964/Sens!$F$7943</f>
        <v>0.390008895496028</v>
      </c>
      <c r="G7972" s="17" t="n">
        <f aca="false">Sens!$G$7964/Sens!$G$7943</f>
        <v>0.387918733944362</v>
      </c>
      <c r="H7972" s="17" t="n">
        <f aca="false">Sens!$H$7964/Sens!$H$7943</f>
        <v>0.377537651365497</v>
      </c>
      <c r="I7972" s="17" t="n">
        <f aca="false">Sens!$I$7964/Sens!$I$7943</f>
        <v>0.359230604038662</v>
      </c>
      <c r="J7972" s="17" t="n">
        <f aca="false">Sens!$J$7964/Sens!$J$7943</f>
        <v>0.345197865849801</v>
      </c>
      <c r="K7972" s="17" t="n">
        <f aca="false">Sens!$K$7964/Sens!$K$7943</f>
        <v>0.32654098357242</v>
      </c>
      <c r="L7972" s="17" t="n">
        <f aca="false">Sens!$L$7964/Sens!$L$7943</f>
        <v>0.314806978274702</v>
      </c>
      <c r="M7972" s="17" t="n">
        <f aca="false">Sens!$M$7964/Sens!$M$7943</f>
        <v>0.304503505485029</v>
      </c>
      <c r="N7972" s="17" t="n">
        <f aca="false">Sens!$N$7964/Sens!$N$7943</f>
        <v>0.360941137346192</v>
      </c>
      <c r="O7972" s="17" t="n">
        <f aca="false">Sens!$O$7964/Sens!$O$7943</f>
        <v>0.348458117664212</v>
      </c>
    </row>
    <row r="7973" customFormat="false" ht="17.15" hidden="false" customHeight="false" outlineLevel="0" collapsed="false">
      <c r="A7973" s="0" t="s">
        <v>741</v>
      </c>
      <c r="B7973" s="0" t="s">
        <v>52</v>
      </c>
      <c r="C7973" s="13" t="n">
        <f aca="false">Sens!$C$7962/Sens!$C$7944</f>
        <v>0.708390794789371</v>
      </c>
      <c r="D7973" s="13" t="n">
        <f aca="false">Sens!$D$7962/Sens!$D$7944</f>
        <v>0.619415573115729</v>
      </c>
      <c r="E7973" s="13" t="n">
        <f aca="false">Sens!$E$7962/Sens!$E$7944</f>
        <v>0.374072166056273</v>
      </c>
      <c r="F7973" s="13" t="n">
        <f aca="false">Sens!$F$7962/Sens!$F$7944</f>
        <v>0.553219320710057</v>
      </c>
      <c r="G7973" s="13" t="n">
        <f aca="false">Sens!$G$7962/Sens!$G$7944</f>
        <v>0.488270041527512</v>
      </c>
      <c r="H7973" s="13" t="n">
        <f aca="false">Sens!$H$7962/Sens!$H$7944</f>
        <v>0.435229086816882</v>
      </c>
      <c r="I7973" s="13" t="n">
        <f aca="false">Sens!$I$7962/Sens!$I$7944</f>
        <v>0.364954592421095</v>
      </c>
      <c r="J7973" s="13" t="n">
        <f aca="false">Sens!$J$7962/Sens!$J$7944</f>
        <v>0.330438308582232</v>
      </c>
      <c r="K7973" s="13" t="n">
        <f aca="false">Sens!$K$7962/Sens!$K$7944</f>
        <v>0.2916589289528</v>
      </c>
      <c r="L7973" s="13" t="n">
        <f aca="false">Sens!$L$7962/Sens!$L$7944</f>
        <v>0.268199200593258</v>
      </c>
      <c r="M7973" s="13" t="n">
        <f aca="false">Sens!$M$7962/Sens!$M$7944</f>
        <v>0.244854995033574</v>
      </c>
      <c r="N7973" s="13" t="n">
        <f aca="false">Sens!$N$7962/Sens!$N$7944</f>
        <v>0.551227795793364</v>
      </c>
      <c r="O7973" s="13" t="n">
        <f aca="false">Sens!$O$7962/Sens!$O$7944</f>
        <v>0.656132068597002</v>
      </c>
    </row>
    <row r="7974" customFormat="false" ht="15" hidden="false" customHeight="false" outlineLevel="0" collapsed="false">
      <c r="A7974" s="5" t="s">
        <v>742</v>
      </c>
      <c r="B7974" s="0" t="s">
        <v>52</v>
      </c>
      <c r="C7974" s="13" t="n">
        <f aca="false">Sens!$C$7966/Sens!$C$7946</f>
        <v>0.107519448742004</v>
      </c>
      <c r="D7974" s="13" t="n">
        <f aca="false">Sens!$D$7966/Sens!$D$7946</f>
        <v>0.111552967957552</v>
      </c>
      <c r="E7974" s="13" t="n">
        <f aca="false">Sens!$E$7966/Sens!$E$7946</f>
        <v>0.13428328426562</v>
      </c>
      <c r="F7974" s="13" t="n">
        <f aca="false">Sens!$F$7966/Sens!$F$7946</f>
        <v>0.130089413875539</v>
      </c>
      <c r="G7974" s="13" t="n">
        <f aca="false">Sens!$G$7966/Sens!$G$7946</f>
        <v>0.132048786678316</v>
      </c>
      <c r="H7974" s="13" t="n">
        <f aca="false">Sens!$H$7966/Sens!$H$7946</f>
        <v>0.139604881440853</v>
      </c>
      <c r="I7974" s="13" t="n">
        <f aca="false">Sens!$I$7966/Sens!$I$7946</f>
        <v>0.141694752432769</v>
      </c>
      <c r="J7974" s="13" t="n">
        <f aca="false">Sens!$J$7966/Sens!$J$7946</f>
        <v>0.14272611544629</v>
      </c>
      <c r="K7974" s="13" t="n">
        <f aca="false">Sens!$K$7966/Sens!$K$7946</f>
        <v>0.139974160596744</v>
      </c>
      <c r="L7974" s="13" t="n">
        <f aca="false">Sens!$L$7966/Sens!$L$7946</f>
        <v>0.137772071866073</v>
      </c>
      <c r="M7974" s="13" t="n">
        <f aca="false">Sens!$M$7966/Sens!$M$7946</f>
        <v>0.13596080857516</v>
      </c>
      <c r="N7974" s="13" t="n">
        <f aca="false">Sens!$N$7966/Sens!$N$7946</f>
        <v>0.116201614873411</v>
      </c>
      <c r="O7974" s="13" t="n">
        <f aca="false">Sens!$O$7966/Sens!$O$7946</f>
        <v>0.107733353660861</v>
      </c>
    </row>
    <row r="7975" customFormat="false" ht="17.15" hidden="false" customHeight="false" outlineLevel="0" collapsed="false">
      <c r="A7975" s="1" t="s">
        <v>743</v>
      </c>
    </row>
    <row r="7976" customFormat="false" ht="17.15" hidden="false" customHeight="false" outlineLevel="0" collapsed="false">
      <c r="A7976" s="5" t="s">
        <v>744</v>
      </c>
      <c r="B7976" s="0" t="s">
        <v>52</v>
      </c>
      <c r="D7976" s="28" t="n">
        <f aca="false">(Q!$E$29+Q!$E$30-(1-ext_sh)*Sens!$D$7898)/Sens!$D$7852</f>
        <v>0.0341105596409988</v>
      </c>
    </row>
    <row r="7977" customFormat="false" ht="17.15" hidden="false" customHeight="false" outlineLevel="0" collapsed="false">
      <c r="A7977" s="0" t="s">
        <v>538</v>
      </c>
      <c r="B7977" s="0" t="s">
        <v>86</v>
      </c>
      <c r="C7977" s="38" t="n">
        <f aca="false">Q!$D$29</f>
        <v>14.285</v>
      </c>
      <c r="D7977" s="38" t="n">
        <f aca="false">Q!$E$29</f>
        <v>15.503</v>
      </c>
      <c r="E7977" s="38" t="n">
        <f aca="false">Q!$P$29</f>
        <v>8.78</v>
      </c>
      <c r="F7977" s="38" t="n">
        <f aca="false">(Sens!$D$7976*Sens!$F$7852+(1-ext_sh)*Sens!$F$7898)*Sens!$F$7853</f>
        <v>9.16735846116642</v>
      </c>
      <c r="G7977" s="38" t="n">
        <f aca="false">Sens!$E$7977+Sens!$F$7977</f>
        <v>17.9473584611664</v>
      </c>
      <c r="H7977" s="38" t="n">
        <f aca="false">(Sens!$D$7976*Sens!$H$7852+(1-ext_sh)*Sens!$H$7898)*Sens!$H$7853</f>
        <v>21.6406723110177</v>
      </c>
      <c r="I7977" s="38" t="n">
        <f aca="false">(Sens!$D$7976*Sens!$I$7852+(1-ext_sh)*Sens!$I$7898)*Sens!$I$7853</f>
        <v>27.3128215555087</v>
      </c>
      <c r="J7977" s="38" t="n">
        <f aca="false">(Sens!$D$7976*Sens!$J$7852+(1-ext_sh)*Sens!$J$7898)*Sens!$J$7853</f>
        <v>33.0116861885756</v>
      </c>
      <c r="K7977" s="38" t="n">
        <f aca="false">(Sens!$D$7976*Sens!$K$7852+(1-ext_sh)*Sens!$K$7898)*Sens!$K$7853</f>
        <v>38.6250238720245</v>
      </c>
      <c r="L7977" s="38" t="n">
        <f aca="false">(Sens!$D$7976*Sens!$L$7852+(1-ext_sh)*Sens!$L$7898)*Sens!$L$7853</f>
        <v>43.0711535197861</v>
      </c>
      <c r="M7977" s="38" t="n">
        <f aca="false">(Sens!$D$7976*Sens!$M$7852+(1-ext_sh)*Sens!$M$7898)*Sens!$M$7853</f>
        <v>46.590728630326</v>
      </c>
      <c r="N7977" s="38" t="n">
        <f aca="false">Q!$N$29</f>
        <v>7.272</v>
      </c>
      <c r="O7977" s="38" t="n">
        <f aca="false">Q!$O$29</f>
        <v>8.231</v>
      </c>
    </row>
    <row r="7978" customFormat="false" ht="17.15" hidden="false" customHeight="false" outlineLevel="0" collapsed="false">
      <c r="A7978" s="0" t="s">
        <v>540</v>
      </c>
      <c r="B7978" s="0" t="s">
        <v>86</v>
      </c>
      <c r="C7978" s="38" t="n">
        <f aca="false">Q!$D$30</f>
        <v>4.462</v>
      </c>
      <c r="D7978" s="38" t="n">
        <f aca="false">Q!$E$30</f>
        <v>4.907</v>
      </c>
      <c r="E7978" s="38" t="n">
        <f aca="false">Q!$P$30</f>
        <v>2.57</v>
      </c>
      <c r="F7978" s="38" t="n">
        <f aca="false">(Sens!$D$7976*Sens!$F$7852+(1-ext_sh)*Sens!$F$7898)*(1-Sens!$F$7853)</f>
        <v>3.59937168293151</v>
      </c>
      <c r="G7978" s="38" t="n">
        <f aca="false">Sens!$E$7978+Sens!$F$7978</f>
        <v>6.16937168293151</v>
      </c>
      <c r="H7978" s="38" t="n">
        <f aca="false">(Sens!$D$7976*Sens!$H$7852+(1-ext_sh)*Sens!$H$7898)*(1-Sens!$H$7853)</f>
        <v>8.28915290031442</v>
      </c>
      <c r="I7978" s="38" t="n">
        <f aca="false">(Sens!$D$7976*Sens!$I$7852+(1-ext_sh)*Sens!$I$7898)*(1-Sens!$I$7853)</f>
        <v>10.4617892992793</v>
      </c>
      <c r="J7978" s="38" t="n">
        <f aca="false">(Sens!$D$7976*Sens!$J$7852+(1-ext_sh)*Sens!$J$7898)*(1-Sens!$J$7853)</f>
        <v>12.6446586493057</v>
      </c>
      <c r="K7978" s="38" t="n">
        <f aca="false">(Sens!$D$7976*Sens!$K$7852+(1-ext_sh)*Sens!$K$7898)*(1-Sens!$K$7853)</f>
        <v>14.7947681131192</v>
      </c>
      <c r="L7978" s="38" t="n">
        <f aca="false">(Sens!$D$7976*Sens!$L$7852+(1-ext_sh)*Sens!$L$7898)*(1-Sens!$L$7853)</f>
        <v>16.4977950771268</v>
      </c>
      <c r="M7978" s="38" t="n">
        <f aca="false">(Sens!$D$7976*Sens!$M$7852+(1-ext_sh)*Sens!$M$7898)*(1-Sens!$M$7853)</f>
        <v>17.8459184540772</v>
      </c>
      <c r="N7978" s="38" t="n">
        <f aca="false">Q!$N$30</f>
        <v>2.316</v>
      </c>
      <c r="O7978" s="38" t="n">
        <f aca="false">Q!$O$30</f>
        <v>2.591</v>
      </c>
    </row>
    <row r="7979" customFormat="false" ht="17.15" hidden="false" customHeight="false" outlineLevel="0" collapsed="false">
      <c r="A7979" s="0" t="s">
        <v>541</v>
      </c>
      <c r="B7979" s="0" t="s">
        <v>86</v>
      </c>
      <c r="C7979" s="38" t="n">
        <f aca="false">Sens!$C$7910</f>
        <v>13.32</v>
      </c>
      <c r="D7979" s="38" t="n">
        <f aca="false">Sens!$D$7910</f>
        <v>21.45</v>
      </c>
      <c r="E7979" s="38" t="n">
        <f aca="false">Sens!$E$7910</f>
        <v>15.353</v>
      </c>
      <c r="F7979" s="38" t="n">
        <f aca="false">Sens!$F$7910</f>
        <v>15.4404120185306</v>
      </c>
      <c r="G7979" s="38" t="n">
        <f aca="false">Sens!$G$7910</f>
        <v>30.7934120185306</v>
      </c>
      <c r="H7979" s="38" t="n">
        <f aca="false">Sens!$H$7910</f>
        <v>48.250114371455</v>
      </c>
      <c r="I7979" s="38" t="n">
        <f aca="false">Sens!$I$7910</f>
        <v>73.3965146995963</v>
      </c>
      <c r="J7979" s="38" t="n">
        <f aca="false">Sens!$J$7910</f>
        <v>99.22806138309</v>
      </c>
      <c r="K7979" s="38" t="n">
        <f aca="false">Sens!$K$7910</f>
        <v>125.386627452856</v>
      </c>
      <c r="L7979" s="38" t="n">
        <f aca="false">Sens!$L$7910</f>
        <v>144.77239043275</v>
      </c>
      <c r="M7979" s="38" t="n">
        <f aca="false">Sens!$M$7910</f>
        <v>158.693930910983</v>
      </c>
      <c r="N7979" s="38" t="n">
        <f aca="false">Sens!$N$7910</f>
        <v>9.234</v>
      </c>
      <c r="O7979" s="38" t="n">
        <f aca="false">Sens!$O$7910</f>
        <v>12.216</v>
      </c>
    </row>
    <row r="7980" customFormat="false" ht="17.15" hidden="false" customHeight="false" outlineLevel="0" collapsed="false">
      <c r="A7980" s="5" t="s">
        <v>745</v>
      </c>
      <c r="B7980" s="0" t="s">
        <v>86</v>
      </c>
      <c r="C7980" s="38" t="n">
        <f aca="false">Sens!$C$7977+Sens!$C$7978+Sens!$C$7979</f>
        <v>32.067</v>
      </c>
      <c r="D7980" s="38" t="n">
        <f aca="false">Sens!$D$7977+Sens!$D$7978+Sens!$D$7979</f>
        <v>41.86</v>
      </c>
      <c r="E7980" s="38" t="n">
        <f aca="false">Sens!$E$7977+Sens!$E$7978+Sens!$E$7979</f>
        <v>26.703</v>
      </c>
      <c r="F7980" s="38" t="n">
        <f aca="false">Sens!$F$7977+Sens!$F$7978+Sens!$F$7979</f>
        <v>28.2071421626285</v>
      </c>
      <c r="G7980" s="38" t="n">
        <f aca="false">Sens!$G$7977+Sens!$G$7978+Sens!$G$7979</f>
        <v>54.9101421626285</v>
      </c>
      <c r="H7980" s="38" t="n">
        <f aca="false">Sens!$H$7977+Sens!$H$7978+Sens!$H$7979</f>
        <v>78.1799395827871</v>
      </c>
      <c r="I7980" s="38" t="n">
        <f aca="false">Sens!$I$7977+Sens!$I$7978+Sens!$I$7979</f>
        <v>111.171125554384</v>
      </c>
      <c r="J7980" s="38" t="n">
        <f aca="false">Sens!$J$7977+Sens!$J$7978+Sens!$J$7979</f>
        <v>144.884406220971</v>
      </c>
      <c r="K7980" s="38" t="n">
        <f aca="false">Sens!$K$7977+Sens!$K$7978+Sens!$K$7979</f>
        <v>178.806419437999</v>
      </c>
      <c r="L7980" s="38" t="n">
        <f aca="false">Sens!$L$7977+Sens!$L$7978+Sens!$L$7979</f>
        <v>204.341339029663</v>
      </c>
      <c r="M7980" s="38" t="n">
        <f aca="false">Sens!$M$7977+Sens!$M$7978+Sens!$M$7979</f>
        <v>223.130577995387</v>
      </c>
      <c r="N7980" s="38" t="n">
        <f aca="false">Sens!$N$7977+Sens!$N$7978+Sens!$N$7979</f>
        <v>18.822</v>
      </c>
      <c r="O7980" s="38" t="n">
        <f aca="false">Sens!$O$7977+Sens!$O$7978+Sens!$O$7979</f>
        <v>23.038</v>
      </c>
    </row>
    <row r="7981" customFormat="false" ht="17.15" hidden="false" customHeight="false" outlineLevel="0" collapsed="false">
      <c r="A7981" s="0" t="s">
        <v>746</v>
      </c>
      <c r="B7981" s="0" t="s">
        <v>86</v>
      </c>
      <c r="C7981" s="38" t="n">
        <f aca="false">Sens!$C$7952+Sens!$C$7957</f>
        <v>28.107</v>
      </c>
      <c r="D7981" s="38" t="n">
        <f aca="false">Sens!$D$7952+Sens!$D$7957</f>
        <v>34.3175</v>
      </c>
      <c r="E7981" s="38" t="n">
        <f aca="false">Sens!$E$7952+Sens!$E$7957</f>
        <v>18.526</v>
      </c>
      <c r="F7981" s="38" t="n">
        <f aca="false">Sens!$F$7952+Sens!$F$7957</f>
        <v>23.0786109972074</v>
      </c>
      <c r="G7981" s="38" t="n">
        <f aca="false">Sens!$G$7952+Sens!$G$7957</f>
        <v>41.6046109972074</v>
      </c>
      <c r="H7981" s="38" t="n">
        <f aca="false">Sens!$H$7952+Sens!$H$7957</f>
        <v>49.9484611939488</v>
      </c>
      <c r="I7981" s="38" t="n">
        <f aca="false">Sens!$I$7952+Sens!$I$7957</f>
        <v>58.2915555477481</v>
      </c>
      <c r="J7981" s="38" t="n">
        <f aca="false">Sens!$J$7952+Sens!$J$7957</f>
        <v>66.0744709709759</v>
      </c>
      <c r="K7981" s="38" t="n">
        <f aca="false">Sens!$K$7952+Sens!$K$7957</f>
        <v>72.6819180680735</v>
      </c>
      <c r="L7981" s="38" t="n">
        <f aca="false">Sens!$L$7952+Sens!$L$7957</f>
        <v>79.9501098748808</v>
      </c>
      <c r="M7981" s="38" t="n">
        <f aca="false">Sens!$M$7952+Sens!$M$7957</f>
        <v>87.9451208623689</v>
      </c>
      <c r="N7981" s="38" t="n">
        <f aca="false">Sens!$N$7952+Sens!$N$7957</f>
        <v>14.8075</v>
      </c>
      <c r="O7981" s="38" t="n">
        <f aca="false">Sens!$O$7952+Sens!$O$7957</f>
        <v>19.51</v>
      </c>
    </row>
    <row r="7982" customFormat="false" ht="17.15" hidden="false" customHeight="false" outlineLevel="0" collapsed="false">
      <c r="A7982" s="0" t="s">
        <v>747</v>
      </c>
      <c r="B7982" s="0" t="s">
        <v>86</v>
      </c>
      <c r="C7982" s="38" t="n">
        <f aca="false">Sens!$C$7956+Sens!$C$7961+Sens!$C$7977+Sens!$C$7978-Sens!$C$7981</f>
        <v>19.399</v>
      </c>
      <c r="D7982" s="38" t="n">
        <f aca="false">Sens!$D$7956+Sens!$D$7961+Sens!$D$7977+Sens!$D$7978-Sens!$D$7981</f>
        <v>20.4615</v>
      </c>
      <c r="E7982" s="38" t="n">
        <f aca="false">Sens!$E$7956+Sens!$E$7961+Sens!$E$7977+Sens!$E$7978-Sens!$E$7981</f>
        <v>13.355</v>
      </c>
      <c r="F7982" s="38" t="n">
        <f aca="false">Sens!$F$7956+Sens!$F$7961+Sens!$F$7977+Sens!$F$7978-Sens!$F$7981</f>
        <v>12.5520732018618</v>
      </c>
      <c r="G7982" s="38" t="n">
        <f aca="false">Sens!$G$7956+Sens!$G$7961+Sens!$G$7977+Sens!$G$7978-Sens!$G$7981</f>
        <v>25.9070732018618</v>
      </c>
      <c r="H7982" s="38" t="n">
        <f aca="false">Sens!$H$7956+Sens!$H$7961+Sens!$H$7977+Sens!$H$7978-Sens!$H$7981</f>
        <v>28.0233335906818</v>
      </c>
      <c r="I7982" s="38" t="n">
        <f aca="false">Sens!$I$7956+Sens!$I$7961+Sens!$I$7977+Sens!$I$7978-Sens!$I$7981</f>
        <v>30.2440066606864</v>
      </c>
      <c r="J7982" s="38" t="n">
        <f aca="false">Sens!$J$7956+Sens!$J$7961+Sens!$J$7977+Sens!$J$7978-Sens!$J$7981</f>
        <v>32.4596500296286</v>
      </c>
      <c r="K7982" s="38" t="n">
        <f aca="false">Sens!$K$7956+Sens!$K$7961+Sens!$K$7977+Sens!$K$7978-Sens!$K$7981</f>
        <v>34.839425971154</v>
      </c>
      <c r="L7982" s="38" t="n">
        <f aca="false">Sens!$L$7956+Sens!$L$7961+Sens!$L$7977+Sens!$L$7978-Sens!$L$7981</f>
        <v>36.4424209524427</v>
      </c>
      <c r="M7982" s="38" t="n">
        <f aca="false">Sens!$M$7956+Sens!$M$7961+Sens!$M$7977+Sens!$M$7978-Sens!$M$7981</f>
        <v>38.8413540019876</v>
      </c>
      <c r="N7982" s="38" t="n">
        <f aca="false">Sens!$N$7956+Sens!$N$7961+Sens!$N$7977+Sens!$N$7978-Sens!$N$7981</f>
        <v>10.6495</v>
      </c>
      <c r="O7982" s="38" t="n">
        <f aca="false">Sens!$O$7956+Sens!$O$7961+Sens!$O$7977+Sens!$O$7978-Sens!$O$7981</f>
        <v>9.81200000000001</v>
      </c>
    </row>
    <row r="7983" customFormat="false" ht="17.15" hidden="false" customHeight="false" outlineLevel="0" collapsed="false">
      <c r="A7983" s="0" t="s">
        <v>748</v>
      </c>
      <c r="B7983" s="0" t="s">
        <v>86</v>
      </c>
      <c r="C7983" s="38" t="n">
        <f aca="false">Sens!$C$7963+Sens!$C$7979-ext_sh*Sens!$C$7898</f>
        <v>51.3470500115664</v>
      </c>
      <c r="D7983" s="38" t="n">
        <f aca="false">Sens!$D$7963+Sens!$D$7979-ext_sh*Sens!$D$7898</f>
        <v>60.2799375433739</v>
      </c>
      <c r="E7983" s="38" t="n">
        <f aca="false">Sens!$E$7963+Sens!$E$7979-ext_sh*Sens!$E$7898</f>
        <v>39.5095167090767</v>
      </c>
      <c r="F7983" s="38" t="n">
        <f aca="false">Sens!$F$7963+Sens!$F$7979-ext_sh*Sens!$F$7898</f>
        <v>37.5468918745429</v>
      </c>
      <c r="G7983" s="38" t="n">
        <f aca="false">Sens!$G$7963+Sens!$G$7979-ext_sh*Sens!$G$7898</f>
        <v>77.0564085836196</v>
      </c>
      <c r="H7983" s="38" t="n">
        <f aca="false">Sens!$H$7963+Sens!$H$7979-ext_sh*Sens!$H$7898</f>
        <v>84.2378398616123</v>
      </c>
      <c r="I7983" s="38" t="n">
        <f aca="false">Sens!$I$7963+Sens!$I$7979-ext_sh*Sens!$I$7898</f>
        <v>93.5253492849083</v>
      </c>
      <c r="J7983" s="38" t="n">
        <f aca="false">Sens!$J$7963+Sens!$J$7979-ext_sh*Sens!$J$7898</f>
        <v>102.42210777817</v>
      </c>
      <c r="K7983" s="38" t="n">
        <f aca="false">Sens!$K$7963+Sens!$K$7979-ext_sh*Sens!$K$7898</f>
        <v>110.615876400424</v>
      </c>
      <c r="L7983" s="38" t="n">
        <f aca="false">Sens!$L$7963+Sens!$L$7979-ext_sh*Sens!$L$7898</f>
        <v>119.465146512458</v>
      </c>
      <c r="M7983" s="38" t="n">
        <f aca="false">Sens!$M$7963+Sens!$M$7979-ext_sh*Sens!$M$7898</f>
        <v>129.022358233455</v>
      </c>
      <c r="N7983" s="38" t="n">
        <f aca="false">Sens!$N$7963+Sens!$N$7979-ext_sh*Sens!$N$7898</f>
        <v>28.5693781401809</v>
      </c>
      <c r="O7983" s="38" t="n">
        <f aca="false">Sens!$O$7963+Sens!$O$7979-ext_sh*Sens!$O$7898</f>
        <v>31.7105594031931</v>
      </c>
    </row>
    <row r="7984" customFormat="false" ht="17.15" hidden="false" customHeight="false" outlineLevel="0" collapsed="false">
      <c r="A7984" s="0" t="s">
        <v>749</v>
      </c>
      <c r="B7984" s="0" t="s">
        <v>86</v>
      </c>
      <c r="C7984" s="38" t="n">
        <f aca="false">Sens!$C$7901</f>
        <v>1.80694998843362</v>
      </c>
      <c r="D7984" s="38" t="n">
        <f aca="false">Sens!$D$7901</f>
        <v>6.77606245662607</v>
      </c>
      <c r="E7984" s="38" t="n">
        <f aca="false">Sens!$E$7901</f>
        <v>6.62548329092326</v>
      </c>
      <c r="F7984" s="38" t="n">
        <f aca="false">Sens!$F$7901</f>
        <v>11.7200577158706</v>
      </c>
      <c r="G7984" s="38" t="n">
        <f aca="false">Sens!$G$7901</f>
        <v>18.3455410067939</v>
      </c>
      <c r="H7984" s="38" t="n">
        <f aca="false">Sens!$H$7901</f>
        <v>47.5171727060453</v>
      </c>
      <c r="I7984" s="38" t="n">
        <f aca="false">Sens!$I$7901</f>
        <v>80.5539692643667</v>
      </c>
      <c r="J7984" s="38" t="n">
        <f aca="false">Sens!$J$7901</f>
        <v>113.759316834883</v>
      </c>
      <c r="K7984" s="38" t="n">
        <f aca="false">Sens!$K$7901</f>
        <v>142.084411492169</v>
      </c>
      <c r="L7984" s="38" t="n">
        <f aca="false">Sens!$L$7901</f>
        <v>160.69964615804</v>
      </c>
      <c r="M7984" s="38" t="n">
        <f aca="false">Sens!$M$7901</f>
        <v>169.577607141793</v>
      </c>
      <c r="N7984" s="38" t="n">
        <f aca="false">Sens!$N$7901</f>
        <v>2.37162185981912</v>
      </c>
      <c r="O7984" s="38" t="n">
        <f aca="false">Sens!$O$7901</f>
        <v>4.40444059680694</v>
      </c>
    </row>
    <row r="7985" customFormat="false" ht="17.15" hidden="false" customHeight="false" outlineLevel="0" collapsed="false">
      <c r="A7985" s="0" t="s">
        <v>750</v>
      </c>
      <c r="B7985" s="0" t="s">
        <v>86</v>
      </c>
      <c r="C7985" s="38" t="n">
        <f aca="false">Sens!$C$7966+Sens!$C$7980</f>
        <v>100.66</v>
      </c>
      <c r="D7985" s="38" t="n">
        <f aca="false">Sens!$D$7966+Sens!$D$7980</f>
        <v>121.835</v>
      </c>
      <c r="E7985" s="38" t="n">
        <f aca="false">Sens!$E$7966+Sens!$E$7980</f>
        <v>78.016</v>
      </c>
      <c r="F7985" s="38" t="n">
        <f aca="false">Sens!$F$7966+Sens!$F$7980</f>
        <v>84.8976337894826</v>
      </c>
      <c r="G7985" s="38" t="n">
        <f aca="false">Sens!$G$7966+Sens!$G$7980</f>
        <v>162.913633789483</v>
      </c>
      <c r="H7985" s="38" t="n">
        <f aca="false">Sens!$H$7966+Sens!$H$7980</f>
        <v>209.726807352288</v>
      </c>
      <c r="I7985" s="38" t="n">
        <f aca="false">Sens!$I$7966+Sens!$I$7980</f>
        <v>262.61488075771</v>
      </c>
      <c r="J7985" s="38" t="n">
        <f aca="false">Sens!$J$7966+Sens!$J$7980</f>
        <v>314.715545613658</v>
      </c>
      <c r="K7985" s="38" t="n">
        <f aca="false">Sens!$K$7966+Sens!$K$7980</f>
        <v>360.221631931821</v>
      </c>
      <c r="L7985" s="38" t="n">
        <f aca="false">Sens!$L$7966+Sens!$L$7980</f>
        <v>396.557323497822</v>
      </c>
      <c r="M7985" s="38" t="n">
        <f aca="false">Sens!$M$7966+Sens!$M$7980</f>
        <v>425.386440239605</v>
      </c>
      <c r="N7985" s="38" t="n">
        <f aca="false">Sens!$N$7966+Sens!$N$7980</f>
        <v>56.398</v>
      </c>
      <c r="O7985" s="38" t="n">
        <f aca="false">Sens!$O$7966+Sens!$O$7980</f>
        <v>65.437</v>
      </c>
    </row>
    <row r="7986" customFormat="false" ht="17.15" hidden="false" customHeight="false" outlineLevel="0" collapsed="false">
      <c r="A7986" s="1" t="s">
        <v>751</v>
      </c>
    </row>
    <row r="7987" customFormat="false" ht="15" hidden="false" customHeight="false" outlineLevel="0" collapsed="false">
      <c r="A7987" s="5" t="s">
        <v>544</v>
      </c>
      <c r="B7987" s="0" t="s">
        <v>86</v>
      </c>
      <c r="C7987" s="38" t="n">
        <f aca="false">Q!$D$34</f>
        <v>2.406</v>
      </c>
      <c r="D7987" s="38" t="n">
        <f aca="false">Q!$E$34</f>
        <v>2.274</v>
      </c>
      <c r="E7987" s="38" t="n">
        <f aca="false">Q!$P$34</f>
        <v>2.114</v>
      </c>
      <c r="F7987" s="38" t="n">
        <f aca="false">Sens!$F$8025</f>
        <v>3.24888962733561</v>
      </c>
      <c r="G7987" s="38" t="n">
        <f aca="false">Sens!$E$7987+Sens!$F$7987</f>
        <v>5.36288962733561</v>
      </c>
      <c r="H7987" s="38" t="n">
        <f aca="false">Sens!$H$8025</f>
        <v>7.42354172302123</v>
      </c>
      <c r="I7987" s="38" t="n">
        <f aca="false">Sens!$I$8025</f>
        <v>8.48968024898619</v>
      </c>
      <c r="J7987" s="38" t="n">
        <f aca="false">Sens!$J$8025</f>
        <v>9.63598826439483</v>
      </c>
      <c r="K7987" s="38" t="n">
        <f aca="false">Sens!$K$8025</f>
        <v>9.63598826439483</v>
      </c>
      <c r="L7987" s="38" t="n">
        <f aca="false">Sens!$L$8025</f>
        <v>9.63598826439483</v>
      </c>
      <c r="M7987" s="38" t="n">
        <f aca="false">Sens!$M$8025</f>
        <v>9.63598826439483</v>
      </c>
      <c r="N7987" s="38" t="n">
        <f aca="false">Q!$N$34</f>
        <v>1.057</v>
      </c>
      <c r="O7987" s="38" t="n">
        <f aca="false">Q!$O$34</f>
        <v>1.217</v>
      </c>
    </row>
    <row r="7988" customFormat="false" ht="15" hidden="false" customHeight="false" outlineLevel="0" collapsed="false">
      <c r="A7988" s="5" t="s">
        <v>752</v>
      </c>
      <c r="B7988" s="0" t="s">
        <v>86</v>
      </c>
      <c r="F7988" s="38" t="n">
        <f aca="false">Sens!$F$8026</f>
        <v>2.59</v>
      </c>
      <c r="H7988" s="38" t="n">
        <f aca="false">Sens!$H$8026</f>
        <v>3.76965165045626</v>
      </c>
      <c r="I7988" s="38" t="n">
        <f aca="false">Sens!$I$8026</f>
        <v>2.10589651022864</v>
      </c>
      <c r="J7988" s="38" t="n">
        <f aca="false">Sens!$J$8026</f>
        <v>2.10589651022864</v>
      </c>
      <c r="K7988" s="38" t="n">
        <f aca="false">Sens!$K$8026</f>
        <v>3.03184385018094</v>
      </c>
      <c r="L7988" s="38" t="n">
        <f aca="false">Sens!$L$8026</f>
        <v>8.01944213829919</v>
      </c>
      <c r="M7988" s="38" t="n">
        <f aca="false">Sens!$M$8026</f>
        <v>15.4751142339777</v>
      </c>
    </row>
    <row r="7989" customFormat="false" ht="17.15" hidden="false" customHeight="false" outlineLevel="0" collapsed="false">
      <c r="A7989" s="5" t="s">
        <v>753</v>
      </c>
      <c r="B7989" s="0" t="s">
        <v>86</v>
      </c>
      <c r="C7989" s="38" t="n">
        <f aca="false">Q!$D$39</f>
        <v>2.427</v>
      </c>
      <c r="D7989" s="38" t="n">
        <f aca="false">Q!$E$39</f>
        <v>19.61</v>
      </c>
      <c r="E7989" s="38" t="n">
        <f aca="false">Q!$P$39</f>
        <v>71.492</v>
      </c>
      <c r="F7989" s="39" t="n">
        <v>0</v>
      </c>
      <c r="G7989" s="38" t="n">
        <f aca="false">Sens!$E$7989+Sens!$F$7989</f>
        <v>71.492</v>
      </c>
      <c r="H7989" s="39" t="n">
        <v>0</v>
      </c>
      <c r="I7989" s="39" t="n">
        <v>0</v>
      </c>
      <c r="J7989" s="39" t="n">
        <v>0</v>
      </c>
      <c r="K7989" s="39" t="n">
        <v>0</v>
      </c>
      <c r="L7989" s="39" t="n">
        <v>0</v>
      </c>
      <c r="M7989" s="39" t="n">
        <v>0</v>
      </c>
      <c r="N7989" s="38" t="n">
        <f aca="false">Q!$N$39</f>
        <v>6.017</v>
      </c>
      <c r="O7989" s="38" t="n">
        <f aca="false">Q!$O$39</f>
        <v>13.593</v>
      </c>
      <c r="P7989" s="5" t="s">
        <v>754</v>
      </c>
    </row>
    <row r="7990" customFormat="false" ht="15" hidden="false" customHeight="false" outlineLevel="0" collapsed="false">
      <c r="A7990" s="5" t="s">
        <v>547</v>
      </c>
      <c r="B7990" s="0" t="s">
        <v>86</v>
      </c>
      <c r="C7990" s="38" t="n">
        <f aca="false">Q!$D$36</f>
        <v>68.614</v>
      </c>
      <c r="D7990" s="38" t="n">
        <f aca="false">Q!$E$36</f>
        <v>97.311</v>
      </c>
      <c r="E7990" s="38" t="n">
        <f aca="false">Q!$P$36</f>
        <v>120.691</v>
      </c>
      <c r="F7990" s="38" t="n">
        <f aca="false">Sens!$F$7966-Sens!$F$7987+Sens!$F$7988+Sens!$F$7989</f>
        <v>56.0316019995185</v>
      </c>
      <c r="G7990" s="38" t="n">
        <f aca="false">Sens!$E$7990+Sens!$F$7990</f>
        <v>176.722601999518</v>
      </c>
      <c r="H7990" s="38" t="n">
        <f aca="false">Sens!$H$7966-Sens!$H$7987+Sens!$H$7988+Sens!$H$7989</f>
        <v>127.892977696936</v>
      </c>
      <c r="I7990" s="38" t="n">
        <f aca="false">Sens!$I$7966-Sens!$I$7987+Sens!$I$7988+Sens!$I$7989</f>
        <v>145.059971464568</v>
      </c>
      <c r="J7990" s="38" t="n">
        <f aca="false">Sens!$J$7966-Sens!$J$7987+Sens!$J$7988+Sens!$J$7989</f>
        <v>162.301047638521</v>
      </c>
      <c r="K7990" s="38" t="n">
        <f aca="false">Sens!$K$7966-Sens!$K$7987+Sens!$K$7988+Sens!$K$7989</f>
        <v>174.811068079608</v>
      </c>
      <c r="L7990" s="38" t="n">
        <f aca="false">Sens!$L$7966-Sens!$L$7987+Sens!$L$7988+Sens!$L$7989</f>
        <v>190.599438342064</v>
      </c>
      <c r="M7990" s="38" t="n">
        <f aca="false">Sens!$M$7966-Sens!$M$7987+Sens!$M$7988+Sens!$M$7989</f>
        <v>208.094988213801</v>
      </c>
      <c r="N7990" s="38" t="n">
        <f aca="false">Q!$N$36</f>
        <v>42.536</v>
      </c>
      <c r="O7990" s="38" t="n">
        <f aca="false">Q!$O$36</f>
        <v>54.775</v>
      </c>
    </row>
    <row r="7991" customFormat="false" ht="15" hidden="false" customHeight="false" outlineLevel="0" collapsed="false">
      <c r="A7991" s="5" t="s">
        <v>548</v>
      </c>
      <c r="B7991" s="0" t="s">
        <v>86</v>
      </c>
      <c r="C7991" s="38" t="n">
        <f aca="false">Q!$D$37</f>
        <v>9.265</v>
      </c>
      <c r="D7991" s="38" t="n">
        <f aca="false">Q!$E$37</f>
        <v>19.087</v>
      </c>
      <c r="E7991" s="38" t="n">
        <f aca="false">Q!$P$37</f>
        <v>27.759</v>
      </c>
      <c r="F7991" s="38" t="n">
        <f aca="false">Sens!$F$7990*tax</f>
        <v>9.72621910890414</v>
      </c>
      <c r="G7991" s="38" t="n">
        <f aca="false">Sens!$E$7991+Sens!$F$7991</f>
        <v>37.4852191089041</v>
      </c>
      <c r="H7991" s="38" t="n">
        <f aca="false">Sens!$H$7990*tax</f>
        <v>22.2002419916761</v>
      </c>
      <c r="I7991" s="38" t="n">
        <f aca="false">Sens!$I$7990*tax</f>
        <v>25.1801664783365</v>
      </c>
      <c r="J7991" s="38" t="n">
        <f aca="false">Sens!$J$7990*tax</f>
        <v>28.1729505244292</v>
      </c>
      <c r="K7991" s="38" t="n">
        <f aca="false">Sens!$K$7990*tax</f>
        <v>30.3444965007146</v>
      </c>
      <c r="L7991" s="38" t="n">
        <f aca="false">Sens!$L$7990*tax</f>
        <v>33.0851132788405</v>
      </c>
      <c r="M7991" s="38" t="n">
        <f aca="false">Sens!$M$7990*tax</f>
        <v>36.1220700213006</v>
      </c>
      <c r="N7991" s="38" t="n">
        <f aca="false">Q!$N$37</f>
        <v>7.231</v>
      </c>
      <c r="O7991" s="38" t="n">
        <f aca="false">Q!$O$37</f>
        <v>11.856</v>
      </c>
    </row>
    <row r="7992" customFormat="false" ht="15" hidden="false" customHeight="false" outlineLevel="0" collapsed="false">
      <c r="A7992" s="3" t="s">
        <v>549</v>
      </c>
      <c r="B7992" s="8" t="s">
        <v>86</v>
      </c>
      <c r="C7992" s="38" t="n">
        <f aca="false">Q!$D$38</f>
        <v>59.248</v>
      </c>
      <c r="D7992" s="38" t="n">
        <f aca="false">Q!$E$38</f>
        <v>77.67</v>
      </c>
      <c r="E7992" s="38" t="n">
        <f aca="false">Q!$P$38</f>
        <v>92.902</v>
      </c>
      <c r="F7992" s="38" t="n">
        <f aca="false">Sens!$F$7990-Sens!$F$7991</f>
        <v>46.3053828906144</v>
      </c>
      <c r="G7992" s="38" t="n">
        <f aca="false">Sens!$E$7992+Sens!$F$7992</f>
        <v>139.207382890614</v>
      </c>
      <c r="H7992" s="38" t="n">
        <f aca="false">Sens!$H$7990-Sens!$H$7991</f>
        <v>105.69273570526</v>
      </c>
      <c r="I7992" s="38" t="n">
        <f aca="false">Sens!$I$7990-Sens!$I$7991</f>
        <v>119.879804986231</v>
      </c>
      <c r="J7992" s="38" t="n">
        <f aca="false">Sens!$J$7990-Sens!$J$7991</f>
        <v>134.128097114092</v>
      </c>
      <c r="K7992" s="38" t="n">
        <f aca="false">Sens!$K$7990-Sens!$K$7991</f>
        <v>144.466571578893</v>
      </c>
      <c r="L7992" s="38" t="n">
        <f aca="false">Sens!$L$7990-Sens!$L$7991</f>
        <v>157.514325063223</v>
      </c>
      <c r="M7992" s="38" t="n">
        <f aca="false">Sens!$M$7990-Sens!$M$7991</f>
        <v>171.9729181925</v>
      </c>
      <c r="N7992" s="38" t="n">
        <f aca="false">Q!$N$38</f>
        <v>35.291</v>
      </c>
      <c r="O7992" s="38" t="n">
        <f aca="false">Q!$O$38</f>
        <v>42.379</v>
      </c>
    </row>
    <row r="7993" customFormat="false" ht="17.15" hidden="false" customHeight="false" outlineLevel="0" collapsed="false">
      <c r="A7993" s="5" t="s">
        <v>552</v>
      </c>
      <c r="B7993" s="5" t="s">
        <v>33</v>
      </c>
      <c r="C7993" s="22" t="n">
        <f aca="false">Q!$D$41</f>
        <v>10.721</v>
      </c>
      <c r="D7993" s="22" t="n">
        <f aca="false">Q!$E$41</f>
        <v>10.827</v>
      </c>
      <c r="E7993" s="22" t="n">
        <f aca="false">(Q!$L$41+Q!$M$41)/2</f>
        <v>10.8885</v>
      </c>
      <c r="F7993" s="22" t="n">
        <f aca="false">Sens!$G$7993</f>
        <v>10.924806</v>
      </c>
      <c r="G7993" s="22" t="n">
        <f aca="false">Q!$M$41*(1+sh_g*0.25)</f>
        <v>10.924806</v>
      </c>
      <c r="H7993" s="22" t="n">
        <f aca="false">Sens!$G$7993*(1+sh_g)</f>
        <v>11.012204448</v>
      </c>
      <c r="I7993" s="22" t="n">
        <f aca="false">Sens!$H$7993*(1+sh_g)</f>
        <v>11.100302083584</v>
      </c>
      <c r="J7993" s="22" t="n">
        <f aca="false">Sens!$I$7993*(1+sh_g)</f>
        <v>11.1891045002527</v>
      </c>
      <c r="K7993" s="22" t="n">
        <f aca="false">Sens!$J$7993*(1+sh_g)</f>
        <v>11.2786173362547</v>
      </c>
      <c r="L7993" s="22" t="n">
        <f aca="false">Sens!$K$7993*(1+sh_g)</f>
        <v>11.3688462749447</v>
      </c>
      <c r="M7993" s="22" t="n">
        <f aca="false">Sens!$L$7993*(1+sh_g)</f>
        <v>11.4597970451443</v>
      </c>
      <c r="P7993" s="5" t="s">
        <v>755</v>
      </c>
    </row>
    <row r="7994" customFormat="false" ht="17.15" hidden="false" customHeight="false" outlineLevel="0" collapsed="false">
      <c r="A7994" s="5" t="s">
        <v>756</v>
      </c>
      <c r="B7994" s="0" t="s">
        <v>86</v>
      </c>
      <c r="C7994" s="38" t="n">
        <f aca="false">Sens!$C$7992+Sens!$C$7968*(1-tax)</f>
        <v>59.248</v>
      </c>
      <c r="D7994" s="38" t="n">
        <f aca="false">Sens!$D$7992+Sens!$D$7968*(1-tax)</f>
        <v>77.67</v>
      </c>
      <c r="E7994" s="38" t="n">
        <f aca="false">Sens!$E$7992+Sens!$E$7968*(1-tax)</f>
        <v>92.902</v>
      </c>
      <c r="F7994" s="38" t="n">
        <f aca="false">Sens!$F$7992+Sens!$F$7968*(1-tax)</f>
        <v>49.421977850263</v>
      </c>
      <c r="G7994" s="38" t="n">
        <f aca="false">Sens!$G$7992+Sens!$G$7968*(1-tax)</f>
        <v>142.323977850263</v>
      </c>
      <c r="H7994" s="38" t="n">
        <f aca="false">Sens!$H$7992+Sens!$H$7968*(1-tax)</f>
        <v>118.224131660605</v>
      </c>
      <c r="I7994" s="38" t="n">
        <f aca="false">Sens!$I$7992+Sens!$I$7968*(1-tax)</f>
        <v>141.02107006117</v>
      </c>
      <c r="J7994" s="38" t="n">
        <f aca="false">Sens!$J$7992+Sens!$J$7968*(1-tax)</f>
        <v>163.917534058375</v>
      </c>
      <c r="K7994" s="38" t="n">
        <f aca="false">Sens!$K$7992+Sens!$K$7968*(1-tax)</f>
        <v>181.633877275552</v>
      </c>
      <c r="L7994" s="38" t="n">
        <f aca="false">Sens!$L$7992+Sens!$L$7968*(1-tax)</f>
        <v>199.530402403778</v>
      </c>
      <c r="M7994" s="38" t="n">
        <f aca="false">Sens!$M$7992+Sens!$M$7968*(1-tax)</f>
        <v>216.302440383341</v>
      </c>
      <c r="N7994" s="38" t="n">
        <f aca="false">Sens!$N$7992+Sens!$N$7968*(1-tax)</f>
        <v>35.291</v>
      </c>
      <c r="O7994" s="38" t="n">
        <f aca="false">Sens!$O$7992+Sens!$O$7968*(1-tax)</f>
        <v>42.379</v>
      </c>
    </row>
    <row r="7995" customFormat="false" ht="17.15" hidden="false" customHeight="false" outlineLevel="0" collapsed="false">
      <c r="A7995" s="43" t="s">
        <v>757</v>
      </c>
      <c r="B7995" s="14" t="s">
        <v>27</v>
      </c>
      <c r="C7995" s="44" t="n">
        <f aca="false">Sens!$C$7994/Sens!$C$7993</f>
        <v>5.52635015390355</v>
      </c>
      <c r="D7995" s="44" t="n">
        <f aca="false">Sens!$D$7994/Sens!$D$7993</f>
        <v>7.1737323358271</v>
      </c>
      <c r="E7995" s="44" t="n">
        <f aca="false">Sens!$E$7994/Sens!$E$7993</f>
        <v>8.53212104513937</v>
      </c>
      <c r="F7995" s="14"/>
      <c r="G7995" s="44" t="n">
        <f aca="false">Sens!$G$7994/Sens!$G$7993</f>
        <v>13.0275977303636</v>
      </c>
      <c r="H7995" s="44" t="n">
        <f aca="false">Sens!$H$7994/Sens!$H$7993</f>
        <v>10.7357370832392</v>
      </c>
      <c r="I7995" s="44" t="n">
        <f aca="false">Sens!$I$7994/Sens!$I$7993</f>
        <v>12.7042551634449</v>
      </c>
      <c r="J7995" s="44" t="n">
        <f aca="false">Sens!$J$7994/Sens!$J$7993</f>
        <v>14.6497455676344</v>
      </c>
      <c r="K7995" s="44" t="n">
        <f aca="false">Sens!$K$7994/Sens!$K$7993</f>
        <v>16.104268090708</v>
      </c>
      <c r="L7995" s="44" t="n">
        <f aca="false">Sens!$L$7994/Sens!$L$7993</f>
        <v>17.5506289361581</v>
      </c>
      <c r="M7995" s="44" t="n">
        <f aca="false">Sens!$M$7994/Sens!$M$7993</f>
        <v>18.8748927691518</v>
      </c>
      <c r="N7995" s="14"/>
      <c r="O7995" s="14"/>
    </row>
    <row r="7996" customFormat="false" ht="17.15" hidden="false" customHeight="false" outlineLevel="0" collapsed="false">
      <c r="A7996" s="0" t="s">
        <v>758</v>
      </c>
      <c r="B7996" s="0" t="s">
        <v>27</v>
      </c>
      <c r="C7996" s="30" t="n">
        <f aca="false">Sens!$C$7992/Sens!$C$7993</f>
        <v>5.52635015390355</v>
      </c>
      <c r="D7996" s="30" t="n">
        <f aca="false">Sens!$D$7992/Sens!$D$7993</f>
        <v>7.1737323358271</v>
      </c>
      <c r="E7996" s="30" t="n">
        <f aca="false">Sens!$E$7992/Sens!$E$7993</f>
        <v>8.53212104513937</v>
      </c>
      <c r="G7996" s="30" t="n">
        <f aca="false">Sens!$G$7992/Sens!$G$7993</f>
        <v>12.7423208147233</v>
      </c>
      <c r="H7996" s="30" t="n">
        <f aca="false">Sens!$H$7992/Sens!$H$7993</f>
        <v>9.59778182509639</v>
      </c>
      <c r="I7996" s="30" t="n">
        <f aca="false">Sens!$I$7992/Sens!$I$7993</f>
        <v>10.799688520506</v>
      </c>
      <c r="J7996" s="30" t="n">
        <f aca="false">Sens!$J$7992/Sens!$J$7993</f>
        <v>11.9873844337644</v>
      </c>
      <c r="K7996" s="30" t="n">
        <f aca="false">Sens!$K$7992/Sens!$K$7993</f>
        <v>12.8088902453061</v>
      </c>
      <c r="L7996" s="30" t="n">
        <f aca="false">Sens!$L$7992/Sens!$L$7993</f>
        <v>13.8549085152432</v>
      </c>
      <c r="M7996" s="30" t="n">
        <f aca="false">Sens!$M$7992/Sens!$M$7993</f>
        <v>15.0066286091313</v>
      </c>
    </row>
    <row r="7997" customFormat="false" ht="17.15" hidden="false" customHeight="false" outlineLevel="0" collapsed="false">
      <c r="A7997" s="0" t="s">
        <v>759</v>
      </c>
      <c r="B7997" s="0" t="s">
        <v>27</v>
      </c>
      <c r="C7997" s="30" t="n">
        <f aca="false">(Sens!$C$7992-Sens!$C$7989*(1-tax))/Sens!$C$7993</f>
        <v>5.33926775917445</v>
      </c>
      <c r="D7997" s="30" t="n">
        <f aca="false">(Sens!$D$7992-Sens!$D$7989*(1-tax))/Sens!$D$7993</f>
        <v>5.67691812755503</v>
      </c>
      <c r="E7997" s="30" t="n">
        <f aca="false">(Sens!$E$7992-Sens!$E$7989*(1-tax))/Sens!$E$7993</f>
        <v>3.10602057006846</v>
      </c>
      <c r="G7997" s="30" t="n">
        <f aca="false">(Sens!$G$7992-Sens!$G$7989*(1-tax))/Sens!$G$7993</f>
        <v>7.33425269682635</v>
      </c>
      <c r="H7997" s="30" t="n">
        <f aca="false">(Sens!$H$7992-Sens!$H$7989*(1-tax))/Sens!$H$7993</f>
        <v>9.59778182509639</v>
      </c>
      <c r="I7997" s="30" t="n">
        <f aca="false">(Sens!$I$7992-Sens!$I$7989*(1-tax))/Sens!$I$7993</f>
        <v>10.799688520506</v>
      </c>
      <c r="J7997" s="30" t="n">
        <f aca="false">(Sens!$J$7992-Sens!$J$7989*(1-tax))/Sens!$J$7993</f>
        <v>11.9873844337644</v>
      </c>
      <c r="K7997" s="30" t="n">
        <f aca="false">(Sens!$K$7992-Sens!$K$7989*(1-tax))/Sens!$K$7993</f>
        <v>12.8088902453061</v>
      </c>
      <c r="L7997" s="30" t="n">
        <f aca="false">(Sens!$L$7992-Sens!$L$7989*(1-tax))/Sens!$L$7993</f>
        <v>13.8549085152432</v>
      </c>
      <c r="M7997" s="30" t="n">
        <f aca="false">(Sens!$M$7992-Sens!$M$7989*(1-tax))/Sens!$M$7993</f>
        <v>15.0066286091313</v>
      </c>
      <c r="P7997" s="5" t="s">
        <v>760</v>
      </c>
    </row>
    <row r="7998" customFormat="false" ht="17.15" hidden="false" customHeight="false" outlineLevel="0" collapsed="false">
      <c r="A7998" s="0" t="s">
        <v>761</v>
      </c>
      <c r="B7998" s="0" t="s">
        <v>52</v>
      </c>
      <c r="H7998" s="13" t="n">
        <f aca="false">Sens!$H$7995/Sens!$G$7995-1</f>
        <v>-0.175923504437261</v>
      </c>
      <c r="I7998" s="13" t="n">
        <f aca="false">Sens!$I$7995/Sens!$H$7995-1</f>
        <v>0.183361241519136</v>
      </c>
      <c r="J7998" s="13" t="n">
        <f aca="false">Sens!$J$7995/Sens!$I$7995-1</f>
        <v>0.153136911936991</v>
      </c>
      <c r="K7998" s="13" t="n">
        <f aca="false">Sens!$K$7995/Sens!$J$7995-1</f>
        <v>0.0992865382103958</v>
      </c>
      <c r="L7998" s="13" t="n">
        <f aca="false">Sens!$L$7995/Sens!$K$7995-1</f>
        <v>0.0898122682324627</v>
      </c>
      <c r="M7998" s="13" t="n">
        <f aca="false">Sens!$M$7995/Sens!$L$7995-1</f>
        <v>0.0754539246320329</v>
      </c>
    </row>
    <row r="8001" customFormat="false" ht="19.4" hidden="false" customHeight="false" outlineLevel="0" collapsed="false">
      <c r="A8001" s="31" t="s">
        <v>1298</v>
      </c>
    </row>
    <row r="8002" customFormat="false" ht="17.15" hidden="false" customHeight="false" outlineLevel="0" collapsed="false">
      <c r="A8002" s="6" t="s">
        <v>16</v>
      </c>
      <c r="B8002" s="6" t="s">
        <v>17</v>
      </c>
      <c r="C8002" s="20" t="s">
        <v>497</v>
      </c>
      <c r="D8002" s="20" t="s">
        <v>498</v>
      </c>
      <c r="E8002" s="20" t="s">
        <v>580</v>
      </c>
      <c r="F8002" s="20" t="s">
        <v>581</v>
      </c>
      <c r="G8002" s="20" t="s">
        <v>582</v>
      </c>
      <c r="H8002" s="20" t="s">
        <v>583</v>
      </c>
      <c r="I8002" s="20" t="s">
        <v>584</v>
      </c>
      <c r="J8002" s="20" t="s">
        <v>585</v>
      </c>
      <c r="K8002" s="20" t="s">
        <v>586</v>
      </c>
      <c r="L8002" s="20" t="s">
        <v>587</v>
      </c>
      <c r="M8002" s="20" t="s">
        <v>588</v>
      </c>
      <c r="N8002" s="20" t="s">
        <v>589</v>
      </c>
      <c r="O8002" s="20" t="s">
        <v>590</v>
      </c>
      <c r="P8002" s="6" t="s">
        <v>23</v>
      </c>
      <c r="R8002" s="20" t="n">
        <v>2023</v>
      </c>
      <c r="S8002" s="20" t="n">
        <v>2024</v>
      </c>
      <c r="T8002" s="20" t="n">
        <v>2025</v>
      </c>
      <c r="U8002" s="20" t="n">
        <v>2026</v>
      </c>
      <c r="V8002" s="20" t="n">
        <v>2027</v>
      </c>
      <c r="W8002" s="20" t="n">
        <v>2028</v>
      </c>
      <c r="X8002" s="20" t="n">
        <v>2029</v>
      </c>
      <c r="Y8002" s="20" t="n">
        <v>2030</v>
      </c>
      <c r="Z8002" s="20" t="n">
        <v>2031</v>
      </c>
      <c r="AA8002" s="20" t="n">
        <v>2032</v>
      </c>
    </row>
    <row r="8003" customFormat="false" ht="15" hidden="false" customHeight="false" outlineLevel="0" collapsed="false">
      <c r="A8003" s="5" t="s">
        <v>549</v>
      </c>
      <c r="B8003" s="0" t="s">
        <v>86</v>
      </c>
      <c r="C8003" s="38" t="n">
        <f aca="false">Sens!$C$7992</f>
        <v>59.248</v>
      </c>
      <c r="D8003" s="38" t="n">
        <f aca="false">Sens!$D$7992</f>
        <v>77.67</v>
      </c>
      <c r="E8003" s="38" t="n">
        <f aca="false">Sens!$E$7992</f>
        <v>92.902</v>
      </c>
      <c r="F8003" s="38" t="n">
        <f aca="false">Sens!$F$7992</f>
        <v>46.3053828906144</v>
      </c>
      <c r="G8003" s="38" t="n">
        <f aca="false">Sens!$G$7992</f>
        <v>139.207382890614</v>
      </c>
      <c r="H8003" s="38" t="n">
        <f aca="false">Sens!$H$7992</f>
        <v>105.69273570526</v>
      </c>
      <c r="I8003" s="38" t="n">
        <f aca="false">Sens!$I$7992</f>
        <v>119.879804986231</v>
      </c>
      <c r="J8003" s="38" t="n">
        <f aca="false">Sens!$J$7992</f>
        <v>134.128097114092</v>
      </c>
      <c r="K8003" s="38" t="n">
        <f aca="false">Sens!$K$7992</f>
        <v>144.466571578893</v>
      </c>
      <c r="L8003" s="38" t="n">
        <f aca="false">Sens!$L$7992</f>
        <v>157.514325063223</v>
      </c>
      <c r="M8003" s="38" t="n">
        <f aca="false">Sens!$M$7992</f>
        <v>171.9729181925</v>
      </c>
    </row>
    <row r="8004" customFormat="false" ht="17.15" hidden="false" customHeight="false" outlineLevel="0" collapsed="false">
      <c r="A8004" s="5" t="s">
        <v>784</v>
      </c>
      <c r="B8004" s="0" t="s">
        <v>86</v>
      </c>
      <c r="C8004" s="38" t="n">
        <f aca="false">Sens!$C$7980</f>
        <v>32.067</v>
      </c>
      <c r="D8004" s="38" t="n">
        <f aca="false">Sens!$D$7980</f>
        <v>41.86</v>
      </c>
      <c r="E8004" s="38" t="n">
        <f aca="false">Sens!$E$7980</f>
        <v>26.703</v>
      </c>
      <c r="F8004" s="38" t="n">
        <f aca="false">Sens!$F$7980</f>
        <v>28.2071421626285</v>
      </c>
      <c r="G8004" s="38" t="n">
        <f aca="false">Sens!$G$7980</f>
        <v>54.9101421626285</v>
      </c>
      <c r="H8004" s="38" t="n">
        <f aca="false">Sens!$H$7980</f>
        <v>78.1799395827871</v>
      </c>
      <c r="I8004" s="38" t="n">
        <f aca="false">Sens!$I$7980</f>
        <v>111.171125554384</v>
      </c>
      <c r="J8004" s="38" t="n">
        <f aca="false">Sens!$J$7980</f>
        <v>144.884406220971</v>
      </c>
      <c r="K8004" s="38" t="n">
        <f aca="false">Sens!$K$7980</f>
        <v>178.806419437999</v>
      </c>
      <c r="L8004" s="38" t="n">
        <f aca="false">Sens!$L$7980</f>
        <v>204.341339029663</v>
      </c>
      <c r="M8004" s="38" t="n">
        <f aca="false">Sens!$M$7980</f>
        <v>223.130577995387</v>
      </c>
    </row>
    <row r="8005" customFormat="false" ht="15" hidden="false" customHeight="false" outlineLevel="0" collapsed="false">
      <c r="A8005" s="5" t="s">
        <v>785</v>
      </c>
      <c r="B8005" s="0" t="s">
        <v>86</v>
      </c>
      <c r="C8005" s="38" t="n">
        <f aca="false">Q!$D$48</f>
        <v>22.011</v>
      </c>
      <c r="D8005" s="38" t="n">
        <f aca="false">Q!$E$48</f>
        <v>19.467</v>
      </c>
      <c r="E8005" s="38" t="n">
        <f aca="false">Q!$P$48</f>
        <v>10.07</v>
      </c>
      <c r="F8005" s="38" t="n">
        <f aca="false">sbc_r*Sens!$F$7922</f>
        <v>10.8507035798037</v>
      </c>
      <c r="G8005" s="38" t="n">
        <f aca="false">Sens!$E$8005+Sens!$F$8005</f>
        <v>20.9207035798037</v>
      </c>
      <c r="H8005" s="38" t="n">
        <f aca="false">sbc_r*Sens!$H$7922</f>
        <v>23.46224366345</v>
      </c>
      <c r="I8005" s="38" t="n">
        <f aca="false">sbc_r*Sens!$I$7922</f>
        <v>26.6125957111676</v>
      </c>
      <c r="J8005" s="38" t="n">
        <f aca="false">sbc_r*Sens!$J$7922</f>
        <v>29.6280801413323</v>
      </c>
      <c r="K8005" s="38" t="n">
        <f aca="false">sbc_r*Sens!$K$7922</f>
        <v>32.2712258901105</v>
      </c>
      <c r="L8005" s="38" t="n">
        <f aca="false">sbc_r*Sens!$L$7922</f>
        <v>34.7390505016737</v>
      </c>
      <c r="M8005" s="38" t="n">
        <f aca="false">sbc_r*Sens!$M$7922</f>
        <v>37.0405146906692</v>
      </c>
    </row>
    <row r="8006" customFormat="false" ht="17.15" hidden="false" customHeight="false" outlineLevel="0" collapsed="false">
      <c r="A8006" s="5" t="s">
        <v>786</v>
      </c>
      <c r="B8006" s="0" t="s">
        <v>86</v>
      </c>
      <c r="C8006" s="38" t="n">
        <f aca="false">Q!$D$44-Sens!$C$8003-Sens!$C$8004-Sens!$C$8005</f>
        <v>2.551</v>
      </c>
      <c r="D8006" s="38" t="n">
        <f aca="false">Q!$E$44-Sens!$D$8003-Sens!$D$8004-Sens!$D$8005</f>
        <v>0.51700000000001</v>
      </c>
      <c r="E8006" s="38" t="n">
        <f aca="false">Q!$P$44-Sens!$E$8003-Sens!$E$8004-Sens!$E$8005</f>
        <v>-58.256</v>
      </c>
      <c r="F8006" s="38" t="n">
        <f aca="false">oth_r*Sens!$F$7922</f>
        <v>5.22265251035878</v>
      </c>
      <c r="G8006" s="38" t="n">
        <f aca="false">Sens!$E$8006+Sens!$F$8006</f>
        <v>-53.0333474896412</v>
      </c>
      <c r="H8006" s="38" t="n">
        <f aca="false">oth_r*Sens!$H$7922</f>
        <v>11.2928295263397</v>
      </c>
      <c r="I8006" s="38" t="n">
        <f aca="false">oth_r*Sens!$I$7922</f>
        <v>12.8091546115766</v>
      </c>
      <c r="J8006" s="38" t="n">
        <f aca="false">oth_r*Sens!$J$7922</f>
        <v>14.2605653162668</v>
      </c>
      <c r="K8006" s="38" t="n">
        <f aca="false">oth_r*Sens!$K$7922</f>
        <v>15.5327622460396</v>
      </c>
      <c r="L8006" s="38" t="n">
        <f aca="false">oth_r*Sens!$L$7922</f>
        <v>16.720573737517</v>
      </c>
      <c r="M8006" s="38" t="n">
        <f aca="false">oth_r*Sens!$M$7922</f>
        <v>17.8283127551536</v>
      </c>
      <c r="P8006" s="8" t="s">
        <v>787</v>
      </c>
    </row>
    <row r="8007" customFormat="false" ht="15" hidden="false" customHeight="false" outlineLevel="0" collapsed="false">
      <c r="A8007" s="3" t="s">
        <v>555</v>
      </c>
      <c r="B8007" s="8" t="s">
        <v>86</v>
      </c>
      <c r="C8007" s="38" t="n">
        <f aca="false">Q!$D$44</f>
        <v>115.877</v>
      </c>
      <c r="D8007" s="38" t="n">
        <f aca="false">Q!$E$44</f>
        <v>139.514</v>
      </c>
      <c r="E8007" s="38" t="n">
        <f aca="false">Q!$P$44</f>
        <v>71.419</v>
      </c>
      <c r="F8007" s="38" t="n">
        <f aca="false">Sens!$F$8003+Sens!$F$8004+Sens!$F$8005+Sens!$F$8006</f>
        <v>90.5858811434053</v>
      </c>
      <c r="G8007" s="38" t="n">
        <f aca="false">Sens!$E$8007+Sens!$F$8007</f>
        <v>162.004881143405</v>
      </c>
      <c r="H8007" s="38" t="n">
        <f aca="false">Sens!$H$8003+Sens!$H$8004+Sens!$H$8005+Sens!$H$8006</f>
        <v>218.627748477837</v>
      </c>
      <c r="I8007" s="38" t="n">
        <f aca="false">Sens!$I$8003+Sens!$I$8004+Sens!$I$8005+Sens!$I$8006</f>
        <v>270.47268086336</v>
      </c>
      <c r="J8007" s="38" t="n">
        <f aca="false">Sens!$J$8003+Sens!$J$8004+Sens!$J$8005+Sens!$J$8006</f>
        <v>322.901148792662</v>
      </c>
      <c r="K8007" s="38" t="n">
        <f aca="false">Sens!$K$8003+Sens!$K$8004+Sens!$K$8005+Sens!$K$8006</f>
        <v>371.076979153043</v>
      </c>
      <c r="L8007" s="38" t="n">
        <f aca="false">Sens!$L$8003+Sens!$L$8004+Sens!$L$8005+Sens!$L$8006</f>
        <v>413.315288332076</v>
      </c>
      <c r="M8007" s="38" t="n">
        <f aca="false">Sens!$M$8003+Sens!$M$8004+Sens!$M$8005+Sens!$M$8006</f>
        <v>449.97232363371</v>
      </c>
    </row>
    <row r="8008" customFormat="false" ht="17.15" hidden="false" customHeight="false" outlineLevel="0" collapsed="false">
      <c r="A8008" s="5" t="s">
        <v>788</v>
      </c>
      <c r="B8008" s="0" t="s">
        <v>86</v>
      </c>
      <c r="C8008" s="38" t="n">
        <f aca="false">Sens!$C$7889</f>
        <v>25.2781053077374</v>
      </c>
      <c r="D8008" s="38" t="n">
        <f aca="false">Sens!$D$7889</f>
        <v>69.5686316310026</v>
      </c>
      <c r="E8008" s="38" t="n">
        <f aca="false">Sens!$E$7889</f>
        <v>64.1899206485108</v>
      </c>
      <c r="F8008" s="38" t="n">
        <f aca="false">Sens!$F$7889</f>
        <v>96.2481299895</v>
      </c>
      <c r="G8008" s="38" t="n">
        <f aca="false">Sens!$G$7889</f>
        <v>160.438050638011</v>
      </c>
      <c r="H8008" s="38" t="n">
        <f aca="false">Sens!$H$7889</f>
        <v>198.57136494475</v>
      </c>
      <c r="I8008" s="38" t="n">
        <f aca="false">Sens!$I$7889</f>
        <v>204.6464699105</v>
      </c>
      <c r="J8008" s="38" t="n">
        <f aca="false">Sens!$J$7889</f>
        <v>209.8832381105</v>
      </c>
      <c r="K8008" s="38" t="n">
        <f aca="false">Sens!$K$7889</f>
        <v>155.238385275201</v>
      </c>
      <c r="L8008" s="38" t="n">
        <f aca="false">Sens!$L$7889</f>
        <v>132.014141639902</v>
      </c>
      <c r="M8008" s="38" t="n">
        <f aca="false">Sens!$M$7889</f>
        <v>132.230981659852</v>
      </c>
    </row>
    <row r="8009" customFormat="false" ht="17.15" hidden="false" customHeight="false" outlineLevel="0" collapsed="false">
      <c r="A8009" s="5" t="s">
        <v>789</v>
      </c>
      <c r="B8009" s="0" t="s">
        <v>86</v>
      </c>
      <c r="C8009" s="38" t="n">
        <f aca="false">cx_awso*Sens!$C$7920</f>
        <v>21.0469989286053</v>
      </c>
      <c r="D8009" s="38" t="n">
        <f aca="false">cx_awso*Sens!$D$7920</f>
        <v>24.0042459822698</v>
      </c>
      <c r="E8009" s="38" t="n">
        <f aca="false">cx_awso*Sens!$E$7920</f>
        <v>14.261729404886</v>
      </c>
      <c r="F8009" s="38" t="n">
        <f aca="false">cx_awso*Sens!$F$7920</f>
        <v>14.3538599588493</v>
      </c>
      <c r="G8009" s="38" t="n">
        <f aca="false">Sens!$E$8009+Sens!$F$8009</f>
        <v>28.6155893637353</v>
      </c>
      <c r="H8009" s="38" t="n">
        <f aca="false">cx_awso*Sens!$H$7920</f>
        <v>32.2034154158406</v>
      </c>
      <c r="I8009" s="38" t="n">
        <f aca="false">cx_awso*Sens!$I$7920</f>
        <v>35.7539519042915</v>
      </c>
      <c r="J8009" s="38" t="n">
        <f aca="false">cx_awso*Sens!$J$7920</f>
        <v>39.1551076091815</v>
      </c>
      <c r="K8009" s="38" t="n">
        <f aca="false">cx_awso*Sens!$K$7920</f>
        <v>42.287516217916</v>
      </c>
      <c r="L8009" s="38" t="n">
        <f aca="false">cx_awso*Sens!$L$7920</f>
        <v>45.6705175153492</v>
      </c>
      <c r="M8009" s="38" t="n">
        <f aca="false">cx_awso*Sens!$M$7920</f>
        <v>49.3241589165772</v>
      </c>
    </row>
    <row r="8010" customFormat="false" ht="17.15" hidden="false" customHeight="false" outlineLevel="0" collapsed="false">
      <c r="A8010" s="5" t="s">
        <v>790</v>
      </c>
      <c r="B8010" s="0" t="s">
        <v>86</v>
      </c>
      <c r="C8010" s="38" t="n">
        <f aca="false">Q!$D$46-Sens!$C$8008-Sens!$C$8009</f>
        <v>31.3328957636573</v>
      </c>
      <c r="D8010" s="38" t="n">
        <f aca="false">Q!$E$46-Sens!$D$8008-Sens!$D$8009</f>
        <v>34.7471223867276</v>
      </c>
      <c r="E8010" s="38" t="n">
        <f aca="false">Q!$P$46-Sens!$E$8008-Sens!$E$8009</f>
        <v>17.8583499466032</v>
      </c>
      <c r="F8010" s="38" t="n">
        <f aca="false">cx_rt*Sens!$F$7852</f>
        <v>20.6195895799373</v>
      </c>
      <c r="G8010" s="38" t="n">
        <f aca="false">Sens!$E$8010+Sens!$F$8010</f>
        <v>38.4779395265405</v>
      </c>
      <c r="H8010" s="38" t="n">
        <f aca="false">cx_rt*Sens!$H$7852</f>
        <v>42.5978994743075</v>
      </c>
      <c r="I8010" s="38" t="n">
        <f aca="false">cx_rt*Sens!$I$7852</f>
        <v>46.5813904136335</v>
      </c>
      <c r="J8010" s="38" t="n">
        <f aca="false">cx_rt*Sens!$J$7852</f>
        <v>50.2781676586844</v>
      </c>
      <c r="K8010" s="38" t="n">
        <f aca="false">cx_rt*Sens!$K$7852</f>
        <v>53.5312440191755</v>
      </c>
      <c r="L8010" s="38" t="n">
        <f aca="false">cx_rt*Sens!$L$7852</f>
        <v>57.0116717051447</v>
      </c>
      <c r="M8010" s="38" t="n">
        <f aca="false">cx_rt*Sens!$M$7852</f>
        <v>60.7365554669226</v>
      </c>
    </row>
    <row r="8011" customFormat="false" ht="15" hidden="false" customHeight="false" outlineLevel="0" collapsed="false">
      <c r="A8011" s="3" t="s">
        <v>791</v>
      </c>
      <c r="B8011" s="8" t="s">
        <v>86</v>
      </c>
      <c r="C8011" s="38" t="n">
        <f aca="false">Q!$D$46</f>
        <v>77.658</v>
      </c>
      <c r="D8011" s="38" t="n">
        <f aca="false">Q!$E$46</f>
        <v>128.32</v>
      </c>
      <c r="E8011" s="38" t="n">
        <f aca="false">Q!$P$46</f>
        <v>96.31</v>
      </c>
      <c r="F8011" s="38" t="n">
        <f aca="false">Sens!$F$8008+Sens!$F$8009+Sens!$F$8010</f>
        <v>131.221579528287</v>
      </c>
      <c r="G8011" s="38" t="n">
        <f aca="false">Sens!$E$8011+Sens!$F$8011</f>
        <v>227.531579528287</v>
      </c>
      <c r="H8011" s="38" t="n">
        <f aca="false">Sens!$H$8008+Sens!$H$8009+Sens!$H$8010</f>
        <v>273.372679834898</v>
      </c>
      <c r="I8011" s="38" t="n">
        <f aca="false">Sens!$I$8008+Sens!$I$8009+Sens!$I$8010</f>
        <v>286.981812228425</v>
      </c>
      <c r="J8011" s="38" t="n">
        <f aca="false">Sens!$J$8008+Sens!$J$8009+Sens!$J$8010</f>
        <v>299.316513378366</v>
      </c>
      <c r="K8011" s="38" t="n">
        <f aca="false">Sens!$K$8008+Sens!$K$8009+Sens!$K$8010</f>
        <v>251.057145512292</v>
      </c>
      <c r="L8011" s="38" t="n">
        <f aca="false">Sens!$L$8008+Sens!$L$8009+Sens!$L$8010</f>
        <v>234.696330860396</v>
      </c>
      <c r="M8011" s="38" t="n">
        <f aca="false">Sens!$M$8008+Sens!$M$8009+Sens!$M$8010</f>
        <v>242.291696043352</v>
      </c>
    </row>
    <row r="8012" customFormat="false" ht="17.15" hidden="false" customHeight="false" outlineLevel="0" collapsed="false">
      <c r="A8012" s="5" t="s">
        <v>563</v>
      </c>
      <c r="B8012" s="0" t="s">
        <v>86</v>
      </c>
      <c r="C8012" s="38" t="n">
        <f aca="false">Q!$D$50</f>
        <v>2.043</v>
      </c>
      <c r="D8012" s="38" t="n">
        <f aca="false">Q!$E$50</f>
        <v>1.557</v>
      </c>
      <c r="E8012" s="38" t="n">
        <f aca="false">lease_pr/2</f>
        <v>0.8</v>
      </c>
      <c r="F8012" s="38" t="n">
        <f aca="false">lease_pr/2</f>
        <v>0.8</v>
      </c>
      <c r="G8012" s="38" t="n">
        <f aca="false">Sens!$E$8012+Sens!$F$8012</f>
        <v>1.6</v>
      </c>
      <c r="H8012" s="38" t="n">
        <f aca="false">lease_pr</f>
        <v>1.6</v>
      </c>
      <c r="I8012" s="38" t="n">
        <f aca="false">lease_pr</f>
        <v>1.6</v>
      </c>
      <c r="J8012" s="38" t="n">
        <f aca="false">lease_pr</f>
        <v>1.6</v>
      </c>
      <c r="K8012" s="38" t="n">
        <f aca="false">lease_pr</f>
        <v>1.6</v>
      </c>
      <c r="L8012" s="38" t="n">
        <f aca="false">lease_pr</f>
        <v>1.6</v>
      </c>
      <c r="M8012" s="38" t="n">
        <f aca="false">lease_pr</f>
        <v>1.6</v>
      </c>
      <c r="P8012" s="8" t="s">
        <v>792</v>
      </c>
    </row>
    <row r="8013" customFormat="false" ht="15" hidden="false" customHeight="false" outlineLevel="0" collapsed="false">
      <c r="A8013" s="47" t="s">
        <v>793</v>
      </c>
      <c r="B8013" s="14" t="s">
        <v>86</v>
      </c>
      <c r="C8013" s="48" t="n">
        <f aca="false">Sens!$C$8007-Sens!$C$8011-Sens!$C$8012</f>
        <v>36.176</v>
      </c>
      <c r="D8013" s="48" t="n">
        <f aca="false">Sens!$D$8007-Sens!$D$8011-Sens!$D$8012</f>
        <v>9.63700000000002</v>
      </c>
      <c r="E8013" s="48" t="n">
        <f aca="false">Sens!$E$8007-Sens!$E$8011-Sens!$E$8012</f>
        <v>-25.691</v>
      </c>
      <c r="F8013" s="48" t="n">
        <f aca="false">Sens!$F$8007-Sens!$F$8011-Sens!$F$8012</f>
        <v>-41.4356983848813</v>
      </c>
      <c r="G8013" s="48" t="n">
        <f aca="false">Sens!$G$8007-Sens!$G$8011-Sens!$G$8012</f>
        <v>-67.1266983848813</v>
      </c>
      <c r="H8013" s="48" t="n">
        <f aca="false">Sens!$H$8007-Sens!$H$8011-Sens!$H$8012</f>
        <v>-56.3449313570613</v>
      </c>
      <c r="I8013" s="48" t="n">
        <f aca="false">Sens!$I$8007-Sens!$I$8011-Sens!$I$8012</f>
        <v>-18.1091313650653</v>
      </c>
      <c r="J8013" s="48" t="n">
        <f aca="false">Sens!$J$8007-Sens!$J$8011-Sens!$J$8012</f>
        <v>21.9846354142961</v>
      </c>
      <c r="K8013" s="48" t="n">
        <f aca="false">Sens!$K$8007-Sens!$K$8011-Sens!$K$8012</f>
        <v>118.41983364075</v>
      </c>
      <c r="L8013" s="48" t="n">
        <f aca="false">Sens!$L$8007-Sens!$L$8011-Sens!$L$8012</f>
        <v>177.018957471681</v>
      </c>
      <c r="M8013" s="48" t="n">
        <f aca="false">Sens!$M$8007-Sens!$M$8011-Sens!$M$8012</f>
        <v>206.080627590357</v>
      </c>
      <c r="N8013" s="14"/>
      <c r="O8013" s="14"/>
    </row>
    <row r="8014" customFormat="false" ht="17.15" hidden="false" customHeight="false" outlineLevel="0" collapsed="false">
      <c r="A8014" s="5" t="s">
        <v>794</v>
      </c>
      <c r="B8014" s="0" t="s">
        <v>86</v>
      </c>
      <c r="C8014" s="38" t="n">
        <f aca="false">dps*Sens!$C$7993</f>
        <v>0</v>
      </c>
      <c r="D8014" s="38" t="n">
        <f aca="false">dps*Sens!$D$7993</f>
        <v>0</v>
      </c>
      <c r="E8014" s="38" t="n">
        <f aca="false">dps*Sens!$E$7993</f>
        <v>0</v>
      </c>
      <c r="F8014" s="38" t="n">
        <f aca="false">0</f>
        <v>0</v>
      </c>
      <c r="G8014" s="38" t="n">
        <f aca="false">dps*Sens!$G$7993</f>
        <v>0</v>
      </c>
      <c r="H8014" s="38" t="n">
        <f aca="false">dps*Sens!$H$7993</f>
        <v>0</v>
      </c>
      <c r="I8014" s="38" t="n">
        <f aca="false">dps*Sens!$I$7993</f>
        <v>0</v>
      </c>
      <c r="J8014" s="38" t="n">
        <f aca="false">dps*Sens!$J$7993</f>
        <v>0</v>
      </c>
      <c r="K8014" s="38" t="n">
        <f aca="false">dps*Sens!$K$7993</f>
        <v>0</v>
      </c>
      <c r="L8014" s="38" t="n">
        <f aca="false">dps*Sens!$L$7993</f>
        <v>0</v>
      </c>
      <c r="M8014" s="38" t="n">
        <f aca="false">dps*Sens!$M$7993</f>
        <v>0</v>
      </c>
      <c r="P8014" s="8" t="s">
        <v>795</v>
      </c>
    </row>
    <row r="8015" customFormat="false" ht="17.15" hidden="false" customHeight="false" outlineLevel="0" collapsed="false">
      <c r="A8015" s="5" t="s">
        <v>796</v>
      </c>
      <c r="B8015" s="0" t="s">
        <v>86</v>
      </c>
      <c r="C8015" s="38" t="n">
        <f aca="false">0</f>
        <v>0</v>
      </c>
      <c r="D8015" s="38" t="n">
        <f aca="false">0</f>
        <v>0</v>
      </c>
      <c r="E8015" s="38" t="n">
        <f aca="false">0</f>
        <v>0</v>
      </c>
      <c r="F8015" s="38" t="n">
        <f aca="false">0</f>
        <v>0</v>
      </c>
      <c r="G8015" s="38" t="n">
        <f aca="false">0</f>
        <v>0</v>
      </c>
      <c r="H8015" s="38" t="n">
        <f aca="false">0</f>
        <v>0</v>
      </c>
      <c r="I8015" s="38" t="n">
        <f aca="false">0</f>
        <v>0</v>
      </c>
      <c r="J8015" s="38" t="n">
        <f aca="false">0</f>
        <v>0</v>
      </c>
      <c r="K8015" s="38" t="n">
        <f aca="false">0</f>
        <v>0</v>
      </c>
      <c r="L8015" s="38" t="n">
        <f aca="false">0</f>
        <v>0</v>
      </c>
      <c r="M8015" s="38" t="n">
        <f aca="false">0</f>
        <v>0</v>
      </c>
      <c r="P8015" s="8" t="s">
        <v>797</v>
      </c>
    </row>
    <row r="8016" customFormat="false" ht="15" hidden="false" customHeight="false" outlineLevel="0" collapsed="false">
      <c r="A8016" s="3" t="s">
        <v>798</v>
      </c>
      <c r="B8016" s="8" t="s">
        <v>86</v>
      </c>
      <c r="C8016" s="38" t="n">
        <f aca="false">Sens!$C$8013-Sens!$C$8014</f>
        <v>36.176</v>
      </c>
      <c r="D8016" s="38" t="n">
        <f aca="false">Sens!$D$8013-Sens!$D$8014</f>
        <v>9.63700000000002</v>
      </c>
      <c r="E8016" s="38" t="n">
        <f aca="false">Sens!$E$8013-Sens!$E$8014</f>
        <v>-25.691</v>
      </c>
      <c r="F8016" s="38" t="n">
        <f aca="false">Sens!$F$8013-Sens!$F$8014</f>
        <v>-41.4356983848813</v>
      </c>
      <c r="G8016" s="38" t="n">
        <f aca="false">Sens!$G$8013-Sens!$G$8014</f>
        <v>-67.1266983848813</v>
      </c>
      <c r="H8016" s="38" t="n">
        <f aca="false">Sens!$H$8013-Sens!$H$8014</f>
        <v>-56.3449313570613</v>
      </c>
      <c r="I8016" s="38" t="n">
        <f aca="false">Sens!$I$8013-Sens!$I$8014</f>
        <v>-18.1091313650653</v>
      </c>
      <c r="J8016" s="38" t="n">
        <f aca="false">Sens!$J$8013-Sens!$J$8014</f>
        <v>21.9846354142961</v>
      </c>
      <c r="K8016" s="38" t="n">
        <f aca="false">Sens!$K$8013-Sens!$K$8014</f>
        <v>118.41983364075</v>
      </c>
      <c r="L8016" s="38" t="n">
        <f aca="false">Sens!$L$8013-Sens!$L$8014</f>
        <v>177.018957471681</v>
      </c>
      <c r="M8016" s="38" t="n">
        <f aca="false">Sens!$M$8013-Sens!$M$8014</f>
        <v>206.080627590357</v>
      </c>
    </row>
    <row r="8017" customFormat="false" ht="17.15" hidden="false" customHeight="false" outlineLevel="0" collapsed="false">
      <c r="A8017" s="5" t="s">
        <v>799</v>
      </c>
      <c r="B8017" s="0" t="s">
        <v>86</v>
      </c>
      <c r="E8017" s="38" t="n">
        <f aca="false">Q!$P$53</f>
        <v>39.767</v>
      </c>
      <c r="F8017" s="38" t="n">
        <f aca="false">inv_2h26</f>
        <v>21.3</v>
      </c>
      <c r="G8017" s="38" t="n">
        <f aca="false">Sens!$E$8017+Sens!$F$8017</f>
        <v>61.067</v>
      </c>
      <c r="H8017" s="39" t="n">
        <v>0</v>
      </c>
      <c r="I8017" s="39" t="n">
        <v>0</v>
      </c>
      <c r="J8017" s="39" t="n">
        <v>0</v>
      </c>
      <c r="K8017" s="39" t="n">
        <v>0</v>
      </c>
      <c r="L8017" s="39" t="n">
        <v>0</v>
      </c>
      <c r="M8017" s="39" t="n">
        <v>0</v>
      </c>
    </row>
    <row r="8018" customFormat="false" ht="17.15" hidden="false" customHeight="false" outlineLevel="0" collapsed="false">
      <c r="A8018" s="5" t="s">
        <v>800</v>
      </c>
      <c r="B8018" s="0" t="s">
        <v>86</v>
      </c>
      <c r="F8018" s="38" t="n">
        <f aca="false">iss_2h26</f>
        <v>29.249999</v>
      </c>
      <c r="G8018" s="38" t="n">
        <f aca="false">Sens!$F$8018</f>
        <v>29.249999</v>
      </c>
      <c r="H8018" s="39" t="n">
        <v>0</v>
      </c>
      <c r="I8018" s="39" t="n">
        <v>0</v>
      </c>
      <c r="J8018" s="39" t="n">
        <v>0</v>
      </c>
      <c r="K8018" s="39" t="n">
        <v>0</v>
      </c>
      <c r="L8018" s="39" t="n">
        <v>0</v>
      </c>
      <c r="M8018" s="39" t="n">
        <v>0</v>
      </c>
    </row>
    <row r="8019" customFormat="false" ht="17.15" hidden="false" customHeight="false" outlineLevel="0" collapsed="false">
      <c r="A8019" s="5" t="s">
        <v>801</v>
      </c>
      <c r="B8019" s="0" t="s">
        <v>86</v>
      </c>
      <c r="F8019" s="38" t="n">
        <f aca="false">cash_q2</f>
        <v>122.988</v>
      </c>
      <c r="G8019" s="38" t="n">
        <f aca="false">cash_q2</f>
        <v>122.988</v>
      </c>
      <c r="H8019" s="38" t="n">
        <f aca="false">Sens!$G$8022</f>
        <v>89.5023006151187</v>
      </c>
      <c r="I8019" s="38" t="n">
        <f aca="false">Sens!$H$8022</f>
        <v>50</v>
      </c>
      <c r="J8019" s="38" t="n">
        <f aca="false">Sens!$I$8022</f>
        <v>50</v>
      </c>
      <c r="K8019" s="38" t="n">
        <f aca="false">Sens!$J$8022</f>
        <v>71.9846354142962</v>
      </c>
      <c r="L8019" s="38" t="n">
        <f aca="false">Sens!$K$8022</f>
        <v>190.404469055046</v>
      </c>
      <c r="M8019" s="38" t="n">
        <f aca="false">Sens!$L$8022</f>
        <v>367.423426526727</v>
      </c>
    </row>
    <row r="8020" customFormat="false" ht="15" hidden="false" customHeight="false" outlineLevel="0" collapsed="false">
      <c r="A8020" s="5" t="s">
        <v>802</v>
      </c>
      <c r="B8020" s="0" t="s">
        <v>86</v>
      </c>
      <c r="F8020" s="38" t="n">
        <f aca="false">Sens!$F$8019+Sens!$F$8016-Sens!$F$8015-Sens!$F$8017+Sens!$F$8018</f>
        <v>89.5023006151187</v>
      </c>
      <c r="H8020" s="38" t="n">
        <f aca="false">Sens!$H$8019+Sens!$H$8016-Sens!$H$8015-Sens!$H$8017+Sens!$H$8018</f>
        <v>33.1573692580575</v>
      </c>
      <c r="I8020" s="38" t="n">
        <f aca="false">Sens!$I$8019+Sens!$I$8016-Sens!$I$8015-Sens!$I$8017+Sens!$I$8018</f>
        <v>31.8908686349347</v>
      </c>
      <c r="J8020" s="38" t="n">
        <f aca="false">Sens!$J$8019+Sens!$J$8016-Sens!$J$8015-Sens!$J$8017+Sens!$J$8018</f>
        <v>71.9846354142962</v>
      </c>
      <c r="K8020" s="38" t="n">
        <f aca="false">Sens!$K$8019+Sens!$K$8016-Sens!$K$8015-Sens!$K$8017+Sens!$K$8018</f>
        <v>190.404469055046</v>
      </c>
      <c r="L8020" s="38" t="n">
        <f aca="false">Sens!$L$8019+Sens!$L$8016-Sens!$L$8015-Sens!$L$8017+Sens!$L$8018</f>
        <v>367.423426526727</v>
      </c>
      <c r="M8020" s="38" t="n">
        <f aca="false">Sens!$M$8019+Sens!$M$8016-Sens!$M$8015-Sens!$M$8017+Sens!$M$8018</f>
        <v>573.504054117085</v>
      </c>
    </row>
    <row r="8021" customFormat="false" ht="17.15" hidden="false" customHeight="false" outlineLevel="0" collapsed="false">
      <c r="A8021" s="5" t="s">
        <v>803</v>
      </c>
      <c r="B8021" s="0" t="s">
        <v>86</v>
      </c>
      <c r="F8021" s="38" t="n">
        <f aca="false">MAX(0,min_cash-Sens!$F$8020)</f>
        <v>0</v>
      </c>
      <c r="G8021" s="38" t="n">
        <f aca="false">Sens!$F$8021</f>
        <v>0</v>
      </c>
      <c r="H8021" s="38" t="n">
        <f aca="false">MAX(0,min_cash-Sens!$H$8020)</f>
        <v>16.8426307419426</v>
      </c>
      <c r="I8021" s="38" t="n">
        <f aca="false">MAX(0,min_cash-Sens!$I$8020)</f>
        <v>18.1091313650653</v>
      </c>
      <c r="J8021" s="38" t="n">
        <f aca="false">MAX(0,min_cash-Sens!$J$8020)</f>
        <v>0</v>
      </c>
      <c r="K8021" s="38" t="n">
        <f aca="false">MAX(0,min_cash-Sens!$K$8020)</f>
        <v>0</v>
      </c>
      <c r="L8021" s="38" t="n">
        <f aca="false">MAX(0,min_cash-Sens!$L$8020)</f>
        <v>0</v>
      </c>
      <c r="M8021" s="38" t="n">
        <f aca="false">MAX(0,min_cash-Sens!$M$8020)</f>
        <v>0</v>
      </c>
      <c r="P8021" s="5" t="s">
        <v>804</v>
      </c>
    </row>
    <row r="8022" customFormat="false" ht="15" hidden="false" customHeight="false" outlineLevel="0" collapsed="false">
      <c r="A8022" s="5" t="s">
        <v>805</v>
      </c>
      <c r="B8022" s="0" t="s">
        <v>86</v>
      </c>
      <c r="D8022" s="38" t="n">
        <f aca="false">Q!$E$61</f>
        <v>123.029</v>
      </c>
      <c r="E8022" s="38" t="n">
        <f aca="false">Q!$M$61</f>
        <v>122.988</v>
      </c>
      <c r="F8022" s="38" t="n">
        <f aca="false">Sens!$F$8020+Sens!$F$8021</f>
        <v>89.5023006151187</v>
      </c>
      <c r="G8022" s="38" t="n">
        <f aca="false">Sens!$F$8022</f>
        <v>89.5023006151187</v>
      </c>
      <c r="H8022" s="38" t="n">
        <f aca="false">Sens!$H$8020+Sens!$H$8021</f>
        <v>50</v>
      </c>
      <c r="I8022" s="38" t="n">
        <f aca="false">Sens!$I$8020+Sens!$I$8021</f>
        <v>50</v>
      </c>
      <c r="J8022" s="38" t="n">
        <f aca="false">Sens!$J$8020+Sens!$J$8021</f>
        <v>71.9846354142962</v>
      </c>
      <c r="K8022" s="38" t="n">
        <f aca="false">Sens!$K$8020+Sens!$K$8021</f>
        <v>190.404469055046</v>
      </c>
      <c r="L8022" s="38" t="n">
        <f aca="false">Sens!$L$8020+Sens!$L$8021</f>
        <v>367.423426526727</v>
      </c>
      <c r="M8022" s="38" t="n">
        <f aca="false">Sens!$M$8020+Sens!$M$8021</f>
        <v>573.504054117085</v>
      </c>
    </row>
    <row r="8023" customFormat="false" ht="15" hidden="false" customHeight="false" outlineLevel="0" collapsed="false">
      <c r="A8023" s="5" t="s">
        <v>806</v>
      </c>
      <c r="B8023" s="0" t="s">
        <v>86</v>
      </c>
      <c r="D8023" s="38" t="n">
        <f aca="false">Q!$E$62</f>
        <v>68.836</v>
      </c>
      <c r="E8023" s="38" t="n">
        <f aca="false">Q!$M$62</f>
        <v>132.995</v>
      </c>
      <c r="F8023" s="38" t="n">
        <f aca="false">debt_q2+Sens!$F$8018+Sens!$F$8021</f>
        <v>162.244999</v>
      </c>
      <c r="G8023" s="38" t="n">
        <f aca="false">Sens!$F$8023</f>
        <v>162.244999</v>
      </c>
      <c r="H8023" s="38" t="n">
        <f aca="false">Sens!$G$8023+Sens!$H$8021</f>
        <v>179.087629741943</v>
      </c>
      <c r="I8023" s="38" t="n">
        <f aca="false">Sens!$H$8023+Sens!$I$8021</f>
        <v>197.196761107008</v>
      </c>
      <c r="J8023" s="38" t="n">
        <f aca="false">Sens!$I$8023+Sens!$J$8021</f>
        <v>197.196761107008</v>
      </c>
      <c r="K8023" s="38" t="n">
        <f aca="false">Sens!$J$8023+Sens!$K$8021</f>
        <v>197.196761107008</v>
      </c>
      <c r="L8023" s="38" t="n">
        <f aca="false">Sens!$K$8023+Sens!$L$8021</f>
        <v>197.196761107008</v>
      </c>
      <c r="M8023" s="38" t="n">
        <f aca="false">Sens!$L$8023+Sens!$M$8021</f>
        <v>197.196761107008</v>
      </c>
    </row>
    <row r="8024" customFormat="false" ht="15" hidden="false" customHeight="false" outlineLevel="0" collapsed="false">
      <c r="A8024" s="5" t="s">
        <v>807</v>
      </c>
      <c r="B8024" s="0" t="s">
        <v>86</v>
      </c>
      <c r="D8024" s="38" t="n">
        <f aca="false">Sens!$D$8023-Sens!$D$8022</f>
        <v>-54.193</v>
      </c>
      <c r="E8024" s="38" t="n">
        <f aca="false">Sens!$E$8023-Sens!$E$8022</f>
        <v>10.007</v>
      </c>
      <c r="F8024" s="38" t="n">
        <f aca="false">Sens!$F$8023-Sens!$F$8022</f>
        <v>72.7426983848813</v>
      </c>
      <c r="G8024" s="38" t="n">
        <f aca="false">Sens!$G$8023-Sens!$G$8022</f>
        <v>72.7426983848813</v>
      </c>
      <c r="H8024" s="38" t="n">
        <f aca="false">Sens!$H$8023-Sens!$H$8022</f>
        <v>129.087629741943</v>
      </c>
      <c r="I8024" s="38" t="n">
        <f aca="false">Sens!$I$8023-Sens!$I$8022</f>
        <v>147.196761107008</v>
      </c>
      <c r="J8024" s="38" t="n">
        <f aca="false">Sens!$J$8023-Sens!$J$8022</f>
        <v>125.212125692712</v>
      </c>
      <c r="K8024" s="38" t="n">
        <f aca="false">Sens!$K$8023-Sens!$K$8022</f>
        <v>6.79229205196145</v>
      </c>
      <c r="L8024" s="38" t="n">
        <f aca="false">Sens!$L$8023-Sens!$L$8022</f>
        <v>-170.226665419719</v>
      </c>
      <c r="M8024" s="38" t="n">
        <f aca="false">Sens!$M$8023-Sens!$M$8022</f>
        <v>-376.307293010077</v>
      </c>
    </row>
    <row r="8025" customFormat="false" ht="17.15" hidden="false" customHeight="false" outlineLevel="0" collapsed="false">
      <c r="A8025" s="5" t="s">
        <v>808</v>
      </c>
      <c r="B8025" s="0" t="s">
        <v>86</v>
      </c>
      <c r="F8025" s="38" t="n">
        <f aca="false">debt_q2*kd_book*0.5+iss_2h26*kd_new*iss_t</f>
        <v>3.24888962733561</v>
      </c>
      <c r="H8025" s="38" t="n">
        <f aca="false">debt_q2*kd_book+(Sens!$G$8023-debt_q2)*kd_new</f>
        <v>7.42354172302123</v>
      </c>
      <c r="I8025" s="38" t="n">
        <f aca="false">debt_q2*kd_book+(Sens!$H$8023-debt_q2)*kd_new</f>
        <v>8.48968024898619</v>
      </c>
      <c r="J8025" s="38" t="n">
        <f aca="false">debt_q2*kd_book+(Sens!$I$8023-debt_q2)*kd_new</f>
        <v>9.63598826439483</v>
      </c>
      <c r="K8025" s="38" t="n">
        <f aca="false">debt_q2*kd_book+(Sens!$J$8023-debt_q2)*kd_new</f>
        <v>9.63598826439483</v>
      </c>
      <c r="L8025" s="38" t="n">
        <f aca="false">debt_q2*kd_book+(Sens!$K$8023-debt_q2)*kd_new</f>
        <v>9.63598826439483</v>
      </c>
      <c r="M8025" s="38" t="n">
        <f aca="false">debt_q2*kd_book+(Sens!$L$8023-debt_q2)*kd_new</f>
        <v>9.63598826439483</v>
      </c>
    </row>
    <row r="8026" customFormat="false" ht="17.15" hidden="false" customHeight="false" outlineLevel="0" collapsed="false">
      <c r="A8026" s="5" t="s">
        <v>809</v>
      </c>
      <c r="B8026" s="0" t="s">
        <v>86</v>
      </c>
      <c r="F8026" s="38" t="n">
        <f aca="false">cash_q2*y_cash*0.5</f>
        <v>2.59</v>
      </c>
      <c r="H8026" s="38" t="n">
        <f aca="false">Sens!$G$8022*y_cash</f>
        <v>3.76965165045626</v>
      </c>
      <c r="I8026" s="38" t="n">
        <f aca="false">Sens!$H$8022*y_cash</f>
        <v>2.10589651022864</v>
      </c>
      <c r="J8026" s="38" t="n">
        <f aca="false">Sens!$I$8022*y_cash</f>
        <v>2.10589651022864</v>
      </c>
      <c r="K8026" s="38" t="n">
        <f aca="false">Sens!$J$8022*y_cash</f>
        <v>3.03184385018094</v>
      </c>
      <c r="L8026" s="38" t="n">
        <f aca="false">Sens!$K$8022*y_cash</f>
        <v>8.01944213829919</v>
      </c>
      <c r="M8026" s="38" t="n">
        <f aca="false">Sens!$L$8022*y_cash</f>
        <v>15.4751142339777</v>
      </c>
    </row>
    <row r="8027" customFormat="false" ht="17.15" hidden="false" customHeight="false" outlineLevel="0" collapsed="false">
      <c r="A8027" s="47" t="s">
        <v>810</v>
      </c>
      <c r="B8027" s="14" t="s">
        <v>86</v>
      </c>
      <c r="C8027" s="14"/>
      <c r="D8027" s="14"/>
      <c r="E8027" s="14"/>
      <c r="F8027" s="14"/>
      <c r="G8027" s="48" t="n">
        <f aca="false">SUM(Sens!$G$8016:$K$8016)</f>
        <v>-1.17629205196147</v>
      </c>
      <c r="H8027" s="14"/>
      <c r="I8027" s="14"/>
      <c r="J8027" s="14"/>
      <c r="K8027" s="14"/>
      <c r="L8027" s="14"/>
      <c r="M8027" s="14"/>
      <c r="N8027" s="14"/>
      <c r="O8027" s="14"/>
    </row>
    <row r="8028" customFormat="false" ht="17.15" hidden="false" customHeight="false" outlineLevel="0" collapsed="false">
      <c r="A8028" s="0" t="s">
        <v>776</v>
      </c>
      <c r="B8028" s="0" t="s">
        <v>86</v>
      </c>
      <c r="G8028" s="38" t="n">
        <f aca="false">SUM(Sens!$G$8021:$K$8021)</f>
        <v>34.9517621070079</v>
      </c>
    </row>
    <row r="8029" customFormat="false" ht="17.15" hidden="false" customHeight="false" outlineLevel="0" collapsed="false">
      <c r="A8029" s="24" t="s">
        <v>813</v>
      </c>
      <c r="B8029" s="25" t="s">
        <v>86</v>
      </c>
      <c r="C8029" s="25"/>
      <c r="D8029" s="25"/>
      <c r="E8029" s="25"/>
      <c r="F8029" s="25"/>
      <c r="G8029" s="41" t="n">
        <f aca="false">Sens!$G$8027-(Sens!$G$8016+Sens!$H$8016+Sens!$I$8016+Sens!$J$8016+Sens!$K$8016)</f>
        <v>-2.8421709430404E-014</v>
      </c>
      <c r="H8029" s="25"/>
      <c r="I8029" s="25"/>
      <c r="J8029" s="25"/>
      <c r="K8029" s="25"/>
      <c r="L8029" s="25"/>
      <c r="M8029" s="25"/>
      <c r="N8029" s="25"/>
      <c r="O8029" s="25"/>
    </row>
    <row r="8032" customFormat="false" ht="19.4" hidden="false" customHeight="false" outlineLevel="0" collapsed="false">
      <c r="A8032" s="31" t="s">
        <v>1299</v>
      </c>
    </row>
    <row r="8033" customFormat="false" ht="17.15" hidden="false" customHeight="false" outlineLevel="0" collapsed="false">
      <c r="A8033" s="6" t="s">
        <v>16</v>
      </c>
      <c r="B8033" s="6" t="s">
        <v>17</v>
      </c>
      <c r="C8033" s="20" t="s">
        <v>497</v>
      </c>
      <c r="D8033" s="20" t="s">
        <v>498</v>
      </c>
      <c r="E8033" s="20" t="s">
        <v>580</v>
      </c>
      <c r="F8033" s="20" t="s">
        <v>581</v>
      </c>
      <c r="G8033" s="20" t="s">
        <v>582</v>
      </c>
      <c r="H8033" s="20" t="s">
        <v>583</v>
      </c>
      <c r="I8033" s="20" t="s">
        <v>584</v>
      </c>
      <c r="J8033" s="20" t="s">
        <v>585</v>
      </c>
      <c r="K8033" s="20" t="s">
        <v>586</v>
      </c>
      <c r="L8033" s="20" t="s">
        <v>587</v>
      </c>
      <c r="M8033" s="20" t="s">
        <v>588</v>
      </c>
      <c r="N8033" s="20" t="s">
        <v>589</v>
      </c>
      <c r="O8033" s="20" t="s">
        <v>590</v>
      </c>
      <c r="P8033" s="6" t="s">
        <v>23</v>
      </c>
      <c r="R8033" s="20" t="n">
        <v>2023</v>
      </c>
      <c r="S8033" s="20" t="n">
        <v>2024</v>
      </c>
      <c r="T8033" s="20" t="n">
        <v>2025</v>
      </c>
      <c r="U8033" s="20" t="n">
        <v>2026</v>
      </c>
      <c r="V8033" s="20" t="n">
        <v>2027</v>
      </c>
      <c r="W8033" s="20" t="n">
        <v>2028</v>
      </c>
      <c r="X8033" s="20" t="n">
        <v>2029</v>
      </c>
      <c r="Y8033" s="20" t="n">
        <v>2030</v>
      </c>
      <c r="Z8033" s="20" t="n">
        <v>2031</v>
      </c>
      <c r="AA8033" s="20" t="n">
        <v>2032</v>
      </c>
    </row>
    <row r="8034" customFormat="false" ht="17.15" hidden="false" customHeight="false" outlineLevel="0" collapsed="false">
      <c r="A8034" s="1" t="s">
        <v>915</v>
      </c>
    </row>
    <row r="8035" customFormat="false" ht="17.15" hidden="false" customHeight="false" outlineLevel="0" collapsed="false">
      <c r="A8035" s="0" t="s">
        <v>916</v>
      </c>
      <c r="B8035" s="0" t="s">
        <v>86</v>
      </c>
      <c r="H8035" s="38" t="n">
        <f aca="false">Sens!$H$7969*(1-tax)</f>
        <v>121.243762954598</v>
      </c>
      <c r="I8035" s="38" t="n">
        <f aca="false">Sens!$I$7969*(1-tax)</f>
        <v>146.296727721585</v>
      </c>
      <c r="J8035" s="38" t="n">
        <f aca="false">Sens!$J$7969*(1-tax)</f>
        <v>170.140518399982</v>
      </c>
      <c r="K8035" s="38" t="n">
        <f aca="false">Sens!$K$7969*(1-tax)</f>
        <v>187.091644407888</v>
      </c>
      <c r="L8035" s="38" t="n">
        <f aca="false">Sens!$L$7969*(1-tax)</f>
        <v>200.866341135815</v>
      </c>
      <c r="M8035" s="38" t="n">
        <f aca="false">Sens!$M$7969*(1-tax)</f>
        <v>211.476896331068</v>
      </c>
    </row>
    <row r="8036" customFormat="false" ht="15" hidden="false" customHeight="false" outlineLevel="0" collapsed="false">
      <c r="A8036" s="5" t="s">
        <v>917</v>
      </c>
      <c r="B8036" s="0" t="s">
        <v>86</v>
      </c>
      <c r="H8036" s="38" t="n">
        <f aca="false">Sens!$H$7980</f>
        <v>78.1799395827871</v>
      </c>
      <c r="I8036" s="38" t="n">
        <f aca="false">Sens!$I$7980</f>
        <v>111.171125554384</v>
      </c>
      <c r="J8036" s="38" t="n">
        <f aca="false">Sens!$J$7980</f>
        <v>144.884406220971</v>
      </c>
      <c r="K8036" s="38" t="n">
        <f aca="false">Sens!$K$7980</f>
        <v>178.806419437999</v>
      </c>
      <c r="L8036" s="38" t="n">
        <f aca="false">Sens!$L$7980</f>
        <v>204.341339029663</v>
      </c>
      <c r="M8036" s="38" t="n">
        <f aca="false">Sens!$M$7980</f>
        <v>223.130577995387</v>
      </c>
    </row>
    <row r="8037" customFormat="false" ht="15" hidden="false" customHeight="false" outlineLevel="0" collapsed="false">
      <c r="A8037" s="5" t="s">
        <v>918</v>
      </c>
      <c r="B8037" s="0" t="s">
        <v>86</v>
      </c>
      <c r="H8037" s="38" t="n">
        <f aca="false">Sens!$H$8011</f>
        <v>273.372679834898</v>
      </c>
      <c r="I8037" s="38" t="n">
        <f aca="false">Sens!$I$8011</f>
        <v>286.981812228425</v>
      </c>
      <c r="J8037" s="38" t="n">
        <f aca="false">Sens!$J$8011</f>
        <v>299.316513378366</v>
      </c>
      <c r="K8037" s="38" t="n">
        <f aca="false">Sens!$K$8011</f>
        <v>251.057145512292</v>
      </c>
      <c r="L8037" s="38" t="n">
        <f aca="false">Sens!$L$8011</f>
        <v>234.696330860396</v>
      </c>
      <c r="M8037" s="38" t="n">
        <f aca="false">Sens!$M$8011</f>
        <v>242.291696043352</v>
      </c>
    </row>
    <row r="8038" customFormat="false" ht="15" hidden="false" customHeight="false" outlineLevel="0" collapsed="false">
      <c r="A8038" s="5" t="s">
        <v>919</v>
      </c>
      <c r="B8038" s="0" t="s">
        <v>86</v>
      </c>
      <c r="H8038" s="38" t="n">
        <f aca="false">Sens!$H$8012</f>
        <v>1.6</v>
      </c>
      <c r="I8038" s="38" t="n">
        <f aca="false">Sens!$I$8012</f>
        <v>1.6</v>
      </c>
      <c r="J8038" s="38" t="n">
        <f aca="false">Sens!$J$8012</f>
        <v>1.6</v>
      </c>
      <c r="K8038" s="38" t="n">
        <f aca="false">Sens!$K$8012</f>
        <v>1.6</v>
      </c>
      <c r="L8038" s="38" t="n">
        <f aca="false">Sens!$L$8012</f>
        <v>1.6</v>
      </c>
      <c r="M8038" s="38" t="n">
        <f aca="false">Sens!$M$8012</f>
        <v>1.6</v>
      </c>
    </row>
    <row r="8039" customFormat="false" ht="15" hidden="false" customHeight="false" outlineLevel="0" collapsed="false">
      <c r="A8039" s="5" t="s">
        <v>920</v>
      </c>
      <c r="B8039" s="0" t="s">
        <v>86</v>
      </c>
      <c r="H8039" s="38" t="n">
        <f aca="false">Sens!$H$8006</f>
        <v>11.2928295263397</v>
      </c>
      <c r="I8039" s="38" t="n">
        <f aca="false">Sens!$I$8006</f>
        <v>12.8091546115766</v>
      </c>
      <c r="J8039" s="38" t="n">
        <f aca="false">Sens!$J$8006</f>
        <v>14.2605653162668</v>
      </c>
      <c r="K8039" s="38" t="n">
        <f aca="false">Sens!$K$8006</f>
        <v>15.5327622460396</v>
      </c>
      <c r="L8039" s="38" t="n">
        <f aca="false">Sens!$L$8006</f>
        <v>16.720573737517</v>
      </c>
      <c r="M8039" s="38" t="n">
        <f aca="false">Sens!$M$8006</f>
        <v>17.8283127551536</v>
      </c>
    </row>
    <row r="8040" customFormat="false" ht="17.15" hidden="false" customHeight="false" outlineLevel="0" collapsed="false">
      <c r="A8040" s="1" t="s">
        <v>921</v>
      </c>
      <c r="B8040" s="8" t="s">
        <v>86</v>
      </c>
      <c r="H8040" s="38" t="n">
        <f aca="false">Sens!$H$8035+Sens!$H$8036-Sens!$H$8037+Sens!$H$8039</f>
        <v>-62.6561477711731</v>
      </c>
      <c r="I8040" s="38" t="n">
        <f aca="false">Sens!$I$8035+Sens!$I$8036-Sens!$I$8037+Sens!$I$8039</f>
        <v>-16.7048043408794</v>
      </c>
      <c r="J8040" s="38" t="n">
        <f aca="false">Sens!$J$8035+Sens!$J$8036-Sens!$J$8037+Sens!$J$8039</f>
        <v>29.9689765588539</v>
      </c>
      <c r="K8040" s="38" t="n">
        <f aca="false">Sens!$K$8035+Sens!$K$8036-Sens!$K$8037+Sens!$K$8039</f>
        <v>130.373680579634</v>
      </c>
      <c r="L8040" s="38" t="n">
        <f aca="false">Sens!$L$8035+Sens!$L$8036-Sens!$L$8037+Sens!$L$8039</f>
        <v>187.231923042598</v>
      </c>
      <c r="M8040" s="38" t="n">
        <f aca="false">Sens!$M$8035+Sens!$M$8036-Sens!$M$8037+Sens!$M$8039</f>
        <v>210.144091038257</v>
      </c>
    </row>
    <row r="8041" customFormat="false" ht="15" hidden="false" customHeight="false" outlineLevel="0" collapsed="false">
      <c r="A8041" s="5" t="s">
        <v>922</v>
      </c>
      <c r="B8041" s="0" t="s">
        <v>57</v>
      </c>
      <c r="H8041" s="40" t="n">
        <f aca="false">1/(1+wacc)^(2027-2026-0.5)</f>
        <v>0.947751320380232</v>
      </c>
      <c r="I8041" s="40" t="n">
        <f aca="false">1/(1+wacc)^(2028-2026-0.5)</f>
        <v>0.851301099754987</v>
      </c>
      <c r="J8041" s="40" t="n">
        <f aca="false">1/(1+wacc)^(2029-2026-0.5)</f>
        <v>0.764666370660713</v>
      </c>
      <c r="K8041" s="40" t="n">
        <f aca="false">1/(1+wacc)^(2030-2026-0.5)</f>
        <v>0.686848235703811</v>
      </c>
      <c r="L8041" s="40" t="n">
        <f aca="false">1/(1+wacc)^(2031-2026-0.5)</f>
        <v>0.616949452715975</v>
      </c>
      <c r="M8041" s="40" t="n">
        <f aca="false">1/(1+wacc)^(2032-2026-0.5)</f>
        <v>0.554164089562688</v>
      </c>
    </row>
    <row r="8042" customFormat="false" ht="15" hidden="false" customHeight="false" outlineLevel="0" collapsed="false">
      <c r="A8042" s="5" t="s">
        <v>923</v>
      </c>
      <c r="B8042" s="0" t="s">
        <v>86</v>
      </c>
      <c r="H8042" s="38" t="n">
        <f aca="false">Sens!$H$8040*Sens!$H$8041</f>
        <v>-59.3824467800682</v>
      </c>
      <c r="I8042" s="38" t="n">
        <f aca="false">Sens!$I$8040*Sens!$I$8041</f>
        <v>-14.2208183065825</v>
      </c>
      <c r="J8042" s="38" t="n">
        <f aca="false">Sens!$J$8040*Sens!$J$8041</f>
        <v>22.9162685376748</v>
      </c>
      <c r="K8042" s="38" t="n">
        <f aca="false">Sens!$K$8040*Sens!$K$8041</f>
        <v>89.5469324883341</v>
      </c>
      <c r="L8042" s="38" t="n">
        <f aca="false">Sens!$L$8040*Sens!$L$8041</f>
        <v>115.512632452091</v>
      </c>
      <c r="M8042" s="38" t="n">
        <f aca="false">Sens!$M$8040*Sens!$M$8041</f>
        <v>116.454308887194</v>
      </c>
    </row>
    <row r="8043" customFormat="false" ht="15" hidden="false" customHeight="false" outlineLevel="0" collapsed="false">
      <c r="A8043" s="5" t="s">
        <v>924</v>
      </c>
      <c r="B8043" s="0" t="s">
        <v>86</v>
      </c>
      <c r="C8043" s="38" t="n">
        <f aca="false">SUM(Sens!$H$8042:$M$8042)</f>
        <v>270.826877278643</v>
      </c>
    </row>
    <row r="8044" customFormat="false" ht="17.15" hidden="false" customHeight="false" outlineLevel="0" collapsed="false">
      <c r="A8044" s="5" t="s">
        <v>925</v>
      </c>
      <c r="B8044" s="0" t="s">
        <v>86</v>
      </c>
      <c r="C8044" s="38" t="n">
        <f aca="false">Sens!$M$8035*(1+tg)*(1-tg/ronic)/(wacc-tg)</f>
        <v>1922.56097134792</v>
      </c>
    </row>
    <row r="8045" customFormat="false" ht="15" hidden="false" customHeight="false" outlineLevel="0" collapsed="false">
      <c r="A8045" s="5" t="s">
        <v>926</v>
      </c>
      <c r="B8045" s="0" t="s">
        <v>86</v>
      </c>
      <c r="C8045" s="38" t="n">
        <f aca="false">Sens!$C$8044/(1+wacc)^6</f>
        <v>1009.74776248869</v>
      </c>
    </row>
    <row r="8046" customFormat="false" ht="17.15" hidden="false" customHeight="false" outlineLevel="0" collapsed="false">
      <c r="A8046" s="5" t="s">
        <v>927</v>
      </c>
      <c r="B8046" s="0" t="s">
        <v>86</v>
      </c>
      <c r="C8046" s="38" t="n">
        <f aca="false">Sens!$C$8043+Sens!$C$8045</f>
        <v>1280.57463976734</v>
      </c>
    </row>
    <row r="8047" customFormat="false" ht="17.15" hidden="false" customHeight="false" outlineLevel="0" collapsed="false">
      <c r="A8047" s="5" t="s">
        <v>928</v>
      </c>
      <c r="B8047" s="0" t="s">
        <v>52</v>
      </c>
      <c r="C8047" s="13" t="n">
        <f aca="false">Sens!$C$8045/Sens!$C$8046</f>
        <v>0.788511447229778</v>
      </c>
    </row>
    <row r="8048" customFormat="false" ht="17.15" hidden="false" customHeight="false" outlineLevel="0" collapsed="false">
      <c r="A8048" s="5" t="s">
        <v>929</v>
      </c>
      <c r="B8048" s="0" t="s">
        <v>86</v>
      </c>
      <c r="C8048" s="38" t="n">
        <f aca="false">Sens!$G$8024+fin_debt</f>
        <v>97.2636983848813</v>
      </c>
    </row>
    <row r="8049" customFormat="false" ht="17.15" hidden="false" customHeight="false" outlineLevel="0" collapsed="false">
      <c r="A8049" s="5" t="s">
        <v>930</v>
      </c>
      <c r="B8049" s="0" t="s">
        <v>86</v>
      </c>
      <c r="C8049" s="38" t="n">
        <f aca="false">(ant_val*ant_sh+oai_val*oai_sh)*(1-liq_disc)</f>
        <v>178.944</v>
      </c>
    </row>
    <row r="8050" customFormat="false" ht="15" hidden="false" customHeight="false" outlineLevel="0" collapsed="false">
      <c r="A8050" s="5" t="s">
        <v>931</v>
      </c>
      <c r="B8050" s="0" t="s">
        <v>86</v>
      </c>
      <c r="C8050" s="38" t="n">
        <f aca="false">Sens!$C$8046-Sens!$C$8048+Sens!$C$8049</f>
        <v>1362.25494138246</v>
      </c>
    </row>
    <row r="8051" customFormat="false" ht="17.15" hidden="false" customHeight="false" outlineLevel="0" collapsed="false">
      <c r="A8051" s="5" t="s">
        <v>932</v>
      </c>
      <c r="B8051" s="0" t="s">
        <v>27</v>
      </c>
      <c r="C8051" s="30" t="n">
        <f aca="false">Sens!$C$8050/sh_out</f>
        <v>126.294760321501</v>
      </c>
    </row>
    <row r="8052" customFormat="false" ht="17.15" hidden="false" customHeight="false" outlineLevel="0" collapsed="false">
      <c r="A8052" s="1" t="s">
        <v>933</v>
      </c>
      <c r="B8052" s="8" t="s">
        <v>27</v>
      </c>
      <c r="C8052" s="30" t="n">
        <f aca="false">Sens!$C$8051*(1+ke)^tp_yf-dps*tp_yf</f>
        <v>138.339345929154</v>
      </c>
    </row>
    <row r="8053" customFormat="false" ht="17.15" hidden="false" customHeight="false" outlineLevel="0" collapsed="false">
      <c r="A8053" s="3" t="s">
        <v>934</v>
      </c>
    </row>
    <row r="8054" customFormat="false" ht="17.15" hidden="false" customHeight="false" outlineLevel="0" collapsed="false">
      <c r="A8054" s="5" t="s">
        <v>935</v>
      </c>
      <c r="B8054" s="0" t="s">
        <v>86</v>
      </c>
      <c r="C8054" s="38" t="n">
        <f aca="false">(1-tp_yf)*(Sens!$H$7981+sbc_ab*Sens!$H$8005*Sens!$H$7845/Sens!$H$7922)+tp_yf*(Sens!$I$7981+sbc_ab*Sens!$I$8005*Sens!$I$7845/Sens!$I$7922)</f>
        <v>59.634664536349</v>
      </c>
    </row>
    <row r="8055" customFormat="false" ht="15" hidden="false" customHeight="false" outlineLevel="0" collapsed="false">
      <c r="A8055" s="5" t="s">
        <v>936</v>
      </c>
      <c r="B8055" s="0" t="s">
        <v>57</v>
      </c>
      <c r="C8055" s="30" t="n">
        <f aca="false">m_ads*m_x</f>
        <v>9.11</v>
      </c>
    </row>
    <row r="8056" customFormat="false" ht="17.15" hidden="false" customHeight="false" outlineLevel="0" collapsed="false">
      <c r="A8056" s="5" t="s">
        <v>937</v>
      </c>
      <c r="B8056" s="0" t="s">
        <v>86</v>
      </c>
      <c r="C8056" s="38" t="n">
        <f aca="false">Sens!$C$8054*Sens!$C$8055</f>
        <v>543.271793926139</v>
      </c>
    </row>
    <row r="8057" customFormat="false" ht="17.15" hidden="false" customHeight="false" outlineLevel="0" collapsed="false">
      <c r="A8057" s="5" t="s">
        <v>938</v>
      </c>
      <c r="B8057" s="0" t="s">
        <v>86</v>
      </c>
      <c r="C8057" s="38" t="n">
        <f aca="false">(1-tp_yf)*(Sens!$H$7982+sbc_ab*Sens!$H$8005*(Sens!$H$7852-Sens!$H$7845)/Sens!$H$7922+IF(internal_ai_reading=2,1,0)*(1-ext_sh)*Sens!$H$7882)+tp_yf*(Sens!$I$7982+sbc_ab*Sens!$I$8005*(Sens!$I$7852-Sens!$I$7845)/Sens!$I$7922+IF(internal_ai_reading=2,1,0)*(1-ext_sh)*Sens!$I$7882)</f>
        <v>51.2224827206816</v>
      </c>
    </row>
    <row r="8058" customFormat="false" ht="17.15" hidden="false" customHeight="false" outlineLevel="0" collapsed="false">
      <c r="A8058" s="5" t="s">
        <v>939</v>
      </c>
      <c r="B8058" s="0" t="s">
        <v>57</v>
      </c>
      <c r="C8058" s="30" t="n">
        <f aca="false">m_retail*m_x</f>
        <v>17.72</v>
      </c>
    </row>
    <row r="8059" customFormat="false" ht="17.15" hidden="false" customHeight="false" outlineLevel="0" collapsed="false">
      <c r="A8059" s="5" t="s">
        <v>940</v>
      </c>
      <c r="B8059" s="0" t="s">
        <v>86</v>
      </c>
      <c r="C8059" s="38" t="n">
        <f aca="false">Sens!$C$8057*Sens!$C$8058</f>
        <v>907.662393810478</v>
      </c>
    </row>
    <row r="8060" customFormat="false" ht="17.15" hidden="false" customHeight="false" outlineLevel="0" collapsed="false">
      <c r="A8060" s="0" t="s">
        <v>941</v>
      </c>
      <c r="B8060" s="0" t="s">
        <v>86</v>
      </c>
      <c r="C8060" s="38" t="n">
        <f aca="false">(1-tp_yf)*(Sens!$H$7983+sbc_ab*Sens!$H$8005*Sens!$H$7920/Sens!$H$7922)+tp_yf*(Sens!$I$7983+sbc_ab*Sens!$I$8005*Sens!$I$7920/Sens!$I$7922)</f>
        <v>96.2439586897193</v>
      </c>
    </row>
    <row r="8061" customFormat="false" ht="17.15" hidden="false" customHeight="false" outlineLevel="0" collapsed="false">
      <c r="A8061" s="0" t="s">
        <v>942</v>
      </c>
      <c r="B8061" s="0" t="s">
        <v>57</v>
      </c>
      <c r="C8061" s="30" t="n">
        <f aca="false">m_cloud*m_x</f>
        <v>13.82</v>
      </c>
    </row>
    <row r="8062" customFormat="false" ht="17.15" hidden="false" customHeight="false" outlineLevel="0" collapsed="false">
      <c r="A8062" s="0" t="s">
        <v>943</v>
      </c>
      <c r="B8062" s="0" t="s">
        <v>86</v>
      </c>
      <c r="C8062" s="38" t="n">
        <f aca="false">Sens!$C$8060*Sens!$C$8061</f>
        <v>1330.09150909192</v>
      </c>
    </row>
    <row r="8063" customFormat="false" ht="17.15" hidden="false" customHeight="false" outlineLevel="0" collapsed="false">
      <c r="A8063" s="0" t="s">
        <v>944</v>
      </c>
      <c r="B8063" s="0" t="s">
        <v>86</v>
      </c>
      <c r="H8063" s="38" t="n">
        <f aca="false">Sens!$H$7901-tax*Sens!$H$7902-ext_sh*Sens!$H$7889</f>
        <v>-115.885394236225</v>
      </c>
      <c r="I8063" s="38" t="n">
        <f aca="false">Sens!$I$7901-tax*Sens!$I$7902-ext_sh*Sens!$I$7889</f>
        <v>-89.5935137276694</v>
      </c>
      <c r="J8063" s="38" t="n">
        <f aca="false">Sens!$J$7901-tax*Sens!$J$7902-ext_sh*Sens!$J$7889</f>
        <v>-62.3510647460279</v>
      </c>
      <c r="K8063" s="38" t="n">
        <f aca="false">Sens!$K$7901-tax*Sens!$K$7902-ext_sh*Sens!$K$7889</f>
        <v>8.85932514072565</v>
      </c>
      <c r="L8063" s="38" t="n">
        <f aca="false">Sens!$L$7901-tax*Sens!$L$7902-ext_sh*Sens!$L$7889</f>
        <v>45.6968344120177</v>
      </c>
      <c r="M8063" s="38" t="n">
        <f aca="false">Sens!$M$7901-tax*Sens!$M$7902-ext_sh*Sens!$M$7889</f>
        <v>54.7466688757428</v>
      </c>
    </row>
    <row r="8064" customFormat="false" ht="17.15" hidden="false" customHeight="false" outlineLevel="0" collapsed="false">
      <c r="A8064" s="5" t="s">
        <v>945</v>
      </c>
      <c r="B8064" s="0" t="s">
        <v>86</v>
      </c>
      <c r="H8064" s="38" t="n">
        <f aca="false">Sens!$H$8063*Sens!$H$8041</f>
        <v>-109.830535400166</v>
      </c>
      <c r="I8064" s="38" t="n">
        <f aca="false">Sens!$I$8063*Sens!$I$8041</f>
        <v>-76.2710567672785</v>
      </c>
      <c r="J8064" s="38" t="n">
        <f aca="false">Sens!$J$8063*Sens!$J$8041</f>
        <v>-47.6777623861763</v>
      </c>
      <c r="K8064" s="38" t="n">
        <f aca="false">Sens!$K$8063*Sens!$K$8041</f>
        <v>6.08501184243383</v>
      </c>
      <c r="L8064" s="38" t="n">
        <f aca="false">Sens!$L$8063*Sens!$L$8041</f>
        <v>28.1926369813469</v>
      </c>
      <c r="M8064" s="38" t="n">
        <f aca="false">Sens!$M$8063*Sens!$M$8041</f>
        <v>30.338637914116</v>
      </c>
    </row>
    <row r="8065" customFormat="false" ht="17.15" hidden="false" customHeight="false" outlineLevel="0" collapsed="false">
      <c r="A8065" s="5" t="s">
        <v>946</v>
      </c>
      <c r="B8065" s="0" t="s">
        <v>86</v>
      </c>
      <c r="C8065" s="38" t="n">
        <f aca="false">Sens!$M$7902*(1-tax)*(1+tg)*(1-tg/ronic)/(wacc-tg)</f>
        <v>391.533160655061</v>
      </c>
    </row>
    <row r="8066" customFormat="false" ht="17.15" hidden="false" customHeight="false" outlineLevel="0" collapsed="false">
      <c r="A8066" s="0" t="s">
        <v>947</v>
      </c>
      <c r="B8066" s="0" t="s">
        <v>86</v>
      </c>
      <c r="C8066" s="38" t="n">
        <f aca="false">(SUM(Sens!$I$8064:$M$8064)+Sens!$C$8065/(1+wacc)^6)*(1+wacc)^tp_yf</f>
        <v>159.796867964901</v>
      </c>
    </row>
    <row r="8067" customFormat="false" ht="17.15" hidden="false" customHeight="false" outlineLevel="0" collapsed="false">
      <c r="A8067" s="5" t="s">
        <v>948</v>
      </c>
      <c r="B8067" s="0" t="s">
        <v>86</v>
      </c>
      <c r="C8067" s="38" t="n">
        <f aca="false">(1-tp_yf)*(Sens!$H$7984)+tp_yf*(Sens!$I$7984)</f>
        <v>74.6707041238437</v>
      </c>
    </row>
    <row r="8068" customFormat="false" ht="17.15" hidden="false" customHeight="false" outlineLevel="0" collapsed="false">
      <c r="A8068" s="5" t="s">
        <v>949</v>
      </c>
      <c r="B8068" s="0" t="s">
        <v>86</v>
      </c>
      <c r="C8068" s="38" t="n">
        <f aca="false">Sens!$C$8067*m_ai</f>
        <v>448.024224743062</v>
      </c>
    </row>
    <row r="8069" customFormat="false" ht="17.15" hidden="false" customHeight="false" outlineLevel="0" collapsed="false">
      <c r="A8069" s="0" t="s">
        <v>950</v>
      </c>
      <c r="B8069" s="0" t="s">
        <v>86</v>
      </c>
      <c r="C8069" s="38" t="n">
        <f aca="false">IF(ai_leg=1,Sens!$C$8066,Sens!$C$8068)</f>
        <v>159.796867964901</v>
      </c>
    </row>
    <row r="8070" customFormat="false" ht="17.15" hidden="false" customHeight="false" outlineLevel="0" collapsed="false">
      <c r="A8070" s="5" t="s">
        <v>951</v>
      </c>
      <c r="B8070" s="0" t="s">
        <v>86</v>
      </c>
      <c r="C8070" s="38" t="n">
        <f aca="false">Sens!$C$8056+Sens!$C$8059+Sens!$C$8062+Sens!$C$8069</f>
        <v>2940.82256479344</v>
      </c>
    </row>
    <row r="8071" customFormat="false" ht="17.15" hidden="false" customHeight="false" outlineLevel="0" collapsed="false">
      <c r="A8071" s="5" t="s">
        <v>952</v>
      </c>
      <c r="B8071" s="0" t="s">
        <v>86</v>
      </c>
      <c r="C8071" s="38" t="n">
        <f aca="false">Sens!$H$8024+fin_debt</f>
        <v>153.608629741943</v>
      </c>
    </row>
    <row r="8072" customFormat="false" ht="15" hidden="false" customHeight="false" outlineLevel="0" collapsed="false">
      <c r="A8072" s="5" t="s">
        <v>953</v>
      </c>
      <c r="B8072" s="0" t="s">
        <v>86</v>
      </c>
      <c r="C8072" s="38" t="n">
        <f aca="false">Sens!$C$8070-Sens!$C$8071+Sens!$C$8049</f>
        <v>2966.1579350515</v>
      </c>
    </row>
    <row r="8073" customFormat="false" ht="15" hidden="false" customHeight="false" outlineLevel="0" collapsed="false">
      <c r="A8073" s="3" t="s">
        <v>954</v>
      </c>
      <c r="B8073" s="8" t="s">
        <v>27</v>
      </c>
      <c r="C8073" s="30" t="n">
        <f aca="false">Sens!$C$8072/sh_val</f>
        <v>268.90965525111</v>
      </c>
    </row>
    <row r="8074" customFormat="false" ht="17.15" hidden="false" customHeight="false" outlineLevel="0" collapsed="false">
      <c r="A8074" s="47" t="s">
        <v>955</v>
      </c>
      <c r="B8074" s="14" t="s">
        <v>27</v>
      </c>
      <c r="C8074" s="44" t="n">
        <f aca="false">0.3*Sens!$C$8052+(1-0.3)*Sens!$C$8073</f>
        <v>229.738562454523</v>
      </c>
      <c r="D8074" s="14"/>
      <c r="E8074" s="14"/>
      <c r="F8074" s="14"/>
      <c r="G8074" s="14"/>
      <c r="H8074" s="14"/>
      <c r="I8074" s="14"/>
      <c r="J8074" s="14"/>
      <c r="K8074" s="14"/>
      <c r="L8074" s="14"/>
      <c r="M8074" s="14"/>
      <c r="N8074" s="14"/>
      <c r="O8074" s="14"/>
    </row>
    <row r="8075" customFormat="false" ht="17.15" hidden="false" customHeight="false" outlineLevel="0" collapsed="false">
      <c r="A8075" s="5" t="s">
        <v>956</v>
      </c>
      <c r="B8075" s="0" t="s">
        <v>27</v>
      </c>
      <c r="C8075" s="30" t="n">
        <f aca="false">v022_wdcf*Sens!$C$8052+(1-v022_wdcf)*Sens!$C$8073</f>
        <v>210.15301605623</v>
      </c>
    </row>
    <row r="8076" customFormat="false" ht="17.15" hidden="false" customHeight="false" outlineLevel="0" collapsed="false">
      <c r="A8076" s="5" t="s">
        <v>957</v>
      </c>
      <c r="B8076" s="0" t="s">
        <v>27</v>
      </c>
      <c r="C8076" s="30" t="n">
        <f aca="false">(Sens!$C$8072-Sens!$C$8069+Sens!$C$8068)/sh_val</f>
        <v>295.040131389701</v>
      </c>
    </row>
    <row r="8079" customFormat="false" ht="19.4" hidden="false" customHeight="false" outlineLevel="0" collapsed="false">
      <c r="A8079" s="31" t="s">
        <v>1300</v>
      </c>
    </row>
    <row r="8080" customFormat="false" ht="17.15" hidden="false" customHeight="false" outlineLevel="0" collapsed="false">
      <c r="A8080" s="6" t="s">
        <v>16</v>
      </c>
      <c r="B8080" s="6" t="s">
        <v>17</v>
      </c>
      <c r="C8080" s="20" t="s">
        <v>497</v>
      </c>
      <c r="D8080" s="20" t="s">
        <v>498</v>
      </c>
      <c r="E8080" s="20" t="s">
        <v>580</v>
      </c>
      <c r="F8080" s="20" t="s">
        <v>581</v>
      </c>
      <c r="G8080" s="20" t="s">
        <v>582</v>
      </c>
      <c r="H8080" s="20" t="s">
        <v>583</v>
      </c>
      <c r="I8080" s="20" t="s">
        <v>584</v>
      </c>
      <c r="J8080" s="20" t="s">
        <v>585</v>
      </c>
      <c r="K8080" s="20" t="s">
        <v>586</v>
      </c>
      <c r="L8080" s="20" t="s">
        <v>587</v>
      </c>
      <c r="M8080" s="20" t="s">
        <v>588</v>
      </c>
      <c r="N8080" s="20" t="s">
        <v>589</v>
      </c>
      <c r="O8080" s="20" t="s">
        <v>590</v>
      </c>
      <c r="P8080" s="6" t="s">
        <v>23</v>
      </c>
      <c r="R8080" s="20" t="n">
        <v>2023</v>
      </c>
      <c r="S8080" s="20" t="n">
        <v>2024</v>
      </c>
      <c r="T8080" s="20" t="n">
        <v>2025</v>
      </c>
      <c r="U8080" s="20" t="n">
        <v>2026</v>
      </c>
      <c r="V8080" s="20" t="n">
        <v>2027</v>
      </c>
      <c r="W8080" s="20" t="n">
        <v>2028</v>
      </c>
      <c r="X8080" s="20" t="n">
        <v>2029</v>
      </c>
      <c r="Y8080" s="20" t="n">
        <v>2030</v>
      </c>
      <c r="Z8080" s="20" t="n">
        <v>2031</v>
      </c>
      <c r="AA8080" s="20" t="n">
        <v>2032</v>
      </c>
    </row>
    <row r="8081" customFormat="false" ht="17.15" hidden="false" customHeight="false" outlineLevel="0" collapsed="false">
      <c r="A8081" s="1" t="s">
        <v>666</v>
      </c>
    </row>
    <row r="8082" customFormat="false" ht="17.15" hidden="false" customHeight="false" outlineLevel="0" collapsed="false">
      <c r="A8082" s="0" t="s">
        <v>519</v>
      </c>
      <c r="B8082" s="0" t="s">
        <v>86</v>
      </c>
      <c r="C8082" s="38" t="n">
        <f aca="false">Q!$D$10</f>
        <v>247.029</v>
      </c>
      <c r="D8082" s="38" t="n">
        <f aca="false">Q!$E$10</f>
        <v>269.287</v>
      </c>
      <c r="E8082" s="38" t="n">
        <f aca="false">Q!$P$10</f>
        <v>134.686</v>
      </c>
      <c r="F8082" s="38" t="n">
        <f aca="false">Sens!$O$8082*(1+Sens!$F$8083)*Sens!$F$8094</f>
        <v>158.293876822267</v>
      </c>
      <c r="G8082" s="38" t="n">
        <f aca="false">Sens!$E$8082+Sens!$F$8082</f>
        <v>292.979876822267</v>
      </c>
      <c r="H8082" s="38" t="n">
        <f aca="false">Sens!$G$8082*(1+Sens!$H$8083)</f>
        <v>318.184543087396</v>
      </c>
      <c r="I8082" s="38" t="n">
        <f aca="false">Sens!$H$8082*(1+Sens!$I$8083)</f>
        <v>341.736278761793</v>
      </c>
      <c r="J8082" s="38" t="n">
        <f aca="false">Sens!$I$8082*(1+Sens!$J$8083)</f>
        <v>362.927192787048</v>
      </c>
      <c r="K8082" s="38" t="n">
        <f aca="false">Sens!$J$8082*(1+Sens!$K$8083)</f>
        <v>381.0735524264</v>
      </c>
      <c r="L8082" s="38" t="n">
        <f aca="false">Sens!$K$8082*(1+Sens!$L$8083)</f>
        <v>400.12723004772</v>
      </c>
      <c r="M8082" s="38" t="n">
        <f aca="false">Sens!$L$8082*(1+Sens!$M$8083)</f>
        <v>420.133591550106</v>
      </c>
      <c r="N8082" s="38" t="n">
        <f aca="false">Q!$N$10</f>
        <v>118.892</v>
      </c>
      <c r="O8082" s="38" t="n">
        <f aca="false">Q!$O$10</f>
        <v>150.395</v>
      </c>
      <c r="P8082" s="8" t="s">
        <v>667</v>
      </c>
    </row>
    <row r="8083" customFormat="false" ht="17.15" hidden="false" customHeight="false" outlineLevel="0" collapsed="false">
      <c r="A8083" s="0" t="s">
        <v>668</v>
      </c>
      <c r="B8083" s="0" t="s">
        <v>52</v>
      </c>
      <c r="E8083" s="13" t="n">
        <f aca="false">Sens!$E$8082/Sens!$N$8082-1</f>
        <v>0.132843252699929</v>
      </c>
      <c r="F8083" s="13" t="n">
        <f aca="false">Sens!$O$8082/(Q!$F$10+Q!$G$10)-1</f>
        <v>0.0980382135842941</v>
      </c>
      <c r="G8083" s="13" t="n">
        <f aca="false">Sens!$G$8082/Sens!$D$8082-1</f>
        <v>0.0879837378791657</v>
      </c>
      <c r="H8083" s="13" t="n">
        <f aca="false">Sens!$F$8083+(g_os-Sens!$F$8083)*1/4</f>
        <v>0.0860286601882206</v>
      </c>
      <c r="I8083" s="13" t="n">
        <f aca="false">Sens!$F$8083+(g_os-Sens!$F$8083)*2/4</f>
        <v>0.074019106792147</v>
      </c>
      <c r="J8083" s="13" t="n">
        <f aca="false">Sens!$F$8083+(g_os-Sens!$F$8083)*3/4</f>
        <v>0.0620095533960735</v>
      </c>
      <c r="K8083" s="13" t="n">
        <f aca="false">Sens!$F$8083+(g_os-Sens!$F$8083)*4/4</f>
        <v>0.05</v>
      </c>
      <c r="L8083" s="13" t="n">
        <f aca="false">g_os</f>
        <v>0.05</v>
      </c>
      <c r="M8083" s="13" t="n">
        <f aca="false">g_os</f>
        <v>0.05</v>
      </c>
      <c r="P8083" s="8" t="s">
        <v>669</v>
      </c>
    </row>
    <row r="8084" customFormat="false" ht="17.15" hidden="false" customHeight="false" outlineLevel="0" collapsed="false">
      <c r="A8084" s="0" t="s">
        <v>520</v>
      </c>
      <c r="B8084" s="0" t="s">
        <v>86</v>
      </c>
      <c r="C8084" s="38" t="n">
        <f aca="false">Q!$D$11</f>
        <v>21.215</v>
      </c>
      <c r="D8084" s="38" t="n">
        <f aca="false">Q!$E$11</f>
        <v>22.561</v>
      </c>
      <c r="E8084" s="38" t="n">
        <f aca="false">Q!$P$11</f>
        <v>11.579</v>
      </c>
      <c r="F8084" s="38" t="n">
        <f aca="false">Sens!$O$8084*(1+Sens!$F$8085)*Sens!$F$8094</f>
        <v>11.5938724610325</v>
      </c>
      <c r="G8084" s="38" t="n">
        <f aca="false">Sens!$E$8084+Sens!$F$8084</f>
        <v>23.1728724610325</v>
      </c>
      <c r="H8084" s="38" t="n">
        <f aca="false">Sens!$G$8084*(1+Sens!$H$8085)</f>
        <v>24.353392759506</v>
      </c>
      <c r="I8084" s="38" t="n">
        <f aca="false">Sens!$H$8084*(1+Sens!$I$8085)</f>
        <v>25.4240338872015</v>
      </c>
      <c r="J8084" s="38" t="n">
        <f aca="false">Sens!$I$8084*(1+Sens!$J$8085)</f>
        <v>26.3642491017174</v>
      </c>
      <c r="K8084" s="38" t="n">
        <f aca="false">Sens!$J$8084*(1+Sens!$K$8085)</f>
        <v>27.155176574769</v>
      </c>
      <c r="L8084" s="38" t="n">
        <f aca="false">Sens!$K$8084*(1+Sens!$L$8085)</f>
        <v>27.969831872012</v>
      </c>
      <c r="M8084" s="38" t="n">
        <f aca="false">Sens!$L$8084*(1+Sens!$M$8085)</f>
        <v>28.8089268281724</v>
      </c>
      <c r="N8084" s="38" t="n">
        <f aca="false">Q!$N$11</f>
        <v>11.128</v>
      </c>
      <c r="O8084" s="38" t="n">
        <f aca="false">Q!$O$11</f>
        <v>11.433</v>
      </c>
      <c r="P8084" s="8" t="s">
        <v>667</v>
      </c>
    </row>
    <row r="8085" customFormat="false" ht="17.15" hidden="false" customHeight="false" outlineLevel="0" collapsed="false">
      <c r="A8085" s="0" t="s">
        <v>670</v>
      </c>
      <c r="B8085" s="0" t="s">
        <v>52</v>
      </c>
      <c r="E8085" s="13" t="n">
        <f aca="false">Sens!$E$8084/Sens!$N$8084-1</f>
        <v>0.0405283968368082</v>
      </c>
      <c r="F8085" s="13" t="n">
        <f aca="false">Sens!$O$8084/(Q!$F$11+Q!$G$11)-1</f>
        <v>0.0579254187100955</v>
      </c>
      <c r="G8085" s="13" t="n">
        <f aca="false">Sens!$G$8084/Sens!$D$8084-1</f>
        <v>0.0271208040881397</v>
      </c>
      <c r="H8085" s="13" t="n">
        <f aca="false">Sens!$F$8085+(g_ps-Sens!$F$8085)*1/4</f>
        <v>0.0509440640325716</v>
      </c>
      <c r="I8085" s="13" t="n">
        <f aca="false">Sens!$F$8085+(g_ps-Sens!$F$8085)*2/4</f>
        <v>0.0439627093550477</v>
      </c>
      <c r="J8085" s="13" t="n">
        <f aca="false">Sens!$F$8085+(g_ps-Sens!$F$8085)*3/4</f>
        <v>0.0369813546775239</v>
      </c>
      <c r="K8085" s="13" t="n">
        <f aca="false">Sens!$F$8085+(g_ps-Sens!$F$8085)*4/4</f>
        <v>0.03</v>
      </c>
      <c r="L8085" s="13" t="n">
        <f aca="false">g_ps</f>
        <v>0.03</v>
      </c>
      <c r="M8085" s="13" t="n">
        <f aca="false">g_ps</f>
        <v>0.03</v>
      </c>
      <c r="P8085" s="8" t="s">
        <v>671</v>
      </c>
    </row>
    <row r="8086" customFormat="false" ht="17.15" hidden="false" customHeight="false" outlineLevel="0" collapsed="false">
      <c r="A8086" s="0" t="s">
        <v>521</v>
      </c>
      <c r="B8086" s="0" t="s">
        <v>86</v>
      </c>
      <c r="C8086" s="38" t="n">
        <f aca="false">Q!$D$12</f>
        <v>156.146</v>
      </c>
      <c r="D8086" s="38" t="n">
        <f aca="false">Q!$E$12</f>
        <v>172.162</v>
      </c>
      <c r="E8086" s="38" t="n">
        <f aca="false">Q!$P$12</f>
        <v>88.358</v>
      </c>
      <c r="F8086" s="38" t="n">
        <f aca="false">Sens!$O$8086*(1+Sens!$F$8087)*Sens!$F$8094</f>
        <v>102.004388260171</v>
      </c>
      <c r="G8086" s="38" t="n">
        <f aca="false">Sens!$E$8086+Sens!$F$8086</f>
        <v>190.362388260171</v>
      </c>
      <c r="H8086" s="38" t="n">
        <f aca="false">Sens!$G$8086*(1+Sens!$H$8087)</f>
        <v>210.343106588311</v>
      </c>
      <c r="I8086" s="38" t="n">
        <f aca="false">Sens!$H$8086*(1+Sens!$I$8087)</f>
        <v>229.969728494648</v>
      </c>
      <c r="J8086" s="38" t="n">
        <f aca="false">Sens!$I$8086*(1+Sens!$J$8087)</f>
        <v>248.747636972598</v>
      </c>
      <c r="K8086" s="38" t="n">
        <f aca="false">Sens!$J$8086*(1+Sens!$K$8087)</f>
        <v>266.15997156068</v>
      </c>
      <c r="L8086" s="38" t="n">
        <f aca="false">Sens!$K$8086*(1+Sens!$L$8087)</f>
        <v>284.791169569927</v>
      </c>
      <c r="M8086" s="38" t="n">
        <f aca="false">Sens!$L$8086*(1+Sens!$M$8087)</f>
        <v>304.726551439822</v>
      </c>
      <c r="N8086" s="38" t="n">
        <f aca="false">Q!$N$12</f>
        <v>76.86</v>
      </c>
      <c r="O8086" s="38" t="n">
        <f aca="false">Q!$O$12</f>
        <v>95.302</v>
      </c>
      <c r="P8086" s="8" t="s">
        <v>667</v>
      </c>
    </row>
    <row r="8087" customFormat="false" ht="17.15" hidden="false" customHeight="false" outlineLevel="0" collapsed="false">
      <c r="A8087" s="0" t="s">
        <v>672</v>
      </c>
      <c r="B8087" s="0" t="s">
        <v>52</v>
      </c>
      <c r="E8087" s="13" t="n">
        <f aca="false">Sens!$E$8086/Sens!$N$8086-1</f>
        <v>0.1495966692688</v>
      </c>
      <c r="F8087" s="13" t="n">
        <f aca="false">Sens!$O$8086/(Q!$F$12+Q!$G$12)-1</f>
        <v>0.11661530890813</v>
      </c>
      <c r="G8087" s="13" t="n">
        <f aca="false">Sens!$G$8086/Sens!$D$8086-1</f>
        <v>0.105716640490767</v>
      </c>
      <c r="H8087" s="13" t="n">
        <f aca="false">Sens!$F$8087+(g_sp-Sens!$F$8087)*1/4</f>
        <v>0.104961481681098</v>
      </c>
      <c r="I8087" s="13" t="n">
        <f aca="false">Sens!$F$8087+(g_sp-Sens!$F$8087)*2/4</f>
        <v>0.0933076544540651</v>
      </c>
      <c r="J8087" s="13" t="n">
        <f aca="false">Sens!$F$8087+(g_sp-Sens!$F$8087)*3/4</f>
        <v>0.0816538272270325</v>
      </c>
      <c r="K8087" s="13" t="n">
        <f aca="false">Sens!$F$8087+(g_sp-Sens!$F$8087)*4/4</f>
        <v>0.07</v>
      </c>
      <c r="L8087" s="13" t="n">
        <f aca="false">g_sp</f>
        <v>0.07</v>
      </c>
      <c r="M8087" s="13" t="n">
        <f aca="false">g_sp</f>
        <v>0.07</v>
      </c>
      <c r="P8087" s="8" t="s">
        <v>673</v>
      </c>
    </row>
    <row r="8088" customFormat="false" ht="17.15" hidden="false" customHeight="false" outlineLevel="0" collapsed="false">
      <c r="A8088" s="0" t="s">
        <v>522</v>
      </c>
      <c r="B8088" s="0" t="s">
        <v>86</v>
      </c>
      <c r="C8088" s="38" t="n">
        <f aca="false">Q!$D$13</f>
        <v>56.214</v>
      </c>
      <c r="D8088" s="38" t="n">
        <f aca="false">Q!$E$13</f>
        <v>68.635</v>
      </c>
      <c r="E8088" s="38" t="n">
        <f aca="false">Q!$P$13</f>
        <v>37.052</v>
      </c>
      <c r="F8088" s="38" t="n">
        <f aca="false">Sens!$O$8088*(1+Sens!$F$8089)*Sens!$F$8094</f>
        <v>46.1572219944148</v>
      </c>
      <c r="G8088" s="38" t="n">
        <f aca="false">Sens!$E$8088+Sens!$F$8088</f>
        <v>83.2092219944148</v>
      </c>
      <c r="H8088" s="38" t="n">
        <f aca="false">Sens!$G$8088*(1+Sens!$H$8089)</f>
        <v>99.8969223878976</v>
      </c>
      <c r="I8088" s="38" t="n">
        <f aca="false">Sens!$H$8088*(1+Sens!$I$8089)</f>
        <v>116.583111095496</v>
      </c>
      <c r="J8088" s="38" t="n">
        <f aca="false">Sens!$I$8088*(1+Sens!$J$8089)</f>
        <v>132.148941941952</v>
      </c>
      <c r="K8088" s="38" t="n">
        <f aca="false">Sens!$J$8088*(1+Sens!$K$8089)</f>
        <v>145.363836136147</v>
      </c>
      <c r="L8088" s="38" t="n">
        <f aca="false">Sens!$K$8088*(1+Sens!$L$8089)</f>
        <v>159.900219749762</v>
      </c>
      <c r="M8088" s="38" t="n">
        <f aca="false">Sens!$L$8088*(1+Sens!$M$8089)</f>
        <v>175.890241724738</v>
      </c>
      <c r="N8088" s="38" t="n">
        <f aca="false">Q!$N$13</f>
        <v>29.615</v>
      </c>
      <c r="O8088" s="38" t="n">
        <f aca="false">Q!$O$13</f>
        <v>39.02</v>
      </c>
      <c r="P8088" s="8" t="s">
        <v>667</v>
      </c>
    </row>
    <row r="8089" customFormat="false" ht="17.15" hidden="false" customHeight="false" outlineLevel="0" collapsed="false">
      <c r="A8089" s="0" t="s">
        <v>674</v>
      </c>
      <c r="B8089" s="0" t="s">
        <v>52</v>
      </c>
      <c r="E8089" s="13" t="n">
        <f aca="false">Sens!$E$8088/Sens!$N$8088-1</f>
        <v>0.25112274185379</v>
      </c>
      <c r="F8089" s="13" t="n">
        <f aca="false">Sens!$O$8088/(Q!$F$13+Q!$G$13)-1</f>
        <v>0.234068123596572</v>
      </c>
      <c r="G8089" s="13" t="n">
        <f aca="false">Sens!$G$8088/Sens!$D$8088-1</f>
        <v>0.212343876949294</v>
      </c>
      <c r="H8089" s="13" t="n">
        <f aca="false">Sens!$F$8089+(g_ad-Sens!$F$8089)*1/4</f>
        <v>0.200551092697429</v>
      </c>
      <c r="I8089" s="13" t="n">
        <f aca="false">Sens!$F$8089+(g_ad-Sens!$F$8089)*2/4</f>
        <v>0.167034061798286</v>
      </c>
      <c r="J8089" s="13" t="n">
        <f aca="false">Sens!$F$8089+(g_ad-Sens!$F$8089)*3/4</f>
        <v>0.133517030899143</v>
      </c>
      <c r="K8089" s="13" t="n">
        <f aca="false">Sens!$F$8089+(g_ad-Sens!$F$8089)*4/4</f>
        <v>0.1</v>
      </c>
      <c r="L8089" s="13" t="n">
        <f aca="false">g_ad</f>
        <v>0.1</v>
      </c>
      <c r="M8089" s="13" t="n">
        <f aca="false">g_ad</f>
        <v>0.1</v>
      </c>
      <c r="P8089" s="8" t="s">
        <v>675</v>
      </c>
    </row>
    <row r="8090" customFormat="false" ht="17.15" hidden="false" customHeight="false" outlineLevel="0" collapsed="false">
      <c r="A8090" s="0" t="s">
        <v>523</v>
      </c>
      <c r="B8090" s="0" t="s">
        <v>86</v>
      </c>
      <c r="C8090" s="38" t="n">
        <f aca="false">Q!$D$14</f>
        <v>44.374</v>
      </c>
      <c r="D8090" s="38" t="n">
        <f aca="false">Q!$E$14</f>
        <v>49.619</v>
      </c>
      <c r="E8090" s="38" t="n">
        <f aca="false">Q!$P$14</f>
        <v>27.157</v>
      </c>
      <c r="F8090" s="38" t="n">
        <f aca="false">Sens!$O$8090*(1+Sens!$F$8091)*Sens!$F$8094</f>
        <v>27.7764165988154</v>
      </c>
      <c r="G8090" s="38" t="n">
        <f aca="false">Sens!$E$8090+Sens!$F$8090</f>
        <v>54.9334165988154</v>
      </c>
      <c r="H8090" s="38" t="n">
        <f aca="false">Sens!$G$8090*(1+Sens!$H$8091)</f>
        <v>61.1564112561829</v>
      </c>
      <c r="I8090" s="38" t="n">
        <f aca="false">Sens!$H$8090*(1+Sens!$I$8091)</f>
        <v>67.2020282103945</v>
      </c>
      <c r="J8090" s="38" t="n">
        <f aca="false">Sens!$I$8090*(1+Sens!$J$8091)</f>
        <v>72.8757274028885</v>
      </c>
      <c r="K8090" s="38" t="n">
        <f aca="false">Sens!$J$8090*(1+Sens!$K$8091)</f>
        <v>77.9770283210907</v>
      </c>
      <c r="L8090" s="38" t="n">
        <f aca="false">Sens!$K$8090*(1+Sens!$L$8091)</f>
        <v>83.4354203035671</v>
      </c>
      <c r="M8090" s="38" t="n">
        <f aca="false">Sens!$L$8090*(1+Sens!$M$8091)</f>
        <v>89.2758997248168</v>
      </c>
      <c r="N8090" s="38" t="n">
        <f aca="false">Q!$N$14</f>
        <v>23.923</v>
      </c>
      <c r="O8090" s="38" t="n">
        <f aca="false">Q!$O$14</f>
        <v>25.696</v>
      </c>
      <c r="P8090" s="8" t="s">
        <v>667</v>
      </c>
    </row>
    <row r="8091" customFormat="false" ht="17.15" hidden="false" customHeight="false" outlineLevel="0" collapsed="false">
      <c r="A8091" s="0" t="s">
        <v>676</v>
      </c>
      <c r="B8091" s="0" t="s">
        <v>52</v>
      </c>
      <c r="E8091" s="13" t="n">
        <f aca="false">Sens!$E$8090/Sens!$N$8090-1</f>
        <v>0.135183714417088</v>
      </c>
      <c r="F8091" s="13" t="n">
        <f aca="false">Sens!$O$8090/(Q!$F$14+Q!$G$14)-1</f>
        <v>0.127709997366804</v>
      </c>
      <c r="G8091" s="13" t="n">
        <f aca="false">Sens!$G$8090/Sens!$D$8090-1</f>
        <v>0.107104468022641</v>
      </c>
      <c r="H8091" s="13" t="n">
        <f aca="false">Sens!$F$8091+(g_sub-Sens!$F$8091)*1/4</f>
        <v>0.113282498025103</v>
      </c>
      <c r="I8091" s="13" t="n">
        <f aca="false">Sens!$F$8091+(g_sub-Sens!$F$8091)*2/4</f>
        <v>0.0988549986834021</v>
      </c>
      <c r="J8091" s="13" t="n">
        <f aca="false">Sens!$F$8091+(g_sub-Sens!$F$8091)*3/4</f>
        <v>0.084427499341701</v>
      </c>
      <c r="K8091" s="13" t="n">
        <f aca="false">Sens!$F$8091+(g_sub-Sens!$F$8091)*4/4</f>
        <v>0.07</v>
      </c>
      <c r="L8091" s="13" t="n">
        <f aca="false">g_sub</f>
        <v>0.07</v>
      </c>
      <c r="M8091" s="13" t="n">
        <f aca="false">g_sub</f>
        <v>0.07</v>
      </c>
      <c r="P8091" s="8" t="s">
        <v>677</v>
      </c>
    </row>
    <row r="8092" customFormat="false" ht="17.15" hidden="false" customHeight="false" outlineLevel="0" collapsed="false">
      <c r="A8092" s="0" t="s">
        <v>524</v>
      </c>
      <c r="B8092" s="0" t="s">
        <v>86</v>
      </c>
      <c r="C8092" s="38" t="n">
        <f aca="false">Q!$D$15</f>
        <v>5.425</v>
      </c>
      <c r="D8092" s="38" t="n">
        <f aca="false">Q!$E$15</f>
        <v>5.935</v>
      </c>
      <c r="E8092" s="38" t="n">
        <f aca="false">Q!$P$15</f>
        <v>3.474</v>
      </c>
      <c r="F8092" s="38" t="n">
        <f aca="false">Sens!$O$8092*(1+Sens!$F$8093)*Sens!$F$8094</f>
        <v>3.22246550883619</v>
      </c>
      <c r="G8092" s="38" t="n">
        <f aca="false">Sens!$E$8092+Sens!$F$8092</f>
        <v>6.69646550883619</v>
      </c>
      <c r="H8092" s="38" t="n">
        <f aca="false">Sens!$G$8092*(1+Sens!$H$8093)</f>
        <v>7.16251344209196</v>
      </c>
      <c r="I8092" s="38" t="n">
        <f aca="false">Sens!$H$8092*(1+Sens!$I$8093)</f>
        <v>7.61421070299826</v>
      </c>
      <c r="J8092" s="38" t="n">
        <f aca="false">Sens!$I$8092*(1+Sens!$J$8093)</f>
        <v>8.04465753523932</v>
      </c>
      <c r="K8092" s="38" t="n">
        <f aca="false">Sens!$J$8092*(1+Sens!$K$8093)</f>
        <v>8.44689041200128</v>
      </c>
      <c r="L8092" s="38" t="n">
        <f aca="false">Sens!$K$8092*(1+Sens!$L$8093)</f>
        <v>8.86923493260135</v>
      </c>
      <c r="M8092" s="38" t="n">
        <f aca="false">Sens!$L$8092*(1+Sens!$M$8093)</f>
        <v>9.31269667923142</v>
      </c>
      <c r="N8092" s="38" t="n">
        <f aca="false">Q!$N$15</f>
        <v>2.811</v>
      </c>
      <c r="O8092" s="38" t="n">
        <f aca="false">Q!$O$15</f>
        <v>3.124</v>
      </c>
      <c r="P8092" s="8" t="s">
        <v>667</v>
      </c>
    </row>
    <row r="8093" customFormat="false" ht="17.15" hidden="false" customHeight="false" outlineLevel="0" collapsed="false">
      <c r="A8093" s="0" t="s">
        <v>678</v>
      </c>
      <c r="B8093" s="0" t="s">
        <v>52</v>
      </c>
      <c r="E8093" s="13" t="n">
        <f aca="false">Sens!$E$8092/Sens!$N$8092-1</f>
        <v>0.235859124866596</v>
      </c>
      <c r="F8093" s="13" t="n">
        <f aca="false">Sens!$O$8092/(Q!$F$15+Q!$G$15)-1</f>
        <v>0.0761281433000345</v>
      </c>
      <c r="G8093" s="13" t="n">
        <f aca="false">Sens!$G$8092/Sens!$D$8092-1</f>
        <v>0.128300843948811</v>
      </c>
      <c r="H8093" s="13" t="n">
        <f aca="false">Sens!$F$8093+(g_ot-Sens!$F$8093)*1/4</f>
        <v>0.0695961074750259</v>
      </c>
      <c r="I8093" s="13" t="n">
        <f aca="false">Sens!$F$8093+(g_ot-Sens!$F$8093)*2/4</f>
        <v>0.0630640716500172</v>
      </c>
      <c r="J8093" s="13" t="n">
        <f aca="false">Sens!$F$8093+(g_ot-Sens!$F$8093)*3/4</f>
        <v>0.0565320358250086</v>
      </c>
      <c r="K8093" s="13" t="n">
        <f aca="false">Sens!$F$8093+(g_ot-Sens!$F$8093)*4/4</f>
        <v>0.05</v>
      </c>
      <c r="L8093" s="13" t="n">
        <f aca="false">g_ot</f>
        <v>0.05</v>
      </c>
      <c r="M8093" s="13" t="n">
        <f aca="false">g_ot</f>
        <v>0.05</v>
      </c>
      <c r="P8093" s="8" t="s">
        <v>679</v>
      </c>
    </row>
    <row r="8094" customFormat="false" ht="17.15" hidden="false" customHeight="false" outlineLevel="0" collapsed="false">
      <c r="A8094" s="0" t="s">
        <v>680</v>
      </c>
      <c r="B8094" s="0" t="s">
        <v>57</v>
      </c>
      <c r="F8094" s="40" t="n">
        <f aca="false">(g26q3_mid*Q!$O$8/Q!$J$8-Thesis!$F$86-Thesis!$F$90)/(Sens!$O$8082*(1+Sens!$F$8083)+Sens!$O$8084*(1+Sens!$F$8085)+Sens!$O$8086*(1+Sens!$F$8087)+Sens!$O$8088*(1+Sens!$F$8089)+Sens!$O$8090*(1+Sens!$F$8091)+Sens!$O$8092*(1+Sens!$F$8093))</f>
        <v>0.958546670622329</v>
      </c>
      <c r="P8094" s="8" t="s">
        <v>681</v>
      </c>
    </row>
    <row r="8095" customFormat="false" ht="17.15" hidden="false" customHeight="false" outlineLevel="0" collapsed="false">
      <c r="A8095" s="3" t="s">
        <v>682</v>
      </c>
      <c r="B8095" s="8" t="s">
        <v>86</v>
      </c>
      <c r="C8095" s="38" t="n">
        <f aca="false">Sens!$C$8082+Sens!$C$8084+Sens!$C$8086+Sens!$C$8088+Sens!$C$8090+Sens!$C$8092</f>
        <v>530.403</v>
      </c>
      <c r="D8095" s="38" t="n">
        <f aca="false">Sens!$D$8082+Sens!$D$8084+Sens!$D$8086+Sens!$D$8088+Sens!$D$8090+Sens!$D$8092</f>
        <v>588.199</v>
      </c>
      <c r="E8095" s="38" t="n">
        <f aca="false">Sens!$E$8082+Sens!$E$8084+Sens!$E$8086+Sens!$E$8088+Sens!$E$8090+Sens!$E$8092</f>
        <v>302.306</v>
      </c>
      <c r="F8095" s="38" t="n">
        <f aca="false">Sens!$F$8082+Sens!$F$8084+Sens!$F$8086+Sens!$F$8088+Sens!$F$8090+Sens!$F$8092</f>
        <v>349.048241645537</v>
      </c>
      <c r="G8095" s="38" t="n">
        <f aca="false">Sens!$G$8082+Sens!$G$8084+Sens!$G$8086+Sens!$G$8088+Sens!$G$8090+Sens!$G$8092</f>
        <v>651.354241645537</v>
      </c>
      <c r="H8095" s="38" t="n">
        <f aca="false">Sens!$H$8082+Sens!$H$8084+Sens!$H$8086+Sens!$H$8088+Sens!$H$8090+Sens!$H$8092</f>
        <v>721.096889521386</v>
      </c>
      <c r="I8095" s="38" t="n">
        <f aca="false">Sens!$I$8082+Sens!$I$8084+Sens!$I$8086+Sens!$I$8088+Sens!$I$8090+Sens!$I$8092</f>
        <v>788.529391152531</v>
      </c>
      <c r="J8095" s="38" t="n">
        <f aca="false">Sens!$J$8082+Sens!$J$8084+Sens!$J$8086+Sens!$J$8088+Sens!$J$8090+Sens!$J$8092</f>
        <v>851.108405741443</v>
      </c>
      <c r="K8095" s="38" t="n">
        <f aca="false">Sens!$K$8082+Sens!$K$8084+Sens!$K$8086+Sens!$K$8088+Sens!$K$8090+Sens!$K$8092</f>
        <v>906.176455431088</v>
      </c>
      <c r="L8095" s="38" t="n">
        <f aca="false">Sens!$L$8082+Sens!$L$8084+Sens!$L$8086+Sens!$L$8088+Sens!$L$8090+Sens!$L$8092</f>
        <v>965.093106475589</v>
      </c>
      <c r="M8095" s="38" t="n">
        <f aca="false">Sens!$M$8082+Sens!$M$8084+Sens!$M$8086+Sens!$M$8088+Sens!$M$8090+Sens!$M$8092</f>
        <v>1028.14790794689</v>
      </c>
      <c r="N8095" s="38" t="n">
        <f aca="false">Sens!$N$8082+Sens!$N$8084+Sens!$N$8086+Sens!$N$8088+Sens!$N$8090+Sens!$N$8092</f>
        <v>263.229</v>
      </c>
      <c r="O8095" s="38" t="n">
        <f aca="false">Sens!$O$8082+Sens!$O$8084+Sens!$O$8086+Sens!$O$8088+Sens!$O$8090+Sens!$O$8092</f>
        <v>324.97</v>
      </c>
    </row>
    <row r="8096" customFormat="false" ht="17.15" hidden="false" customHeight="false" outlineLevel="0" collapsed="false">
      <c r="A8096" s="5" t="s">
        <v>683</v>
      </c>
      <c r="B8096" s="0" t="s">
        <v>52</v>
      </c>
      <c r="C8096" s="13" t="n">
        <f aca="false">Q!$D$5/(Q!$D$5+Q!$D$6)</f>
        <v>0.730570905519011</v>
      </c>
      <c r="D8096" s="13" t="n">
        <f aca="false">Q!$E$5/(Q!$E$5+Q!$E$6)</f>
        <v>0.724763217890544</v>
      </c>
      <c r="E8096" s="13" t="n">
        <f aca="false">Q!$P$5/(Q!$P$5+Q!$P$6)</f>
        <v>0.728797972914861</v>
      </c>
      <c r="F8096" s="13" t="n">
        <f aca="false">Sens!$O$8096</f>
        <v>0.718066283041511</v>
      </c>
      <c r="G8096" s="13" t="n">
        <f aca="false">Sens!$G$8097/Sens!$G$8095</f>
        <v>0.723047066202847</v>
      </c>
      <c r="H8096" s="13" t="n">
        <f aca="false">Sens!$G$8096</f>
        <v>0.723047066202847</v>
      </c>
      <c r="I8096" s="13" t="n">
        <f aca="false">Sens!$G$8096</f>
        <v>0.723047066202847</v>
      </c>
      <c r="J8096" s="13" t="n">
        <f aca="false">Sens!$G$8096</f>
        <v>0.723047066202847</v>
      </c>
      <c r="K8096" s="13" t="n">
        <f aca="false">Sens!$G$8096</f>
        <v>0.723047066202847</v>
      </c>
      <c r="L8096" s="13" t="n">
        <f aca="false">Sens!$G$8096</f>
        <v>0.723047066202847</v>
      </c>
      <c r="M8096" s="13" t="n">
        <f aca="false">Sens!$G$8096</f>
        <v>0.723047066202847</v>
      </c>
      <c r="N8096" s="13" t="n">
        <f aca="false">Q!$N$5/(Q!$N$5+Q!$N$6)</f>
        <v>0.733030935041352</v>
      </c>
      <c r="O8096" s="13" t="n">
        <f aca="false">Q!$O$5/(Q!$O$5+Q!$O$6)</f>
        <v>0.718066283041511</v>
      </c>
      <c r="P8096" s="8" t="s">
        <v>684</v>
      </c>
    </row>
    <row r="8097" customFormat="false" ht="17.15" hidden="false" customHeight="false" outlineLevel="0" collapsed="false">
      <c r="A8097" s="1" t="s">
        <v>512</v>
      </c>
      <c r="B8097" s="8" t="s">
        <v>86</v>
      </c>
      <c r="C8097" s="38" t="n">
        <f aca="false">Q!$D$5</f>
        <v>387.497</v>
      </c>
      <c r="D8097" s="38" t="n">
        <f aca="false">Q!$E$5</f>
        <v>426.305</v>
      </c>
      <c r="E8097" s="38" t="n">
        <f aca="false">Q!$P$5</f>
        <v>220.32</v>
      </c>
      <c r="F8097" s="38" t="n">
        <f aca="false">Sens!$F$8095*Sens!$F$8096</f>
        <v>250.639773480586</v>
      </c>
      <c r="G8097" s="38" t="n">
        <f aca="false">Sens!$E$8097+Sens!$F$8097</f>
        <v>470.959773480586</v>
      </c>
      <c r="H8097" s="38" t="n">
        <f aca="false">Sens!$H$8095*Sens!$H$8096</f>
        <v>521.386990416437</v>
      </c>
      <c r="I8097" s="38" t="n">
        <f aca="false">Sens!$I$8095*Sens!$I$8096</f>
        <v>570.143862887555</v>
      </c>
      <c r="J8097" s="38" t="n">
        <f aca="false">Sens!$J$8095*Sens!$J$8096</f>
        <v>615.391435791933</v>
      </c>
      <c r="K8097" s="38" t="n">
        <f aca="false">Sens!$K$8095*Sens!$K$8096</f>
        <v>655.208227561543</v>
      </c>
      <c r="L8097" s="38" t="n">
        <f aca="false">Sens!$L$8095*Sens!$L$8096</f>
        <v>697.807739249767</v>
      </c>
      <c r="M8097" s="38" t="n">
        <f aca="false">Sens!$M$8095*Sens!$M$8096</f>
        <v>743.399328463592</v>
      </c>
      <c r="N8097" s="38" t="n">
        <f aca="false">Q!$N$5</f>
        <v>192.955</v>
      </c>
      <c r="O8097" s="38" t="n">
        <f aca="false">Q!$O$5</f>
        <v>233.35</v>
      </c>
      <c r="P8097" s="5" t="s">
        <v>685</v>
      </c>
    </row>
    <row r="8098" customFormat="false" ht="17.15" hidden="false" customHeight="false" outlineLevel="0" collapsed="false">
      <c r="A8098" s="1" t="s">
        <v>515</v>
      </c>
      <c r="B8098" s="8" t="s">
        <v>86</v>
      </c>
      <c r="C8098" s="38" t="n">
        <f aca="false">Q!$D$6</f>
        <v>142.906</v>
      </c>
      <c r="D8098" s="38" t="n">
        <f aca="false">Q!$E$6</f>
        <v>161.894</v>
      </c>
      <c r="E8098" s="38" t="n">
        <f aca="false">Q!$P$6</f>
        <v>81.986</v>
      </c>
      <c r="F8098" s="38" t="n">
        <f aca="false">Sens!$F$8095*(1-Sens!$F$8096)</f>
        <v>98.408468164951</v>
      </c>
      <c r="G8098" s="38" t="n">
        <f aca="false">Sens!$E$8098+Sens!$F$8098</f>
        <v>180.394468164951</v>
      </c>
      <c r="H8098" s="38" t="n">
        <f aca="false">Sens!$H$8095*(1-Sens!$H$8096)</f>
        <v>199.709899104949</v>
      </c>
      <c r="I8098" s="38" t="n">
        <f aca="false">Sens!$I$8095*(1-Sens!$I$8096)</f>
        <v>218.385528264976</v>
      </c>
      <c r="J8098" s="38" t="n">
        <f aca="false">Sens!$J$8095*(1-Sens!$J$8096)</f>
        <v>235.71696994951</v>
      </c>
      <c r="K8098" s="38" t="n">
        <f aca="false">Sens!$K$8095*(1-Sens!$K$8096)</f>
        <v>250.968227869545</v>
      </c>
      <c r="L8098" s="38" t="n">
        <f aca="false">Sens!$L$8095*(1-Sens!$L$8096)</f>
        <v>267.285367225822</v>
      </c>
      <c r="M8098" s="38" t="n">
        <f aca="false">Sens!$M$8095*(1-Sens!$M$8096)</f>
        <v>284.748579483295</v>
      </c>
      <c r="N8098" s="38" t="n">
        <f aca="false">Q!$N$6</f>
        <v>70.274</v>
      </c>
      <c r="O8098" s="38" t="n">
        <f aca="false">Q!$O$6</f>
        <v>91.62</v>
      </c>
      <c r="P8098" s="5" t="s">
        <v>686</v>
      </c>
    </row>
    <row r="8099" customFormat="false" ht="17.15" hidden="false" customHeight="false" outlineLevel="0" collapsed="false">
      <c r="A8099" s="5" t="s">
        <v>687</v>
      </c>
      <c r="B8099" s="0" t="s">
        <v>86</v>
      </c>
      <c r="C8099" s="38" t="n">
        <f aca="false">Sens!$C$8088*Sens!$C$8096</f>
        <v>41.0683128828457</v>
      </c>
      <c r="D8099" s="38" t="n">
        <f aca="false">Sens!$D$8088*Sens!$D$8096</f>
        <v>49.7441234599175</v>
      </c>
      <c r="E8099" s="38" t="n">
        <f aca="false">Sens!$E$8088*Sens!$E$8096</f>
        <v>27.0034224924414</v>
      </c>
      <c r="F8099" s="38" t="n">
        <f aca="false">Sens!$F$8088*Sens!$F$8096</f>
        <v>33.1439448330513</v>
      </c>
      <c r="G8099" s="38" t="n">
        <f aca="false">Sens!$G$8088*Sens!$G$8096</f>
        <v>60.164183844083</v>
      </c>
      <c r="H8099" s="38" t="n">
        <f aca="false">Sens!$H$8088*Sens!$H$8096</f>
        <v>72.2301766552629</v>
      </c>
      <c r="I8099" s="38" t="n">
        <f aca="false">Sens!$I$8088*Sens!$I$8096</f>
        <v>84.2950764463991</v>
      </c>
      <c r="J8099" s="38" t="n">
        <f aca="false">Sens!$J$8088*Sens!$J$8096</f>
        <v>95.5499047729386</v>
      </c>
      <c r="K8099" s="38" t="n">
        <f aca="false">Sens!$K$8088*Sens!$K$8096</f>
        <v>105.104895250232</v>
      </c>
      <c r="L8099" s="38" t="n">
        <f aca="false">Sens!$L$8088*Sens!$L$8096</f>
        <v>115.615384775256</v>
      </c>
      <c r="M8099" s="38" t="n">
        <f aca="false">Sens!$M$8088*Sens!$M$8096</f>
        <v>127.176923252781</v>
      </c>
      <c r="N8099" s="38" t="n">
        <f aca="false">Sens!$N$8088*Sens!$N$8096</f>
        <v>21.7087111412496</v>
      </c>
      <c r="O8099" s="38" t="n">
        <f aca="false">Sens!$O$8088*Sens!$O$8096</f>
        <v>28.0189463642798</v>
      </c>
      <c r="P8099" s="5" t="s">
        <v>688</v>
      </c>
    </row>
    <row r="8100" customFormat="false" ht="15" hidden="false" customHeight="false" outlineLevel="0" collapsed="false">
      <c r="A8100" s="5" t="s">
        <v>689</v>
      </c>
      <c r="B8100" s="0" t="s">
        <v>86</v>
      </c>
      <c r="C8100" s="38" t="n">
        <f aca="false">Sens!$C$8088-Sens!$C$8099</f>
        <v>15.1456871171543</v>
      </c>
      <c r="D8100" s="38" t="n">
        <f aca="false">Sens!$D$8088-Sens!$D$8099</f>
        <v>18.8908765400825</v>
      </c>
      <c r="E8100" s="38" t="n">
        <f aca="false">Sens!$E$8088-Sens!$E$8099</f>
        <v>10.0485775075586</v>
      </c>
      <c r="F8100" s="38" t="n">
        <f aca="false">Sens!$F$8088-Sens!$F$8099</f>
        <v>13.0132771613635</v>
      </c>
      <c r="G8100" s="38" t="n">
        <f aca="false">Sens!$G$8088-Sens!$G$8099</f>
        <v>23.0450381503318</v>
      </c>
      <c r="H8100" s="38" t="n">
        <f aca="false">Sens!$H$8088-Sens!$H$8099</f>
        <v>27.6667457326347</v>
      </c>
      <c r="I8100" s="38" t="n">
        <f aca="false">Sens!$I$8088-Sens!$I$8099</f>
        <v>32.2880346490971</v>
      </c>
      <c r="J8100" s="38" t="n">
        <f aca="false">Sens!$J$8088-Sens!$J$8099</f>
        <v>36.5990371690132</v>
      </c>
      <c r="K8100" s="38" t="n">
        <f aca="false">Sens!$K$8088-Sens!$K$8099</f>
        <v>40.2589408859145</v>
      </c>
      <c r="L8100" s="38" t="n">
        <f aca="false">Sens!$L$8088-Sens!$L$8099</f>
        <v>44.2848349745059</v>
      </c>
      <c r="M8100" s="38" t="n">
        <f aca="false">Sens!$M$8088-Sens!$M$8099</f>
        <v>48.7133184719565</v>
      </c>
      <c r="N8100" s="38" t="n">
        <f aca="false">Sens!$N$8088-Sens!$N$8099</f>
        <v>7.90628885875037</v>
      </c>
      <c r="O8100" s="38" t="n">
        <f aca="false">Sens!$O$8088-Sens!$O$8099</f>
        <v>11.0010536357202</v>
      </c>
    </row>
    <row r="8101" customFormat="false" ht="19.4" hidden="false" customHeight="false" outlineLevel="0" collapsed="false">
      <c r="A8101" s="31" t="s">
        <v>1301</v>
      </c>
    </row>
    <row r="8102" customFormat="false" ht="17.15" hidden="false" customHeight="false" outlineLevel="0" collapsed="false">
      <c r="A8102" s="6" t="s">
        <v>16</v>
      </c>
      <c r="B8102" s="6" t="s">
        <v>17</v>
      </c>
      <c r="C8102" s="20" t="s">
        <v>497</v>
      </c>
      <c r="D8102" s="20" t="s">
        <v>498</v>
      </c>
      <c r="E8102" s="20" t="s">
        <v>580</v>
      </c>
      <c r="F8102" s="20" t="s">
        <v>581</v>
      </c>
      <c r="G8102" s="20" t="s">
        <v>582</v>
      </c>
      <c r="H8102" s="20" t="s">
        <v>583</v>
      </c>
      <c r="I8102" s="20" t="s">
        <v>584</v>
      </c>
      <c r="J8102" s="20" t="s">
        <v>585</v>
      </c>
      <c r="K8102" s="20" t="s">
        <v>586</v>
      </c>
      <c r="L8102" s="20" t="s">
        <v>587</v>
      </c>
      <c r="M8102" s="20" t="s">
        <v>588</v>
      </c>
      <c r="N8102" s="20" t="s">
        <v>589</v>
      </c>
      <c r="O8102" s="20" t="s">
        <v>590</v>
      </c>
      <c r="P8102" s="6" t="s">
        <v>23</v>
      </c>
      <c r="R8102" s="20" t="n">
        <v>2023</v>
      </c>
      <c r="S8102" s="20" t="n">
        <v>2024</v>
      </c>
      <c r="T8102" s="20" t="n">
        <v>2025</v>
      </c>
      <c r="U8102" s="20" t="n">
        <v>2026</v>
      </c>
      <c r="V8102" s="20" t="n">
        <v>2027</v>
      </c>
      <c r="W8102" s="20" t="n">
        <v>2028</v>
      </c>
      <c r="X8102" s="20" t="n">
        <v>2029</v>
      </c>
      <c r="Y8102" s="20" t="n">
        <v>2030</v>
      </c>
      <c r="Z8102" s="20" t="n">
        <v>2031</v>
      </c>
      <c r="AA8102" s="20" t="n">
        <v>2032</v>
      </c>
    </row>
    <row r="8103" customFormat="false" ht="17.15" hidden="false" customHeight="false" outlineLevel="0" collapsed="false">
      <c r="A8103" s="1" t="s">
        <v>591</v>
      </c>
    </row>
    <row r="8104" customFormat="false" ht="17.15" hidden="false" customHeight="false" outlineLevel="0" collapsed="false">
      <c r="A8104" s="5" t="s">
        <v>592</v>
      </c>
      <c r="B8104" s="0" t="s">
        <v>144</v>
      </c>
      <c r="H8104" s="32" t="n">
        <f aca="false">pace_B</f>
        <v>3634.3</v>
      </c>
      <c r="I8104" s="32" t="n">
        <f aca="false">pace_B</f>
        <v>3634.3</v>
      </c>
      <c r="J8104" s="32" t="n">
        <f aca="false">pace_B</f>
        <v>3634.3</v>
      </c>
      <c r="K8104" s="32" t="n">
        <f aca="false">pace_B+(Sens!$J$8105*tg-pace_B)*1/3</f>
        <v>2570.86716666667</v>
      </c>
      <c r="L8104" s="32" t="n">
        <f aca="false">pace_B+(Sens!$J$8105*tg-pace_B)*2/3</f>
        <v>1507.43433333333</v>
      </c>
      <c r="M8104" s="32" t="n">
        <f aca="false">pace_B+(Sens!$J$8105*tg-pace_B)*3/3</f>
        <v>444.0015</v>
      </c>
      <c r="P8104" s="5" t="s">
        <v>593</v>
      </c>
    </row>
    <row r="8105" customFormat="false" ht="17.15" hidden="false" customHeight="false" outlineLevel="0" collapsed="false">
      <c r="A8105" s="15" t="s">
        <v>594</v>
      </c>
      <c r="B8105" s="14" t="s">
        <v>129</v>
      </c>
      <c r="C8105" s="33" t="n">
        <f aca="false">mw_ye24</f>
        <v>360</v>
      </c>
      <c r="D8105" s="33" t="n">
        <f aca="false">mw_ye25</f>
        <v>1440</v>
      </c>
      <c r="E8105" s="33" t="n">
        <f aca="false">mw_open</f>
        <v>2080</v>
      </c>
      <c r="F8105" s="33" t="n">
        <f aca="false">Sens!$E$8105+pace_B*0.5</f>
        <v>3897.15</v>
      </c>
      <c r="G8105" s="33" t="n">
        <f aca="false">Sens!$F$8105</f>
        <v>3897.15</v>
      </c>
      <c r="H8105" s="33" t="n">
        <f aca="false">Sens!$G$8105+Sens!$H$8104</f>
        <v>7531.45</v>
      </c>
      <c r="I8105" s="33" t="n">
        <f aca="false">Sens!$H$8105+Sens!$I$8104</f>
        <v>11165.75</v>
      </c>
      <c r="J8105" s="33" t="n">
        <f aca="false">Sens!$I$8105+Sens!$J$8104</f>
        <v>14800.05</v>
      </c>
      <c r="K8105" s="33" t="n">
        <f aca="false">Sens!$J$8105+Sens!$K$8104</f>
        <v>17370.9171666667</v>
      </c>
      <c r="L8105" s="33" t="n">
        <f aca="false">Sens!$K$8105+Sens!$L$8104</f>
        <v>18878.3515</v>
      </c>
      <c r="M8105" s="33" t="n">
        <f aca="false">Sens!$L$8105+Sens!$M$8104</f>
        <v>19322.353</v>
      </c>
      <c r="N8105" s="33" t="n">
        <f aca="false">(mw_ye24+mw_ye25)/2</f>
        <v>900</v>
      </c>
      <c r="O8105" s="33" t="n">
        <f aca="false">mw_ye25</f>
        <v>1440</v>
      </c>
      <c r="P8105" s="5" t="s">
        <v>595</v>
      </c>
    </row>
    <row r="8106" customFormat="false" ht="17.15" hidden="false" customHeight="false" outlineLevel="0" collapsed="false">
      <c r="A8106" s="5" t="s">
        <v>596</v>
      </c>
      <c r="B8106" s="0" t="s">
        <v>129</v>
      </c>
      <c r="C8106" s="32" t="n">
        <f aca="false">(mw_ye23+mw_ye24)/2</f>
        <v>240</v>
      </c>
      <c r="D8106" s="32" t="n">
        <f aca="false">(Sens!$C$8105+Sens!$D$8105)/2</f>
        <v>900</v>
      </c>
      <c r="E8106" s="32" t="n">
        <f aca="false">(Sens!$D$8105+Sens!$E$8105)/2</f>
        <v>1760</v>
      </c>
      <c r="F8106" s="32" t="n">
        <f aca="false">(Sens!$E$8105+Sens!$F$8105)/2</f>
        <v>2988.575</v>
      </c>
      <c r="G8106" s="32" t="n">
        <f aca="false">(Sens!$E$8106+Sens!$F$8106)/2</f>
        <v>2374.2875</v>
      </c>
      <c r="H8106" s="32" t="n">
        <f aca="false">(Sens!$G$8105+Sens!$H$8105)/2</f>
        <v>5714.3</v>
      </c>
      <c r="I8106" s="32" t="n">
        <f aca="false">(Sens!$H$8105+Sens!$I$8105)/2</f>
        <v>9348.6</v>
      </c>
      <c r="J8106" s="32" t="n">
        <f aca="false">(Sens!$I$8105+Sens!$J$8105)/2</f>
        <v>12982.9</v>
      </c>
      <c r="K8106" s="32" t="n">
        <f aca="false">(Sens!$J$8105+Sens!$K$8105)/2</f>
        <v>16085.4835833333</v>
      </c>
      <c r="L8106" s="32" t="n">
        <f aca="false">(Sens!$K$8105+Sens!$L$8105)/2</f>
        <v>18124.6343333333</v>
      </c>
      <c r="M8106" s="32" t="n">
        <f aca="false">(Sens!$L$8105+Sens!$M$8105)/2</f>
        <v>19100.35225</v>
      </c>
      <c r="N8106" s="32" t="n">
        <f aca="false">(Sens!$C$8105+Sens!$N$8105)/2</f>
        <v>630</v>
      </c>
      <c r="O8106" s="32" t="n">
        <f aca="false">(Sens!$N$8105+Sens!$O$8105)/2</f>
        <v>1170</v>
      </c>
    </row>
    <row r="8107" customFormat="false" ht="15" hidden="false" customHeight="false" outlineLevel="0" collapsed="false">
      <c r="A8107" s="5" t="s">
        <v>597</v>
      </c>
      <c r="B8107" s="5" t="s">
        <v>123</v>
      </c>
      <c r="C8107" s="34" t="n">
        <v>1</v>
      </c>
      <c r="D8107" s="34" t="n">
        <v>1</v>
      </c>
      <c r="E8107" s="34" t="n">
        <v>0.5</v>
      </c>
      <c r="F8107" s="34" t="n">
        <v>0.5</v>
      </c>
      <c r="G8107" s="34" t="n">
        <v>1</v>
      </c>
      <c r="H8107" s="34" t="n">
        <v>1</v>
      </c>
      <c r="I8107" s="34" t="n">
        <v>1</v>
      </c>
      <c r="J8107" s="34" t="n">
        <v>1</v>
      </c>
      <c r="K8107" s="34" t="n">
        <v>1</v>
      </c>
      <c r="L8107" s="34" t="n">
        <v>1</v>
      </c>
      <c r="M8107" s="34" t="n">
        <v>1</v>
      </c>
      <c r="N8107" s="34" t="n">
        <v>0.5</v>
      </c>
      <c r="O8107" s="34" t="n">
        <v>0.5</v>
      </c>
    </row>
    <row r="8108" customFormat="false" ht="17.15" hidden="false" customHeight="false" outlineLevel="0" collapsed="false">
      <c r="A8108" s="5" t="s">
        <v>598</v>
      </c>
      <c r="B8108" s="0" t="s">
        <v>129</v>
      </c>
      <c r="C8108" s="32" t="n">
        <f aca="false">Sens!$C$8105-mw_ye23</f>
        <v>240</v>
      </c>
      <c r="D8108" s="32" t="n">
        <f aca="false">Sens!$D$8105-Sens!$C$8105</f>
        <v>1080</v>
      </c>
      <c r="E8108" s="32" t="n">
        <f aca="false">Sens!$E$8105-Sens!$D$8105</f>
        <v>640</v>
      </c>
      <c r="F8108" s="32" t="n">
        <f aca="false">Sens!$F$8105-Sens!$E$8105</f>
        <v>1817.15</v>
      </c>
      <c r="G8108" s="32" t="n">
        <f aca="false">Sens!$E$8108+Sens!$F$8108</f>
        <v>2457.15</v>
      </c>
      <c r="H8108" s="32" t="n">
        <f aca="false">Sens!$H$8105-Sens!$G$8105</f>
        <v>3634.3</v>
      </c>
      <c r="I8108" s="32" t="n">
        <f aca="false">Sens!$I$8105-Sens!$H$8105</f>
        <v>3634.3</v>
      </c>
      <c r="J8108" s="32" t="n">
        <f aca="false">Sens!$J$8105-Sens!$I$8105</f>
        <v>3634.3</v>
      </c>
      <c r="K8108" s="32" t="n">
        <f aca="false">Sens!$K$8105-Sens!$J$8105</f>
        <v>2570.86716666667</v>
      </c>
      <c r="L8108" s="32" t="n">
        <f aca="false">Sens!$L$8105-Sens!$K$8105</f>
        <v>1507.43433333333</v>
      </c>
      <c r="M8108" s="32" t="n">
        <f aca="false">Sens!$M$8105-Sens!$L$8105</f>
        <v>444.001499999999</v>
      </c>
      <c r="N8108" s="32" t="n">
        <f aca="false">Sens!$N$8105-Sens!$C$8105</f>
        <v>540</v>
      </c>
      <c r="O8108" s="32" t="n">
        <f aca="false">Sens!$O$8105-Sens!$N$8105</f>
        <v>540</v>
      </c>
    </row>
    <row r="8109" customFormat="false" ht="17.15" hidden="false" customHeight="false" outlineLevel="0" collapsed="false">
      <c r="A8109" s="5" t="s">
        <v>599</v>
      </c>
      <c r="B8109" s="0" t="s">
        <v>129</v>
      </c>
      <c r="C8109" s="32" t="n">
        <f aca="false">Sens!$C$8108/ext_sh</f>
        <v>300</v>
      </c>
      <c r="D8109" s="32" t="n">
        <f aca="false">Sens!$D$8108/ext_sh</f>
        <v>1350</v>
      </c>
      <c r="E8109" s="32" t="n">
        <f aca="false">Sens!$E$8108/ext_sh</f>
        <v>800</v>
      </c>
      <c r="F8109" s="32" t="n">
        <f aca="false">Sens!$F$8108/ext_sh</f>
        <v>2271.4375</v>
      </c>
      <c r="G8109" s="32" t="n">
        <f aca="false">Sens!$G$8108/ext_sh</f>
        <v>3071.4375</v>
      </c>
      <c r="H8109" s="32" t="n">
        <f aca="false">Sens!$H$8108/ext_sh</f>
        <v>4542.875</v>
      </c>
      <c r="I8109" s="32" t="n">
        <f aca="false">Sens!$I$8108/ext_sh</f>
        <v>4542.875</v>
      </c>
      <c r="J8109" s="32" t="n">
        <f aca="false">Sens!$J$8108/ext_sh</f>
        <v>4542.875</v>
      </c>
      <c r="K8109" s="32" t="n">
        <f aca="false">Sens!$K$8108/ext_sh</f>
        <v>3213.58395833333</v>
      </c>
      <c r="L8109" s="32" t="n">
        <f aca="false">Sens!$L$8108/ext_sh</f>
        <v>1884.29291666667</v>
      </c>
      <c r="M8109" s="32" t="n">
        <f aca="false">Sens!$M$8108/ext_sh</f>
        <v>555.001874999998</v>
      </c>
      <c r="N8109" s="32" t="n">
        <f aca="false">Sens!$N$8108/ext_sh</f>
        <v>675</v>
      </c>
      <c r="O8109" s="32" t="n">
        <f aca="false">Sens!$O$8108/ext_sh</f>
        <v>675</v>
      </c>
      <c r="P8109" s="8" t="s">
        <v>600</v>
      </c>
      <c r="R8109" s="32" t="n">
        <f aca="false">mw_ye23/ext_sh</f>
        <v>150</v>
      </c>
      <c r="S8109" s="32" t="n">
        <f aca="false">Sens!$C$8109</f>
        <v>300</v>
      </c>
      <c r="T8109" s="32" t="n">
        <f aca="false">Sens!$D$8109</f>
        <v>1350</v>
      </c>
      <c r="U8109" s="32" t="n">
        <f aca="false">Sens!$G$8109</f>
        <v>3071.4375</v>
      </c>
      <c r="V8109" s="32" t="n">
        <f aca="false">Sens!$H$8109</f>
        <v>4542.875</v>
      </c>
      <c r="W8109" s="32" t="n">
        <f aca="false">Sens!$I$8109</f>
        <v>4542.875</v>
      </c>
      <c r="X8109" s="32" t="n">
        <f aca="false">Sens!$J$8109</f>
        <v>4542.875</v>
      </c>
      <c r="Y8109" s="32" t="n">
        <f aca="false">Sens!$K$8109</f>
        <v>3213.58395833333</v>
      </c>
      <c r="Z8109" s="32" t="n">
        <f aca="false">Sens!$L$8109</f>
        <v>1884.29291666667</v>
      </c>
      <c r="AA8109" s="32" t="n">
        <f aca="false">Sens!$M$8109</f>
        <v>555.001874999998</v>
      </c>
    </row>
    <row r="8110" customFormat="false" ht="17.15" hidden="false" customHeight="false" outlineLevel="0" collapsed="false">
      <c r="A8110" s="1" t="s">
        <v>601</v>
      </c>
    </row>
    <row r="8111" customFormat="false" ht="17.15" hidden="false" customHeight="false" outlineLevel="0" collapsed="false">
      <c r="A8111" s="0" t="s">
        <v>602</v>
      </c>
      <c r="B8111" s="0" t="s">
        <v>52</v>
      </c>
      <c r="F8111" s="35" t="n">
        <f aca="false">na_vr26</f>
        <v>0</v>
      </c>
      <c r="G8111" s="35" t="n">
        <f aca="false">na_vr26</f>
        <v>0</v>
      </c>
      <c r="H8111" s="35" t="n">
        <f aca="false">na_vr27</f>
        <v>0.5</v>
      </c>
      <c r="I8111" s="35" t="n">
        <f aca="false">na_vr28</f>
        <v>1</v>
      </c>
      <c r="J8111" s="35" t="n">
        <f aca="false">na_vr28</f>
        <v>1</v>
      </c>
      <c r="K8111" s="35" t="n">
        <f aca="false">na_vr28</f>
        <v>1</v>
      </c>
      <c r="L8111" s="35" t="n">
        <f aca="false">na_vr28</f>
        <v>1</v>
      </c>
      <c r="M8111" s="35" t="n">
        <f aca="false">na_vr28</f>
        <v>1</v>
      </c>
    </row>
    <row r="8112" customFormat="false" ht="17.15" hidden="false" customHeight="false" outlineLevel="0" collapsed="false">
      <c r="A8112" s="5" t="s">
        <v>603</v>
      </c>
      <c r="B8112" s="0" t="s">
        <v>173</v>
      </c>
      <c r="F8112" s="36" t="n">
        <f aca="false">cust_sh*tk_he_gb300*cf_chip+(1-cust_sh)*((1-Sens!$F$8111)*tk_he_gb300+Sens!$F$8111*tk_he_vr200)</f>
        <v>10.8864110021101</v>
      </c>
      <c r="G8112" s="36" t="n">
        <f aca="false">cust_sh*tk_he_gb300*cf_chip+(1-cust_sh)*((1-Sens!$G$8111)*tk_he_gb300+Sens!$G$8111*tk_he_vr200)</f>
        <v>10.8864110021101</v>
      </c>
      <c r="H8112" s="36" t="n">
        <f aca="false">cust_sh*tk_he_gb300*cf_chip+(1-cust_sh)*((1-Sens!$H$8111)*tk_he_gb300+Sens!$H$8111*tk_he_vr200)</f>
        <v>11.2211760027286</v>
      </c>
      <c r="I8112" s="36" t="n">
        <f aca="false">cust_sh*tk_he_gb300*cf_chip+(1-cust_sh)*((1-Sens!$I$8111)*tk_he_gb300+Sens!$I$8111*tk_he_vr200)</f>
        <v>11.5559410033471</v>
      </c>
      <c r="J8112" s="36" t="n">
        <f aca="false">cust_sh*tk_he_gb300*cf_chip+(1-cust_sh)*((1-Sens!$J$8111)*tk_he_gb300+Sens!$J$8111*tk_he_vr200)</f>
        <v>11.5559410033471</v>
      </c>
      <c r="K8112" s="36" t="n">
        <f aca="false">cust_sh*tk_he_gb300*cf_chip+(1-cust_sh)*((1-Sens!$K$8111)*tk_he_gb300+Sens!$K$8111*tk_he_vr200)</f>
        <v>11.5559410033471</v>
      </c>
      <c r="L8112" s="36" t="n">
        <f aca="false">cust_sh*tk_he_gb300*cf_chip+(1-cust_sh)*((1-Sens!$L$8111)*tk_he_gb300+Sens!$L$8111*tk_he_vr200)</f>
        <v>11.5559410033471</v>
      </c>
      <c r="M8112" s="36" t="n">
        <f aca="false">cust_sh*tk_he_gb300*cf_chip+(1-cust_sh)*((1-Sens!$M$8111)*tk_he_gb300+Sens!$M$8111*tk_he_vr200)</f>
        <v>11.5559410033471</v>
      </c>
    </row>
    <row r="8113" customFormat="false" ht="17.15" hidden="false" customHeight="false" outlineLevel="0" collapsed="false">
      <c r="A8113" s="5" t="s">
        <v>604</v>
      </c>
      <c r="B8113" s="0" t="s">
        <v>173</v>
      </c>
      <c r="F8113" s="36" t="n">
        <f aca="false">cust_sh*tk_ox_gb300+(1-cust_sh)*((1-Sens!$F$8111)*tk_ox_gb300+Sens!$F$8111*tk_ox_vr200)</f>
        <v>1.98263481314457</v>
      </c>
      <c r="G8113" s="36" t="n">
        <f aca="false">cust_sh*tk_ox_gb300+(1-cust_sh)*((1-Sens!$G$8111)*tk_ox_gb300+Sens!$G$8111*tk_ox_vr200)</f>
        <v>1.98263481314457</v>
      </c>
      <c r="H8113" s="36" t="n">
        <f aca="false">cust_sh*tk_ox_gb300+(1-cust_sh)*((1-Sens!$H$8111)*tk_ox_gb300+Sens!$H$8111*tk_ox_vr200)</f>
        <v>2.01034999693694</v>
      </c>
      <c r="I8113" s="36" t="n">
        <f aca="false">cust_sh*tk_ox_gb300+(1-cust_sh)*((1-Sens!$I$8111)*tk_ox_gb300+Sens!$I$8111*tk_ox_vr200)</f>
        <v>2.0380651807293</v>
      </c>
      <c r="J8113" s="36" t="n">
        <f aca="false">cust_sh*tk_ox_gb300+(1-cust_sh)*((1-Sens!$J$8111)*tk_ox_gb300+Sens!$J$8111*tk_ox_vr200)</f>
        <v>2.0380651807293</v>
      </c>
      <c r="K8113" s="36" t="n">
        <f aca="false">cust_sh*tk_ox_gb300+(1-cust_sh)*((1-Sens!$K$8111)*tk_ox_gb300+Sens!$K$8111*tk_ox_vr200)</f>
        <v>2.0380651807293</v>
      </c>
      <c r="L8113" s="36" t="n">
        <f aca="false">cust_sh*tk_ox_gb300+(1-cust_sh)*((1-Sens!$L$8111)*tk_ox_gb300+Sens!$L$8111*tk_ox_vr200)</f>
        <v>2.0380651807293</v>
      </c>
      <c r="M8113" s="36" t="n">
        <f aca="false">cust_sh*tk_ox_gb300+(1-cust_sh)*((1-Sens!$M$8111)*tk_ox_gb300+Sens!$M$8111*tk_ox_vr200)</f>
        <v>2.0380651807293</v>
      </c>
    </row>
    <row r="8114" customFormat="false" ht="17.15" hidden="false" customHeight="false" outlineLevel="0" collapsed="false">
      <c r="A8114" s="5" t="s">
        <v>605</v>
      </c>
      <c r="B8114" s="0" t="s">
        <v>192</v>
      </c>
      <c r="F8114" s="36" t="n">
        <f aca="false">cust_sh*tk_cx_gb300*cf_cx+(1-cust_sh)*((1-Sens!$F$8111)*tk_cx_gb300+Sens!$F$8111*tk_cx_vr200)</f>
        <v>32.237224</v>
      </c>
      <c r="G8114" s="36" t="n">
        <f aca="false">cust_sh*tk_cx_gb300*cf_cx+(1-cust_sh)*((1-Sens!$G$8111)*tk_cx_gb300+Sens!$G$8111*tk_cx_vr200)</f>
        <v>32.237224</v>
      </c>
      <c r="H8114" s="36" t="n">
        <f aca="false">cust_sh*tk_cx_gb300*cf_cx+(1-cust_sh)*((1-Sens!$H$8111)*tk_cx_gb300+Sens!$H$8111*tk_cx_vr200)</f>
        <v>33.574506</v>
      </c>
      <c r="I8114" s="36" t="n">
        <f aca="false">cust_sh*tk_cx_gb300*cf_cx+(1-cust_sh)*((1-Sens!$I$8111)*tk_cx_gb300+Sens!$I$8111*tk_cx_vr200)</f>
        <v>34.911788</v>
      </c>
      <c r="J8114" s="36" t="n">
        <f aca="false">cust_sh*tk_cx_gb300*cf_cx+(1-cust_sh)*((1-Sens!$J$8111)*tk_cx_gb300+Sens!$J$8111*tk_cx_vr200)</f>
        <v>34.911788</v>
      </c>
      <c r="K8114" s="36" t="n">
        <f aca="false">cust_sh*tk_cx_gb300*cf_cx+(1-cust_sh)*((1-Sens!$K$8111)*tk_cx_gb300+Sens!$K$8111*tk_cx_vr200)</f>
        <v>34.911788</v>
      </c>
      <c r="L8114" s="36" t="n">
        <f aca="false">cust_sh*tk_cx_gb300*cf_cx+(1-cust_sh)*((1-Sens!$L$8111)*tk_cx_gb300+Sens!$L$8111*tk_cx_vr200)</f>
        <v>34.911788</v>
      </c>
      <c r="M8114" s="36" t="n">
        <f aca="false">cust_sh*tk_cx_gb300*cf_cx+(1-cust_sh)*((1-Sens!$M$8111)*tk_cx_gb300+Sens!$M$8111*tk_cx_vr200)</f>
        <v>34.911788</v>
      </c>
    </row>
    <row r="8115" customFormat="false" ht="17.15" hidden="false" customHeight="false" outlineLevel="0" collapsed="false">
      <c r="A8115" s="5" t="s">
        <v>606</v>
      </c>
      <c r="B8115" s="0" t="s">
        <v>129</v>
      </c>
      <c r="F8115" s="32" t="n">
        <f aca="false">Sens!$F$8105-mw_open</f>
        <v>1817.15</v>
      </c>
      <c r="G8115" s="32" t="n">
        <f aca="false">Sens!$F$8115</f>
        <v>1817.15</v>
      </c>
      <c r="H8115" s="32" t="n">
        <f aca="false">Sens!$H$8105-mw_open</f>
        <v>5451.45</v>
      </c>
      <c r="I8115" s="32" t="n">
        <f aca="false">Sens!$I$8105-mw_open</f>
        <v>9085.75</v>
      </c>
      <c r="J8115" s="32" t="n">
        <f aca="false">Sens!$J$8105-mw_open</f>
        <v>12720.05</v>
      </c>
      <c r="K8115" s="32" t="n">
        <f aca="false">Sens!$K$8105-mw_open</f>
        <v>15290.9171666667</v>
      </c>
      <c r="L8115" s="32" t="n">
        <f aca="false">Sens!$L$8105-mw_open</f>
        <v>16798.3515</v>
      </c>
      <c r="M8115" s="32" t="n">
        <f aca="false">Sens!$M$8105-mw_open</f>
        <v>17242.353</v>
      </c>
    </row>
    <row r="8116" customFormat="false" ht="17.15" hidden="false" customHeight="false" outlineLevel="0" collapsed="false">
      <c r="A8116" s="0" t="s">
        <v>607</v>
      </c>
      <c r="B8116" s="0" t="s">
        <v>608</v>
      </c>
      <c r="F8116" s="32" t="n">
        <f aca="false">Sens!$F$8108*Sens!$F$8112</f>
        <v>19782.2417524844</v>
      </c>
      <c r="G8116" s="32" t="n">
        <f aca="false">Sens!$F$8116</f>
        <v>19782.2417524844</v>
      </c>
      <c r="H8116" s="32" t="n">
        <f aca="false">Sens!$G$8116+Sens!$H$8108*Sens!$H$8112</f>
        <v>60563.3616992009</v>
      </c>
      <c r="I8116" s="32" t="n">
        <f aca="false">Sens!$H$8116+Sens!$I$8108*Sens!$I$8112</f>
        <v>102561.118087665</v>
      </c>
      <c r="J8116" s="32" t="n">
        <f aca="false">Sens!$I$8116+Sens!$J$8108*Sens!$J$8112</f>
        <v>144558.87447613</v>
      </c>
      <c r="K8116" s="32" t="n">
        <f aca="false">Sens!$J$8116+Sens!$K$8108*Sens!$K$8112</f>
        <v>174267.663781572</v>
      </c>
      <c r="L8116" s="32" t="n">
        <f aca="false">Sens!$K$8116+Sens!$L$8108*Sens!$L$8112</f>
        <v>191687.486003992</v>
      </c>
      <c r="M8116" s="32" t="n">
        <f aca="false">Sens!$L$8116+Sens!$M$8108*Sens!$M$8112</f>
        <v>196818.341143389</v>
      </c>
    </row>
    <row r="8117" customFormat="false" ht="17.15" hidden="false" customHeight="false" outlineLevel="0" collapsed="false">
      <c r="A8117" s="0" t="s">
        <v>609</v>
      </c>
      <c r="B8117" s="0" t="s">
        <v>608</v>
      </c>
      <c r="F8117" s="32" t="n">
        <f aca="false">Sens!$F$8108*Sens!$F$8113</f>
        <v>3602.74485070566</v>
      </c>
      <c r="G8117" s="32" t="n">
        <f aca="false">Sens!$F$8117</f>
        <v>3602.74485070566</v>
      </c>
      <c r="H8117" s="32" t="n">
        <f aca="false">Sens!$G$8117+Sens!$H$8108*Sens!$H$8113</f>
        <v>10908.9598445736</v>
      </c>
      <c r="I8117" s="32" t="n">
        <f aca="false">Sens!$H$8117+Sens!$I$8108*Sens!$I$8113</f>
        <v>18315.9001308981</v>
      </c>
      <c r="J8117" s="32" t="n">
        <f aca="false">Sens!$I$8117+Sens!$J$8108*Sens!$J$8113</f>
        <v>25722.8404172225</v>
      </c>
      <c r="K8117" s="32" t="n">
        <f aca="false">Sens!$J$8117+Sens!$K$8108*Sens!$K$8113</f>
        <v>30962.4352738861</v>
      </c>
      <c r="L8117" s="32" t="n">
        <f aca="false">Sens!$K$8117+Sens!$L$8108*Sens!$L$8113</f>
        <v>34034.6847008886</v>
      </c>
      <c r="M8117" s="32" t="n">
        <f aca="false">Sens!$L$8117+Sens!$M$8108*Sens!$M$8113</f>
        <v>34939.5886982302</v>
      </c>
    </row>
    <row r="8118" customFormat="false" ht="17.15" hidden="false" customHeight="false" outlineLevel="0" collapsed="false">
      <c r="A8118" s="5" t="s">
        <v>610</v>
      </c>
      <c r="B8118" s="0" t="s">
        <v>173</v>
      </c>
      <c r="F8118" s="36" t="n">
        <f aca="false">IF(Sens!$F$8115&gt;0,Sens!$F$8116/Sens!$F$8115,Sens!$F$8112)</f>
        <v>10.8864110021101</v>
      </c>
      <c r="G8118" s="36" t="n">
        <f aca="false">IF(Sens!$G$8115&gt;0,Sens!$G$8116/Sens!$G$8115,Sens!$G$8112)</f>
        <v>10.8864110021101</v>
      </c>
      <c r="H8118" s="36" t="n">
        <f aca="false">IF(Sens!$H$8115&gt;0,Sens!$H$8116/Sens!$H$8115,Sens!$H$8112)</f>
        <v>11.1095876691891</v>
      </c>
      <c r="I8118" s="36" t="n">
        <f aca="false">IF(Sens!$I$8115&gt;0,Sens!$I$8116/Sens!$I$8115,Sens!$I$8112)</f>
        <v>11.2881290028523</v>
      </c>
      <c r="J8118" s="36" t="n">
        <f aca="false">IF(Sens!$J$8115&gt;0,Sens!$J$8116/Sens!$J$8115,Sens!$J$8112)</f>
        <v>11.3646467172794</v>
      </c>
      <c r="K8118" s="36" t="n">
        <f aca="false">IF(Sens!$K$8115&gt;0,Sens!$K$8116/Sens!$K$8115,Sens!$K$8112)</f>
        <v>11.3968090914432</v>
      </c>
      <c r="L8118" s="36" t="n">
        <f aca="false">IF(Sens!$L$8115&gt;0,Sens!$L$8116/Sens!$L$8115,Sens!$L$8112)</f>
        <v>11.4110891181192</v>
      </c>
      <c r="M8118" s="36" t="n">
        <f aca="false">IF(Sens!$M$8115&gt;0,Sens!$M$8116/Sens!$M$8115,Sens!$M$8112)</f>
        <v>11.4148191458201</v>
      </c>
    </row>
    <row r="8119" customFormat="false" ht="17.15" hidden="false" customHeight="false" outlineLevel="0" collapsed="false">
      <c r="A8119" s="5" t="s">
        <v>611</v>
      </c>
      <c r="B8119" s="0" t="s">
        <v>173</v>
      </c>
      <c r="F8119" s="36" t="n">
        <f aca="false">IF(Sens!$F$8115&gt;0,Sens!$F$8117/Sens!$F$8115,Sens!$F$8113)</f>
        <v>1.98263481314457</v>
      </c>
      <c r="G8119" s="36" t="n">
        <f aca="false">IF(Sens!$G$8115&gt;0,Sens!$G$8117/Sens!$G$8115,Sens!$G$8113)</f>
        <v>1.98263481314457</v>
      </c>
      <c r="H8119" s="36" t="n">
        <f aca="false">IF(Sens!$H$8115&gt;0,Sens!$H$8117/Sens!$H$8115,Sens!$H$8113)</f>
        <v>2.00111160233948</v>
      </c>
      <c r="I8119" s="36" t="n">
        <f aca="false">IF(Sens!$I$8115&gt;0,Sens!$I$8117/Sens!$I$8115,Sens!$I$8113)</f>
        <v>2.01589303369541</v>
      </c>
      <c r="J8119" s="36" t="n">
        <f aca="false">IF(Sens!$J$8115&gt;0,Sens!$J$8117/Sens!$J$8115,Sens!$J$8113)</f>
        <v>2.02222793284795</v>
      </c>
      <c r="K8119" s="36" t="n">
        <f aca="false">IF(Sens!$K$8115&gt;0,Sens!$K$8117/Sens!$K$8115,Sens!$K$8113)</f>
        <v>2.02489065478573</v>
      </c>
      <c r="L8119" s="36" t="n">
        <f aca="false">IF(Sens!$L$8115&gt;0,Sens!$L$8117/Sens!$L$8115,Sens!$L$8113)</f>
        <v>2.0260728977417</v>
      </c>
      <c r="M8119" s="36" t="n">
        <f aca="false">IF(Sens!$M$8115&gt;0,Sens!$M$8117/Sens!$M$8115,Sens!$M$8113)</f>
        <v>2.02638170661685</v>
      </c>
    </row>
    <row r="8120" customFormat="false" ht="17.15" hidden="false" customHeight="false" outlineLevel="0" collapsed="false">
      <c r="A8120" s="15" t="s">
        <v>612</v>
      </c>
      <c r="B8120" s="14" t="s">
        <v>173</v>
      </c>
      <c r="C8120" s="14"/>
      <c r="D8120" s="14"/>
      <c r="E8120" s="14"/>
      <c r="F8120" s="37" t="n">
        <f aca="false">Sens!$F$8118*k_B</f>
        <v>10.7987645808025</v>
      </c>
      <c r="G8120" s="37" t="n">
        <f aca="false">Sens!$G$8118*k_B</f>
        <v>10.7987645808025</v>
      </c>
      <c r="H8120" s="37" t="n">
        <f aca="false">Sens!$H$8118*k_B</f>
        <v>11.0201444540452</v>
      </c>
      <c r="I8120" s="37" t="n">
        <f aca="false">Sens!$I$8118*k_B</f>
        <v>11.1972483526393</v>
      </c>
      <c r="J8120" s="37" t="n">
        <f aca="false">Sens!$J$8118*k_B</f>
        <v>11.2731500234653</v>
      </c>
      <c r="K8120" s="37" t="n">
        <f aca="false">Sens!$K$8118*k_B</f>
        <v>11.3050534585724</v>
      </c>
      <c r="L8120" s="37" t="n">
        <f aca="false">Sens!$L$8118*k_B</f>
        <v>11.3192185168503</v>
      </c>
      <c r="M8120" s="37" t="n">
        <f aca="false">Sens!$M$8118*k_B</f>
        <v>11.3229185141234</v>
      </c>
      <c r="N8120" s="14"/>
      <c r="O8120" s="14"/>
      <c r="P8120" s="5" t="s">
        <v>613</v>
      </c>
    </row>
    <row r="8121" customFormat="false" ht="17.15" hidden="false" customHeight="false" outlineLevel="0" collapsed="false">
      <c r="A8121" s="5" t="s">
        <v>614</v>
      </c>
      <c r="B8121" s="0" t="s">
        <v>129</v>
      </c>
      <c r="F8121" s="32" t="n">
        <f aca="false">Sens!$F$8115/2</f>
        <v>908.575</v>
      </c>
      <c r="H8121" s="32" t="n">
        <f aca="false">(Sens!$G$8115+Sens!$H$8115)/2</f>
        <v>3634.3</v>
      </c>
      <c r="I8121" s="32" t="n">
        <f aca="false">(Sens!$H$8115+Sens!$I$8115)/2</f>
        <v>7268.6</v>
      </c>
      <c r="J8121" s="32" t="n">
        <f aca="false">(Sens!$I$8115+Sens!$J$8115)/2</f>
        <v>10902.9</v>
      </c>
      <c r="K8121" s="32" t="n">
        <f aca="false">(Sens!$J$8115+Sens!$K$8115)/2</f>
        <v>14005.4835833333</v>
      </c>
      <c r="L8121" s="32" t="n">
        <f aca="false">(Sens!$K$8115+Sens!$L$8115)/2</f>
        <v>16044.6343333333</v>
      </c>
      <c r="M8121" s="32" t="n">
        <f aca="false">(Sens!$L$8115+Sens!$M$8115)/2</f>
        <v>17020.35225</v>
      </c>
    </row>
    <row r="8122" customFormat="false" ht="17.15" hidden="false" customHeight="false" outlineLevel="0" collapsed="false">
      <c r="A8122" s="1" t="s">
        <v>615</v>
      </c>
    </row>
    <row r="8123" customFormat="false" ht="17.15" hidden="false" customHeight="false" outlineLevel="0" collapsed="false">
      <c r="A8123" s="1" t="s">
        <v>616</v>
      </c>
      <c r="B8123" s="8" t="s">
        <v>86</v>
      </c>
      <c r="C8123" s="38" t="n">
        <f aca="false">Sens!$C$8106*rpm_open*Sens!$C$8107/1000</f>
        <v>2.32100535697364</v>
      </c>
      <c r="D8123" s="38" t="n">
        <f aca="false">Sens!$D$8106*rpm_open*Sens!$D$8107/1000</f>
        <v>8.70377008865116</v>
      </c>
      <c r="E8123" s="38" t="n">
        <f aca="false">Sens!$E$8106*rpm_open*Sens!$E$8107/1000</f>
        <v>8.51035297557002</v>
      </c>
      <c r="F8123" s="38" t="n">
        <f aca="false">(mw_open*rpm_open+Sens!$F$8121*Sens!$F$8120)*Sens!$F$8107/1000</f>
        <v>14.9634336447205</v>
      </c>
      <c r="G8123" s="38" t="n">
        <f aca="false">Sens!$E$8123+Sens!$F$8123</f>
        <v>23.4737866202905</v>
      </c>
      <c r="H8123" s="38" t="n">
        <f aca="false">(mw_open*rpm_open+Sens!$H$8121*Sens!$H$8120)/1000</f>
        <v>60.1658907497746</v>
      </c>
      <c r="I8123" s="38" t="n">
        <f aca="false">(mw_open*rpm_open+Sens!$I$8121*Sens!$I$8120)/1000</f>
        <v>101.503699136432</v>
      </c>
      <c r="J8123" s="38" t="n">
        <f aca="false">(mw_open*rpm_open+Sens!$J$8121*Sens!$J$8120)/1000</f>
        <v>143.025407151278</v>
      </c>
      <c r="K8123" s="38" t="n">
        <f aca="false">(mw_open*rpm_open+Sens!$K$8121*Sens!$K$8120)/1000</f>
        <v>178.44812038318</v>
      </c>
      <c r="L8123" s="38" t="n">
        <f aca="false">(mw_open*rpm_open+Sens!$L$8121*Sens!$L$8120)/1000</f>
        <v>201.728101802396</v>
      </c>
      <c r="M8123" s="38" t="n">
        <f aca="false">(mw_open*rpm_open+Sens!$M$8121*Sens!$M$8120)/1000</f>
        <v>212.835441368865</v>
      </c>
      <c r="N8123" s="38" t="n">
        <f aca="false">Sens!$N$8106*rpm_open*Sens!$N$8107/1000</f>
        <v>3.04631953102791</v>
      </c>
      <c r="O8123" s="38" t="n">
        <f aca="false">Sens!$O$8106*rpm_open*Sens!$O$8107/1000</f>
        <v>5.65745055762326</v>
      </c>
      <c r="P8123" s="5" t="s">
        <v>617</v>
      </c>
    </row>
    <row r="8124" customFormat="false" ht="17.15" hidden="false" customHeight="false" outlineLevel="0" collapsed="false">
      <c r="A8124" s="5" t="s">
        <v>618</v>
      </c>
      <c r="B8124" s="0" t="s">
        <v>173</v>
      </c>
      <c r="C8124" s="36" t="n">
        <f aca="false">Sens!$C$8123*1000/(Sens!$C$8106*Sens!$C$8107)</f>
        <v>9.67085565405685</v>
      </c>
      <c r="D8124" s="36" t="n">
        <f aca="false">Sens!$D$8123*1000/(Sens!$D$8106*Sens!$D$8107)</f>
        <v>9.67085565405685</v>
      </c>
      <c r="E8124" s="36" t="n">
        <f aca="false">Sens!$E$8123*1000/(Sens!$E$8106*Sens!$E$8107)</f>
        <v>9.67085565405685</v>
      </c>
      <c r="F8124" s="36" t="n">
        <f aca="false">Sens!$F$8123*1000/(Sens!$F$8106*Sens!$F$8107)</f>
        <v>10.0137581588017</v>
      </c>
      <c r="G8124" s="36" t="n">
        <f aca="false">Sens!$G$8123*1000/(Sens!$G$8106*Sens!$G$8107)</f>
        <v>9.88666562928478</v>
      </c>
      <c r="H8124" s="36" t="n">
        <f aca="false">Sens!$H$8123*1000/(Sens!$H$8106*Sens!$H$8107)</f>
        <v>10.5290045586992</v>
      </c>
      <c r="I8124" s="36" t="n">
        <f aca="false">Sens!$I$8123*1000/(Sens!$I$8106*Sens!$I$8107)</f>
        <v>10.8576363451674</v>
      </c>
      <c r="J8124" s="36" t="n">
        <f aca="false">Sens!$J$8123*1000/(Sens!$J$8106*Sens!$J$8107)</f>
        <v>11.0164452588619</v>
      </c>
      <c r="K8124" s="36" t="n">
        <f aca="false">Sens!$K$8123*1000/(Sens!$K$8106*Sens!$K$8107)</f>
        <v>11.0937367508227</v>
      </c>
      <c r="L8124" s="36" t="n">
        <f aca="false">Sens!$L$8123*1000/(Sens!$L$8106*Sens!$L$8107)</f>
        <v>11.1300508519168</v>
      </c>
      <c r="M8124" s="36" t="n">
        <f aca="false">Sens!$M$8123*1000/(Sens!$M$8106*Sens!$M$8107)</f>
        <v>11.1430113216297</v>
      </c>
      <c r="N8124" s="36" t="n">
        <f aca="false">Sens!$N$8123*1000/(Sens!$N$8106*Sens!$N$8107)</f>
        <v>9.67085565405685</v>
      </c>
      <c r="O8124" s="36" t="n">
        <f aca="false">Sens!$O$8123*1000/(Sens!$O$8106*Sens!$O$8107)</f>
        <v>9.67085565405685</v>
      </c>
    </row>
    <row r="8125" customFormat="false" ht="17.15" hidden="false" customHeight="false" outlineLevel="0" collapsed="false">
      <c r="A8125" s="0" t="s">
        <v>619</v>
      </c>
      <c r="B8125" s="0" t="s">
        <v>86</v>
      </c>
      <c r="C8125" s="38" t="n">
        <f aca="false">Sens!$C$8106/ext_sh*(ox_open+rent_mw)*Sens!$C$8107/1000</f>
        <v>0.642569210675032</v>
      </c>
      <c r="D8125" s="38" t="n">
        <f aca="false">Sens!$D$8106/ext_sh*(ox_open+rent_mw)*Sens!$D$8107/1000</f>
        <v>2.40963454003137</v>
      </c>
      <c r="E8125" s="38" t="n">
        <f aca="false">Sens!$E$8106/ext_sh*(ox_open+rent_mw)*Sens!$E$8107/1000</f>
        <v>2.35608710580845</v>
      </c>
      <c r="F8125" s="38" t="n">
        <f aca="false">((mw_open*ox_open+Sens!$F$8121*Sens!$F$8119)/ext_sh+Sens!$F$8106/ext_sh*rent_mw)*Sens!$F$8107/1000</f>
        <v>4.05421991106232</v>
      </c>
      <c r="G8125" s="38" t="n">
        <f aca="false">Sens!$E$8125+Sens!$F$8125</f>
        <v>6.41030701687077</v>
      </c>
      <c r="H8125" s="38" t="n">
        <f aca="false">((mw_open*ox_open+Sens!$H$8121*Sens!$H$8119)/ext_sh+Sens!$H$8106/ext_sh*rent_mw)*Sens!$H$8107/1000</f>
        <v>15.8108975546616</v>
      </c>
      <c r="I8125" s="38" t="n">
        <f aca="false">((mw_open*ox_open+Sens!$I$8121*Sens!$I$8119)/ext_sh+Sens!$I$8106/ext_sh*rent_mw)*Sens!$I$8107/1000</f>
        <v>26.1871623400817</v>
      </c>
      <c r="J8125" s="38" t="n">
        <f aca="false">((mw_open*ox_open+Sens!$J$8121*Sens!$J$8119)/ext_sh+Sens!$J$8106/ext_sh*rent_mw)*Sens!$J$8107/1000</f>
        <v>36.5826128954935</v>
      </c>
      <c r="K8125" s="38" t="n">
        <f aca="false">((mw_open*ox_open+Sens!$K$8121*Sens!$K$8119)/ext_sh+Sens!$K$8106/ext_sh*rent_mw)*Sens!$K$8107/1000</f>
        <v>45.4546361137628</v>
      </c>
      <c r="L8125" s="38" t="n">
        <f aca="false">((mw_open*ox_open+Sens!$L$8121*Sens!$L$8119)/ext_sh+Sens!$L$8106/ext_sh*rent_mw)*Sens!$L$8107/1000</f>
        <v>51.2855695554452</v>
      </c>
      <c r="M8125" s="38" t="n">
        <f aca="false">((mw_open*ox_open+Sens!$M$8121*Sens!$M$8119)/ext_sh+Sens!$M$8106/ext_sh*rent_mw)*Sens!$M$8107/1000</f>
        <v>54.0722927838398</v>
      </c>
      <c r="N8125" s="38" t="n">
        <f aca="false">Sens!$N$8106/ext_sh*(ox_open+rent_mw)*Sens!$N$8107/1000</f>
        <v>0.84337208901098</v>
      </c>
      <c r="O8125" s="38" t="n">
        <f aca="false">Sens!$O$8106/ext_sh*(ox_open+rent_mw)*Sens!$O$8107/1000</f>
        <v>1.56626245102039</v>
      </c>
    </row>
    <row r="8126" customFormat="false" ht="17.15" hidden="false" customHeight="false" outlineLevel="0" collapsed="false">
      <c r="A8126" s="0" t="s">
        <v>620</v>
      </c>
      <c r="B8126" s="0" t="s">
        <v>86</v>
      </c>
      <c r="C8126" s="38" t="n">
        <f aca="false">Q!$D$7</f>
        <v>107.556</v>
      </c>
      <c r="D8126" s="38" t="n">
        <f aca="false">Q!$E$7</f>
        <v>128.725</v>
      </c>
      <c r="E8126" s="38" t="n">
        <f aca="false">Q!$P$7</f>
        <v>79.819</v>
      </c>
      <c r="N8126" s="38" t="n">
        <f aca="false">Q!$N$7</f>
        <v>60.14</v>
      </c>
      <c r="O8126" s="38" t="n">
        <f aca="false">Q!$O$7</f>
        <v>68.585</v>
      </c>
    </row>
    <row r="8127" customFormat="false" ht="17.15" hidden="false" customHeight="false" outlineLevel="0" collapsed="false">
      <c r="A8127" s="1" t="s">
        <v>621</v>
      </c>
      <c r="B8127" s="8" t="s">
        <v>86</v>
      </c>
      <c r="C8127" s="38" t="n">
        <f aca="false">Sens!$C$8126-Sens!$C$8123</f>
        <v>105.234994643026</v>
      </c>
      <c r="D8127" s="38" t="n">
        <f aca="false">Sens!$D$8126-Sens!$D$8123</f>
        <v>120.021229911349</v>
      </c>
      <c r="E8127" s="38" t="n">
        <f aca="false">Sens!$E$8126-Sens!$E$8123</f>
        <v>71.30864702443</v>
      </c>
      <c r="F8127" s="38" t="n">
        <f aca="false">Sens!$O$8127*(1+Sens!$F$8128)</f>
        <v>71.7692997942464</v>
      </c>
      <c r="G8127" s="38" t="n">
        <f aca="false">Sens!$E$8127+Sens!$F$8127</f>
        <v>143.077946818676</v>
      </c>
      <c r="H8127" s="38" t="n">
        <f aca="false">Sens!$G$8127*(1+Sens!$H$8128)</f>
        <v>161.017077079203</v>
      </c>
      <c r="I8127" s="38" t="n">
        <f aca="false">Sens!$H$8127*(1+Sens!$I$8128)</f>
        <v>178.769759521457</v>
      </c>
      <c r="J8127" s="38" t="n">
        <f aca="false">Sens!$I$8127*(1+Sens!$J$8128)</f>
        <v>195.775538045907</v>
      </c>
      <c r="K8127" s="38" t="n">
        <f aca="false">Sens!$J$8127*(1+Sens!$K$8128)</f>
        <v>211.43758108958</v>
      </c>
      <c r="L8127" s="38" t="n">
        <f aca="false">Sens!$K$8127*(1+Sens!$L$8128)</f>
        <v>228.352587576746</v>
      </c>
      <c r="M8127" s="38" t="n">
        <f aca="false">Sens!$L$8127*(1+Sens!$M$8128)</f>
        <v>246.620794582886</v>
      </c>
      <c r="N8127" s="38" t="n">
        <f aca="false">Sens!$N$8126-Sens!$N$8123</f>
        <v>57.0936804689721</v>
      </c>
      <c r="O8127" s="38" t="n">
        <f aca="false">Sens!$O$8126-Sens!$O$8123</f>
        <v>62.9275494423768</v>
      </c>
      <c r="P8127" s="5" t="s">
        <v>622</v>
      </c>
    </row>
    <row r="8128" customFormat="false" ht="17.15" hidden="false" customHeight="false" outlineLevel="0" collapsed="false">
      <c r="A8128" s="0" t="s">
        <v>623</v>
      </c>
      <c r="B8128" s="0" t="s">
        <v>52</v>
      </c>
      <c r="D8128" s="13" t="n">
        <f aca="false">Sens!$D$8127/Sens!$C$8127-1</f>
        <v>0.140506827776062</v>
      </c>
      <c r="E8128" s="13" t="n">
        <f aca="false">Sens!$E$8127/Sens!$N$8127-1</f>
        <v>0.248976181579029</v>
      </c>
      <c r="F8128" s="13" t="n">
        <f aca="false">Sens!$D$8128</f>
        <v>0.140506827776062</v>
      </c>
      <c r="G8128" s="13" t="n">
        <f aca="false">Sens!$G$8127/Sens!$D$8127-1</f>
        <v>0.19210532106993</v>
      </c>
      <c r="H8128" s="13" t="n">
        <f aca="false">Sens!$F$8128+(g_awso_lt-Sens!$F$8128)*1/4</f>
        <v>0.125380120832046</v>
      </c>
      <c r="I8128" s="13" t="n">
        <f aca="false">Sens!$F$8128+(g_awso_lt-Sens!$F$8128)*2/4</f>
        <v>0.110253413888031</v>
      </c>
      <c r="J8128" s="13" t="n">
        <f aca="false">Sens!$F$8128+(g_awso_lt-Sens!$F$8128)*3/4</f>
        <v>0.0951267069440154</v>
      </c>
      <c r="K8128" s="13" t="n">
        <f aca="false">Sens!$F$8128+(g_awso_lt-Sens!$F$8128)*4/4</f>
        <v>0.08</v>
      </c>
      <c r="L8128" s="13" t="n">
        <f aca="false">g_awso_lt</f>
        <v>0.08</v>
      </c>
      <c r="M8128" s="13" t="n">
        <f aca="false">g_awso_lt</f>
        <v>0.08</v>
      </c>
      <c r="P8128" s="5" t="s">
        <v>624</v>
      </c>
    </row>
    <row r="8129" customFormat="false" ht="17.15" hidden="false" customHeight="false" outlineLevel="0" collapsed="false">
      <c r="A8129" s="1" t="s">
        <v>625</v>
      </c>
    </row>
    <row r="8130" customFormat="false" ht="17.15" hidden="false" customHeight="false" outlineLevel="0" collapsed="false">
      <c r="A8130" s="0" t="s">
        <v>626</v>
      </c>
      <c r="B8130" s="0" t="s">
        <v>86</v>
      </c>
      <c r="F8130" s="38" t="n">
        <f aca="false">cx_rt*Sens!$F$8095+cx_awso*Sens!$F$8127</f>
        <v>34.9734495387866</v>
      </c>
    </row>
    <row r="8131" customFormat="false" ht="17.15" hidden="false" customHeight="false" outlineLevel="0" collapsed="false">
      <c r="A8131" s="0" t="s">
        <v>627</v>
      </c>
      <c r="B8131" s="0" t="s">
        <v>52</v>
      </c>
      <c r="C8131" s="13" t="n">
        <f aca="false">tk_cx_h100/(tk_cx_h100+tk_fac*(1-colo_sh))</f>
        <v>0.730756458006641</v>
      </c>
      <c r="D8131" s="13" t="n">
        <f aca="false">tk_cx_h100/(tk_cx_h100+tk_fac*(1-colo_sh))</f>
        <v>0.730756458006641</v>
      </c>
      <c r="E8131" s="13" t="n">
        <f aca="false">Sens!$F$8131</f>
        <v>0.760792334328868</v>
      </c>
      <c r="F8131" s="13" t="n">
        <f aca="false">Sens!$F$8114/(Sens!$F$8114+tk_fac*(1-colo_sh))</f>
        <v>0.760792334328868</v>
      </c>
      <c r="G8131" s="13" t="n">
        <f aca="false">Sens!$G$8114/(Sens!$G$8114+tk_fac*(1-colo_sh))</f>
        <v>0.760792334328868</v>
      </c>
      <c r="H8131" s="13" t="n">
        <f aca="false">Sens!$H$8114/(Sens!$H$8114+tk_fac*(1-colo_sh))</f>
        <v>0.768110668862996</v>
      </c>
      <c r="I8131" s="13" t="n">
        <f aca="false">Sens!$I$8114/(Sens!$I$8114+tk_fac*(1-colo_sh))</f>
        <v>0.77499450139483</v>
      </c>
      <c r="J8131" s="13" t="n">
        <f aca="false">Sens!$J$8114/(Sens!$J$8114+tk_fac*(1-colo_sh))</f>
        <v>0.77499450139483</v>
      </c>
      <c r="K8131" s="13" t="n">
        <f aca="false">Sens!$K$8114/(Sens!$K$8114+tk_fac*(1-colo_sh))</f>
        <v>0.77499450139483</v>
      </c>
      <c r="L8131" s="13" t="n">
        <f aca="false">Sens!$L$8114/(Sens!$L$8114+tk_fac*(1-colo_sh))</f>
        <v>0.77499450139483</v>
      </c>
      <c r="M8131" s="13" t="n">
        <f aca="false">Sens!$M$8114/(Sens!$M$8114+tk_fac*(1-colo_sh))</f>
        <v>0.77499450139483</v>
      </c>
    </row>
    <row r="8132" customFormat="false" ht="17.15" hidden="false" customHeight="false" outlineLevel="0" collapsed="false">
      <c r="A8132" s="1" t="s">
        <v>628</v>
      </c>
      <c r="B8132" s="8" t="s">
        <v>86</v>
      </c>
      <c r="C8132" s="38" t="n">
        <f aca="false">Q!$D$46-cx_rt*Q!$D$16-cx_awso*Sens!$C$8127</f>
        <v>25.2781053077374</v>
      </c>
      <c r="D8132" s="38" t="n">
        <f aca="false">Q!$E$46-cx_rt*Q!$E$16-cx_awso*Sens!$D$8127</f>
        <v>69.5686316310026</v>
      </c>
      <c r="E8132" s="38" t="n">
        <f aca="false">Q!$P$46-cx_rt*Q!$P$16-cx_awso*Sens!$E$8127</f>
        <v>64.1899206485108</v>
      </c>
      <c r="F8132" s="38" t="n">
        <f aca="false">MAX(Sens!$F$8109*(Sens!$F$8114+tk_fac*(1-colo_sh))/1000,capex_g26-Q!$P$46-Sens!$F$8130)</f>
        <v>96.2481299895</v>
      </c>
      <c r="G8132" s="38" t="n">
        <f aca="false">Sens!$E$8132+Sens!$F$8132</f>
        <v>160.438050638011</v>
      </c>
      <c r="H8132" s="38" t="n">
        <f aca="false">Sens!$H$8109*(Sens!$H$8114+tk_fac*(1-colo_sh))/1000+Sens!$H$8133</f>
        <v>198.57136494475</v>
      </c>
      <c r="I8132" s="38" t="n">
        <f aca="false">Sens!$I$8109*(Sens!$I$8114+tk_fac*(1-colo_sh))/1000+Sens!$I$8133</f>
        <v>204.6464699105</v>
      </c>
      <c r="J8132" s="38" t="n">
        <f aca="false">Sens!$J$8109*(Sens!$J$8114+tk_fac*(1-colo_sh))/1000+Sens!$J$8133</f>
        <v>209.8832381105</v>
      </c>
      <c r="K8132" s="38" t="n">
        <f aca="false">Sens!$K$8109*(Sens!$K$8114+tk_fac*(1-colo_sh))/1000+Sens!$K$8133</f>
        <v>155.238385275201</v>
      </c>
      <c r="L8132" s="38" t="n">
        <f aca="false">Sens!$L$8109*(Sens!$L$8114+tk_fac*(1-colo_sh))/1000+Sens!$L$8133</f>
        <v>132.014141639902</v>
      </c>
      <c r="M8132" s="38" t="n">
        <f aca="false">Sens!$M$8109*(Sens!$M$8114+tk_fac*(1-colo_sh))/1000+Sens!$M$8133</f>
        <v>132.230981659852</v>
      </c>
      <c r="P8132" s="5" t="s">
        <v>629</v>
      </c>
      <c r="R8132" s="38" t="n">
        <f aca="false">Q!$C$46-cx_rt*Q!$C$16-cx_awso*(Q!$C$7-mw_ye23/2*rpm_open/1000)</f>
        <v>1.50429979529945</v>
      </c>
      <c r="S8132" s="38" t="n">
        <f aca="false">Sens!$C$8132</f>
        <v>25.2781053077374</v>
      </c>
      <c r="T8132" s="38" t="n">
        <f aca="false">Sens!$D$8132</f>
        <v>69.5686316310026</v>
      </c>
      <c r="U8132" s="38" t="n">
        <f aca="false">Sens!$G$8132</f>
        <v>160.438050638011</v>
      </c>
      <c r="V8132" s="38" t="n">
        <f aca="false">Sens!$H$8132</f>
        <v>198.57136494475</v>
      </c>
      <c r="W8132" s="38" t="n">
        <f aca="false">Sens!$I$8132</f>
        <v>204.6464699105</v>
      </c>
      <c r="X8132" s="38" t="n">
        <f aca="false">Sens!$J$8132</f>
        <v>209.8832381105</v>
      </c>
      <c r="Y8132" s="38" t="n">
        <f aca="false">Sens!$K$8132</f>
        <v>155.238385275201</v>
      </c>
      <c r="Z8132" s="38" t="n">
        <f aca="false">Sens!$L$8132</f>
        <v>132.014141639902</v>
      </c>
      <c r="AA8132" s="38" t="n">
        <f aca="false">Sens!$M$8132</f>
        <v>132.230981659852</v>
      </c>
    </row>
    <row r="8133" customFormat="false" ht="17.15" hidden="false" customHeight="false" outlineLevel="0" collapsed="false">
      <c r="A8133" s="0" t="s">
        <v>630</v>
      </c>
      <c r="B8133" s="0" t="s">
        <v>86</v>
      </c>
      <c r="H8133" s="38" t="n">
        <f aca="false">SUMPRODUCT(--(Sens!$R$8102:$AA$8102=2027-tk_life),Sens!$R$8109:$AA$8109)*Sens!$H$8114/1000</f>
        <v>0</v>
      </c>
      <c r="I8133" s="38" t="n">
        <f aca="false">SUMPRODUCT(--(Sens!$R$8102:$AA$8102=2028-tk_life),Sens!$R$8109:$AA$8109)*Sens!$I$8114/1000</f>
        <v>0</v>
      </c>
      <c r="J8133" s="38" t="n">
        <f aca="false">SUMPRODUCT(--(Sens!$R$8102:$AA$8102=2029-tk_life),Sens!$R$8109:$AA$8109)*Sens!$J$8114/1000</f>
        <v>5.2367682</v>
      </c>
      <c r="K8133" s="38" t="n">
        <f aca="false">SUMPRODUCT(--(Sens!$R$8102:$AA$8102=2030-tk_life),Sens!$R$8109:$AA$8109)*Sens!$K$8114/1000</f>
        <v>10.4735364</v>
      </c>
      <c r="L8133" s="38" t="n">
        <f aca="false">SUMPRODUCT(--(Sens!$R$8102:$AA$8102=2031-tk_life),Sens!$R$8109:$AA$8109)*Sens!$L$8114/1000</f>
        <v>47.1309138</v>
      </c>
      <c r="M8133" s="38" t="n">
        <f aca="false">SUMPRODUCT(--(Sens!$R$8102:$AA$8102=2032-tk_life),Sens!$R$8109:$AA$8109)*Sens!$M$8114/1000</f>
        <v>107.22937485525</v>
      </c>
    </row>
    <row r="8134" customFormat="false" ht="17.15" hidden="false" customHeight="false" outlineLevel="0" collapsed="false">
      <c r="A8134" s="0" t="s">
        <v>631</v>
      </c>
      <c r="B8134" s="0" t="s">
        <v>86</v>
      </c>
      <c r="C8134" s="38" t="n">
        <f aca="false">MIN(Sens!$C$8132,Sens!$C$8109*(tk_cx_h100+tk_fac*(1-colo_sh))/1000)</f>
        <v>11.2938642</v>
      </c>
      <c r="D8134" s="38" t="n">
        <f aca="false">MIN(Sens!$D$8132,Sens!$D$8109*(tk_cx_h100+tk_fac*(1-colo_sh))/1000)</f>
        <v>50.8223889</v>
      </c>
      <c r="E8134" s="38" t="n">
        <f aca="false">MIN(Sens!$E$8132,Sens!$E$8109*(Sens!$F$8114+tk_fac*(1-colo_sh))/1000)</f>
        <v>33.8985792</v>
      </c>
      <c r="F8134" s="38" t="n">
        <f aca="false">Sens!$F$8132</f>
        <v>96.2481299895</v>
      </c>
      <c r="G8134" s="38" t="n">
        <f aca="false">Sens!$E$8134+Sens!$F$8134</f>
        <v>130.1467091895</v>
      </c>
      <c r="H8134" s="38" t="n">
        <f aca="false">Sens!$H$8132</f>
        <v>198.57136494475</v>
      </c>
      <c r="I8134" s="38" t="n">
        <f aca="false">Sens!$I$8132</f>
        <v>204.6464699105</v>
      </c>
      <c r="J8134" s="38" t="n">
        <f aca="false">Sens!$J$8132</f>
        <v>209.8832381105</v>
      </c>
      <c r="K8134" s="38" t="n">
        <f aca="false">Sens!$K$8132</f>
        <v>155.238385275201</v>
      </c>
      <c r="L8134" s="38" t="n">
        <f aca="false">Sens!$L$8132</f>
        <v>132.014141639902</v>
      </c>
      <c r="M8134" s="38" t="n">
        <f aca="false">Sens!$M$8132</f>
        <v>132.230981659852</v>
      </c>
      <c r="P8134" s="5" t="s">
        <v>632</v>
      </c>
      <c r="R8134" s="38" t="n">
        <f aca="false">MIN(Sens!$R$8132,Sens!$R$8109*(tk_cx_h100+tk_fac*(1-colo_sh))/1000)</f>
        <v>1.50429979529945</v>
      </c>
      <c r="S8134" s="38" t="n">
        <f aca="false">Sens!$C$8134</f>
        <v>11.2938642</v>
      </c>
      <c r="T8134" s="38" t="n">
        <f aca="false">Sens!$D$8134</f>
        <v>50.8223889</v>
      </c>
      <c r="U8134" s="38" t="n">
        <f aca="false">Sens!$G$8134</f>
        <v>130.1467091895</v>
      </c>
      <c r="V8134" s="38" t="n">
        <f aca="false">Sens!$H$8134</f>
        <v>198.57136494475</v>
      </c>
      <c r="W8134" s="38" t="n">
        <f aca="false">Sens!$I$8134</f>
        <v>204.6464699105</v>
      </c>
      <c r="X8134" s="38" t="n">
        <f aca="false">Sens!$J$8134</f>
        <v>209.8832381105</v>
      </c>
      <c r="Y8134" s="38" t="n">
        <f aca="false">Sens!$K$8134</f>
        <v>155.238385275201</v>
      </c>
      <c r="Z8134" s="38" t="n">
        <f aca="false">Sens!$L$8134</f>
        <v>132.014141639902</v>
      </c>
      <c r="AA8134" s="38" t="n">
        <f aca="false">Sens!$M$8134</f>
        <v>132.230981659852</v>
      </c>
    </row>
    <row r="8135" customFormat="false" ht="17.15" hidden="false" customHeight="false" outlineLevel="0" collapsed="false">
      <c r="A8135" s="5" t="s">
        <v>633</v>
      </c>
      <c r="B8135" s="0" t="s">
        <v>86</v>
      </c>
      <c r="C8135" s="38" t="n">
        <f aca="false">Sens!$C$8132-Sens!$C$8134</f>
        <v>13.9842411077374</v>
      </c>
      <c r="D8135" s="38" t="n">
        <f aca="false">Sens!$D$8132-Sens!$D$8134</f>
        <v>18.7462427310026</v>
      </c>
      <c r="E8135" s="38" t="n">
        <f aca="false">Sens!$E$8132-Sens!$E$8134</f>
        <v>30.2913414485108</v>
      </c>
      <c r="F8135" s="38" t="n">
        <f aca="false">Sens!$F$8132-Sens!$F$8134</f>
        <v>0</v>
      </c>
      <c r="G8135" s="38" t="n">
        <f aca="false">Sens!$G$8132-Sens!$G$8134</f>
        <v>30.2913414485108</v>
      </c>
      <c r="H8135" s="38" t="n">
        <f aca="false">Sens!$H$8132-Sens!$H$8134</f>
        <v>0</v>
      </c>
      <c r="I8135" s="38" t="n">
        <f aca="false">Sens!$I$8132-Sens!$I$8134</f>
        <v>0</v>
      </c>
      <c r="J8135" s="38" t="n">
        <f aca="false">Sens!$J$8132-Sens!$J$8134</f>
        <v>0</v>
      </c>
      <c r="K8135" s="38" t="n">
        <f aca="false">Sens!$K$8132-Sens!$K$8134</f>
        <v>0</v>
      </c>
      <c r="L8135" s="38" t="n">
        <f aca="false">Sens!$L$8132-Sens!$L$8134</f>
        <v>0</v>
      </c>
      <c r="M8135" s="38" t="n">
        <f aca="false">Sens!$M$8132-Sens!$M$8134</f>
        <v>0</v>
      </c>
    </row>
    <row r="8136" customFormat="false" ht="17.15" hidden="false" customHeight="false" outlineLevel="0" collapsed="false">
      <c r="A8136" s="5" t="s">
        <v>634</v>
      </c>
      <c r="B8136" s="0" t="s">
        <v>86</v>
      </c>
      <c r="C8136" s="38" t="n">
        <f aca="false">Sens!$C$8134*Sens!$C$8131</f>
        <v>8.2530642</v>
      </c>
      <c r="D8136" s="38" t="n">
        <f aca="false">Sens!$D$8134*Sens!$D$8131</f>
        <v>37.1387889</v>
      </c>
      <c r="E8136" s="38" t="n">
        <f aca="false">Sens!$E$8134*Sens!$E$8131</f>
        <v>25.7897792</v>
      </c>
      <c r="F8136" s="38" t="n">
        <f aca="false">Sens!$F$8134*Sens!$F$8131</f>
        <v>73.2248394895</v>
      </c>
      <c r="G8136" s="38" t="n">
        <f aca="false">Sens!$E$8136+Sens!$F$8136</f>
        <v>99.0146186895</v>
      </c>
      <c r="H8136" s="38" t="n">
        <f aca="false">(Sens!$H$8134-Sens!$H$8133)*Sens!$H$8131+Sens!$H$8133</f>
        <v>152.52478394475</v>
      </c>
      <c r="I8136" s="38" t="n">
        <f aca="false">(Sens!$I$8134-Sens!$I$8133)*Sens!$I$8131+Sens!$I$8133</f>
        <v>158.5998889105</v>
      </c>
      <c r="J8136" s="38" t="n">
        <f aca="false">(Sens!$J$8134-Sens!$J$8133)*Sens!$J$8131+Sens!$J$8133</f>
        <v>163.8366571105</v>
      </c>
      <c r="K8136" s="38" t="n">
        <f aca="false">(Sens!$K$8134-Sens!$K$8133)*Sens!$K$8131+Sens!$K$8133</f>
        <v>122.665498273534</v>
      </c>
      <c r="L8136" s="38" t="n">
        <f aca="false">(Sens!$L$8134-Sens!$L$8133)*Sens!$L$8131+Sens!$L$8133</f>
        <v>112.914948636568</v>
      </c>
      <c r="M8136" s="38" t="n">
        <f aca="false">(Sens!$M$8134-Sens!$M$8133)*Sens!$M$8131+Sens!$M$8133</f>
        <v>126.605482654852</v>
      </c>
      <c r="R8136" s="38" t="n">
        <f aca="false">Sens!$R$8134*Sens!$C$8131</f>
        <v>1.09927679019314</v>
      </c>
      <c r="S8136" s="38" t="n">
        <f aca="false">Sens!$C$8136</f>
        <v>8.2530642</v>
      </c>
      <c r="T8136" s="38" t="n">
        <f aca="false">Sens!$D$8136</f>
        <v>37.1387889</v>
      </c>
      <c r="U8136" s="38" t="n">
        <f aca="false">Sens!$G$8136</f>
        <v>99.0146186895</v>
      </c>
      <c r="V8136" s="38" t="n">
        <f aca="false">Sens!$H$8136</f>
        <v>152.52478394475</v>
      </c>
      <c r="W8136" s="38" t="n">
        <f aca="false">Sens!$I$8136</f>
        <v>158.5998889105</v>
      </c>
      <c r="X8136" s="38" t="n">
        <f aca="false">Sens!$J$8136</f>
        <v>163.8366571105</v>
      </c>
      <c r="Y8136" s="38" t="n">
        <f aca="false">Sens!$K$8136</f>
        <v>122.665498273534</v>
      </c>
      <c r="Z8136" s="38" t="n">
        <f aca="false">Sens!$L$8136</f>
        <v>112.914948636568</v>
      </c>
      <c r="AA8136" s="38" t="n">
        <f aca="false">Sens!$M$8136</f>
        <v>126.605482654852</v>
      </c>
    </row>
    <row r="8137" customFormat="false" ht="15" hidden="false" customHeight="false" outlineLevel="0" collapsed="false">
      <c r="A8137" s="5" t="s">
        <v>635</v>
      </c>
      <c r="B8137" s="0" t="s">
        <v>86</v>
      </c>
      <c r="C8137" s="38" t="n">
        <f aca="false">Sens!$C$8134-Sens!$C$8136</f>
        <v>3.0408</v>
      </c>
      <c r="D8137" s="38" t="n">
        <f aca="false">Sens!$D$8134-Sens!$D$8136</f>
        <v>13.6836</v>
      </c>
      <c r="E8137" s="38" t="n">
        <f aca="false">Sens!$E$8134-Sens!$E$8136</f>
        <v>8.1088</v>
      </c>
      <c r="F8137" s="38" t="n">
        <f aca="false">Sens!$F$8134-Sens!$F$8136</f>
        <v>23.0232905</v>
      </c>
      <c r="G8137" s="38" t="n">
        <f aca="false">Sens!$G$8134-Sens!$G$8136</f>
        <v>31.1320905</v>
      </c>
      <c r="H8137" s="38" t="n">
        <f aca="false">Sens!$H$8134-Sens!$H$8136</f>
        <v>46.046581</v>
      </c>
      <c r="I8137" s="38" t="n">
        <f aca="false">Sens!$I$8134-Sens!$I$8136</f>
        <v>46.046581</v>
      </c>
      <c r="J8137" s="38" t="n">
        <f aca="false">Sens!$J$8134-Sens!$J$8136</f>
        <v>46.046581</v>
      </c>
      <c r="K8137" s="38" t="n">
        <f aca="false">Sens!$K$8134-Sens!$K$8136</f>
        <v>32.5728870016667</v>
      </c>
      <c r="L8137" s="38" t="n">
        <f aca="false">Sens!$L$8134-Sens!$L$8136</f>
        <v>19.0991930033334</v>
      </c>
      <c r="M8137" s="38" t="n">
        <f aca="false">Sens!$M$8134-Sens!$M$8136</f>
        <v>5.62549900499998</v>
      </c>
      <c r="R8137" s="38" t="n">
        <f aca="false">Sens!$R$8134-Sens!$R$8136</f>
        <v>0.405023005106309</v>
      </c>
      <c r="S8137" s="38" t="n">
        <f aca="false">Sens!$S$8134-Sens!$S$8136</f>
        <v>3.0408</v>
      </c>
      <c r="T8137" s="38" t="n">
        <f aca="false">Sens!$T$8134-Sens!$T$8136</f>
        <v>13.6836</v>
      </c>
      <c r="U8137" s="38" t="n">
        <f aca="false">Sens!$U$8134-Sens!$U$8136</f>
        <v>31.1320905</v>
      </c>
      <c r="V8137" s="38" t="n">
        <f aca="false">Sens!$V$8134-Sens!$V$8136</f>
        <v>46.046581</v>
      </c>
      <c r="W8137" s="38" t="n">
        <f aca="false">Sens!$W$8134-Sens!$W$8136</f>
        <v>46.046581</v>
      </c>
      <c r="X8137" s="38" t="n">
        <f aca="false">Sens!$X$8134-Sens!$X$8136</f>
        <v>46.046581</v>
      </c>
      <c r="Y8137" s="38" t="n">
        <f aca="false">Sens!$Y$8134-Sens!$Y$8136</f>
        <v>32.5728870016667</v>
      </c>
      <c r="Z8137" s="38" t="n">
        <f aca="false">Sens!$Z$8134-Sens!$Z$8136</f>
        <v>19.0991930033334</v>
      </c>
      <c r="AA8137" s="38" t="n">
        <f aca="false">Sens!$AA$8134-Sens!$AA$8136</f>
        <v>5.62549900499998</v>
      </c>
    </row>
    <row r="8138" customFormat="false" ht="17.15" hidden="false" customHeight="false" outlineLevel="0" collapsed="false">
      <c r="A8138" s="0" t="s">
        <v>636</v>
      </c>
      <c r="B8138" s="0" t="s">
        <v>52</v>
      </c>
      <c r="C8138" s="13" t="n">
        <f aca="false">Sens!$C$8132/Sens!$C$8254</f>
        <v>0.325505489553393</v>
      </c>
      <c r="D8138" s="13" t="n">
        <f aca="false">Sens!$D$8132/Sens!$D$8254</f>
        <v>0.54214956071542</v>
      </c>
      <c r="E8138" s="13" t="n">
        <f aca="false">Sens!$E$8132/Sens!$E$8254</f>
        <v>0.666492790452817</v>
      </c>
      <c r="F8138" s="13" t="n">
        <f aca="false">Sens!$F$8132/Sens!$F$8254</f>
        <v>0.733477910687338</v>
      </c>
      <c r="G8138" s="13" t="n">
        <f aca="false">Sens!$G$8132/Sens!$G$8254</f>
        <v>0.705124321514523</v>
      </c>
      <c r="H8138" s="13" t="n">
        <f aca="false">Sens!$H$8132/Sens!$H$8254</f>
        <v>0.726376041178204</v>
      </c>
      <c r="I8138" s="13" t="n">
        <f aca="false">Sens!$I$8132/Sens!$I$8254</f>
        <v>0.713099092661699</v>
      </c>
      <c r="J8138" s="13" t="n">
        <f aca="false">Sens!$J$8132/Sens!$J$8254</f>
        <v>0.701208348786245</v>
      </c>
      <c r="K8138" s="13" t="n">
        <f aca="false">Sens!$K$8132/Sens!$K$8254</f>
        <v>0.618338844562383</v>
      </c>
      <c r="L8138" s="13" t="n">
        <f aca="false">Sens!$L$8132/Sens!$L$8254</f>
        <v>0.562489158462506</v>
      </c>
      <c r="M8138" s="13" t="n">
        <f aca="false">Sens!$M$8132/Sens!$M$8254</f>
        <v>0.545751190895923</v>
      </c>
    </row>
    <row r="8139" customFormat="false" ht="17.15" hidden="false" customHeight="false" outlineLevel="0" collapsed="false">
      <c r="A8139" s="0" t="s">
        <v>637</v>
      </c>
      <c r="B8139" s="0" t="s">
        <v>86</v>
      </c>
      <c r="C8139" s="38" t="n">
        <f aca="false">Sens!$S$8139</f>
        <v>0.183212798365523</v>
      </c>
      <c r="D8139" s="38" t="n">
        <f aca="false">Sens!$T$8139</f>
        <v>1.55872349836552</v>
      </c>
      <c r="E8139" s="38" t="n">
        <f aca="false">Sens!$G$8139/2</f>
        <v>3.87426082418276</v>
      </c>
      <c r="F8139" s="38" t="n">
        <f aca="false">Sens!$G$8139/2</f>
        <v>3.87426082418276</v>
      </c>
      <c r="G8139" s="38" t="n">
        <f aca="false">Sens!$U$8139</f>
        <v>7.74852164836552</v>
      </c>
      <c r="H8139" s="38" t="n">
        <f aca="false">Sens!$V$8139</f>
        <v>24.2509580966155</v>
      </c>
      <c r="I8139" s="38" t="n">
        <f aca="false">Sens!$W$8139</f>
        <v>49.6717554207405</v>
      </c>
      <c r="J8139" s="38" t="n">
        <f aca="false">Sens!$X$8139</f>
        <v>76.1050702391572</v>
      </c>
      <c r="K8139" s="38" t="n">
        <f aca="false">Sens!$Y$8139</f>
        <v>103.227966959208</v>
      </c>
      <c r="L8139" s="38" t="n">
        <f aca="false">Sens!$Z$8139</f>
        <v>122.296705971464</v>
      </c>
      <c r="M8139" s="38" t="n">
        <f aca="false">Sens!$AA$8139</f>
        <v>134.926065927559</v>
      </c>
      <c r="N8139" s="38" t="n">
        <f aca="false">Sens!$D$8139/2</f>
        <v>0.779361749182762</v>
      </c>
      <c r="O8139" s="38" t="n">
        <f aca="false">Sens!$D$8139/2</f>
        <v>0.779361749182762</v>
      </c>
      <c r="R8139" s="38" t="n">
        <f aca="false">SUMPRODUCT(--(Sens!$R$8102:$AA$8102&lt;Sens!R$8102),--(Sens!$R$8102:$AA$8102&gt;=Sens!R$8102-tk_life),Sens!$R$8136:$AA$8136)/tk_life</f>
        <v>0</v>
      </c>
      <c r="S8139" s="38" t="n">
        <f aca="false">SUMPRODUCT(--(Sens!$R$8102:$AA$8102&lt;Sens!S$8102),--(Sens!$R$8102:$AA$8102&gt;=Sens!S$8102-tk_life),Sens!$R$8136:$AA$8136)/tk_life</f>
        <v>0.183212798365523</v>
      </c>
      <c r="T8139" s="38" t="n">
        <f aca="false">SUMPRODUCT(--(Sens!$R$8102:$AA$8102&lt;Sens!T$8102),--(Sens!$R$8102:$AA$8102&gt;=Sens!T$8102-tk_life),Sens!$R$8136:$AA$8136)/tk_life</f>
        <v>1.55872349836552</v>
      </c>
      <c r="U8139" s="38" t="n">
        <f aca="false">SUMPRODUCT(--(Sens!$R$8102:$AA$8102&lt;Sens!U$8102),--(Sens!$R$8102:$AA$8102&gt;=Sens!U$8102-tk_life),Sens!$R$8136:$AA$8136)/tk_life</f>
        <v>7.74852164836552</v>
      </c>
      <c r="V8139" s="38" t="n">
        <f aca="false">SUMPRODUCT(--(Sens!$R$8102:$AA$8102&lt;Sens!V$8102),--(Sens!$R$8102:$AA$8102&gt;=Sens!V$8102-tk_life),Sens!$R$8136:$AA$8136)/tk_life</f>
        <v>24.2509580966155</v>
      </c>
      <c r="W8139" s="38" t="n">
        <f aca="false">SUMPRODUCT(--(Sens!$R$8102:$AA$8102&lt;Sens!W$8102),--(Sens!$R$8102:$AA$8102&gt;=Sens!W$8102-tk_life),Sens!$R$8136:$AA$8136)/tk_life</f>
        <v>49.6717554207405</v>
      </c>
      <c r="X8139" s="38" t="n">
        <f aca="false">SUMPRODUCT(--(Sens!$R$8102:$AA$8102&lt;Sens!X$8102),--(Sens!$R$8102:$AA$8102&gt;=Sens!X$8102-tk_life),Sens!$R$8136:$AA$8136)/tk_life</f>
        <v>76.1050702391572</v>
      </c>
      <c r="Y8139" s="38" t="n">
        <f aca="false">SUMPRODUCT(--(Sens!$R$8102:$AA$8102&lt;Sens!Y$8102),--(Sens!$R$8102:$AA$8102&gt;=Sens!Y$8102-tk_life),Sens!$R$8136:$AA$8136)/tk_life</f>
        <v>103.227966959208</v>
      </c>
      <c r="Z8139" s="38" t="n">
        <f aca="false">SUMPRODUCT(--(Sens!$R$8102:$AA$8102&lt;Sens!Z$8102),--(Sens!$R$8102:$AA$8102&gt;=Sens!Z$8102-tk_life),Sens!$R$8136:$AA$8136)/tk_life</f>
        <v>122.296705971464</v>
      </c>
      <c r="AA8139" s="38" t="n">
        <f aca="false">SUMPRODUCT(--(Sens!$R$8102:$AA$8102&lt;Sens!AA$8102),--(Sens!$R$8102:$AA$8102&gt;=Sens!AA$8102-tk_life),Sens!$R$8136:$AA$8136)/tk_life</f>
        <v>134.926065927559</v>
      </c>
    </row>
    <row r="8140" customFormat="false" ht="17.15" hidden="false" customHeight="false" outlineLevel="0" collapsed="false">
      <c r="A8140" s="0" t="s">
        <v>638</v>
      </c>
      <c r="B8140" s="0" t="s">
        <v>86</v>
      </c>
      <c r="C8140" s="38" t="n">
        <f aca="false">Sens!$S$8140</f>
        <v>0.0202511502553155</v>
      </c>
      <c r="D8140" s="38" t="n">
        <f aca="false">Sens!$T$8140</f>
        <v>0.172291150255315</v>
      </c>
      <c r="E8140" s="38" t="n">
        <f aca="false">Sens!$G$8140/2</f>
        <v>0.428235575127658</v>
      </c>
      <c r="F8140" s="38" t="n">
        <f aca="false">Sens!$G$8140/2</f>
        <v>0.428235575127658</v>
      </c>
      <c r="G8140" s="38" t="n">
        <f aca="false">Sens!$U$8140</f>
        <v>0.856471150255315</v>
      </c>
      <c r="H8140" s="38" t="n">
        <f aca="false">Sens!$V$8140</f>
        <v>2.41307567525532</v>
      </c>
      <c r="I8140" s="38" t="n">
        <f aca="false">Sens!$W$8140</f>
        <v>4.71540472525532</v>
      </c>
      <c r="J8140" s="38" t="n">
        <f aca="false">Sens!$X$8140</f>
        <v>7.01773377525532</v>
      </c>
      <c r="K8140" s="38" t="n">
        <f aca="false">Sens!$Y$8140</f>
        <v>9.32006282525532</v>
      </c>
      <c r="L8140" s="38" t="n">
        <f aca="false">Sens!$Z$8140</f>
        <v>10.9487071753387</v>
      </c>
      <c r="M8140" s="38" t="n">
        <f aca="false">Sens!$AA$8140</f>
        <v>11.9036668255053</v>
      </c>
      <c r="N8140" s="38" t="n">
        <f aca="false">Sens!$D$8140/2</f>
        <v>0.0861455751276577</v>
      </c>
      <c r="O8140" s="38" t="n">
        <f aca="false">Sens!$D$8140/2</f>
        <v>0.0861455751276577</v>
      </c>
      <c r="R8140" s="38" t="n">
        <f aca="false">SUMPRODUCT(--(Sens!$R$8102:$AA$8102&lt;Sens!R$8102),Sens!$R$8137:$AA$8137)/fac_life</f>
        <v>0</v>
      </c>
      <c r="S8140" s="38" t="n">
        <f aca="false">SUMPRODUCT(--(Sens!$R$8102:$AA$8102&lt;Sens!S$8102),Sens!$R$8137:$AA$8137)/fac_life</f>
        <v>0.0202511502553155</v>
      </c>
      <c r="T8140" s="38" t="n">
        <f aca="false">SUMPRODUCT(--(Sens!$R$8102:$AA$8102&lt;Sens!T$8102),Sens!$R$8137:$AA$8137)/fac_life</f>
        <v>0.172291150255315</v>
      </c>
      <c r="U8140" s="38" t="n">
        <f aca="false">SUMPRODUCT(--(Sens!$R$8102:$AA$8102&lt;Sens!U$8102),Sens!$R$8137:$AA$8137)/fac_life</f>
        <v>0.856471150255315</v>
      </c>
      <c r="V8140" s="38" t="n">
        <f aca="false">SUMPRODUCT(--(Sens!$R$8102:$AA$8102&lt;Sens!V$8102),Sens!$R$8137:$AA$8137)/fac_life</f>
        <v>2.41307567525532</v>
      </c>
      <c r="W8140" s="38" t="n">
        <f aca="false">SUMPRODUCT(--(Sens!$R$8102:$AA$8102&lt;Sens!W$8102),Sens!$R$8137:$AA$8137)/fac_life</f>
        <v>4.71540472525532</v>
      </c>
      <c r="X8140" s="38" t="n">
        <f aca="false">SUMPRODUCT(--(Sens!$R$8102:$AA$8102&lt;Sens!X$8102),Sens!$R$8137:$AA$8137)/fac_life</f>
        <v>7.01773377525532</v>
      </c>
      <c r="Y8140" s="38" t="n">
        <f aca="false">SUMPRODUCT(--(Sens!$R$8102:$AA$8102&lt;Sens!Y$8102),Sens!$R$8137:$AA$8137)/fac_life</f>
        <v>9.32006282525532</v>
      </c>
      <c r="Z8140" s="38" t="n">
        <f aca="false">SUMPRODUCT(--(Sens!$R$8102:$AA$8102&lt;Sens!Z$8102),Sens!$R$8137:$AA$8137)/fac_life</f>
        <v>10.9487071753387</v>
      </c>
      <c r="AA8140" s="38" t="n">
        <f aca="false">SUMPRODUCT(--(Sens!$R$8102:$AA$8102&lt;Sens!AA$8102),Sens!$R$8137:$AA$8137)/fac_life</f>
        <v>11.9036668255053</v>
      </c>
    </row>
    <row r="8141" customFormat="false" ht="17.15" hidden="false" customHeight="false" outlineLevel="0" collapsed="false">
      <c r="A8141" s="1" t="s">
        <v>639</v>
      </c>
      <c r="B8141" s="8" t="s">
        <v>86</v>
      </c>
      <c r="C8141" s="38" t="n">
        <f aca="false">Sens!$C$8139+Sens!$C$8140</f>
        <v>0.203463948620839</v>
      </c>
      <c r="D8141" s="38" t="n">
        <f aca="false">Sens!$D$8139+Sens!$D$8140</f>
        <v>1.73101464862084</v>
      </c>
      <c r="E8141" s="38" t="n">
        <f aca="false">Sens!$E$8139+Sens!$E$8140</f>
        <v>4.30249639931042</v>
      </c>
      <c r="F8141" s="38" t="n">
        <f aca="false">Sens!$F$8139+Sens!$F$8140</f>
        <v>4.30249639931042</v>
      </c>
      <c r="G8141" s="38" t="n">
        <f aca="false">Sens!$G$8139+Sens!$G$8140</f>
        <v>8.60499279862084</v>
      </c>
      <c r="H8141" s="38" t="n">
        <f aca="false">Sens!$H$8139+Sens!$H$8140</f>
        <v>26.6640337718708</v>
      </c>
      <c r="I8141" s="38" t="n">
        <f aca="false">Sens!$I$8139+Sens!$I$8140</f>
        <v>54.3871601459959</v>
      </c>
      <c r="J8141" s="38" t="n">
        <f aca="false">Sens!$J$8139+Sens!$J$8140</f>
        <v>83.1228040144125</v>
      </c>
      <c r="K8141" s="38" t="n">
        <f aca="false">Sens!$K$8139+Sens!$K$8140</f>
        <v>112.548029784464</v>
      </c>
      <c r="L8141" s="38" t="n">
        <f aca="false">Sens!$L$8139+Sens!$L$8140</f>
        <v>133.245413146803</v>
      </c>
      <c r="M8141" s="38" t="n">
        <f aca="false">Sens!$M$8139+Sens!$M$8140</f>
        <v>146.829732753064</v>
      </c>
      <c r="N8141" s="38" t="n">
        <f aca="false">Sens!$N$8139+Sens!$N$8140</f>
        <v>0.865507324310419</v>
      </c>
      <c r="O8141" s="38" t="n">
        <f aca="false">Sens!$O$8139+Sens!$O$8140</f>
        <v>0.865507324310419</v>
      </c>
      <c r="R8141" s="38" t="n">
        <f aca="false">Sens!$R$8139+Sens!$R$8140</f>
        <v>0</v>
      </c>
      <c r="S8141" s="38" t="n">
        <f aca="false">Sens!$S$8139+Sens!$S$8140</f>
        <v>0.203463948620839</v>
      </c>
      <c r="T8141" s="38" t="n">
        <f aca="false">Sens!$T$8139+Sens!$T$8140</f>
        <v>1.73101464862084</v>
      </c>
      <c r="U8141" s="38" t="n">
        <f aca="false">Sens!$U$8139+Sens!$U$8140</f>
        <v>8.60499279862084</v>
      </c>
      <c r="V8141" s="38" t="n">
        <f aca="false">Sens!$V$8139+Sens!$V$8140</f>
        <v>26.6640337718708</v>
      </c>
      <c r="W8141" s="38" t="n">
        <f aca="false">Sens!$W$8139+Sens!$W$8140</f>
        <v>54.3871601459959</v>
      </c>
      <c r="X8141" s="38" t="n">
        <f aca="false">Sens!$X$8139+Sens!$X$8140</f>
        <v>83.1228040144125</v>
      </c>
      <c r="Y8141" s="38" t="n">
        <f aca="false">Sens!$Y$8139+Sens!$Y$8140</f>
        <v>112.548029784464</v>
      </c>
      <c r="Z8141" s="38" t="n">
        <f aca="false">Sens!$Z$8139+Sens!$Z$8140</f>
        <v>133.245413146803</v>
      </c>
      <c r="AA8141" s="38" t="n">
        <f aca="false">Sens!$AA$8139+Sens!$AA$8140</f>
        <v>146.829732753064</v>
      </c>
    </row>
    <row r="8142" customFormat="false" ht="17.15" hidden="false" customHeight="false" outlineLevel="0" collapsed="false">
      <c r="A8142" s="0" t="s">
        <v>640</v>
      </c>
      <c r="B8142" s="0" t="s">
        <v>86</v>
      </c>
      <c r="C8142" s="38" t="n">
        <f aca="false">Sens!$S$8142</f>
        <v>12.5947000466786</v>
      </c>
      <c r="D8142" s="38" t="n">
        <f aca="false">Sens!$T$8142</f>
        <v>61.6860742980578</v>
      </c>
      <c r="G8142" s="38" t="n">
        <f aca="false">Sens!$U$8142</f>
        <v>183.227790688937</v>
      </c>
      <c r="H8142" s="38" t="n">
        <f aca="false">Sens!$V$8142</f>
        <v>355.135121861816</v>
      </c>
      <c r="I8142" s="38" t="n">
        <f aca="false">Sens!$W$8142</f>
        <v>505.39443162632</v>
      </c>
      <c r="J8142" s="38" t="n">
        <f aca="false">Sens!$X$8142</f>
        <v>632.154865722408</v>
      </c>
      <c r="K8142" s="38" t="n">
        <f aca="false">Sens!$Y$8142</f>
        <v>674.845221213145</v>
      </c>
      <c r="L8142" s="38" t="n">
        <f aca="false">Sens!$Z$8142</f>
        <v>673.613949706244</v>
      </c>
      <c r="M8142" s="38" t="n">
        <f aca="false">Sens!$AA$8142</f>
        <v>659.015198613032</v>
      </c>
      <c r="R8142" s="38" t="n">
        <f aca="false">SUM(Sens!$R$8134:$R$8134)-SUM(Sens!$R$8141:$R$8141)</f>
        <v>1.50429979529945</v>
      </c>
      <c r="S8142" s="38" t="n">
        <f aca="false">SUM(Sens!$R$8134:$S$8134)-SUM(Sens!$R$8141:$S$8141)</f>
        <v>12.5947000466786</v>
      </c>
      <c r="T8142" s="38" t="n">
        <f aca="false">SUM(Sens!$R$8134:$T$8134)-SUM(Sens!$R$8141:$T$8141)</f>
        <v>61.6860742980578</v>
      </c>
      <c r="U8142" s="38" t="n">
        <f aca="false">SUM(Sens!$R$8134:$U$8134)-SUM(Sens!$R$8141:$U$8141)</f>
        <v>183.227790688937</v>
      </c>
      <c r="V8142" s="38" t="n">
        <f aca="false">SUM(Sens!$R$8134:$V$8134)-SUM(Sens!$R$8141:$V$8141)</f>
        <v>355.135121861816</v>
      </c>
      <c r="W8142" s="38" t="n">
        <f aca="false">SUM(Sens!$R$8134:$W$8134)-SUM(Sens!$R$8141:$W$8141)</f>
        <v>505.39443162632</v>
      </c>
      <c r="X8142" s="38" t="n">
        <f aca="false">SUM(Sens!$R$8134:$X$8134)-SUM(Sens!$R$8141:$X$8141)</f>
        <v>632.154865722408</v>
      </c>
      <c r="Y8142" s="38" t="n">
        <f aca="false">SUM(Sens!$R$8134:$Y$8134)-SUM(Sens!$R$8141:$Y$8141)</f>
        <v>674.845221213145</v>
      </c>
      <c r="Z8142" s="38" t="n">
        <f aca="false">SUM(Sens!$R$8134:$Z$8134)-SUM(Sens!$R$8141:$Z$8141)</f>
        <v>673.613949706244</v>
      </c>
      <c r="AA8142" s="38" t="n">
        <f aca="false">SUM(Sens!$R$8134:$AA$8134)-SUM(Sens!$R$8141:$AA$8141)</f>
        <v>659.015198613032</v>
      </c>
    </row>
    <row r="8143" customFormat="false" ht="17.15" hidden="false" customHeight="false" outlineLevel="0" collapsed="false">
      <c r="A8143" s="1" t="s">
        <v>641</v>
      </c>
    </row>
    <row r="8144" customFormat="false" ht="17.15" hidden="false" customHeight="false" outlineLevel="0" collapsed="false">
      <c r="A8144" s="0" t="s">
        <v>642</v>
      </c>
      <c r="B8144" s="0" t="s">
        <v>86</v>
      </c>
      <c r="C8144" s="38" t="n">
        <f aca="false">Sens!$C$8123-ext_sh*Sens!$C$8125</f>
        <v>1.80694998843362</v>
      </c>
      <c r="D8144" s="38" t="n">
        <f aca="false">Sens!$D$8123-ext_sh*Sens!$D$8125</f>
        <v>6.77606245662607</v>
      </c>
      <c r="E8144" s="38" t="n">
        <f aca="false">Sens!$E$8123-ext_sh*Sens!$E$8125</f>
        <v>6.62548329092326</v>
      </c>
      <c r="F8144" s="38" t="n">
        <f aca="false">Sens!$F$8123-ext_sh*Sens!$F$8125</f>
        <v>11.7200577158706</v>
      </c>
      <c r="G8144" s="38" t="n">
        <f aca="false">Sens!$G$8123-ext_sh*Sens!$G$8125</f>
        <v>18.3455410067939</v>
      </c>
      <c r="H8144" s="38" t="n">
        <f aca="false">Sens!$H$8123-ext_sh*Sens!$H$8125</f>
        <v>47.5171727060453</v>
      </c>
      <c r="I8144" s="38" t="n">
        <f aca="false">Sens!$I$8123-ext_sh*Sens!$I$8125</f>
        <v>80.5539692643667</v>
      </c>
      <c r="J8144" s="38" t="n">
        <f aca="false">Sens!$J$8123-ext_sh*Sens!$J$8125</f>
        <v>113.759316834883</v>
      </c>
      <c r="K8144" s="38" t="n">
        <f aca="false">Sens!$K$8123-ext_sh*Sens!$K$8125</f>
        <v>142.084411492169</v>
      </c>
      <c r="L8144" s="38" t="n">
        <f aca="false">Sens!$L$8123-ext_sh*Sens!$L$8125</f>
        <v>160.69964615804</v>
      </c>
      <c r="M8144" s="38" t="n">
        <f aca="false">Sens!$M$8123-ext_sh*Sens!$M$8125</f>
        <v>169.577607141793</v>
      </c>
      <c r="N8144" s="38" t="n">
        <f aca="false">Sens!$N$8123-ext_sh*Sens!$N$8125</f>
        <v>2.37162185981912</v>
      </c>
      <c r="O8144" s="38" t="n">
        <f aca="false">Sens!$O$8123-ext_sh*Sens!$O$8125</f>
        <v>4.40444059680694</v>
      </c>
    </row>
    <row r="8145" customFormat="false" ht="17.15" hidden="false" customHeight="false" outlineLevel="0" collapsed="false">
      <c r="A8145" s="1" t="s">
        <v>643</v>
      </c>
      <c r="B8145" s="8" t="s">
        <v>86</v>
      </c>
      <c r="C8145" s="38" t="n">
        <f aca="false">Sens!$C$8144-ext_sh*Sens!$C$8141</f>
        <v>1.64417882953695</v>
      </c>
      <c r="D8145" s="38" t="n">
        <f aca="false">Sens!$D$8144-ext_sh*Sens!$D$8141</f>
        <v>5.39125073772939</v>
      </c>
      <c r="E8145" s="38" t="n">
        <f aca="false">Sens!$E$8144-ext_sh*Sens!$E$8141</f>
        <v>3.18348617147493</v>
      </c>
      <c r="F8145" s="38" t="n">
        <f aca="false">Sens!$F$8144-ext_sh*Sens!$F$8141</f>
        <v>8.27806059642226</v>
      </c>
      <c r="G8145" s="38" t="n">
        <f aca="false">Sens!$G$8144-ext_sh*Sens!$G$8141</f>
        <v>11.4615467678972</v>
      </c>
      <c r="H8145" s="38" t="n">
        <f aca="false">Sens!$H$8144-ext_sh*Sens!$H$8141</f>
        <v>26.1859456885487</v>
      </c>
      <c r="I8145" s="38" t="n">
        <f aca="false">Sens!$I$8144-ext_sh*Sens!$I$8141</f>
        <v>37.04424114757</v>
      </c>
      <c r="J8145" s="38" t="n">
        <f aca="false">Sens!$J$8144-ext_sh*Sens!$J$8141</f>
        <v>47.2610736233534</v>
      </c>
      <c r="K8145" s="38" t="n">
        <f aca="false">Sens!$K$8144-ext_sh*Sens!$K$8141</f>
        <v>52.0459876645985</v>
      </c>
      <c r="L8145" s="38" t="n">
        <f aca="false">Sens!$L$8144-ext_sh*Sens!$L$8141</f>
        <v>54.1033156405981</v>
      </c>
      <c r="M8145" s="38" t="n">
        <f aca="false">Sens!$M$8144-ext_sh*Sens!$M$8141</f>
        <v>52.1138209393421</v>
      </c>
      <c r="N8145" s="38" t="n">
        <f aca="false">Sens!$N$8144-ext_sh*Sens!$N$8141</f>
        <v>1.67921600037079</v>
      </c>
      <c r="O8145" s="38" t="n">
        <f aca="false">Sens!$O$8144-ext_sh*Sens!$O$8141</f>
        <v>3.71203473735861</v>
      </c>
    </row>
    <row r="8146" customFormat="false" ht="17.15" hidden="false" customHeight="false" outlineLevel="0" collapsed="false">
      <c r="A8146" s="0" t="s">
        <v>644</v>
      </c>
      <c r="B8146" s="0" t="s">
        <v>52</v>
      </c>
      <c r="C8146" s="13" t="n">
        <f aca="false">Sens!$C$8145/Sens!$C$8123</f>
        <v>0.708390794789371</v>
      </c>
      <c r="D8146" s="13" t="n">
        <f aca="false">Sens!$D$8145/Sens!$D$8123</f>
        <v>0.619415573115729</v>
      </c>
      <c r="E8146" s="13" t="n">
        <f aca="false">Sens!$E$8145/Sens!$E$8123</f>
        <v>0.374072166056273</v>
      </c>
      <c r="F8146" s="13" t="n">
        <f aca="false">Sens!$F$8145/Sens!$F$8123</f>
        <v>0.553219320710057</v>
      </c>
      <c r="G8146" s="13" t="n">
        <f aca="false">Sens!$G$8145/Sens!$G$8123</f>
        <v>0.488270041527512</v>
      </c>
      <c r="H8146" s="13" t="n">
        <f aca="false">Sens!$H$8145/Sens!$H$8123</f>
        <v>0.435229086816882</v>
      </c>
      <c r="I8146" s="13" t="n">
        <f aca="false">Sens!$I$8145/Sens!$I$8123</f>
        <v>0.364954592421095</v>
      </c>
      <c r="J8146" s="13" t="n">
        <f aca="false">Sens!$J$8145/Sens!$J$8123</f>
        <v>0.330438308582232</v>
      </c>
      <c r="K8146" s="13" t="n">
        <f aca="false">Sens!$K$8145/Sens!$K$8123</f>
        <v>0.2916589289528</v>
      </c>
      <c r="L8146" s="13" t="n">
        <f aca="false">Sens!$L$8145/Sens!$L$8123</f>
        <v>0.268199200593258</v>
      </c>
      <c r="M8146" s="13" t="n">
        <f aca="false">Sens!$M$8145/Sens!$M$8123</f>
        <v>0.244854995033574</v>
      </c>
      <c r="N8146" s="13" t="n">
        <f aca="false">Sens!$N$8145/Sens!$N$8123</f>
        <v>0.551227795793364</v>
      </c>
      <c r="O8146" s="13" t="n">
        <f aca="false">Sens!$O$8145/Sens!$O$8123</f>
        <v>0.656132068597002</v>
      </c>
    </row>
    <row r="8147" customFormat="false" ht="17.15" hidden="false" customHeight="false" outlineLevel="0" collapsed="false">
      <c r="A8147" s="5" t="s">
        <v>645</v>
      </c>
      <c r="B8147" s="0" t="s">
        <v>86</v>
      </c>
      <c r="C8147" s="39" t="n">
        <v>0</v>
      </c>
      <c r="D8147" s="39" t="n">
        <v>0</v>
      </c>
      <c r="E8147" s="39" t="n">
        <v>0</v>
      </c>
      <c r="F8147" s="38" t="n">
        <f aca="false">IF(internal_ai_reading=2,1,0)*(1-ext_sh)/ext_sh*(mw_open*he_open+Sens!$F$8121*Sens!$F$8118)*Sens!$F$8107/1000</f>
        <v>3.77122048175818</v>
      </c>
      <c r="G8147" s="38" t="n">
        <f aca="false">Sens!$E$8147+Sens!$F$8147</f>
        <v>3.77122048175818</v>
      </c>
      <c r="H8147" s="38" t="n">
        <f aca="false">IF(internal_ai_reading=2,1,0)*(1-ext_sh)/ext_sh*(mw_open*he_open+Sens!$H$8121*Sens!$H$8118)*Sens!$H$8107/1000</f>
        <v>15.1635543609893</v>
      </c>
      <c r="I8147" s="38" t="n">
        <f aca="false">IF(internal_ai_reading=2,1,0)*(1-ext_sh)/ext_sh*(mw_open*he_open+Sens!$I$8121*Sens!$I$8118)*Sens!$I$8107/1000</f>
        <v>25.5818843619889</v>
      </c>
      <c r="J8147" s="38" t="n">
        <f aca="false">IF(internal_ai_reading=2,1,0)*(1-ext_sh)/ext_sh*(mw_open*he_open+Sens!$J$8121*Sens!$J$8118)*Sens!$J$8107/1000</f>
        <v>36.0465624179122</v>
      </c>
      <c r="K8147" s="38" t="n">
        <f aca="false">IF(internal_ai_reading=2,1,0)*(1-ext_sh)/ext_sh*(mw_open*he_open+Sens!$K$8121*Sens!$K$8118)*Sens!$K$8107/1000</f>
        <v>44.9741164026038</v>
      </c>
      <c r="L8147" s="38" t="n">
        <f aca="false">IF(internal_ai_reading=2,1,0)*(1-ext_sh)/ext_sh*(mw_open*he_open+Sens!$L$8121*Sens!$L$8118)*Sens!$L$8107/1000</f>
        <v>50.8413488057813</v>
      </c>
      <c r="M8147" s="38" t="n">
        <f aca="false">IF(internal_ai_reading=2,1,0)*(1-ext_sh)/ext_sh*(mw_open*he_open+Sens!$M$8121*Sens!$M$8118)*Sens!$M$8107/1000</f>
        <v>53.6407214274315</v>
      </c>
      <c r="N8147" s="39" t="n">
        <v>0</v>
      </c>
      <c r="O8147" s="39" t="n">
        <v>0</v>
      </c>
      <c r="P8147" s="8" t="s">
        <v>646</v>
      </c>
    </row>
    <row r="8148" customFormat="false" ht="17.15" hidden="false" customHeight="false" outlineLevel="0" collapsed="false">
      <c r="A8148" s="5" t="s">
        <v>647</v>
      </c>
      <c r="B8148" s="0" t="s">
        <v>86</v>
      </c>
      <c r="C8148" s="38" t="n">
        <f aca="false">(1-ext_sh)*(Sens!$C$8125+Sens!$C$8141)</f>
        <v>0.169206631859174</v>
      </c>
      <c r="D8148" s="38" t="n">
        <f aca="false">(1-ext_sh)*(Sens!$D$8125+Sens!$D$8141)</f>
        <v>0.828129837730442</v>
      </c>
      <c r="E8148" s="38" t="n">
        <f aca="false">(1-ext_sh)*(Sens!$E$8125+Sens!$E$8141)</f>
        <v>1.33171670102377</v>
      </c>
      <c r="F8148" s="38" t="n">
        <f aca="false">(1-ext_sh)*(Sens!$F$8125+Sens!$F$8141)</f>
        <v>1.67134326207455</v>
      </c>
      <c r="G8148" s="38" t="n">
        <f aca="false">(1-ext_sh)*(Sens!$G$8125+Sens!$G$8141)</f>
        <v>3.00305996309832</v>
      </c>
      <c r="H8148" s="38" t="n">
        <f aca="false">(1-ext_sh)*(Sens!$H$8125+Sens!$H$8141)</f>
        <v>8.49498626530648</v>
      </c>
      <c r="I8148" s="38" t="n">
        <f aca="false">(1-ext_sh)*(Sens!$I$8125+Sens!$I$8141)</f>
        <v>16.1148644972155</v>
      </c>
      <c r="J8148" s="38" t="n">
        <f aca="false">(1-ext_sh)*(Sens!$J$8125+Sens!$J$8141)</f>
        <v>23.9410833819812</v>
      </c>
      <c r="K8148" s="38" t="n">
        <f aca="false">(1-ext_sh)*(Sens!$K$8125+Sens!$K$8141)</f>
        <v>31.6005331796453</v>
      </c>
      <c r="L8148" s="38" t="n">
        <f aca="false">(1-ext_sh)*(Sens!$L$8125+Sens!$L$8141)</f>
        <v>36.9061965404496</v>
      </c>
      <c r="M8148" s="38" t="n">
        <f aca="false">(1-ext_sh)*(Sens!$M$8125+Sens!$M$8141)</f>
        <v>40.1804051073808</v>
      </c>
      <c r="N8148" s="38" t="n">
        <f aca="false">(1-ext_sh)*(Sens!$N$8125+Sens!$N$8141)</f>
        <v>0.34177588266428</v>
      </c>
      <c r="O8148" s="38" t="n">
        <f aca="false">(1-ext_sh)*(Sens!$O$8125+Sens!$O$8141)</f>
        <v>0.486353955066162</v>
      </c>
    </row>
    <row r="8149" customFormat="false" ht="17.15" hidden="false" customHeight="false" outlineLevel="0" collapsed="false">
      <c r="A8149" s="0" t="s">
        <v>648</v>
      </c>
      <c r="B8149" s="0" t="s">
        <v>86</v>
      </c>
      <c r="C8149" s="38" t="n">
        <f aca="false">Q!$D$24</f>
        <v>39.834</v>
      </c>
      <c r="D8149" s="38" t="n">
        <f aca="false">Q!$E$24</f>
        <v>45.606</v>
      </c>
      <c r="E8149" s="38" t="n">
        <f aca="false">Q!$P$24</f>
        <v>30.782</v>
      </c>
      <c r="N8149" s="38" t="n">
        <f aca="false">Q!$N$24</f>
        <v>21.707</v>
      </c>
      <c r="O8149" s="38" t="n">
        <f aca="false">Q!$O$24</f>
        <v>23.899</v>
      </c>
    </row>
    <row r="8150" customFormat="false" ht="17.15" hidden="false" customHeight="false" outlineLevel="0" collapsed="false">
      <c r="A8150" s="0" t="s">
        <v>649</v>
      </c>
      <c r="B8150" s="0" t="s">
        <v>86</v>
      </c>
      <c r="C8150" s="38" t="n">
        <f aca="false">Sens!$C$8149-Sens!$C$8145</f>
        <v>38.1898211704631</v>
      </c>
      <c r="D8150" s="38" t="n">
        <f aca="false">Sens!$D$8149-Sens!$D$8145</f>
        <v>40.2147492622706</v>
      </c>
      <c r="E8150" s="38" t="n">
        <f aca="false">Sens!$E$8149-Sens!$E$8145</f>
        <v>27.5985138285251</v>
      </c>
      <c r="F8150" s="38" t="n">
        <f aca="false">Sens!$F$8127*Sens!$F$8151</f>
        <v>25.5484769754606</v>
      </c>
      <c r="G8150" s="38" t="n">
        <f aca="false">Sens!$E$8150+Sens!$F$8150</f>
        <v>53.1469908039857</v>
      </c>
      <c r="H8150" s="38" t="n">
        <f aca="false">Sens!$H$8127*Sens!$H$8151</f>
        <v>57.3189525076539</v>
      </c>
      <c r="I8150" s="38" t="n">
        <f aca="false">Sens!$I$8127*Sens!$I$8151</f>
        <v>63.6385627021087</v>
      </c>
      <c r="J8150" s="38" t="n">
        <f aca="false">Sens!$J$8127*Sens!$J$8151</f>
        <v>69.6922896066105</v>
      </c>
      <c r="K8150" s="38" t="n">
        <f aca="false">Sens!$K$8127*Sens!$K$8151</f>
        <v>75.2676727751394</v>
      </c>
      <c r="L8150" s="38" t="n">
        <f aca="false">Sens!$L$8127*Sens!$L$8151</f>
        <v>81.2890865971505</v>
      </c>
      <c r="M8150" s="38" t="n">
        <f aca="false">Sens!$M$8127*Sens!$M$8151</f>
        <v>87.7922135249226</v>
      </c>
      <c r="N8150" s="38" t="n">
        <f aca="false">Sens!$N$8149-Sens!$N$8145</f>
        <v>20.0277839996292</v>
      </c>
      <c r="O8150" s="38" t="n">
        <f aca="false">Sens!$O$8149-Sens!$O$8145</f>
        <v>20.1869652626414</v>
      </c>
      <c r="P8150" s="5" t="s">
        <v>650</v>
      </c>
    </row>
    <row r="8151" customFormat="false" ht="17.15" hidden="false" customHeight="false" outlineLevel="0" collapsed="false">
      <c r="A8151" s="0" t="s">
        <v>651</v>
      </c>
      <c r="B8151" s="0" t="s">
        <v>52</v>
      </c>
      <c r="C8151" s="13" t="n">
        <f aca="false">Sens!$C$8150/Sens!$C$8127</f>
        <v>0.362900395443635</v>
      </c>
      <c r="D8151" s="13" t="n">
        <f aca="false">Sens!$D$8150/Sens!$D$8127</f>
        <v>0.335063632425483</v>
      </c>
      <c r="E8151" s="13" t="n">
        <f aca="false">Sens!$E$8150/Sens!$E$8127</f>
        <v>0.387028992698038</v>
      </c>
      <c r="F8151" s="13" t="n">
        <f aca="false">(Sens!$O$8150+Sens!$E$8150)/(Sens!$O$8127+Sens!$E$8127)</f>
        <v>0.355980580118587</v>
      </c>
      <c r="G8151" s="13" t="n">
        <f aca="false">Sens!$G$8150/Sens!$G$8127</f>
        <v>0.371454804780916</v>
      </c>
      <c r="H8151" s="13" t="n">
        <f aca="false">Sens!$F$8151</f>
        <v>0.355980580118587</v>
      </c>
      <c r="I8151" s="13" t="n">
        <f aca="false">Sens!$F$8151</f>
        <v>0.355980580118587</v>
      </c>
      <c r="J8151" s="13" t="n">
        <f aca="false">Sens!$F$8151</f>
        <v>0.355980580118587</v>
      </c>
      <c r="K8151" s="13" t="n">
        <f aca="false">Sens!$F$8151</f>
        <v>0.355980580118587</v>
      </c>
      <c r="L8151" s="13" t="n">
        <f aca="false">Sens!$F$8151</f>
        <v>0.355980580118587</v>
      </c>
      <c r="M8151" s="13" t="n">
        <f aca="false">Sens!$F$8151</f>
        <v>0.355980580118587</v>
      </c>
      <c r="N8151" s="13" t="n">
        <f aca="false">Sens!$N$8150/Sens!$N$8127</f>
        <v>0.35078810535806</v>
      </c>
      <c r="O8151" s="13" t="n">
        <f aca="false">Sens!$O$8150/Sens!$O$8127</f>
        <v>0.320796939361619</v>
      </c>
      <c r="P8151" s="8" t="s">
        <v>652</v>
      </c>
    </row>
    <row r="8152" customFormat="false" ht="17.15" hidden="false" customHeight="false" outlineLevel="0" collapsed="false">
      <c r="A8152" s="0" t="s">
        <v>653</v>
      </c>
      <c r="B8152" s="0" t="s">
        <v>52</v>
      </c>
      <c r="D8152" s="13" t="n">
        <f aca="false">(Q!$E$31-ext_sh*Sens!$D$8141)/Sens!$D$8127</f>
        <v>0.167180325480118</v>
      </c>
    </row>
    <row r="8153" customFormat="false" ht="17.15" hidden="false" customHeight="false" outlineLevel="0" collapsed="false">
      <c r="A8153" s="0" t="s">
        <v>654</v>
      </c>
      <c r="B8153" s="0" t="s">
        <v>86</v>
      </c>
      <c r="C8153" s="38" t="n">
        <f aca="false">Q!$D$31</f>
        <v>13.32</v>
      </c>
      <c r="D8153" s="38" t="n">
        <f aca="false">Q!$E$31</f>
        <v>21.45</v>
      </c>
      <c r="E8153" s="38" t="n">
        <f aca="false">Q!$P$31</f>
        <v>15.353</v>
      </c>
      <c r="F8153" s="38" t="n">
        <f aca="false">ext_sh*Sens!$F$8141+Sens!$D$8152*Sens!$F$8127</f>
        <v>15.4404120185306</v>
      </c>
      <c r="G8153" s="38" t="n">
        <f aca="false">Sens!$E$8153+Sens!$F$8153</f>
        <v>30.7934120185306</v>
      </c>
      <c r="H8153" s="38" t="n">
        <f aca="false">ext_sh*Sens!$H$8141+Sens!$D$8152*Sens!$H$8127</f>
        <v>48.250114371455</v>
      </c>
      <c r="I8153" s="38" t="n">
        <f aca="false">ext_sh*Sens!$I$8141+Sens!$D$8152*Sens!$I$8127</f>
        <v>73.3965146995963</v>
      </c>
      <c r="J8153" s="38" t="n">
        <f aca="false">ext_sh*Sens!$J$8141+Sens!$D$8152*Sens!$J$8127</f>
        <v>99.22806138309</v>
      </c>
      <c r="K8153" s="38" t="n">
        <f aca="false">ext_sh*Sens!$K$8141+Sens!$D$8152*Sens!$K$8127</f>
        <v>125.386627452856</v>
      </c>
      <c r="L8153" s="38" t="n">
        <f aca="false">ext_sh*Sens!$L$8141+Sens!$D$8152*Sens!$L$8127</f>
        <v>144.77239043275</v>
      </c>
      <c r="M8153" s="38" t="n">
        <f aca="false">ext_sh*Sens!$M$8141+Sens!$D$8152*Sens!$M$8127</f>
        <v>158.693930910983</v>
      </c>
      <c r="N8153" s="38" t="n">
        <f aca="false">Q!$N$31</f>
        <v>9.234</v>
      </c>
      <c r="O8153" s="38" t="n">
        <f aca="false">Q!$O$31</f>
        <v>12.216</v>
      </c>
    </row>
    <row r="8154" customFormat="false" ht="17.15" hidden="false" customHeight="false" outlineLevel="0" collapsed="false">
      <c r="A8154" s="1" t="s">
        <v>655</v>
      </c>
    </row>
    <row r="8155" customFormat="false" ht="17.15" hidden="false" customHeight="false" outlineLevel="0" collapsed="false">
      <c r="A8155" s="15" t="s">
        <v>656</v>
      </c>
      <c r="B8155" s="14" t="s">
        <v>52</v>
      </c>
      <c r="C8155" s="14"/>
      <c r="D8155" s="14"/>
      <c r="E8155" s="14"/>
      <c r="F8155" s="14"/>
      <c r="G8155" s="17" t="n">
        <f aca="false">Sens!$G$8145*(1-tax)/(ext_sh*(Sens!$D$8142+Sens!$G$8142)/2)</f>
        <v>0.0966870495301478</v>
      </c>
      <c r="H8155" s="17" t="n">
        <f aca="false">Sens!$H$8145*(1-tax)/(ext_sh*(Sens!$G$8142+Sens!$H$8142)/2)</f>
        <v>0.100492020334136</v>
      </c>
      <c r="I8155" s="17" t="n">
        <f aca="false">Sens!$I$8145*(1-tax)/(ext_sh*(Sens!$H$8142+Sens!$I$8142)/2)</f>
        <v>0.0889392292218236</v>
      </c>
      <c r="J8155" s="17" t="n">
        <f aca="false">Sens!$J$8145*(1-tax)/(ext_sh*(Sens!$I$8142+Sens!$J$8142)/2)</f>
        <v>0.0858364613777012</v>
      </c>
      <c r="K8155" s="17" t="n">
        <f aca="false">Sens!$K$8145*(1-tax)/(ext_sh*(Sens!$J$8142+Sens!$K$8142)/2)</f>
        <v>0.08227162714687</v>
      </c>
      <c r="L8155" s="17" t="n">
        <f aca="false">Sens!$L$8145*(1-tax)/(ext_sh*(Sens!$K$8142+Sens!$L$8142)/2)</f>
        <v>0.0828942732763872</v>
      </c>
      <c r="M8155" s="17" t="n">
        <f aca="false">Sens!$M$8145*(1-tax)/(ext_sh*(Sens!$L$8142+Sens!$M$8142)/2)</f>
        <v>0.0807945482347635</v>
      </c>
      <c r="N8155" s="14"/>
      <c r="O8155" s="14"/>
      <c r="P8155" s="8" t="s">
        <v>657</v>
      </c>
    </row>
    <row r="8156" customFormat="false" ht="17.15" hidden="false" customHeight="false" outlineLevel="0" collapsed="false">
      <c r="A8156" s="5" t="s">
        <v>658</v>
      </c>
      <c r="B8156" s="0" t="s">
        <v>57</v>
      </c>
      <c r="H8156" s="36" t="n">
        <f aca="false">Sens!$H$8123*1000/(mw_open*he_open+Sens!$H$8121*Sens!$H$8118)</f>
        <v>0.991949006767191</v>
      </c>
      <c r="I8156" s="36" t="n">
        <f aca="false">Sens!$I$8123*1000/(mw_open*he_open+Sens!$I$8121*Sens!$I$8118)</f>
        <v>0.991949006767191</v>
      </c>
      <c r="J8156" s="36" t="n">
        <f aca="false">Sens!$J$8123*1000/(mw_open*he_open+Sens!$J$8121*Sens!$J$8118)</f>
        <v>0.991949006767191</v>
      </c>
      <c r="K8156" s="36" t="n">
        <f aca="false">Sens!$K$8123*1000/(mw_open*he_open+Sens!$K$8121*Sens!$K$8118)</f>
        <v>0.991949006767191</v>
      </c>
      <c r="L8156" s="36" t="n">
        <f aca="false">Sens!$L$8123*1000/(mw_open*he_open+Sens!$L$8121*Sens!$L$8118)</f>
        <v>0.991949006767191</v>
      </c>
      <c r="M8156" s="36" t="n">
        <f aca="false">Sens!$M$8123*1000/(mw_open*he_open+Sens!$M$8121*Sens!$M$8118)</f>
        <v>0.991949006767191</v>
      </c>
    </row>
    <row r="8157" customFormat="false" ht="17.15" hidden="false" customHeight="false" outlineLevel="0" collapsed="false">
      <c r="A8157" s="5" t="s">
        <v>659</v>
      </c>
      <c r="B8157" s="0" t="s">
        <v>57</v>
      </c>
      <c r="H8157" s="36" t="n">
        <f aca="false">Sens!$H$8156*(Sens!$H$8123+wacc*ext_sh*(Sens!$G$8142+Sens!$H$8142)/2/(1-tax)-Sens!$H$8145)/Sens!$H$8123</f>
        <v>1.04696246089529</v>
      </c>
      <c r="I8157" s="36" t="n">
        <f aca="false">Sens!$I$8156*(Sens!$I$8123+wacc*ext_sh*(Sens!$H$8142+Sens!$I$8142)/2/(1-tax)-Sens!$I$8145)/Sens!$I$8123</f>
        <v>1.09109607940198</v>
      </c>
      <c r="J8157" s="36" t="n">
        <f aca="false">Sens!$J$8156*(Sens!$J$8123+wacc*ext_sh*(Sens!$I$8142+Sens!$J$8142)/2/(1-tax)-Sens!$J$8145)/Sens!$J$8123</f>
        <v>1.09681234280071</v>
      </c>
      <c r="K8157" s="36" t="n">
        <f aca="false">Sens!$K$8156*(Sens!$K$8123+wacc*ext_sh*(Sens!$J$8142+Sens!$K$8142)/2/(1-tax)-Sens!$K$8145)/Sens!$K$8123</f>
        <v>1.10105220068984</v>
      </c>
      <c r="L8157" s="36" t="n">
        <f aca="false">Sens!$L$8156*(Sens!$L$8123+wacc*ext_sh*(Sens!$K$8142+Sens!$L$8142)/2/(1-tax)-Sens!$L$8145)/Sens!$L$8123</f>
        <v>1.08952452639895</v>
      </c>
      <c r="M8157" s="36" t="n">
        <f aca="false">Sens!$M$8156*(Sens!$M$8123+wacc*ext_sh*(Sens!$L$8142+Sens!$M$8142)/2/(1-tax)-Sens!$M$8145)/Sens!$M$8123</f>
        <v>1.08965878549519</v>
      </c>
    </row>
    <row r="8158" customFormat="false" ht="17.15" hidden="false" customHeight="false" outlineLevel="0" collapsed="false">
      <c r="A8158" s="5" t="s">
        <v>660</v>
      </c>
      <c r="B8158" s="0" t="s">
        <v>52</v>
      </c>
      <c r="C8158" s="13" t="n">
        <f aca="false">Sens!$C$8124/tk_pq</f>
        <v>0.195316432429398</v>
      </c>
      <c r="D8158" s="13" t="n">
        <f aca="false">Sens!$D$8124/tk_pq</f>
        <v>0.195316432429398</v>
      </c>
      <c r="E8158" s="13" t="n">
        <f aca="false">Sens!$E$8124/tk_pq</f>
        <v>0.195316432429398</v>
      </c>
      <c r="F8158" s="13" t="n">
        <f aca="false">Sens!$F$8124/tk_pq</f>
        <v>0.202241827274866</v>
      </c>
      <c r="G8158" s="13" t="n">
        <f aca="false">Sens!$G$8124/tk_pq</f>
        <v>0.199675016194063</v>
      </c>
      <c r="H8158" s="13" t="n">
        <f aca="false">Sens!$H$8124/tk_pq</f>
        <v>0.212647947710325</v>
      </c>
      <c r="I8158" s="13" t="n">
        <f aca="false">Sens!$I$8124/tk_pq</f>
        <v>0.219285125475351</v>
      </c>
      <c r="J8158" s="13" t="n">
        <f aca="false">Sens!$J$8124/tk_pq</f>
        <v>0.222492493217189</v>
      </c>
      <c r="K8158" s="13" t="n">
        <f aca="false">Sens!$K$8124/tk_pq</f>
        <v>0.224053502812094</v>
      </c>
      <c r="L8158" s="13" t="n">
        <f aca="false">Sens!$L$8124/tk_pq</f>
        <v>0.224786916785614</v>
      </c>
      <c r="M8158" s="13" t="n">
        <f aca="false">Sens!$M$8124/tk_pq</f>
        <v>0.225048671566937</v>
      </c>
      <c r="N8158" s="13" t="n">
        <f aca="false">Sens!$N$8124/tk_pq</f>
        <v>0.195316432429398</v>
      </c>
      <c r="O8158" s="13" t="n">
        <f aca="false">Sens!$O$8124/tk_pq</f>
        <v>0.195316432429398</v>
      </c>
      <c r="P8158" s="5" t="s">
        <v>661</v>
      </c>
    </row>
    <row r="8161" customFormat="false" ht="17.15" hidden="false" customHeight="false" outlineLevel="0" collapsed="false">
      <c r="A8161" s="1" t="s">
        <v>690</v>
      </c>
    </row>
    <row r="8162" customFormat="false" ht="17.15" hidden="false" customHeight="false" outlineLevel="0" collapsed="false">
      <c r="A8162" s="0" t="s">
        <v>691</v>
      </c>
      <c r="B8162" s="0" t="s">
        <v>86</v>
      </c>
      <c r="C8162" s="38" t="n">
        <f aca="false">Sens!$C$8123</f>
        <v>2.32100535697364</v>
      </c>
      <c r="D8162" s="38" t="n">
        <f aca="false">Sens!$D$8123</f>
        <v>8.70377008865116</v>
      </c>
      <c r="E8162" s="38" t="n">
        <f aca="false">Sens!$E$8123</f>
        <v>8.51035297557002</v>
      </c>
      <c r="F8162" s="38" t="n">
        <f aca="false">Sens!$F$8123</f>
        <v>14.9634336447205</v>
      </c>
      <c r="G8162" s="38" t="n">
        <f aca="false">Sens!$G$8123</f>
        <v>23.4737866202905</v>
      </c>
      <c r="H8162" s="38" t="n">
        <f aca="false">Sens!$H$8123</f>
        <v>60.1658907497746</v>
      </c>
      <c r="I8162" s="38" t="n">
        <f aca="false">Sens!$I$8123</f>
        <v>101.503699136432</v>
      </c>
      <c r="J8162" s="38" t="n">
        <f aca="false">Sens!$J$8123</f>
        <v>143.025407151278</v>
      </c>
      <c r="K8162" s="38" t="n">
        <f aca="false">Sens!$K$8123</f>
        <v>178.44812038318</v>
      </c>
      <c r="L8162" s="38" t="n">
        <f aca="false">Sens!$L$8123</f>
        <v>201.728101802396</v>
      </c>
      <c r="M8162" s="38" t="n">
        <f aca="false">Sens!$M$8123</f>
        <v>212.835441368865</v>
      </c>
      <c r="N8162" s="38" t="n">
        <f aca="false">Sens!$N$8123</f>
        <v>3.04631953102791</v>
      </c>
      <c r="O8162" s="38" t="n">
        <f aca="false">Sens!$O$8123</f>
        <v>5.65745055762326</v>
      </c>
      <c r="P8162" s="8" t="s">
        <v>692</v>
      </c>
    </row>
    <row r="8163" customFormat="false" ht="17.15" hidden="false" customHeight="false" outlineLevel="0" collapsed="false">
      <c r="A8163" s="0" t="s">
        <v>693</v>
      </c>
      <c r="B8163" s="0" t="s">
        <v>86</v>
      </c>
      <c r="C8163" s="38" t="n">
        <f aca="false">Sens!$C$8127</f>
        <v>105.234994643026</v>
      </c>
      <c r="D8163" s="38" t="n">
        <f aca="false">Sens!$D$8127</f>
        <v>120.021229911349</v>
      </c>
      <c r="E8163" s="38" t="n">
        <f aca="false">Sens!$E$8127</f>
        <v>71.30864702443</v>
      </c>
      <c r="F8163" s="38" t="n">
        <f aca="false">Sens!$F$8127</f>
        <v>71.7692997942464</v>
      </c>
      <c r="G8163" s="38" t="n">
        <f aca="false">Sens!$G$8127</f>
        <v>143.077946818676</v>
      </c>
      <c r="H8163" s="38" t="n">
        <f aca="false">Sens!$H$8127</f>
        <v>161.017077079203</v>
      </c>
      <c r="I8163" s="38" t="n">
        <f aca="false">Sens!$I$8127</f>
        <v>178.769759521457</v>
      </c>
      <c r="J8163" s="38" t="n">
        <f aca="false">Sens!$J$8127</f>
        <v>195.775538045907</v>
      </c>
      <c r="K8163" s="38" t="n">
        <f aca="false">Sens!$K$8127</f>
        <v>211.43758108958</v>
      </c>
      <c r="L8163" s="38" t="n">
        <f aca="false">Sens!$L$8127</f>
        <v>228.352587576746</v>
      </c>
      <c r="M8163" s="38" t="n">
        <f aca="false">Sens!$M$8127</f>
        <v>246.620794582886</v>
      </c>
      <c r="N8163" s="38" t="n">
        <f aca="false">Sens!$N$8127</f>
        <v>57.0936804689721</v>
      </c>
      <c r="O8163" s="38" t="n">
        <f aca="false">Sens!$O$8127</f>
        <v>62.9275494423768</v>
      </c>
      <c r="P8163" s="8" t="s">
        <v>692</v>
      </c>
    </row>
    <row r="8164" customFormat="false" ht="17.15" hidden="false" customHeight="false" outlineLevel="0" collapsed="false">
      <c r="A8164" s="1" t="s">
        <v>516</v>
      </c>
      <c r="B8164" s="8" t="s">
        <v>86</v>
      </c>
      <c r="C8164" s="38" t="n">
        <f aca="false">Q!$D$7</f>
        <v>107.556</v>
      </c>
      <c r="D8164" s="38" t="n">
        <f aca="false">Q!$E$7</f>
        <v>128.725</v>
      </c>
      <c r="E8164" s="38" t="n">
        <f aca="false">Q!$P$7</f>
        <v>79.819</v>
      </c>
      <c r="F8164" s="38" t="n">
        <f aca="false">Sens!$F$8162+Sens!$F$8163</f>
        <v>86.7327334389669</v>
      </c>
      <c r="G8164" s="38" t="n">
        <f aca="false">Sens!$G$8162+Sens!$G$8163</f>
        <v>166.551733438967</v>
      </c>
      <c r="H8164" s="38" t="n">
        <f aca="false">Sens!$H$8162+Sens!$H$8163</f>
        <v>221.182967828978</v>
      </c>
      <c r="I8164" s="38" t="n">
        <f aca="false">Sens!$I$8162+Sens!$I$8163</f>
        <v>280.27345865789</v>
      </c>
      <c r="J8164" s="38" t="n">
        <f aca="false">Sens!$J$8162+Sens!$J$8163</f>
        <v>338.800945197185</v>
      </c>
      <c r="K8164" s="38" t="n">
        <f aca="false">Sens!$K$8162+Sens!$K$8163</f>
        <v>389.88570147276</v>
      </c>
      <c r="L8164" s="38" t="n">
        <f aca="false">Sens!$L$8162+Sens!$L$8163</f>
        <v>430.080689379143</v>
      </c>
      <c r="M8164" s="38" t="n">
        <f aca="false">Sens!$M$8162+Sens!$M$8163</f>
        <v>459.456235951751</v>
      </c>
      <c r="N8164" s="38" t="n">
        <f aca="false">Q!$N$7</f>
        <v>60.14</v>
      </c>
      <c r="O8164" s="38" t="n">
        <f aca="false">Q!$O$7</f>
        <v>68.585</v>
      </c>
      <c r="P8164" s="5" t="s">
        <v>694</v>
      </c>
    </row>
    <row r="8165" customFormat="false" ht="15" hidden="false" customHeight="false" outlineLevel="0" collapsed="false">
      <c r="A8165" s="3" t="s">
        <v>695</v>
      </c>
      <c r="B8165" s="8" t="s">
        <v>86</v>
      </c>
      <c r="C8165" s="38" t="n">
        <f aca="false">Q!$D$8</f>
        <v>637.959</v>
      </c>
      <c r="D8165" s="38" t="n">
        <f aca="false">Q!$E$8</f>
        <v>716.924</v>
      </c>
      <c r="E8165" s="38" t="n">
        <f aca="false">Q!$P$8</f>
        <v>382.125</v>
      </c>
      <c r="F8165" s="38" t="n">
        <f aca="false">Sens!$F$8095+Sens!$F$8164</f>
        <v>435.780975084504</v>
      </c>
      <c r="G8165" s="38" t="n">
        <f aca="false">Sens!$G$8095+Sens!$G$8164</f>
        <v>817.905975084504</v>
      </c>
      <c r="H8165" s="38" t="n">
        <f aca="false">Sens!$H$8095+Sens!$H$8164</f>
        <v>942.279857350364</v>
      </c>
      <c r="I8165" s="38" t="n">
        <f aca="false">Sens!$I$8095+Sens!$I$8164</f>
        <v>1068.80284981042</v>
      </c>
      <c r="J8165" s="38" t="n">
        <f aca="false">Sens!$J$8095+Sens!$J$8164</f>
        <v>1189.90935093863</v>
      </c>
      <c r="K8165" s="38" t="n">
        <f aca="false">Sens!$K$8095+Sens!$K$8164</f>
        <v>1296.06215690385</v>
      </c>
      <c r="L8165" s="38" t="n">
        <f aca="false">Sens!$L$8095+Sens!$L$8164</f>
        <v>1395.17379585473</v>
      </c>
      <c r="M8165" s="38" t="n">
        <f aca="false">Sens!$M$8095+Sens!$M$8164</f>
        <v>1487.60414389864</v>
      </c>
      <c r="N8165" s="38" t="n">
        <f aca="false">Q!$N$8</f>
        <v>323.369</v>
      </c>
      <c r="O8165" s="38" t="n">
        <f aca="false">Q!$O$8</f>
        <v>393.555</v>
      </c>
    </row>
    <row r="8166" customFormat="false" ht="17.15" hidden="false" customHeight="false" outlineLevel="0" collapsed="false">
      <c r="A8166" s="24" t="s">
        <v>703</v>
      </c>
      <c r="B8166" s="25" t="s">
        <v>86</v>
      </c>
      <c r="C8166" s="41" t="n">
        <f aca="false">Sens!$C$8095-(Sens!$C$8097+Sens!$C$8098)</f>
        <v>0</v>
      </c>
      <c r="D8166" s="41" t="n">
        <f aca="false">Sens!$D$8095-(Sens!$D$8097+Sens!$D$8098)</f>
        <v>0</v>
      </c>
      <c r="E8166" s="41" t="n">
        <f aca="false">Sens!$E$8095-(Sens!$E$8097+Sens!$E$8098)</f>
        <v>0</v>
      </c>
      <c r="F8166" s="41" t="n">
        <f aca="false">Sens!$F$8095-(Sens!$F$8097+Sens!$F$8098)</f>
        <v>0</v>
      </c>
      <c r="G8166" s="41" t="n">
        <f aca="false">Sens!$G$8095-(Sens!$G$8097+Sens!$G$8098)</f>
        <v>0</v>
      </c>
      <c r="H8166" s="41" t="n">
        <f aca="false">Sens!$H$8095-(Sens!$H$8097+Sens!$H$8098)</f>
        <v>0</v>
      </c>
      <c r="I8166" s="41" t="n">
        <f aca="false">Sens!$I$8095-(Sens!$I$8097+Sens!$I$8098)</f>
        <v>0</v>
      </c>
      <c r="J8166" s="41" t="n">
        <f aca="false">Sens!$J$8095-(Sens!$J$8097+Sens!$J$8098)</f>
        <v>0</v>
      </c>
      <c r="K8166" s="41" t="n">
        <f aca="false">Sens!$K$8095-(Sens!$K$8097+Sens!$K$8098)</f>
        <v>0</v>
      </c>
      <c r="L8166" s="41" t="n">
        <f aca="false">Sens!$L$8095-(Sens!$L$8097+Sens!$L$8098)</f>
        <v>0</v>
      </c>
      <c r="M8166" s="41" t="n">
        <f aca="false">Sens!$M$8095-(Sens!$M$8097+Sens!$M$8098)</f>
        <v>0</v>
      </c>
      <c r="N8166" s="41" t="n">
        <f aca="false">Sens!$N$8095-(Sens!$N$8097+Sens!$N$8098)</f>
        <v>0</v>
      </c>
      <c r="O8166" s="41" t="n">
        <f aca="false">Sens!$O$8095-(Sens!$O$8097+Sens!$O$8098)</f>
        <v>0</v>
      </c>
    </row>
    <row r="8167" customFormat="false" ht="17.15" hidden="false" customHeight="false" outlineLevel="0" collapsed="false">
      <c r="A8167" s="24" t="s">
        <v>704</v>
      </c>
      <c r="B8167" s="25" t="s">
        <v>86</v>
      </c>
      <c r="C8167" s="41" t="n">
        <f aca="false">Sens!$C$8162+Sens!$C$8163-Sens!$C$8164</f>
        <v>0</v>
      </c>
      <c r="D8167" s="41" t="n">
        <f aca="false">Sens!$D$8162+Sens!$D$8163-Sens!$D$8164</f>
        <v>0</v>
      </c>
      <c r="E8167" s="41" t="n">
        <f aca="false">Sens!$E$8162+Sens!$E$8163-Sens!$E$8164</f>
        <v>0</v>
      </c>
      <c r="F8167" s="41" t="n">
        <f aca="false">Sens!$F$8162+Sens!$F$8163-Sens!$F$8164</f>
        <v>0</v>
      </c>
      <c r="G8167" s="41" t="n">
        <f aca="false">Sens!$G$8162+Sens!$G$8163-Sens!$G$8164</f>
        <v>0</v>
      </c>
      <c r="H8167" s="41" t="n">
        <f aca="false">Sens!$H$8162+Sens!$H$8163-Sens!$H$8164</f>
        <v>0</v>
      </c>
      <c r="I8167" s="41" t="n">
        <f aca="false">Sens!$I$8162+Sens!$I$8163-Sens!$I$8164</f>
        <v>0</v>
      </c>
      <c r="J8167" s="41" t="n">
        <f aca="false">Sens!$J$8162+Sens!$J$8163-Sens!$J$8164</f>
        <v>0</v>
      </c>
      <c r="K8167" s="41" t="n">
        <f aca="false">Sens!$K$8162+Sens!$K$8163-Sens!$K$8164</f>
        <v>0</v>
      </c>
      <c r="L8167" s="41" t="n">
        <f aca="false">Sens!$L$8162+Sens!$L$8163-Sens!$L$8164</f>
        <v>0</v>
      </c>
      <c r="M8167" s="41" t="n">
        <f aca="false">Sens!$M$8162+Sens!$M$8163-Sens!$M$8164</f>
        <v>0</v>
      </c>
      <c r="N8167" s="41" t="n">
        <f aca="false">Sens!$N$8162+Sens!$N$8163-Sens!$N$8164</f>
        <v>0</v>
      </c>
      <c r="O8167" s="41" t="n">
        <f aca="false">Sens!$O$8162+Sens!$O$8163-Sens!$O$8164</f>
        <v>0</v>
      </c>
    </row>
    <row r="8168" customFormat="false" ht="17.15" hidden="false" customHeight="false" outlineLevel="0" collapsed="false">
      <c r="A8168" s="24" t="s">
        <v>705</v>
      </c>
      <c r="B8168" s="25" t="s">
        <v>86</v>
      </c>
      <c r="C8168" s="41" t="n">
        <f aca="false">Sens!$C$8097+Sens!$C$8098+Sens!$C$8164-Sens!$C$8165</f>
        <v>0</v>
      </c>
      <c r="D8168" s="41" t="n">
        <f aca="false">Sens!$D$8097+Sens!$D$8098+Sens!$D$8164-Sens!$D$8165</f>
        <v>0</v>
      </c>
      <c r="E8168" s="41" t="n">
        <f aca="false">Sens!$E$8097+Sens!$E$8098+Sens!$E$8164-Sens!$E$8165</f>
        <v>0</v>
      </c>
      <c r="F8168" s="41" t="n">
        <f aca="false">Sens!$F$8097+Sens!$F$8098+Sens!$F$8164-Sens!$F$8165</f>
        <v>0</v>
      </c>
      <c r="G8168" s="41" t="n">
        <f aca="false">Sens!$G$8097+Sens!$G$8098+Sens!$G$8164-Sens!$G$8165</f>
        <v>0</v>
      </c>
      <c r="H8168" s="41" t="n">
        <f aca="false">Sens!$H$8097+Sens!$H$8098+Sens!$H$8164-Sens!$H$8165</f>
        <v>0</v>
      </c>
      <c r="I8168" s="41" t="n">
        <f aca="false">Sens!$I$8097+Sens!$I$8098+Sens!$I$8164-Sens!$I$8165</f>
        <v>0</v>
      </c>
      <c r="J8168" s="41" t="n">
        <f aca="false">Sens!$J$8097+Sens!$J$8098+Sens!$J$8164-Sens!$J$8165</f>
        <v>0</v>
      </c>
      <c r="K8168" s="41" t="n">
        <f aca="false">Sens!$K$8097+Sens!$K$8098+Sens!$K$8164-Sens!$K$8165</f>
        <v>0</v>
      </c>
      <c r="L8168" s="41" t="n">
        <f aca="false">Sens!$L$8097+Sens!$L$8098+Sens!$L$8164-Sens!$L$8165</f>
        <v>0</v>
      </c>
      <c r="M8168" s="41" t="n">
        <f aca="false">Sens!$M$8097+Sens!$M$8098+Sens!$M$8164-Sens!$M$8165</f>
        <v>0</v>
      </c>
      <c r="N8168" s="41" t="n">
        <f aca="false">Sens!$N$8097+Sens!$N$8098+Sens!$N$8164-Sens!$N$8165</f>
        <v>0</v>
      </c>
      <c r="O8168" s="41" t="n">
        <f aca="false">Sens!$O$8097+Sens!$O$8098+Sens!$O$8164-Sens!$O$8165</f>
        <v>0</v>
      </c>
    </row>
    <row r="8169" customFormat="false" ht="15" hidden="false" customHeight="false" outlineLevel="0" collapsed="false">
      <c r="A8169" s="5" t="s">
        <v>699</v>
      </c>
      <c r="B8169" s="0" t="s">
        <v>52</v>
      </c>
      <c r="G8169" s="13" t="n">
        <f aca="false">Sens!$G$8165/Sens!$D$8165-1</f>
        <v>0.140854504918937</v>
      </c>
      <c r="H8169" s="13" t="n">
        <f aca="false">Sens!$H$8165/Sens!$G$8165-1</f>
        <v>0.152063789793209</v>
      </c>
      <c r="I8169" s="13" t="n">
        <f aca="false">Sens!$I$8165/Sens!$H$8165-1</f>
        <v>0.134273264437417</v>
      </c>
      <c r="J8169" s="13" t="n">
        <f aca="false">Sens!$J$8165/Sens!$I$8165-1</f>
        <v>0.113310421234083</v>
      </c>
      <c r="K8169" s="13" t="n">
        <f aca="false">Sens!$K$8165/Sens!$J$8165-1</f>
        <v>0.0892108343223652</v>
      </c>
      <c r="L8169" s="13" t="n">
        <f aca="false">Sens!$L$8165/Sens!$K$8165-1</f>
        <v>0.076471362444261</v>
      </c>
      <c r="M8169" s="13" t="n">
        <f aca="false">Sens!$M$8165/Sens!$L$8165-1</f>
        <v>0.066250060256672</v>
      </c>
    </row>
    <row r="8170" customFormat="false" ht="17.15" hidden="false" customHeight="false" outlineLevel="0" collapsed="false">
      <c r="A8170" s="0" t="s">
        <v>700</v>
      </c>
      <c r="B8170" s="0" t="s">
        <v>52</v>
      </c>
      <c r="C8170" s="13" t="n">
        <f aca="false">Sens!$C$8164/Sens!$C$8165</f>
        <v>0.168593906504964</v>
      </c>
      <c r="D8170" s="13" t="n">
        <f aca="false">Sens!$D$8164/Sens!$D$8165</f>
        <v>0.179551807444025</v>
      </c>
      <c r="E8170" s="13" t="n">
        <f aca="false">Sens!$E$8164/Sens!$E$8165</f>
        <v>0.208881910369643</v>
      </c>
      <c r="F8170" s="13" t="n">
        <f aca="false">Sens!$F$8164/Sens!$F$8165</f>
        <v>0.199028269699356</v>
      </c>
      <c r="G8170" s="13" t="n">
        <f aca="false">Sens!$G$8164/Sens!$G$8165</f>
        <v>0.203631882529968</v>
      </c>
      <c r="H8170" s="13" t="n">
        <f aca="false">Sens!$H$8164/Sens!$H$8165</f>
        <v>0.234731715958496</v>
      </c>
      <c r="I8170" s="13" t="n">
        <f aca="false">Sens!$I$8164/Sens!$I$8165</f>
        <v>0.262231204480418</v>
      </c>
      <c r="J8170" s="13" t="n">
        <f aca="false">Sens!$J$8164/Sens!$J$8165</f>
        <v>0.284728366013706</v>
      </c>
      <c r="K8170" s="13" t="n">
        <f aca="false">Sens!$K$8164/Sens!$K$8165</f>
        <v>0.300823304959505</v>
      </c>
      <c r="L8170" s="13" t="n">
        <f aca="false">Sens!$L$8164/Sens!$L$8165</f>
        <v>0.308263164529735</v>
      </c>
      <c r="M8170" s="13" t="n">
        <f aca="false">Sens!$M$8164/Sens!$M$8165</f>
        <v>0.308856517936036</v>
      </c>
      <c r="N8170" s="13" t="n">
        <f aca="false">Sens!$N$8164/Sens!$N$8165</f>
        <v>0.185979484737251</v>
      </c>
      <c r="O8170" s="13" t="n">
        <f aca="false">Sens!$O$8164/Sens!$O$8165</f>
        <v>0.174270432341096</v>
      </c>
    </row>
    <row r="8171" customFormat="false" ht="17.15" hidden="false" customHeight="false" outlineLevel="0" collapsed="false">
      <c r="A8171" s="0" t="s">
        <v>701</v>
      </c>
      <c r="B8171" s="0" t="s">
        <v>52</v>
      </c>
      <c r="C8171" s="13" t="n">
        <f aca="false">Sens!$C$8162/Sens!$C$8164</f>
        <v>0.0215795060896058</v>
      </c>
      <c r="D8171" s="13" t="n">
        <f aca="false">Sens!$D$8162/Sens!$D$8164</f>
        <v>0.0676152269462122</v>
      </c>
      <c r="E8171" s="13" t="n">
        <f aca="false">Sens!$E$8162/Sens!$E$8164</f>
        <v>0.106620641395783</v>
      </c>
      <c r="F8171" s="13" t="n">
        <f aca="false">Sens!$F$8162/Sens!$F$8164</f>
        <v>0.172523487401099</v>
      </c>
      <c r="G8171" s="13" t="n">
        <f aca="false">Sens!$G$8162/Sens!$G$8164</f>
        <v>0.140939911795589</v>
      </c>
      <c r="H8171" s="13" t="n">
        <f aca="false">Sens!$H$8162/Sens!$H$8164</f>
        <v>0.272018642937714</v>
      </c>
      <c r="I8171" s="13" t="n">
        <f aca="false">Sens!$I$8162/Sens!$I$8164</f>
        <v>0.362159512436497</v>
      </c>
      <c r="J8171" s="13" t="n">
        <f aca="false">Sens!$J$8162/Sens!$J$8164</f>
        <v>0.422151735934609</v>
      </c>
      <c r="K8171" s="13" t="n">
        <f aca="false">Sens!$K$8162/Sens!$K$8164</f>
        <v>0.45769342068485</v>
      </c>
      <c r="L8171" s="13" t="n">
        <f aca="false">Sens!$L$8162/Sens!$L$8164</f>
        <v>0.469047103913472</v>
      </c>
      <c r="M8171" s="13" t="n">
        <f aca="false">Sens!$M$8162/Sens!$M$8164</f>
        <v>0.463233328258093</v>
      </c>
      <c r="N8171" s="13" t="n">
        <f aca="false">Sens!$N$8162/Sens!$N$8164</f>
        <v>0.0506537999838362</v>
      </c>
      <c r="O8171" s="13" t="n">
        <f aca="false">Sens!$O$8162/Sens!$O$8164</f>
        <v>0.0824881615167056</v>
      </c>
    </row>
    <row r="8174" customFormat="false" ht="19.4" hidden="false" customHeight="false" outlineLevel="0" collapsed="false">
      <c r="A8174" s="31" t="s">
        <v>1302</v>
      </c>
    </row>
    <row r="8175" customFormat="false" ht="17.15" hidden="false" customHeight="false" outlineLevel="0" collapsed="false">
      <c r="A8175" s="6" t="s">
        <v>16</v>
      </c>
      <c r="B8175" s="6" t="s">
        <v>17</v>
      </c>
      <c r="C8175" s="20" t="s">
        <v>497</v>
      </c>
      <c r="D8175" s="20" t="s">
        <v>498</v>
      </c>
      <c r="E8175" s="20" t="s">
        <v>580</v>
      </c>
      <c r="F8175" s="20" t="s">
        <v>581</v>
      </c>
      <c r="G8175" s="20" t="s">
        <v>582</v>
      </c>
      <c r="H8175" s="20" t="s">
        <v>583</v>
      </c>
      <c r="I8175" s="20" t="s">
        <v>584</v>
      </c>
      <c r="J8175" s="20" t="s">
        <v>585</v>
      </c>
      <c r="K8175" s="20" t="s">
        <v>586</v>
      </c>
      <c r="L8175" s="20" t="s">
        <v>587</v>
      </c>
      <c r="M8175" s="20" t="s">
        <v>588</v>
      </c>
      <c r="N8175" s="20" t="s">
        <v>589</v>
      </c>
      <c r="O8175" s="20" t="s">
        <v>590</v>
      </c>
      <c r="P8175" s="6" t="s">
        <v>23</v>
      </c>
      <c r="R8175" s="20" t="n">
        <v>2023</v>
      </c>
      <c r="S8175" s="20" t="n">
        <v>2024</v>
      </c>
      <c r="T8175" s="20" t="n">
        <v>2025</v>
      </c>
      <c r="U8175" s="20" t="n">
        <v>2026</v>
      </c>
      <c r="V8175" s="20" t="n">
        <v>2027</v>
      </c>
      <c r="W8175" s="20" t="n">
        <v>2028</v>
      </c>
      <c r="X8175" s="20" t="n">
        <v>2029</v>
      </c>
      <c r="Y8175" s="20" t="n">
        <v>2030</v>
      </c>
      <c r="Z8175" s="20" t="n">
        <v>2031</v>
      </c>
      <c r="AA8175" s="20" t="n">
        <v>2032</v>
      </c>
    </row>
    <row r="8176" customFormat="false" ht="17.15" hidden="false" customHeight="false" outlineLevel="0" collapsed="false">
      <c r="A8176" s="1" t="s">
        <v>716</v>
      </c>
    </row>
    <row r="8177" customFormat="false" ht="15" hidden="false" customHeight="false" outlineLevel="0" collapsed="false">
      <c r="A8177" s="0" t="s">
        <v>519</v>
      </c>
      <c r="B8177" s="0" t="s">
        <v>86</v>
      </c>
      <c r="C8177" s="38" t="n">
        <f aca="false">Sens!$C$8082</f>
        <v>247.029</v>
      </c>
      <c r="D8177" s="38" t="n">
        <f aca="false">Sens!$D$8082</f>
        <v>269.287</v>
      </c>
      <c r="E8177" s="38" t="n">
        <f aca="false">Sens!$E$8082</f>
        <v>134.686</v>
      </c>
      <c r="F8177" s="38" t="n">
        <f aca="false">Sens!$F$8082</f>
        <v>158.293876822267</v>
      </c>
      <c r="G8177" s="38" t="n">
        <f aca="false">Sens!$G$8082</f>
        <v>292.979876822267</v>
      </c>
      <c r="H8177" s="38" t="n">
        <f aca="false">Sens!$H$8082</f>
        <v>318.184543087396</v>
      </c>
      <c r="I8177" s="38" t="n">
        <f aca="false">Sens!$I$8082</f>
        <v>341.736278761793</v>
      </c>
      <c r="J8177" s="38" t="n">
        <f aca="false">Sens!$J$8082</f>
        <v>362.927192787048</v>
      </c>
      <c r="K8177" s="38" t="n">
        <f aca="false">Sens!$K$8082</f>
        <v>381.0735524264</v>
      </c>
      <c r="L8177" s="38" t="n">
        <f aca="false">Sens!$L$8082</f>
        <v>400.12723004772</v>
      </c>
      <c r="M8177" s="38" t="n">
        <f aca="false">Sens!$M$8082</f>
        <v>420.133591550106</v>
      </c>
      <c r="N8177" s="38" t="n">
        <f aca="false">Sens!$N$8082</f>
        <v>118.892</v>
      </c>
      <c r="O8177" s="38" t="n">
        <f aca="false">Sens!$O$8082</f>
        <v>150.395</v>
      </c>
    </row>
    <row r="8178" customFormat="false" ht="15" hidden="false" customHeight="false" outlineLevel="0" collapsed="false">
      <c r="A8178" s="0" t="s">
        <v>520</v>
      </c>
      <c r="B8178" s="0" t="s">
        <v>86</v>
      </c>
      <c r="C8178" s="38" t="n">
        <f aca="false">Sens!$C$8084</f>
        <v>21.215</v>
      </c>
      <c r="D8178" s="38" t="n">
        <f aca="false">Sens!$D$8084</f>
        <v>22.561</v>
      </c>
      <c r="E8178" s="38" t="n">
        <f aca="false">Sens!$E$8084</f>
        <v>11.579</v>
      </c>
      <c r="F8178" s="38" t="n">
        <f aca="false">Sens!$F$8084</f>
        <v>11.5938724610325</v>
      </c>
      <c r="G8178" s="38" t="n">
        <f aca="false">Sens!$G$8084</f>
        <v>23.1728724610325</v>
      </c>
      <c r="H8178" s="38" t="n">
        <f aca="false">Sens!$H$8084</f>
        <v>24.353392759506</v>
      </c>
      <c r="I8178" s="38" t="n">
        <f aca="false">Sens!$I$8084</f>
        <v>25.4240338872015</v>
      </c>
      <c r="J8178" s="38" t="n">
        <f aca="false">Sens!$J$8084</f>
        <v>26.3642491017174</v>
      </c>
      <c r="K8178" s="38" t="n">
        <f aca="false">Sens!$K$8084</f>
        <v>27.155176574769</v>
      </c>
      <c r="L8178" s="38" t="n">
        <f aca="false">Sens!$L$8084</f>
        <v>27.969831872012</v>
      </c>
      <c r="M8178" s="38" t="n">
        <f aca="false">Sens!$M$8084</f>
        <v>28.8089268281724</v>
      </c>
      <c r="N8178" s="38" t="n">
        <f aca="false">Sens!$N$8084</f>
        <v>11.128</v>
      </c>
      <c r="O8178" s="38" t="n">
        <f aca="false">Sens!$O$8084</f>
        <v>11.433</v>
      </c>
    </row>
    <row r="8179" customFormat="false" ht="15" hidden="false" customHeight="false" outlineLevel="0" collapsed="false">
      <c r="A8179" s="0" t="s">
        <v>521</v>
      </c>
      <c r="B8179" s="0" t="s">
        <v>86</v>
      </c>
      <c r="C8179" s="38" t="n">
        <f aca="false">Sens!$C$8086</f>
        <v>156.146</v>
      </c>
      <c r="D8179" s="38" t="n">
        <f aca="false">Sens!$D$8086</f>
        <v>172.162</v>
      </c>
      <c r="E8179" s="38" t="n">
        <f aca="false">Sens!$E$8086</f>
        <v>88.358</v>
      </c>
      <c r="F8179" s="38" t="n">
        <f aca="false">Sens!$F$8086</f>
        <v>102.004388260171</v>
      </c>
      <c r="G8179" s="38" t="n">
        <f aca="false">Sens!$G$8086</f>
        <v>190.362388260171</v>
      </c>
      <c r="H8179" s="38" t="n">
        <f aca="false">Sens!$H$8086</f>
        <v>210.343106588311</v>
      </c>
      <c r="I8179" s="38" t="n">
        <f aca="false">Sens!$I$8086</f>
        <v>229.969728494648</v>
      </c>
      <c r="J8179" s="38" t="n">
        <f aca="false">Sens!$J$8086</f>
        <v>248.747636972598</v>
      </c>
      <c r="K8179" s="38" t="n">
        <f aca="false">Sens!$K$8086</f>
        <v>266.15997156068</v>
      </c>
      <c r="L8179" s="38" t="n">
        <f aca="false">Sens!$L$8086</f>
        <v>284.791169569927</v>
      </c>
      <c r="M8179" s="38" t="n">
        <f aca="false">Sens!$M$8086</f>
        <v>304.726551439822</v>
      </c>
      <c r="N8179" s="38" t="n">
        <f aca="false">Sens!$N$8086</f>
        <v>76.86</v>
      </c>
      <c r="O8179" s="38" t="n">
        <f aca="false">Sens!$O$8086</f>
        <v>95.302</v>
      </c>
    </row>
    <row r="8180" customFormat="false" ht="15" hidden="false" customHeight="false" outlineLevel="0" collapsed="false">
      <c r="A8180" s="0" t="s">
        <v>522</v>
      </c>
      <c r="B8180" s="0" t="s">
        <v>86</v>
      </c>
      <c r="C8180" s="38" t="n">
        <f aca="false">Sens!$C$8088</f>
        <v>56.214</v>
      </c>
      <c r="D8180" s="38" t="n">
        <f aca="false">Sens!$D$8088</f>
        <v>68.635</v>
      </c>
      <c r="E8180" s="38" t="n">
        <f aca="false">Sens!$E$8088</f>
        <v>37.052</v>
      </c>
      <c r="F8180" s="38" t="n">
        <f aca="false">Sens!$F$8088</f>
        <v>46.1572219944148</v>
      </c>
      <c r="G8180" s="38" t="n">
        <f aca="false">Sens!$G$8088</f>
        <v>83.2092219944148</v>
      </c>
      <c r="H8180" s="38" t="n">
        <f aca="false">Sens!$H$8088</f>
        <v>99.8969223878976</v>
      </c>
      <c r="I8180" s="38" t="n">
        <f aca="false">Sens!$I$8088</f>
        <v>116.583111095496</v>
      </c>
      <c r="J8180" s="38" t="n">
        <f aca="false">Sens!$J$8088</f>
        <v>132.148941941952</v>
      </c>
      <c r="K8180" s="38" t="n">
        <f aca="false">Sens!$K$8088</f>
        <v>145.363836136147</v>
      </c>
      <c r="L8180" s="38" t="n">
        <f aca="false">Sens!$L$8088</f>
        <v>159.900219749762</v>
      </c>
      <c r="M8180" s="38" t="n">
        <f aca="false">Sens!$M$8088</f>
        <v>175.890241724738</v>
      </c>
      <c r="N8180" s="38" t="n">
        <f aca="false">Sens!$N$8088</f>
        <v>29.615</v>
      </c>
      <c r="O8180" s="38" t="n">
        <f aca="false">Sens!$O$8088</f>
        <v>39.02</v>
      </c>
    </row>
    <row r="8181" customFormat="false" ht="15" hidden="false" customHeight="false" outlineLevel="0" collapsed="false">
      <c r="A8181" s="0" t="s">
        <v>523</v>
      </c>
      <c r="B8181" s="0" t="s">
        <v>86</v>
      </c>
      <c r="C8181" s="38" t="n">
        <f aca="false">Sens!$C$8090</f>
        <v>44.374</v>
      </c>
      <c r="D8181" s="38" t="n">
        <f aca="false">Sens!$D$8090</f>
        <v>49.619</v>
      </c>
      <c r="E8181" s="38" t="n">
        <f aca="false">Sens!$E$8090</f>
        <v>27.157</v>
      </c>
      <c r="F8181" s="38" t="n">
        <f aca="false">Sens!$F$8090</f>
        <v>27.7764165988154</v>
      </c>
      <c r="G8181" s="38" t="n">
        <f aca="false">Sens!$G$8090</f>
        <v>54.9334165988154</v>
      </c>
      <c r="H8181" s="38" t="n">
        <f aca="false">Sens!$H$8090</f>
        <v>61.1564112561829</v>
      </c>
      <c r="I8181" s="38" t="n">
        <f aca="false">Sens!$I$8090</f>
        <v>67.2020282103945</v>
      </c>
      <c r="J8181" s="38" t="n">
        <f aca="false">Sens!$J$8090</f>
        <v>72.8757274028885</v>
      </c>
      <c r="K8181" s="38" t="n">
        <f aca="false">Sens!$K$8090</f>
        <v>77.9770283210907</v>
      </c>
      <c r="L8181" s="38" t="n">
        <f aca="false">Sens!$L$8090</f>
        <v>83.4354203035671</v>
      </c>
      <c r="M8181" s="38" t="n">
        <f aca="false">Sens!$M$8090</f>
        <v>89.2758997248168</v>
      </c>
      <c r="N8181" s="38" t="n">
        <f aca="false">Sens!$N$8090</f>
        <v>23.923</v>
      </c>
      <c r="O8181" s="38" t="n">
        <f aca="false">Sens!$O$8090</f>
        <v>25.696</v>
      </c>
    </row>
    <row r="8182" customFormat="false" ht="15" hidden="false" customHeight="false" outlineLevel="0" collapsed="false">
      <c r="A8182" s="0" t="s">
        <v>524</v>
      </c>
      <c r="B8182" s="0" t="s">
        <v>86</v>
      </c>
      <c r="C8182" s="38" t="n">
        <f aca="false">Sens!$C$8092</f>
        <v>5.425</v>
      </c>
      <c r="D8182" s="38" t="n">
        <f aca="false">Sens!$D$8092</f>
        <v>5.935</v>
      </c>
      <c r="E8182" s="38" t="n">
        <f aca="false">Sens!$E$8092</f>
        <v>3.474</v>
      </c>
      <c r="F8182" s="38" t="n">
        <f aca="false">Sens!$F$8092</f>
        <v>3.22246550883619</v>
      </c>
      <c r="G8182" s="38" t="n">
        <f aca="false">Sens!$G$8092</f>
        <v>6.69646550883619</v>
      </c>
      <c r="H8182" s="38" t="n">
        <f aca="false">Sens!$H$8092</f>
        <v>7.16251344209196</v>
      </c>
      <c r="I8182" s="38" t="n">
        <f aca="false">Sens!$I$8092</f>
        <v>7.61421070299826</v>
      </c>
      <c r="J8182" s="38" t="n">
        <f aca="false">Sens!$J$8092</f>
        <v>8.04465753523932</v>
      </c>
      <c r="K8182" s="38" t="n">
        <f aca="false">Sens!$K$8092</f>
        <v>8.44689041200128</v>
      </c>
      <c r="L8182" s="38" t="n">
        <f aca="false">Sens!$L$8092</f>
        <v>8.86923493260135</v>
      </c>
      <c r="M8182" s="38" t="n">
        <f aca="false">Sens!$M$8092</f>
        <v>9.31269667923142</v>
      </c>
      <c r="N8182" s="38" t="n">
        <f aca="false">Sens!$N$8092</f>
        <v>2.811</v>
      </c>
      <c r="O8182" s="38" t="n">
        <f aca="false">Sens!$O$8092</f>
        <v>3.124</v>
      </c>
    </row>
    <row r="8183" customFormat="false" ht="17.15" hidden="false" customHeight="false" outlineLevel="0" collapsed="false">
      <c r="A8183" s="0" t="s">
        <v>717</v>
      </c>
      <c r="B8183" s="0" t="s">
        <v>86</v>
      </c>
      <c r="C8183" s="38" t="n">
        <f aca="false">Sens!$C$8164</f>
        <v>107.556</v>
      </c>
      <c r="D8183" s="38" t="n">
        <f aca="false">Sens!$D$8164</f>
        <v>128.725</v>
      </c>
      <c r="E8183" s="38" t="n">
        <f aca="false">Sens!$E$8164</f>
        <v>79.819</v>
      </c>
      <c r="F8183" s="38" t="n">
        <f aca="false">Sens!$F$8164</f>
        <v>86.7327334389669</v>
      </c>
      <c r="G8183" s="38" t="n">
        <f aca="false">Sens!$G$8164</f>
        <v>166.551733438967</v>
      </c>
      <c r="H8183" s="38" t="n">
        <f aca="false">Sens!$H$8164</f>
        <v>221.182967828978</v>
      </c>
      <c r="I8183" s="38" t="n">
        <f aca="false">Sens!$I$8164</f>
        <v>280.27345865789</v>
      </c>
      <c r="J8183" s="38" t="n">
        <f aca="false">Sens!$J$8164</f>
        <v>338.800945197185</v>
      </c>
      <c r="K8183" s="38" t="n">
        <f aca="false">Sens!$K$8164</f>
        <v>389.88570147276</v>
      </c>
      <c r="L8183" s="38" t="n">
        <f aca="false">Sens!$L$8164</f>
        <v>430.080689379143</v>
      </c>
      <c r="M8183" s="38" t="n">
        <f aca="false">Sens!$M$8164</f>
        <v>459.456235951751</v>
      </c>
      <c r="N8183" s="38" t="n">
        <f aca="false">Sens!$N$8164</f>
        <v>60.14</v>
      </c>
      <c r="O8183" s="38" t="n">
        <f aca="false">Sens!$O$8164</f>
        <v>68.585</v>
      </c>
    </row>
    <row r="8184" customFormat="false" ht="15" hidden="false" customHeight="false" outlineLevel="0" collapsed="false">
      <c r="A8184" s="1" t="s">
        <v>512</v>
      </c>
      <c r="B8184" s="8" t="s">
        <v>86</v>
      </c>
      <c r="C8184" s="38" t="n">
        <f aca="false">Sens!$C$8097</f>
        <v>387.497</v>
      </c>
      <c r="D8184" s="38" t="n">
        <f aca="false">Sens!$D$8097</f>
        <v>426.305</v>
      </c>
      <c r="E8184" s="38" t="n">
        <f aca="false">Sens!$E$8097</f>
        <v>220.32</v>
      </c>
      <c r="F8184" s="38" t="n">
        <f aca="false">Sens!$F$8097</f>
        <v>250.639773480586</v>
      </c>
      <c r="G8184" s="38" t="n">
        <f aca="false">Sens!$G$8097</f>
        <v>470.959773480586</v>
      </c>
      <c r="H8184" s="38" t="n">
        <f aca="false">Sens!$H$8097</f>
        <v>521.386990416437</v>
      </c>
      <c r="I8184" s="38" t="n">
        <f aca="false">Sens!$I$8097</f>
        <v>570.143862887555</v>
      </c>
      <c r="J8184" s="38" t="n">
        <f aca="false">Sens!$J$8097</f>
        <v>615.391435791933</v>
      </c>
      <c r="K8184" s="38" t="n">
        <f aca="false">Sens!$K$8097</f>
        <v>655.208227561543</v>
      </c>
      <c r="L8184" s="38" t="n">
        <f aca="false">Sens!$L$8097</f>
        <v>697.807739249767</v>
      </c>
      <c r="M8184" s="38" t="n">
        <f aca="false">Sens!$M$8097</f>
        <v>743.399328463592</v>
      </c>
      <c r="N8184" s="38" t="n">
        <f aca="false">Sens!$N$8097</f>
        <v>192.955</v>
      </c>
      <c r="O8184" s="38" t="n">
        <f aca="false">Sens!$O$8097</f>
        <v>233.35</v>
      </c>
    </row>
    <row r="8185" customFormat="false" ht="15" hidden="false" customHeight="false" outlineLevel="0" collapsed="false">
      <c r="A8185" s="1" t="s">
        <v>515</v>
      </c>
      <c r="B8185" s="8" t="s">
        <v>86</v>
      </c>
      <c r="C8185" s="38" t="n">
        <f aca="false">Sens!$C$8098</f>
        <v>142.906</v>
      </c>
      <c r="D8185" s="38" t="n">
        <f aca="false">Sens!$D$8098</f>
        <v>161.894</v>
      </c>
      <c r="E8185" s="38" t="n">
        <f aca="false">Sens!$E$8098</f>
        <v>81.986</v>
      </c>
      <c r="F8185" s="38" t="n">
        <f aca="false">Sens!$F$8098</f>
        <v>98.408468164951</v>
      </c>
      <c r="G8185" s="38" t="n">
        <f aca="false">Sens!$G$8098</f>
        <v>180.394468164951</v>
      </c>
      <c r="H8185" s="38" t="n">
        <f aca="false">Sens!$H$8098</f>
        <v>199.709899104949</v>
      </c>
      <c r="I8185" s="38" t="n">
        <f aca="false">Sens!$I$8098</f>
        <v>218.385528264976</v>
      </c>
      <c r="J8185" s="38" t="n">
        <f aca="false">Sens!$J$8098</f>
        <v>235.71696994951</v>
      </c>
      <c r="K8185" s="38" t="n">
        <f aca="false">Sens!$K$8098</f>
        <v>250.968227869545</v>
      </c>
      <c r="L8185" s="38" t="n">
        <f aca="false">Sens!$L$8098</f>
        <v>267.285367225822</v>
      </c>
      <c r="M8185" s="38" t="n">
        <f aca="false">Sens!$M$8098</f>
        <v>284.748579483295</v>
      </c>
      <c r="N8185" s="38" t="n">
        <f aca="false">Sens!$N$8098</f>
        <v>70.274</v>
      </c>
      <c r="O8185" s="38" t="n">
        <f aca="false">Sens!$O$8098</f>
        <v>91.62</v>
      </c>
    </row>
    <row r="8186" customFormat="false" ht="15" hidden="false" customHeight="false" outlineLevel="0" collapsed="false">
      <c r="A8186" s="1" t="s">
        <v>516</v>
      </c>
      <c r="B8186" s="8" t="s">
        <v>86</v>
      </c>
      <c r="C8186" s="38" t="n">
        <f aca="false">Sens!$C$8164</f>
        <v>107.556</v>
      </c>
      <c r="D8186" s="38" t="n">
        <f aca="false">Sens!$D$8164</f>
        <v>128.725</v>
      </c>
      <c r="E8186" s="38" t="n">
        <f aca="false">Sens!$E$8164</f>
        <v>79.819</v>
      </c>
      <c r="F8186" s="38" t="n">
        <f aca="false">Sens!$F$8164</f>
        <v>86.7327334389669</v>
      </c>
      <c r="G8186" s="38" t="n">
        <f aca="false">Sens!$G$8164</f>
        <v>166.551733438967</v>
      </c>
      <c r="H8186" s="38" t="n">
        <f aca="false">Sens!$H$8164</f>
        <v>221.182967828978</v>
      </c>
      <c r="I8186" s="38" t="n">
        <f aca="false">Sens!$I$8164</f>
        <v>280.27345865789</v>
      </c>
      <c r="J8186" s="38" t="n">
        <f aca="false">Sens!$J$8164</f>
        <v>338.800945197185</v>
      </c>
      <c r="K8186" s="38" t="n">
        <f aca="false">Sens!$K$8164</f>
        <v>389.88570147276</v>
      </c>
      <c r="L8186" s="38" t="n">
        <f aca="false">Sens!$L$8164</f>
        <v>430.080689379143</v>
      </c>
      <c r="M8186" s="38" t="n">
        <f aca="false">Sens!$M$8164</f>
        <v>459.456235951751</v>
      </c>
      <c r="N8186" s="38" t="n">
        <f aca="false">Sens!$N$8164</f>
        <v>60.14</v>
      </c>
      <c r="O8186" s="38" t="n">
        <f aca="false">Sens!$O$8164</f>
        <v>68.585</v>
      </c>
    </row>
    <row r="8187" customFormat="false" ht="17.15" hidden="false" customHeight="false" outlineLevel="0" collapsed="false">
      <c r="A8187" s="0" t="s">
        <v>691</v>
      </c>
      <c r="B8187" s="0" t="s">
        <v>86</v>
      </c>
      <c r="C8187" s="38" t="n">
        <f aca="false">Sens!$C$8162</f>
        <v>2.32100535697364</v>
      </c>
      <c r="D8187" s="38" t="n">
        <f aca="false">Sens!$D$8162</f>
        <v>8.70377008865116</v>
      </c>
      <c r="E8187" s="38" t="n">
        <f aca="false">Sens!$E$8162</f>
        <v>8.51035297557002</v>
      </c>
      <c r="F8187" s="38" t="n">
        <f aca="false">Sens!$F$8162</f>
        <v>14.9634336447205</v>
      </c>
      <c r="G8187" s="38" t="n">
        <f aca="false">Sens!$G$8162</f>
        <v>23.4737866202905</v>
      </c>
      <c r="H8187" s="38" t="n">
        <f aca="false">Sens!$H$8162</f>
        <v>60.1658907497746</v>
      </c>
      <c r="I8187" s="38" t="n">
        <f aca="false">Sens!$I$8162</f>
        <v>101.503699136432</v>
      </c>
      <c r="J8187" s="38" t="n">
        <f aca="false">Sens!$J$8162</f>
        <v>143.025407151278</v>
      </c>
      <c r="K8187" s="38" t="n">
        <f aca="false">Sens!$K$8162</f>
        <v>178.44812038318</v>
      </c>
      <c r="L8187" s="38" t="n">
        <f aca="false">Sens!$L$8162</f>
        <v>201.728101802396</v>
      </c>
      <c r="M8187" s="38" t="n">
        <f aca="false">Sens!$M$8162</f>
        <v>212.835441368865</v>
      </c>
      <c r="N8187" s="38" t="n">
        <f aca="false">Sens!$N$8162</f>
        <v>3.04631953102791</v>
      </c>
      <c r="O8187" s="38" t="n">
        <f aca="false">Sens!$O$8162</f>
        <v>5.65745055762326</v>
      </c>
    </row>
    <row r="8188" customFormat="false" ht="17.15" hidden="false" customHeight="false" outlineLevel="0" collapsed="false">
      <c r="A8188" s="0" t="s">
        <v>693</v>
      </c>
      <c r="B8188" s="0" t="s">
        <v>86</v>
      </c>
      <c r="C8188" s="38" t="n">
        <f aca="false">Sens!$C$8163</f>
        <v>105.234994643026</v>
      </c>
      <c r="D8188" s="38" t="n">
        <f aca="false">Sens!$D$8163</f>
        <v>120.021229911349</v>
      </c>
      <c r="E8188" s="38" t="n">
        <f aca="false">Sens!$E$8163</f>
        <v>71.30864702443</v>
      </c>
      <c r="F8188" s="38" t="n">
        <f aca="false">Sens!$F$8163</f>
        <v>71.7692997942464</v>
      </c>
      <c r="G8188" s="38" t="n">
        <f aca="false">Sens!$G$8163</f>
        <v>143.077946818676</v>
      </c>
      <c r="H8188" s="38" t="n">
        <f aca="false">Sens!$H$8163</f>
        <v>161.017077079203</v>
      </c>
      <c r="I8188" s="38" t="n">
        <f aca="false">Sens!$I$8163</f>
        <v>178.769759521457</v>
      </c>
      <c r="J8188" s="38" t="n">
        <f aca="false">Sens!$J$8163</f>
        <v>195.775538045907</v>
      </c>
      <c r="K8188" s="38" t="n">
        <f aca="false">Sens!$K$8163</f>
        <v>211.43758108958</v>
      </c>
      <c r="L8188" s="38" t="n">
        <f aca="false">Sens!$L$8163</f>
        <v>228.352587576746</v>
      </c>
      <c r="M8188" s="38" t="n">
        <f aca="false">Sens!$M$8163</f>
        <v>246.620794582886</v>
      </c>
      <c r="N8188" s="38" t="n">
        <f aca="false">Sens!$N$8163</f>
        <v>57.0936804689721</v>
      </c>
      <c r="O8188" s="38" t="n">
        <f aca="false">Sens!$O$8163</f>
        <v>62.9275494423768</v>
      </c>
    </row>
    <row r="8189" customFormat="false" ht="15" hidden="false" customHeight="false" outlineLevel="0" collapsed="false">
      <c r="A8189" s="3" t="s">
        <v>517</v>
      </c>
      <c r="B8189" s="8" t="s">
        <v>86</v>
      </c>
      <c r="C8189" s="38" t="n">
        <f aca="false">Sens!$C$8165</f>
        <v>637.959</v>
      </c>
      <c r="D8189" s="38" t="n">
        <f aca="false">Sens!$D$8165</f>
        <v>716.924</v>
      </c>
      <c r="E8189" s="38" t="n">
        <f aca="false">Sens!$E$8165</f>
        <v>382.125</v>
      </c>
      <c r="F8189" s="38" t="n">
        <f aca="false">Sens!$F$8165</f>
        <v>435.780975084504</v>
      </c>
      <c r="G8189" s="38" t="n">
        <f aca="false">Sens!$G$8165</f>
        <v>817.905975084504</v>
      </c>
      <c r="H8189" s="38" t="n">
        <f aca="false">Sens!$H$8165</f>
        <v>942.279857350364</v>
      </c>
      <c r="I8189" s="38" t="n">
        <f aca="false">Sens!$I$8165</f>
        <v>1068.80284981042</v>
      </c>
      <c r="J8189" s="38" t="n">
        <f aca="false">Sens!$J$8165</f>
        <v>1189.90935093863</v>
      </c>
      <c r="K8189" s="38" t="n">
        <f aca="false">Sens!$K$8165</f>
        <v>1296.06215690385</v>
      </c>
      <c r="L8189" s="38" t="n">
        <f aca="false">Sens!$L$8165</f>
        <v>1395.17379585473</v>
      </c>
      <c r="M8189" s="38" t="n">
        <f aca="false">Sens!$M$8165</f>
        <v>1487.60414389864</v>
      </c>
      <c r="N8189" s="38" t="n">
        <f aca="false">Sens!$N$8165</f>
        <v>323.369</v>
      </c>
      <c r="O8189" s="38" t="n">
        <f aca="false">Sens!$O$8165</f>
        <v>393.555</v>
      </c>
    </row>
    <row r="8190" customFormat="false" ht="17.15" hidden="false" customHeight="false" outlineLevel="0" collapsed="false">
      <c r="A8190" s="24" t="s">
        <v>703</v>
      </c>
      <c r="B8190" s="25" t="s">
        <v>86</v>
      </c>
      <c r="C8190" s="41" t="n">
        <f aca="false">Sens!$C$8177+Sens!$C$8178+Sens!$C$8179+Sens!$C$8180+Sens!$C$8181+Sens!$C$8182-(Sens!$C$8184+Sens!$C$8185)</f>
        <v>0</v>
      </c>
      <c r="D8190" s="41" t="n">
        <f aca="false">Sens!$D$8177+Sens!$D$8178+Sens!$D$8179+Sens!$D$8180+Sens!$D$8181+Sens!$D$8182-(Sens!$D$8184+Sens!$D$8185)</f>
        <v>0</v>
      </c>
      <c r="E8190" s="41" t="n">
        <f aca="false">Sens!$E$8177+Sens!$E$8178+Sens!$E$8179+Sens!$E$8180+Sens!$E$8181+Sens!$E$8182-(Sens!$E$8184+Sens!$E$8185)</f>
        <v>0</v>
      </c>
      <c r="F8190" s="41" t="n">
        <f aca="false">Sens!$F$8177+Sens!$F$8178+Sens!$F$8179+Sens!$F$8180+Sens!$F$8181+Sens!$F$8182-(Sens!$F$8184+Sens!$F$8185)</f>
        <v>0</v>
      </c>
      <c r="G8190" s="41" t="n">
        <f aca="false">Sens!$G$8177+Sens!$G$8178+Sens!$G$8179+Sens!$G$8180+Sens!$G$8181+Sens!$G$8182-(Sens!$G$8184+Sens!$G$8185)</f>
        <v>0</v>
      </c>
      <c r="H8190" s="41" t="n">
        <f aca="false">Sens!$H$8177+Sens!$H$8178+Sens!$H$8179+Sens!$H$8180+Sens!$H$8181+Sens!$H$8182-(Sens!$H$8184+Sens!$H$8185)</f>
        <v>0</v>
      </c>
      <c r="I8190" s="41" t="n">
        <f aca="false">Sens!$I$8177+Sens!$I$8178+Sens!$I$8179+Sens!$I$8180+Sens!$I$8181+Sens!$I$8182-(Sens!$I$8184+Sens!$I$8185)</f>
        <v>0</v>
      </c>
      <c r="J8190" s="41" t="n">
        <f aca="false">Sens!$J$8177+Sens!$J$8178+Sens!$J$8179+Sens!$J$8180+Sens!$J$8181+Sens!$J$8182-(Sens!$J$8184+Sens!$J$8185)</f>
        <v>0</v>
      </c>
      <c r="K8190" s="41" t="n">
        <f aca="false">Sens!$K$8177+Sens!$K$8178+Sens!$K$8179+Sens!$K$8180+Sens!$K$8181+Sens!$K$8182-(Sens!$K$8184+Sens!$K$8185)</f>
        <v>0</v>
      </c>
      <c r="L8190" s="41" t="n">
        <f aca="false">Sens!$L$8177+Sens!$L$8178+Sens!$L$8179+Sens!$L$8180+Sens!$L$8181+Sens!$L$8182-(Sens!$L$8184+Sens!$L$8185)</f>
        <v>0</v>
      </c>
      <c r="M8190" s="41" t="n">
        <f aca="false">Sens!$M$8177+Sens!$M$8178+Sens!$M$8179+Sens!$M$8180+Sens!$M$8181+Sens!$M$8182-(Sens!$M$8184+Sens!$M$8185)</f>
        <v>0</v>
      </c>
      <c r="N8190" s="41" t="n">
        <f aca="false">Sens!$N$8177+Sens!$N$8178+Sens!$N$8179+Sens!$N$8180+Sens!$N$8181+Sens!$N$8182-(Sens!$N$8184+Sens!$N$8185)</f>
        <v>0</v>
      </c>
      <c r="O8190" s="41" t="n">
        <f aca="false">Sens!$O$8177+Sens!$O$8178+Sens!$O$8179+Sens!$O$8180+Sens!$O$8181+Sens!$O$8182-(Sens!$O$8184+Sens!$O$8185)</f>
        <v>0</v>
      </c>
    </row>
    <row r="8191" customFormat="false" ht="17.15" hidden="false" customHeight="false" outlineLevel="0" collapsed="false">
      <c r="A8191" s="24" t="s">
        <v>704</v>
      </c>
      <c r="B8191" s="25" t="s">
        <v>86</v>
      </c>
      <c r="C8191" s="41" t="n">
        <f aca="false">Sens!$C$8187+Sens!$C$8188-Sens!$C$8186</f>
        <v>0</v>
      </c>
      <c r="D8191" s="41" t="n">
        <f aca="false">Sens!$D$8187+Sens!$D$8188-Sens!$D$8186</f>
        <v>0</v>
      </c>
      <c r="E8191" s="41" t="n">
        <f aca="false">Sens!$E$8187+Sens!$E$8188-Sens!$E$8186</f>
        <v>0</v>
      </c>
      <c r="F8191" s="41" t="n">
        <f aca="false">Sens!$F$8187+Sens!$F$8188-Sens!$F$8186</f>
        <v>0</v>
      </c>
      <c r="G8191" s="41" t="n">
        <f aca="false">Sens!$G$8187+Sens!$G$8188-Sens!$G$8186</f>
        <v>0</v>
      </c>
      <c r="H8191" s="41" t="n">
        <f aca="false">Sens!$H$8187+Sens!$H$8188-Sens!$H$8186</f>
        <v>0</v>
      </c>
      <c r="I8191" s="41" t="n">
        <f aca="false">Sens!$I$8187+Sens!$I$8188-Sens!$I$8186</f>
        <v>0</v>
      </c>
      <c r="J8191" s="41" t="n">
        <f aca="false">Sens!$J$8187+Sens!$J$8188-Sens!$J$8186</f>
        <v>0</v>
      </c>
      <c r="K8191" s="41" t="n">
        <f aca="false">Sens!$K$8187+Sens!$K$8188-Sens!$K$8186</f>
        <v>0</v>
      </c>
      <c r="L8191" s="41" t="n">
        <f aca="false">Sens!$L$8187+Sens!$L$8188-Sens!$L$8186</f>
        <v>0</v>
      </c>
      <c r="M8191" s="41" t="n">
        <f aca="false">Sens!$M$8187+Sens!$M$8188-Sens!$M$8186</f>
        <v>0</v>
      </c>
      <c r="N8191" s="41" t="n">
        <f aca="false">Sens!$N$8187+Sens!$N$8188-Sens!$N$8186</f>
        <v>0</v>
      </c>
      <c r="O8191" s="41" t="n">
        <f aca="false">Sens!$O$8187+Sens!$O$8188-Sens!$O$8186</f>
        <v>0</v>
      </c>
    </row>
    <row r="8192" customFormat="false" ht="17.15" hidden="false" customHeight="false" outlineLevel="0" collapsed="false">
      <c r="A8192" s="24" t="s">
        <v>763</v>
      </c>
      <c r="B8192" s="25" t="s">
        <v>86</v>
      </c>
      <c r="C8192" s="41" t="n">
        <f aca="false">Sens!$C$8177+Sens!$C$8178+Sens!$C$8179+Sens!$C$8180+Sens!$C$8181+Sens!$C$8182+Sens!$C$8183-Sens!$C$8189</f>
        <v>0</v>
      </c>
      <c r="D8192" s="41" t="n">
        <f aca="false">Sens!$D$8177+Sens!$D$8178+Sens!$D$8179+Sens!$D$8180+Sens!$D$8181+Sens!$D$8182+Sens!$D$8183-Sens!$D$8189</f>
        <v>0</v>
      </c>
      <c r="E8192" s="41" t="n">
        <f aca="false">Sens!$E$8177+Sens!$E$8178+Sens!$E$8179+Sens!$E$8180+Sens!$E$8181+Sens!$E$8182+Sens!$E$8183-Sens!$E$8189</f>
        <v>0</v>
      </c>
      <c r="F8192" s="41" t="n">
        <f aca="false">Sens!$F$8177+Sens!$F$8178+Sens!$F$8179+Sens!$F$8180+Sens!$F$8181+Sens!$F$8182+Sens!$F$8183-Sens!$F$8189</f>
        <v>0</v>
      </c>
      <c r="G8192" s="41" t="n">
        <f aca="false">Sens!$G$8177+Sens!$G$8178+Sens!$G$8179+Sens!$G$8180+Sens!$G$8181+Sens!$G$8182+Sens!$G$8183-Sens!$G$8189</f>
        <v>0</v>
      </c>
      <c r="H8192" s="41" t="n">
        <f aca="false">Sens!$H$8177+Sens!$H$8178+Sens!$H$8179+Sens!$H$8180+Sens!$H$8181+Sens!$H$8182+Sens!$H$8183-Sens!$H$8189</f>
        <v>0</v>
      </c>
      <c r="I8192" s="41" t="n">
        <f aca="false">Sens!$I$8177+Sens!$I$8178+Sens!$I$8179+Sens!$I$8180+Sens!$I$8181+Sens!$I$8182+Sens!$I$8183-Sens!$I$8189</f>
        <v>0</v>
      </c>
      <c r="J8192" s="41" t="n">
        <f aca="false">Sens!$J$8177+Sens!$J$8178+Sens!$J$8179+Sens!$J$8180+Sens!$J$8181+Sens!$J$8182+Sens!$J$8183-Sens!$J$8189</f>
        <v>0</v>
      </c>
      <c r="K8192" s="41" t="n">
        <f aca="false">Sens!$K$8177+Sens!$K$8178+Sens!$K$8179+Sens!$K$8180+Sens!$K$8181+Sens!$K$8182+Sens!$K$8183-Sens!$K$8189</f>
        <v>0</v>
      </c>
      <c r="L8192" s="41" t="n">
        <f aca="false">Sens!$L$8177+Sens!$L$8178+Sens!$L$8179+Sens!$L$8180+Sens!$L$8181+Sens!$L$8182+Sens!$L$8183-Sens!$L$8189</f>
        <v>0</v>
      </c>
      <c r="M8192" s="41" t="n">
        <f aca="false">Sens!$M$8177+Sens!$M$8178+Sens!$M$8179+Sens!$M$8180+Sens!$M$8181+Sens!$M$8182+Sens!$M$8183-Sens!$M$8189</f>
        <v>0</v>
      </c>
      <c r="N8192" s="41" t="n">
        <f aca="false">Sens!$N$8177+Sens!$N$8178+Sens!$N$8179+Sens!$N$8180+Sens!$N$8181+Sens!$N$8182+Sens!$N$8183-Sens!$N$8189</f>
        <v>0</v>
      </c>
      <c r="O8192" s="41" t="n">
        <f aca="false">Sens!$O$8177+Sens!$O$8178+Sens!$O$8179+Sens!$O$8180+Sens!$O$8181+Sens!$O$8182+Sens!$O$8183-Sens!$O$8189</f>
        <v>0</v>
      </c>
    </row>
    <row r="8193" customFormat="false" ht="17.15" hidden="false" customHeight="false" outlineLevel="0" collapsed="false">
      <c r="A8193" s="24" t="s">
        <v>705</v>
      </c>
      <c r="B8193" s="25" t="s">
        <v>86</v>
      </c>
      <c r="C8193" s="41" t="n">
        <f aca="false">Sens!$C$8184+Sens!$C$8185+Sens!$C$8186-Sens!$C$8189</f>
        <v>0</v>
      </c>
      <c r="D8193" s="41" t="n">
        <f aca="false">Sens!$D$8184+Sens!$D$8185+Sens!$D$8186-Sens!$D$8189</f>
        <v>0</v>
      </c>
      <c r="E8193" s="41" t="n">
        <f aca="false">Sens!$E$8184+Sens!$E$8185+Sens!$E$8186-Sens!$E$8189</f>
        <v>0</v>
      </c>
      <c r="F8193" s="41" t="n">
        <f aca="false">Sens!$F$8184+Sens!$F$8185+Sens!$F$8186-Sens!$F$8189</f>
        <v>0</v>
      </c>
      <c r="G8193" s="41" t="n">
        <f aca="false">Sens!$G$8184+Sens!$G$8185+Sens!$G$8186-Sens!$G$8189</f>
        <v>0</v>
      </c>
      <c r="H8193" s="41" t="n">
        <f aca="false">Sens!$H$8184+Sens!$H$8185+Sens!$H$8186-Sens!$H$8189</f>
        <v>0</v>
      </c>
      <c r="I8193" s="41" t="n">
        <f aca="false">Sens!$I$8184+Sens!$I$8185+Sens!$I$8186-Sens!$I$8189</f>
        <v>0</v>
      </c>
      <c r="J8193" s="41" t="n">
        <f aca="false">Sens!$J$8184+Sens!$J$8185+Sens!$J$8186-Sens!$J$8189</f>
        <v>0</v>
      </c>
      <c r="K8193" s="41" t="n">
        <f aca="false">Sens!$K$8184+Sens!$K$8185+Sens!$K$8186-Sens!$K$8189</f>
        <v>0</v>
      </c>
      <c r="L8193" s="41" t="n">
        <f aca="false">Sens!$L$8184+Sens!$L$8185+Sens!$L$8186-Sens!$L$8189</f>
        <v>0</v>
      </c>
      <c r="M8193" s="41" t="n">
        <f aca="false">Sens!$M$8184+Sens!$M$8185+Sens!$M$8186-Sens!$M$8189</f>
        <v>0</v>
      </c>
      <c r="N8193" s="41" t="n">
        <f aca="false">Sens!$N$8184+Sens!$N$8185+Sens!$N$8186-Sens!$N$8189</f>
        <v>0</v>
      </c>
      <c r="O8193" s="41" t="n">
        <f aca="false">Sens!$O$8184+Sens!$O$8185+Sens!$O$8186-Sens!$O$8189</f>
        <v>0</v>
      </c>
    </row>
    <row r="8194" customFormat="false" ht="17.15" hidden="false" customHeight="false" outlineLevel="0" collapsed="false">
      <c r="A8194" s="1" t="s">
        <v>719</v>
      </c>
    </row>
    <row r="8195" customFormat="false" ht="17.15" hidden="false" customHeight="false" outlineLevel="0" collapsed="false">
      <c r="A8195" s="0" t="s">
        <v>720</v>
      </c>
      <c r="B8195" s="0" t="s">
        <v>86</v>
      </c>
      <c r="C8195" s="38" t="n">
        <f aca="false">Sens!$C$8099*m_ad</f>
        <v>20.5341564414228</v>
      </c>
      <c r="D8195" s="38" t="n">
        <f aca="false">Sens!$D$8099*m_ad</f>
        <v>24.8720617299587</v>
      </c>
      <c r="E8195" s="38" t="n">
        <f aca="false">Sens!$E$8099*m_ad</f>
        <v>13.5017112462207</v>
      </c>
      <c r="F8195" s="38" t="n">
        <f aca="false">Sens!$F$8099*m_ad</f>
        <v>16.5719724165257</v>
      </c>
      <c r="G8195" s="38" t="n">
        <f aca="false">Sens!$G$8099*m_ad</f>
        <v>30.0820919220415</v>
      </c>
      <c r="H8195" s="38" t="n">
        <f aca="false">Sens!$H$8099*m_ad</f>
        <v>36.1150883276314</v>
      </c>
      <c r="I8195" s="38" t="n">
        <f aca="false">Sens!$I$8099*m_ad</f>
        <v>42.1475382231996</v>
      </c>
      <c r="J8195" s="38" t="n">
        <f aca="false">Sens!$J$8099*m_ad</f>
        <v>47.7749523864693</v>
      </c>
      <c r="K8195" s="38" t="n">
        <f aca="false">Sens!$K$8099*m_ad</f>
        <v>52.5524476251162</v>
      </c>
      <c r="L8195" s="38" t="n">
        <f aca="false">Sens!$L$8099*m_ad</f>
        <v>57.8076923876279</v>
      </c>
      <c r="M8195" s="38" t="n">
        <f aca="false">Sens!$M$8099*m_ad</f>
        <v>63.5884616263907</v>
      </c>
      <c r="N8195" s="38" t="n">
        <f aca="false">Sens!$N$8099*m_ad</f>
        <v>10.8543555706248</v>
      </c>
      <c r="O8195" s="38" t="n">
        <f aca="false">Sens!$O$8099*m_ad</f>
        <v>14.0094731821399</v>
      </c>
    </row>
    <row r="8196" customFormat="false" ht="17.15" hidden="false" customHeight="false" outlineLevel="0" collapsed="false">
      <c r="A8196" s="0" t="s">
        <v>721</v>
      </c>
      <c r="B8196" s="0" t="s">
        <v>86</v>
      </c>
      <c r="C8196" s="38" t="n">
        <f aca="false">Sens!$C$8097-Sens!$C$8099</f>
        <v>346.428687117154</v>
      </c>
      <c r="D8196" s="38" t="n">
        <f aca="false">Sens!$D$8097-Sens!$D$8099</f>
        <v>376.560876540083</v>
      </c>
      <c r="E8196" s="38" t="n">
        <f aca="false">Sens!$E$8097-Sens!$E$8099</f>
        <v>193.316577507559</v>
      </c>
      <c r="F8196" s="38" t="n">
        <f aca="false">Sens!$F$8097-Sens!$F$8099</f>
        <v>217.495828647535</v>
      </c>
      <c r="G8196" s="38" t="n">
        <f aca="false">Sens!$G$8097-Sens!$G$8099</f>
        <v>410.795589636503</v>
      </c>
      <c r="H8196" s="38" t="n">
        <f aca="false">Sens!$H$8097-Sens!$H$8099</f>
        <v>449.156813761174</v>
      </c>
      <c r="I8196" s="38" t="n">
        <f aca="false">Sens!$I$8097-Sens!$I$8099</f>
        <v>485.848786441156</v>
      </c>
      <c r="J8196" s="38" t="n">
        <f aca="false">Sens!$J$8097-Sens!$J$8099</f>
        <v>519.841531018994</v>
      </c>
      <c r="K8196" s="38" t="n">
        <f aca="false">Sens!$K$8097-Sens!$K$8099</f>
        <v>550.103332311311</v>
      </c>
      <c r="L8196" s="38" t="n">
        <f aca="false">Sens!$L$8097-Sens!$L$8099</f>
        <v>582.192354474511</v>
      </c>
      <c r="M8196" s="38" t="n">
        <f aca="false">Sens!$M$8097-Sens!$M$8099</f>
        <v>616.22240521081</v>
      </c>
      <c r="N8196" s="38" t="n">
        <f aca="false">Sens!$N$8097-Sens!$N$8099</f>
        <v>171.24628885875</v>
      </c>
      <c r="O8196" s="38" t="n">
        <f aca="false">Sens!$O$8097-Sens!$O$8099</f>
        <v>205.33105363572</v>
      </c>
    </row>
    <row r="8197" customFormat="false" ht="17.15" hidden="false" customHeight="false" outlineLevel="0" collapsed="false">
      <c r="A8197" s="0" t="s">
        <v>722</v>
      </c>
      <c r="B8197" s="0" t="s">
        <v>86</v>
      </c>
      <c r="C8197" s="38" t="n">
        <f aca="false">Sens!$C$8148*Sens!$C$8096</f>
        <v>0.123617442257179</v>
      </c>
      <c r="D8197" s="38" t="n">
        <f aca="false">Sens!$D$8148*Sens!$D$8096</f>
        <v>0.600198046024689</v>
      </c>
      <c r="E8197" s="38" t="n">
        <f aca="false">Sens!$E$8148*Sens!$E$8096</f>
        <v>0.970552432202993</v>
      </c>
      <c r="F8197" s="38" t="n">
        <f aca="false">Sens!$F$8148*Sens!$F$8096</f>
        <v>1.20013524388435</v>
      </c>
      <c r="G8197" s="38" t="n">
        <f aca="false">Sens!$G$8148*Sens!$G$8096</f>
        <v>2.17135369594947</v>
      </c>
      <c r="H8197" s="38" t="n">
        <f aca="false">Sens!$H$8148*Sens!$H$8096</f>
        <v>6.14227489656333</v>
      </c>
      <c r="I8197" s="38" t="n">
        <f aca="false">Sens!$I$8148*Sens!$I$8096</f>
        <v>11.6518054969681</v>
      </c>
      <c r="J8197" s="38" t="n">
        <f aca="false">Sens!$J$8148*Sens!$J$8096</f>
        <v>17.3105301010592</v>
      </c>
      <c r="K8197" s="38" t="n">
        <f aca="false">Sens!$K$8148*Sens!$K$8096</f>
        <v>22.8486728059883</v>
      </c>
      <c r="L8197" s="38" t="n">
        <f aca="false">Sens!$L$8148*Sens!$L$8096</f>
        <v>26.6849171332777</v>
      </c>
      <c r="M8197" s="38" t="n">
        <f aca="false">Sens!$M$8148*Sens!$M$8096</f>
        <v>29.0523240317336</v>
      </c>
      <c r="N8197" s="38" t="n">
        <f aca="false">Sens!$N$8148*Sens!$N$8096</f>
        <v>0.25053229484398</v>
      </c>
      <c r="O8197" s="38" t="n">
        <f aca="false">Sens!$O$8148*Sens!$O$8096</f>
        <v>0.349234376756897</v>
      </c>
    </row>
    <row r="8198" customFormat="false" ht="17.15" hidden="false" customHeight="false" outlineLevel="0" collapsed="false">
      <c r="A8198" s="0" t="s">
        <v>723</v>
      </c>
      <c r="B8198" s="0" t="s">
        <v>52</v>
      </c>
      <c r="C8198" s="28" t="n">
        <f aca="false">(Sens!$C$8199-Sens!$C$8195+Sens!$C$8197)/Sens!$C$8196</f>
        <v>0.0131526665379575</v>
      </c>
      <c r="D8198" s="28" t="n">
        <f aca="false">(Sens!$D$8199-Sens!$D$8195+Sens!$D$8197)/Sens!$D$8196</f>
        <v>0.0141999252954702</v>
      </c>
      <c r="E8198" s="28" t="n">
        <f aca="false">(Sens!$E$8199-Sens!$E$8195+Sens!$E$8197)/Sens!$E$8196</f>
        <v>0.0251341154940129</v>
      </c>
      <c r="F8198" s="28" t="n">
        <f aca="false">Sens!$O$8198+(Sens!$E$8198-Sens!$N$8198)</f>
        <v>0.0217171685713677</v>
      </c>
      <c r="G8198" s="28" t="n">
        <f aca="false">(Sens!$G$8199-Sens!$G$8195+Sens!$G$8197)/Sens!$G$8196</f>
        <v>0.0233071940458981</v>
      </c>
      <c r="H8198" s="28" t="n">
        <f aca="false">Sens!$G$8198+step_na</f>
        <v>0.0263071940458981</v>
      </c>
      <c r="I8198" s="28" t="n">
        <f aca="false">Sens!$H$8198+step_na</f>
        <v>0.0293071940458981</v>
      </c>
      <c r="J8198" s="28" t="n">
        <f aca="false">Sens!$I$8198+step_na</f>
        <v>0.0323071940458981</v>
      </c>
      <c r="K8198" s="28" t="n">
        <f aca="false">Sens!$J$8198+step_na</f>
        <v>0.0353071940458981</v>
      </c>
      <c r="L8198" s="28" t="n">
        <f aca="false">Sens!$K$8198</f>
        <v>0.0353071940458981</v>
      </c>
      <c r="M8198" s="28" t="n">
        <f aca="false">Sens!$L$8198</f>
        <v>0.0353071940458981</v>
      </c>
      <c r="N8198" s="28" t="n">
        <f aca="false">(Sens!$N$8199-Sens!$N$8195+Sens!$N$8197)/Sens!$N$8196</f>
        <v>0.0160831323269779</v>
      </c>
      <c r="O8198" s="28" t="n">
        <f aca="false">(Sens!$O$8199-Sens!$O$8195+Sens!$O$8197)/Sens!$O$8196</f>
        <v>0.0126661854043327</v>
      </c>
      <c r="P8198" s="8" t="s">
        <v>724</v>
      </c>
    </row>
    <row r="8199" customFormat="false" ht="17.15" hidden="false" customHeight="false" outlineLevel="0" collapsed="false">
      <c r="A8199" s="1" t="s">
        <v>725</v>
      </c>
      <c r="B8199" s="8" t="s">
        <v>86</v>
      </c>
      <c r="C8199" s="38" t="n">
        <f aca="false">Q!$D$22</f>
        <v>24.967</v>
      </c>
      <c r="D8199" s="38" t="n">
        <f aca="false">Q!$E$22</f>
        <v>29.619</v>
      </c>
      <c r="E8199" s="38" t="n">
        <f aca="false">Q!$P$22</f>
        <v>17.39</v>
      </c>
      <c r="F8199" s="38" t="n">
        <f aca="false">Sens!$F$8195+Sens!$F$8196*Sens!$F$8198-Sens!$F$8197</f>
        <v>20.0952307469491</v>
      </c>
      <c r="G8199" s="38" t="n">
        <f aca="false">Sens!$E$8199+Sens!$F$8199</f>
        <v>37.4852307469491</v>
      </c>
      <c r="H8199" s="38" t="n">
        <f aca="false">Sens!$H$8195+Sens!$H$8196*Sens!$H$8198-Sens!$H$8197</f>
        <v>41.7888688877206</v>
      </c>
      <c r="I8199" s="38" t="n">
        <f aca="false">Sens!$I$8195+Sens!$I$8196*Sens!$I$8198-Sens!$I$8197</f>
        <v>44.7345973874265</v>
      </c>
      <c r="J8199" s="38" t="n">
        <f aca="false">Sens!$J$8195+Sens!$J$8196*Sens!$J$8198-Sens!$J$8197</f>
        <v>47.2590435011574</v>
      </c>
      <c r="K8199" s="38" t="n">
        <f aca="false">Sens!$K$8195+Sens!$K$8196*Sens!$K$8198-Sens!$K$8197</f>
        <v>49.1263799183386</v>
      </c>
      <c r="L8199" s="38" t="n">
        <f aca="false">Sens!$L$8195+Sens!$L$8196*Sens!$L$8198-Sens!$L$8197</f>
        <v>51.67835368582</v>
      </c>
      <c r="M8199" s="38" t="n">
        <f aca="false">Sens!$M$8195+Sens!$M$8196*Sens!$M$8198-Sens!$M$8197</f>
        <v>56.2932216308652</v>
      </c>
      <c r="N8199" s="38" t="n">
        <f aca="false">Q!$N$22</f>
        <v>13.358</v>
      </c>
      <c r="O8199" s="38" t="n">
        <f aca="false">Q!$O$22</f>
        <v>16.261</v>
      </c>
    </row>
    <row r="8200" customFormat="false" ht="17.15" hidden="false" customHeight="false" outlineLevel="0" collapsed="false">
      <c r="A8200" s="0" t="s">
        <v>726</v>
      </c>
      <c r="B8200" s="0" t="s">
        <v>86</v>
      </c>
      <c r="C8200" s="38" t="n">
        <f aca="false">Sens!$C$8100*m_ad</f>
        <v>7.57284355857716</v>
      </c>
      <c r="D8200" s="38" t="n">
        <f aca="false">Sens!$D$8100*m_ad</f>
        <v>9.44543827004127</v>
      </c>
      <c r="E8200" s="38" t="n">
        <f aca="false">Sens!$E$8100*m_ad</f>
        <v>5.02428875377928</v>
      </c>
      <c r="F8200" s="38" t="n">
        <f aca="false">Sens!$F$8100*m_ad</f>
        <v>6.50663858068173</v>
      </c>
      <c r="G8200" s="38" t="n">
        <f aca="false">Sens!$G$8100*m_ad</f>
        <v>11.5225190751659</v>
      </c>
      <c r="H8200" s="38" t="n">
        <f aca="false">Sens!$H$8100*m_ad</f>
        <v>13.8333728663174</v>
      </c>
      <c r="I8200" s="38" t="n">
        <f aca="false">Sens!$I$8100*m_ad</f>
        <v>16.1440173245485</v>
      </c>
      <c r="J8200" s="38" t="n">
        <f aca="false">Sens!$J$8100*m_ad</f>
        <v>18.2995185845066</v>
      </c>
      <c r="K8200" s="38" t="n">
        <f aca="false">Sens!$K$8100*m_ad</f>
        <v>20.1294704429572</v>
      </c>
      <c r="L8200" s="38" t="n">
        <f aca="false">Sens!$L$8100*m_ad</f>
        <v>22.142417487253</v>
      </c>
      <c r="M8200" s="38" t="n">
        <f aca="false">Sens!$M$8100*m_ad</f>
        <v>24.3566592359783</v>
      </c>
      <c r="N8200" s="38" t="n">
        <f aca="false">Sens!$N$8100*m_ad</f>
        <v>3.95314442937518</v>
      </c>
      <c r="O8200" s="38" t="n">
        <f aca="false">Sens!$O$8100*m_ad</f>
        <v>5.50052681786011</v>
      </c>
    </row>
    <row r="8201" customFormat="false" ht="17.15" hidden="false" customHeight="false" outlineLevel="0" collapsed="false">
      <c r="A8201" s="0" t="s">
        <v>727</v>
      </c>
      <c r="B8201" s="0" t="s">
        <v>86</v>
      </c>
      <c r="C8201" s="38" t="n">
        <f aca="false">Sens!$C$8098-Sens!$C$8100</f>
        <v>127.760312882846</v>
      </c>
      <c r="D8201" s="38" t="n">
        <f aca="false">Sens!$D$8098-Sens!$D$8100</f>
        <v>143.003123459917</v>
      </c>
      <c r="E8201" s="38" t="n">
        <f aca="false">Sens!$E$8098-Sens!$E$8100</f>
        <v>71.9374224924414</v>
      </c>
      <c r="F8201" s="38" t="n">
        <f aca="false">Sens!$F$8098-Sens!$F$8100</f>
        <v>85.3951910035875</v>
      </c>
      <c r="G8201" s="38" t="n">
        <f aca="false">Sens!$G$8098-Sens!$G$8100</f>
        <v>157.349430014619</v>
      </c>
      <c r="H8201" s="38" t="n">
        <f aca="false">Sens!$H$8098-Sens!$H$8100</f>
        <v>172.043153372315</v>
      </c>
      <c r="I8201" s="38" t="n">
        <f aca="false">Sens!$I$8098-Sens!$I$8100</f>
        <v>186.097493615879</v>
      </c>
      <c r="J8201" s="38" t="n">
        <f aca="false">Sens!$J$8098-Sens!$J$8100</f>
        <v>199.117932780497</v>
      </c>
      <c r="K8201" s="38" t="n">
        <f aca="false">Sens!$K$8098-Sens!$K$8100</f>
        <v>210.70928698363</v>
      </c>
      <c r="L8201" s="38" t="n">
        <f aca="false">Sens!$L$8098-Sens!$L$8100</f>
        <v>223.000532251316</v>
      </c>
      <c r="M8201" s="38" t="n">
        <f aca="false">Sens!$M$8098-Sens!$M$8100</f>
        <v>236.035261011339</v>
      </c>
      <c r="N8201" s="38" t="n">
        <f aca="false">Sens!$N$8098-Sens!$N$8100</f>
        <v>62.3677111412496</v>
      </c>
      <c r="O8201" s="38" t="n">
        <f aca="false">Sens!$O$8098-Sens!$O$8100</f>
        <v>80.6189463642798</v>
      </c>
    </row>
    <row r="8202" customFormat="false" ht="17.15" hidden="false" customHeight="false" outlineLevel="0" collapsed="false">
      <c r="A8202" s="0" t="s">
        <v>728</v>
      </c>
      <c r="B8202" s="0" t="s">
        <v>86</v>
      </c>
      <c r="C8202" s="38" t="n">
        <f aca="false">Sens!$C$8148*(1-Sens!$C$8096)</f>
        <v>0.0455891896019953</v>
      </c>
      <c r="D8202" s="38" t="n">
        <f aca="false">Sens!$D$8148*(1-Sens!$D$8096)</f>
        <v>0.227931791705753</v>
      </c>
      <c r="E8202" s="38" t="n">
        <f aca="false">Sens!$E$8148*(1-Sens!$E$8096)</f>
        <v>0.361164268820781</v>
      </c>
      <c r="F8202" s="38" t="n">
        <f aca="false">Sens!$F$8148*(1-Sens!$F$8096)</f>
        <v>0.471208018190203</v>
      </c>
      <c r="G8202" s="38" t="n">
        <f aca="false">Sens!$G$8148*(1-Sens!$G$8096)</f>
        <v>0.83170626714885</v>
      </c>
      <c r="H8202" s="38" t="n">
        <f aca="false">Sens!$H$8148*(1-Sens!$H$8096)</f>
        <v>2.35271136874315</v>
      </c>
      <c r="I8202" s="38" t="n">
        <f aca="false">Sens!$I$8148*(1-Sens!$I$8096)</f>
        <v>4.46305900024741</v>
      </c>
      <c r="J8202" s="38" t="n">
        <f aca="false">Sens!$J$8148*(1-Sens!$J$8096)</f>
        <v>6.63055328092195</v>
      </c>
      <c r="K8202" s="38" t="n">
        <f aca="false">Sens!$K$8148*(1-Sens!$K$8096)</f>
        <v>8.75186037365703</v>
      </c>
      <c r="L8202" s="38" t="n">
        <f aca="false">Sens!$L$8148*(1-Sens!$L$8096)</f>
        <v>10.2212794071718</v>
      </c>
      <c r="M8202" s="38" t="n">
        <f aca="false">Sens!$M$8148*(1-Sens!$M$8096)</f>
        <v>11.1280810756472</v>
      </c>
      <c r="N8202" s="38" t="n">
        <f aca="false">Sens!$N$8148*(1-Sens!$N$8096)</f>
        <v>0.0912435878202994</v>
      </c>
      <c r="O8202" s="38" t="n">
        <f aca="false">Sens!$O$8148*(1-Sens!$O$8096)</f>
        <v>0.137119578309265</v>
      </c>
    </row>
    <row r="8203" customFormat="false" ht="17.15" hidden="false" customHeight="false" outlineLevel="0" collapsed="false">
      <c r="A8203" s="0" t="s">
        <v>729</v>
      </c>
      <c r="B8203" s="0" t="s">
        <v>52</v>
      </c>
      <c r="C8203" s="28" t="n">
        <f aca="false">(Sens!$C$8204-Sens!$C$8200+Sens!$C$8202)/Sens!$C$8201</f>
        <v>-0.0292364215826579</v>
      </c>
      <c r="D8203" s="28" t="n">
        <f aca="false">(Sens!$D$8204-Sens!$D$8200+Sens!$D$8202)/Sens!$D$8201</f>
        <v>-0.0312406216748665</v>
      </c>
      <c r="E8203" s="28" t="n">
        <f aca="false">(Sens!$E$8204-Sens!$E$8200+Sens!$E$8202)/Sens!$E$8201</f>
        <v>-0.0211590078184749</v>
      </c>
      <c r="F8203" s="28" t="n">
        <f aca="false">Sens!$O$8203+(Sens!$E$8203-Sens!$N$8203)</f>
        <v>-0.0382539955245511</v>
      </c>
      <c r="G8203" s="28" t="n">
        <f aca="false">(Sens!$G$8204-Sens!$G$8200+Sens!$G$8202)/Sens!$G$8201</f>
        <v>-0.030385172031133</v>
      </c>
      <c r="H8203" s="28" t="n">
        <f aca="false">Sens!$G$8203+step_in</f>
        <v>-0.030385172031133</v>
      </c>
      <c r="I8203" s="28" t="n">
        <f aca="false">Sens!$H$8203+step_in</f>
        <v>-0.030385172031133</v>
      </c>
      <c r="J8203" s="28" t="n">
        <f aca="false">Sens!$I$8203+step_in</f>
        <v>-0.030385172031133</v>
      </c>
      <c r="K8203" s="28" t="n">
        <f aca="false">Sens!$J$8203+step_in</f>
        <v>-0.030385172031133</v>
      </c>
      <c r="L8203" s="28" t="n">
        <f aca="false">Sens!$K$8203</f>
        <v>-0.030385172031133</v>
      </c>
      <c r="M8203" s="28" t="n">
        <f aca="false">Sens!$L$8203</f>
        <v>-0.030385172031133</v>
      </c>
      <c r="N8203" s="28" t="n">
        <f aca="false">(Sens!$N$8204-Sens!$N$8200+Sens!$N$8202)/Sens!$N$8201</f>
        <v>-0.0216602600421776</v>
      </c>
      <c r="O8203" s="28" t="n">
        <f aca="false">(Sens!$O$8204-Sens!$O$8200+Sens!$O$8202)/Sens!$O$8201</f>
        <v>-0.0387552477482538</v>
      </c>
      <c r="P8203" s="8" t="s">
        <v>724</v>
      </c>
    </row>
    <row r="8204" customFormat="false" ht="17.15" hidden="false" customHeight="false" outlineLevel="0" collapsed="false">
      <c r="A8204" s="1" t="s">
        <v>730</v>
      </c>
      <c r="B8204" s="8" t="s">
        <v>86</v>
      </c>
      <c r="C8204" s="38" t="n">
        <f aca="false">Q!$D$23</f>
        <v>3.792</v>
      </c>
      <c r="D8204" s="38" t="n">
        <f aca="false">Q!$E$23</f>
        <v>4.75</v>
      </c>
      <c r="E8204" s="38" t="n">
        <f aca="false">Q!$P$23</f>
        <v>3.141</v>
      </c>
      <c r="F8204" s="38" t="n">
        <f aca="false">Sens!$F$8200+Sens!$F$8201*Sens!$F$8203-Sens!$F$8202</f>
        <v>2.7687233080221</v>
      </c>
      <c r="G8204" s="38" t="n">
        <f aca="false">Sens!$E$8204+Sens!$F$8204</f>
        <v>5.9097233080221</v>
      </c>
      <c r="H8204" s="38" t="n">
        <f aca="false">Sens!$H$8200+Sens!$H$8201*Sens!$H$8203-Sens!$H$8202</f>
        <v>6.25310068557783</v>
      </c>
      <c r="I8204" s="38" t="n">
        <f aca="false">Sens!$I$8200+Sens!$I$8201*Sens!$I$8203-Sens!$I$8202</f>
        <v>6.02635396621997</v>
      </c>
      <c r="J8204" s="38" t="n">
        <f aca="false">Sens!$J$8200+Sens!$J$8201*Sens!$J$8203-Sens!$J$8202</f>
        <v>5.61873266156566</v>
      </c>
      <c r="K8204" s="38" t="n">
        <f aca="false">Sens!$K$8200+Sens!$K$8201*Sens!$K$8203-Sens!$K$8202</f>
        <v>4.97517213574524</v>
      </c>
      <c r="L8204" s="38" t="n">
        <f aca="false">Sens!$L$8200+Sens!$L$8201*Sens!$L$8203-Sens!$L$8202</f>
        <v>5.14522854459066</v>
      </c>
      <c r="M8204" s="38" t="n">
        <f aca="false">Sens!$M$8200+Sens!$M$8201*Sens!$M$8203-Sens!$M$8202</f>
        <v>6.05660614908815</v>
      </c>
      <c r="N8204" s="38" t="n">
        <f aca="false">Q!$N$23</f>
        <v>2.511</v>
      </c>
      <c r="O8204" s="38" t="n">
        <f aca="false">Q!$O$23</f>
        <v>2.239</v>
      </c>
    </row>
    <row r="8205" customFormat="false" ht="17.15" hidden="false" customHeight="false" outlineLevel="0" collapsed="false">
      <c r="A8205" s="0" t="s">
        <v>731</v>
      </c>
      <c r="B8205" s="0" t="s">
        <v>86</v>
      </c>
      <c r="C8205" s="38" t="n">
        <f aca="false">Sens!$C$8145</f>
        <v>1.64417882953695</v>
      </c>
      <c r="D8205" s="38" t="n">
        <f aca="false">Sens!$D$8145</f>
        <v>5.39125073772939</v>
      </c>
      <c r="E8205" s="38" t="n">
        <f aca="false">Sens!$E$8145</f>
        <v>3.18348617147493</v>
      </c>
      <c r="F8205" s="38" t="n">
        <f aca="false">Sens!$F$8145</f>
        <v>8.27806059642226</v>
      </c>
      <c r="G8205" s="38" t="n">
        <f aca="false">Sens!$G$8145</f>
        <v>11.4615467678972</v>
      </c>
      <c r="H8205" s="38" t="n">
        <f aca="false">Sens!$H$8145</f>
        <v>26.1859456885487</v>
      </c>
      <c r="I8205" s="38" t="n">
        <f aca="false">Sens!$I$8145</f>
        <v>37.04424114757</v>
      </c>
      <c r="J8205" s="38" t="n">
        <f aca="false">Sens!$J$8145</f>
        <v>47.2610736233534</v>
      </c>
      <c r="K8205" s="38" t="n">
        <f aca="false">Sens!$K$8145</f>
        <v>52.0459876645985</v>
      </c>
      <c r="L8205" s="38" t="n">
        <f aca="false">Sens!$L$8145</f>
        <v>54.1033156405981</v>
      </c>
      <c r="M8205" s="38" t="n">
        <f aca="false">Sens!$M$8145</f>
        <v>52.1138209393421</v>
      </c>
      <c r="N8205" s="38" t="n">
        <f aca="false">Sens!$N$8145</f>
        <v>1.67921600037079</v>
      </c>
      <c r="O8205" s="38" t="n">
        <f aca="false">Sens!$O$8145</f>
        <v>3.71203473735861</v>
      </c>
    </row>
    <row r="8206" customFormat="false" ht="17.15" hidden="false" customHeight="false" outlineLevel="0" collapsed="false">
      <c r="A8206" s="0" t="s">
        <v>649</v>
      </c>
      <c r="B8206" s="0" t="s">
        <v>86</v>
      </c>
      <c r="C8206" s="38" t="n">
        <f aca="false">Sens!$C$8150</f>
        <v>38.1898211704631</v>
      </c>
      <c r="D8206" s="38" t="n">
        <f aca="false">Sens!$D$8150</f>
        <v>40.2147492622706</v>
      </c>
      <c r="E8206" s="38" t="n">
        <f aca="false">Sens!$E$8150</f>
        <v>27.5985138285251</v>
      </c>
      <c r="F8206" s="38" t="n">
        <f aca="false">Sens!$F$8150</f>
        <v>25.5484769754606</v>
      </c>
      <c r="G8206" s="38" t="n">
        <f aca="false">Sens!$G$8150</f>
        <v>53.1469908039857</v>
      </c>
      <c r="H8206" s="38" t="n">
        <f aca="false">Sens!$H$8150</f>
        <v>57.3189525076539</v>
      </c>
      <c r="I8206" s="38" t="n">
        <f aca="false">Sens!$I$8150</f>
        <v>63.6385627021087</v>
      </c>
      <c r="J8206" s="38" t="n">
        <f aca="false">Sens!$J$8150</f>
        <v>69.6922896066105</v>
      </c>
      <c r="K8206" s="38" t="n">
        <f aca="false">Sens!$K$8150</f>
        <v>75.2676727751394</v>
      </c>
      <c r="L8206" s="38" t="n">
        <f aca="false">Sens!$L$8150</f>
        <v>81.2890865971505</v>
      </c>
      <c r="M8206" s="38" t="n">
        <f aca="false">Sens!$M$8150</f>
        <v>87.7922135249226</v>
      </c>
      <c r="N8206" s="38" t="n">
        <f aca="false">Sens!$N$8150</f>
        <v>20.0277839996292</v>
      </c>
      <c r="O8206" s="38" t="n">
        <f aca="false">Sens!$O$8150</f>
        <v>20.1869652626414</v>
      </c>
    </row>
    <row r="8207" customFormat="false" ht="17.15" hidden="false" customHeight="false" outlineLevel="0" collapsed="false">
      <c r="A8207" s="1" t="s">
        <v>732</v>
      </c>
      <c r="B8207" s="8" t="s">
        <v>86</v>
      </c>
      <c r="C8207" s="38" t="n">
        <f aca="false">Q!$D$24</f>
        <v>39.834</v>
      </c>
      <c r="D8207" s="38" t="n">
        <f aca="false">Q!$E$24</f>
        <v>45.606</v>
      </c>
      <c r="E8207" s="38" t="n">
        <f aca="false">Q!$P$24</f>
        <v>30.782</v>
      </c>
      <c r="F8207" s="38" t="n">
        <f aca="false">Sens!$F$8205+Sens!$F$8206</f>
        <v>33.8265375718829</v>
      </c>
      <c r="G8207" s="38" t="n">
        <f aca="false">Sens!$G$8205+Sens!$G$8206</f>
        <v>64.6085375718829</v>
      </c>
      <c r="H8207" s="38" t="n">
        <f aca="false">Sens!$H$8205+Sens!$H$8206</f>
        <v>83.5048981962026</v>
      </c>
      <c r="I8207" s="38" t="n">
        <f aca="false">Sens!$I$8205+Sens!$I$8206</f>
        <v>100.682803849679</v>
      </c>
      <c r="J8207" s="38" t="n">
        <f aca="false">Sens!$J$8205+Sens!$J$8206</f>
        <v>116.953363229964</v>
      </c>
      <c r="K8207" s="38" t="n">
        <f aca="false">Sens!$K$8205+Sens!$K$8206</f>
        <v>127.313660439738</v>
      </c>
      <c r="L8207" s="38" t="n">
        <f aca="false">Sens!$L$8205+Sens!$L$8206</f>
        <v>135.392402237749</v>
      </c>
      <c r="M8207" s="38" t="n">
        <f aca="false">Sens!$M$8205+Sens!$M$8206</f>
        <v>139.906034464265</v>
      </c>
      <c r="N8207" s="38" t="n">
        <f aca="false">Q!$N$24</f>
        <v>21.707</v>
      </c>
      <c r="O8207" s="38" t="n">
        <f aca="false">Q!$O$24</f>
        <v>23.899</v>
      </c>
    </row>
    <row r="8208" customFormat="false" ht="17.15" hidden="false" customHeight="false" outlineLevel="0" collapsed="false">
      <c r="A8208" s="5" t="s">
        <v>733</v>
      </c>
      <c r="B8208" s="0" t="s">
        <v>86</v>
      </c>
      <c r="C8208" s="38" t="n">
        <f aca="false">Q!$D$26</f>
        <v>0</v>
      </c>
      <c r="D8208" s="38" t="n">
        <f aca="false">Q!$E$26</f>
        <v>0</v>
      </c>
      <c r="E8208" s="38" t="n">
        <f aca="false">Q!$P$26</f>
        <v>0</v>
      </c>
      <c r="F8208" s="39" t="n">
        <v>0</v>
      </c>
      <c r="G8208" s="38" t="n">
        <f aca="false">Sens!$E$8208+Sens!$F$8208</f>
        <v>0</v>
      </c>
      <c r="H8208" s="39" t="n">
        <v>0</v>
      </c>
      <c r="I8208" s="39" t="n">
        <v>0</v>
      </c>
      <c r="J8208" s="39" t="n">
        <v>0</v>
      </c>
      <c r="K8208" s="39" t="n">
        <v>0</v>
      </c>
      <c r="L8208" s="39" t="n">
        <v>0</v>
      </c>
      <c r="M8208" s="39" t="n">
        <v>0</v>
      </c>
      <c r="N8208" s="38" t="n">
        <f aca="false">Q!$N$26</f>
        <v>0</v>
      </c>
      <c r="O8208" s="38" t="n">
        <f aca="false">Q!$O$26</f>
        <v>0</v>
      </c>
    </row>
    <row r="8209" customFormat="false" ht="15" hidden="false" customHeight="false" outlineLevel="0" collapsed="false">
      <c r="A8209" s="3" t="s">
        <v>534</v>
      </c>
      <c r="B8209" s="8" t="s">
        <v>86</v>
      </c>
      <c r="C8209" s="38" t="n">
        <f aca="false">Q!$D$25</f>
        <v>68.593</v>
      </c>
      <c r="D8209" s="38" t="n">
        <f aca="false">Q!$E$25</f>
        <v>79.975</v>
      </c>
      <c r="E8209" s="38" t="n">
        <f aca="false">Q!$P$25</f>
        <v>51.313</v>
      </c>
      <c r="F8209" s="38" t="n">
        <f aca="false">Sens!$F$8199+Sens!$F$8204+Sens!$F$8207+Sens!$F$8208</f>
        <v>56.6904916268541</v>
      </c>
      <c r="G8209" s="38" t="n">
        <f aca="false">Sens!$G$8199+Sens!$G$8204+Sens!$G$8207+Sens!$G$8208</f>
        <v>108.003491626854</v>
      </c>
      <c r="H8209" s="38" t="n">
        <f aca="false">Sens!$H$8199+Sens!$H$8204+Sens!$H$8207+Sens!$H$8208</f>
        <v>131.546867769501</v>
      </c>
      <c r="I8209" s="38" t="n">
        <f aca="false">Sens!$I$8199+Sens!$I$8204+Sens!$I$8207+Sens!$I$8208</f>
        <v>151.443755203325</v>
      </c>
      <c r="J8209" s="38" t="n">
        <f aca="false">Sens!$J$8199+Sens!$J$8204+Sens!$J$8207+Sens!$J$8208</f>
        <v>169.831139392687</v>
      </c>
      <c r="K8209" s="38" t="n">
        <f aca="false">Sens!$K$8199+Sens!$K$8204+Sens!$K$8207+Sens!$K$8208</f>
        <v>181.415212493822</v>
      </c>
      <c r="L8209" s="38" t="n">
        <f aca="false">Sens!$L$8199+Sens!$L$8204+Sens!$L$8207+Sens!$L$8208</f>
        <v>192.215984468159</v>
      </c>
      <c r="M8209" s="38" t="n">
        <f aca="false">Sens!$M$8199+Sens!$M$8204+Sens!$M$8207+Sens!$M$8208</f>
        <v>202.255862244218</v>
      </c>
      <c r="N8209" s="38" t="n">
        <f aca="false">Q!$N$25</f>
        <v>37.576</v>
      </c>
      <c r="O8209" s="38" t="n">
        <f aca="false">Q!$O$25</f>
        <v>42.399</v>
      </c>
    </row>
    <row r="8210" customFormat="false" ht="17.15" hidden="false" customHeight="false" outlineLevel="0" collapsed="false">
      <c r="A8210" s="24" t="s">
        <v>764</v>
      </c>
      <c r="B8210" s="25" t="s">
        <v>86</v>
      </c>
      <c r="C8210" s="41" t="n">
        <f aca="false">Sens!$C$8199+Sens!$C$8204+Sens!$C$8207+Sens!$C$8208-Sens!$C$8209</f>
        <v>0</v>
      </c>
      <c r="D8210" s="41" t="n">
        <f aca="false">Sens!$D$8199+Sens!$D$8204+Sens!$D$8207+Sens!$D$8208-Sens!$D$8209</f>
        <v>0</v>
      </c>
      <c r="E8210" s="41" t="n">
        <f aca="false">Sens!$E$8199+Sens!$E$8204+Sens!$E$8207+Sens!$E$8208-Sens!$E$8209</f>
        <v>0</v>
      </c>
      <c r="F8210" s="41" t="n">
        <f aca="false">Sens!$F$8199+Sens!$F$8204+Sens!$F$8207+Sens!$F$8208-Sens!$F$8209</f>
        <v>0</v>
      </c>
      <c r="G8210" s="41" t="n">
        <f aca="false">Sens!$G$8199+Sens!$G$8204+Sens!$G$8207+Sens!$G$8208-Sens!$G$8209</f>
        <v>0</v>
      </c>
      <c r="H8210" s="41" t="n">
        <f aca="false">Sens!$H$8199+Sens!$H$8204+Sens!$H$8207+Sens!$H$8208-Sens!$H$8209</f>
        <v>0</v>
      </c>
      <c r="I8210" s="41" t="n">
        <f aca="false">Sens!$I$8199+Sens!$I$8204+Sens!$I$8207+Sens!$I$8208-Sens!$I$8209</f>
        <v>0</v>
      </c>
      <c r="J8210" s="41" t="n">
        <f aca="false">Sens!$J$8199+Sens!$J$8204+Sens!$J$8207+Sens!$J$8208-Sens!$J$8209</f>
        <v>0</v>
      </c>
      <c r="K8210" s="41" t="n">
        <f aca="false">Sens!$K$8199+Sens!$K$8204+Sens!$K$8207+Sens!$K$8208-Sens!$K$8209</f>
        <v>0</v>
      </c>
      <c r="L8210" s="41" t="n">
        <f aca="false">Sens!$L$8199+Sens!$L$8204+Sens!$L$8207+Sens!$L$8208-Sens!$L$8209</f>
        <v>0</v>
      </c>
      <c r="M8210" s="41" t="n">
        <f aca="false">Sens!$M$8199+Sens!$M$8204+Sens!$M$8207+Sens!$M$8208-Sens!$M$8209</f>
        <v>0</v>
      </c>
      <c r="N8210" s="41" t="n">
        <f aca="false">Sens!$N$8199+Sens!$N$8204+Sens!$N$8207+Sens!$N$8208-Sens!$N$8209</f>
        <v>0</v>
      </c>
      <c r="O8210" s="41" t="n">
        <f aca="false">Sens!$O$8199+Sens!$O$8204+Sens!$O$8207+Sens!$O$8208-Sens!$O$8209</f>
        <v>0</v>
      </c>
    </row>
    <row r="8211" customFormat="false" ht="17.15" hidden="false" customHeight="false" outlineLevel="0" collapsed="false">
      <c r="A8211" s="5" t="s">
        <v>735</v>
      </c>
      <c r="B8211" s="0" t="s">
        <v>86</v>
      </c>
      <c r="C8211" s="38" t="n">
        <f aca="false">Sens!$C$8147</f>
        <v>0</v>
      </c>
      <c r="D8211" s="38" t="n">
        <f aca="false">Sens!$D$8147</f>
        <v>0</v>
      </c>
      <c r="E8211" s="38" t="n">
        <f aca="false">Sens!$E$8147</f>
        <v>0</v>
      </c>
      <c r="F8211" s="38" t="n">
        <f aca="false">Sens!$F$8147</f>
        <v>3.77122048175818</v>
      </c>
      <c r="G8211" s="38" t="n">
        <f aca="false">Sens!$G$8147</f>
        <v>3.77122048175818</v>
      </c>
      <c r="H8211" s="38" t="n">
        <f aca="false">Sens!$H$8147</f>
        <v>15.1635543609893</v>
      </c>
      <c r="I8211" s="38" t="n">
        <f aca="false">Sens!$I$8147</f>
        <v>25.5818843619889</v>
      </c>
      <c r="J8211" s="38" t="n">
        <f aca="false">Sens!$J$8147</f>
        <v>36.0465624179122</v>
      </c>
      <c r="K8211" s="38" t="n">
        <f aca="false">Sens!$K$8147</f>
        <v>44.9741164026038</v>
      </c>
      <c r="L8211" s="38" t="n">
        <f aca="false">Sens!$L$8147</f>
        <v>50.8413488057813</v>
      </c>
      <c r="M8211" s="38" t="n">
        <f aca="false">Sens!$M$8147</f>
        <v>53.6407214274315</v>
      </c>
      <c r="N8211" s="38" t="n">
        <f aca="false">Sens!$N$8147</f>
        <v>0</v>
      </c>
      <c r="O8211" s="38" t="n">
        <f aca="false">Sens!$O$8147</f>
        <v>0</v>
      </c>
      <c r="P8211" s="5" t="s">
        <v>736</v>
      </c>
    </row>
    <row r="8212" customFormat="false" ht="17.15" hidden="false" customHeight="false" outlineLevel="0" collapsed="false">
      <c r="A8212" s="5" t="s">
        <v>737</v>
      </c>
      <c r="B8212" s="0" t="s">
        <v>86</v>
      </c>
      <c r="C8212" s="38" t="n">
        <f aca="false">Sens!$C$8209+Sens!$C$8211</f>
        <v>68.593</v>
      </c>
      <c r="D8212" s="38" t="n">
        <f aca="false">Sens!$D$8209+Sens!$D$8211</f>
        <v>79.975</v>
      </c>
      <c r="E8212" s="38" t="n">
        <f aca="false">Sens!$E$8209+Sens!$E$8211</f>
        <v>51.313</v>
      </c>
      <c r="F8212" s="38" t="n">
        <f aca="false">Sens!$F$8209+Sens!$F$8211</f>
        <v>60.4617121086123</v>
      </c>
      <c r="G8212" s="38" t="n">
        <f aca="false">Sens!$G$8209+Sens!$G$8211</f>
        <v>111.774712108612</v>
      </c>
      <c r="H8212" s="38" t="n">
        <f aca="false">Sens!$H$8209+Sens!$H$8211</f>
        <v>146.71042213049</v>
      </c>
      <c r="I8212" s="38" t="n">
        <f aca="false">Sens!$I$8209+Sens!$I$8211</f>
        <v>177.025639565314</v>
      </c>
      <c r="J8212" s="38" t="n">
        <f aca="false">Sens!$J$8209+Sens!$J$8211</f>
        <v>205.877701810599</v>
      </c>
      <c r="K8212" s="38" t="n">
        <f aca="false">Sens!$K$8209+Sens!$K$8211</f>
        <v>226.389328896426</v>
      </c>
      <c r="L8212" s="38" t="n">
        <f aca="false">Sens!$L$8209+Sens!$L$8211</f>
        <v>243.057333273941</v>
      </c>
      <c r="M8212" s="38" t="n">
        <f aca="false">Sens!$M$8209+Sens!$M$8211</f>
        <v>255.896583671649</v>
      </c>
      <c r="N8212" s="38" t="n">
        <f aca="false">Sens!$N$8209+Sens!$N$8211</f>
        <v>37.576</v>
      </c>
      <c r="O8212" s="38" t="n">
        <f aca="false">Sens!$O$8209+Sens!$O$8211</f>
        <v>42.399</v>
      </c>
    </row>
    <row r="8213" customFormat="false" ht="17.15" hidden="false" customHeight="false" outlineLevel="0" collapsed="false">
      <c r="A8213" s="0" t="s">
        <v>738</v>
      </c>
      <c r="B8213" s="0" t="s">
        <v>52</v>
      </c>
      <c r="C8213" s="13" t="n">
        <f aca="false">Sens!$C$8199/Sens!$C$8184</f>
        <v>0.0644314665661928</v>
      </c>
      <c r="D8213" s="13" t="n">
        <f aca="false">Sens!$D$8199/Sens!$D$8184</f>
        <v>0.0694784250712518</v>
      </c>
      <c r="E8213" s="13" t="n">
        <f aca="false">Sens!$E$8199/Sens!$E$8184</f>
        <v>0.0789306463326071</v>
      </c>
      <c r="F8213" s="13" t="n">
        <f aca="false">Sens!$F$8199/Sens!$F$8184</f>
        <v>0.0801757457241943</v>
      </c>
      <c r="G8213" s="13" t="n">
        <f aca="false">Sens!$G$8199/Sens!$G$8184</f>
        <v>0.0795932749625682</v>
      </c>
      <c r="H8213" s="13" t="n">
        <f aca="false">Sens!$H$8199/Sens!$H$8184</f>
        <v>0.0801494276915951</v>
      </c>
      <c r="I8213" s="13" t="n">
        <f aca="false">Sens!$I$8199/Sens!$I$8184</f>
        <v>0.0784619467108939</v>
      </c>
      <c r="J8213" s="13" t="n">
        <f aca="false">Sens!$J$8199/Sens!$J$8184</f>
        <v>0.0767950945569155</v>
      </c>
      <c r="K8213" s="13" t="n">
        <f aca="false">Sens!$K$8199/Sens!$K$8184</f>
        <v>0.0749782708028101</v>
      </c>
      <c r="L8213" s="13" t="n">
        <f aca="false">Sens!$L$8199/Sens!$L$8184</f>
        <v>0.0740581549602486</v>
      </c>
      <c r="M8213" s="13" t="n">
        <f aca="false">Sens!$M$8199/Sens!$M$8184</f>
        <v>0.075724068445432</v>
      </c>
      <c r="N8213" s="13" t="n">
        <f aca="false">Sens!$N$8199/Sens!$N$8184</f>
        <v>0.069228576611127</v>
      </c>
      <c r="O8213" s="13" t="n">
        <f aca="false">Sens!$O$8199/Sens!$O$8184</f>
        <v>0.069685022498393</v>
      </c>
    </row>
    <row r="8214" customFormat="false" ht="17.15" hidden="false" customHeight="false" outlineLevel="0" collapsed="false">
      <c r="A8214" s="0" t="s">
        <v>739</v>
      </c>
      <c r="B8214" s="0" t="s">
        <v>52</v>
      </c>
      <c r="C8214" s="13" t="n">
        <f aca="false">Sens!$C$8204/Sens!$C$8185</f>
        <v>0.026534925055631</v>
      </c>
      <c r="D8214" s="13" t="n">
        <f aca="false">Sens!$D$8204/Sens!$D$8185</f>
        <v>0.0293401855535103</v>
      </c>
      <c r="E8214" s="13" t="n">
        <f aca="false">Sens!$E$8204/Sens!$E$8185</f>
        <v>0.03831141902276</v>
      </c>
      <c r="F8214" s="13" t="n">
        <f aca="false">Sens!$F$8204/Sens!$F$8185</f>
        <v>0.0281350107328284</v>
      </c>
      <c r="G8214" s="13" t="n">
        <f aca="false">Sens!$G$8204/Sens!$G$8185</f>
        <v>0.0327600029432073</v>
      </c>
      <c r="H8214" s="13" t="n">
        <f aca="false">Sens!$H$8204/Sens!$H$8185</f>
        <v>0.031310920057557</v>
      </c>
      <c r="I8214" s="13" t="n">
        <f aca="false">Sens!$I$8204/Sens!$I$8185</f>
        <v>0.0275950243319601</v>
      </c>
      <c r="J8214" s="13" t="n">
        <f aca="false">Sens!$J$8204/Sens!$J$8185</f>
        <v>0.0238367762099147</v>
      </c>
      <c r="K8214" s="13" t="n">
        <f aca="false">Sens!$K$8204/Sens!$K$8185</f>
        <v>0.0198239122855479</v>
      </c>
      <c r="L8214" s="13" t="n">
        <f aca="false">Sens!$L$8204/Sens!$L$8185</f>
        <v>0.0192499447238486</v>
      </c>
      <c r="M8214" s="13" t="n">
        <f aca="false">Sens!$M$8204/Sens!$M$8185</f>
        <v>0.0212700135680342</v>
      </c>
      <c r="N8214" s="13" t="n">
        <f aca="false">Sens!$N$8204/Sens!$N$8185</f>
        <v>0.0357315650169337</v>
      </c>
      <c r="O8214" s="13" t="n">
        <f aca="false">Sens!$O$8204/Sens!$O$8185</f>
        <v>0.0244378956559703</v>
      </c>
    </row>
    <row r="8215" customFormat="false" ht="17.15" hidden="false" customHeight="false" outlineLevel="0" collapsed="false">
      <c r="A8215" s="14" t="s">
        <v>740</v>
      </c>
      <c r="B8215" s="14" t="s">
        <v>52</v>
      </c>
      <c r="C8215" s="17" t="n">
        <f aca="false">Sens!$C$8207/Sens!$C$8186</f>
        <v>0.370355907620217</v>
      </c>
      <c r="D8215" s="17" t="n">
        <f aca="false">Sens!$D$8207/Sens!$D$8186</f>
        <v>0.35429015342785</v>
      </c>
      <c r="E8215" s="17" t="n">
        <f aca="false">Sens!$E$8207/Sens!$E$8186</f>
        <v>0.385647527531039</v>
      </c>
      <c r="F8215" s="17" t="n">
        <f aca="false">Sens!$F$8207/Sens!$F$8186</f>
        <v>0.390008895496028</v>
      </c>
      <c r="G8215" s="17" t="n">
        <f aca="false">Sens!$G$8207/Sens!$G$8186</f>
        <v>0.387918733944362</v>
      </c>
      <c r="H8215" s="17" t="n">
        <f aca="false">Sens!$H$8207/Sens!$H$8186</f>
        <v>0.377537651365497</v>
      </c>
      <c r="I8215" s="17" t="n">
        <f aca="false">Sens!$I$8207/Sens!$I$8186</f>
        <v>0.359230604038662</v>
      </c>
      <c r="J8215" s="17" t="n">
        <f aca="false">Sens!$J$8207/Sens!$J$8186</f>
        <v>0.345197865849801</v>
      </c>
      <c r="K8215" s="17" t="n">
        <f aca="false">Sens!$K$8207/Sens!$K$8186</f>
        <v>0.32654098357242</v>
      </c>
      <c r="L8215" s="17" t="n">
        <f aca="false">Sens!$L$8207/Sens!$L$8186</f>
        <v>0.314806978274702</v>
      </c>
      <c r="M8215" s="17" t="n">
        <f aca="false">Sens!$M$8207/Sens!$M$8186</f>
        <v>0.304503505485029</v>
      </c>
      <c r="N8215" s="17" t="n">
        <f aca="false">Sens!$N$8207/Sens!$N$8186</f>
        <v>0.360941137346192</v>
      </c>
      <c r="O8215" s="17" t="n">
        <f aca="false">Sens!$O$8207/Sens!$O$8186</f>
        <v>0.348458117664212</v>
      </c>
    </row>
    <row r="8216" customFormat="false" ht="17.15" hidden="false" customHeight="false" outlineLevel="0" collapsed="false">
      <c r="A8216" s="0" t="s">
        <v>741</v>
      </c>
      <c r="B8216" s="0" t="s">
        <v>52</v>
      </c>
      <c r="C8216" s="13" t="n">
        <f aca="false">Sens!$C$8205/Sens!$C$8187</f>
        <v>0.708390794789371</v>
      </c>
      <c r="D8216" s="13" t="n">
        <f aca="false">Sens!$D$8205/Sens!$D$8187</f>
        <v>0.619415573115729</v>
      </c>
      <c r="E8216" s="13" t="n">
        <f aca="false">Sens!$E$8205/Sens!$E$8187</f>
        <v>0.374072166056273</v>
      </c>
      <c r="F8216" s="13" t="n">
        <f aca="false">Sens!$F$8205/Sens!$F$8187</f>
        <v>0.553219320710057</v>
      </c>
      <c r="G8216" s="13" t="n">
        <f aca="false">Sens!$G$8205/Sens!$G$8187</f>
        <v>0.488270041527512</v>
      </c>
      <c r="H8216" s="13" t="n">
        <f aca="false">Sens!$H$8205/Sens!$H$8187</f>
        <v>0.435229086816882</v>
      </c>
      <c r="I8216" s="13" t="n">
        <f aca="false">Sens!$I$8205/Sens!$I$8187</f>
        <v>0.364954592421095</v>
      </c>
      <c r="J8216" s="13" t="n">
        <f aca="false">Sens!$J$8205/Sens!$J$8187</f>
        <v>0.330438308582232</v>
      </c>
      <c r="K8216" s="13" t="n">
        <f aca="false">Sens!$K$8205/Sens!$K$8187</f>
        <v>0.2916589289528</v>
      </c>
      <c r="L8216" s="13" t="n">
        <f aca="false">Sens!$L$8205/Sens!$L$8187</f>
        <v>0.268199200593258</v>
      </c>
      <c r="M8216" s="13" t="n">
        <f aca="false">Sens!$M$8205/Sens!$M$8187</f>
        <v>0.244854995033574</v>
      </c>
      <c r="N8216" s="13" t="n">
        <f aca="false">Sens!$N$8205/Sens!$N$8187</f>
        <v>0.551227795793364</v>
      </c>
      <c r="O8216" s="13" t="n">
        <f aca="false">Sens!$O$8205/Sens!$O$8187</f>
        <v>0.656132068597002</v>
      </c>
    </row>
    <row r="8217" customFormat="false" ht="15" hidden="false" customHeight="false" outlineLevel="0" collapsed="false">
      <c r="A8217" s="5" t="s">
        <v>742</v>
      </c>
      <c r="B8217" s="0" t="s">
        <v>52</v>
      </c>
      <c r="C8217" s="13" t="n">
        <f aca="false">Sens!$C$8209/Sens!$C$8189</f>
        <v>0.107519448742004</v>
      </c>
      <c r="D8217" s="13" t="n">
        <f aca="false">Sens!$D$8209/Sens!$D$8189</f>
        <v>0.111552967957552</v>
      </c>
      <c r="E8217" s="13" t="n">
        <f aca="false">Sens!$E$8209/Sens!$E$8189</f>
        <v>0.13428328426562</v>
      </c>
      <c r="F8217" s="13" t="n">
        <f aca="false">Sens!$F$8209/Sens!$F$8189</f>
        <v>0.130089413875539</v>
      </c>
      <c r="G8217" s="13" t="n">
        <f aca="false">Sens!$G$8209/Sens!$G$8189</f>
        <v>0.132048786678316</v>
      </c>
      <c r="H8217" s="13" t="n">
        <f aca="false">Sens!$H$8209/Sens!$H$8189</f>
        <v>0.139604881440853</v>
      </c>
      <c r="I8217" s="13" t="n">
        <f aca="false">Sens!$I$8209/Sens!$I$8189</f>
        <v>0.141694752432769</v>
      </c>
      <c r="J8217" s="13" t="n">
        <f aca="false">Sens!$J$8209/Sens!$J$8189</f>
        <v>0.14272611544629</v>
      </c>
      <c r="K8217" s="13" t="n">
        <f aca="false">Sens!$K$8209/Sens!$K$8189</f>
        <v>0.139974160596744</v>
      </c>
      <c r="L8217" s="13" t="n">
        <f aca="false">Sens!$L$8209/Sens!$L$8189</f>
        <v>0.137772071866073</v>
      </c>
      <c r="M8217" s="13" t="n">
        <f aca="false">Sens!$M$8209/Sens!$M$8189</f>
        <v>0.13596080857516</v>
      </c>
      <c r="N8217" s="13" t="n">
        <f aca="false">Sens!$N$8209/Sens!$N$8189</f>
        <v>0.116201614873411</v>
      </c>
      <c r="O8217" s="13" t="n">
        <f aca="false">Sens!$O$8209/Sens!$O$8189</f>
        <v>0.107733353660861</v>
      </c>
    </row>
    <row r="8218" customFormat="false" ht="17.15" hidden="false" customHeight="false" outlineLevel="0" collapsed="false">
      <c r="A8218" s="1" t="s">
        <v>743</v>
      </c>
    </row>
    <row r="8219" customFormat="false" ht="17.15" hidden="false" customHeight="false" outlineLevel="0" collapsed="false">
      <c r="A8219" s="5" t="s">
        <v>744</v>
      </c>
      <c r="B8219" s="0" t="s">
        <v>52</v>
      </c>
      <c r="D8219" s="28" t="n">
        <f aca="false">(Q!$E$29+Q!$E$30-(1-ext_sh)*Sens!$D$8141)/Sens!$D$8095</f>
        <v>0.0341105596409988</v>
      </c>
    </row>
    <row r="8220" customFormat="false" ht="17.15" hidden="false" customHeight="false" outlineLevel="0" collapsed="false">
      <c r="A8220" s="0" t="s">
        <v>538</v>
      </c>
      <c r="B8220" s="0" t="s">
        <v>86</v>
      </c>
      <c r="C8220" s="38" t="n">
        <f aca="false">Q!$D$29</f>
        <v>14.285</v>
      </c>
      <c r="D8220" s="38" t="n">
        <f aca="false">Q!$E$29</f>
        <v>15.503</v>
      </c>
      <c r="E8220" s="38" t="n">
        <f aca="false">Q!$P$29</f>
        <v>8.78</v>
      </c>
      <c r="F8220" s="38" t="n">
        <f aca="false">(Sens!$D$8219*Sens!$F$8095+(1-ext_sh)*Sens!$F$8141)*Sens!$F$8096</f>
        <v>9.16735846116642</v>
      </c>
      <c r="G8220" s="38" t="n">
        <f aca="false">Sens!$E$8220+Sens!$F$8220</f>
        <v>17.9473584611664</v>
      </c>
      <c r="H8220" s="38" t="n">
        <f aca="false">(Sens!$D$8219*Sens!$H$8095+(1-ext_sh)*Sens!$H$8141)*Sens!$H$8096</f>
        <v>21.6406723110177</v>
      </c>
      <c r="I8220" s="38" t="n">
        <f aca="false">(Sens!$D$8219*Sens!$I$8095+(1-ext_sh)*Sens!$I$8141)*Sens!$I$8096</f>
        <v>27.3128215555087</v>
      </c>
      <c r="J8220" s="38" t="n">
        <f aca="false">(Sens!$D$8219*Sens!$J$8095+(1-ext_sh)*Sens!$J$8141)*Sens!$J$8096</f>
        <v>33.0116861885756</v>
      </c>
      <c r="K8220" s="38" t="n">
        <f aca="false">(Sens!$D$8219*Sens!$K$8095+(1-ext_sh)*Sens!$K$8141)*Sens!$K$8096</f>
        <v>38.6250238720245</v>
      </c>
      <c r="L8220" s="38" t="n">
        <f aca="false">(Sens!$D$8219*Sens!$L$8095+(1-ext_sh)*Sens!$L$8141)*Sens!$L$8096</f>
        <v>43.0711535197861</v>
      </c>
      <c r="M8220" s="38" t="n">
        <f aca="false">(Sens!$D$8219*Sens!$M$8095+(1-ext_sh)*Sens!$M$8141)*Sens!$M$8096</f>
        <v>46.590728630326</v>
      </c>
      <c r="N8220" s="38" t="n">
        <f aca="false">Q!$N$29</f>
        <v>7.272</v>
      </c>
      <c r="O8220" s="38" t="n">
        <f aca="false">Q!$O$29</f>
        <v>8.231</v>
      </c>
    </row>
    <row r="8221" customFormat="false" ht="17.15" hidden="false" customHeight="false" outlineLevel="0" collapsed="false">
      <c r="A8221" s="0" t="s">
        <v>540</v>
      </c>
      <c r="B8221" s="0" t="s">
        <v>86</v>
      </c>
      <c r="C8221" s="38" t="n">
        <f aca="false">Q!$D$30</f>
        <v>4.462</v>
      </c>
      <c r="D8221" s="38" t="n">
        <f aca="false">Q!$E$30</f>
        <v>4.907</v>
      </c>
      <c r="E8221" s="38" t="n">
        <f aca="false">Q!$P$30</f>
        <v>2.57</v>
      </c>
      <c r="F8221" s="38" t="n">
        <f aca="false">(Sens!$D$8219*Sens!$F$8095+(1-ext_sh)*Sens!$F$8141)*(1-Sens!$F$8096)</f>
        <v>3.59937168293151</v>
      </c>
      <c r="G8221" s="38" t="n">
        <f aca="false">Sens!$E$8221+Sens!$F$8221</f>
        <v>6.16937168293151</v>
      </c>
      <c r="H8221" s="38" t="n">
        <f aca="false">(Sens!$D$8219*Sens!$H$8095+(1-ext_sh)*Sens!$H$8141)*(1-Sens!$H$8096)</f>
        <v>8.28915290031442</v>
      </c>
      <c r="I8221" s="38" t="n">
        <f aca="false">(Sens!$D$8219*Sens!$I$8095+(1-ext_sh)*Sens!$I$8141)*(1-Sens!$I$8096)</f>
        <v>10.4617892992793</v>
      </c>
      <c r="J8221" s="38" t="n">
        <f aca="false">(Sens!$D$8219*Sens!$J$8095+(1-ext_sh)*Sens!$J$8141)*(1-Sens!$J$8096)</f>
        <v>12.6446586493057</v>
      </c>
      <c r="K8221" s="38" t="n">
        <f aca="false">(Sens!$D$8219*Sens!$K$8095+(1-ext_sh)*Sens!$K$8141)*(1-Sens!$K$8096)</f>
        <v>14.7947681131192</v>
      </c>
      <c r="L8221" s="38" t="n">
        <f aca="false">(Sens!$D$8219*Sens!$L$8095+(1-ext_sh)*Sens!$L$8141)*(1-Sens!$L$8096)</f>
        <v>16.4977950771268</v>
      </c>
      <c r="M8221" s="38" t="n">
        <f aca="false">(Sens!$D$8219*Sens!$M$8095+(1-ext_sh)*Sens!$M$8141)*(1-Sens!$M$8096)</f>
        <v>17.8459184540772</v>
      </c>
      <c r="N8221" s="38" t="n">
        <f aca="false">Q!$N$30</f>
        <v>2.316</v>
      </c>
      <c r="O8221" s="38" t="n">
        <f aca="false">Q!$O$30</f>
        <v>2.591</v>
      </c>
    </row>
    <row r="8222" customFormat="false" ht="17.15" hidden="false" customHeight="false" outlineLevel="0" collapsed="false">
      <c r="A8222" s="0" t="s">
        <v>541</v>
      </c>
      <c r="B8222" s="0" t="s">
        <v>86</v>
      </c>
      <c r="C8222" s="38" t="n">
        <f aca="false">Sens!$C$8153</f>
        <v>13.32</v>
      </c>
      <c r="D8222" s="38" t="n">
        <f aca="false">Sens!$D$8153</f>
        <v>21.45</v>
      </c>
      <c r="E8222" s="38" t="n">
        <f aca="false">Sens!$E$8153</f>
        <v>15.353</v>
      </c>
      <c r="F8222" s="38" t="n">
        <f aca="false">Sens!$F$8153</f>
        <v>15.4404120185306</v>
      </c>
      <c r="G8222" s="38" t="n">
        <f aca="false">Sens!$G$8153</f>
        <v>30.7934120185306</v>
      </c>
      <c r="H8222" s="38" t="n">
        <f aca="false">Sens!$H$8153</f>
        <v>48.250114371455</v>
      </c>
      <c r="I8222" s="38" t="n">
        <f aca="false">Sens!$I$8153</f>
        <v>73.3965146995963</v>
      </c>
      <c r="J8222" s="38" t="n">
        <f aca="false">Sens!$J$8153</f>
        <v>99.22806138309</v>
      </c>
      <c r="K8222" s="38" t="n">
        <f aca="false">Sens!$K$8153</f>
        <v>125.386627452856</v>
      </c>
      <c r="L8222" s="38" t="n">
        <f aca="false">Sens!$L$8153</f>
        <v>144.77239043275</v>
      </c>
      <c r="M8222" s="38" t="n">
        <f aca="false">Sens!$M$8153</f>
        <v>158.693930910983</v>
      </c>
      <c r="N8222" s="38" t="n">
        <f aca="false">Sens!$N$8153</f>
        <v>9.234</v>
      </c>
      <c r="O8222" s="38" t="n">
        <f aca="false">Sens!$O$8153</f>
        <v>12.216</v>
      </c>
    </row>
    <row r="8223" customFormat="false" ht="17.15" hidden="false" customHeight="false" outlineLevel="0" collapsed="false">
      <c r="A8223" s="5" t="s">
        <v>745</v>
      </c>
      <c r="B8223" s="0" t="s">
        <v>86</v>
      </c>
      <c r="C8223" s="38" t="n">
        <f aca="false">Sens!$C$8220+Sens!$C$8221+Sens!$C$8222</f>
        <v>32.067</v>
      </c>
      <c r="D8223" s="38" t="n">
        <f aca="false">Sens!$D$8220+Sens!$D$8221+Sens!$D$8222</f>
        <v>41.86</v>
      </c>
      <c r="E8223" s="38" t="n">
        <f aca="false">Sens!$E$8220+Sens!$E$8221+Sens!$E$8222</f>
        <v>26.703</v>
      </c>
      <c r="F8223" s="38" t="n">
        <f aca="false">Sens!$F$8220+Sens!$F$8221+Sens!$F$8222</f>
        <v>28.2071421626285</v>
      </c>
      <c r="G8223" s="38" t="n">
        <f aca="false">Sens!$G$8220+Sens!$G$8221+Sens!$G$8222</f>
        <v>54.9101421626285</v>
      </c>
      <c r="H8223" s="38" t="n">
        <f aca="false">Sens!$H$8220+Sens!$H$8221+Sens!$H$8222</f>
        <v>78.1799395827871</v>
      </c>
      <c r="I8223" s="38" t="n">
        <f aca="false">Sens!$I$8220+Sens!$I$8221+Sens!$I$8222</f>
        <v>111.171125554384</v>
      </c>
      <c r="J8223" s="38" t="n">
        <f aca="false">Sens!$J$8220+Sens!$J$8221+Sens!$J$8222</f>
        <v>144.884406220971</v>
      </c>
      <c r="K8223" s="38" t="n">
        <f aca="false">Sens!$K$8220+Sens!$K$8221+Sens!$K$8222</f>
        <v>178.806419437999</v>
      </c>
      <c r="L8223" s="38" t="n">
        <f aca="false">Sens!$L$8220+Sens!$L$8221+Sens!$L$8222</f>
        <v>204.341339029663</v>
      </c>
      <c r="M8223" s="38" t="n">
        <f aca="false">Sens!$M$8220+Sens!$M$8221+Sens!$M$8222</f>
        <v>223.130577995387</v>
      </c>
      <c r="N8223" s="38" t="n">
        <f aca="false">Sens!$N$8220+Sens!$N$8221+Sens!$N$8222</f>
        <v>18.822</v>
      </c>
      <c r="O8223" s="38" t="n">
        <f aca="false">Sens!$O$8220+Sens!$O$8221+Sens!$O$8222</f>
        <v>23.038</v>
      </c>
    </row>
    <row r="8224" customFormat="false" ht="17.15" hidden="false" customHeight="false" outlineLevel="0" collapsed="false">
      <c r="A8224" s="0" t="s">
        <v>746</v>
      </c>
      <c r="B8224" s="0" t="s">
        <v>86</v>
      </c>
      <c r="C8224" s="38" t="n">
        <f aca="false">Sens!$C$8195+Sens!$C$8200</f>
        <v>28.107</v>
      </c>
      <c r="D8224" s="38" t="n">
        <f aca="false">Sens!$D$8195+Sens!$D$8200</f>
        <v>34.3175</v>
      </c>
      <c r="E8224" s="38" t="n">
        <f aca="false">Sens!$E$8195+Sens!$E$8200</f>
        <v>18.526</v>
      </c>
      <c r="F8224" s="38" t="n">
        <f aca="false">Sens!$F$8195+Sens!$F$8200</f>
        <v>23.0786109972074</v>
      </c>
      <c r="G8224" s="38" t="n">
        <f aca="false">Sens!$G$8195+Sens!$G$8200</f>
        <v>41.6046109972074</v>
      </c>
      <c r="H8224" s="38" t="n">
        <f aca="false">Sens!$H$8195+Sens!$H$8200</f>
        <v>49.9484611939488</v>
      </c>
      <c r="I8224" s="38" t="n">
        <f aca="false">Sens!$I$8195+Sens!$I$8200</f>
        <v>58.2915555477481</v>
      </c>
      <c r="J8224" s="38" t="n">
        <f aca="false">Sens!$J$8195+Sens!$J$8200</f>
        <v>66.0744709709759</v>
      </c>
      <c r="K8224" s="38" t="n">
        <f aca="false">Sens!$K$8195+Sens!$K$8200</f>
        <v>72.6819180680735</v>
      </c>
      <c r="L8224" s="38" t="n">
        <f aca="false">Sens!$L$8195+Sens!$L$8200</f>
        <v>79.9501098748808</v>
      </c>
      <c r="M8224" s="38" t="n">
        <f aca="false">Sens!$M$8195+Sens!$M$8200</f>
        <v>87.9451208623689</v>
      </c>
      <c r="N8224" s="38" t="n">
        <f aca="false">Sens!$N$8195+Sens!$N$8200</f>
        <v>14.8075</v>
      </c>
      <c r="O8224" s="38" t="n">
        <f aca="false">Sens!$O$8195+Sens!$O$8200</f>
        <v>19.51</v>
      </c>
    </row>
    <row r="8225" customFormat="false" ht="17.15" hidden="false" customHeight="false" outlineLevel="0" collapsed="false">
      <c r="A8225" s="0" t="s">
        <v>747</v>
      </c>
      <c r="B8225" s="0" t="s">
        <v>86</v>
      </c>
      <c r="C8225" s="38" t="n">
        <f aca="false">Sens!$C$8199+Sens!$C$8204+Sens!$C$8220+Sens!$C$8221-Sens!$C$8224</f>
        <v>19.399</v>
      </c>
      <c r="D8225" s="38" t="n">
        <f aca="false">Sens!$D$8199+Sens!$D$8204+Sens!$D$8220+Sens!$D$8221-Sens!$D$8224</f>
        <v>20.4615</v>
      </c>
      <c r="E8225" s="38" t="n">
        <f aca="false">Sens!$E$8199+Sens!$E$8204+Sens!$E$8220+Sens!$E$8221-Sens!$E$8224</f>
        <v>13.355</v>
      </c>
      <c r="F8225" s="38" t="n">
        <f aca="false">Sens!$F$8199+Sens!$F$8204+Sens!$F$8220+Sens!$F$8221-Sens!$F$8224</f>
        <v>12.5520732018618</v>
      </c>
      <c r="G8225" s="38" t="n">
        <f aca="false">Sens!$G$8199+Sens!$G$8204+Sens!$G$8220+Sens!$G$8221-Sens!$G$8224</f>
        <v>25.9070732018618</v>
      </c>
      <c r="H8225" s="38" t="n">
        <f aca="false">Sens!$H$8199+Sens!$H$8204+Sens!$H$8220+Sens!$H$8221-Sens!$H$8224</f>
        <v>28.0233335906818</v>
      </c>
      <c r="I8225" s="38" t="n">
        <f aca="false">Sens!$I$8199+Sens!$I$8204+Sens!$I$8220+Sens!$I$8221-Sens!$I$8224</f>
        <v>30.2440066606864</v>
      </c>
      <c r="J8225" s="38" t="n">
        <f aca="false">Sens!$J$8199+Sens!$J$8204+Sens!$J$8220+Sens!$J$8221-Sens!$J$8224</f>
        <v>32.4596500296286</v>
      </c>
      <c r="K8225" s="38" t="n">
        <f aca="false">Sens!$K$8199+Sens!$K$8204+Sens!$K$8220+Sens!$K$8221-Sens!$K$8224</f>
        <v>34.839425971154</v>
      </c>
      <c r="L8225" s="38" t="n">
        <f aca="false">Sens!$L$8199+Sens!$L$8204+Sens!$L$8220+Sens!$L$8221-Sens!$L$8224</f>
        <v>36.4424209524427</v>
      </c>
      <c r="M8225" s="38" t="n">
        <f aca="false">Sens!$M$8199+Sens!$M$8204+Sens!$M$8220+Sens!$M$8221-Sens!$M$8224</f>
        <v>38.8413540019876</v>
      </c>
      <c r="N8225" s="38" t="n">
        <f aca="false">Sens!$N$8199+Sens!$N$8204+Sens!$N$8220+Sens!$N$8221-Sens!$N$8224</f>
        <v>10.6495</v>
      </c>
      <c r="O8225" s="38" t="n">
        <f aca="false">Sens!$O$8199+Sens!$O$8204+Sens!$O$8220+Sens!$O$8221-Sens!$O$8224</f>
        <v>9.81200000000001</v>
      </c>
    </row>
    <row r="8226" customFormat="false" ht="17.15" hidden="false" customHeight="false" outlineLevel="0" collapsed="false">
      <c r="A8226" s="0" t="s">
        <v>748</v>
      </c>
      <c r="B8226" s="0" t="s">
        <v>86</v>
      </c>
      <c r="C8226" s="38" t="n">
        <f aca="false">Sens!$C$8206+Sens!$C$8222-ext_sh*Sens!$C$8141</f>
        <v>51.3470500115664</v>
      </c>
      <c r="D8226" s="38" t="n">
        <f aca="false">Sens!$D$8206+Sens!$D$8222-ext_sh*Sens!$D$8141</f>
        <v>60.2799375433739</v>
      </c>
      <c r="E8226" s="38" t="n">
        <f aca="false">Sens!$E$8206+Sens!$E$8222-ext_sh*Sens!$E$8141</f>
        <v>39.5095167090767</v>
      </c>
      <c r="F8226" s="38" t="n">
        <f aca="false">Sens!$F$8206+Sens!$F$8222-ext_sh*Sens!$F$8141</f>
        <v>37.5468918745429</v>
      </c>
      <c r="G8226" s="38" t="n">
        <f aca="false">Sens!$G$8206+Sens!$G$8222-ext_sh*Sens!$G$8141</f>
        <v>77.0564085836196</v>
      </c>
      <c r="H8226" s="38" t="n">
        <f aca="false">Sens!$H$8206+Sens!$H$8222-ext_sh*Sens!$H$8141</f>
        <v>84.2378398616123</v>
      </c>
      <c r="I8226" s="38" t="n">
        <f aca="false">Sens!$I$8206+Sens!$I$8222-ext_sh*Sens!$I$8141</f>
        <v>93.5253492849083</v>
      </c>
      <c r="J8226" s="38" t="n">
        <f aca="false">Sens!$J$8206+Sens!$J$8222-ext_sh*Sens!$J$8141</f>
        <v>102.42210777817</v>
      </c>
      <c r="K8226" s="38" t="n">
        <f aca="false">Sens!$K$8206+Sens!$K$8222-ext_sh*Sens!$K$8141</f>
        <v>110.615876400424</v>
      </c>
      <c r="L8226" s="38" t="n">
        <f aca="false">Sens!$L$8206+Sens!$L$8222-ext_sh*Sens!$L$8141</f>
        <v>119.465146512458</v>
      </c>
      <c r="M8226" s="38" t="n">
        <f aca="false">Sens!$M$8206+Sens!$M$8222-ext_sh*Sens!$M$8141</f>
        <v>129.022358233455</v>
      </c>
      <c r="N8226" s="38" t="n">
        <f aca="false">Sens!$N$8206+Sens!$N$8222-ext_sh*Sens!$N$8141</f>
        <v>28.5693781401809</v>
      </c>
      <c r="O8226" s="38" t="n">
        <f aca="false">Sens!$O$8206+Sens!$O$8222-ext_sh*Sens!$O$8141</f>
        <v>31.7105594031931</v>
      </c>
    </row>
    <row r="8227" customFormat="false" ht="17.15" hidden="false" customHeight="false" outlineLevel="0" collapsed="false">
      <c r="A8227" s="0" t="s">
        <v>749</v>
      </c>
      <c r="B8227" s="0" t="s">
        <v>86</v>
      </c>
      <c r="C8227" s="38" t="n">
        <f aca="false">Sens!$C$8144</f>
        <v>1.80694998843362</v>
      </c>
      <c r="D8227" s="38" t="n">
        <f aca="false">Sens!$D$8144</f>
        <v>6.77606245662607</v>
      </c>
      <c r="E8227" s="38" t="n">
        <f aca="false">Sens!$E$8144</f>
        <v>6.62548329092326</v>
      </c>
      <c r="F8227" s="38" t="n">
        <f aca="false">Sens!$F$8144</f>
        <v>11.7200577158706</v>
      </c>
      <c r="G8227" s="38" t="n">
        <f aca="false">Sens!$G$8144</f>
        <v>18.3455410067939</v>
      </c>
      <c r="H8227" s="38" t="n">
        <f aca="false">Sens!$H$8144</f>
        <v>47.5171727060453</v>
      </c>
      <c r="I8227" s="38" t="n">
        <f aca="false">Sens!$I$8144</f>
        <v>80.5539692643667</v>
      </c>
      <c r="J8227" s="38" t="n">
        <f aca="false">Sens!$J$8144</f>
        <v>113.759316834883</v>
      </c>
      <c r="K8227" s="38" t="n">
        <f aca="false">Sens!$K$8144</f>
        <v>142.084411492169</v>
      </c>
      <c r="L8227" s="38" t="n">
        <f aca="false">Sens!$L$8144</f>
        <v>160.69964615804</v>
      </c>
      <c r="M8227" s="38" t="n">
        <f aca="false">Sens!$M$8144</f>
        <v>169.577607141793</v>
      </c>
      <c r="N8227" s="38" t="n">
        <f aca="false">Sens!$N$8144</f>
        <v>2.37162185981912</v>
      </c>
      <c r="O8227" s="38" t="n">
        <f aca="false">Sens!$O$8144</f>
        <v>4.40444059680694</v>
      </c>
    </row>
    <row r="8228" customFormat="false" ht="17.15" hidden="false" customHeight="false" outlineLevel="0" collapsed="false">
      <c r="A8228" s="0" t="s">
        <v>750</v>
      </c>
      <c r="B8228" s="0" t="s">
        <v>86</v>
      </c>
      <c r="C8228" s="38" t="n">
        <f aca="false">Sens!$C$8209+Sens!$C$8223</f>
        <v>100.66</v>
      </c>
      <c r="D8228" s="38" t="n">
        <f aca="false">Sens!$D$8209+Sens!$D$8223</f>
        <v>121.835</v>
      </c>
      <c r="E8228" s="38" t="n">
        <f aca="false">Sens!$E$8209+Sens!$E$8223</f>
        <v>78.016</v>
      </c>
      <c r="F8228" s="38" t="n">
        <f aca="false">Sens!$F$8209+Sens!$F$8223</f>
        <v>84.8976337894826</v>
      </c>
      <c r="G8228" s="38" t="n">
        <f aca="false">Sens!$G$8209+Sens!$G$8223</f>
        <v>162.913633789483</v>
      </c>
      <c r="H8228" s="38" t="n">
        <f aca="false">Sens!$H$8209+Sens!$H$8223</f>
        <v>209.726807352288</v>
      </c>
      <c r="I8228" s="38" t="n">
        <f aca="false">Sens!$I$8209+Sens!$I$8223</f>
        <v>262.61488075771</v>
      </c>
      <c r="J8228" s="38" t="n">
        <f aca="false">Sens!$J$8209+Sens!$J$8223</f>
        <v>314.715545613658</v>
      </c>
      <c r="K8228" s="38" t="n">
        <f aca="false">Sens!$K$8209+Sens!$K$8223</f>
        <v>360.221631931821</v>
      </c>
      <c r="L8228" s="38" t="n">
        <f aca="false">Sens!$L$8209+Sens!$L$8223</f>
        <v>396.557323497822</v>
      </c>
      <c r="M8228" s="38" t="n">
        <f aca="false">Sens!$M$8209+Sens!$M$8223</f>
        <v>425.386440239605</v>
      </c>
      <c r="N8228" s="38" t="n">
        <f aca="false">Sens!$N$8209+Sens!$N$8223</f>
        <v>56.398</v>
      </c>
      <c r="O8228" s="38" t="n">
        <f aca="false">Sens!$O$8209+Sens!$O$8223</f>
        <v>65.437</v>
      </c>
    </row>
    <row r="8229" customFormat="false" ht="17.15" hidden="false" customHeight="false" outlineLevel="0" collapsed="false">
      <c r="A8229" s="1" t="s">
        <v>751</v>
      </c>
    </row>
    <row r="8230" customFormat="false" ht="15" hidden="false" customHeight="false" outlineLevel="0" collapsed="false">
      <c r="A8230" s="5" t="s">
        <v>544</v>
      </c>
      <c r="B8230" s="0" t="s">
        <v>86</v>
      </c>
      <c r="C8230" s="38" t="n">
        <f aca="false">Q!$D$34</f>
        <v>2.406</v>
      </c>
      <c r="D8230" s="38" t="n">
        <f aca="false">Q!$E$34</f>
        <v>2.274</v>
      </c>
      <c r="E8230" s="38" t="n">
        <f aca="false">Q!$P$34</f>
        <v>2.114</v>
      </c>
      <c r="F8230" s="38" t="n">
        <f aca="false">Sens!$F$8268</f>
        <v>3.24888962733561</v>
      </c>
      <c r="G8230" s="38" t="n">
        <f aca="false">Sens!$E$8230+Sens!$F$8230</f>
        <v>5.36288962733561</v>
      </c>
      <c r="H8230" s="38" t="n">
        <f aca="false">Sens!$H$8268</f>
        <v>7.42354172302123</v>
      </c>
      <c r="I8230" s="38" t="n">
        <f aca="false">Sens!$I$8268</f>
        <v>8.48968024898619</v>
      </c>
      <c r="J8230" s="38" t="n">
        <f aca="false">Sens!$J$8268</f>
        <v>9.63598826439483</v>
      </c>
      <c r="K8230" s="38" t="n">
        <f aca="false">Sens!$K$8268</f>
        <v>9.63598826439483</v>
      </c>
      <c r="L8230" s="38" t="n">
        <f aca="false">Sens!$L$8268</f>
        <v>9.63598826439483</v>
      </c>
      <c r="M8230" s="38" t="n">
        <f aca="false">Sens!$M$8268</f>
        <v>9.63598826439483</v>
      </c>
      <c r="N8230" s="38" t="n">
        <f aca="false">Q!$N$34</f>
        <v>1.057</v>
      </c>
      <c r="O8230" s="38" t="n">
        <f aca="false">Q!$O$34</f>
        <v>1.217</v>
      </c>
    </row>
    <row r="8231" customFormat="false" ht="15" hidden="false" customHeight="false" outlineLevel="0" collapsed="false">
      <c r="A8231" s="5" t="s">
        <v>752</v>
      </c>
      <c r="B8231" s="0" t="s">
        <v>86</v>
      </c>
      <c r="F8231" s="38" t="n">
        <f aca="false">Sens!$F$8269</f>
        <v>2.59</v>
      </c>
      <c r="H8231" s="38" t="n">
        <f aca="false">Sens!$H$8269</f>
        <v>3.76965165045626</v>
      </c>
      <c r="I8231" s="38" t="n">
        <f aca="false">Sens!$I$8269</f>
        <v>2.10589651022864</v>
      </c>
      <c r="J8231" s="38" t="n">
        <f aca="false">Sens!$J$8269</f>
        <v>2.10589651022864</v>
      </c>
      <c r="K8231" s="38" t="n">
        <f aca="false">Sens!$K$8269</f>
        <v>3.03184385018094</v>
      </c>
      <c r="L8231" s="38" t="n">
        <f aca="false">Sens!$L$8269</f>
        <v>8.01944213829919</v>
      </c>
      <c r="M8231" s="38" t="n">
        <f aca="false">Sens!$M$8269</f>
        <v>15.4751142339777</v>
      </c>
    </row>
    <row r="8232" customFormat="false" ht="17.15" hidden="false" customHeight="false" outlineLevel="0" collapsed="false">
      <c r="A8232" s="5" t="s">
        <v>753</v>
      </c>
      <c r="B8232" s="0" t="s">
        <v>86</v>
      </c>
      <c r="C8232" s="38" t="n">
        <f aca="false">Q!$D$39</f>
        <v>2.427</v>
      </c>
      <c r="D8232" s="38" t="n">
        <f aca="false">Q!$E$39</f>
        <v>19.61</v>
      </c>
      <c r="E8232" s="38" t="n">
        <f aca="false">Q!$P$39</f>
        <v>71.492</v>
      </c>
      <c r="F8232" s="39" t="n">
        <v>0</v>
      </c>
      <c r="G8232" s="38" t="n">
        <f aca="false">Sens!$E$8232+Sens!$F$8232</f>
        <v>71.492</v>
      </c>
      <c r="H8232" s="39" t="n">
        <v>0</v>
      </c>
      <c r="I8232" s="39" t="n">
        <v>0</v>
      </c>
      <c r="J8232" s="39" t="n">
        <v>0</v>
      </c>
      <c r="K8232" s="39" t="n">
        <v>0</v>
      </c>
      <c r="L8232" s="39" t="n">
        <v>0</v>
      </c>
      <c r="M8232" s="39" t="n">
        <v>0</v>
      </c>
      <c r="N8232" s="38" t="n">
        <f aca="false">Q!$N$39</f>
        <v>6.017</v>
      </c>
      <c r="O8232" s="38" t="n">
        <f aca="false">Q!$O$39</f>
        <v>13.593</v>
      </c>
      <c r="P8232" s="5" t="s">
        <v>754</v>
      </c>
    </row>
    <row r="8233" customFormat="false" ht="15" hidden="false" customHeight="false" outlineLevel="0" collapsed="false">
      <c r="A8233" s="5" t="s">
        <v>547</v>
      </c>
      <c r="B8233" s="0" t="s">
        <v>86</v>
      </c>
      <c r="C8233" s="38" t="n">
        <f aca="false">Q!$D$36</f>
        <v>68.614</v>
      </c>
      <c r="D8233" s="38" t="n">
        <f aca="false">Q!$E$36</f>
        <v>97.311</v>
      </c>
      <c r="E8233" s="38" t="n">
        <f aca="false">Q!$P$36</f>
        <v>120.691</v>
      </c>
      <c r="F8233" s="38" t="n">
        <f aca="false">Sens!$F$8209-Sens!$F$8230+Sens!$F$8231+Sens!$F$8232</f>
        <v>56.0316019995185</v>
      </c>
      <c r="G8233" s="38" t="n">
        <f aca="false">Sens!$E$8233+Sens!$F$8233</f>
        <v>176.722601999518</v>
      </c>
      <c r="H8233" s="38" t="n">
        <f aca="false">Sens!$H$8209-Sens!$H$8230+Sens!$H$8231+Sens!$H$8232</f>
        <v>127.892977696936</v>
      </c>
      <c r="I8233" s="38" t="n">
        <f aca="false">Sens!$I$8209-Sens!$I$8230+Sens!$I$8231+Sens!$I$8232</f>
        <v>145.059971464568</v>
      </c>
      <c r="J8233" s="38" t="n">
        <f aca="false">Sens!$J$8209-Sens!$J$8230+Sens!$J$8231+Sens!$J$8232</f>
        <v>162.301047638521</v>
      </c>
      <c r="K8233" s="38" t="n">
        <f aca="false">Sens!$K$8209-Sens!$K$8230+Sens!$K$8231+Sens!$K$8232</f>
        <v>174.811068079608</v>
      </c>
      <c r="L8233" s="38" t="n">
        <f aca="false">Sens!$L$8209-Sens!$L$8230+Sens!$L$8231+Sens!$L$8232</f>
        <v>190.599438342064</v>
      </c>
      <c r="M8233" s="38" t="n">
        <f aca="false">Sens!$M$8209-Sens!$M$8230+Sens!$M$8231+Sens!$M$8232</f>
        <v>208.094988213801</v>
      </c>
      <c r="N8233" s="38" t="n">
        <f aca="false">Q!$N$36</f>
        <v>42.536</v>
      </c>
      <c r="O8233" s="38" t="n">
        <f aca="false">Q!$O$36</f>
        <v>54.775</v>
      </c>
    </row>
    <row r="8234" customFormat="false" ht="15" hidden="false" customHeight="false" outlineLevel="0" collapsed="false">
      <c r="A8234" s="5" t="s">
        <v>548</v>
      </c>
      <c r="B8234" s="0" t="s">
        <v>86</v>
      </c>
      <c r="C8234" s="38" t="n">
        <f aca="false">Q!$D$37</f>
        <v>9.265</v>
      </c>
      <c r="D8234" s="38" t="n">
        <f aca="false">Q!$E$37</f>
        <v>19.087</v>
      </c>
      <c r="E8234" s="38" t="n">
        <f aca="false">Q!$P$37</f>
        <v>27.759</v>
      </c>
      <c r="F8234" s="38" t="n">
        <f aca="false">Sens!$F$8233*tax</f>
        <v>9.72621910890414</v>
      </c>
      <c r="G8234" s="38" t="n">
        <f aca="false">Sens!$E$8234+Sens!$F$8234</f>
        <v>37.4852191089041</v>
      </c>
      <c r="H8234" s="38" t="n">
        <f aca="false">Sens!$H$8233*tax</f>
        <v>22.2002419916761</v>
      </c>
      <c r="I8234" s="38" t="n">
        <f aca="false">Sens!$I$8233*tax</f>
        <v>25.1801664783365</v>
      </c>
      <c r="J8234" s="38" t="n">
        <f aca="false">Sens!$J$8233*tax</f>
        <v>28.1729505244292</v>
      </c>
      <c r="K8234" s="38" t="n">
        <f aca="false">Sens!$K$8233*tax</f>
        <v>30.3444965007146</v>
      </c>
      <c r="L8234" s="38" t="n">
        <f aca="false">Sens!$L$8233*tax</f>
        <v>33.0851132788405</v>
      </c>
      <c r="M8234" s="38" t="n">
        <f aca="false">Sens!$M$8233*tax</f>
        <v>36.1220700213006</v>
      </c>
      <c r="N8234" s="38" t="n">
        <f aca="false">Q!$N$37</f>
        <v>7.231</v>
      </c>
      <c r="O8234" s="38" t="n">
        <f aca="false">Q!$O$37</f>
        <v>11.856</v>
      </c>
    </row>
    <row r="8235" customFormat="false" ht="15" hidden="false" customHeight="false" outlineLevel="0" collapsed="false">
      <c r="A8235" s="3" t="s">
        <v>549</v>
      </c>
      <c r="B8235" s="8" t="s">
        <v>86</v>
      </c>
      <c r="C8235" s="38" t="n">
        <f aca="false">Q!$D$38</f>
        <v>59.248</v>
      </c>
      <c r="D8235" s="38" t="n">
        <f aca="false">Q!$E$38</f>
        <v>77.67</v>
      </c>
      <c r="E8235" s="38" t="n">
        <f aca="false">Q!$P$38</f>
        <v>92.902</v>
      </c>
      <c r="F8235" s="38" t="n">
        <f aca="false">Sens!$F$8233-Sens!$F$8234</f>
        <v>46.3053828906144</v>
      </c>
      <c r="G8235" s="38" t="n">
        <f aca="false">Sens!$E$8235+Sens!$F$8235</f>
        <v>139.207382890614</v>
      </c>
      <c r="H8235" s="38" t="n">
        <f aca="false">Sens!$H$8233-Sens!$H$8234</f>
        <v>105.69273570526</v>
      </c>
      <c r="I8235" s="38" t="n">
        <f aca="false">Sens!$I$8233-Sens!$I$8234</f>
        <v>119.879804986231</v>
      </c>
      <c r="J8235" s="38" t="n">
        <f aca="false">Sens!$J$8233-Sens!$J$8234</f>
        <v>134.128097114092</v>
      </c>
      <c r="K8235" s="38" t="n">
        <f aca="false">Sens!$K$8233-Sens!$K$8234</f>
        <v>144.466571578893</v>
      </c>
      <c r="L8235" s="38" t="n">
        <f aca="false">Sens!$L$8233-Sens!$L$8234</f>
        <v>157.514325063223</v>
      </c>
      <c r="M8235" s="38" t="n">
        <f aca="false">Sens!$M$8233-Sens!$M$8234</f>
        <v>171.9729181925</v>
      </c>
      <c r="N8235" s="38" t="n">
        <f aca="false">Q!$N$38</f>
        <v>35.291</v>
      </c>
      <c r="O8235" s="38" t="n">
        <f aca="false">Q!$O$38</f>
        <v>42.379</v>
      </c>
    </row>
    <row r="8236" customFormat="false" ht="17.15" hidden="false" customHeight="false" outlineLevel="0" collapsed="false">
      <c r="A8236" s="5" t="s">
        <v>552</v>
      </c>
      <c r="B8236" s="5" t="s">
        <v>33</v>
      </c>
      <c r="C8236" s="22" t="n">
        <f aca="false">Q!$D$41</f>
        <v>10.721</v>
      </c>
      <c r="D8236" s="22" t="n">
        <f aca="false">Q!$E$41</f>
        <v>10.827</v>
      </c>
      <c r="E8236" s="22" t="n">
        <f aca="false">(Q!$L$41+Q!$M$41)/2</f>
        <v>10.8885</v>
      </c>
      <c r="F8236" s="22" t="n">
        <f aca="false">Sens!$G$8236</f>
        <v>10.924806</v>
      </c>
      <c r="G8236" s="22" t="n">
        <f aca="false">Q!$M$41*(1+sh_g*0.25)</f>
        <v>10.924806</v>
      </c>
      <c r="H8236" s="22" t="n">
        <f aca="false">Sens!$G$8236*(1+sh_g)</f>
        <v>11.012204448</v>
      </c>
      <c r="I8236" s="22" t="n">
        <f aca="false">Sens!$H$8236*(1+sh_g)</f>
        <v>11.100302083584</v>
      </c>
      <c r="J8236" s="22" t="n">
        <f aca="false">Sens!$I$8236*(1+sh_g)</f>
        <v>11.1891045002527</v>
      </c>
      <c r="K8236" s="22" t="n">
        <f aca="false">Sens!$J$8236*(1+sh_g)</f>
        <v>11.2786173362547</v>
      </c>
      <c r="L8236" s="22" t="n">
        <f aca="false">Sens!$K$8236*(1+sh_g)</f>
        <v>11.3688462749447</v>
      </c>
      <c r="M8236" s="22" t="n">
        <f aca="false">Sens!$L$8236*(1+sh_g)</f>
        <v>11.4597970451443</v>
      </c>
      <c r="P8236" s="5" t="s">
        <v>755</v>
      </c>
    </row>
    <row r="8237" customFormat="false" ht="17.15" hidden="false" customHeight="false" outlineLevel="0" collapsed="false">
      <c r="A8237" s="5" t="s">
        <v>756</v>
      </c>
      <c r="B8237" s="0" t="s">
        <v>86</v>
      </c>
      <c r="C8237" s="38" t="n">
        <f aca="false">Sens!$C$8235+Sens!$C$8211*(1-tax)</f>
        <v>59.248</v>
      </c>
      <c r="D8237" s="38" t="n">
        <f aca="false">Sens!$D$8235+Sens!$D$8211*(1-tax)</f>
        <v>77.67</v>
      </c>
      <c r="E8237" s="38" t="n">
        <f aca="false">Sens!$E$8235+Sens!$E$8211*(1-tax)</f>
        <v>92.902</v>
      </c>
      <c r="F8237" s="38" t="n">
        <f aca="false">Sens!$F$8235+Sens!$F$8211*(1-tax)</f>
        <v>49.421977850263</v>
      </c>
      <c r="G8237" s="38" t="n">
        <f aca="false">Sens!$G$8235+Sens!$G$8211*(1-tax)</f>
        <v>142.323977850263</v>
      </c>
      <c r="H8237" s="38" t="n">
        <f aca="false">Sens!$H$8235+Sens!$H$8211*(1-tax)</f>
        <v>118.224131660605</v>
      </c>
      <c r="I8237" s="38" t="n">
        <f aca="false">Sens!$I$8235+Sens!$I$8211*(1-tax)</f>
        <v>141.02107006117</v>
      </c>
      <c r="J8237" s="38" t="n">
        <f aca="false">Sens!$J$8235+Sens!$J$8211*(1-tax)</f>
        <v>163.917534058375</v>
      </c>
      <c r="K8237" s="38" t="n">
        <f aca="false">Sens!$K$8235+Sens!$K$8211*(1-tax)</f>
        <v>181.633877275552</v>
      </c>
      <c r="L8237" s="38" t="n">
        <f aca="false">Sens!$L$8235+Sens!$L$8211*(1-tax)</f>
        <v>199.530402403778</v>
      </c>
      <c r="M8237" s="38" t="n">
        <f aca="false">Sens!$M$8235+Sens!$M$8211*(1-tax)</f>
        <v>216.302440383341</v>
      </c>
      <c r="N8237" s="38" t="n">
        <f aca="false">Sens!$N$8235+Sens!$N$8211*(1-tax)</f>
        <v>35.291</v>
      </c>
      <c r="O8237" s="38" t="n">
        <f aca="false">Sens!$O$8235+Sens!$O$8211*(1-tax)</f>
        <v>42.379</v>
      </c>
    </row>
    <row r="8238" customFormat="false" ht="17.15" hidden="false" customHeight="false" outlineLevel="0" collapsed="false">
      <c r="A8238" s="43" t="s">
        <v>757</v>
      </c>
      <c r="B8238" s="14" t="s">
        <v>27</v>
      </c>
      <c r="C8238" s="44" t="n">
        <f aca="false">Sens!$C$8237/Sens!$C$8236</f>
        <v>5.52635015390355</v>
      </c>
      <c r="D8238" s="44" t="n">
        <f aca="false">Sens!$D$8237/Sens!$D$8236</f>
        <v>7.1737323358271</v>
      </c>
      <c r="E8238" s="44" t="n">
        <f aca="false">Sens!$E$8237/Sens!$E$8236</f>
        <v>8.53212104513937</v>
      </c>
      <c r="F8238" s="14"/>
      <c r="G8238" s="44" t="n">
        <f aca="false">Sens!$G$8237/Sens!$G$8236</f>
        <v>13.0275977303636</v>
      </c>
      <c r="H8238" s="44" t="n">
        <f aca="false">Sens!$H$8237/Sens!$H$8236</f>
        <v>10.7357370832392</v>
      </c>
      <c r="I8238" s="44" t="n">
        <f aca="false">Sens!$I$8237/Sens!$I$8236</f>
        <v>12.7042551634449</v>
      </c>
      <c r="J8238" s="44" t="n">
        <f aca="false">Sens!$J$8237/Sens!$J$8236</f>
        <v>14.6497455676344</v>
      </c>
      <c r="K8238" s="44" t="n">
        <f aca="false">Sens!$K$8237/Sens!$K$8236</f>
        <v>16.104268090708</v>
      </c>
      <c r="L8238" s="44" t="n">
        <f aca="false">Sens!$L$8237/Sens!$L$8236</f>
        <v>17.5506289361581</v>
      </c>
      <c r="M8238" s="44" t="n">
        <f aca="false">Sens!$M$8237/Sens!$M$8236</f>
        <v>18.8748927691518</v>
      </c>
      <c r="N8238" s="14"/>
      <c r="O8238" s="14"/>
    </row>
    <row r="8239" customFormat="false" ht="17.15" hidden="false" customHeight="false" outlineLevel="0" collapsed="false">
      <c r="A8239" s="0" t="s">
        <v>758</v>
      </c>
      <c r="B8239" s="0" t="s">
        <v>27</v>
      </c>
      <c r="C8239" s="30" t="n">
        <f aca="false">Sens!$C$8235/Sens!$C$8236</f>
        <v>5.52635015390355</v>
      </c>
      <c r="D8239" s="30" t="n">
        <f aca="false">Sens!$D$8235/Sens!$D$8236</f>
        <v>7.1737323358271</v>
      </c>
      <c r="E8239" s="30" t="n">
        <f aca="false">Sens!$E$8235/Sens!$E$8236</f>
        <v>8.53212104513937</v>
      </c>
      <c r="G8239" s="30" t="n">
        <f aca="false">Sens!$G$8235/Sens!$G$8236</f>
        <v>12.7423208147233</v>
      </c>
      <c r="H8239" s="30" t="n">
        <f aca="false">Sens!$H$8235/Sens!$H$8236</f>
        <v>9.59778182509639</v>
      </c>
      <c r="I8239" s="30" t="n">
        <f aca="false">Sens!$I$8235/Sens!$I$8236</f>
        <v>10.799688520506</v>
      </c>
      <c r="J8239" s="30" t="n">
        <f aca="false">Sens!$J$8235/Sens!$J$8236</f>
        <v>11.9873844337644</v>
      </c>
      <c r="K8239" s="30" t="n">
        <f aca="false">Sens!$K$8235/Sens!$K$8236</f>
        <v>12.8088902453061</v>
      </c>
      <c r="L8239" s="30" t="n">
        <f aca="false">Sens!$L$8235/Sens!$L$8236</f>
        <v>13.8549085152432</v>
      </c>
      <c r="M8239" s="30" t="n">
        <f aca="false">Sens!$M$8235/Sens!$M$8236</f>
        <v>15.0066286091313</v>
      </c>
    </row>
    <row r="8240" customFormat="false" ht="17.15" hidden="false" customHeight="false" outlineLevel="0" collapsed="false">
      <c r="A8240" s="0" t="s">
        <v>759</v>
      </c>
      <c r="B8240" s="0" t="s">
        <v>27</v>
      </c>
      <c r="C8240" s="30" t="n">
        <f aca="false">(Sens!$C$8235-Sens!$C$8232*(1-tax))/Sens!$C$8236</f>
        <v>5.33926775917445</v>
      </c>
      <c r="D8240" s="30" t="n">
        <f aca="false">(Sens!$D$8235-Sens!$D$8232*(1-tax))/Sens!$D$8236</f>
        <v>5.67691812755503</v>
      </c>
      <c r="E8240" s="30" t="n">
        <f aca="false">(Sens!$E$8235-Sens!$E$8232*(1-tax))/Sens!$E$8236</f>
        <v>3.10602057006846</v>
      </c>
      <c r="G8240" s="30" t="n">
        <f aca="false">(Sens!$G$8235-Sens!$G$8232*(1-tax))/Sens!$G$8236</f>
        <v>7.33425269682635</v>
      </c>
      <c r="H8240" s="30" t="n">
        <f aca="false">(Sens!$H$8235-Sens!$H$8232*(1-tax))/Sens!$H$8236</f>
        <v>9.59778182509639</v>
      </c>
      <c r="I8240" s="30" t="n">
        <f aca="false">(Sens!$I$8235-Sens!$I$8232*(1-tax))/Sens!$I$8236</f>
        <v>10.799688520506</v>
      </c>
      <c r="J8240" s="30" t="n">
        <f aca="false">(Sens!$J$8235-Sens!$J$8232*(1-tax))/Sens!$J$8236</f>
        <v>11.9873844337644</v>
      </c>
      <c r="K8240" s="30" t="n">
        <f aca="false">(Sens!$K$8235-Sens!$K$8232*(1-tax))/Sens!$K$8236</f>
        <v>12.8088902453061</v>
      </c>
      <c r="L8240" s="30" t="n">
        <f aca="false">(Sens!$L$8235-Sens!$L$8232*(1-tax))/Sens!$L$8236</f>
        <v>13.8549085152432</v>
      </c>
      <c r="M8240" s="30" t="n">
        <f aca="false">(Sens!$M$8235-Sens!$M$8232*(1-tax))/Sens!$M$8236</f>
        <v>15.0066286091313</v>
      </c>
      <c r="P8240" s="5" t="s">
        <v>760</v>
      </c>
    </row>
    <row r="8241" customFormat="false" ht="17.15" hidden="false" customHeight="false" outlineLevel="0" collapsed="false">
      <c r="A8241" s="0" t="s">
        <v>761</v>
      </c>
      <c r="B8241" s="0" t="s">
        <v>52</v>
      </c>
      <c r="H8241" s="13" t="n">
        <f aca="false">Sens!$H$8238/Sens!$G$8238-1</f>
        <v>-0.175923504437261</v>
      </c>
      <c r="I8241" s="13" t="n">
        <f aca="false">Sens!$I$8238/Sens!$H$8238-1</f>
        <v>0.183361241519136</v>
      </c>
      <c r="J8241" s="13" t="n">
        <f aca="false">Sens!$J$8238/Sens!$I$8238-1</f>
        <v>0.153136911936991</v>
      </c>
      <c r="K8241" s="13" t="n">
        <f aca="false">Sens!$K$8238/Sens!$J$8238-1</f>
        <v>0.0992865382103958</v>
      </c>
      <c r="L8241" s="13" t="n">
        <f aca="false">Sens!$L$8238/Sens!$K$8238-1</f>
        <v>0.0898122682324627</v>
      </c>
      <c r="M8241" s="13" t="n">
        <f aca="false">Sens!$M$8238/Sens!$L$8238-1</f>
        <v>0.0754539246320329</v>
      </c>
    </row>
    <row r="8244" customFormat="false" ht="19.4" hidden="false" customHeight="false" outlineLevel="0" collapsed="false">
      <c r="A8244" s="31" t="s">
        <v>1303</v>
      </c>
    </row>
    <row r="8245" customFormat="false" ht="17.15" hidden="false" customHeight="false" outlineLevel="0" collapsed="false">
      <c r="A8245" s="6" t="s">
        <v>16</v>
      </c>
      <c r="B8245" s="6" t="s">
        <v>17</v>
      </c>
      <c r="C8245" s="20" t="s">
        <v>497</v>
      </c>
      <c r="D8245" s="20" t="s">
        <v>498</v>
      </c>
      <c r="E8245" s="20" t="s">
        <v>580</v>
      </c>
      <c r="F8245" s="20" t="s">
        <v>581</v>
      </c>
      <c r="G8245" s="20" t="s">
        <v>582</v>
      </c>
      <c r="H8245" s="20" t="s">
        <v>583</v>
      </c>
      <c r="I8245" s="20" t="s">
        <v>584</v>
      </c>
      <c r="J8245" s="20" t="s">
        <v>585</v>
      </c>
      <c r="K8245" s="20" t="s">
        <v>586</v>
      </c>
      <c r="L8245" s="20" t="s">
        <v>587</v>
      </c>
      <c r="M8245" s="20" t="s">
        <v>588</v>
      </c>
      <c r="N8245" s="20" t="s">
        <v>589</v>
      </c>
      <c r="O8245" s="20" t="s">
        <v>590</v>
      </c>
      <c r="P8245" s="6" t="s">
        <v>23</v>
      </c>
      <c r="R8245" s="20" t="n">
        <v>2023</v>
      </c>
      <c r="S8245" s="20" t="n">
        <v>2024</v>
      </c>
      <c r="T8245" s="20" t="n">
        <v>2025</v>
      </c>
      <c r="U8245" s="20" t="n">
        <v>2026</v>
      </c>
      <c r="V8245" s="20" t="n">
        <v>2027</v>
      </c>
      <c r="W8245" s="20" t="n">
        <v>2028</v>
      </c>
      <c r="X8245" s="20" t="n">
        <v>2029</v>
      </c>
      <c r="Y8245" s="20" t="n">
        <v>2030</v>
      </c>
      <c r="Z8245" s="20" t="n">
        <v>2031</v>
      </c>
      <c r="AA8245" s="20" t="n">
        <v>2032</v>
      </c>
    </row>
    <row r="8246" customFormat="false" ht="15" hidden="false" customHeight="false" outlineLevel="0" collapsed="false">
      <c r="A8246" s="5" t="s">
        <v>549</v>
      </c>
      <c r="B8246" s="0" t="s">
        <v>86</v>
      </c>
      <c r="C8246" s="38" t="n">
        <f aca="false">Sens!$C$8235</f>
        <v>59.248</v>
      </c>
      <c r="D8246" s="38" t="n">
        <f aca="false">Sens!$D$8235</f>
        <v>77.67</v>
      </c>
      <c r="E8246" s="38" t="n">
        <f aca="false">Sens!$E$8235</f>
        <v>92.902</v>
      </c>
      <c r="F8246" s="38" t="n">
        <f aca="false">Sens!$F$8235</f>
        <v>46.3053828906144</v>
      </c>
      <c r="G8246" s="38" t="n">
        <f aca="false">Sens!$G$8235</f>
        <v>139.207382890614</v>
      </c>
      <c r="H8246" s="38" t="n">
        <f aca="false">Sens!$H$8235</f>
        <v>105.69273570526</v>
      </c>
      <c r="I8246" s="38" t="n">
        <f aca="false">Sens!$I$8235</f>
        <v>119.879804986231</v>
      </c>
      <c r="J8246" s="38" t="n">
        <f aca="false">Sens!$J$8235</f>
        <v>134.128097114092</v>
      </c>
      <c r="K8246" s="38" t="n">
        <f aca="false">Sens!$K$8235</f>
        <v>144.466571578893</v>
      </c>
      <c r="L8246" s="38" t="n">
        <f aca="false">Sens!$L$8235</f>
        <v>157.514325063223</v>
      </c>
      <c r="M8246" s="38" t="n">
        <f aca="false">Sens!$M$8235</f>
        <v>171.9729181925</v>
      </c>
    </row>
    <row r="8247" customFormat="false" ht="17.15" hidden="false" customHeight="false" outlineLevel="0" collapsed="false">
      <c r="A8247" s="5" t="s">
        <v>784</v>
      </c>
      <c r="B8247" s="0" t="s">
        <v>86</v>
      </c>
      <c r="C8247" s="38" t="n">
        <f aca="false">Sens!$C$8223</f>
        <v>32.067</v>
      </c>
      <c r="D8247" s="38" t="n">
        <f aca="false">Sens!$D$8223</f>
        <v>41.86</v>
      </c>
      <c r="E8247" s="38" t="n">
        <f aca="false">Sens!$E$8223</f>
        <v>26.703</v>
      </c>
      <c r="F8247" s="38" t="n">
        <f aca="false">Sens!$F$8223</f>
        <v>28.2071421626285</v>
      </c>
      <c r="G8247" s="38" t="n">
        <f aca="false">Sens!$G$8223</f>
        <v>54.9101421626285</v>
      </c>
      <c r="H8247" s="38" t="n">
        <f aca="false">Sens!$H$8223</f>
        <v>78.1799395827871</v>
      </c>
      <c r="I8247" s="38" t="n">
        <f aca="false">Sens!$I$8223</f>
        <v>111.171125554384</v>
      </c>
      <c r="J8247" s="38" t="n">
        <f aca="false">Sens!$J$8223</f>
        <v>144.884406220971</v>
      </c>
      <c r="K8247" s="38" t="n">
        <f aca="false">Sens!$K$8223</f>
        <v>178.806419437999</v>
      </c>
      <c r="L8247" s="38" t="n">
        <f aca="false">Sens!$L$8223</f>
        <v>204.341339029663</v>
      </c>
      <c r="M8247" s="38" t="n">
        <f aca="false">Sens!$M$8223</f>
        <v>223.130577995387</v>
      </c>
    </row>
    <row r="8248" customFormat="false" ht="15" hidden="false" customHeight="false" outlineLevel="0" collapsed="false">
      <c r="A8248" s="5" t="s">
        <v>785</v>
      </c>
      <c r="B8248" s="0" t="s">
        <v>86</v>
      </c>
      <c r="C8248" s="38" t="n">
        <f aca="false">Q!$D$48</f>
        <v>22.011</v>
      </c>
      <c r="D8248" s="38" t="n">
        <f aca="false">Q!$E$48</f>
        <v>19.467</v>
      </c>
      <c r="E8248" s="38" t="n">
        <f aca="false">Q!$P$48</f>
        <v>10.07</v>
      </c>
      <c r="F8248" s="38" t="n">
        <f aca="false">sbc_r*Sens!$F$8165</f>
        <v>10.8507035798037</v>
      </c>
      <c r="G8248" s="38" t="n">
        <f aca="false">Sens!$E$8248+Sens!$F$8248</f>
        <v>20.9207035798037</v>
      </c>
      <c r="H8248" s="38" t="n">
        <f aca="false">sbc_r*Sens!$H$8165</f>
        <v>23.46224366345</v>
      </c>
      <c r="I8248" s="38" t="n">
        <f aca="false">sbc_r*Sens!$I$8165</f>
        <v>26.6125957111676</v>
      </c>
      <c r="J8248" s="38" t="n">
        <f aca="false">sbc_r*Sens!$J$8165</f>
        <v>29.6280801413323</v>
      </c>
      <c r="K8248" s="38" t="n">
        <f aca="false">sbc_r*Sens!$K$8165</f>
        <v>32.2712258901105</v>
      </c>
      <c r="L8248" s="38" t="n">
        <f aca="false">sbc_r*Sens!$L$8165</f>
        <v>34.7390505016737</v>
      </c>
      <c r="M8248" s="38" t="n">
        <f aca="false">sbc_r*Sens!$M$8165</f>
        <v>37.0405146906692</v>
      </c>
    </row>
    <row r="8249" customFormat="false" ht="17.15" hidden="false" customHeight="false" outlineLevel="0" collapsed="false">
      <c r="A8249" s="5" t="s">
        <v>786</v>
      </c>
      <c r="B8249" s="0" t="s">
        <v>86</v>
      </c>
      <c r="C8249" s="38" t="n">
        <f aca="false">Q!$D$44-Sens!$C$8246-Sens!$C$8247-Sens!$C$8248</f>
        <v>2.551</v>
      </c>
      <c r="D8249" s="38" t="n">
        <f aca="false">Q!$E$44-Sens!$D$8246-Sens!$D$8247-Sens!$D$8248</f>
        <v>0.51700000000001</v>
      </c>
      <c r="E8249" s="38" t="n">
        <f aca="false">Q!$P$44-Sens!$E$8246-Sens!$E$8247-Sens!$E$8248</f>
        <v>-58.256</v>
      </c>
      <c r="F8249" s="38" t="n">
        <f aca="false">oth_r*Sens!$F$8165</f>
        <v>5.22265251035878</v>
      </c>
      <c r="G8249" s="38" t="n">
        <f aca="false">Sens!$E$8249+Sens!$F$8249</f>
        <v>-53.0333474896412</v>
      </c>
      <c r="H8249" s="38" t="n">
        <f aca="false">oth_r*Sens!$H$8165</f>
        <v>11.2928295263397</v>
      </c>
      <c r="I8249" s="38" t="n">
        <f aca="false">oth_r*Sens!$I$8165</f>
        <v>12.8091546115766</v>
      </c>
      <c r="J8249" s="38" t="n">
        <f aca="false">oth_r*Sens!$J$8165</f>
        <v>14.2605653162668</v>
      </c>
      <c r="K8249" s="38" t="n">
        <f aca="false">oth_r*Sens!$K$8165</f>
        <v>15.5327622460396</v>
      </c>
      <c r="L8249" s="38" t="n">
        <f aca="false">oth_r*Sens!$L$8165</f>
        <v>16.720573737517</v>
      </c>
      <c r="M8249" s="38" t="n">
        <f aca="false">oth_r*Sens!$M$8165</f>
        <v>17.8283127551536</v>
      </c>
      <c r="P8249" s="8" t="s">
        <v>787</v>
      </c>
    </row>
    <row r="8250" customFormat="false" ht="15" hidden="false" customHeight="false" outlineLevel="0" collapsed="false">
      <c r="A8250" s="3" t="s">
        <v>555</v>
      </c>
      <c r="B8250" s="8" t="s">
        <v>86</v>
      </c>
      <c r="C8250" s="38" t="n">
        <f aca="false">Q!$D$44</f>
        <v>115.877</v>
      </c>
      <c r="D8250" s="38" t="n">
        <f aca="false">Q!$E$44</f>
        <v>139.514</v>
      </c>
      <c r="E8250" s="38" t="n">
        <f aca="false">Q!$P$44</f>
        <v>71.419</v>
      </c>
      <c r="F8250" s="38" t="n">
        <f aca="false">Sens!$F$8246+Sens!$F$8247+Sens!$F$8248+Sens!$F$8249</f>
        <v>90.5858811434053</v>
      </c>
      <c r="G8250" s="38" t="n">
        <f aca="false">Sens!$E$8250+Sens!$F$8250</f>
        <v>162.004881143405</v>
      </c>
      <c r="H8250" s="38" t="n">
        <f aca="false">Sens!$H$8246+Sens!$H$8247+Sens!$H$8248+Sens!$H$8249</f>
        <v>218.627748477837</v>
      </c>
      <c r="I8250" s="38" t="n">
        <f aca="false">Sens!$I$8246+Sens!$I$8247+Sens!$I$8248+Sens!$I$8249</f>
        <v>270.47268086336</v>
      </c>
      <c r="J8250" s="38" t="n">
        <f aca="false">Sens!$J$8246+Sens!$J$8247+Sens!$J$8248+Sens!$J$8249</f>
        <v>322.901148792662</v>
      </c>
      <c r="K8250" s="38" t="n">
        <f aca="false">Sens!$K$8246+Sens!$K$8247+Sens!$K$8248+Sens!$K$8249</f>
        <v>371.076979153043</v>
      </c>
      <c r="L8250" s="38" t="n">
        <f aca="false">Sens!$L$8246+Sens!$L$8247+Sens!$L$8248+Sens!$L$8249</f>
        <v>413.315288332076</v>
      </c>
      <c r="M8250" s="38" t="n">
        <f aca="false">Sens!$M$8246+Sens!$M$8247+Sens!$M$8248+Sens!$M$8249</f>
        <v>449.97232363371</v>
      </c>
    </row>
    <row r="8251" customFormat="false" ht="17.15" hidden="false" customHeight="false" outlineLevel="0" collapsed="false">
      <c r="A8251" s="5" t="s">
        <v>788</v>
      </c>
      <c r="B8251" s="0" t="s">
        <v>86</v>
      </c>
      <c r="C8251" s="38" t="n">
        <f aca="false">Sens!$C$8132</f>
        <v>25.2781053077374</v>
      </c>
      <c r="D8251" s="38" t="n">
        <f aca="false">Sens!$D$8132</f>
        <v>69.5686316310026</v>
      </c>
      <c r="E8251" s="38" t="n">
        <f aca="false">Sens!$E$8132</f>
        <v>64.1899206485108</v>
      </c>
      <c r="F8251" s="38" t="n">
        <f aca="false">Sens!$F$8132</f>
        <v>96.2481299895</v>
      </c>
      <c r="G8251" s="38" t="n">
        <f aca="false">Sens!$G$8132</f>
        <v>160.438050638011</v>
      </c>
      <c r="H8251" s="38" t="n">
        <f aca="false">Sens!$H$8132</f>
        <v>198.57136494475</v>
      </c>
      <c r="I8251" s="38" t="n">
        <f aca="false">Sens!$I$8132</f>
        <v>204.6464699105</v>
      </c>
      <c r="J8251" s="38" t="n">
        <f aca="false">Sens!$J$8132</f>
        <v>209.8832381105</v>
      </c>
      <c r="K8251" s="38" t="n">
        <f aca="false">Sens!$K$8132</f>
        <v>155.238385275201</v>
      </c>
      <c r="L8251" s="38" t="n">
        <f aca="false">Sens!$L$8132</f>
        <v>132.014141639902</v>
      </c>
      <c r="M8251" s="38" t="n">
        <f aca="false">Sens!$M$8132</f>
        <v>132.230981659852</v>
      </c>
    </row>
    <row r="8252" customFormat="false" ht="17.15" hidden="false" customHeight="false" outlineLevel="0" collapsed="false">
      <c r="A8252" s="5" t="s">
        <v>789</v>
      </c>
      <c r="B8252" s="0" t="s">
        <v>86</v>
      </c>
      <c r="C8252" s="38" t="n">
        <f aca="false">cx_awso*Sens!$C$8163</f>
        <v>21.0469989286053</v>
      </c>
      <c r="D8252" s="38" t="n">
        <f aca="false">cx_awso*Sens!$D$8163</f>
        <v>24.0042459822698</v>
      </c>
      <c r="E8252" s="38" t="n">
        <f aca="false">cx_awso*Sens!$E$8163</f>
        <v>14.261729404886</v>
      </c>
      <c r="F8252" s="38" t="n">
        <f aca="false">cx_awso*Sens!$F$8163</f>
        <v>14.3538599588493</v>
      </c>
      <c r="G8252" s="38" t="n">
        <f aca="false">Sens!$E$8252+Sens!$F$8252</f>
        <v>28.6155893637353</v>
      </c>
      <c r="H8252" s="38" t="n">
        <f aca="false">cx_awso*Sens!$H$8163</f>
        <v>32.2034154158406</v>
      </c>
      <c r="I8252" s="38" t="n">
        <f aca="false">cx_awso*Sens!$I$8163</f>
        <v>35.7539519042915</v>
      </c>
      <c r="J8252" s="38" t="n">
        <f aca="false">cx_awso*Sens!$J$8163</f>
        <v>39.1551076091815</v>
      </c>
      <c r="K8252" s="38" t="n">
        <f aca="false">cx_awso*Sens!$K$8163</f>
        <v>42.287516217916</v>
      </c>
      <c r="L8252" s="38" t="n">
        <f aca="false">cx_awso*Sens!$L$8163</f>
        <v>45.6705175153492</v>
      </c>
      <c r="M8252" s="38" t="n">
        <f aca="false">cx_awso*Sens!$M$8163</f>
        <v>49.3241589165772</v>
      </c>
    </row>
    <row r="8253" customFormat="false" ht="17.15" hidden="false" customHeight="false" outlineLevel="0" collapsed="false">
      <c r="A8253" s="5" t="s">
        <v>790</v>
      </c>
      <c r="B8253" s="0" t="s">
        <v>86</v>
      </c>
      <c r="C8253" s="38" t="n">
        <f aca="false">Q!$D$46-Sens!$C$8251-Sens!$C$8252</f>
        <v>31.3328957636573</v>
      </c>
      <c r="D8253" s="38" t="n">
        <f aca="false">Q!$E$46-Sens!$D$8251-Sens!$D$8252</f>
        <v>34.7471223867276</v>
      </c>
      <c r="E8253" s="38" t="n">
        <f aca="false">Q!$P$46-Sens!$E$8251-Sens!$E$8252</f>
        <v>17.8583499466032</v>
      </c>
      <c r="F8253" s="38" t="n">
        <f aca="false">cx_rt*Sens!$F$8095</f>
        <v>20.6195895799373</v>
      </c>
      <c r="G8253" s="38" t="n">
        <f aca="false">Sens!$E$8253+Sens!$F$8253</f>
        <v>38.4779395265405</v>
      </c>
      <c r="H8253" s="38" t="n">
        <f aca="false">cx_rt*Sens!$H$8095</f>
        <v>42.5978994743075</v>
      </c>
      <c r="I8253" s="38" t="n">
        <f aca="false">cx_rt*Sens!$I$8095</f>
        <v>46.5813904136335</v>
      </c>
      <c r="J8253" s="38" t="n">
        <f aca="false">cx_rt*Sens!$J$8095</f>
        <v>50.2781676586844</v>
      </c>
      <c r="K8253" s="38" t="n">
        <f aca="false">cx_rt*Sens!$K$8095</f>
        <v>53.5312440191755</v>
      </c>
      <c r="L8253" s="38" t="n">
        <f aca="false">cx_rt*Sens!$L$8095</f>
        <v>57.0116717051447</v>
      </c>
      <c r="M8253" s="38" t="n">
        <f aca="false">cx_rt*Sens!$M$8095</f>
        <v>60.7365554669226</v>
      </c>
    </row>
    <row r="8254" customFormat="false" ht="15" hidden="false" customHeight="false" outlineLevel="0" collapsed="false">
      <c r="A8254" s="3" t="s">
        <v>791</v>
      </c>
      <c r="B8254" s="8" t="s">
        <v>86</v>
      </c>
      <c r="C8254" s="38" t="n">
        <f aca="false">Q!$D$46</f>
        <v>77.658</v>
      </c>
      <c r="D8254" s="38" t="n">
        <f aca="false">Q!$E$46</f>
        <v>128.32</v>
      </c>
      <c r="E8254" s="38" t="n">
        <f aca="false">Q!$P$46</f>
        <v>96.31</v>
      </c>
      <c r="F8254" s="38" t="n">
        <f aca="false">Sens!$F$8251+Sens!$F$8252+Sens!$F$8253</f>
        <v>131.221579528287</v>
      </c>
      <c r="G8254" s="38" t="n">
        <f aca="false">Sens!$E$8254+Sens!$F$8254</f>
        <v>227.531579528287</v>
      </c>
      <c r="H8254" s="38" t="n">
        <f aca="false">Sens!$H$8251+Sens!$H$8252+Sens!$H$8253</f>
        <v>273.372679834898</v>
      </c>
      <c r="I8254" s="38" t="n">
        <f aca="false">Sens!$I$8251+Sens!$I$8252+Sens!$I$8253</f>
        <v>286.981812228425</v>
      </c>
      <c r="J8254" s="38" t="n">
        <f aca="false">Sens!$J$8251+Sens!$J$8252+Sens!$J$8253</f>
        <v>299.316513378366</v>
      </c>
      <c r="K8254" s="38" t="n">
        <f aca="false">Sens!$K$8251+Sens!$K$8252+Sens!$K$8253</f>
        <v>251.057145512292</v>
      </c>
      <c r="L8254" s="38" t="n">
        <f aca="false">Sens!$L$8251+Sens!$L$8252+Sens!$L$8253</f>
        <v>234.696330860396</v>
      </c>
      <c r="M8254" s="38" t="n">
        <f aca="false">Sens!$M$8251+Sens!$M$8252+Sens!$M$8253</f>
        <v>242.291696043352</v>
      </c>
    </row>
    <row r="8255" customFormat="false" ht="17.15" hidden="false" customHeight="false" outlineLevel="0" collapsed="false">
      <c r="A8255" s="5" t="s">
        <v>563</v>
      </c>
      <c r="B8255" s="0" t="s">
        <v>86</v>
      </c>
      <c r="C8255" s="38" t="n">
        <f aca="false">Q!$D$50</f>
        <v>2.043</v>
      </c>
      <c r="D8255" s="38" t="n">
        <f aca="false">Q!$E$50</f>
        <v>1.557</v>
      </c>
      <c r="E8255" s="38" t="n">
        <f aca="false">lease_pr/2</f>
        <v>0.8</v>
      </c>
      <c r="F8255" s="38" t="n">
        <f aca="false">lease_pr/2</f>
        <v>0.8</v>
      </c>
      <c r="G8255" s="38" t="n">
        <f aca="false">Sens!$E$8255+Sens!$F$8255</f>
        <v>1.6</v>
      </c>
      <c r="H8255" s="38" t="n">
        <f aca="false">lease_pr</f>
        <v>1.6</v>
      </c>
      <c r="I8255" s="38" t="n">
        <f aca="false">lease_pr</f>
        <v>1.6</v>
      </c>
      <c r="J8255" s="38" t="n">
        <f aca="false">lease_pr</f>
        <v>1.6</v>
      </c>
      <c r="K8255" s="38" t="n">
        <f aca="false">lease_pr</f>
        <v>1.6</v>
      </c>
      <c r="L8255" s="38" t="n">
        <f aca="false">lease_pr</f>
        <v>1.6</v>
      </c>
      <c r="M8255" s="38" t="n">
        <f aca="false">lease_pr</f>
        <v>1.6</v>
      </c>
      <c r="P8255" s="8" t="s">
        <v>792</v>
      </c>
    </row>
    <row r="8256" customFormat="false" ht="15" hidden="false" customHeight="false" outlineLevel="0" collapsed="false">
      <c r="A8256" s="47" t="s">
        <v>793</v>
      </c>
      <c r="B8256" s="14" t="s">
        <v>86</v>
      </c>
      <c r="C8256" s="48" t="n">
        <f aca="false">Sens!$C$8250-Sens!$C$8254-Sens!$C$8255</f>
        <v>36.176</v>
      </c>
      <c r="D8256" s="48" t="n">
        <f aca="false">Sens!$D$8250-Sens!$D$8254-Sens!$D$8255</f>
        <v>9.63700000000002</v>
      </c>
      <c r="E8256" s="48" t="n">
        <f aca="false">Sens!$E$8250-Sens!$E$8254-Sens!$E$8255</f>
        <v>-25.691</v>
      </c>
      <c r="F8256" s="48" t="n">
        <f aca="false">Sens!$F$8250-Sens!$F$8254-Sens!$F$8255</f>
        <v>-41.4356983848813</v>
      </c>
      <c r="G8256" s="48" t="n">
        <f aca="false">Sens!$G$8250-Sens!$G$8254-Sens!$G$8255</f>
        <v>-67.1266983848813</v>
      </c>
      <c r="H8256" s="48" t="n">
        <f aca="false">Sens!$H$8250-Sens!$H$8254-Sens!$H$8255</f>
        <v>-56.3449313570613</v>
      </c>
      <c r="I8256" s="48" t="n">
        <f aca="false">Sens!$I$8250-Sens!$I$8254-Sens!$I$8255</f>
        <v>-18.1091313650653</v>
      </c>
      <c r="J8256" s="48" t="n">
        <f aca="false">Sens!$J$8250-Sens!$J$8254-Sens!$J$8255</f>
        <v>21.9846354142961</v>
      </c>
      <c r="K8256" s="48" t="n">
        <f aca="false">Sens!$K$8250-Sens!$K$8254-Sens!$K$8255</f>
        <v>118.41983364075</v>
      </c>
      <c r="L8256" s="48" t="n">
        <f aca="false">Sens!$L$8250-Sens!$L$8254-Sens!$L$8255</f>
        <v>177.018957471681</v>
      </c>
      <c r="M8256" s="48" t="n">
        <f aca="false">Sens!$M$8250-Sens!$M$8254-Sens!$M$8255</f>
        <v>206.080627590357</v>
      </c>
      <c r="N8256" s="14"/>
      <c r="O8256" s="14"/>
    </row>
    <row r="8257" customFormat="false" ht="17.15" hidden="false" customHeight="false" outlineLevel="0" collapsed="false">
      <c r="A8257" s="5" t="s">
        <v>794</v>
      </c>
      <c r="B8257" s="0" t="s">
        <v>86</v>
      </c>
      <c r="C8257" s="38" t="n">
        <f aca="false">dps*Sens!$C$8236</f>
        <v>0</v>
      </c>
      <c r="D8257" s="38" t="n">
        <f aca="false">dps*Sens!$D$8236</f>
        <v>0</v>
      </c>
      <c r="E8257" s="38" t="n">
        <f aca="false">dps*Sens!$E$8236</f>
        <v>0</v>
      </c>
      <c r="F8257" s="38" t="n">
        <f aca="false">0</f>
        <v>0</v>
      </c>
      <c r="G8257" s="38" t="n">
        <f aca="false">dps*Sens!$G$8236</f>
        <v>0</v>
      </c>
      <c r="H8257" s="38" t="n">
        <f aca="false">dps*Sens!$H$8236</f>
        <v>0</v>
      </c>
      <c r="I8257" s="38" t="n">
        <f aca="false">dps*Sens!$I$8236</f>
        <v>0</v>
      </c>
      <c r="J8257" s="38" t="n">
        <f aca="false">dps*Sens!$J$8236</f>
        <v>0</v>
      </c>
      <c r="K8257" s="38" t="n">
        <f aca="false">dps*Sens!$K$8236</f>
        <v>0</v>
      </c>
      <c r="L8257" s="38" t="n">
        <f aca="false">dps*Sens!$L$8236</f>
        <v>0</v>
      </c>
      <c r="M8257" s="38" t="n">
        <f aca="false">dps*Sens!$M$8236</f>
        <v>0</v>
      </c>
      <c r="P8257" s="8" t="s">
        <v>795</v>
      </c>
    </row>
    <row r="8258" customFormat="false" ht="17.15" hidden="false" customHeight="false" outlineLevel="0" collapsed="false">
      <c r="A8258" s="5" t="s">
        <v>796</v>
      </c>
      <c r="B8258" s="0" t="s">
        <v>86</v>
      </c>
      <c r="C8258" s="38" t="n">
        <f aca="false">0</f>
        <v>0</v>
      </c>
      <c r="D8258" s="38" t="n">
        <f aca="false">0</f>
        <v>0</v>
      </c>
      <c r="E8258" s="38" t="n">
        <f aca="false">0</f>
        <v>0</v>
      </c>
      <c r="F8258" s="38" t="n">
        <f aca="false">0</f>
        <v>0</v>
      </c>
      <c r="G8258" s="38" t="n">
        <f aca="false">0</f>
        <v>0</v>
      </c>
      <c r="H8258" s="38" t="n">
        <f aca="false">0</f>
        <v>0</v>
      </c>
      <c r="I8258" s="38" t="n">
        <f aca="false">0</f>
        <v>0</v>
      </c>
      <c r="J8258" s="38" t="n">
        <f aca="false">0</f>
        <v>0</v>
      </c>
      <c r="K8258" s="38" t="n">
        <f aca="false">0</f>
        <v>0</v>
      </c>
      <c r="L8258" s="38" t="n">
        <f aca="false">0</f>
        <v>0</v>
      </c>
      <c r="M8258" s="38" t="n">
        <f aca="false">0</f>
        <v>0</v>
      </c>
      <c r="P8258" s="8" t="s">
        <v>797</v>
      </c>
    </row>
    <row r="8259" customFormat="false" ht="15" hidden="false" customHeight="false" outlineLevel="0" collapsed="false">
      <c r="A8259" s="3" t="s">
        <v>798</v>
      </c>
      <c r="B8259" s="8" t="s">
        <v>86</v>
      </c>
      <c r="C8259" s="38" t="n">
        <f aca="false">Sens!$C$8256-Sens!$C$8257</f>
        <v>36.176</v>
      </c>
      <c r="D8259" s="38" t="n">
        <f aca="false">Sens!$D$8256-Sens!$D$8257</f>
        <v>9.63700000000002</v>
      </c>
      <c r="E8259" s="38" t="n">
        <f aca="false">Sens!$E$8256-Sens!$E$8257</f>
        <v>-25.691</v>
      </c>
      <c r="F8259" s="38" t="n">
        <f aca="false">Sens!$F$8256-Sens!$F$8257</f>
        <v>-41.4356983848813</v>
      </c>
      <c r="G8259" s="38" t="n">
        <f aca="false">Sens!$G$8256-Sens!$G$8257</f>
        <v>-67.1266983848813</v>
      </c>
      <c r="H8259" s="38" t="n">
        <f aca="false">Sens!$H$8256-Sens!$H$8257</f>
        <v>-56.3449313570613</v>
      </c>
      <c r="I8259" s="38" t="n">
        <f aca="false">Sens!$I$8256-Sens!$I$8257</f>
        <v>-18.1091313650653</v>
      </c>
      <c r="J8259" s="38" t="n">
        <f aca="false">Sens!$J$8256-Sens!$J$8257</f>
        <v>21.9846354142961</v>
      </c>
      <c r="K8259" s="38" t="n">
        <f aca="false">Sens!$K$8256-Sens!$K$8257</f>
        <v>118.41983364075</v>
      </c>
      <c r="L8259" s="38" t="n">
        <f aca="false">Sens!$L$8256-Sens!$L$8257</f>
        <v>177.018957471681</v>
      </c>
      <c r="M8259" s="38" t="n">
        <f aca="false">Sens!$M$8256-Sens!$M$8257</f>
        <v>206.080627590357</v>
      </c>
    </row>
    <row r="8260" customFormat="false" ht="17.15" hidden="false" customHeight="false" outlineLevel="0" collapsed="false">
      <c r="A8260" s="5" t="s">
        <v>799</v>
      </c>
      <c r="B8260" s="0" t="s">
        <v>86</v>
      </c>
      <c r="E8260" s="38" t="n">
        <f aca="false">Q!$P$53</f>
        <v>39.767</v>
      </c>
      <c r="F8260" s="38" t="n">
        <f aca="false">inv_2h26</f>
        <v>21.3</v>
      </c>
      <c r="G8260" s="38" t="n">
        <f aca="false">Sens!$E$8260+Sens!$F$8260</f>
        <v>61.067</v>
      </c>
      <c r="H8260" s="39" t="n">
        <v>0</v>
      </c>
      <c r="I8260" s="39" t="n">
        <v>0</v>
      </c>
      <c r="J8260" s="39" t="n">
        <v>0</v>
      </c>
      <c r="K8260" s="39" t="n">
        <v>0</v>
      </c>
      <c r="L8260" s="39" t="n">
        <v>0</v>
      </c>
      <c r="M8260" s="39" t="n">
        <v>0</v>
      </c>
    </row>
    <row r="8261" customFormat="false" ht="17.15" hidden="false" customHeight="false" outlineLevel="0" collapsed="false">
      <c r="A8261" s="5" t="s">
        <v>800</v>
      </c>
      <c r="B8261" s="0" t="s">
        <v>86</v>
      </c>
      <c r="F8261" s="38" t="n">
        <f aca="false">iss_2h26</f>
        <v>29.249999</v>
      </c>
      <c r="G8261" s="38" t="n">
        <f aca="false">Sens!$F$8261</f>
        <v>29.249999</v>
      </c>
      <c r="H8261" s="39" t="n">
        <v>0</v>
      </c>
      <c r="I8261" s="39" t="n">
        <v>0</v>
      </c>
      <c r="J8261" s="39" t="n">
        <v>0</v>
      </c>
      <c r="K8261" s="39" t="n">
        <v>0</v>
      </c>
      <c r="L8261" s="39" t="n">
        <v>0</v>
      </c>
      <c r="M8261" s="39" t="n">
        <v>0</v>
      </c>
    </row>
    <row r="8262" customFormat="false" ht="17.15" hidden="false" customHeight="false" outlineLevel="0" collapsed="false">
      <c r="A8262" s="5" t="s">
        <v>801</v>
      </c>
      <c r="B8262" s="0" t="s">
        <v>86</v>
      </c>
      <c r="F8262" s="38" t="n">
        <f aca="false">cash_q2</f>
        <v>122.988</v>
      </c>
      <c r="G8262" s="38" t="n">
        <f aca="false">cash_q2</f>
        <v>122.988</v>
      </c>
      <c r="H8262" s="38" t="n">
        <f aca="false">Sens!$G$8265</f>
        <v>89.5023006151187</v>
      </c>
      <c r="I8262" s="38" t="n">
        <f aca="false">Sens!$H$8265</f>
        <v>50</v>
      </c>
      <c r="J8262" s="38" t="n">
        <f aca="false">Sens!$I$8265</f>
        <v>50</v>
      </c>
      <c r="K8262" s="38" t="n">
        <f aca="false">Sens!$J$8265</f>
        <v>71.9846354142962</v>
      </c>
      <c r="L8262" s="38" t="n">
        <f aca="false">Sens!$K$8265</f>
        <v>190.404469055046</v>
      </c>
      <c r="M8262" s="38" t="n">
        <f aca="false">Sens!$L$8265</f>
        <v>367.423426526727</v>
      </c>
    </row>
    <row r="8263" customFormat="false" ht="15" hidden="false" customHeight="false" outlineLevel="0" collapsed="false">
      <c r="A8263" s="5" t="s">
        <v>802</v>
      </c>
      <c r="B8263" s="0" t="s">
        <v>86</v>
      </c>
      <c r="F8263" s="38" t="n">
        <f aca="false">Sens!$F$8262+Sens!$F$8259-Sens!$F$8258-Sens!$F$8260+Sens!$F$8261</f>
        <v>89.5023006151187</v>
      </c>
      <c r="H8263" s="38" t="n">
        <f aca="false">Sens!$H$8262+Sens!$H$8259-Sens!$H$8258-Sens!$H$8260+Sens!$H$8261</f>
        <v>33.1573692580575</v>
      </c>
      <c r="I8263" s="38" t="n">
        <f aca="false">Sens!$I$8262+Sens!$I$8259-Sens!$I$8258-Sens!$I$8260+Sens!$I$8261</f>
        <v>31.8908686349347</v>
      </c>
      <c r="J8263" s="38" t="n">
        <f aca="false">Sens!$J$8262+Sens!$J$8259-Sens!$J$8258-Sens!$J$8260+Sens!$J$8261</f>
        <v>71.9846354142962</v>
      </c>
      <c r="K8263" s="38" t="n">
        <f aca="false">Sens!$K$8262+Sens!$K$8259-Sens!$K$8258-Sens!$K$8260+Sens!$K$8261</f>
        <v>190.404469055046</v>
      </c>
      <c r="L8263" s="38" t="n">
        <f aca="false">Sens!$L$8262+Sens!$L$8259-Sens!$L$8258-Sens!$L$8260+Sens!$L$8261</f>
        <v>367.423426526727</v>
      </c>
      <c r="M8263" s="38" t="n">
        <f aca="false">Sens!$M$8262+Sens!$M$8259-Sens!$M$8258-Sens!$M$8260+Sens!$M$8261</f>
        <v>573.504054117085</v>
      </c>
    </row>
    <row r="8264" customFormat="false" ht="17.15" hidden="false" customHeight="false" outlineLevel="0" collapsed="false">
      <c r="A8264" s="5" t="s">
        <v>803</v>
      </c>
      <c r="B8264" s="0" t="s">
        <v>86</v>
      </c>
      <c r="F8264" s="38" t="n">
        <f aca="false">MAX(0,min_cash-Sens!$F$8263)</f>
        <v>0</v>
      </c>
      <c r="G8264" s="38" t="n">
        <f aca="false">Sens!$F$8264</f>
        <v>0</v>
      </c>
      <c r="H8264" s="38" t="n">
        <f aca="false">MAX(0,min_cash-Sens!$H$8263)</f>
        <v>16.8426307419426</v>
      </c>
      <c r="I8264" s="38" t="n">
        <f aca="false">MAX(0,min_cash-Sens!$I$8263)</f>
        <v>18.1091313650653</v>
      </c>
      <c r="J8264" s="38" t="n">
        <f aca="false">MAX(0,min_cash-Sens!$J$8263)</f>
        <v>0</v>
      </c>
      <c r="K8264" s="38" t="n">
        <f aca="false">MAX(0,min_cash-Sens!$K$8263)</f>
        <v>0</v>
      </c>
      <c r="L8264" s="38" t="n">
        <f aca="false">MAX(0,min_cash-Sens!$L$8263)</f>
        <v>0</v>
      </c>
      <c r="M8264" s="38" t="n">
        <f aca="false">MAX(0,min_cash-Sens!$M$8263)</f>
        <v>0</v>
      </c>
      <c r="P8264" s="5" t="s">
        <v>804</v>
      </c>
    </row>
    <row r="8265" customFormat="false" ht="15" hidden="false" customHeight="false" outlineLevel="0" collapsed="false">
      <c r="A8265" s="5" t="s">
        <v>805</v>
      </c>
      <c r="B8265" s="0" t="s">
        <v>86</v>
      </c>
      <c r="D8265" s="38" t="n">
        <f aca="false">Q!$E$61</f>
        <v>123.029</v>
      </c>
      <c r="E8265" s="38" t="n">
        <f aca="false">Q!$M$61</f>
        <v>122.988</v>
      </c>
      <c r="F8265" s="38" t="n">
        <f aca="false">Sens!$F$8263+Sens!$F$8264</f>
        <v>89.5023006151187</v>
      </c>
      <c r="G8265" s="38" t="n">
        <f aca="false">Sens!$F$8265</f>
        <v>89.5023006151187</v>
      </c>
      <c r="H8265" s="38" t="n">
        <f aca="false">Sens!$H$8263+Sens!$H$8264</f>
        <v>50</v>
      </c>
      <c r="I8265" s="38" t="n">
        <f aca="false">Sens!$I$8263+Sens!$I$8264</f>
        <v>50</v>
      </c>
      <c r="J8265" s="38" t="n">
        <f aca="false">Sens!$J$8263+Sens!$J$8264</f>
        <v>71.9846354142962</v>
      </c>
      <c r="K8265" s="38" t="n">
        <f aca="false">Sens!$K$8263+Sens!$K$8264</f>
        <v>190.404469055046</v>
      </c>
      <c r="L8265" s="38" t="n">
        <f aca="false">Sens!$L$8263+Sens!$L$8264</f>
        <v>367.423426526727</v>
      </c>
      <c r="M8265" s="38" t="n">
        <f aca="false">Sens!$M$8263+Sens!$M$8264</f>
        <v>573.504054117085</v>
      </c>
    </row>
    <row r="8266" customFormat="false" ht="15" hidden="false" customHeight="false" outlineLevel="0" collapsed="false">
      <c r="A8266" s="5" t="s">
        <v>806</v>
      </c>
      <c r="B8266" s="0" t="s">
        <v>86</v>
      </c>
      <c r="D8266" s="38" t="n">
        <f aca="false">Q!$E$62</f>
        <v>68.836</v>
      </c>
      <c r="E8266" s="38" t="n">
        <f aca="false">Q!$M$62</f>
        <v>132.995</v>
      </c>
      <c r="F8266" s="38" t="n">
        <f aca="false">debt_q2+Sens!$F$8261+Sens!$F$8264</f>
        <v>162.244999</v>
      </c>
      <c r="G8266" s="38" t="n">
        <f aca="false">Sens!$F$8266</f>
        <v>162.244999</v>
      </c>
      <c r="H8266" s="38" t="n">
        <f aca="false">Sens!$G$8266+Sens!$H$8264</f>
        <v>179.087629741943</v>
      </c>
      <c r="I8266" s="38" t="n">
        <f aca="false">Sens!$H$8266+Sens!$I$8264</f>
        <v>197.196761107008</v>
      </c>
      <c r="J8266" s="38" t="n">
        <f aca="false">Sens!$I$8266+Sens!$J$8264</f>
        <v>197.196761107008</v>
      </c>
      <c r="K8266" s="38" t="n">
        <f aca="false">Sens!$J$8266+Sens!$K$8264</f>
        <v>197.196761107008</v>
      </c>
      <c r="L8266" s="38" t="n">
        <f aca="false">Sens!$K$8266+Sens!$L$8264</f>
        <v>197.196761107008</v>
      </c>
      <c r="M8266" s="38" t="n">
        <f aca="false">Sens!$L$8266+Sens!$M$8264</f>
        <v>197.196761107008</v>
      </c>
    </row>
    <row r="8267" customFormat="false" ht="15" hidden="false" customHeight="false" outlineLevel="0" collapsed="false">
      <c r="A8267" s="5" t="s">
        <v>807</v>
      </c>
      <c r="B8267" s="0" t="s">
        <v>86</v>
      </c>
      <c r="D8267" s="38" t="n">
        <f aca="false">Sens!$D$8266-Sens!$D$8265</f>
        <v>-54.193</v>
      </c>
      <c r="E8267" s="38" t="n">
        <f aca="false">Sens!$E$8266-Sens!$E$8265</f>
        <v>10.007</v>
      </c>
      <c r="F8267" s="38" t="n">
        <f aca="false">Sens!$F$8266-Sens!$F$8265</f>
        <v>72.7426983848813</v>
      </c>
      <c r="G8267" s="38" t="n">
        <f aca="false">Sens!$G$8266-Sens!$G$8265</f>
        <v>72.7426983848813</v>
      </c>
      <c r="H8267" s="38" t="n">
        <f aca="false">Sens!$H$8266-Sens!$H$8265</f>
        <v>129.087629741943</v>
      </c>
      <c r="I8267" s="38" t="n">
        <f aca="false">Sens!$I$8266-Sens!$I$8265</f>
        <v>147.196761107008</v>
      </c>
      <c r="J8267" s="38" t="n">
        <f aca="false">Sens!$J$8266-Sens!$J$8265</f>
        <v>125.212125692712</v>
      </c>
      <c r="K8267" s="38" t="n">
        <f aca="false">Sens!$K$8266-Sens!$K$8265</f>
        <v>6.79229205196145</v>
      </c>
      <c r="L8267" s="38" t="n">
        <f aca="false">Sens!$L$8266-Sens!$L$8265</f>
        <v>-170.226665419719</v>
      </c>
      <c r="M8267" s="38" t="n">
        <f aca="false">Sens!$M$8266-Sens!$M$8265</f>
        <v>-376.307293010077</v>
      </c>
    </row>
    <row r="8268" customFormat="false" ht="17.15" hidden="false" customHeight="false" outlineLevel="0" collapsed="false">
      <c r="A8268" s="5" t="s">
        <v>808</v>
      </c>
      <c r="B8268" s="0" t="s">
        <v>86</v>
      </c>
      <c r="F8268" s="38" t="n">
        <f aca="false">debt_q2*kd_book*0.5+iss_2h26*kd_new*iss_t</f>
        <v>3.24888962733561</v>
      </c>
      <c r="H8268" s="38" t="n">
        <f aca="false">debt_q2*kd_book+(Sens!$G$8266-debt_q2)*kd_new</f>
        <v>7.42354172302123</v>
      </c>
      <c r="I8268" s="38" t="n">
        <f aca="false">debt_q2*kd_book+(Sens!$H$8266-debt_q2)*kd_new</f>
        <v>8.48968024898619</v>
      </c>
      <c r="J8268" s="38" t="n">
        <f aca="false">debt_q2*kd_book+(Sens!$I$8266-debt_q2)*kd_new</f>
        <v>9.63598826439483</v>
      </c>
      <c r="K8268" s="38" t="n">
        <f aca="false">debt_q2*kd_book+(Sens!$J$8266-debt_q2)*kd_new</f>
        <v>9.63598826439483</v>
      </c>
      <c r="L8268" s="38" t="n">
        <f aca="false">debt_q2*kd_book+(Sens!$K$8266-debt_q2)*kd_new</f>
        <v>9.63598826439483</v>
      </c>
      <c r="M8268" s="38" t="n">
        <f aca="false">debt_q2*kd_book+(Sens!$L$8266-debt_q2)*kd_new</f>
        <v>9.63598826439483</v>
      </c>
    </row>
    <row r="8269" customFormat="false" ht="17.15" hidden="false" customHeight="false" outlineLevel="0" collapsed="false">
      <c r="A8269" s="5" t="s">
        <v>809</v>
      </c>
      <c r="B8269" s="0" t="s">
        <v>86</v>
      </c>
      <c r="F8269" s="38" t="n">
        <f aca="false">cash_q2*y_cash*0.5</f>
        <v>2.59</v>
      </c>
      <c r="H8269" s="38" t="n">
        <f aca="false">Sens!$G$8265*y_cash</f>
        <v>3.76965165045626</v>
      </c>
      <c r="I8269" s="38" t="n">
        <f aca="false">Sens!$H$8265*y_cash</f>
        <v>2.10589651022864</v>
      </c>
      <c r="J8269" s="38" t="n">
        <f aca="false">Sens!$I$8265*y_cash</f>
        <v>2.10589651022864</v>
      </c>
      <c r="K8269" s="38" t="n">
        <f aca="false">Sens!$J$8265*y_cash</f>
        <v>3.03184385018094</v>
      </c>
      <c r="L8269" s="38" t="n">
        <f aca="false">Sens!$K$8265*y_cash</f>
        <v>8.01944213829919</v>
      </c>
      <c r="M8269" s="38" t="n">
        <f aca="false">Sens!$L$8265*y_cash</f>
        <v>15.4751142339777</v>
      </c>
    </row>
    <row r="8270" customFormat="false" ht="17.15" hidden="false" customHeight="false" outlineLevel="0" collapsed="false">
      <c r="A8270" s="47" t="s">
        <v>810</v>
      </c>
      <c r="B8270" s="14" t="s">
        <v>86</v>
      </c>
      <c r="C8270" s="14"/>
      <c r="D8270" s="14"/>
      <c r="E8270" s="14"/>
      <c r="F8270" s="14"/>
      <c r="G8270" s="48" t="n">
        <f aca="false">SUM(Sens!$G$8259:$K$8259)</f>
        <v>-1.17629205196147</v>
      </c>
      <c r="H8270" s="14"/>
      <c r="I8270" s="14"/>
      <c r="J8270" s="14"/>
      <c r="K8270" s="14"/>
      <c r="L8270" s="14"/>
      <c r="M8270" s="14"/>
      <c r="N8270" s="14"/>
      <c r="O8270" s="14"/>
    </row>
    <row r="8271" customFormat="false" ht="17.15" hidden="false" customHeight="false" outlineLevel="0" collapsed="false">
      <c r="A8271" s="0" t="s">
        <v>776</v>
      </c>
      <c r="B8271" s="0" t="s">
        <v>86</v>
      </c>
      <c r="G8271" s="38" t="n">
        <f aca="false">SUM(Sens!$G$8264:$K$8264)</f>
        <v>34.9517621070079</v>
      </c>
    </row>
    <row r="8272" customFormat="false" ht="17.15" hidden="false" customHeight="false" outlineLevel="0" collapsed="false">
      <c r="A8272" s="24" t="s">
        <v>813</v>
      </c>
      <c r="B8272" s="25" t="s">
        <v>86</v>
      </c>
      <c r="C8272" s="25"/>
      <c r="D8272" s="25"/>
      <c r="E8272" s="25"/>
      <c r="F8272" s="25"/>
      <c r="G8272" s="41" t="n">
        <f aca="false">Sens!$G$8270-(Sens!$G$8259+Sens!$H$8259+Sens!$I$8259+Sens!$J$8259+Sens!$K$8259)</f>
        <v>-2.8421709430404E-014</v>
      </c>
      <c r="H8272" s="25"/>
      <c r="I8272" s="25"/>
      <c r="J8272" s="25"/>
      <c r="K8272" s="25"/>
      <c r="L8272" s="25"/>
      <c r="M8272" s="25"/>
      <c r="N8272" s="25"/>
      <c r="O8272" s="25"/>
    </row>
    <row r="8275" customFormat="false" ht="19.4" hidden="false" customHeight="false" outlineLevel="0" collapsed="false">
      <c r="A8275" s="31" t="s">
        <v>1304</v>
      </c>
    </row>
    <row r="8276" customFormat="false" ht="17.15" hidden="false" customHeight="false" outlineLevel="0" collapsed="false">
      <c r="A8276" s="6" t="s">
        <v>16</v>
      </c>
      <c r="B8276" s="6" t="s">
        <v>17</v>
      </c>
      <c r="C8276" s="20" t="s">
        <v>497</v>
      </c>
      <c r="D8276" s="20" t="s">
        <v>498</v>
      </c>
      <c r="E8276" s="20" t="s">
        <v>580</v>
      </c>
      <c r="F8276" s="20" t="s">
        <v>581</v>
      </c>
      <c r="G8276" s="20" t="s">
        <v>582</v>
      </c>
      <c r="H8276" s="20" t="s">
        <v>583</v>
      </c>
      <c r="I8276" s="20" t="s">
        <v>584</v>
      </c>
      <c r="J8276" s="20" t="s">
        <v>585</v>
      </c>
      <c r="K8276" s="20" t="s">
        <v>586</v>
      </c>
      <c r="L8276" s="20" t="s">
        <v>587</v>
      </c>
      <c r="M8276" s="20" t="s">
        <v>588</v>
      </c>
      <c r="N8276" s="20" t="s">
        <v>589</v>
      </c>
      <c r="O8276" s="20" t="s">
        <v>590</v>
      </c>
      <c r="P8276" s="6" t="s">
        <v>23</v>
      </c>
      <c r="R8276" s="20" t="n">
        <v>2023</v>
      </c>
      <c r="S8276" s="20" t="n">
        <v>2024</v>
      </c>
      <c r="T8276" s="20" t="n">
        <v>2025</v>
      </c>
      <c r="U8276" s="20" t="n">
        <v>2026</v>
      </c>
      <c r="V8276" s="20" t="n">
        <v>2027</v>
      </c>
      <c r="W8276" s="20" t="n">
        <v>2028</v>
      </c>
      <c r="X8276" s="20" t="n">
        <v>2029</v>
      </c>
      <c r="Y8276" s="20" t="n">
        <v>2030</v>
      </c>
      <c r="Z8276" s="20" t="n">
        <v>2031</v>
      </c>
      <c r="AA8276" s="20" t="n">
        <v>2032</v>
      </c>
    </row>
    <row r="8277" customFormat="false" ht="17.15" hidden="false" customHeight="false" outlineLevel="0" collapsed="false">
      <c r="A8277" s="1" t="s">
        <v>915</v>
      </c>
    </row>
    <row r="8278" customFormat="false" ht="17.15" hidden="false" customHeight="false" outlineLevel="0" collapsed="false">
      <c r="A8278" s="0" t="s">
        <v>916</v>
      </c>
      <c r="B8278" s="0" t="s">
        <v>86</v>
      </c>
      <c r="H8278" s="38" t="n">
        <f aca="false">Sens!$H$8212*(1-tax)</f>
        <v>121.243762954598</v>
      </c>
      <c r="I8278" s="38" t="n">
        <f aca="false">Sens!$I$8212*(1-tax)</f>
        <v>146.296727721585</v>
      </c>
      <c r="J8278" s="38" t="n">
        <f aca="false">Sens!$J$8212*(1-tax)</f>
        <v>170.140518399982</v>
      </c>
      <c r="K8278" s="38" t="n">
        <f aca="false">Sens!$K$8212*(1-tax)</f>
        <v>187.091644407888</v>
      </c>
      <c r="L8278" s="38" t="n">
        <f aca="false">Sens!$L$8212*(1-tax)</f>
        <v>200.866341135815</v>
      </c>
      <c r="M8278" s="38" t="n">
        <f aca="false">Sens!$M$8212*(1-tax)</f>
        <v>211.476896331068</v>
      </c>
    </row>
    <row r="8279" customFormat="false" ht="15" hidden="false" customHeight="false" outlineLevel="0" collapsed="false">
      <c r="A8279" s="5" t="s">
        <v>917</v>
      </c>
      <c r="B8279" s="0" t="s">
        <v>86</v>
      </c>
      <c r="H8279" s="38" t="n">
        <f aca="false">Sens!$H$8223</f>
        <v>78.1799395827871</v>
      </c>
      <c r="I8279" s="38" t="n">
        <f aca="false">Sens!$I$8223</f>
        <v>111.171125554384</v>
      </c>
      <c r="J8279" s="38" t="n">
        <f aca="false">Sens!$J$8223</f>
        <v>144.884406220971</v>
      </c>
      <c r="K8279" s="38" t="n">
        <f aca="false">Sens!$K$8223</f>
        <v>178.806419437999</v>
      </c>
      <c r="L8279" s="38" t="n">
        <f aca="false">Sens!$L$8223</f>
        <v>204.341339029663</v>
      </c>
      <c r="M8279" s="38" t="n">
        <f aca="false">Sens!$M$8223</f>
        <v>223.130577995387</v>
      </c>
    </row>
    <row r="8280" customFormat="false" ht="15" hidden="false" customHeight="false" outlineLevel="0" collapsed="false">
      <c r="A8280" s="5" t="s">
        <v>918</v>
      </c>
      <c r="B8280" s="0" t="s">
        <v>86</v>
      </c>
      <c r="H8280" s="38" t="n">
        <f aca="false">Sens!$H$8254</f>
        <v>273.372679834898</v>
      </c>
      <c r="I8280" s="38" t="n">
        <f aca="false">Sens!$I$8254</f>
        <v>286.981812228425</v>
      </c>
      <c r="J8280" s="38" t="n">
        <f aca="false">Sens!$J$8254</f>
        <v>299.316513378366</v>
      </c>
      <c r="K8280" s="38" t="n">
        <f aca="false">Sens!$K$8254</f>
        <v>251.057145512292</v>
      </c>
      <c r="L8280" s="38" t="n">
        <f aca="false">Sens!$L$8254</f>
        <v>234.696330860396</v>
      </c>
      <c r="M8280" s="38" t="n">
        <f aca="false">Sens!$M$8254</f>
        <v>242.291696043352</v>
      </c>
    </row>
    <row r="8281" customFormat="false" ht="15" hidden="false" customHeight="false" outlineLevel="0" collapsed="false">
      <c r="A8281" s="5" t="s">
        <v>919</v>
      </c>
      <c r="B8281" s="0" t="s">
        <v>86</v>
      </c>
      <c r="H8281" s="38" t="n">
        <f aca="false">Sens!$H$8255</f>
        <v>1.6</v>
      </c>
      <c r="I8281" s="38" t="n">
        <f aca="false">Sens!$I$8255</f>
        <v>1.6</v>
      </c>
      <c r="J8281" s="38" t="n">
        <f aca="false">Sens!$J$8255</f>
        <v>1.6</v>
      </c>
      <c r="K8281" s="38" t="n">
        <f aca="false">Sens!$K$8255</f>
        <v>1.6</v>
      </c>
      <c r="L8281" s="38" t="n">
        <f aca="false">Sens!$L$8255</f>
        <v>1.6</v>
      </c>
      <c r="M8281" s="38" t="n">
        <f aca="false">Sens!$M$8255</f>
        <v>1.6</v>
      </c>
    </row>
    <row r="8282" customFormat="false" ht="15" hidden="false" customHeight="false" outlineLevel="0" collapsed="false">
      <c r="A8282" s="5" t="s">
        <v>920</v>
      </c>
      <c r="B8282" s="0" t="s">
        <v>86</v>
      </c>
      <c r="H8282" s="38" t="n">
        <f aca="false">Sens!$H$8249</f>
        <v>11.2928295263397</v>
      </c>
      <c r="I8282" s="38" t="n">
        <f aca="false">Sens!$I$8249</f>
        <v>12.8091546115766</v>
      </c>
      <c r="J8282" s="38" t="n">
        <f aca="false">Sens!$J$8249</f>
        <v>14.2605653162668</v>
      </c>
      <c r="K8282" s="38" t="n">
        <f aca="false">Sens!$K$8249</f>
        <v>15.5327622460396</v>
      </c>
      <c r="L8282" s="38" t="n">
        <f aca="false">Sens!$L$8249</f>
        <v>16.720573737517</v>
      </c>
      <c r="M8282" s="38" t="n">
        <f aca="false">Sens!$M$8249</f>
        <v>17.8283127551536</v>
      </c>
    </row>
    <row r="8283" customFormat="false" ht="17.15" hidden="false" customHeight="false" outlineLevel="0" collapsed="false">
      <c r="A8283" s="1" t="s">
        <v>921</v>
      </c>
      <c r="B8283" s="8" t="s">
        <v>86</v>
      </c>
      <c r="H8283" s="38" t="n">
        <f aca="false">Sens!$H$8278+Sens!$H$8279-Sens!$H$8280+Sens!$H$8282</f>
        <v>-62.6561477711731</v>
      </c>
      <c r="I8283" s="38" t="n">
        <f aca="false">Sens!$I$8278+Sens!$I$8279-Sens!$I$8280+Sens!$I$8282</f>
        <v>-16.7048043408794</v>
      </c>
      <c r="J8283" s="38" t="n">
        <f aca="false">Sens!$J$8278+Sens!$J$8279-Sens!$J$8280+Sens!$J$8282</f>
        <v>29.9689765588539</v>
      </c>
      <c r="K8283" s="38" t="n">
        <f aca="false">Sens!$K$8278+Sens!$K$8279-Sens!$K$8280+Sens!$K$8282</f>
        <v>130.373680579634</v>
      </c>
      <c r="L8283" s="38" t="n">
        <f aca="false">Sens!$L$8278+Sens!$L$8279-Sens!$L$8280+Sens!$L$8282</f>
        <v>187.231923042598</v>
      </c>
      <c r="M8283" s="38" t="n">
        <f aca="false">Sens!$M$8278+Sens!$M$8279-Sens!$M$8280+Sens!$M$8282</f>
        <v>210.144091038257</v>
      </c>
    </row>
    <row r="8284" customFormat="false" ht="15" hidden="false" customHeight="false" outlineLevel="0" collapsed="false">
      <c r="A8284" s="5" t="s">
        <v>922</v>
      </c>
      <c r="B8284" s="0" t="s">
        <v>57</v>
      </c>
      <c r="H8284" s="40" t="n">
        <f aca="false">1/(1+wacc)^(2027-2026-0.5)</f>
        <v>0.947751320380232</v>
      </c>
      <c r="I8284" s="40" t="n">
        <f aca="false">1/(1+wacc)^(2028-2026-0.5)</f>
        <v>0.851301099754987</v>
      </c>
      <c r="J8284" s="40" t="n">
        <f aca="false">1/(1+wacc)^(2029-2026-0.5)</f>
        <v>0.764666370660713</v>
      </c>
      <c r="K8284" s="40" t="n">
        <f aca="false">1/(1+wacc)^(2030-2026-0.5)</f>
        <v>0.686848235703811</v>
      </c>
      <c r="L8284" s="40" t="n">
        <f aca="false">1/(1+wacc)^(2031-2026-0.5)</f>
        <v>0.616949452715975</v>
      </c>
      <c r="M8284" s="40" t="n">
        <f aca="false">1/(1+wacc)^(2032-2026-0.5)</f>
        <v>0.554164089562688</v>
      </c>
    </row>
    <row r="8285" customFormat="false" ht="15" hidden="false" customHeight="false" outlineLevel="0" collapsed="false">
      <c r="A8285" s="5" t="s">
        <v>923</v>
      </c>
      <c r="B8285" s="0" t="s">
        <v>86</v>
      </c>
      <c r="H8285" s="38" t="n">
        <f aca="false">Sens!$H$8283*Sens!$H$8284</f>
        <v>-59.3824467800682</v>
      </c>
      <c r="I8285" s="38" t="n">
        <f aca="false">Sens!$I$8283*Sens!$I$8284</f>
        <v>-14.2208183065825</v>
      </c>
      <c r="J8285" s="38" t="n">
        <f aca="false">Sens!$J$8283*Sens!$J$8284</f>
        <v>22.9162685376748</v>
      </c>
      <c r="K8285" s="38" t="n">
        <f aca="false">Sens!$K$8283*Sens!$K$8284</f>
        <v>89.5469324883341</v>
      </c>
      <c r="L8285" s="38" t="n">
        <f aca="false">Sens!$L$8283*Sens!$L$8284</f>
        <v>115.512632452091</v>
      </c>
      <c r="M8285" s="38" t="n">
        <f aca="false">Sens!$M$8283*Sens!$M$8284</f>
        <v>116.454308887194</v>
      </c>
    </row>
    <row r="8286" customFormat="false" ht="15" hidden="false" customHeight="false" outlineLevel="0" collapsed="false">
      <c r="A8286" s="5" t="s">
        <v>924</v>
      </c>
      <c r="B8286" s="0" t="s">
        <v>86</v>
      </c>
      <c r="C8286" s="38" t="n">
        <f aca="false">SUM(Sens!$H$8285:$M$8285)</f>
        <v>270.826877278643</v>
      </c>
    </row>
    <row r="8287" customFormat="false" ht="17.15" hidden="false" customHeight="false" outlineLevel="0" collapsed="false">
      <c r="A8287" s="5" t="s">
        <v>925</v>
      </c>
      <c r="B8287" s="0" t="s">
        <v>86</v>
      </c>
      <c r="C8287" s="38" t="n">
        <f aca="false">Sens!$M$8278*(1+tg)*(1-tg/ronic)/(wacc-tg)</f>
        <v>1922.56097134792</v>
      </c>
    </row>
    <row r="8288" customFormat="false" ht="15" hidden="false" customHeight="false" outlineLevel="0" collapsed="false">
      <c r="A8288" s="5" t="s">
        <v>926</v>
      </c>
      <c r="B8288" s="0" t="s">
        <v>86</v>
      </c>
      <c r="C8288" s="38" t="n">
        <f aca="false">Sens!$C$8287/(1+wacc)^6</f>
        <v>1009.74776248869</v>
      </c>
    </row>
    <row r="8289" customFormat="false" ht="17.15" hidden="false" customHeight="false" outlineLevel="0" collapsed="false">
      <c r="A8289" s="5" t="s">
        <v>927</v>
      </c>
      <c r="B8289" s="0" t="s">
        <v>86</v>
      </c>
      <c r="C8289" s="38" t="n">
        <f aca="false">Sens!$C$8286+Sens!$C$8288</f>
        <v>1280.57463976734</v>
      </c>
    </row>
    <row r="8290" customFormat="false" ht="17.15" hidden="false" customHeight="false" outlineLevel="0" collapsed="false">
      <c r="A8290" s="5" t="s">
        <v>928</v>
      </c>
      <c r="B8290" s="0" t="s">
        <v>52</v>
      </c>
      <c r="C8290" s="13" t="n">
        <f aca="false">Sens!$C$8288/Sens!$C$8289</f>
        <v>0.788511447229778</v>
      </c>
    </row>
    <row r="8291" customFormat="false" ht="17.15" hidden="false" customHeight="false" outlineLevel="0" collapsed="false">
      <c r="A8291" s="5" t="s">
        <v>929</v>
      </c>
      <c r="B8291" s="0" t="s">
        <v>86</v>
      </c>
      <c r="C8291" s="38" t="n">
        <f aca="false">Sens!$G$8267+fin_debt</f>
        <v>97.2636983848813</v>
      </c>
    </row>
    <row r="8292" customFormat="false" ht="17.15" hidden="false" customHeight="false" outlineLevel="0" collapsed="false">
      <c r="A8292" s="5" t="s">
        <v>930</v>
      </c>
      <c r="B8292" s="0" t="s">
        <v>86</v>
      </c>
      <c r="C8292" s="38" t="n">
        <f aca="false">(ant_val*ant_sh+oai_val*oai_sh)*(1-liq_disc)</f>
        <v>178.944</v>
      </c>
    </row>
    <row r="8293" customFormat="false" ht="15" hidden="false" customHeight="false" outlineLevel="0" collapsed="false">
      <c r="A8293" s="5" t="s">
        <v>931</v>
      </c>
      <c r="B8293" s="0" t="s">
        <v>86</v>
      </c>
      <c r="C8293" s="38" t="n">
        <f aca="false">Sens!$C$8289-Sens!$C$8291+Sens!$C$8292</f>
        <v>1362.25494138246</v>
      </c>
    </row>
    <row r="8294" customFormat="false" ht="17.15" hidden="false" customHeight="false" outlineLevel="0" collapsed="false">
      <c r="A8294" s="5" t="s">
        <v>932</v>
      </c>
      <c r="B8294" s="0" t="s">
        <v>27</v>
      </c>
      <c r="C8294" s="30" t="n">
        <f aca="false">Sens!$C$8293/sh_out</f>
        <v>126.294760321501</v>
      </c>
    </row>
    <row r="8295" customFormat="false" ht="17.15" hidden="false" customHeight="false" outlineLevel="0" collapsed="false">
      <c r="A8295" s="1" t="s">
        <v>933</v>
      </c>
      <c r="B8295" s="8" t="s">
        <v>27</v>
      </c>
      <c r="C8295" s="30" t="n">
        <f aca="false">Sens!$C$8294*(1+ke)^tp_yf-dps*tp_yf</f>
        <v>138.339345929154</v>
      </c>
    </row>
    <row r="8296" customFormat="false" ht="17.15" hidden="false" customHeight="false" outlineLevel="0" collapsed="false">
      <c r="A8296" s="3" t="s">
        <v>934</v>
      </c>
    </row>
    <row r="8297" customFormat="false" ht="17.15" hidden="false" customHeight="false" outlineLevel="0" collapsed="false">
      <c r="A8297" s="5" t="s">
        <v>935</v>
      </c>
      <c r="B8297" s="0" t="s">
        <v>86</v>
      </c>
      <c r="C8297" s="38" t="n">
        <f aca="false">(1-tp_yf)*(Sens!$H$8224+sbc_ab*Sens!$H$8248*Sens!$H$8088/Sens!$H$8165)+tp_yf*(Sens!$I$8224+sbc_ab*Sens!$I$8248*Sens!$I$8088/Sens!$I$8165)</f>
        <v>59.634664536349</v>
      </c>
    </row>
    <row r="8298" customFormat="false" ht="15" hidden="false" customHeight="false" outlineLevel="0" collapsed="false">
      <c r="A8298" s="5" t="s">
        <v>936</v>
      </c>
      <c r="B8298" s="0" t="s">
        <v>57</v>
      </c>
      <c r="C8298" s="30" t="n">
        <f aca="false">m_ads*m_x</f>
        <v>9.11</v>
      </c>
    </row>
    <row r="8299" customFormat="false" ht="17.15" hidden="false" customHeight="false" outlineLevel="0" collapsed="false">
      <c r="A8299" s="5" t="s">
        <v>937</v>
      </c>
      <c r="B8299" s="0" t="s">
        <v>86</v>
      </c>
      <c r="C8299" s="38" t="n">
        <f aca="false">Sens!$C$8297*Sens!$C$8298</f>
        <v>543.271793926139</v>
      </c>
    </row>
    <row r="8300" customFormat="false" ht="17.15" hidden="false" customHeight="false" outlineLevel="0" collapsed="false">
      <c r="A8300" s="5" t="s">
        <v>938</v>
      </c>
      <c r="B8300" s="0" t="s">
        <v>86</v>
      </c>
      <c r="C8300" s="38" t="n">
        <f aca="false">(1-tp_yf)*(Sens!$H$8225+sbc_ab*Sens!$H$8248*(Sens!$H$8095-Sens!$H$8088)/Sens!$H$8165+IF(internal_ai_reading=2,1,0)*(1-ext_sh)*Sens!$H$8125)+tp_yf*(Sens!$I$8225+sbc_ab*Sens!$I$8248*(Sens!$I$8095-Sens!$I$8088)/Sens!$I$8165+IF(internal_ai_reading=2,1,0)*(1-ext_sh)*Sens!$I$8125)</f>
        <v>51.2224827206816</v>
      </c>
    </row>
    <row r="8301" customFormat="false" ht="17.15" hidden="false" customHeight="false" outlineLevel="0" collapsed="false">
      <c r="A8301" s="5" t="s">
        <v>939</v>
      </c>
      <c r="B8301" s="0" t="s">
        <v>57</v>
      </c>
      <c r="C8301" s="30" t="n">
        <f aca="false">m_retail*m_x</f>
        <v>17.72</v>
      </c>
    </row>
    <row r="8302" customFormat="false" ht="17.15" hidden="false" customHeight="false" outlineLevel="0" collapsed="false">
      <c r="A8302" s="5" t="s">
        <v>940</v>
      </c>
      <c r="B8302" s="0" t="s">
        <v>86</v>
      </c>
      <c r="C8302" s="38" t="n">
        <f aca="false">Sens!$C$8300*Sens!$C$8301</f>
        <v>907.662393810478</v>
      </c>
    </row>
    <row r="8303" customFormat="false" ht="17.15" hidden="false" customHeight="false" outlineLevel="0" collapsed="false">
      <c r="A8303" s="0" t="s">
        <v>941</v>
      </c>
      <c r="B8303" s="0" t="s">
        <v>86</v>
      </c>
      <c r="C8303" s="38" t="n">
        <f aca="false">(1-tp_yf)*(Sens!$H$8226+sbc_ab*Sens!$H$8248*Sens!$H$8163/Sens!$H$8165)+tp_yf*(Sens!$I$8226+sbc_ab*Sens!$I$8248*Sens!$I$8163/Sens!$I$8165)</f>
        <v>96.2439586897193</v>
      </c>
    </row>
    <row r="8304" customFormat="false" ht="17.15" hidden="false" customHeight="false" outlineLevel="0" collapsed="false">
      <c r="A8304" s="0" t="s">
        <v>942</v>
      </c>
      <c r="B8304" s="0" t="s">
        <v>57</v>
      </c>
      <c r="C8304" s="30" t="n">
        <f aca="false">m_cloud*m_x</f>
        <v>13.82</v>
      </c>
    </row>
    <row r="8305" customFormat="false" ht="17.15" hidden="false" customHeight="false" outlineLevel="0" collapsed="false">
      <c r="A8305" s="0" t="s">
        <v>943</v>
      </c>
      <c r="B8305" s="0" t="s">
        <v>86</v>
      </c>
      <c r="C8305" s="38" t="n">
        <f aca="false">Sens!$C$8303*Sens!$C$8304</f>
        <v>1330.09150909192</v>
      </c>
    </row>
    <row r="8306" customFormat="false" ht="17.15" hidden="false" customHeight="false" outlineLevel="0" collapsed="false">
      <c r="A8306" s="0" t="s">
        <v>944</v>
      </c>
      <c r="B8306" s="0" t="s">
        <v>86</v>
      </c>
      <c r="H8306" s="38" t="n">
        <f aca="false">Sens!$H$8144-tax*Sens!$H$8145-ext_sh*Sens!$H$8132</f>
        <v>-115.885394236225</v>
      </c>
      <c r="I8306" s="38" t="n">
        <f aca="false">Sens!$I$8144-tax*Sens!$I$8145-ext_sh*Sens!$I$8132</f>
        <v>-89.5935137276694</v>
      </c>
      <c r="J8306" s="38" t="n">
        <f aca="false">Sens!$J$8144-tax*Sens!$J$8145-ext_sh*Sens!$J$8132</f>
        <v>-62.3510647460279</v>
      </c>
      <c r="K8306" s="38" t="n">
        <f aca="false">Sens!$K$8144-tax*Sens!$K$8145-ext_sh*Sens!$K$8132</f>
        <v>8.85932514072565</v>
      </c>
      <c r="L8306" s="38" t="n">
        <f aca="false">Sens!$L$8144-tax*Sens!$L$8145-ext_sh*Sens!$L$8132</f>
        <v>45.6968344120177</v>
      </c>
      <c r="M8306" s="38" t="n">
        <f aca="false">Sens!$M$8144-tax*Sens!$M$8145-ext_sh*Sens!$M$8132</f>
        <v>54.7466688757428</v>
      </c>
    </row>
    <row r="8307" customFormat="false" ht="17.15" hidden="false" customHeight="false" outlineLevel="0" collapsed="false">
      <c r="A8307" s="5" t="s">
        <v>945</v>
      </c>
      <c r="B8307" s="0" t="s">
        <v>86</v>
      </c>
      <c r="H8307" s="38" t="n">
        <f aca="false">Sens!$H$8306*Sens!$H$8284</f>
        <v>-109.830535400166</v>
      </c>
      <c r="I8307" s="38" t="n">
        <f aca="false">Sens!$I$8306*Sens!$I$8284</f>
        <v>-76.2710567672785</v>
      </c>
      <c r="J8307" s="38" t="n">
        <f aca="false">Sens!$J$8306*Sens!$J$8284</f>
        <v>-47.6777623861763</v>
      </c>
      <c r="K8307" s="38" t="n">
        <f aca="false">Sens!$K$8306*Sens!$K$8284</f>
        <v>6.08501184243383</v>
      </c>
      <c r="L8307" s="38" t="n">
        <f aca="false">Sens!$L$8306*Sens!$L$8284</f>
        <v>28.1926369813469</v>
      </c>
      <c r="M8307" s="38" t="n">
        <f aca="false">Sens!$M$8306*Sens!$M$8284</f>
        <v>30.338637914116</v>
      </c>
    </row>
    <row r="8308" customFormat="false" ht="17.15" hidden="false" customHeight="false" outlineLevel="0" collapsed="false">
      <c r="A8308" s="5" t="s">
        <v>946</v>
      </c>
      <c r="B8308" s="0" t="s">
        <v>86</v>
      </c>
      <c r="C8308" s="38" t="n">
        <f aca="false">Sens!$M$8145*(1-tax)*(1+tg)*(1-tg/ronic)/(wacc-tg)</f>
        <v>391.533160655061</v>
      </c>
    </row>
    <row r="8309" customFormat="false" ht="17.15" hidden="false" customHeight="false" outlineLevel="0" collapsed="false">
      <c r="A8309" s="0" t="s">
        <v>947</v>
      </c>
      <c r="B8309" s="0" t="s">
        <v>86</v>
      </c>
      <c r="C8309" s="38" t="n">
        <f aca="false">(SUM(Sens!$I$8307:$M$8307)+Sens!$C$8308/(1+wacc)^6)*(1+wacc)^tp_yf</f>
        <v>159.796867964901</v>
      </c>
    </row>
    <row r="8310" customFormat="false" ht="17.15" hidden="false" customHeight="false" outlineLevel="0" collapsed="false">
      <c r="A8310" s="5" t="s">
        <v>948</v>
      </c>
      <c r="B8310" s="0" t="s">
        <v>86</v>
      </c>
      <c r="C8310" s="38" t="n">
        <f aca="false">(1-tp_yf)*(Sens!$H$8227)+tp_yf*(Sens!$I$8227)</f>
        <v>74.6707041238437</v>
      </c>
    </row>
    <row r="8311" customFormat="false" ht="17.15" hidden="false" customHeight="false" outlineLevel="0" collapsed="false">
      <c r="A8311" s="5" t="s">
        <v>949</v>
      </c>
      <c r="B8311" s="0" t="s">
        <v>86</v>
      </c>
      <c r="C8311" s="38" t="n">
        <f aca="false">Sens!$C$8310*m_ai</f>
        <v>448.024224743062</v>
      </c>
    </row>
    <row r="8312" customFormat="false" ht="17.15" hidden="false" customHeight="false" outlineLevel="0" collapsed="false">
      <c r="A8312" s="0" t="s">
        <v>950</v>
      </c>
      <c r="B8312" s="0" t="s">
        <v>86</v>
      </c>
      <c r="C8312" s="38" t="n">
        <f aca="false">IF(ai_leg=1,Sens!$C$8309,Sens!$C$8311)</f>
        <v>159.796867964901</v>
      </c>
    </row>
    <row r="8313" customFormat="false" ht="17.15" hidden="false" customHeight="false" outlineLevel="0" collapsed="false">
      <c r="A8313" s="5" t="s">
        <v>951</v>
      </c>
      <c r="B8313" s="0" t="s">
        <v>86</v>
      </c>
      <c r="C8313" s="38" t="n">
        <f aca="false">Sens!$C$8299+Sens!$C$8302+Sens!$C$8305+Sens!$C$8312</f>
        <v>2940.82256479344</v>
      </c>
    </row>
    <row r="8314" customFormat="false" ht="17.15" hidden="false" customHeight="false" outlineLevel="0" collapsed="false">
      <c r="A8314" s="5" t="s">
        <v>952</v>
      </c>
      <c r="B8314" s="0" t="s">
        <v>86</v>
      </c>
      <c r="C8314" s="38" t="n">
        <f aca="false">Sens!$H$8267+fin_debt</f>
        <v>153.608629741943</v>
      </c>
    </row>
    <row r="8315" customFormat="false" ht="15" hidden="false" customHeight="false" outlineLevel="0" collapsed="false">
      <c r="A8315" s="5" t="s">
        <v>953</v>
      </c>
      <c r="B8315" s="0" t="s">
        <v>86</v>
      </c>
      <c r="C8315" s="38" t="n">
        <f aca="false">Sens!$C$8313-Sens!$C$8314+Sens!$C$8292</f>
        <v>2966.1579350515</v>
      </c>
    </row>
    <row r="8316" customFormat="false" ht="15" hidden="false" customHeight="false" outlineLevel="0" collapsed="false">
      <c r="A8316" s="3" t="s">
        <v>954</v>
      </c>
      <c r="B8316" s="8" t="s">
        <v>27</v>
      </c>
      <c r="C8316" s="30" t="n">
        <f aca="false">Sens!$C$8315/sh_val</f>
        <v>268.90965525111</v>
      </c>
    </row>
    <row r="8317" customFormat="false" ht="17.15" hidden="false" customHeight="false" outlineLevel="0" collapsed="false">
      <c r="A8317" s="47" t="s">
        <v>955</v>
      </c>
      <c r="B8317" s="14" t="s">
        <v>27</v>
      </c>
      <c r="C8317" s="44" t="n">
        <f aca="false">0.7*Sens!$C$8295+(1-0.7)*Sens!$C$8316</f>
        <v>177.510438725741</v>
      </c>
      <c r="D8317" s="14"/>
      <c r="E8317" s="14"/>
      <c r="F8317" s="14"/>
      <c r="G8317" s="14"/>
      <c r="H8317" s="14"/>
      <c r="I8317" s="14"/>
      <c r="J8317" s="14"/>
      <c r="K8317" s="14"/>
      <c r="L8317" s="14"/>
      <c r="M8317" s="14"/>
      <c r="N8317" s="14"/>
      <c r="O8317" s="14"/>
    </row>
    <row r="8318" customFormat="false" ht="17.15" hidden="false" customHeight="false" outlineLevel="0" collapsed="false">
      <c r="A8318" s="5" t="s">
        <v>956</v>
      </c>
      <c r="B8318" s="0" t="s">
        <v>27</v>
      </c>
      <c r="C8318" s="30" t="n">
        <f aca="false">v022_wdcf*Sens!$C$8295+(1-v022_wdcf)*Sens!$C$8316</f>
        <v>210.15301605623</v>
      </c>
    </row>
    <row r="8319" customFormat="false" ht="17.15" hidden="false" customHeight="false" outlineLevel="0" collapsed="false">
      <c r="A8319" s="5" t="s">
        <v>957</v>
      </c>
      <c r="B8319" s="0" t="s">
        <v>27</v>
      </c>
      <c r="C8319" s="30" t="n">
        <f aca="false">(Sens!$C$8315-Sens!$C$8312+Sens!$C$8311)/sh_val</f>
        <v>295.040131389701</v>
      </c>
    </row>
    <row r="8322" customFormat="false" ht="19.4" hidden="false" customHeight="false" outlineLevel="0" collapsed="false">
      <c r="A8322" s="31" t="s">
        <v>1305</v>
      </c>
    </row>
    <row r="8323" customFormat="false" ht="17.15" hidden="false" customHeight="false" outlineLevel="0" collapsed="false">
      <c r="A8323" s="6" t="s">
        <v>16</v>
      </c>
      <c r="B8323" s="6" t="s">
        <v>17</v>
      </c>
      <c r="C8323" s="20" t="s">
        <v>497</v>
      </c>
      <c r="D8323" s="20" t="s">
        <v>498</v>
      </c>
      <c r="E8323" s="20" t="s">
        <v>580</v>
      </c>
      <c r="F8323" s="20" t="s">
        <v>581</v>
      </c>
      <c r="G8323" s="20" t="s">
        <v>582</v>
      </c>
      <c r="H8323" s="20" t="s">
        <v>583</v>
      </c>
      <c r="I8323" s="20" t="s">
        <v>584</v>
      </c>
      <c r="J8323" s="20" t="s">
        <v>585</v>
      </c>
      <c r="K8323" s="20" t="s">
        <v>586</v>
      </c>
      <c r="L8323" s="20" t="s">
        <v>587</v>
      </c>
      <c r="M8323" s="20" t="s">
        <v>588</v>
      </c>
      <c r="N8323" s="20" t="s">
        <v>589</v>
      </c>
      <c r="O8323" s="20" t="s">
        <v>590</v>
      </c>
      <c r="P8323" s="6" t="s">
        <v>23</v>
      </c>
      <c r="R8323" s="20" t="n">
        <v>2023</v>
      </c>
      <c r="S8323" s="20" t="n">
        <v>2024</v>
      </c>
      <c r="T8323" s="20" t="n">
        <v>2025</v>
      </c>
      <c r="U8323" s="20" t="n">
        <v>2026</v>
      </c>
      <c r="V8323" s="20" t="n">
        <v>2027</v>
      </c>
      <c r="W8323" s="20" t="n">
        <v>2028</v>
      </c>
      <c r="X8323" s="20" t="n">
        <v>2029</v>
      </c>
      <c r="Y8323" s="20" t="n">
        <v>2030</v>
      </c>
      <c r="Z8323" s="20" t="n">
        <v>2031</v>
      </c>
      <c r="AA8323" s="20" t="n">
        <v>2032</v>
      </c>
    </row>
    <row r="8324" customFormat="false" ht="17.15" hidden="false" customHeight="false" outlineLevel="0" collapsed="false">
      <c r="A8324" s="1" t="s">
        <v>666</v>
      </c>
    </row>
    <row r="8325" customFormat="false" ht="17.15" hidden="false" customHeight="false" outlineLevel="0" collapsed="false">
      <c r="A8325" s="0" t="s">
        <v>519</v>
      </c>
      <c r="B8325" s="0" t="s">
        <v>86</v>
      </c>
      <c r="C8325" s="38" t="n">
        <f aca="false">Q!$D$10</f>
        <v>247.029</v>
      </c>
      <c r="D8325" s="38" t="n">
        <f aca="false">Q!$E$10</f>
        <v>269.287</v>
      </c>
      <c r="E8325" s="38" t="n">
        <f aca="false">Q!$P$10</f>
        <v>134.686</v>
      </c>
      <c r="F8325" s="38" t="n">
        <f aca="false">Sens!$O$8325*(1+Sens!$F$8326)*Sens!$F$8337</f>
        <v>158.293876822267</v>
      </c>
      <c r="G8325" s="38" t="n">
        <f aca="false">Sens!$E$8325+Sens!$F$8325</f>
        <v>292.979876822267</v>
      </c>
      <c r="H8325" s="38" t="n">
        <f aca="false">Sens!$G$8325*(1+Sens!$H$8326)</f>
        <v>318.184543087396</v>
      </c>
      <c r="I8325" s="38" t="n">
        <f aca="false">Sens!$H$8325*(1+Sens!$I$8326)</f>
        <v>341.736278761793</v>
      </c>
      <c r="J8325" s="38" t="n">
        <f aca="false">Sens!$I$8325*(1+Sens!$J$8326)</f>
        <v>362.927192787048</v>
      </c>
      <c r="K8325" s="38" t="n">
        <f aca="false">Sens!$J$8325*(1+Sens!$K$8326)</f>
        <v>381.0735524264</v>
      </c>
      <c r="L8325" s="38" t="n">
        <f aca="false">Sens!$K$8325*(1+Sens!$L$8326)</f>
        <v>400.12723004772</v>
      </c>
      <c r="M8325" s="38" t="n">
        <f aca="false">Sens!$L$8325*(1+Sens!$M$8326)</f>
        <v>420.133591550106</v>
      </c>
      <c r="N8325" s="38" t="n">
        <f aca="false">Q!$N$10</f>
        <v>118.892</v>
      </c>
      <c r="O8325" s="38" t="n">
        <f aca="false">Q!$O$10</f>
        <v>150.395</v>
      </c>
      <c r="P8325" s="8" t="s">
        <v>667</v>
      </c>
    </row>
    <row r="8326" customFormat="false" ht="17.15" hidden="false" customHeight="false" outlineLevel="0" collapsed="false">
      <c r="A8326" s="0" t="s">
        <v>668</v>
      </c>
      <c r="B8326" s="0" t="s">
        <v>52</v>
      </c>
      <c r="E8326" s="13" t="n">
        <f aca="false">Sens!$E$8325/Sens!$N$8325-1</f>
        <v>0.132843252699929</v>
      </c>
      <c r="F8326" s="13" t="n">
        <f aca="false">Sens!$O$8325/(Q!$F$10+Q!$G$10)-1</f>
        <v>0.0980382135842941</v>
      </c>
      <c r="G8326" s="13" t="n">
        <f aca="false">Sens!$G$8325/Sens!$D$8325-1</f>
        <v>0.0879837378791657</v>
      </c>
      <c r="H8326" s="13" t="n">
        <f aca="false">Sens!$F$8326+(g_os-Sens!$F$8326)*1/4</f>
        <v>0.0860286601882206</v>
      </c>
      <c r="I8326" s="13" t="n">
        <f aca="false">Sens!$F$8326+(g_os-Sens!$F$8326)*2/4</f>
        <v>0.074019106792147</v>
      </c>
      <c r="J8326" s="13" t="n">
        <f aca="false">Sens!$F$8326+(g_os-Sens!$F$8326)*3/4</f>
        <v>0.0620095533960735</v>
      </c>
      <c r="K8326" s="13" t="n">
        <f aca="false">Sens!$F$8326+(g_os-Sens!$F$8326)*4/4</f>
        <v>0.05</v>
      </c>
      <c r="L8326" s="13" t="n">
        <f aca="false">g_os</f>
        <v>0.05</v>
      </c>
      <c r="M8326" s="13" t="n">
        <f aca="false">g_os</f>
        <v>0.05</v>
      </c>
      <c r="P8326" s="8" t="s">
        <v>669</v>
      </c>
    </row>
    <row r="8327" customFormat="false" ht="17.15" hidden="false" customHeight="false" outlineLevel="0" collapsed="false">
      <c r="A8327" s="0" t="s">
        <v>520</v>
      </c>
      <c r="B8327" s="0" t="s">
        <v>86</v>
      </c>
      <c r="C8327" s="38" t="n">
        <f aca="false">Q!$D$11</f>
        <v>21.215</v>
      </c>
      <c r="D8327" s="38" t="n">
        <f aca="false">Q!$E$11</f>
        <v>22.561</v>
      </c>
      <c r="E8327" s="38" t="n">
        <f aca="false">Q!$P$11</f>
        <v>11.579</v>
      </c>
      <c r="F8327" s="38" t="n">
        <f aca="false">Sens!$O$8327*(1+Sens!$F$8328)*Sens!$F$8337</f>
        <v>11.5938724610325</v>
      </c>
      <c r="G8327" s="38" t="n">
        <f aca="false">Sens!$E$8327+Sens!$F$8327</f>
        <v>23.1728724610325</v>
      </c>
      <c r="H8327" s="38" t="n">
        <f aca="false">Sens!$G$8327*(1+Sens!$H$8328)</f>
        <v>24.353392759506</v>
      </c>
      <c r="I8327" s="38" t="n">
        <f aca="false">Sens!$H$8327*(1+Sens!$I$8328)</f>
        <v>25.4240338872015</v>
      </c>
      <c r="J8327" s="38" t="n">
        <f aca="false">Sens!$I$8327*(1+Sens!$J$8328)</f>
        <v>26.3642491017174</v>
      </c>
      <c r="K8327" s="38" t="n">
        <f aca="false">Sens!$J$8327*(1+Sens!$K$8328)</f>
        <v>27.155176574769</v>
      </c>
      <c r="L8327" s="38" t="n">
        <f aca="false">Sens!$K$8327*(1+Sens!$L$8328)</f>
        <v>27.969831872012</v>
      </c>
      <c r="M8327" s="38" t="n">
        <f aca="false">Sens!$L$8327*(1+Sens!$M$8328)</f>
        <v>28.8089268281724</v>
      </c>
      <c r="N8327" s="38" t="n">
        <f aca="false">Q!$N$11</f>
        <v>11.128</v>
      </c>
      <c r="O8327" s="38" t="n">
        <f aca="false">Q!$O$11</f>
        <v>11.433</v>
      </c>
      <c r="P8327" s="8" t="s">
        <v>667</v>
      </c>
    </row>
    <row r="8328" customFormat="false" ht="17.15" hidden="false" customHeight="false" outlineLevel="0" collapsed="false">
      <c r="A8328" s="0" t="s">
        <v>670</v>
      </c>
      <c r="B8328" s="0" t="s">
        <v>52</v>
      </c>
      <c r="E8328" s="13" t="n">
        <f aca="false">Sens!$E$8327/Sens!$N$8327-1</f>
        <v>0.0405283968368082</v>
      </c>
      <c r="F8328" s="13" t="n">
        <f aca="false">Sens!$O$8327/(Q!$F$11+Q!$G$11)-1</f>
        <v>0.0579254187100955</v>
      </c>
      <c r="G8328" s="13" t="n">
        <f aca="false">Sens!$G$8327/Sens!$D$8327-1</f>
        <v>0.0271208040881397</v>
      </c>
      <c r="H8328" s="13" t="n">
        <f aca="false">Sens!$F$8328+(g_ps-Sens!$F$8328)*1/4</f>
        <v>0.0509440640325716</v>
      </c>
      <c r="I8328" s="13" t="n">
        <f aca="false">Sens!$F$8328+(g_ps-Sens!$F$8328)*2/4</f>
        <v>0.0439627093550477</v>
      </c>
      <c r="J8328" s="13" t="n">
        <f aca="false">Sens!$F$8328+(g_ps-Sens!$F$8328)*3/4</f>
        <v>0.0369813546775239</v>
      </c>
      <c r="K8328" s="13" t="n">
        <f aca="false">Sens!$F$8328+(g_ps-Sens!$F$8328)*4/4</f>
        <v>0.03</v>
      </c>
      <c r="L8328" s="13" t="n">
        <f aca="false">g_ps</f>
        <v>0.03</v>
      </c>
      <c r="M8328" s="13" t="n">
        <f aca="false">g_ps</f>
        <v>0.03</v>
      </c>
      <c r="P8328" s="8" t="s">
        <v>671</v>
      </c>
    </row>
    <row r="8329" customFormat="false" ht="17.15" hidden="false" customHeight="false" outlineLevel="0" collapsed="false">
      <c r="A8329" s="0" t="s">
        <v>521</v>
      </c>
      <c r="B8329" s="0" t="s">
        <v>86</v>
      </c>
      <c r="C8329" s="38" t="n">
        <f aca="false">Q!$D$12</f>
        <v>156.146</v>
      </c>
      <c r="D8329" s="38" t="n">
        <f aca="false">Q!$E$12</f>
        <v>172.162</v>
      </c>
      <c r="E8329" s="38" t="n">
        <f aca="false">Q!$P$12</f>
        <v>88.358</v>
      </c>
      <c r="F8329" s="38" t="n">
        <f aca="false">Sens!$O$8329*(1+Sens!$F$8330)*Sens!$F$8337</f>
        <v>102.004388260171</v>
      </c>
      <c r="G8329" s="38" t="n">
        <f aca="false">Sens!$E$8329+Sens!$F$8329</f>
        <v>190.362388260171</v>
      </c>
      <c r="H8329" s="38" t="n">
        <f aca="false">Sens!$G$8329*(1+Sens!$H$8330)</f>
        <v>210.343106588311</v>
      </c>
      <c r="I8329" s="38" t="n">
        <f aca="false">Sens!$H$8329*(1+Sens!$I$8330)</f>
        <v>229.969728494648</v>
      </c>
      <c r="J8329" s="38" t="n">
        <f aca="false">Sens!$I$8329*(1+Sens!$J$8330)</f>
        <v>248.747636972598</v>
      </c>
      <c r="K8329" s="38" t="n">
        <f aca="false">Sens!$J$8329*(1+Sens!$K$8330)</f>
        <v>266.15997156068</v>
      </c>
      <c r="L8329" s="38" t="n">
        <f aca="false">Sens!$K$8329*(1+Sens!$L$8330)</f>
        <v>284.791169569927</v>
      </c>
      <c r="M8329" s="38" t="n">
        <f aca="false">Sens!$L$8329*(1+Sens!$M$8330)</f>
        <v>304.726551439822</v>
      </c>
      <c r="N8329" s="38" t="n">
        <f aca="false">Q!$N$12</f>
        <v>76.86</v>
      </c>
      <c r="O8329" s="38" t="n">
        <f aca="false">Q!$O$12</f>
        <v>95.302</v>
      </c>
      <c r="P8329" s="8" t="s">
        <v>667</v>
      </c>
    </row>
    <row r="8330" customFormat="false" ht="17.15" hidden="false" customHeight="false" outlineLevel="0" collapsed="false">
      <c r="A8330" s="0" t="s">
        <v>672</v>
      </c>
      <c r="B8330" s="0" t="s">
        <v>52</v>
      </c>
      <c r="E8330" s="13" t="n">
        <f aca="false">Sens!$E$8329/Sens!$N$8329-1</f>
        <v>0.1495966692688</v>
      </c>
      <c r="F8330" s="13" t="n">
        <f aca="false">Sens!$O$8329/(Q!$F$12+Q!$G$12)-1</f>
        <v>0.11661530890813</v>
      </c>
      <c r="G8330" s="13" t="n">
        <f aca="false">Sens!$G$8329/Sens!$D$8329-1</f>
        <v>0.105716640490767</v>
      </c>
      <c r="H8330" s="13" t="n">
        <f aca="false">Sens!$F$8330+(g_sp-Sens!$F$8330)*1/4</f>
        <v>0.104961481681098</v>
      </c>
      <c r="I8330" s="13" t="n">
        <f aca="false">Sens!$F$8330+(g_sp-Sens!$F$8330)*2/4</f>
        <v>0.0933076544540651</v>
      </c>
      <c r="J8330" s="13" t="n">
        <f aca="false">Sens!$F$8330+(g_sp-Sens!$F$8330)*3/4</f>
        <v>0.0816538272270325</v>
      </c>
      <c r="K8330" s="13" t="n">
        <f aca="false">Sens!$F$8330+(g_sp-Sens!$F$8330)*4/4</f>
        <v>0.07</v>
      </c>
      <c r="L8330" s="13" t="n">
        <f aca="false">g_sp</f>
        <v>0.07</v>
      </c>
      <c r="M8330" s="13" t="n">
        <f aca="false">g_sp</f>
        <v>0.07</v>
      </c>
      <c r="P8330" s="8" t="s">
        <v>673</v>
      </c>
    </row>
    <row r="8331" customFormat="false" ht="17.15" hidden="false" customHeight="false" outlineLevel="0" collapsed="false">
      <c r="A8331" s="0" t="s">
        <v>522</v>
      </c>
      <c r="B8331" s="0" t="s">
        <v>86</v>
      </c>
      <c r="C8331" s="38" t="n">
        <f aca="false">Q!$D$13</f>
        <v>56.214</v>
      </c>
      <c r="D8331" s="38" t="n">
        <f aca="false">Q!$E$13</f>
        <v>68.635</v>
      </c>
      <c r="E8331" s="38" t="n">
        <f aca="false">Q!$P$13</f>
        <v>37.052</v>
      </c>
      <c r="F8331" s="38" t="n">
        <f aca="false">Sens!$O$8331*(1+Sens!$F$8332)*Sens!$F$8337</f>
        <v>46.1572219944148</v>
      </c>
      <c r="G8331" s="38" t="n">
        <f aca="false">Sens!$E$8331+Sens!$F$8331</f>
        <v>83.2092219944148</v>
      </c>
      <c r="H8331" s="38" t="n">
        <f aca="false">Sens!$G$8331*(1+Sens!$H$8332)</f>
        <v>99.8969223878976</v>
      </c>
      <c r="I8331" s="38" t="n">
        <f aca="false">Sens!$H$8331*(1+Sens!$I$8332)</f>
        <v>116.583111095496</v>
      </c>
      <c r="J8331" s="38" t="n">
        <f aca="false">Sens!$I$8331*(1+Sens!$J$8332)</f>
        <v>132.148941941952</v>
      </c>
      <c r="K8331" s="38" t="n">
        <f aca="false">Sens!$J$8331*(1+Sens!$K$8332)</f>
        <v>145.363836136147</v>
      </c>
      <c r="L8331" s="38" t="n">
        <f aca="false">Sens!$K$8331*(1+Sens!$L$8332)</f>
        <v>159.900219749762</v>
      </c>
      <c r="M8331" s="38" t="n">
        <f aca="false">Sens!$L$8331*(1+Sens!$M$8332)</f>
        <v>175.890241724738</v>
      </c>
      <c r="N8331" s="38" t="n">
        <f aca="false">Q!$N$13</f>
        <v>29.615</v>
      </c>
      <c r="O8331" s="38" t="n">
        <f aca="false">Q!$O$13</f>
        <v>39.02</v>
      </c>
      <c r="P8331" s="8" t="s">
        <v>667</v>
      </c>
    </row>
    <row r="8332" customFormat="false" ht="17.15" hidden="false" customHeight="false" outlineLevel="0" collapsed="false">
      <c r="A8332" s="0" t="s">
        <v>674</v>
      </c>
      <c r="B8332" s="0" t="s">
        <v>52</v>
      </c>
      <c r="E8332" s="13" t="n">
        <f aca="false">Sens!$E$8331/Sens!$N$8331-1</f>
        <v>0.25112274185379</v>
      </c>
      <c r="F8332" s="13" t="n">
        <f aca="false">Sens!$O$8331/(Q!$F$13+Q!$G$13)-1</f>
        <v>0.234068123596572</v>
      </c>
      <c r="G8332" s="13" t="n">
        <f aca="false">Sens!$G$8331/Sens!$D$8331-1</f>
        <v>0.212343876949294</v>
      </c>
      <c r="H8332" s="13" t="n">
        <f aca="false">Sens!$F$8332+(g_ad-Sens!$F$8332)*1/4</f>
        <v>0.200551092697429</v>
      </c>
      <c r="I8332" s="13" t="n">
        <f aca="false">Sens!$F$8332+(g_ad-Sens!$F$8332)*2/4</f>
        <v>0.167034061798286</v>
      </c>
      <c r="J8332" s="13" t="n">
        <f aca="false">Sens!$F$8332+(g_ad-Sens!$F$8332)*3/4</f>
        <v>0.133517030899143</v>
      </c>
      <c r="K8332" s="13" t="n">
        <f aca="false">Sens!$F$8332+(g_ad-Sens!$F$8332)*4/4</f>
        <v>0.1</v>
      </c>
      <c r="L8332" s="13" t="n">
        <f aca="false">g_ad</f>
        <v>0.1</v>
      </c>
      <c r="M8332" s="13" t="n">
        <f aca="false">g_ad</f>
        <v>0.1</v>
      </c>
      <c r="P8332" s="8" t="s">
        <v>675</v>
      </c>
    </row>
    <row r="8333" customFormat="false" ht="17.15" hidden="false" customHeight="false" outlineLevel="0" collapsed="false">
      <c r="A8333" s="0" t="s">
        <v>523</v>
      </c>
      <c r="B8333" s="0" t="s">
        <v>86</v>
      </c>
      <c r="C8333" s="38" t="n">
        <f aca="false">Q!$D$14</f>
        <v>44.374</v>
      </c>
      <c r="D8333" s="38" t="n">
        <f aca="false">Q!$E$14</f>
        <v>49.619</v>
      </c>
      <c r="E8333" s="38" t="n">
        <f aca="false">Q!$P$14</f>
        <v>27.157</v>
      </c>
      <c r="F8333" s="38" t="n">
        <f aca="false">Sens!$O$8333*(1+Sens!$F$8334)*Sens!$F$8337</f>
        <v>27.7764165988154</v>
      </c>
      <c r="G8333" s="38" t="n">
        <f aca="false">Sens!$E$8333+Sens!$F$8333</f>
        <v>54.9334165988154</v>
      </c>
      <c r="H8333" s="38" t="n">
        <f aca="false">Sens!$G$8333*(1+Sens!$H$8334)</f>
        <v>61.1564112561829</v>
      </c>
      <c r="I8333" s="38" t="n">
        <f aca="false">Sens!$H$8333*(1+Sens!$I$8334)</f>
        <v>67.2020282103945</v>
      </c>
      <c r="J8333" s="38" t="n">
        <f aca="false">Sens!$I$8333*(1+Sens!$J$8334)</f>
        <v>72.8757274028885</v>
      </c>
      <c r="K8333" s="38" t="n">
        <f aca="false">Sens!$J$8333*(1+Sens!$K$8334)</f>
        <v>77.9770283210907</v>
      </c>
      <c r="L8333" s="38" t="n">
        <f aca="false">Sens!$K$8333*(1+Sens!$L$8334)</f>
        <v>83.4354203035671</v>
      </c>
      <c r="M8333" s="38" t="n">
        <f aca="false">Sens!$L$8333*(1+Sens!$M$8334)</f>
        <v>89.2758997248168</v>
      </c>
      <c r="N8333" s="38" t="n">
        <f aca="false">Q!$N$14</f>
        <v>23.923</v>
      </c>
      <c r="O8333" s="38" t="n">
        <f aca="false">Q!$O$14</f>
        <v>25.696</v>
      </c>
      <c r="P8333" s="8" t="s">
        <v>667</v>
      </c>
    </row>
    <row r="8334" customFormat="false" ht="17.15" hidden="false" customHeight="false" outlineLevel="0" collapsed="false">
      <c r="A8334" s="0" t="s">
        <v>676</v>
      </c>
      <c r="B8334" s="0" t="s">
        <v>52</v>
      </c>
      <c r="E8334" s="13" t="n">
        <f aca="false">Sens!$E$8333/Sens!$N$8333-1</f>
        <v>0.135183714417088</v>
      </c>
      <c r="F8334" s="13" t="n">
        <f aca="false">Sens!$O$8333/(Q!$F$14+Q!$G$14)-1</f>
        <v>0.127709997366804</v>
      </c>
      <c r="G8334" s="13" t="n">
        <f aca="false">Sens!$G$8333/Sens!$D$8333-1</f>
        <v>0.107104468022641</v>
      </c>
      <c r="H8334" s="13" t="n">
        <f aca="false">Sens!$F$8334+(g_sub-Sens!$F$8334)*1/4</f>
        <v>0.113282498025103</v>
      </c>
      <c r="I8334" s="13" t="n">
        <f aca="false">Sens!$F$8334+(g_sub-Sens!$F$8334)*2/4</f>
        <v>0.0988549986834021</v>
      </c>
      <c r="J8334" s="13" t="n">
        <f aca="false">Sens!$F$8334+(g_sub-Sens!$F$8334)*3/4</f>
        <v>0.084427499341701</v>
      </c>
      <c r="K8334" s="13" t="n">
        <f aca="false">Sens!$F$8334+(g_sub-Sens!$F$8334)*4/4</f>
        <v>0.07</v>
      </c>
      <c r="L8334" s="13" t="n">
        <f aca="false">g_sub</f>
        <v>0.07</v>
      </c>
      <c r="M8334" s="13" t="n">
        <f aca="false">g_sub</f>
        <v>0.07</v>
      </c>
      <c r="P8334" s="8" t="s">
        <v>677</v>
      </c>
    </row>
    <row r="8335" customFormat="false" ht="17.15" hidden="false" customHeight="false" outlineLevel="0" collapsed="false">
      <c r="A8335" s="0" t="s">
        <v>524</v>
      </c>
      <c r="B8335" s="0" t="s">
        <v>86</v>
      </c>
      <c r="C8335" s="38" t="n">
        <f aca="false">Q!$D$15</f>
        <v>5.425</v>
      </c>
      <c r="D8335" s="38" t="n">
        <f aca="false">Q!$E$15</f>
        <v>5.935</v>
      </c>
      <c r="E8335" s="38" t="n">
        <f aca="false">Q!$P$15</f>
        <v>3.474</v>
      </c>
      <c r="F8335" s="38" t="n">
        <f aca="false">Sens!$O$8335*(1+Sens!$F$8336)*Sens!$F$8337</f>
        <v>3.22246550883619</v>
      </c>
      <c r="G8335" s="38" t="n">
        <f aca="false">Sens!$E$8335+Sens!$F$8335</f>
        <v>6.69646550883619</v>
      </c>
      <c r="H8335" s="38" t="n">
        <f aca="false">Sens!$G$8335*(1+Sens!$H$8336)</f>
        <v>7.16251344209196</v>
      </c>
      <c r="I8335" s="38" t="n">
        <f aca="false">Sens!$H$8335*(1+Sens!$I$8336)</f>
        <v>7.61421070299826</v>
      </c>
      <c r="J8335" s="38" t="n">
        <f aca="false">Sens!$I$8335*(1+Sens!$J$8336)</f>
        <v>8.04465753523932</v>
      </c>
      <c r="K8335" s="38" t="n">
        <f aca="false">Sens!$J$8335*(1+Sens!$K$8336)</f>
        <v>8.44689041200128</v>
      </c>
      <c r="L8335" s="38" t="n">
        <f aca="false">Sens!$K$8335*(1+Sens!$L$8336)</f>
        <v>8.86923493260135</v>
      </c>
      <c r="M8335" s="38" t="n">
        <f aca="false">Sens!$L$8335*(1+Sens!$M$8336)</f>
        <v>9.31269667923142</v>
      </c>
      <c r="N8335" s="38" t="n">
        <f aca="false">Q!$N$15</f>
        <v>2.811</v>
      </c>
      <c r="O8335" s="38" t="n">
        <f aca="false">Q!$O$15</f>
        <v>3.124</v>
      </c>
      <c r="P8335" s="8" t="s">
        <v>667</v>
      </c>
    </row>
    <row r="8336" customFormat="false" ht="17.15" hidden="false" customHeight="false" outlineLevel="0" collapsed="false">
      <c r="A8336" s="0" t="s">
        <v>678</v>
      </c>
      <c r="B8336" s="0" t="s">
        <v>52</v>
      </c>
      <c r="E8336" s="13" t="n">
        <f aca="false">Sens!$E$8335/Sens!$N$8335-1</f>
        <v>0.235859124866596</v>
      </c>
      <c r="F8336" s="13" t="n">
        <f aca="false">Sens!$O$8335/(Q!$F$15+Q!$G$15)-1</f>
        <v>0.0761281433000345</v>
      </c>
      <c r="G8336" s="13" t="n">
        <f aca="false">Sens!$G$8335/Sens!$D$8335-1</f>
        <v>0.128300843948811</v>
      </c>
      <c r="H8336" s="13" t="n">
        <f aca="false">Sens!$F$8336+(g_ot-Sens!$F$8336)*1/4</f>
        <v>0.0695961074750259</v>
      </c>
      <c r="I8336" s="13" t="n">
        <f aca="false">Sens!$F$8336+(g_ot-Sens!$F$8336)*2/4</f>
        <v>0.0630640716500172</v>
      </c>
      <c r="J8336" s="13" t="n">
        <f aca="false">Sens!$F$8336+(g_ot-Sens!$F$8336)*3/4</f>
        <v>0.0565320358250086</v>
      </c>
      <c r="K8336" s="13" t="n">
        <f aca="false">Sens!$F$8336+(g_ot-Sens!$F$8336)*4/4</f>
        <v>0.05</v>
      </c>
      <c r="L8336" s="13" t="n">
        <f aca="false">g_ot</f>
        <v>0.05</v>
      </c>
      <c r="M8336" s="13" t="n">
        <f aca="false">g_ot</f>
        <v>0.05</v>
      </c>
      <c r="P8336" s="8" t="s">
        <v>679</v>
      </c>
    </row>
    <row r="8337" customFormat="false" ht="17.15" hidden="false" customHeight="false" outlineLevel="0" collapsed="false">
      <c r="A8337" s="0" t="s">
        <v>680</v>
      </c>
      <c r="B8337" s="0" t="s">
        <v>57</v>
      </c>
      <c r="F8337" s="40" t="n">
        <f aca="false">(g26q3_mid*Q!$O$8/Q!$J$8-Thesis!$F$86-Thesis!$F$90)/(Sens!$O$8325*(1+Sens!$F$8326)+Sens!$O$8327*(1+Sens!$F$8328)+Sens!$O$8329*(1+Sens!$F$8330)+Sens!$O$8331*(1+Sens!$F$8332)+Sens!$O$8333*(1+Sens!$F$8334)+Sens!$O$8335*(1+Sens!$F$8336))</f>
        <v>0.958546670622329</v>
      </c>
      <c r="P8337" s="8" t="s">
        <v>681</v>
      </c>
    </row>
    <row r="8338" customFormat="false" ht="17.15" hidden="false" customHeight="false" outlineLevel="0" collapsed="false">
      <c r="A8338" s="3" t="s">
        <v>682</v>
      </c>
      <c r="B8338" s="8" t="s">
        <v>86</v>
      </c>
      <c r="C8338" s="38" t="n">
        <f aca="false">Sens!$C$8325+Sens!$C$8327+Sens!$C$8329+Sens!$C$8331+Sens!$C$8333+Sens!$C$8335</f>
        <v>530.403</v>
      </c>
      <c r="D8338" s="38" t="n">
        <f aca="false">Sens!$D$8325+Sens!$D$8327+Sens!$D$8329+Sens!$D$8331+Sens!$D$8333+Sens!$D$8335</f>
        <v>588.199</v>
      </c>
      <c r="E8338" s="38" t="n">
        <f aca="false">Sens!$E$8325+Sens!$E$8327+Sens!$E$8329+Sens!$E$8331+Sens!$E$8333+Sens!$E$8335</f>
        <v>302.306</v>
      </c>
      <c r="F8338" s="38" t="n">
        <f aca="false">Sens!$F$8325+Sens!$F$8327+Sens!$F$8329+Sens!$F$8331+Sens!$F$8333+Sens!$F$8335</f>
        <v>349.048241645537</v>
      </c>
      <c r="G8338" s="38" t="n">
        <f aca="false">Sens!$G$8325+Sens!$G$8327+Sens!$G$8329+Sens!$G$8331+Sens!$G$8333+Sens!$G$8335</f>
        <v>651.354241645537</v>
      </c>
      <c r="H8338" s="38" t="n">
        <f aca="false">Sens!$H$8325+Sens!$H$8327+Sens!$H$8329+Sens!$H$8331+Sens!$H$8333+Sens!$H$8335</f>
        <v>721.096889521386</v>
      </c>
      <c r="I8338" s="38" t="n">
        <f aca="false">Sens!$I$8325+Sens!$I$8327+Sens!$I$8329+Sens!$I$8331+Sens!$I$8333+Sens!$I$8335</f>
        <v>788.529391152531</v>
      </c>
      <c r="J8338" s="38" t="n">
        <f aca="false">Sens!$J$8325+Sens!$J$8327+Sens!$J$8329+Sens!$J$8331+Sens!$J$8333+Sens!$J$8335</f>
        <v>851.108405741443</v>
      </c>
      <c r="K8338" s="38" t="n">
        <f aca="false">Sens!$K$8325+Sens!$K$8327+Sens!$K$8329+Sens!$K$8331+Sens!$K$8333+Sens!$K$8335</f>
        <v>906.176455431088</v>
      </c>
      <c r="L8338" s="38" t="n">
        <f aca="false">Sens!$L$8325+Sens!$L$8327+Sens!$L$8329+Sens!$L$8331+Sens!$L$8333+Sens!$L$8335</f>
        <v>965.093106475589</v>
      </c>
      <c r="M8338" s="38" t="n">
        <f aca="false">Sens!$M$8325+Sens!$M$8327+Sens!$M$8329+Sens!$M$8331+Sens!$M$8333+Sens!$M$8335</f>
        <v>1028.14790794689</v>
      </c>
      <c r="N8338" s="38" t="n">
        <f aca="false">Sens!$N$8325+Sens!$N$8327+Sens!$N$8329+Sens!$N$8331+Sens!$N$8333+Sens!$N$8335</f>
        <v>263.229</v>
      </c>
      <c r="O8338" s="38" t="n">
        <f aca="false">Sens!$O$8325+Sens!$O$8327+Sens!$O$8329+Sens!$O$8331+Sens!$O$8333+Sens!$O$8335</f>
        <v>324.97</v>
      </c>
    </row>
    <row r="8339" customFormat="false" ht="17.15" hidden="false" customHeight="false" outlineLevel="0" collapsed="false">
      <c r="A8339" s="5" t="s">
        <v>683</v>
      </c>
      <c r="B8339" s="0" t="s">
        <v>52</v>
      </c>
      <c r="C8339" s="13" t="n">
        <f aca="false">Q!$D$5/(Q!$D$5+Q!$D$6)</f>
        <v>0.730570905519011</v>
      </c>
      <c r="D8339" s="13" t="n">
        <f aca="false">Q!$E$5/(Q!$E$5+Q!$E$6)</f>
        <v>0.724763217890544</v>
      </c>
      <c r="E8339" s="13" t="n">
        <f aca="false">Q!$P$5/(Q!$P$5+Q!$P$6)</f>
        <v>0.728797972914861</v>
      </c>
      <c r="F8339" s="13" t="n">
        <f aca="false">Sens!$O$8339</f>
        <v>0.718066283041511</v>
      </c>
      <c r="G8339" s="13" t="n">
        <f aca="false">Sens!$G$8340/Sens!$G$8338</f>
        <v>0.723047066202847</v>
      </c>
      <c r="H8339" s="13" t="n">
        <f aca="false">Sens!$G$8339</f>
        <v>0.723047066202847</v>
      </c>
      <c r="I8339" s="13" t="n">
        <f aca="false">Sens!$G$8339</f>
        <v>0.723047066202847</v>
      </c>
      <c r="J8339" s="13" t="n">
        <f aca="false">Sens!$G$8339</f>
        <v>0.723047066202847</v>
      </c>
      <c r="K8339" s="13" t="n">
        <f aca="false">Sens!$G$8339</f>
        <v>0.723047066202847</v>
      </c>
      <c r="L8339" s="13" t="n">
        <f aca="false">Sens!$G$8339</f>
        <v>0.723047066202847</v>
      </c>
      <c r="M8339" s="13" t="n">
        <f aca="false">Sens!$G$8339</f>
        <v>0.723047066202847</v>
      </c>
      <c r="N8339" s="13" t="n">
        <f aca="false">Q!$N$5/(Q!$N$5+Q!$N$6)</f>
        <v>0.733030935041352</v>
      </c>
      <c r="O8339" s="13" t="n">
        <f aca="false">Q!$O$5/(Q!$O$5+Q!$O$6)</f>
        <v>0.718066283041511</v>
      </c>
      <c r="P8339" s="8" t="s">
        <v>684</v>
      </c>
    </row>
    <row r="8340" customFormat="false" ht="17.15" hidden="false" customHeight="false" outlineLevel="0" collapsed="false">
      <c r="A8340" s="1" t="s">
        <v>512</v>
      </c>
      <c r="B8340" s="8" t="s">
        <v>86</v>
      </c>
      <c r="C8340" s="38" t="n">
        <f aca="false">Q!$D$5</f>
        <v>387.497</v>
      </c>
      <c r="D8340" s="38" t="n">
        <f aca="false">Q!$E$5</f>
        <v>426.305</v>
      </c>
      <c r="E8340" s="38" t="n">
        <f aca="false">Q!$P$5</f>
        <v>220.32</v>
      </c>
      <c r="F8340" s="38" t="n">
        <f aca="false">Sens!$F$8338*Sens!$F$8339</f>
        <v>250.639773480586</v>
      </c>
      <c r="G8340" s="38" t="n">
        <f aca="false">Sens!$E$8340+Sens!$F$8340</f>
        <v>470.959773480586</v>
      </c>
      <c r="H8340" s="38" t="n">
        <f aca="false">Sens!$H$8338*Sens!$H$8339</f>
        <v>521.386990416437</v>
      </c>
      <c r="I8340" s="38" t="n">
        <f aca="false">Sens!$I$8338*Sens!$I$8339</f>
        <v>570.143862887555</v>
      </c>
      <c r="J8340" s="38" t="n">
        <f aca="false">Sens!$J$8338*Sens!$J$8339</f>
        <v>615.391435791933</v>
      </c>
      <c r="K8340" s="38" t="n">
        <f aca="false">Sens!$K$8338*Sens!$K$8339</f>
        <v>655.208227561543</v>
      </c>
      <c r="L8340" s="38" t="n">
        <f aca="false">Sens!$L$8338*Sens!$L$8339</f>
        <v>697.807739249767</v>
      </c>
      <c r="M8340" s="38" t="n">
        <f aca="false">Sens!$M$8338*Sens!$M$8339</f>
        <v>743.399328463592</v>
      </c>
      <c r="N8340" s="38" t="n">
        <f aca="false">Q!$N$5</f>
        <v>192.955</v>
      </c>
      <c r="O8340" s="38" t="n">
        <f aca="false">Q!$O$5</f>
        <v>233.35</v>
      </c>
      <c r="P8340" s="5" t="s">
        <v>685</v>
      </c>
    </row>
    <row r="8341" customFormat="false" ht="17.15" hidden="false" customHeight="false" outlineLevel="0" collapsed="false">
      <c r="A8341" s="1" t="s">
        <v>515</v>
      </c>
      <c r="B8341" s="8" t="s">
        <v>86</v>
      </c>
      <c r="C8341" s="38" t="n">
        <f aca="false">Q!$D$6</f>
        <v>142.906</v>
      </c>
      <c r="D8341" s="38" t="n">
        <f aca="false">Q!$E$6</f>
        <v>161.894</v>
      </c>
      <c r="E8341" s="38" t="n">
        <f aca="false">Q!$P$6</f>
        <v>81.986</v>
      </c>
      <c r="F8341" s="38" t="n">
        <f aca="false">Sens!$F$8338*(1-Sens!$F$8339)</f>
        <v>98.408468164951</v>
      </c>
      <c r="G8341" s="38" t="n">
        <f aca="false">Sens!$E$8341+Sens!$F$8341</f>
        <v>180.394468164951</v>
      </c>
      <c r="H8341" s="38" t="n">
        <f aca="false">Sens!$H$8338*(1-Sens!$H$8339)</f>
        <v>199.709899104949</v>
      </c>
      <c r="I8341" s="38" t="n">
        <f aca="false">Sens!$I$8338*(1-Sens!$I$8339)</f>
        <v>218.385528264976</v>
      </c>
      <c r="J8341" s="38" t="n">
        <f aca="false">Sens!$J$8338*(1-Sens!$J$8339)</f>
        <v>235.71696994951</v>
      </c>
      <c r="K8341" s="38" t="n">
        <f aca="false">Sens!$K$8338*(1-Sens!$K$8339)</f>
        <v>250.968227869545</v>
      </c>
      <c r="L8341" s="38" t="n">
        <f aca="false">Sens!$L$8338*(1-Sens!$L$8339)</f>
        <v>267.285367225822</v>
      </c>
      <c r="M8341" s="38" t="n">
        <f aca="false">Sens!$M$8338*(1-Sens!$M$8339)</f>
        <v>284.748579483295</v>
      </c>
      <c r="N8341" s="38" t="n">
        <f aca="false">Q!$N$6</f>
        <v>70.274</v>
      </c>
      <c r="O8341" s="38" t="n">
        <f aca="false">Q!$O$6</f>
        <v>91.62</v>
      </c>
      <c r="P8341" s="5" t="s">
        <v>686</v>
      </c>
    </row>
    <row r="8342" customFormat="false" ht="17.15" hidden="false" customHeight="false" outlineLevel="0" collapsed="false">
      <c r="A8342" s="5" t="s">
        <v>687</v>
      </c>
      <c r="B8342" s="0" t="s">
        <v>86</v>
      </c>
      <c r="C8342" s="38" t="n">
        <f aca="false">Sens!$C$8331*Sens!$C$8339</f>
        <v>41.0683128828457</v>
      </c>
      <c r="D8342" s="38" t="n">
        <f aca="false">Sens!$D$8331*Sens!$D$8339</f>
        <v>49.7441234599175</v>
      </c>
      <c r="E8342" s="38" t="n">
        <f aca="false">Sens!$E$8331*Sens!$E$8339</f>
        <v>27.0034224924414</v>
      </c>
      <c r="F8342" s="38" t="n">
        <f aca="false">Sens!$F$8331*Sens!$F$8339</f>
        <v>33.1439448330513</v>
      </c>
      <c r="G8342" s="38" t="n">
        <f aca="false">Sens!$G$8331*Sens!$G$8339</f>
        <v>60.164183844083</v>
      </c>
      <c r="H8342" s="38" t="n">
        <f aca="false">Sens!$H$8331*Sens!$H$8339</f>
        <v>72.2301766552629</v>
      </c>
      <c r="I8342" s="38" t="n">
        <f aca="false">Sens!$I$8331*Sens!$I$8339</f>
        <v>84.2950764463991</v>
      </c>
      <c r="J8342" s="38" t="n">
        <f aca="false">Sens!$J$8331*Sens!$J$8339</f>
        <v>95.5499047729386</v>
      </c>
      <c r="K8342" s="38" t="n">
        <f aca="false">Sens!$K$8331*Sens!$K$8339</f>
        <v>105.104895250232</v>
      </c>
      <c r="L8342" s="38" t="n">
        <f aca="false">Sens!$L$8331*Sens!$L$8339</f>
        <v>115.615384775256</v>
      </c>
      <c r="M8342" s="38" t="n">
        <f aca="false">Sens!$M$8331*Sens!$M$8339</f>
        <v>127.176923252781</v>
      </c>
      <c r="N8342" s="38" t="n">
        <f aca="false">Sens!$N$8331*Sens!$N$8339</f>
        <v>21.7087111412496</v>
      </c>
      <c r="O8342" s="38" t="n">
        <f aca="false">Sens!$O$8331*Sens!$O$8339</f>
        <v>28.0189463642798</v>
      </c>
      <c r="P8342" s="5" t="s">
        <v>688</v>
      </c>
    </row>
    <row r="8343" customFormat="false" ht="15" hidden="false" customHeight="false" outlineLevel="0" collapsed="false">
      <c r="A8343" s="5" t="s">
        <v>689</v>
      </c>
      <c r="B8343" s="0" t="s">
        <v>86</v>
      </c>
      <c r="C8343" s="38" t="n">
        <f aca="false">Sens!$C$8331-Sens!$C$8342</f>
        <v>15.1456871171543</v>
      </c>
      <c r="D8343" s="38" t="n">
        <f aca="false">Sens!$D$8331-Sens!$D$8342</f>
        <v>18.8908765400825</v>
      </c>
      <c r="E8343" s="38" t="n">
        <f aca="false">Sens!$E$8331-Sens!$E$8342</f>
        <v>10.0485775075586</v>
      </c>
      <c r="F8343" s="38" t="n">
        <f aca="false">Sens!$F$8331-Sens!$F$8342</f>
        <v>13.0132771613635</v>
      </c>
      <c r="G8343" s="38" t="n">
        <f aca="false">Sens!$G$8331-Sens!$G$8342</f>
        <v>23.0450381503318</v>
      </c>
      <c r="H8343" s="38" t="n">
        <f aca="false">Sens!$H$8331-Sens!$H$8342</f>
        <v>27.6667457326347</v>
      </c>
      <c r="I8343" s="38" t="n">
        <f aca="false">Sens!$I$8331-Sens!$I$8342</f>
        <v>32.2880346490971</v>
      </c>
      <c r="J8343" s="38" t="n">
        <f aca="false">Sens!$J$8331-Sens!$J$8342</f>
        <v>36.5990371690132</v>
      </c>
      <c r="K8343" s="38" t="n">
        <f aca="false">Sens!$K$8331-Sens!$K$8342</f>
        <v>40.2589408859145</v>
      </c>
      <c r="L8343" s="38" t="n">
        <f aca="false">Sens!$L$8331-Sens!$L$8342</f>
        <v>44.2848349745059</v>
      </c>
      <c r="M8343" s="38" t="n">
        <f aca="false">Sens!$M$8331-Sens!$M$8342</f>
        <v>48.7133184719565</v>
      </c>
      <c r="N8343" s="38" t="n">
        <f aca="false">Sens!$N$8331-Sens!$N$8342</f>
        <v>7.90628885875037</v>
      </c>
      <c r="O8343" s="38" t="n">
        <f aca="false">Sens!$O$8331-Sens!$O$8342</f>
        <v>11.0010536357202</v>
      </c>
    </row>
    <row r="8344" customFormat="false" ht="19.4" hidden="false" customHeight="false" outlineLevel="0" collapsed="false">
      <c r="A8344" s="31" t="s">
        <v>1306</v>
      </c>
    </row>
    <row r="8345" customFormat="false" ht="17.15" hidden="false" customHeight="false" outlineLevel="0" collapsed="false">
      <c r="A8345" s="6" t="s">
        <v>16</v>
      </c>
      <c r="B8345" s="6" t="s">
        <v>17</v>
      </c>
      <c r="C8345" s="20" t="s">
        <v>497</v>
      </c>
      <c r="D8345" s="20" t="s">
        <v>498</v>
      </c>
      <c r="E8345" s="20" t="s">
        <v>580</v>
      </c>
      <c r="F8345" s="20" t="s">
        <v>581</v>
      </c>
      <c r="G8345" s="20" t="s">
        <v>582</v>
      </c>
      <c r="H8345" s="20" t="s">
        <v>583</v>
      </c>
      <c r="I8345" s="20" t="s">
        <v>584</v>
      </c>
      <c r="J8345" s="20" t="s">
        <v>585</v>
      </c>
      <c r="K8345" s="20" t="s">
        <v>586</v>
      </c>
      <c r="L8345" s="20" t="s">
        <v>587</v>
      </c>
      <c r="M8345" s="20" t="s">
        <v>588</v>
      </c>
      <c r="N8345" s="20" t="s">
        <v>589</v>
      </c>
      <c r="O8345" s="20" t="s">
        <v>590</v>
      </c>
      <c r="P8345" s="6" t="s">
        <v>23</v>
      </c>
      <c r="R8345" s="20" t="n">
        <v>2023</v>
      </c>
      <c r="S8345" s="20" t="n">
        <v>2024</v>
      </c>
      <c r="T8345" s="20" t="n">
        <v>2025</v>
      </c>
      <c r="U8345" s="20" t="n">
        <v>2026</v>
      </c>
      <c r="V8345" s="20" t="n">
        <v>2027</v>
      </c>
      <c r="W8345" s="20" t="n">
        <v>2028</v>
      </c>
      <c r="X8345" s="20" t="n">
        <v>2029</v>
      </c>
      <c r="Y8345" s="20" t="n">
        <v>2030</v>
      </c>
      <c r="Z8345" s="20" t="n">
        <v>2031</v>
      </c>
      <c r="AA8345" s="20" t="n">
        <v>2032</v>
      </c>
    </row>
    <row r="8346" customFormat="false" ht="17.15" hidden="false" customHeight="false" outlineLevel="0" collapsed="false">
      <c r="A8346" s="1" t="s">
        <v>591</v>
      </c>
    </row>
    <row r="8347" customFormat="false" ht="17.15" hidden="false" customHeight="false" outlineLevel="0" collapsed="false">
      <c r="A8347" s="5" t="s">
        <v>592</v>
      </c>
      <c r="B8347" s="0" t="s">
        <v>144</v>
      </c>
      <c r="H8347" s="32" t="n">
        <f aca="false">pace_B</f>
        <v>3634.3</v>
      </c>
      <c r="I8347" s="32" t="n">
        <f aca="false">pace_B</f>
        <v>3634.3</v>
      </c>
      <c r="J8347" s="32" t="n">
        <f aca="false">pace_B</f>
        <v>3634.3</v>
      </c>
      <c r="K8347" s="32" t="n">
        <f aca="false">pace_B+(Sens!$J$8348*tg_lo-pace_B)*1/3</f>
        <v>2521.53366666667</v>
      </c>
      <c r="L8347" s="32" t="n">
        <f aca="false">pace_B+(Sens!$J$8348*tg_lo-pace_B)*2/3</f>
        <v>1408.76733333333</v>
      </c>
      <c r="M8347" s="32" t="n">
        <f aca="false">pace_B+(Sens!$J$8348*tg_lo-pace_B)*3/3</f>
        <v>296.001</v>
      </c>
      <c r="P8347" s="5" t="s">
        <v>593</v>
      </c>
    </row>
    <row r="8348" customFormat="false" ht="17.15" hidden="false" customHeight="false" outlineLevel="0" collapsed="false">
      <c r="A8348" s="15" t="s">
        <v>594</v>
      </c>
      <c r="B8348" s="14" t="s">
        <v>129</v>
      </c>
      <c r="C8348" s="33" t="n">
        <f aca="false">mw_ye24</f>
        <v>360</v>
      </c>
      <c r="D8348" s="33" t="n">
        <f aca="false">mw_ye25</f>
        <v>1440</v>
      </c>
      <c r="E8348" s="33" t="n">
        <f aca="false">mw_open</f>
        <v>2080</v>
      </c>
      <c r="F8348" s="33" t="n">
        <f aca="false">Sens!$E$8348+pace_B*0.5</f>
        <v>3897.15</v>
      </c>
      <c r="G8348" s="33" t="n">
        <f aca="false">Sens!$F$8348</f>
        <v>3897.15</v>
      </c>
      <c r="H8348" s="33" t="n">
        <f aca="false">Sens!$G$8348+Sens!$H$8347</f>
        <v>7531.45</v>
      </c>
      <c r="I8348" s="33" t="n">
        <f aca="false">Sens!$H$8348+Sens!$I$8347</f>
        <v>11165.75</v>
      </c>
      <c r="J8348" s="33" t="n">
        <f aca="false">Sens!$I$8348+Sens!$J$8347</f>
        <v>14800.05</v>
      </c>
      <c r="K8348" s="33" t="n">
        <f aca="false">Sens!$J$8348+Sens!$K$8347</f>
        <v>17321.5836666667</v>
      </c>
      <c r="L8348" s="33" t="n">
        <f aca="false">Sens!$K$8348+Sens!$L$8347</f>
        <v>18730.351</v>
      </c>
      <c r="M8348" s="33" t="n">
        <f aca="false">Sens!$L$8348+Sens!$M$8347</f>
        <v>19026.352</v>
      </c>
      <c r="N8348" s="33" t="n">
        <f aca="false">(mw_ye24+mw_ye25)/2</f>
        <v>900</v>
      </c>
      <c r="O8348" s="33" t="n">
        <f aca="false">mw_ye25</f>
        <v>1440</v>
      </c>
      <c r="P8348" s="5" t="s">
        <v>595</v>
      </c>
    </row>
    <row r="8349" customFormat="false" ht="17.15" hidden="false" customHeight="false" outlineLevel="0" collapsed="false">
      <c r="A8349" s="5" t="s">
        <v>596</v>
      </c>
      <c r="B8349" s="0" t="s">
        <v>129</v>
      </c>
      <c r="C8349" s="32" t="n">
        <f aca="false">(mw_ye23+mw_ye24)/2</f>
        <v>240</v>
      </c>
      <c r="D8349" s="32" t="n">
        <f aca="false">(Sens!$C$8348+Sens!$D$8348)/2</f>
        <v>900</v>
      </c>
      <c r="E8349" s="32" t="n">
        <f aca="false">(Sens!$D$8348+Sens!$E$8348)/2</f>
        <v>1760</v>
      </c>
      <c r="F8349" s="32" t="n">
        <f aca="false">(Sens!$E$8348+Sens!$F$8348)/2</f>
        <v>2988.575</v>
      </c>
      <c r="G8349" s="32" t="n">
        <f aca="false">(Sens!$E$8349+Sens!$F$8349)/2</f>
        <v>2374.2875</v>
      </c>
      <c r="H8349" s="32" t="n">
        <f aca="false">(Sens!$G$8348+Sens!$H$8348)/2</f>
        <v>5714.3</v>
      </c>
      <c r="I8349" s="32" t="n">
        <f aca="false">(Sens!$H$8348+Sens!$I$8348)/2</f>
        <v>9348.6</v>
      </c>
      <c r="J8349" s="32" t="n">
        <f aca="false">(Sens!$I$8348+Sens!$J$8348)/2</f>
        <v>12982.9</v>
      </c>
      <c r="K8349" s="32" t="n">
        <f aca="false">(Sens!$J$8348+Sens!$K$8348)/2</f>
        <v>16060.8168333333</v>
      </c>
      <c r="L8349" s="32" t="n">
        <f aca="false">(Sens!$K$8348+Sens!$L$8348)/2</f>
        <v>18025.9673333333</v>
      </c>
      <c r="M8349" s="32" t="n">
        <f aca="false">(Sens!$L$8348+Sens!$M$8348)/2</f>
        <v>18878.3515</v>
      </c>
      <c r="N8349" s="32" t="n">
        <f aca="false">(Sens!$C$8348+Sens!$N$8348)/2</f>
        <v>630</v>
      </c>
      <c r="O8349" s="32" t="n">
        <f aca="false">(Sens!$N$8348+Sens!$O$8348)/2</f>
        <v>1170</v>
      </c>
    </row>
    <row r="8350" customFormat="false" ht="15" hidden="false" customHeight="false" outlineLevel="0" collapsed="false">
      <c r="A8350" s="5" t="s">
        <v>597</v>
      </c>
      <c r="B8350" s="5" t="s">
        <v>123</v>
      </c>
      <c r="C8350" s="34" t="n">
        <v>1</v>
      </c>
      <c r="D8350" s="34" t="n">
        <v>1</v>
      </c>
      <c r="E8350" s="34" t="n">
        <v>0.5</v>
      </c>
      <c r="F8350" s="34" t="n">
        <v>0.5</v>
      </c>
      <c r="G8350" s="34" t="n">
        <v>1</v>
      </c>
      <c r="H8350" s="34" t="n">
        <v>1</v>
      </c>
      <c r="I8350" s="34" t="n">
        <v>1</v>
      </c>
      <c r="J8350" s="34" t="n">
        <v>1</v>
      </c>
      <c r="K8350" s="34" t="n">
        <v>1</v>
      </c>
      <c r="L8350" s="34" t="n">
        <v>1</v>
      </c>
      <c r="M8350" s="34" t="n">
        <v>1</v>
      </c>
      <c r="N8350" s="34" t="n">
        <v>0.5</v>
      </c>
      <c r="O8350" s="34" t="n">
        <v>0.5</v>
      </c>
    </row>
    <row r="8351" customFormat="false" ht="17.15" hidden="false" customHeight="false" outlineLevel="0" collapsed="false">
      <c r="A8351" s="5" t="s">
        <v>598</v>
      </c>
      <c r="B8351" s="0" t="s">
        <v>129</v>
      </c>
      <c r="C8351" s="32" t="n">
        <f aca="false">Sens!$C$8348-mw_ye23</f>
        <v>240</v>
      </c>
      <c r="D8351" s="32" t="n">
        <f aca="false">Sens!$D$8348-Sens!$C$8348</f>
        <v>1080</v>
      </c>
      <c r="E8351" s="32" t="n">
        <f aca="false">Sens!$E$8348-Sens!$D$8348</f>
        <v>640</v>
      </c>
      <c r="F8351" s="32" t="n">
        <f aca="false">Sens!$F$8348-Sens!$E$8348</f>
        <v>1817.15</v>
      </c>
      <c r="G8351" s="32" t="n">
        <f aca="false">Sens!$E$8351+Sens!$F$8351</f>
        <v>2457.15</v>
      </c>
      <c r="H8351" s="32" t="n">
        <f aca="false">Sens!$H$8348-Sens!$G$8348</f>
        <v>3634.3</v>
      </c>
      <c r="I8351" s="32" t="n">
        <f aca="false">Sens!$I$8348-Sens!$H$8348</f>
        <v>3634.3</v>
      </c>
      <c r="J8351" s="32" t="n">
        <f aca="false">Sens!$J$8348-Sens!$I$8348</f>
        <v>3634.3</v>
      </c>
      <c r="K8351" s="32" t="n">
        <f aca="false">Sens!$K$8348-Sens!$J$8348</f>
        <v>2521.53366666667</v>
      </c>
      <c r="L8351" s="32" t="n">
        <f aca="false">Sens!$L$8348-Sens!$K$8348</f>
        <v>1408.76733333333</v>
      </c>
      <c r="M8351" s="32" t="n">
        <f aca="false">Sens!$M$8348-Sens!$L$8348</f>
        <v>296.001</v>
      </c>
      <c r="N8351" s="32" t="n">
        <f aca="false">Sens!$N$8348-Sens!$C$8348</f>
        <v>540</v>
      </c>
      <c r="O8351" s="32" t="n">
        <f aca="false">Sens!$O$8348-Sens!$N$8348</f>
        <v>540</v>
      </c>
    </row>
    <row r="8352" customFormat="false" ht="17.15" hidden="false" customHeight="false" outlineLevel="0" collapsed="false">
      <c r="A8352" s="5" t="s">
        <v>599</v>
      </c>
      <c r="B8352" s="0" t="s">
        <v>129</v>
      </c>
      <c r="C8352" s="32" t="n">
        <f aca="false">Sens!$C$8351/ext_sh</f>
        <v>300</v>
      </c>
      <c r="D8352" s="32" t="n">
        <f aca="false">Sens!$D$8351/ext_sh</f>
        <v>1350</v>
      </c>
      <c r="E8352" s="32" t="n">
        <f aca="false">Sens!$E$8351/ext_sh</f>
        <v>800</v>
      </c>
      <c r="F8352" s="32" t="n">
        <f aca="false">Sens!$F$8351/ext_sh</f>
        <v>2271.4375</v>
      </c>
      <c r="G8352" s="32" t="n">
        <f aca="false">Sens!$G$8351/ext_sh</f>
        <v>3071.4375</v>
      </c>
      <c r="H8352" s="32" t="n">
        <f aca="false">Sens!$H$8351/ext_sh</f>
        <v>4542.875</v>
      </c>
      <c r="I8352" s="32" t="n">
        <f aca="false">Sens!$I$8351/ext_sh</f>
        <v>4542.875</v>
      </c>
      <c r="J8352" s="32" t="n">
        <f aca="false">Sens!$J$8351/ext_sh</f>
        <v>4542.875</v>
      </c>
      <c r="K8352" s="32" t="n">
        <f aca="false">Sens!$K$8351/ext_sh</f>
        <v>3151.91708333333</v>
      </c>
      <c r="L8352" s="32" t="n">
        <f aca="false">Sens!$L$8351/ext_sh</f>
        <v>1760.95916666667</v>
      </c>
      <c r="M8352" s="32" t="n">
        <f aca="false">Sens!$M$8351/ext_sh</f>
        <v>370.00125</v>
      </c>
      <c r="N8352" s="32" t="n">
        <f aca="false">Sens!$N$8351/ext_sh</f>
        <v>675</v>
      </c>
      <c r="O8352" s="32" t="n">
        <f aca="false">Sens!$O$8351/ext_sh</f>
        <v>675</v>
      </c>
      <c r="P8352" s="8" t="s">
        <v>600</v>
      </c>
      <c r="R8352" s="32" t="n">
        <f aca="false">mw_ye23/ext_sh</f>
        <v>150</v>
      </c>
      <c r="S8352" s="32" t="n">
        <f aca="false">Sens!$C$8352</f>
        <v>300</v>
      </c>
      <c r="T8352" s="32" t="n">
        <f aca="false">Sens!$D$8352</f>
        <v>1350</v>
      </c>
      <c r="U8352" s="32" t="n">
        <f aca="false">Sens!$G$8352</f>
        <v>3071.4375</v>
      </c>
      <c r="V8352" s="32" t="n">
        <f aca="false">Sens!$H$8352</f>
        <v>4542.875</v>
      </c>
      <c r="W8352" s="32" t="n">
        <f aca="false">Sens!$I$8352</f>
        <v>4542.875</v>
      </c>
      <c r="X8352" s="32" t="n">
        <f aca="false">Sens!$J$8352</f>
        <v>4542.875</v>
      </c>
      <c r="Y8352" s="32" t="n">
        <f aca="false">Sens!$K$8352</f>
        <v>3151.91708333333</v>
      </c>
      <c r="Z8352" s="32" t="n">
        <f aca="false">Sens!$L$8352</f>
        <v>1760.95916666667</v>
      </c>
      <c r="AA8352" s="32" t="n">
        <f aca="false">Sens!$M$8352</f>
        <v>370.00125</v>
      </c>
    </row>
    <row r="8353" customFormat="false" ht="17.15" hidden="false" customHeight="false" outlineLevel="0" collapsed="false">
      <c r="A8353" s="1" t="s">
        <v>601</v>
      </c>
    </row>
    <row r="8354" customFormat="false" ht="17.15" hidden="false" customHeight="false" outlineLevel="0" collapsed="false">
      <c r="A8354" s="0" t="s">
        <v>602</v>
      </c>
      <c r="B8354" s="0" t="s">
        <v>52</v>
      </c>
      <c r="F8354" s="35" t="n">
        <f aca="false">na_vr26</f>
        <v>0</v>
      </c>
      <c r="G8354" s="35" t="n">
        <f aca="false">na_vr26</f>
        <v>0</v>
      </c>
      <c r="H8354" s="35" t="n">
        <f aca="false">na_vr27</f>
        <v>0.5</v>
      </c>
      <c r="I8354" s="35" t="n">
        <f aca="false">na_vr28</f>
        <v>1</v>
      </c>
      <c r="J8354" s="35" t="n">
        <f aca="false">na_vr28</f>
        <v>1</v>
      </c>
      <c r="K8354" s="35" t="n">
        <f aca="false">na_vr28</f>
        <v>1</v>
      </c>
      <c r="L8354" s="35" t="n">
        <f aca="false">na_vr28</f>
        <v>1</v>
      </c>
      <c r="M8354" s="35" t="n">
        <f aca="false">na_vr28</f>
        <v>1</v>
      </c>
    </row>
    <row r="8355" customFormat="false" ht="17.15" hidden="false" customHeight="false" outlineLevel="0" collapsed="false">
      <c r="A8355" s="5" t="s">
        <v>603</v>
      </c>
      <c r="B8355" s="0" t="s">
        <v>173</v>
      </c>
      <c r="F8355" s="36" t="n">
        <f aca="false">cust_sh*tk_he_gb300*cf_chip+(1-cust_sh)*((1-Sens!$F$8354)*tk_he_gb300+Sens!$F$8354*tk_he_vr200)</f>
        <v>10.8864110021101</v>
      </c>
      <c r="G8355" s="36" t="n">
        <f aca="false">cust_sh*tk_he_gb300*cf_chip+(1-cust_sh)*((1-Sens!$G$8354)*tk_he_gb300+Sens!$G$8354*tk_he_vr200)</f>
        <v>10.8864110021101</v>
      </c>
      <c r="H8355" s="36" t="n">
        <f aca="false">cust_sh*tk_he_gb300*cf_chip+(1-cust_sh)*((1-Sens!$H$8354)*tk_he_gb300+Sens!$H$8354*tk_he_vr200)</f>
        <v>11.2211760027286</v>
      </c>
      <c r="I8355" s="36" t="n">
        <f aca="false">cust_sh*tk_he_gb300*cf_chip+(1-cust_sh)*((1-Sens!$I$8354)*tk_he_gb300+Sens!$I$8354*tk_he_vr200)</f>
        <v>11.5559410033471</v>
      </c>
      <c r="J8355" s="36" t="n">
        <f aca="false">cust_sh*tk_he_gb300*cf_chip+(1-cust_sh)*((1-Sens!$J$8354)*tk_he_gb300+Sens!$J$8354*tk_he_vr200)</f>
        <v>11.5559410033471</v>
      </c>
      <c r="K8355" s="36" t="n">
        <f aca="false">cust_sh*tk_he_gb300*cf_chip+(1-cust_sh)*((1-Sens!$K$8354)*tk_he_gb300+Sens!$K$8354*tk_he_vr200)</f>
        <v>11.5559410033471</v>
      </c>
      <c r="L8355" s="36" t="n">
        <f aca="false">cust_sh*tk_he_gb300*cf_chip+(1-cust_sh)*((1-Sens!$L$8354)*tk_he_gb300+Sens!$L$8354*tk_he_vr200)</f>
        <v>11.5559410033471</v>
      </c>
      <c r="M8355" s="36" t="n">
        <f aca="false">cust_sh*tk_he_gb300*cf_chip+(1-cust_sh)*((1-Sens!$M$8354)*tk_he_gb300+Sens!$M$8354*tk_he_vr200)</f>
        <v>11.5559410033471</v>
      </c>
    </row>
    <row r="8356" customFormat="false" ht="17.15" hidden="false" customHeight="false" outlineLevel="0" collapsed="false">
      <c r="A8356" s="5" t="s">
        <v>604</v>
      </c>
      <c r="B8356" s="0" t="s">
        <v>173</v>
      </c>
      <c r="F8356" s="36" t="n">
        <f aca="false">cust_sh*tk_ox_gb300+(1-cust_sh)*((1-Sens!$F$8354)*tk_ox_gb300+Sens!$F$8354*tk_ox_vr200)</f>
        <v>1.98263481314457</v>
      </c>
      <c r="G8356" s="36" t="n">
        <f aca="false">cust_sh*tk_ox_gb300+(1-cust_sh)*((1-Sens!$G$8354)*tk_ox_gb300+Sens!$G$8354*tk_ox_vr200)</f>
        <v>1.98263481314457</v>
      </c>
      <c r="H8356" s="36" t="n">
        <f aca="false">cust_sh*tk_ox_gb300+(1-cust_sh)*((1-Sens!$H$8354)*tk_ox_gb300+Sens!$H$8354*tk_ox_vr200)</f>
        <v>2.01034999693694</v>
      </c>
      <c r="I8356" s="36" t="n">
        <f aca="false">cust_sh*tk_ox_gb300+(1-cust_sh)*((1-Sens!$I$8354)*tk_ox_gb300+Sens!$I$8354*tk_ox_vr200)</f>
        <v>2.0380651807293</v>
      </c>
      <c r="J8356" s="36" t="n">
        <f aca="false">cust_sh*tk_ox_gb300+(1-cust_sh)*((1-Sens!$J$8354)*tk_ox_gb300+Sens!$J$8354*tk_ox_vr200)</f>
        <v>2.0380651807293</v>
      </c>
      <c r="K8356" s="36" t="n">
        <f aca="false">cust_sh*tk_ox_gb300+(1-cust_sh)*((1-Sens!$K$8354)*tk_ox_gb300+Sens!$K$8354*tk_ox_vr200)</f>
        <v>2.0380651807293</v>
      </c>
      <c r="L8356" s="36" t="n">
        <f aca="false">cust_sh*tk_ox_gb300+(1-cust_sh)*((1-Sens!$L$8354)*tk_ox_gb300+Sens!$L$8354*tk_ox_vr200)</f>
        <v>2.0380651807293</v>
      </c>
      <c r="M8356" s="36" t="n">
        <f aca="false">cust_sh*tk_ox_gb300+(1-cust_sh)*((1-Sens!$M$8354)*tk_ox_gb300+Sens!$M$8354*tk_ox_vr200)</f>
        <v>2.0380651807293</v>
      </c>
    </row>
    <row r="8357" customFormat="false" ht="17.15" hidden="false" customHeight="false" outlineLevel="0" collapsed="false">
      <c r="A8357" s="5" t="s">
        <v>605</v>
      </c>
      <c r="B8357" s="0" t="s">
        <v>192</v>
      </c>
      <c r="F8357" s="36" t="n">
        <f aca="false">cust_sh*tk_cx_gb300*cf_cx+(1-cust_sh)*((1-Sens!$F$8354)*tk_cx_gb300+Sens!$F$8354*tk_cx_vr200)</f>
        <v>32.237224</v>
      </c>
      <c r="G8357" s="36" t="n">
        <f aca="false">cust_sh*tk_cx_gb300*cf_cx+(1-cust_sh)*((1-Sens!$G$8354)*tk_cx_gb300+Sens!$G$8354*tk_cx_vr200)</f>
        <v>32.237224</v>
      </c>
      <c r="H8357" s="36" t="n">
        <f aca="false">cust_sh*tk_cx_gb300*cf_cx+(1-cust_sh)*((1-Sens!$H$8354)*tk_cx_gb300+Sens!$H$8354*tk_cx_vr200)</f>
        <v>33.574506</v>
      </c>
      <c r="I8357" s="36" t="n">
        <f aca="false">cust_sh*tk_cx_gb300*cf_cx+(1-cust_sh)*((1-Sens!$I$8354)*tk_cx_gb300+Sens!$I$8354*tk_cx_vr200)</f>
        <v>34.911788</v>
      </c>
      <c r="J8357" s="36" t="n">
        <f aca="false">cust_sh*tk_cx_gb300*cf_cx+(1-cust_sh)*((1-Sens!$J$8354)*tk_cx_gb300+Sens!$J$8354*tk_cx_vr200)</f>
        <v>34.911788</v>
      </c>
      <c r="K8357" s="36" t="n">
        <f aca="false">cust_sh*tk_cx_gb300*cf_cx+(1-cust_sh)*((1-Sens!$K$8354)*tk_cx_gb300+Sens!$K$8354*tk_cx_vr200)</f>
        <v>34.911788</v>
      </c>
      <c r="L8357" s="36" t="n">
        <f aca="false">cust_sh*tk_cx_gb300*cf_cx+(1-cust_sh)*((1-Sens!$L$8354)*tk_cx_gb300+Sens!$L$8354*tk_cx_vr200)</f>
        <v>34.911788</v>
      </c>
      <c r="M8357" s="36" t="n">
        <f aca="false">cust_sh*tk_cx_gb300*cf_cx+(1-cust_sh)*((1-Sens!$M$8354)*tk_cx_gb300+Sens!$M$8354*tk_cx_vr200)</f>
        <v>34.911788</v>
      </c>
    </row>
    <row r="8358" customFormat="false" ht="17.15" hidden="false" customHeight="false" outlineLevel="0" collapsed="false">
      <c r="A8358" s="5" t="s">
        <v>606</v>
      </c>
      <c r="B8358" s="0" t="s">
        <v>129</v>
      </c>
      <c r="F8358" s="32" t="n">
        <f aca="false">Sens!$F$8348-mw_open</f>
        <v>1817.15</v>
      </c>
      <c r="G8358" s="32" t="n">
        <f aca="false">Sens!$F$8358</f>
        <v>1817.15</v>
      </c>
      <c r="H8358" s="32" t="n">
        <f aca="false">Sens!$H$8348-mw_open</f>
        <v>5451.45</v>
      </c>
      <c r="I8358" s="32" t="n">
        <f aca="false">Sens!$I$8348-mw_open</f>
        <v>9085.75</v>
      </c>
      <c r="J8358" s="32" t="n">
        <f aca="false">Sens!$J$8348-mw_open</f>
        <v>12720.05</v>
      </c>
      <c r="K8358" s="32" t="n">
        <f aca="false">Sens!$K$8348-mw_open</f>
        <v>15241.5836666667</v>
      </c>
      <c r="L8358" s="32" t="n">
        <f aca="false">Sens!$L$8348-mw_open</f>
        <v>16650.351</v>
      </c>
      <c r="M8358" s="32" t="n">
        <f aca="false">Sens!$M$8348-mw_open</f>
        <v>16946.352</v>
      </c>
    </row>
    <row r="8359" customFormat="false" ht="17.15" hidden="false" customHeight="false" outlineLevel="0" collapsed="false">
      <c r="A8359" s="0" t="s">
        <v>607</v>
      </c>
      <c r="B8359" s="0" t="s">
        <v>608</v>
      </c>
      <c r="F8359" s="32" t="n">
        <f aca="false">Sens!$F$8351*Sens!$F$8355</f>
        <v>19782.2417524844</v>
      </c>
      <c r="G8359" s="32" t="n">
        <f aca="false">Sens!$F$8359</f>
        <v>19782.2417524844</v>
      </c>
      <c r="H8359" s="32" t="n">
        <f aca="false">Sens!$G$8359+Sens!$H$8351*Sens!$H$8355</f>
        <v>60563.3616992009</v>
      </c>
      <c r="I8359" s="32" t="n">
        <f aca="false">Sens!$H$8359+Sens!$I$8351*Sens!$I$8355</f>
        <v>102561.118087665</v>
      </c>
      <c r="J8359" s="32" t="n">
        <f aca="false">Sens!$I$8359+Sens!$J$8351*Sens!$J$8355</f>
        <v>144558.87447613</v>
      </c>
      <c r="K8359" s="32" t="n">
        <f aca="false">Sens!$J$8359+Sens!$K$8351*Sens!$K$8355</f>
        <v>173697.568766083</v>
      </c>
      <c r="L8359" s="32" t="n">
        <f aca="false">Sens!$K$8359+Sens!$L$8351*Sens!$L$8355</f>
        <v>189977.200957526</v>
      </c>
      <c r="M8359" s="32" t="n">
        <f aca="false">Sens!$L$8359+Sens!$M$8351*Sens!$M$8355</f>
        <v>193397.771050458</v>
      </c>
    </row>
    <row r="8360" customFormat="false" ht="17.15" hidden="false" customHeight="false" outlineLevel="0" collapsed="false">
      <c r="A8360" s="0" t="s">
        <v>609</v>
      </c>
      <c r="B8360" s="0" t="s">
        <v>608</v>
      </c>
      <c r="F8360" s="32" t="n">
        <f aca="false">Sens!$F$8351*Sens!$F$8356</f>
        <v>3602.74485070566</v>
      </c>
      <c r="G8360" s="32" t="n">
        <f aca="false">Sens!$F$8360</f>
        <v>3602.74485070566</v>
      </c>
      <c r="H8360" s="32" t="n">
        <f aca="false">Sens!$G$8360+Sens!$H$8351*Sens!$H$8356</f>
        <v>10908.9598445736</v>
      </c>
      <c r="I8360" s="32" t="n">
        <f aca="false">Sens!$H$8360+Sens!$I$8351*Sens!$I$8356</f>
        <v>18315.9001308981</v>
      </c>
      <c r="J8360" s="32" t="n">
        <f aca="false">Sens!$I$8360+Sens!$J$8351*Sens!$J$8356</f>
        <v>25722.8404172225</v>
      </c>
      <c r="K8360" s="32" t="n">
        <f aca="false">Sens!$J$8360+Sens!$K$8351*Sens!$K$8356</f>
        <v>30861.8903852926</v>
      </c>
      <c r="L8360" s="32" t="n">
        <f aca="false">Sens!$K$8360+Sens!$L$8351*Sens!$L$8356</f>
        <v>33733.0500351081</v>
      </c>
      <c r="M8360" s="32" t="n">
        <f aca="false">Sens!$L$8360+Sens!$M$8351*Sens!$M$8356</f>
        <v>34336.3193666691</v>
      </c>
    </row>
    <row r="8361" customFormat="false" ht="17.15" hidden="false" customHeight="false" outlineLevel="0" collapsed="false">
      <c r="A8361" s="5" t="s">
        <v>610</v>
      </c>
      <c r="B8361" s="0" t="s">
        <v>173</v>
      </c>
      <c r="F8361" s="36" t="n">
        <f aca="false">IF(Sens!$F$8358&gt;0,Sens!$F$8359/Sens!$F$8358,Sens!$F$8355)</f>
        <v>10.8864110021101</v>
      </c>
      <c r="G8361" s="36" t="n">
        <f aca="false">IF(Sens!$G$8358&gt;0,Sens!$G$8359/Sens!$G$8358,Sens!$G$8355)</f>
        <v>10.8864110021101</v>
      </c>
      <c r="H8361" s="36" t="n">
        <f aca="false">IF(Sens!$H$8358&gt;0,Sens!$H$8359/Sens!$H$8358,Sens!$H$8355)</f>
        <v>11.1095876691891</v>
      </c>
      <c r="I8361" s="36" t="n">
        <f aca="false">IF(Sens!$I$8358&gt;0,Sens!$I$8359/Sens!$I$8358,Sens!$I$8355)</f>
        <v>11.2881290028523</v>
      </c>
      <c r="J8361" s="36" t="n">
        <f aca="false">IF(Sens!$J$8358&gt;0,Sens!$J$8359/Sens!$J$8358,Sens!$J$8355)</f>
        <v>11.3646467172794</v>
      </c>
      <c r="K8361" s="36" t="n">
        <f aca="false">IF(Sens!$K$8358&gt;0,Sens!$K$8359/Sens!$K$8358,Sens!$K$8355)</f>
        <v>11.3962940180527</v>
      </c>
      <c r="L8361" s="36" t="n">
        <f aca="false">IF(Sens!$L$8358&gt;0,Sens!$L$8359/Sens!$L$8358,Sens!$L$8355)</f>
        <v>11.4098015685991</v>
      </c>
      <c r="M8361" s="36" t="n">
        <f aca="false">IF(Sens!$M$8358&gt;0,Sens!$M$8359/Sens!$M$8358,Sens!$M$8355)</f>
        <v>11.4123541780825</v>
      </c>
    </row>
    <row r="8362" customFormat="false" ht="17.15" hidden="false" customHeight="false" outlineLevel="0" collapsed="false">
      <c r="A8362" s="5" t="s">
        <v>611</v>
      </c>
      <c r="B8362" s="0" t="s">
        <v>173</v>
      </c>
      <c r="F8362" s="36" t="n">
        <f aca="false">IF(Sens!$F$8358&gt;0,Sens!$F$8360/Sens!$F$8358,Sens!$F$8356)</f>
        <v>1.98263481314457</v>
      </c>
      <c r="G8362" s="36" t="n">
        <f aca="false">IF(Sens!$G$8358&gt;0,Sens!$G$8360/Sens!$G$8358,Sens!$G$8356)</f>
        <v>1.98263481314457</v>
      </c>
      <c r="H8362" s="36" t="n">
        <f aca="false">IF(Sens!$H$8358&gt;0,Sens!$H$8360/Sens!$H$8358,Sens!$H$8356)</f>
        <v>2.00111160233948</v>
      </c>
      <c r="I8362" s="36" t="n">
        <f aca="false">IF(Sens!$I$8358&gt;0,Sens!$I$8360/Sens!$I$8358,Sens!$I$8356)</f>
        <v>2.01589303369541</v>
      </c>
      <c r="J8362" s="36" t="n">
        <f aca="false">IF(Sens!$J$8358&gt;0,Sens!$J$8360/Sens!$J$8358,Sens!$J$8356)</f>
        <v>2.02222793284795</v>
      </c>
      <c r="K8362" s="36" t="n">
        <f aca="false">IF(Sens!$K$8358&gt;0,Sens!$K$8360/Sens!$K$8358,Sens!$K$8356)</f>
        <v>2.02484801187606</v>
      </c>
      <c r="L8362" s="36" t="n">
        <f aca="false">IF(Sens!$L$8358&gt;0,Sens!$L$8360/Sens!$L$8358,Sens!$L$8356)</f>
        <v>2.02596630155773</v>
      </c>
      <c r="M8362" s="36" t="n">
        <f aca="false">IF(Sens!$M$8358&gt;0,Sens!$M$8360/Sens!$M$8358,Sens!$M$8356)</f>
        <v>2.02617763201597</v>
      </c>
    </row>
    <row r="8363" customFormat="false" ht="17.15" hidden="false" customHeight="false" outlineLevel="0" collapsed="false">
      <c r="A8363" s="15" t="s">
        <v>612</v>
      </c>
      <c r="B8363" s="14" t="s">
        <v>173</v>
      </c>
      <c r="C8363" s="14"/>
      <c r="D8363" s="14"/>
      <c r="E8363" s="14"/>
      <c r="F8363" s="37" t="n">
        <f aca="false">Sens!$F$8361*k_B</f>
        <v>10.7987645808025</v>
      </c>
      <c r="G8363" s="37" t="n">
        <f aca="false">Sens!$G$8361*k_B</f>
        <v>10.7987645808025</v>
      </c>
      <c r="H8363" s="37" t="n">
        <f aca="false">Sens!$H$8361*k_B</f>
        <v>11.0201444540452</v>
      </c>
      <c r="I8363" s="37" t="n">
        <f aca="false">Sens!$I$8361*k_B</f>
        <v>11.1972483526393</v>
      </c>
      <c r="J8363" s="37" t="n">
        <f aca="false">Sens!$J$8361*k_B</f>
        <v>11.2731500234653</v>
      </c>
      <c r="K8363" s="37" t="n">
        <f aca="false">Sens!$K$8361*k_B</f>
        <v>11.3045425320343</v>
      </c>
      <c r="L8363" s="37" t="n">
        <f aca="false">Sens!$L$8361*k_B</f>
        <v>11.3179413333826</v>
      </c>
      <c r="M8363" s="37" t="n">
        <f aca="false">Sens!$M$8361*k_B</f>
        <v>11.3204733918244</v>
      </c>
      <c r="N8363" s="14"/>
      <c r="O8363" s="14"/>
      <c r="P8363" s="5" t="s">
        <v>613</v>
      </c>
    </row>
    <row r="8364" customFormat="false" ht="17.15" hidden="false" customHeight="false" outlineLevel="0" collapsed="false">
      <c r="A8364" s="5" t="s">
        <v>614</v>
      </c>
      <c r="B8364" s="0" t="s">
        <v>129</v>
      </c>
      <c r="F8364" s="32" t="n">
        <f aca="false">Sens!$F$8358/2</f>
        <v>908.575</v>
      </c>
      <c r="H8364" s="32" t="n">
        <f aca="false">(Sens!$G$8358+Sens!$H$8358)/2</f>
        <v>3634.3</v>
      </c>
      <c r="I8364" s="32" t="n">
        <f aca="false">(Sens!$H$8358+Sens!$I$8358)/2</f>
        <v>7268.6</v>
      </c>
      <c r="J8364" s="32" t="n">
        <f aca="false">(Sens!$I$8358+Sens!$J$8358)/2</f>
        <v>10902.9</v>
      </c>
      <c r="K8364" s="32" t="n">
        <f aca="false">(Sens!$J$8358+Sens!$K$8358)/2</f>
        <v>13980.8168333333</v>
      </c>
      <c r="L8364" s="32" t="n">
        <f aca="false">(Sens!$K$8358+Sens!$L$8358)/2</f>
        <v>15945.9673333333</v>
      </c>
      <c r="M8364" s="32" t="n">
        <f aca="false">(Sens!$L$8358+Sens!$M$8358)/2</f>
        <v>16798.3515</v>
      </c>
    </row>
    <row r="8365" customFormat="false" ht="17.15" hidden="false" customHeight="false" outlineLevel="0" collapsed="false">
      <c r="A8365" s="1" t="s">
        <v>615</v>
      </c>
    </row>
    <row r="8366" customFormat="false" ht="17.15" hidden="false" customHeight="false" outlineLevel="0" collapsed="false">
      <c r="A8366" s="1" t="s">
        <v>616</v>
      </c>
      <c r="B8366" s="8" t="s">
        <v>86</v>
      </c>
      <c r="C8366" s="38" t="n">
        <f aca="false">Sens!$C$8349*rpm_open*Sens!$C$8350/1000</f>
        <v>2.32100535697364</v>
      </c>
      <c r="D8366" s="38" t="n">
        <f aca="false">Sens!$D$8349*rpm_open*Sens!$D$8350/1000</f>
        <v>8.70377008865116</v>
      </c>
      <c r="E8366" s="38" t="n">
        <f aca="false">Sens!$E$8349*rpm_open*Sens!$E$8350/1000</f>
        <v>8.51035297557002</v>
      </c>
      <c r="F8366" s="38" t="n">
        <f aca="false">(mw_open*rpm_open+Sens!$F$8364*Sens!$F$8363)*Sens!$F$8350/1000</f>
        <v>14.9634336447205</v>
      </c>
      <c r="G8366" s="38" t="n">
        <f aca="false">Sens!$E$8366+Sens!$F$8366</f>
        <v>23.4737866202905</v>
      </c>
      <c r="H8366" s="38" t="n">
        <f aca="false">(mw_open*rpm_open+Sens!$H$8364*Sens!$H$8363)/1000</f>
        <v>60.1658907497746</v>
      </c>
      <c r="I8366" s="38" t="n">
        <f aca="false">(mw_open*rpm_open+Sens!$I$8364*Sens!$I$8363)/1000</f>
        <v>101.503699136432</v>
      </c>
      <c r="J8366" s="38" t="n">
        <f aca="false">(mw_open*rpm_open+Sens!$J$8364*Sens!$J$8363)/1000</f>
        <v>143.025407151278</v>
      </c>
      <c r="K8366" s="38" t="n">
        <f aca="false">(mw_open*rpm_open+Sens!$K$8364*Sens!$K$8363)/1000</f>
        <v>178.162118285436</v>
      </c>
      <c r="L8366" s="38" t="n">
        <f aca="false">(mw_open*rpm_open+Sens!$L$8364*Sens!$L$8363)/1000</f>
        <v>200.590902543141</v>
      </c>
      <c r="M8366" s="38" t="n">
        <f aca="false">(mw_open*rpm_open+Sens!$M$8364*Sens!$M$8363)/1000</f>
        <v>210.280670942702</v>
      </c>
      <c r="N8366" s="38" t="n">
        <f aca="false">Sens!$N$8349*rpm_open*Sens!$N$8350/1000</f>
        <v>3.04631953102791</v>
      </c>
      <c r="O8366" s="38" t="n">
        <f aca="false">Sens!$O$8349*rpm_open*Sens!$O$8350/1000</f>
        <v>5.65745055762326</v>
      </c>
      <c r="P8366" s="5" t="s">
        <v>617</v>
      </c>
    </row>
    <row r="8367" customFormat="false" ht="17.15" hidden="false" customHeight="false" outlineLevel="0" collapsed="false">
      <c r="A8367" s="5" t="s">
        <v>618</v>
      </c>
      <c r="B8367" s="0" t="s">
        <v>173</v>
      </c>
      <c r="C8367" s="36" t="n">
        <f aca="false">Sens!$C$8366*1000/(Sens!$C$8349*Sens!$C$8350)</f>
        <v>9.67085565405685</v>
      </c>
      <c r="D8367" s="36" t="n">
        <f aca="false">Sens!$D$8366*1000/(Sens!$D$8349*Sens!$D$8350)</f>
        <v>9.67085565405685</v>
      </c>
      <c r="E8367" s="36" t="n">
        <f aca="false">Sens!$E$8366*1000/(Sens!$E$8349*Sens!$E$8350)</f>
        <v>9.67085565405685</v>
      </c>
      <c r="F8367" s="36" t="n">
        <f aca="false">Sens!$F$8366*1000/(Sens!$F$8349*Sens!$F$8350)</f>
        <v>10.0137581588017</v>
      </c>
      <c r="G8367" s="36" t="n">
        <f aca="false">Sens!$G$8366*1000/(Sens!$G$8349*Sens!$G$8350)</f>
        <v>9.88666562928478</v>
      </c>
      <c r="H8367" s="36" t="n">
        <f aca="false">Sens!$H$8366*1000/(Sens!$H$8349*Sens!$H$8350)</f>
        <v>10.5290045586992</v>
      </c>
      <c r="I8367" s="36" t="n">
        <f aca="false">Sens!$I$8366*1000/(Sens!$I$8349*Sens!$I$8350)</f>
        <v>10.8576363451674</v>
      </c>
      <c r="J8367" s="36" t="n">
        <f aca="false">Sens!$J$8366*1000/(Sens!$J$8349*Sens!$J$8350)</f>
        <v>11.0164452588619</v>
      </c>
      <c r="K8367" s="36" t="n">
        <f aca="false">Sens!$K$8366*1000/(Sens!$K$8349*Sens!$K$8350)</f>
        <v>11.0929674458194</v>
      </c>
      <c r="L8367" s="36" t="n">
        <f aca="false">Sens!$L$8366*1000/(Sens!$L$8349*Sens!$L$8350)</f>
        <v>11.1278856126745</v>
      </c>
      <c r="M8367" s="36" t="n">
        <f aca="false">Sens!$M$8366*1000/(Sens!$M$8349*Sens!$M$8350)</f>
        <v>11.1387199747129</v>
      </c>
      <c r="N8367" s="36" t="n">
        <f aca="false">Sens!$N$8366*1000/(Sens!$N$8349*Sens!$N$8350)</f>
        <v>9.67085565405685</v>
      </c>
      <c r="O8367" s="36" t="n">
        <f aca="false">Sens!$O$8366*1000/(Sens!$O$8349*Sens!$O$8350)</f>
        <v>9.67085565405685</v>
      </c>
    </row>
    <row r="8368" customFormat="false" ht="17.15" hidden="false" customHeight="false" outlineLevel="0" collapsed="false">
      <c r="A8368" s="0" t="s">
        <v>619</v>
      </c>
      <c r="B8368" s="0" t="s">
        <v>86</v>
      </c>
      <c r="C8368" s="38" t="n">
        <f aca="false">Sens!$C$8349/ext_sh*(ox_open+rent_mw)*Sens!$C$8350/1000</f>
        <v>0.642569210675032</v>
      </c>
      <c r="D8368" s="38" t="n">
        <f aca="false">Sens!$D$8349/ext_sh*(ox_open+rent_mw)*Sens!$D$8350/1000</f>
        <v>2.40963454003137</v>
      </c>
      <c r="E8368" s="38" t="n">
        <f aca="false">Sens!$E$8349/ext_sh*(ox_open+rent_mw)*Sens!$E$8350/1000</f>
        <v>2.35608710580845</v>
      </c>
      <c r="F8368" s="38" t="n">
        <f aca="false">((mw_open*ox_open+Sens!$F$8364*Sens!$F$8362)/ext_sh+Sens!$F$8349/ext_sh*rent_mw)*Sens!$F$8350/1000</f>
        <v>4.05421991106232</v>
      </c>
      <c r="G8368" s="38" t="n">
        <f aca="false">Sens!$E$8368+Sens!$F$8368</f>
        <v>6.41030701687077</v>
      </c>
      <c r="H8368" s="38" t="n">
        <f aca="false">((mw_open*ox_open+Sens!$H$8364*Sens!$H$8362)/ext_sh+Sens!$H$8349/ext_sh*rent_mw)*Sens!$H$8350/1000</f>
        <v>15.8108975546616</v>
      </c>
      <c r="I8368" s="38" t="n">
        <f aca="false">((mw_open*ox_open+Sens!$I$8364*Sens!$I$8362)/ext_sh+Sens!$I$8349/ext_sh*rent_mw)*Sens!$I$8350/1000</f>
        <v>26.1871623400817</v>
      </c>
      <c r="J8368" s="38" t="n">
        <f aca="false">((mw_open*ox_open+Sens!$J$8364*Sens!$J$8362)/ext_sh+Sens!$J$8349/ext_sh*rent_mw)*Sens!$J$8350/1000</f>
        <v>36.5826128954935</v>
      </c>
      <c r="K8368" s="38" t="n">
        <f aca="false">((mw_open*ox_open+Sens!$K$8364*Sens!$K$8362)/ext_sh+Sens!$K$8349/ext_sh*rent_mw)*Sens!$K$8350/1000</f>
        <v>45.3836433528648</v>
      </c>
      <c r="L8368" s="38" t="n">
        <f aca="false">((mw_open*ox_open+Sens!$L$8364*Sens!$L$8362)/ext_sh+Sens!$L$8349/ext_sh*rent_mw)*Sens!$L$8350/1000</f>
        <v>51.0023088908591</v>
      </c>
      <c r="M8368" s="38" t="n">
        <f aca="false">((mw_open*ox_open+Sens!$M$8364*Sens!$M$8362)/ext_sh+Sens!$M$8349/ext_sh*rent_mw)*Sens!$M$8350/1000</f>
        <v>53.4353660768611</v>
      </c>
      <c r="N8368" s="38" t="n">
        <f aca="false">Sens!$N$8349/ext_sh*(ox_open+rent_mw)*Sens!$N$8350/1000</f>
        <v>0.84337208901098</v>
      </c>
      <c r="O8368" s="38" t="n">
        <f aca="false">Sens!$O$8349/ext_sh*(ox_open+rent_mw)*Sens!$O$8350/1000</f>
        <v>1.56626245102039</v>
      </c>
    </row>
    <row r="8369" customFormat="false" ht="17.15" hidden="false" customHeight="false" outlineLevel="0" collapsed="false">
      <c r="A8369" s="0" t="s">
        <v>620</v>
      </c>
      <c r="B8369" s="0" t="s">
        <v>86</v>
      </c>
      <c r="C8369" s="38" t="n">
        <f aca="false">Q!$D$7</f>
        <v>107.556</v>
      </c>
      <c r="D8369" s="38" t="n">
        <f aca="false">Q!$E$7</f>
        <v>128.725</v>
      </c>
      <c r="E8369" s="38" t="n">
        <f aca="false">Q!$P$7</f>
        <v>79.819</v>
      </c>
      <c r="N8369" s="38" t="n">
        <f aca="false">Q!$N$7</f>
        <v>60.14</v>
      </c>
      <c r="O8369" s="38" t="n">
        <f aca="false">Q!$O$7</f>
        <v>68.585</v>
      </c>
    </row>
    <row r="8370" customFormat="false" ht="17.15" hidden="false" customHeight="false" outlineLevel="0" collapsed="false">
      <c r="A8370" s="1" t="s">
        <v>621</v>
      </c>
      <c r="B8370" s="8" t="s">
        <v>86</v>
      </c>
      <c r="C8370" s="38" t="n">
        <f aca="false">Sens!$C$8369-Sens!$C$8366</f>
        <v>105.234994643026</v>
      </c>
      <c r="D8370" s="38" t="n">
        <f aca="false">Sens!$D$8369-Sens!$D$8366</f>
        <v>120.021229911349</v>
      </c>
      <c r="E8370" s="38" t="n">
        <f aca="false">Sens!$E$8369-Sens!$E$8366</f>
        <v>71.30864702443</v>
      </c>
      <c r="F8370" s="38" t="n">
        <f aca="false">Sens!$O$8370*(1+Sens!$F$8371)</f>
        <v>71.7692997942464</v>
      </c>
      <c r="G8370" s="38" t="n">
        <f aca="false">Sens!$E$8370+Sens!$F$8370</f>
        <v>143.077946818676</v>
      </c>
      <c r="H8370" s="38" t="n">
        <f aca="false">Sens!$G$8370*(1+Sens!$H$8371)</f>
        <v>161.017077079203</v>
      </c>
      <c r="I8370" s="38" t="n">
        <f aca="false">Sens!$H$8370*(1+Sens!$I$8371)</f>
        <v>178.769759521457</v>
      </c>
      <c r="J8370" s="38" t="n">
        <f aca="false">Sens!$I$8370*(1+Sens!$J$8371)</f>
        <v>195.775538045907</v>
      </c>
      <c r="K8370" s="38" t="n">
        <f aca="false">Sens!$J$8370*(1+Sens!$K$8371)</f>
        <v>211.43758108958</v>
      </c>
      <c r="L8370" s="38" t="n">
        <f aca="false">Sens!$K$8370*(1+Sens!$L$8371)</f>
        <v>228.352587576746</v>
      </c>
      <c r="M8370" s="38" t="n">
        <f aca="false">Sens!$L$8370*(1+Sens!$M$8371)</f>
        <v>246.620794582886</v>
      </c>
      <c r="N8370" s="38" t="n">
        <f aca="false">Sens!$N$8369-Sens!$N$8366</f>
        <v>57.0936804689721</v>
      </c>
      <c r="O8370" s="38" t="n">
        <f aca="false">Sens!$O$8369-Sens!$O$8366</f>
        <v>62.9275494423768</v>
      </c>
      <c r="P8370" s="5" t="s">
        <v>622</v>
      </c>
    </row>
    <row r="8371" customFormat="false" ht="17.15" hidden="false" customHeight="false" outlineLevel="0" collapsed="false">
      <c r="A8371" s="0" t="s">
        <v>623</v>
      </c>
      <c r="B8371" s="0" t="s">
        <v>52</v>
      </c>
      <c r="D8371" s="13" t="n">
        <f aca="false">Sens!$D$8370/Sens!$C$8370-1</f>
        <v>0.140506827776062</v>
      </c>
      <c r="E8371" s="13" t="n">
        <f aca="false">Sens!$E$8370/Sens!$N$8370-1</f>
        <v>0.248976181579029</v>
      </c>
      <c r="F8371" s="13" t="n">
        <f aca="false">Sens!$D$8371</f>
        <v>0.140506827776062</v>
      </c>
      <c r="G8371" s="13" t="n">
        <f aca="false">Sens!$G$8370/Sens!$D$8370-1</f>
        <v>0.19210532106993</v>
      </c>
      <c r="H8371" s="13" t="n">
        <f aca="false">Sens!$F$8371+(g_awso_lt-Sens!$F$8371)*1/4</f>
        <v>0.125380120832046</v>
      </c>
      <c r="I8371" s="13" t="n">
        <f aca="false">Sens!$F$8371+(g_awso_lt-Sens!$F$8371)*2/4</f>
        <v>0.110253413888031</v>
      </c>
      <c r="J8371" s="13" t="n">
        <f aca="false">Sens!$F$8371+(g_awso_lt-Sens!$F$8371)*3/4</f>
        <v>0.0951267069440154</v>
      </c>
      <c r="K8371" s="13" t="n">
        <f aca="false">Sens!$F$8371+(g_awso_lt-Sens!$F$8371)*4/4</f>
        <v>0.08</v>
      </c>
      <c r="L8371" s="13" t="n">
        <f aca="false">g_awso_lt</f>
        <v>0.08</v>
      </c>
      <c r="M8371" s="13" t="n">
        <f aca="false">g_awso_lt</f>
        <v>0.08</v>
      </c>
      <c r="P8371" s="5" t="s">
        <v>624</v>
      </c>
    </row>
    <row r="8372" customFormat="false" ht="17.15" hidden="false" customHeight="false" outlineLevel="0" collapsed="false">
      <c r="A8372" s="1" t="s">
        <v>625</v>
      </c>
    </row>
    <row r="8373" customFormat="false" ht="17.15" hidden="false" customHeight="false" outlineLevel="0" collapsed="false">
      <c r="A8373" s="0" t="s">
        <v>626</v>
      </c>
      <c r="B8373" s="0" t="s">
        <v>86</v>
      </c>
      <c r="F8373" s="38" t="n">
        <f aca="false">cx_rt*Sens!$F$8338+cx_awso*Sens!$F$8370</f>
        <v>34.9734495387866</v>
      </c>
    </row>
    <row r="8374" customFormat="false" ht="17.15" hidden="false" customHeight="false" outlineLevel="0" collapsed="false">
      <c r="A8374" s="0" t="s">
        <v>627</v>
      </c>
      <c r="B8374" s="0" t="s">
        <v>52</v>
      </c>
      <c r="C8374" s="13" t="n">
        <f aca="false">tk_cx_h100/(tk_cx_h100+tk_fac*(1-colo_sh))</f>
        <v>0.730756458006641</v>
      </c>
      <c r="D8374" s="13" t="n">
        <f aca="false">tk_cx_h100/(tk_cx_h100+tk_fac*(1-colo_sh))</f>
        <v>0.730756458006641</v>
      </c>
      <c r="E8374" s="13" t="n">
        <f aca="false">Sens!$F$8374</f>
        <v>0.760792334328868</v>
      </c>
      <c r="F8374" s="13" t="n">
        <f aca="false">Sens!$F$8357/(Sens!$F$8357+tk_fac*(1-colo_sh))</f>
        <v>0.760792334328868</v>
      </c>
      <c r="G8374" s="13" t="n">
        <f aca="false">Sens!$G$8357/(Sens!$G$8357+tk_fac*(1-colo_sh))</f>
        <v>0.760792334328868</v>
      </c>
      <c r="H8374" s="13" t="n">
        <f aca="false">Sens!$H$8357/(Sens!$H$8357+tk_fac*(1-colo_sh))</f>
        <v>0.768110668862996</v>
      </c>
      <c r="I8374" s="13" t="n">
        <f aca="false">Sens!$I$8357/(Sens!$I$8357+tk_fac*(1-colo_sh))</f>
        <v>0.77499450139483</v>
      </c>
      <c r="J8374" s="13" t="n">
        <f aca="false">Sens!$J$8357/(Sens!$J$8357+tk_fac*(1-colo_sh))</f>
        <v>0.77499450139483</v>
      </c>
      <c r="K8374" s="13" t="n">
        <f aca="false">Sens!$K$8357/(Sens!$K$8357+tk_fac*(1-colo_sh))</f>
        <v>0.77499450139483</v>
      </c>
      <c r="L8374" s="13" t="n">
        <f aca="false">Sens!$L$8357/(Sens!$L$8357+tk_fac*(1-colo_sh))</f>
        <v>0.77499450139483</v>
      </c>
      <c r="M8374" s="13" t="n">
        <f aca="false">Sens!$M$8357/(Sens!$M$8357+tk_fac*(1-colo_sh))</f>
        <v>0.77499450139483</v>
      </c>
    </row>
    <row r="8375" customFormat="false" ht="17.15" hidden="false" customHeight="false" outlineLevel="0" collapsed="false">
      <c r="A8375" s="1" t="s">
        <v>628</v>
      </c>
      <c r="B8375" s="8" t="s">
        <v>86</v>
      </c>
      <c r="C8375" s="38" t="n">
        <f aca="false">Q!$D$46-cx_rt*Q!$D$16-cx_awso*Sens!$C$8370</f>
        <v>25.2781053077374</v>
      </c>
      <c r="D8375" s="38" t="n">
        <f aca="false">Q!$E$46-cx_rt*Q!$E$16-cx_awso*Sens!$D$8370</f>
        <v>69.5686316310026</v>
      </c>
      <c r="E8375" s="38" t="n">
        <f aca="false">Q!$P$46-cx_rt*Q!$P$16-cx_awso*Sens!$E$8370</f>
        <v>64.1899206485108</v>
      </c>
      <c r="F8375" s="38" t="n">
        <f aca="false">MAX(Sens!$F$8352*(Sens!$F$8357+tk_fac*(1-colo_sh))/1000,capex_g26-Q!$P$46-Sens!$F$8373)</f>
        <v>96.2481299895</v>
      </c>
      <c r="G8375" s="38" t="n">
        <f aca="false">Sens!$E$8375+Sens!$F$8375</f>
        <v>160.438050638011</v>
      </c>
      <c r="H8375" s="38" t="n">
        <f aca="false">Sens!$H$8352*(Sens!$H$8357+tk_fac*(1-colo_sh))/1000+Sens!$H$8376</f>
        <v>198.57136494475</v>
      </c>
      <c r="I8375" s="38" t="n">
        <f aca="false">Sens!$I$8352*(Sens!$I$8357+tk_fac*(1-colo_sh))/1000+Sens!$I$8376</f>
        <v>204.6464699105</v>
      </c>
      <c r="J8375" s="38" t="n">
        <f aca="false">Sens!$J$8352*(Sens!$J$8357+tk_fac*(1-colo_sh))/1000+Sens!$J$8376</f>
        <v>209.8832381105</v>
      </c>
      <c r="K8375" s="38" t="n">
        <f aca="false">Sens!$K$8352*(Sens!$K$8357+tk_fac*(1-colo_sh))/1000+Sens!$K$8376</f>
        <v>152.460428963578</v>
      </c>
      <c r="L8375" s="38" t="n">
        <f aca="false">Sens!$L$8352*(Sens!$L$8357+tk_fac*(1-colo_sh))/1000+Sens!$L$8376</f>
        <v>126.458229016657</v>
      </c>
      <c r="M8375" s="38" t="n">
        <f aca="false">Sens!$M$8352*(Sens!$M$8357+tk_fac*(1-colo_sh))/1000+Sens!$M$8376</f>
        <v>123.897112724985</v>
      </c>
      <c r="P8375" s="5" t="s">
        <v>629</v>
      </c>
      <c r="R8375" s="38" t="n">
        <f aca="false">Q!$C$46-cx_rt*Q!$C$16-cx_awso*(Q!$C$7-mw_ye23/2*rpm_open/1000)</f>
        <v>1.50429979529945</v>
      </c>
      <c r="S8375" s="38" t="n">
        <f aca="false">Sens!$C$8375</f>
        <v>25.2781053077374</v>
      </c>
      <c r="T8375" s="38" t="n">
        <f aca="false">Sens!$D$8375</f>
        <v>69.5686316310026</v>
      </c>
      <c r="U8375" s="38" t="n">
        <f aca="false">Sens!$G$8375</f>
        <v>160.438050638011</v>
      </c>
      <c r="V8375" s="38" t="n">
        <f aca="false">Sens!$H$8375</f>
        <v>198.57136494475</v>
      </c>
      <c r="W8375" s="38" t="n">
        <f aca="false">Sens!$I$8375</f>
        <v>204.6464699105</v>
      </c>
      <c r="X8375" s="38" t="n">
        <f aca="false">Sens!$J$8375</f>
        <v>209.8832381105</v>
      </c>
      <c r="Y8375" s="38" t="n">
        <f aca="false">Sens!$K$8375</f>
        <v>152.460428963578</v>
      </c>
      <c r="Z8375" s="38" t="n">
        <f aca="false">Sens!$L$8375</f>
        <v>126.458229016657</v>
      </c>
      <c r="AA8375" s="38" t="n">
        <f aca="false">Sens!$M$8375</f>
        <v>123.897112724985</v>
      </c>
    </row>
    <row r="8376" customFormat="false" ht="17.15" hidden="false" customHeight="false" outlineLevel="0" collapsed="false">
      <c r="A8376" s="0" t="s">
        <v>630</v>
      </c>
      <c r="B8376" s="0" t="s">
        <v>86</v>
      </c>
      <c r="H8376" s="38" t="n">
        <f aca="false">SUMPRODUCT(--(Sens!$R$8345:$AA$8345=2027-tk_life),Sens!$R$8352:$AA$8352)*Sens!$H$8357/1000</f>
        <v>0</v>
      </c>
      <c r="I8376" s="38" t="n">
        <f aca="false">SUMPRODUCT(--(Sens!$R$8345:$AA$8345=2028-tk_life),Sens!$R$8352:$AA$8352)*Sens!$I$8357/1000</f>
        <v>0</v>
      </c>
      <c r="J8376" s="38" t="n">
        <f aca="false">SUMPRODUCT(--(Sens!$R$8345:$AA$8345=2029-tk_life),Sens!$R$8352:$AA$8352)*Sens!$J$8357/1000</f>
        <v>5.2367682</v>
      </c>
      <c r="K8376" s="38" t="n">
        <f aca="false">SUMPRODUCT(--(Sens!$R$8345:$AA$8345=2030-tk_life),Sens!$R$8352:$AA$8352)*Sens!$K$8357/1000</f>
        <v>10.4735364</v>
      </c>
      <c r="L8376" s="38" t="n">
        <f aca="false">SUMPRODUCT(--(Sens!$R$8345:$AA$8345=2031-tk_life),Sens!$R$8352:$AA$8352)*Sens!$L$8357/1000</f>
        <v>47.1309138</v>
      </c>
      <c r="M8376" s="38" t="n">
        <f aca="false">SUMPRODUCT(--(Sens!$R$8345:$AA$8345=2032-tk_life),Sens!$R$8352:$AA$8352)*Sens!$M$8357/1000</f>
        <v>107.22937485525</v>
      </c>
    </row>
    <row r="8377" customFormat="false" ht="17.15" hidden="false" customHeight="false" outlineLevel="0" collapsed="false">
      <c r="A8377" s="0" t="s">
        <v>631</v>
      </c>
      <c r="B8377" s="0" t="s">
        <v>86</v>
      </c>
      <c r="C8377" s="38" t="n">
        <f aca="false">MIN(Sens!$C$8375,Sens!$C$8352*(tk_cx_h100+tk_fac*(1-colo_sh))/1000)</f>
        <v>11.2938642</v>
      </c>
      <c r="D8377" s="38" t="n">
        <f aca="false">MIN(Sens!$D$8375,Sens!$D$8352*(tk_cx_h100+tk_fac*(1-colo_sh))/1000)</f>
        <v>50.8223889</v>
      </c>
      <c r="E8377" s="38" t="n">
        <f aca="false">MIN(Sens!$E$8375,Sens!$E$8352*(Sens!$F$8357+tk_fac*(1-colo_sh))/1000)</f>
        <v>33.8985792</v>
      </c>
      <c r="F8377" s="38" t="n">
        <f aca="false">Sens!$F$8375</f>
        <v>96.2481299895</v>
      </c>
      <c r="G8377" s="38" t="n">
        <f aca="false">Sens!$E$8377+Sens!$F$8377</f>
        <v>130.1467091895</v>
      </c>
      <c r="H8377" s="38" t="n">
        <f aca="false">Sens!$H$8375</f>
        <v>198.57136494475</v>
      </c>
      <c r="I8377" s="38" t="n">
        <f aca="false">Sens!$I$8375</f>
        <v>204.6464699105</v>
      </c>
      <c r="J8377" s="38" t="n">
        <f aca="false">Sens!$J$8375</f>
        <v>209.8832381105</v>
      </c>
      <c r="K8377" s="38" t="n">
        <f aca="false">Sens!$K$8375</f>
        <v>152.460428963578</v>
      </c>
      <c r="L8377" s="38" t="n">
        <f aca="false">Sens!$L$8375</f>
        <v>126.458229016657</v>
      </c>
      <c r="M8377" s="38" t="n">
        <f aca="false">Sens!$M$8375</f>
        <v>123.897112724985</v>
      </c>
      <c r="P8377" s="5" t="s">
        <v>632</v>
      </c>
      <c r="R8377" s="38" t="n">
        <f aca="false">MIN(Sens!$R$8375,Sens!$R$8352*(tk_cx_h100+tk_fac*(1-colo_sh))/1000)</f>
        <v>1.50429979529945</v>
      </c>
      <c r="S8377" s="38" t="n">
        <f aca="false">Sens!$C$8377</f>
        <v>11.2938642</v>
      </c>
      <c r="T8377" s="38" t="n">
        <f aca="false">Sens!$D$8377</f>
        <v>50.8223889</v>
      </c>
      <c r="U8377" s="38" t="n">
        <f aca="false">Sens!$G$8377</f>
        <v>130.1467091895</v>
      </c>
      <c r="V8377" s="38" t="n">
        <f aca="false">Sens!$H$8377</f>
        <v>198.57136494475</v>
      </c>
      <c r="W8377" s="38" t="n">
        <f aca="false">Sens!$I$8377</f>
        <v>204.6464699105</v>
      </c>
      <c r="X8377" s="38" t="n">
        <f aca="false">Sens!$J$8377</f>
        <v>209.8832381105</v>
      </c>
      <c r="Y8377" s="38" t="n">
        <f aca="false">Sens!$K$8377</f>
        <v>152.460428963578</v>
      </c>
      <c r="Z8377" s="38" t="n">
        <f aca="false">Sens!$L$8377</f>
        <v>126.458229016657</v>
      </c>
      <c r="AA8377" s="38" t="n">
        <f aca="false">Sens!$M$8377</f>
        <v>123.897112724985</v>
      </c>
    </row>
    <row r="8378" customFormat="false" ht="17.15" hidden="false" customHeight="false" outlineLevel="0" collapsed="false">
      <c r="A8378" s="5" t="s">
        <v>633</v>
      </c>
      <c r="B8378" s="0" t="s">
        <v>86</v>
      </c>
      <c r="C8378" s="38" t="n">
        <f aca="false">Sens!$C$8375-Sens!$C$8377</f>
        <v>13.9842411077374</v>
      </c>
      <c r="D8378" s="38" t="n">
        <f aca="false">Sens!$D$8375-Sens!$D$8377</f>
        <v>18.7462427310026</v>
      </c>
      <c r="E8378" s="38" t="n">
        <f aca="false">Sens!$E$8375-Sens!$E$8377</f>
        <v>30.2913414485108</v>
      </c>
      <c r="F8378" s="38" t="n">
        <f aca="false">Sens!$F$8375-Sens!$F$8377</f>
        <v>0</v>
      </c>
      <c r="G8378" s="38" t="n">
        <f aca="false">Sens!$G$8375-Sens!$G$8377</f>
        <v>30.2913414485108</v>
      </c>
      <c r="H8378" s="38" t="n">
        <f aca="false">Sens!$H$8375-Sens!$H$8377</f>
        <v>0</v>
      </c>
      <c r="I8378" s="38" t="n">
        <f aca="false">Sens!$I$8375-Sens!$I$8377</f>
        <v>0</v>
      </c>
      <c r="J8378" s="38" t="n">
        <f aca="false">Sens!$J$8375-Sens!$J$8377</f>
        <v>0</v>
      </c>
      <c r="K8378" s="38" t="n">
        <f aca="false">Sens!$K$8375-Sens!$K$8377</f>
        <v>0</v>
      </c>
      <c r="L8378" s="38" t="n">
        <f aca="false">Sens!$L$8375-Sens!$L$8377</f>
        <v>0</v>
      </c>
      <c r="M8378" s="38" t="n">
        <f aca="false">Sens!$M$8375-Sens!$M$8377</f>
        <v>0</v>
      </c>
    </row>
    <row r="8379" customFormat="false" ht="17.15" hidden="false" customHeight="false" outlineLevel="0" collapsed="false">
      <c r="A8379" s="5" t="s">
        <v>634</v>
      </c>
      <c r="B8379" s="0" t="s">
        <v>86</v>
      </c>
      <c r="C8379" s="38" t="n">
        <f aca="false">Sens!$C$8377*Sens!$C$8374</f>
        <v>8.2530642</v>
      </c>
      <c r="D8379" s="38" t="n">
        <f aca="false">Sens!$D$8377*Sens!$D$8374</f>
        <v>37.1387889</v>
      </c>
      <c r="E8379" s="38" t="n">
        <f aca="false">Sens!$E$8377*Sens!$E$8374</f>
        <v>25.7897792</v>
      </c>
      <c r="F8379" s="38" t="n">
        <f aca="false">Sens!$F$8377*Sens!$F$8374</f>
        <v>73.2248394895</v>
      </c>
      <c r="G8379" s="38" t="n">
        <f aca="false">Sens!$E$8379+Sens!$F$8379</f>
        <v>99.0146186895</v>
      </c>
      <c r="H8379" s="38" t="n">
        <f aca="false">(Sens!$H$8377-Sens!$H$8376)*Sens!$H$8374+Sens!$H$8376</f>
        <v>152.52478394475</v>
      </c>
      <c r="I8379" s="38" t="n">
        <f aca="false">(Sens!$I$8377-Sens!$I$8376)*Sens!$I$8374+Sens!$I$8376</f>
        <v>158.5998889105</v>
      </c>
      <c r="J8379" s="38" t="n">
        <f aca="false">(Sens!$J$8377-Sens!$J$8376)*Sens!$J$8374+Sens!$J$8376</f>
        <v>163.8366571105</v>
      </c>
      <c r="K8379" s="38" t="n">
        <f aca="false">(Sens!$K$8377-Sens!$K$8376)*Sens!$K$8374+Sens!$K$8376</f>
        <v>120.512597406912</v>
      </c>
      <c r="L8379" s="38" t="n">
        <f aca="false">(Sens!$L$8377-Sens!$L$8376)*Sens!$L$8374+Sens!$L$8376</f>
        <v>108.609146903323</v>
      </c>
      <c r="M8379" s="38" t="n">
        <f aca="false">(Sens!$M$8377-Sens!$M$8376)*Sens!$M$8374+Sens!$M$8376</f>
        <v>120.146780054985</v>
      </c>
      <c r="R8379" s="38" t="n">
        <f aca="false">Sens!$R$8377*Sens!$C$8374</f>
        <v>1.09927679019314</v>
      </c>
      <c r="S8379" s="38" t="n">
        <f aca="false">Sens!$C$8379</f>
        <v>8.2530642</v>
      </c>
      <c r="T8379" s="38" t="n">
        <f aca="false">Sens!$D$8379</f>
        <v>37.1387889</v>
      </c>
      <c r="U8379" s="38" t="n">
        <f aca="false">Sens!$G$8379</f>
        <v>99.0146186895</v>
      </c>
      <c r="V8379" s="38" t="n">
        <f aca="false">Sens!$H$8379</f>
        <v>152.52478394475</v>
      </c>
      <c r="W8379" s="38" t="n">
        <f aca="false">Sens!$I$8379</f>
        <v>158.5998889105</v>
      </c>
      <c r="X8379" s="38" t="n">
        <f aca="false">Sens!$J$8379</f>
        <v>163.8366571105</v>
      </c>
      <c r="Y8379" s="38" t="n">
        <f aca="false">Sens!$K$8379</f>
        <v>120.512597406912</v>
      </c>
      <c r="Z8379" s="38" t="n">
        <f aca="false">Sens!$L$8379</f>
        <v>108.609146903323</v>
      </c>
      <c r="AA8379" s="38" t="n">
        <f aca="false">Sens!$M$8379</f>
        <v>120.146780054985</v>
      </c>
    </row>
    <row r="8380" customFormat="false" ht="15" hidden="false" customHeight="false" outlineLevel="0" collapsed="false">
      <c r="A8380" s="5" t="s">
        <v>635</v>
      </c>
      <c r="B8380" s="0" t="s">
        <v>86</v>
      </c>
      <c r="C8380" s="38" t="n">
        <f aca="false">Sens!$C$8377-Sens!$C$8379</f>
        <v>3.0408</v>
      </c>
      <c r="D8380" s="38" t="n">
        <f aca="false">Sens!$D$8377-Sens!$D$8379</f>
        <v>13.6836</v>
      </c>
      <c r="E8380" s="38" t="n">
        <f aca="false">Sens!$E$8377-Sens!$E$8379</f>
        <v>8.1088</v>
      </c>
      <c r="F8380" s="38" t="n">
        <f aca="false">Sens!$F$8377-Sens!$F$8379</f>
        <v>23.0232905</v>
      </c>
      <c r="G8380" s="38" t="n">
        <f aca="false">Sens!$G$8377-Sens!$G$8379</f>
        <v>31.1320905</v>
      </c>
      <c r="H8380" s="38" t="n">
        <f aca="false">Sens!$H$8377-Sens!$H$8379</f>
        <v>46.046581</v>
      </c>
      <c r="I8380" s="38" t="n">
        <f aca="false">Sens!$I$8377-Sens!$I$8379</f>
        <v>46.046581</v>
      </c>
      <c r="J8380" s="38" t="n">
        <f aca="false">Sens!$J$8377-Sens!$J$8379</f>
        <v>46.046581</v>
      </c>
      <c r="K8380" s="38" t="n">
        <f aca="false">Sens!$K$8377-Sens!$K$8379</f>
        <v>31.9478315566667</v>
      </c>
      <c r="L8380" s="38" t="n">
        <f aca="false">Sens!$L$8377-Sens!$L$8379</f>
        <v>17.8490821133333</v>
      </c>
      <c r="M8380" s="38" t="n">
        <f aca="false">Sens!$M$8377-Sens!$M$8379</f>
        <v>3.75033267000001</v>
      </c>
      <c r="R8380" s="38" t="n">
        <f aca="false">Sens!$R$8377-Sens!$R$8379</f>
        <v>0.405023005106309</v>
      </c>
      <c r="S8380" s="38" t="n">
        <f aca="false">Sens!$S$8377-Sens!$S$8379</f>
        <v>3.0408</v>
      </c>
      <c r="T8380" s="38" t="n">
        <f aca="false">Sens!$T$8377-Sens!$T$8379</f>
        <v>13.6836</v>
      </c>
      <c r="U8380" s="38" t="n">
        <f aca="false">Sens!$U$8377-Sens!$U$8379</f>
        <v>31.1320905</v>
      </c>
      <c r="V8380" s="38" t="n">
        <f aca="false">Sens!$V$8377-Sens!$V$8379</f>
        <v>46.046581</v>
      </c>
      <c r="W8380" s="38" t="n">
        <f aca="false">Sens!$W$8377-Sens!$W$8379</f>
        <v>46.046581</v>
      </c>
      <c r="X8380" s="38" t="n">
        <f aca="false">Sens!$X$8377-Sens!$X$8379</f>
        <v>46.046581</v>
      </c>
      <c r="Y8380" s="38" t="n">
        <f aca="false">Sens!$Y$8377-Sens!$Y$8379</f>
        <v>31.9478315566667</v>
      </c>
      <c r="Z8380" s="38" t="n">
        <f aca="false">Sens!$Z$8377-Sens!$Z$8379</f>
        <v>17.8490821133333</v>
      </c>
      <c r="AA8380" s="38" t="n">
        <f aca="false">Sens!$AA$8377-Sens!$AA$8379</f>
        <v>3.75033267000001</v>
      </c>
    </row>
    <row r="8381" customFormat="false" ht="17.15" hidden="false" customHeight="false" outlineLevel="0" collapsed="false">
      <c r="A8381" s="0" t="s">
        <v>636</v>
      </c>
      <c r="B8381" s="0" t="s">
        <v>52</v>
      </c>
      <c r="C8381" s="13" t="n">
        <f aca="false">Sens!$C$8375/Sens!$C$8497</f>
        <v>0.325505489553393</v>
      </c>
      <c r="D8381" s="13" t="n">
        <f aca="false">Sens!$D$8375/Sens!$D$8497</f>
        <v>0.54214956071542</v>
      </c>
      <c r="E8381" s="13" t="n">
        <f aca="false">Sens!$E$8375/Sens!$E$8497</f>
        <v>0.666492790452817</v>
      </c>
      <c r="F8381" s="13" t="n">
        <f aca="false">Sens!$F$8375/Sens!$F$8497</f>
        <v>0.733477910687338</v>
      </c>
      <c r="G8381" s="13" t="n">
        <f aca="false">Sens!$G$8375/Sens!$G$8497</f>
        <v>0.705124321514523</v>
      </c>
      <c r="H8381" s="13" t="n">
        <f aca="false">Sens!$H$8375/Sens!$H$8497</f>
        <v>0.726376041178204</v>
      </c>
      <c r="I8381" s="13" t="n">
        <f aca="false">Sens!$I$8375/Sens!$I$8497</f>
        <v>0.713099092661699</v>
      </c>
      <c r="J8381" s="13" t="n">
        <f aca="false">Sens!$J$8375/Sens!$J$8497</f>
        <v>0.701208348786245</v>
      </c>
      <c r="K8381" s="13" t="n">
        <f aca="false">Sens!$K$8375/Sens!$K$8497</f>
        <v>0.614068498670476</v>
      </c>
      <c r="L8381" s="13" t="n">
        <f aca="false">Sens!$L$8375/Sens!$L$8497</f>
        <v>0.551880938289018</v>
      </c>
      <c r="M8381" s="13" t="n">
        <f aca="false">Sens!$M$8375/Sens!$M$8497</f>
        <v>0.529570283055906</v>
      </c>
    </row>
    <row r="8382" customFormat="false" ht="17.15" hidden="false" customHeight="false" outlineLevel="0" collapsed="false">
      <c r="A8382" s="0" t="s">
        <v>637</v>
      </c>
      <c r="B8382" s="0" t="s">
        <v>86</v>
      </c>
      <c r="C8382" s="38" t="n">
        <f aca="false">Sens!$S$8382</f>
        <v>0.183212798365523</v>
      </c>
      <c r="D8382" s="38" t="n">
        <f aca="false">Sens!$T$8382</f>
        <v>1.55872349836552</v>
      </c>
      <c r="E8382" s="38" t="n">
        <f aca="false">Sens!$G$8382/2</f>
        <v>3.87426082418276</v>
      </c>
      <c r="F8382" s="38" t="n">
        <f aca="false">Sens!$G$8382/2</f>
        <v>3.87426082418276</v>
      </c>
      <c r="G8382" s="38" t="n">
        <f aca="false">Sens!$U$8382</f>
        <v>7.74852164836552</v>
      </c>
      <c r="H8382" s="38" t="n">
        <f aca="false">Sens!$V$8382</f>
        <v>24.2509580966155</v>
      </c>
      <c r="I8382" s="38" t="n">
        <f aca="false">Sens!$W$8382</f>
        <v>49.6717554207405</v>
      </c>
      <c r="J8382" s="38" t="n">
        <f aca="false">Sens!$X$8382</f>
        <v>76.1050702391572</v>
      </c>
      <c r="K8382" s="38" t="n">
        <f aca="false">Sens!$Y$8382</f>
        <v>103.227966959208</v>
      </c>
      <c r="L8382" s="38" t="n">
        <f aca="false">Sens!$Z$8382</f>
        <v>121.93788916036</v>
      </c>
      <c r="M8382" s="38" t="n">
        <f aca="false">Sens!$AA$8382</f>
        <v>133.849615494248</v>
      </c>
      <c r="N8382" s="38" t="n">
        <f aca="false">Sens!$D$8382/2</f>
        <v>0.779361749182762</v>
      </c>
      <c r="O8382" s="38" t="n">
        <f aca="false">Sens!$D$8382/2</f>
        <v>0.779361749182762</v>
      </c>
      <c r="R8382" s="38" t="n">
        <f aca="false">SUMPRODUCT(--(Sens!$R$8345:$AA$8345&lt;Sens!R$8345),--(Sens!$R$8345:$AA$8345&gt;=Sens!R$8345-tk_life),Sens!$R$8379:$AA$8379)/tk_life</f>
        <v>0</v>
      </c>
      <c r="S8382" s="38" t="n">
        <f aca="false">SUMPRODUCT(--(Sens!$R$8345:$AA$8345&lt;Sens!S$8345),--(Sens!$R$8345:$AA$8345&gt;=Sens!S$8345-tk_life),Sens!$R$8379:$AA$8379)/tk_life</f>
        <v>0.183212798365523</v>
      </c>
      <c r="T8382" s="38" t="n">
        <f aca="false">SUMPRODUCT(--(Sens!$R$8345:$AA$8345&lt;Sens!T$8345),--(Sens!$R$8345:$AA$8345&gt;=Sens!T$8345-tk_life),Sens!$R$8379:$AA$8379)/tk_life</f>
        <v>1.55872349836552</v>
      </c>
      <c r="U8382" s="38" t="n">
        <f aca="false">SUMPRODUCT(--(Sens!$R$8345:$AA$8345&lt;Sens!U$8345),--(Sens!$R$8345:$AA$8345&gt;=Sens!U$8345-tk_life),Sens!$R$8379:$AA$8379)/tk_life</f>
        <v>7.74852164836552</v>
      </c>
      <c r="V8382" s="38" t="n">
        <f aca="false">SUMPRODUCT(--(Sens!$R$8345:$AA$8345&lt;Sens!V$8345),--(Sens!$R$8345:$AA$8345&gt;=Sens!V$8345-tk_life),Sens!$R$8379:$AA$8379)/tk_life</f>
        <v>24.2509580966155</v>
      </c>
      <c r="W8382" s="38" t="n">
        <f aca="false">SUMPRODUCT(--(Sens!$R$8345:$AA$8345&lt;Sens!W$8345),--(Sens!$R$8345:$AA$8345&gt;=Sens!W$8345-tk_life),Sens!$R$8379:$AA$8379)/tk_life</f>
        <v>49.6717554207405</v>
      </c>
      <c r="X8382" s="38" t="n">
        <f aca="false">SUMPRODUCT(--(Sens!$R$8345:$AA$8345&lt;Sens!X$8345),--(Sens!$R$8345:$AA$8345&gt;=Sens!X$8345-tk_life),Sens!$R$8379:$AA$8379)/tk_life</f>
        <v>76.1050702391572</v>
      </c>
      <c r="Y8382" s="38" t="n">
        <f aca="false">SUMPRODUCT(--(Sens!$R$8345:$AA$8345&lt;Sens!Y$8345),--(Sens!$R$8345:$AA$8345&gt;=Sens!Y$8345-tk_life),Sens!$R$8379:$AA$8379)/tk_life</f>
        <v>103.227966959208</v>
      </c>
      <c r="Z8382" s="38" t="n">
        <f aca="false">SUMPRODUCT(--(Sens!$R$8345:$AA$8345&lt;Sens!Z$8345),--(Sens!$R$8345:$AA$8345&gt;=Sens!Z$8345-tk_life),Sens!$R$8379:$AA$8379)/tk_life</f>
        <v>121.93788916036</v>
      </c>
      <c r="AA8382" s="38" t="n">
        <f aca="false">SUMPRODUCT(--(Sens!$R$8345:$AA$8345&lt;Sens!AA$8345),--(Sens!$R$8345:$AA$8345&gt;=Sens!AA$8345-tk_life),Sens!$R$8379:$AA$8379)/tk_life</f>
        <v>133.849615494248</v>
      </c>
    </row>
    <row r="8383" customFormat="false" ht="17.15" hidden="false" customHeight="false" outlineLevel="0" collapsed="false">
      <c r="A8383" s="0" t="s">
        <v>638</v>
      </c>
      <c r="B8383" s="0" t="s">
        <v>86</v>
      </c>
      <c r="C8383" s="38" t="n">
        <f aca="false">Sens!$S$8383</f>
        <v>0.0202511502553155</v>
      </c>
      <c r="D8383" s="38" t="n">
        <f aca="false">Sens!$T$8383</f>
        <v>0.172291150255315</v>
      </c>
      <c r="E8383" s="38" t="n">
        <f aca="false">Sens!$G$8383/2</f>
        <v>0.428235575127658</v>
      </c>
      <c r="F8383" s="38" t="n">
        <f aca="false">Sens!$G$8383/2</f>
        <v>0.428235575127658</v>
      </c>
      <c r="G8383" s="38" t="n">
        <f aca="false">Sens!$U$8383</f>
        <v>0.856471150255315</v>
      </c>
      <c r="H8383" s="38" t="n">
        <f aca="false">Sens!$V$8383</f>
        <v>2.41307567525532</v>
      </c>
      <c r="I8383" s="38" t="n">
        <f aca="false">Sens!$W$8383</f>
        <v>4.71540472525532</v>
      </c>
      <c r="J8383" s="38" t="n">
        <f aca="false">Sens!$X$8383</f>
        <v>7.01773377525532</v>
      </c>
      <c r="K8383" s="38" t="n">
        <f aca="false">Sens!$Y$8383</f>
        <v>9.32006282525532</v>
      </c>
      <c r="L8383" s="38" t="n">
        <f aca="false">Sens!$Z$8383</f>
        <v>10.9174544030887</v>
      </c>
      <c r="M8383" s="38" t="n">
        <f aca="false">Sens!$AA$8383</f>
        <v>11.8099085087553</v>
      </c>
      <c r="N8383" s="38" t="n">
        <f aca="false">Sens!$D$8383/2</f>
        <v>0.0861455751276577</v>
      </c>
      <c r="O8383" s="38" t="n">
        <f aca="false">Sens!$D$8383/2</f>
        <v>0.0861455751276577</v>
      </c>
      <c r="R8383" s="38" t="n">
        <f aca="false">SUMPRODUCT(--(Sens!$R$8345:$AA$8345&lt;Sens!R$8345),Sens!$R$8380:$AA$8380)/fac_life</f>
        <v>0</v>
      </c>
      <c r="S8383" s="38" t="n">
        <f aca="false">SUMPRODUCT(--(Sens!$R$8345:$AA$8345&lt;Sens!S$8345),Sens!$R$8380:$AA$8380)/fac_life</f>
        <v>0.0202511502553155</v>
      </c>
      <c r="T8383" s="38" t="n">
        <f aca="false">SUMPRODUCT(--(Sens!$R$8345:$AA$8345&lt;Sens!T$8345),Sens!$R$8380:$AA$8380)/fac_life</f>
        <v>0.172291150255315</v>
      </c>
      <c r="U8383" s="38" t="n">
        <f aca="false">SUMPRODUCT(--(Sens!$R$8345:$AA$8345&lt;Sens!U$8345),Sens!$R$8380:$AA$8380)/fac_life</f>
        <v>0.856471150255315</v>
      </c>
      <c r="V8383" s="38" t="n">
        <f aca="false">SUMPRODUCT(--(Sens!$R$8345:$AA$8345&lt;Sens!V$8345),Sens!$R$8380:$AA$8380)/fac_life</f>
        <v>2.41307567525532</v>
      </c>
      <c r="W8383" s="38" t="n">
        <f aca="false">SUMPRODUCT(--(Sens!$R$8345:$AA$8345&lt;Sens!W$8345),Sens!$R$8380:$AA$8380)/fac_life</f>
        <v>4.71540472525532</v>
      </c>
      <c r="X8383" s="38" t="n">
        <f aca="false">SUMPRODUCT(--(Sens!$R$8345:$AA$8345&lt;Sens!X$8345),Sens!$R$8380:$AA$8380)/fac_life</f>
        <v>7.01773377525532</v>
      </c>
      <c r="Y8383" s="38" t="n">
        <f aca="false">SUMPRODUCT(--(Sens!$R$8345:$AA$8345&lt;Sens!Y$8345),Sens!$R$8380:$AA$8380)/fac_life</f>
        <v>9.32006282525532</v>
      </c>
      <c r="Z8383" s="38" t="n">
        <f aca="false">SUMPRODUCT(--(Sens!$R$8345:$AA$8345&lt;Sens!Z$8345),Sens!$R$8380:$AA$8380)/fac_life</f>
        <v>10.9174544030887</v>
      </c>
      <c r="AA8383" s="38" t="n">
        <f aca="false">SUMPRODUCT(--(Sens!$R$8345:$AA$8345&lt;Sens!AA$8345),Sens!$R$8380:$AA$8380)/fac_life</f>
        <v>11.8099085087553</v>
      </c>
    </row>
    <row r="8384" customFormat="false" ht="17.15" hidden="false" customHeight="false" outlineLevel="0" collapsed="false">
      <c r="A8384" s="1" t="s">
        <v>639</v>
      </c>
      <c r="B8384" s="8" t="s">
        <v>86</v>
      </c>
      <c r="C8384" s="38" t="n">
        <f aca="false">Sens!$C$8382+Sens!$C$8383</f>
        <v>0.203463948620839</v>
      </c>
      <c r="D8384" s="38" t="n">
        <f aca="false">Sens!$D$8382+Sens!$D$8383</f>
        <v>1.73101464862084</v>
      </c>
      <c r="E8384" s="38" t="n">
        <f aca="false">Sens!$E$8382+Sens!$E$8383</f>
        <v>4.30249639931042</v>
      </c>
      <c r="F8384" s="38" t="n">
        <f aca="false">Sens!$F$8382+Sens!$F$8383</f>
        <v>4.30249639931042</v>
      </c>
      <c r="G8384" s="38" t="n">
        <f aca="false">Sens!$G$8382+Sens!$G$8383</f>
        <v>8.60499279862084</v>
      </c>
      <c r="H8384" s="38" t="n">
        <f aca="false">Sens!$H$8382+Sens!$H$8383</f>
        <v>26.6640337718708</v>
      </c>
      <c r="I8384" s="38" t="n">
        <f aca="false">Sens!$I$8382+Sens!$I$8383</f>
        <v>54.3871601459959</v>
      </c>
      <c r="J8384" s="38" t="n">
        <f aca="false">Sens!$J$8382+Sens!$J$8383</f>
        <v>83.1228040144125</v>
      </c>
      <c r="K8384" s="38" t="n">
        <f aca="false">Sens!$K$8382+Sens!$K$8383</f>
        <v>112.548029784464</v>
      </c>
      <c r="L8384" s="38" t="n">
        <f aca="false">Sens!$L$8382+Sens!$L$8383</f>
        <v>132.855343563449</v>
      </c>
      <c r="M8384" s="38" t="n">
        <f aca="false">Sens!$M$8382+Sens!$M$8383</f>
        <v>145.659524003003</v>
      </c>
      <c r="N8384" s="38" t="n">
        <f aca="false">Sens!$N$8382+Sens!$N$8383</f>
        <v>0.865507324310419</v>
      </c>
      <c r="O8384" s="38" t="n">
        <f aca="false">Sens!$O$8382+Sens!$O$8383</f>
        <v>0.865507324310419</v>
      </c>
      <c r="R8384" s="38" t="n">
        <f aca="false">Sens!$R$8382+Sens!$R$8383</f>
        <v>0</v>
      </c>
      <c r="S8384" s="38" t="n">
        <f aca="false">Sens!$S$8382+Sens!$S$8383</f>
        <v>0.203463948620839</v>
      </c>
      <c r="T8384" s="38" t="n">
        <f aca="false">Sens!$T$8382+Sens!$T$8383</f>
        <v>1.73101464862084</v>
      </c>
      <c r="U8384" s="38" t="n">
        <f aca="false">Sens!$U$8382+Sens!$U$8383</f>
        <v>8.60499279862084</v>
      </c>
      <c r="V8384" s="38" t="n">
        <f aca="false">Sens!$V$8382+Sens!$V$8383</f>
        <v>26.6640337718708</v>
      </c>
      <c r="W8384" s="38" t="n">
        <f aca="false">Sens!$W$8382+Sens!$W$8383</f>
        <v>54.3871601459959</v>
      </c>
      <c r="X8384" s="38" t="n">
        <f aca="false">Sens!$X$8382+Sens!$X$8383</f>
        <v>83.1228040144125</v>
      </c>
      <c r="Y8384" s="38" t="n">
        <f aca="false">Sens!$Y$8382+Sens!$Y$8383</f>
        <v>112.548029784464</v>
      </c>
      <c r="Z8384" s="38" t="n">
        <f aca="false">Sens!$Z$8382+Sens!$Z$8383</f>
        <v>132.855343563449</v>
      </c>
      <c r="AA8384" s="38" t="n">
        <f aca="false">Sens!$AA$8382+Sens!$AA$8383</f>
        <v>145.659524003003</v>
      </c>
    </row>
    <row r="8385" customFormat="false" ht="17.15" hidden="false" customHeight="false" outlineLevel="0" collapsed="false">
      <c r="A8385" s="0" t="s">
        <v>640</v>
      </c>
      <c r="B8385" s="0" t="s">
        <v>86</v>
      </c>
      <c r="C8385" s="38" t="n">
        <f aca="false">Sens!$S$8385</f>
        <v>12.5947000466786</v>
      </c>
      <c r="D8385" s="38" t="n">
        <f aca="false">Sens!$T$8385</f>
        <v>61.6860742980578</v>
      </c>
      <c r="G8385" s="38" t="n">
        <f aca="false">Sens!$U$8385</f>
        <v>183.227790688937</v>
      </c>
      <c r="H8385" s="38" t="n">
        <f aca="false">Sens!$V$8385</f>
        <v>355.135121861816</v>
      </c>
      <c r="I8385" s="38" t="n">
        <f aca="false">Sens!$W$8385</f>
        <v>505.39443162632</v>
      </c>
      <c r="J8385" s="38" t="n">
        <f aca="false">Sens!$X$8385</f>
        <v>632.154865722408</v>
      </c>
      <c r="K8385" s="38" t="n">
        <f aca="false">Sens!$Y$8385</f>
        <v>672.067264901522</v>
      </c>
      <c r="L8385" s="38" t="n">
        <f aca="false">Sens!$Z$8385</f>
        <v>665.67015035473</v>
      </c>
      <c r="M8385" s="38" t="n">
        <f aca="false">Sens!$AA$8385</f>
        <v>643.907739076712</v>
      </c>
      <c r="R8385" s="38" t="n">
        <f aca="false">SUM(Sens!$R$8377:$R$8377)-SUM(Sens!$R$8384:$R$8384)</f>
        <v>1.50429979529945</v>
      </c>
      <c r="S8385" s="38" t="n">
        <f aca="false">SUM(Sens!$R$8377:$S$8377)-SUM(Sens!$R$8384:$S$8384)</f>
        <v>12.5947000466786</v>
      </c>
      <c r="T8385" s="38" t="n">
        <f aca="false">SUM(Sens!$R$8377:$T$8377)-SUM(Sens!$R$8384:$T$8384)</f>
        <v>61.6860742980578</v>
      </c>
      <c r="U8385" s="38" t="n">
        <f aca="false">SUM(Sens!$R$8377:$U$8377)-SUM(Sens!$R$8384:$U$8384)</f>
        <v>183.227790688937</v>
      </c>
      <c r="V8385" s="38" t="n">
        <f aca="false">SUM(Sens!$R$8377:$V$8377)-SUM(Sens!$R$8384:$V$8384)</f>
        <v>355.135121861816</v>
      </c>
      <c r="W8385" s="38" t="n">
        <f aca="false">SUM(Sens!$R$8377:$W$8377)-SUM(Sens!$R$8384:$W$8384)</f>
        <v>505.39443162632</v>
      </c>
      <c r="X8385" s="38" t="n">
        <f aca="false">SUM(Sens!$R$8377:$X$8377)-SUM(Sens!$R$8384:$X$8384)</f>
        <v>632.154865722408</v>
      </c>
      <c r="Y8385" s="38" t="n">
        <f aca="false">SUM(Sens!$R$8377:$Y$8377)-SUM(Sens!$R$8384:$Y$8384)</f>
        <v>672.067264901522</v>
      </c>
      <c r="Z8385" s="38" t="n">
        <f aca="false">SUM(Sens!$R$8377:$Z$8377)-SUM(Sens!$R$8384:$Z$8384)</f>
        <v>665.67015035473</v>
      </c>
      <c r="AA8385" s="38" t="n">
        <f aca="false">SUM(Sens!$R$8377:$AA$8377)-SUM(Sens!$R$8384:$AA$8384)</f>
        <v>643.907739076712</v>
      </c>
    </row>
    <row r="8386" customFormat="false" ht="17.15" hidden="false" customHeight="false" outlineLevel="0" collapsed="false">
      <c r="A8386" s="1" t="s">
        <v>641</v>
      </c>
    </row>
    <row r="8387" customFormat="false" ht="17.15" hidden="false" customHeight="false" outlineLevel="0" collapsed="false">
      <c r="A8387" s="0" t="s">
        <v>642</v>
      </c>
      <c r="B8387" s="0" t="s">
        <v>86</v>
      </c>
      <c r="C8387" s="38" t="n">
        <f aca="false">Sens!$C$8366-ext_sh*Sens!$C$8368</f>
        <v>1.80694998843362</v>
      </c>
      <c r="D8387" s="38" t="n">
        <f aca="false">Sens!$D$8366-ext_sh*Sens!$D$8368</f>
        <v>6.77606245662607</v>
      </c>
      <c r="E8387" s="38" t="n">
        <f aca="false">Sens!$E$8366-ext_sh*Sens!$E$8368</f>
        <v>6.62548329092326</v>
      </c>
      <c r="F8387" s="38" t="n">
        <f aca="false">Sens!$F$8366-ext_sh*Sens!$F$8368</f>
        <v>11.7200577158706</v>
      </c>
      <c r="G8387" s="38" t="n">
        <f aca="false">Sens!$G$8366-ext_sh*Sens!$G$8368</f>
        <v>18.3455410067939</v>
      </c>
      <c r="H8387" s="38" t="n">
        <f aca="false">Sens!$H$8366-ext_sh*Sens!$H$8368</f>
        <v>47.5171727060453</v>
      </c>
      <c r="I8387" s="38" t="n">
        <f aca="false">Sens!$I$8366-ext_sh*Sens!$I$8368</f>
        <v>80.5539692643667</v>
      </c>
      <c r="J8387" s="38" t="n">
        <f aca="false">Sens!$J$8366-ext_sh*Sens!$J$8368</f>
        <v>113.759316834883</v>
      </c>
      <c r="K8387" s="38" t="n">
        <f aca="false">Sens!$K$8366-ext_sh*Sens!$K$8368</f>
        <v>141.855203603144</v>
      </c>
      <c r="L8387" s="38" t="n">
        <f aca="false">Sens!$L$8366-ext_sh*Sens!$L$8368</f>
        <v>159.789055430453</v>
      </c>
      <c r="M8387" s="38" t="n">
        <f aca="false">Sens!$M$8366-ext_sh*Sens!$M$8368</f>
        <v>167.532378081213</v>
      </c>
      <c r="N8387" s="38" t="n">
        <f aca="false">Sens!$N$8366-ext_sh*Sens!$N$8368</f>
        <v>2.37162185981912</v>
      </c>
      <c r="O8387" s="38" t="n">
        <f aca="false">Sens!$O$8366-ext_sh*Sens!$O$8368</f>
        <v>4.40444059680694</v>
      </c>
    </row>
    <row r="8388" customFormat="false" ht="17.15" hidden="false" customHeight="false" outlineLevel="0" collapsed="false">
      <c r="A8388" s="1" t="s">
        <v>643</v>
      </c>
      <c r="B8388" s="8" t="s">
        <v>86</v>
      </c>
      <c r="C8388" s="38" t="n">
        <f aca="false">Sens!$C$8387-ext_sh*Sens!$C$8384</f>
        <v>1.64417882953695</v>
      </c>
      <c r="D8388" s="38" t="n">
        <f aca="false">Sens!$D$8387-ext_sh*Sens!$D$8384</f>
        <v>5.39125073772939</v>
      </c>
      <c r="E8388" s="38" t="n">
        <f aca="false">Sens!$E$8387-ext_sh*Sens!$E$8384</f>
        <v>3.18348617147493</v>
      </c>
      <c r="F8388" s="38" t="n">
        <f aca="false">Sens!$F$8387-ext_sh*Sens!$F$8384</f>
        <v>8.27806059642226</v>
      </c>
      <c r="G8388" s="38" t="n">
        <f aca="false">Sens!$G$8387-ext_sh*Sens!$G$8384</f>
        <v>11.4615467678972</v>
      </c>
      <c r="H8388" s="38" t="n">
        <f aca="false">Sens!$H$8387-ext_sh*Sens!$H$8384</f>
        <v>26.1859456885487</v>
      </c>
      <c r="I8388" s="38" t="n">
        <f aca="false">Sens!$I$8387-ext_sh*Sens!$I$8384</f>
        <v>37.04424114757</v>
      </c>
      <c r="J8388" s="38" t="n">
        <f aca="false">Sens!$J$8387-ext_sh*Sens!$J$8384</f>
        <v>47.2610736233534</v>
      </c>
      <c r="K8388" s="38" t="n">
        <f aca="false">Sens!$K$8387-ext_sh*Sens!$K$8384</f>
        <v>51.8167797755728</v>
      </c>
      <c r="L8388" s="38" t="n">
        <f aca="false">Sens!$L$8387-ext_sh*Sens!$L$8384</f>
        <v>53.5047805796943</v>
      </c>
      <c r="M8388" s="38" t="n">
        <f aca="false">Sens!$M$8387-ext_sh*Sens!$M$8384</f>
        <v>51.0047588788104</v>
      </c>
      <c r="N8388" s="38" t="n">
        <f aca="false">Sens!$N$8387-ext_sh*Sens!$N$8384</f>
        <v>1.67921600037079</v>
      </c>
      <c r="O8388" s="38" t="n">
        <f aca="false">Sens!$O$8387-ext_sh*Sens!$O$8384</f>
        <v>3.71203473735861</v>
      </c>
    </row>
    <row r="8389" customFormat="false" ht="17.15" hidden="false" customHeight="false" outlineLevel="0" collapsed="false">
      <c r="A8389" s="0" t="s">
        <v>644</v>
      </c>
      <c r="B8389" s="0" t="s">
        <v>52</v>
      </c>
      <c r="C8389" s="13" t="n">
        <f aca="false">Sens!$C$8388/Sens!$C$8366</f>
        <v>0.708390794789371</v>
      </c>
      <c r="D8389" s="13" t="n">
        <f aca="false">Sens!$D$8388/Sens!$D$8366</f>
        <v>0.619415573115729</v>
      </c>
      <c r="E8389" s="13" t="n">
        <f aca="false">Sens!$E$8388/Sens!$E$8366</f>
        <v>0.374072166056273</v>
      </c>
      <c r="F8389" s="13" t="n">
        <f aca="false">Sens!$F$8388/Sens!$F$8366</f>
        <v>0.553219320710057</v>
      </c>
      <c r="G8389" s="13" t="n">
        <f aca="false">Sens!$G$8388/Sens!$G$8366</f>
        <v>0.488270041527512</v>
      </c>
      <c r="H8389" s="13" t="n">
        <f aca="false">Sens!$H$8388/Sens!$H$8366</f>
        <v>0.435229086816882</v>
      </c>
      <c r="I8389" s="13" t="n">
        <f aca="false">Sens!$I$8388/Sens!$I$8366</f>
        <v>0.364954592421095</v>
      </c>
      <c r="J8389" s="13" t="n">
        <f aca="false">Sens!$J$8388/Sens!$J$8366</f>
        <v>0.330438308582232</v>
      </c>
      <c r="K8389" s="13" t="n">
        <f aca="false">Sens!$K$8388/Sens!$K$8366</f>
        <v>0.290840613449356</v>
      </c>
      <c r="L8389" s="13" t="n">
        <f aca="false">Sens!$L$8388/Sens!$L$8366</f>
        <v>0.26673582850143</v>
      </c>
      <c r="M8389" s="13" t="n">
        <f aca="false">Sens!$M$8388/Sens!$M$8366</f>
        <v>0.242555621732387</v>
      </c>
      <c r="N8389" s="13" t="n">
        <f aca="false">Sens!$N$8388/Sens!$N$8366</f>
        <v>0.551227795793364</v>
      </c>
      <c r="O8389" s="13" t="n">
        <f aca="false">Sens!$O$8388/Sens!$O$8366</f>
        <v>0.656132068597002</v>
      </c>
    </row>
    <row r="8390" customFormat="false" ht="17.15" hidden="false" customHeight="false" outlineLevel="0" collapsed="false">
      <c r="A8390" s="5" t="s">
        <v>645</v>
      </c>
      <c r="B8390" s="0" t="s">
        <v>86</v>
      </c>
      <c r="C8390" s="39" t="n">
        <v>0</v>
      </c>
      <c r="D8390" s="39" t="n">
        <v>0</v>
      </c>
      <c r="E8390" s="39" t="n">
        <v>0</v>
      </c>
      <c r="F8390" s="38" t="n">
        <f aca="false">IF(internal_ai_reading=2,1,0)*(1-ext_sh)/ext_sh*(mw_open*he_open+Sens!$F$8364*Sens!$F$8361)*Sens!$F$8350/1000</f>
        <v>3.77122048175818</v>
      </c>
      <c r="G8390" s="38" t="n">
        <f aca="false">Sens!$E$8390+Sens!$F$8390</f>
        <v>3.77122048175818</v>
      </c>
      <c r="H8390" s="38" t="n">
        <f aca="false">IF(internal_ai_reading=2,1,0)*(1-ext_sh)/ext_sh*(mw_open*he_open+Sens!$H$8364*Sens!$H$8361)*Sens!$H$8350/1000</f>
        <v>15.1635543609893</v>
      </c>
      <c r="I8390" s="38" t="n">
        <f aca="false">IF(internal_ai_reading=2,1,0)*(1-ext_sh)/ext_sh*(mw_open*he_open+Sens!$I$8364*Sens!$I$8361)*Sens!$I$8350/1000</f>
        <v>25.5818843619889</v>
      </c>
      <c r="J8390" s="38" t="n">
        <f aca="false">IF(internal_ai_reading=2,1,0)*(1-ext_sh)/ext_sh*(mw_open*he_open+Sens!$J$8364*Sens!$J$8361)*Sens!$J$8350/1000</f>
        <v>36.0465624179122</v>
      </c>
      <c r="K8390" s="38" t="n">
        <f aca="false">IF(internal_ai_reading=2,1,0)*(1-ext_sh)/ext_sh*(mw_open*he_open+Sens!$K$8364*Sens!$K$8361)*Sens!$K$8350/1000</f>
        <v>44.9020355557576</v>
      </c>
      <c r="L8390" s="38" t="n">
        <f aca="false">IF(internal_ai_reading=2,1,0)*(1-ext_sh)/ext_sh*(mw_open*he_open+Sens!$L$8364*Sens!$L$8361)*Sens!$L$8350/1000</f>
        <v>50.55474151763</v>
      </c>
      <c r="M8390" s="38" t="n">
        <f aca="false">IF(internal_ai_reading=2,1,0)*(1-ext_sh)/ext_sh*(mw_open*he_open+Sens!$M$8364*Sens!$M$8361)*Sens!$M$8350/1000</f>
        <v>52.9968449759368</v>
      </c>
      <c r="N8390" s="39" t="n">
        <v>0</v>
      </c>
      <c r="O8390" s="39" t="n">
        <v>0</v>
      </c>
      <c r="P8390" s="8" t="s">
        <v>646</v>
      </c>
    </row>
    <row r="8391" customFormat="false" ht="17.15" hidden="false" customHeight="false" outlineLevel="0" collapsed="false">
      <c r="A8391" s="5" t="s">
        <v>647</v>
      </c>
      <c r="B8391" s="0" t="s">
        <v>86</v>
      </c>
      <c r="C8391" s="38" t="n">
        <f aca="false">(1-ext_sh)*(Sens!$C$8368+Sens!$C$8384)</f>
        <v>0.169206631859174</v>
      </c>
      <c r="D8391" s="38" t="n">
        <f aca="false">(1-ext_sh)*(Sens!$D$8368+Sens!$D$8384)</f>
        <v>0.828129837730442</v>
      </c>
      <c r="E8391" s="38" t="n">
        <f aca="false">(1-ext_sh)*(Sens!$E$8368+Sens!$E$8384)</f>
        <v>1.33171670102377</v>
      </c>
      <c r="F8391" s="38" t="n">
        <f aca="false">(1-ext_sh)*(Sens!$F$8368+Sens!$F$8384)</f>
        <v>1.67134326207455</v>
      </c>
      <c r="G8391" s="38" t="n">
        <f aca="false">(1-ext_sh)*(Sens!$G$8368+Sens!$G$8384)</f>
        <v>3.00305996309832</v>
      </c>
      <c r="H8391" s="38" t="n">
        <f aca="false">(1-ext_sh)*(Sens!$H$8368+Sens!$H$8384)</f>
        <v>8.49498626530648</v>
      </c>
      <c r="I8391" s="38" t="n">
        <f aca="false">(1-ext_sh)*(Sens!$I$8368+Sens!$I$8384)</f>
        <v>16.1148644972155</v>
      </c>
      <c r="J8391" s="38" t="n">
        <f aca="false">(1-ext_sh)*(Sens!$J$8368+Sens!$J$8384)</f>
        <v>23.9410833819812</v>
      </c>
      <c r="K8391" s="38" t="n">
        <f aca="false">(1-ext_sh)*(Sens!$K$8368+Sens!$K$8384)</f>
        <v>31.5863346274657</v>
      </c>
      <c r="L8391" s="38" t="n">
        <f aca="false">(1-ext_sh)*(Sens!$L$8368+Sens!$L$8384)</f>
        <v>36.7715304908616</v>
      </c>
      <c r="M8391" s="38" t="n">
        <f aca="false">(1-ext_sh)*(Sens!$M$8368+Sens!$M$8384)</f>
        <v>39.8189780159728</v>
      </c>
      <c r="N8391" s="38" t="n">
        <f aca="false">(1-ext_sh)*(Sens!$N$8368+Sens!$N$8384)</f>
        <v>0.34177588266428</v>
      </c>
      <c r="O8391" s="38" t="n">
        <f aca="false">(1-ext_sh)*(Sens!$O$8368+Sens!$O$8384)</f>
        <v>0.486353955066162</v>
      </c>
    </row>
    <row r="8392" customFormat="false" ht="17.15" hidden="false" customHeight="false" outlineLevel="0" collapsed="false">
      <c r="A8392" s="0" t="s">
        <v>648</v>
      </c>
      <c r="B8392" s="0" t="s">
        <v>86</v>
      </c>
      <c r="C8392" s="38" t="n">
        <f aca="false">Q!$D$24</f>
        <v>39.834</v>
      </c>
      <c r="D8392" s="38" t="n">
        <f aca="false">Q!$E$24</f>
        <v>45.606</v>
      </c>
      <c r="E8392" s="38" t="n">
        <f aca="false">Q!$P$24</f>
        <v>30.782</v>
      </c>
      <c r="N8392" s="38" t="n">
        <f aca="false">Q!$N$24</f>
        <v>21.707</v>
      </c>
      <c r="O8392" s="38" t="n">
        <f aca="false">Q!$O$24</f>
        <v>23.899</v>
      </c>
    </row>
    <row r="8393" customFormat="false" ht="17.15" hidden="false" customHeight="false" outlineLevel="0" collapsed="false">
      <c r="A8393" s="0" t="s">
        <v>649</v>
      </c>
      <c r="B8393" s="0" t="s">
        <v>86</v>
      </c>
      <c r="C8393" s="38" t="n">
        <f aca="false">Sens!$C$8392-Sens!$C$8388</f>
        <v>38.1898211704631</v>
      </c>
      <c r="D8393" s="38" t="n">
        <f aca="false">Sens!$D$8392-Sens!$D$8388</f>
        <v>40.2147492622706</v>
      </c>
      <c r="E8393" s="38" t="n">
        <f aca="false">Sens!$E$8392-Sens!$E$8388</f>
        <v>27.5985138285251</v>
      </c>
      <c r="F8393" s="38" t="n">
        <f aca="false">Sens!$F$8370*Sens!$F$8394</f>
        <v>25.5484769754606</v>
      </c>
      <c r="G8393" s="38" t="n">
        <f aca="false">Sens!$E$8393+Sens!$F$8393</f>
        <v>53.1469908039857</v>
      </c>
      <c r="H8393" s="38" t="n">
        <f aca="false">Sens!$H$8370*Sens!$H$8394</f>
        <v>57.3189525076539</v>
      </c>
      <c r="I8393" s="38" t="n">
        <f aca="false">Sens!$I$8370*Sens!$I$8394</f>
        <v>63.6385627021087</v>
      </c>
      <c r="J8393" s="38" t="n">
        <f aca="false">Sens!$J$8370*Sens!$J$8394</f>
        <v>69.6922896066105</v>
      </c>
      <c r="K8393" s="38" t="n">
        <f aca="false">Sens!$K$8370*Sens!$K$8394</f>
        <v>75.2676727751394</v>
      </c>
      <c r="L8393" s="38" t="n">
        <f aca="false">Sens!$L$8370*Sens!$L$8394</f>
        <v>81.2890865971505</v>
      </c>
      <c r="M8393" s="38" t="n">
        <f aca="false">Sens!$M$8370*Sens!$M$8394</f>
        <v>87.7922135249226</v>
      </c>
      <c r="N8393" s="38" t="n">
        <f aca="false">Sens!$N$8392-Sens!$N$8388</f>
        <v>20.0277839996292</v>
      </c>
      <c r="O8393" s="38" t="n">
        <f aca="false">Sens!$O$8392-Sens!$O$8388</f>
        <v>20.1869652626414</v>
      </c>
      <c r="P8393" s="5" t="s">
        <v>650</v>
      </c>
    </row>
    <row r="8394" customFormat="false" ht="17.15" hidden="false" customHeight="false" outlineLevel="0" collapsed="false">
      <c r="A8394" s="0" t="s">
        <v>651</v>
      </c>
      <c r="B8394" s="0" t="s">
        <v>52</v>
      </c>
      <c r="C8394" s="13" t="n">
        <f aca="false">Sens!$C$8393/Sens!$C$8370</f>
        <v>0.362900395443635</v>
      </c>
      <c r="D8394" s="13" t="n">
        <f aca="false">Sens!$D$8393/Sens!$D$8370</f>
        <v>0.335063632425483</v>
      </c>
      <c r="E8394" s="13" t="n">
        <f aca="false">Sens!$E$8393/Sens!$E$8370</f>
        <v>0.387028992698038</v>
      </c>
      <c r="F8394" s="13" t="n">
        <f aca="false">(Sens!$O$8393+Sens!$E$8393)/(Sens!$O$8370+Sens!$E$8370)</f>
        <v>0.355980580118587</v>
      </c>
      <c r="G8394" s="13" t="n">
        <f aca="false">Sens!$G$8393/Sens!$G$8370</f>
        <v>0.371454804780916</v>
      </c>
      <c r="H8394" s="13" t="n">
        <f aca="false">Sens!$F$8394</f>
        <v>0.355980580118587</v>
      </c>
      <c r="I8394" s="13" t="n">
        <f aca="false">Sens!$F$8394</f>
        <v>0.355980580118587</v>
      </c>
      <c r="J8394" s="13" t="n">
        <f aca="false">Sens!$F$8394</f>
        <v>0.355980580118587</v>
      </c>
      <c r="K8394" s="13" t="n">
        <f aca="false">Sens!$F$8394</f>
        <v>0.355980580118587</v>
      </c>
      <c r="L8394" s="13" t="n">
        <f aca="false">Sens!$F$8394</f>
        <v>0.355980580118587</v>
      </c>
      <c r="M8394" s="13" t="n">
        <f aca="false">Sens!$F$8394</f>
        <v>0.355980580118587</v>
      </c>
      <c r="N8394" s="13" t="n">
        <f aca="false">Sens!$N$8393/Sens!$N$8370</f>
        <v>0.35078810535806</v>
      </c>
      <c r="O8394" s="13" t="n">
        <f aca="false">Sens!$O$8393/Sens!$O$8370</f>
        <v>0.320796939361619</v>
      </c>
      <c r="P8394" s="8" t="s">
        <v>652</v>
      </c>
    </row>
    <row r="8395" customFormat="false" ht="17.15" hidden="false" customHeight="false" outlineLevel="0" collapsed="false">
      <c r="A8395" s="0" t="s">
        <v>653</v>
      </c>
      <c r="B8395" s="0" t="s">
        <v>52</v>
      </c>
      <c r="D8395" s="13" t="n">
        <f aca="false">(Q!$E$31-ext_sh*Sens!$D$8384)/Sens!$D$8370</f>
        <v>0.167180325480118</v>
      </c>
    </row>
    <row r="8396" customFormat="false" ht="17.15" hidden="false" customHeight="false" outlineLevel="0" collapsed="false">
      <c r="A8396" s="0" t="s">
        <v>654</v>
      </c>
      <c r="B8396" s="0" t="s">
        <v>86</v>
      </c>
      <c r="C8396" s="38" t="n">
        <f aca="false">Q!$D$31</f>
        <v>13.32</v>
      </c>
      <c r="D8396" s="38" t="n">
        <f aca="false">Q!$E$31</f>
        <v>21.45</v>
      </c>
      <c r="E8396" s="38" t="n">
        <f aca="false">Q!$P$31</f>
        <v>15.353</v>
      </c>
      <c r="F8396" s="38" t="n">
        <f aca="false">ext_sh*Sens!$F$8384+Sens!$D$8395*Sens!$F$8370</f>
        <v>15.4404120185306</v>
      </c>
      <c r="G8396" s="38" t="n">
        <f aca="false">Sens!$E$8396+Sens!$F$8396</f>
        <v>30.7934120185306</v>
      </c>
      <c r="H8396" s="38" t="n">
        <f aca="false">ext_sh*Sens!$H$8384+Sens!$D$8395*Sens!$H$8370</f>
        <v>48.250114371455</v>
      </c>
      <c r="I8396" s="38" t="n">
        <f aca="false">ext_sh*Sens!$I$8384+Sens!$D$8395*Sens!$I$8370</f>
        <v>73.3965146995963</v>
      </c>
      <c r="J8396" s="38" t="n">
        <f aca="false">ext_sh*Sens!$J$8384+Sens!$D$8395*Sens!$J$8370</f>
        <v>99.22806138309</v>
      </c>
      <c r="K8396" s="38" t="n">
        <f aca="false">ext_sh*Sens!$K$8384+Sens!$D$8395*Sens!$K$8370</f>
        <v>125.386627452856</v>
      </c>
      <c r="L8396" s="38" t="n">
        <f aca="false">ext_sh*Sens!$L$8384+Sens!$D$8395*Sens!$L$8370</f>
        <v>144.460334766067</v>
      </c>
      <c r="M8396" s="38" t="n">
        <f aca="false">ext_sh*Sens!$M$8384+Sens!$D$8395*Sens!$M$8370</f>
        <v>157.757763910934</v>
      </c>
      <c r="N8396" s="38" t="n">
        <f aca="false">Q!$N$31</f>
        <v>9.234</v>
      </c>
      <c r="O8396" s="38" t="n">
        <f aca="false">Q!$O$31</f>
        <v>12.216</v>
      </c>
    </row>
    <row r="8397" customFormat="false" ht="17.15" hidden="false" customHeight="false" outlineLevel="0" collapsed="false">
      <c r="A8397" s="1" t="s">
        <v>655</v>
      </c>
    </row>
    <row r="8398" customFormat="false" ht="17.15" hidden="false" customHeight="false" outlineLevel="0" collapsed="false">
      <c r="A8398" s="15" t="s">
        <v>656</v>
      </c>
      <c r="B8398" s="14" t="s">
        <v>52</v>
      </c>
      <c r="C8398" s="14"/>
      <c r="D8398" s="14"/>
      <c r="E8398" s="14"/>
      <c r="F8398" s="14"/>
      <c r="G8398" s="17" t="n">
        <f aca="false">Sens!$G$8388*(1-tax)/(ext_sh*(Sens!$D$8385+Sens!$G$8385)/2)</f>
        <v>0.0966870495301478</v>
      </c>
      <c r="H8398" s="17" t="n">
        <f aca="false">Sens!$H$8388*(1-tax)/(ext_sh*(Sens!$G$8385+Sens!$H$8385)/2)</f>
        <v>0.100492020334136</v>
      </c>
      <c r="I8398" s="17" t="n">
        <f aca="false">Sens!$I$8388*(1-tax)/(ext_sh*(Sens!$H$8385+Sens!$I$8385)/2)</f>
        <v>0.0889392292218236</v>
      </c>
      <c r="J8398" s="17" t="n">
        <f aca="false">Sens!$J$8388*(1-tax)/(ext_sh*(Sens!$I$8385+Sens!$J$8385)/2)</f>
        <v>0.0858364613777012</v>
      </c>
      <c r="K8398" s="17" t="n">
        <f aca="false">Sens!$K$8388*(1-tax)/(ext_sh*(Sens!$J$8385+Sens!$K$8385)/2)</f>
        <v>0.0820837715863597</v>
      </c>
      <c r="L8398" s="17" t="n">
        <f aca="false">Sens!$L$8388*(1-tax)/(ext_sh*(Sens!$K$8385+Sens!$L$8385)/2)</f>
        <v>0.0826342637698</v>
      </c>
      <c r="M8398" s="17" t="n">
        <f aca="false">Sens!$M$8388*(1-tax)/(ext_sh*(Sens!$L$8385+Sens!$M$8385)/2)</f>
        <v>0.0804670006526159</v>
      </c>
      <c r="N8398" s="14"/>
      <c r="O8398" s="14"/>
      <c r="P8398" s="8" t="s">
        <v>657</v>
      </c>
    </row>
    <row r="8399" customFormat="false" ht="17.15" hidden="false" customHeight="false" outlineLevel="0" collapsed="false">
      <c r="A8399" s="5" t="s">
        <v>658</v>
      </c>
      <c r="B8399" s="0" t="s">
        <v>57</v>
      </c>
      <c r="H8399" s="36" t="n">
        <f aca="false">Sens!$H$8366*1000/(mw_open*he_open+Sens!$H$8364*Sens!$H$8361)</f>
        <v>0.991949006767191</v>
      </c>
      <c r="I8399" s="36" t="n">
        <f aca="false">Sens!$I$8366*1000/(mw_open*he_open+Sens!$I$8364*Sens!$I$8361)</f>
        <v>0.991949006767191</v>
      </c>
      <c r="J8399" s="36" t="n">
        <f aca="false">Sens!$J$8366*1000/(mw_open*he_open+Sens!$J$8364*Sens!$J$8361)</f>
        <v>0.991949006767191</v>
      </c>
      <c r="K8399" s="36" t="n">
        <f aca="false">Sens!$K$8366*1000/(mw_open*he_open+Sens!$K$8364*Sens!$K$8361)</f>
        <v>0.991949006767191</v>
      </c>
      <c r="L8399" s="36" t="n">
        <f aca="false">Sens!$L$8366*1000/(mw_open*he_open+Sens!$L$8364*Sens!$L$8361)</f>
        <v>0.991949006767191</v>
      </c>
      <c r="M8399" s="36" t="n">
        <f aca="false">Sens!$M$8366*1000/(mw_open*he_open+Sens!$M$8364*Sens!$M$8361)</f>
        <v>0.991949006767191</v>
      </c>
    </row>
    <row r="8400" customFormat="false" ht="17.15" hidden="false" customHeight="false" outlineLevel="0" collapsed="false">
      <c r="A8400" s="5" t="s">
        <v>659</v>
      </c>
      <c r="B8400" s="0" t="s">
        <v>57</v>
      </c>
      <c r="H8400" s="36" t="n">
        <f aca="false">Sens!$H$8399*(Sens!$H$8366+(wacc-0.01)*ext_sh*(Sens!$G$8385+Sens!$H$8385)/2/(1-tax)-Sens!$H$8388)/Sens!$H$8366</f>
        <v>1.00400133234511</v>
      </c>
      <c r="I8400" s="36" t="n">
        <f aca="false">Sens!$I$8399*(Sens!$I$8366+(wacc-0.01)*ext_sh*(Sens!$H$8385+Sens!$I$8385)/2/(1-tax)-Sens!$I$8388)/Sens!$I$8366</f>
        <v>1.05039229226163</v>
      </c>
      <c r="J8400" s="36" t="n">
        <f aca="false">Sens!$J$8399*(Sens!$J$8366+(wacc-0.01)*ext_sh*(Sens!$I$8385+Sens!$J$8385)/2/(1-tax)-Sens!$J$8388)/Sens!$J$8366</f>
        <v>1.05862601187152</v>
      </c>
      <c r="K8400" s="36" t="n">
        <f aca="false">Sens!$K$8399*(Sens!$K$8366+(wacc-0.01)*ext_sh*(Sens!$J$8385+Sens!$K$8385)/2/(1-tax)-Sens!$K$8388)/Sens!$K$8366</f>
        <v>1.06650842654828</v>
      </c>
      <c r="L8400" s="36" t="n">
        <f aca="false">Sens!$L$8399*(Sens!$L$8366+(wacc-0.01)*ext_sh*(Sens!$K$8385+Sens!$L$8385)/2/(1-tax)-Sens!$L$8388)/Sens!$L$8366</f>
        <v>1.05811079849236</v>
      </c>
      <c r="M8400" s="36" t="n">
        <f aca="false">Sens!$M$8399*(Sens!$M$8366+(wacc-0.01)*ext_sh*(Sens!$L$8385+Sens!$M$8385)/2/(1-tax)-Sens!$M$8388)/Sens!$M$8366</f>
        <v>1.06021380640313</v>
      </c>
    </row>
    <row r="8401" customFormat="false" ht="17.15" hidden="false" customHeight="false" outlineLevel="0" collapsed="false">
      <c r="A8401" s="5" t="s">
        <v>660</v>
      </c>
      <c r="B8401" s="0" t="s">
        <v>52</v>
      </c>
      <c r="C8401" s="13" t="n">
        <f aca="false">Sens!$C$8367/tk_pq</f>
        <v>0.195316432429398</v>
      </c>
      <c r="D8401" s="13" t="n">
        <f aca="false">Sens!$D$8367/tk_pq</f>
        <v>0.195316432429398</v>
      </c>
      <c r="E8401" s="13" t="n">
        <f aca="false">Sens!$E$8367/tk_pq</f>
        <v>0.195316432429398</v>
      </c>
      <c r="F8401" s="13" t="n">
        <f aca="false">Sens!$F$8367/tk_pq</f>
        <v>0.202241827274866</v>
      </c>
      <c r="G8401" s="13" t="n">
        <f aca="false">Sens!$G$8367/tk_pq</f>
        <v>0.199675016194063</v>
      </c>
      <c r="H8401" s="13" t="n">
        <f aca="false">Sens!$H$8367/tk_pq</f>
        <v>0.212647947710325</v>
      </c>
      <c r="I8401" s="13" t="n">
        <f aca="false">Sens!$I$8367/tk_pq</f>
        <v>0.219285125475351</v>
      </c>
      <c r="J8401" s="13" t="n">
        <f aca="false">Sens!$J$8367/tk_pq</f>
        <v>0.222492493217189</v>
      </c>
      <c r="K8401" s="13" t="n">
        <f aca="false">Sens!$K$8367/tk_pq</f>
        <v>0.224037965623446</v>
      </c>
      <c r="L8401" s="13" t="n">
        <f aca="false">Sens!$L$8367/tk_pq</f>
        <v>0.224743186755999</v>
      </c>
      <c r="M8401" s="13" t="n">
        <f aca="false">Sens!$M$8367/tk_pq</f>
        <v>0.224962001824354</v>
      </c>
      <c r="N8401" s="13" t="n">
        <f aca="false">Sens!$N$8367/tk_pq</f>
        <v>0.195316432429398</v>
      </c>
      <c r="O8401" s="13" t="n">
        <f aca="false">Sens!$O$8367/tk_pq</f>
        <v>0.195316432429398</v>
      </c>
      <c r="P8401" s="5" t="s">
        <v>661</v>
      </c>
    </row>
    <row r="8404" customFormat="false" ht="17.15" hidden="false" customHeight="false" outlineLevel="0" collapsed="false">
      <c r="A8404" s="1" t="s">
        <v>690</v>
      </c>
    </row>
    <row r="8405" customFormat="false" ht="17.15" hidden="false" customHeight="false" outlineLevel="0" collapsed="false">
      <c r="A8405" s="0" t="s">
        <v>691</v>
      </c>
      <c r="B8405" s="0" t="s">
        <v>86</v>
      </c>
      <c r="C8405" s="38" t="n">
        <f aca="false">Sens!$C$8366</f>
        <v>2.32100535697364</v>
      </c>
      <c r="D8405" s="38" t="n">
        <f aca="false">Sens!$D$8366</f>
        <v>8.70377008865116</v>
      </c>
      <c r="E8405" s="38" t="n">
        <f aca="false">Sens!$E$8366</f>
        <v>8.51035297557002</v>
      </c>
      <c r="F8405" s="38" t="n">
        <f aca="false">Sens!$F$8366</f>
        <v>14.9634336447205</v>
      </c>
      <c r="G8405" s="38" t="n">
        <f aca="false">Sens!$G$8366</f>
        <v>23.4737866202905</v>
      </c>
      <c r="H8405" s="38" t="n">
        <f aca="false">Sens!$H$8366</f>
        <v>60.1658907497746</v>
      </c>
      <c r="I8405" s="38" t="n">
        <f aca="false">Sens!$I$8366</f>
        <v>101.503699136432</v>
      </c>
      <c r="J8405" s="38" t="n">
        <f aca="false">Sens!$J$8366</f>
        <v>143.025407151278</v>
      </c>
      <c r="K8405" s="38" t="n">
        <f aca="false">Sens!$K$8366</f>
        <v>178.162118285436</v>
      </c>
      <c r="L8405" s="38" t="n">
        <f aca="false">Sens!$L$8366</f>
        <v>200.590902543141</v>
      </c>
      <c r="M8405" s="38" t="n">
        <f aca="false">Sens!$M$8366</f>
        <v>210.280670942702</v>
      </c>
      <c r="N8405" s="38" t="n">
        <f aca="false">Sens!$N$8366</f>
        <v>3.04631953102791</v>
      </c>
      <c r="O8405" s="38" t="n">
        <f aca="false">Sens!$O$8366</f>
        <v>5.65745055762326</v>
      </c>
      <c r="P8405" s="8" t="s">
        <v>692</v>
      </c>
    </row>
    <row r="8406" customFormat="false" ht="17.15" hidden="false" customHeight="false" outlineLevel="0" collapsed="false">
      <c r="A8406" s="0" t="s">
        <v>693</v>
      </c>
      <c r="B8406" s="0" t="s">
        <v>86</v>
      </c>
      <c r="C8406" s="38" t="n">
        <f aca="false">Sens!$C$8370</f>
        <v>105.234994643026</v>
      </c>
      <c r="D8406" s="38" t="n">
        <f aca="false">Sens!$D$8370</f>
        <v>120.021229911349</v>
      </c>
      <c r="E8406" s="38" t="n">
        <f aca="false">Sens!$E$8370</f>
        <v>71.30864702443</v>
      </c>
      <c r="F8406" s="38" t="n">
        <f aca="false">Sens!$F$8370</f>
        <v>71.7692997942464</v>
      </c>
      <c r="G8406" s="38" t="n">
        <f aca="false">Sens!$G$8370</f>
        <v>143.077946818676</v>
      </c>
      <c r="H8406" s="38" t="n">
        <f aca="false">Sens!$H$8370</f>
        <v>161.017077079203</v>
      </c>
      <c r="I8406" s="38" t="n">
        <f aca="false">Sens!$I$8370</f>
        <v>178.769759521457</v>
      </c>
      <c r="J8406" s="38" t="n">
        <f aca="false">Sens!$J$8370</f>
        <v>195.775538045907</v>
      </c>
      <c r="K8406" s="38" t="n">
        <f aca="false">Sens!$K$8370</f>
        <v>211.43758108958</v>
      </c>
      <c r="L8406" s="38" t="n">
        <f aca="false">Sens!$L$8370</f>
        <v>228.352587576746</v>
      </c>
      <c r="M8406" s="38" t="n">
        <f aca="false">Sens!$M$8370</f>
        <v>246.620794582886</v>
      </c>
      <c r="N8406" s="38" t="n">
        <f aca="false">Sens!$N$8370</f>
        <v>57.0936804689721</v>
      </c>
      <c r="O8406" s="38" t="n">
        <f aca="false">Sens!$O$8370</f>
        <v>62.9275494423768</v>
      </c>
      <c r="P8406" s="8" t="s">
        <v>692</v>
      </c>
    </row>
    <row r="8407" customFormat="false" ht="17.15" hidden="false" customHeight="false" outlineLevel="0" collapsed="false">
      <c r="A8407" s="1" t="s">
        <v>516</v>
      </c>
      <c r="B8407" s="8" t="s">
        <v>86</v>
      </c>
      <c r="C8407" s="38" t="n">
        <f aca="false">Q!$D$7</f>
        <v>107.556</v>
      </c>
      <c r="D8407" s="38" t="n">
        <f aca="false">Q!$E$7</f>
        <v>128.725</v>
      </c>
      <c r="E8407" s="38" t="n">
        <f aca="false">Q!$P$7</f>
        <v>79.819</v>
      </c>
      <c r="F8407" s="38" t="n">
        <f aca="false">Sens!$F$8405+Sens!$F$8406</f>
        <v>86.7327334389669</v>
      </c>
      <c r="G8407" s="38" t="n">
        <f aca="false">Sens!$G$8405+Sens!$G$8406</f>
        <v>166.551733438967</v>
      </c>
      <c r="H8407" s="38" t="n">
        <f aca="false">Sens!$H$8405+Sens!$H$8406</f>
        <v>221.182967828978</v>
      </c>
      <c r="I8407" s="38" t="n">
        <f aca="false">Sens!$I$8405+Sens!$I$8406</f>
        <v>280.27345865789</v>
      </c>
      <c r="J8407" s="38" t="n">
        <f aca="false">Sens!$J$8405+Sens!$J$8406</f>
        <v>338.800945197185</v>
      </c>
      <c r="K8407" s="38" t="n">
        <f aca="false">Sens!$K$8405+Sens!$K$8406</f>
        <v>389.599699375015</v>
      </c>
      <c r="L8407" s="38" t="n">
        <f aca="false">Sens!$L$8405+Sens!$L$8406</f>
        <v>428.943490119887</v>
      </c>
      <c r="M8407" s="38" t="n">
        <f aca="false">Sens!$M$8405+Sens!$M$8406</f>
        <v>456.901465525587</v>
      </c>
      <c r="N8407" s="38" t="n">
        <f aca="false">Q!$N$7</f>
        <v>60.14</v>
      </c>
      <c r="O8407" s="38" t="n">
        <f aca="false">Q!$O$7</f>
        <v>68.585</v>
      </c>
      <c r="P8407" s="5" t="s">
        <v>694</v>
      </c>
    </row>
    <row r="8408" customFormat="false" ht="15" hidden="false" customHeight="false" outlineLevel="0" collapsed="false">
      <c r="A8408" s="3" t="s">
        <v>695</v>
      </c>
      <c r="B8408" s="8" t="s">
        <v>86</v>
      </c>
      <c r="C8408" s="38" t="n">
        <f aca="false">Q!$D$8</f>
        <v>637.959</v>
      </c>
      <c r="D8408" s="38" t="n">
        <f aca="false">Q!$E$8</f>
        <v>716.924</v>
      </c>
      <c r="E8408" s="38" t="n">
        <f aca="false">Q!$P$8</f>
        <v>382.125</v>
      </c>
      <c r="F8408" s="38" t="n">
        <f aca="false">Sens!$F$8338+Sens!$F$8407</f>
        <v>435.780975084504</v>
      </c>
      <c r="G8408" s="38" t="n">
        <f aca="false">Sens!$G$8338+Sens!$G$8407</f>
        <v>817.905975084504</v>
      </c>
      <c r="H8408" s="38" t="n">
        <f aca="false">Sens!$H$8338+Sens!$H$8407</f>
        <v>942.279857350364</v>
      </c>
      <c r="I8408" s="38" t="n">
        <f aca="false">Sens!$I$8338+Sens!$I$8407</f>
        <v>1068.80284981042</v>
      </c>
      <c r="J8408" s="38" t="n">
        <f aca="false">Sens!$J$8338+Sens!$J$8407</f>
        <v>1189.90935093863</v>
      </c>
      <c r="K8408" s="38" t="n">
        <f aca="false">Sens!$K$8338+Sens!$K$8407</f>
        <v>1295.7761548061</v>
      </c>
      <c r="L8408" s="38" t="n">
        <f aca="false">Sens!$L$8338+Sens!$L$8407</f>
        <v>1394.03659659548</v>
      </c>
      <c r="M8408" s="38" t="n">
        <f aca="false">Sens!$M$8338+Sens!$M$8407</f>
        <v>1485.04937347247</v>
      </c>
      <c r="N8408" s="38" t="n">
        <f aca="false">Q!$N$8</f>
        <v>323.369</v>
      </c>
      <c r="O8408" s="38" t="n">
        <f aca="false">Q!$O$8</f>
        <v>393.555</v>
      </c>
    </row>
    <row r="8409" customFormat="false" ht="17.15" hidden="false" customHeight="false" outlineLevel="0" collapsed="false">
      <c r="A8409" s="24" t="s">
        <v>703</v>
      </c>
      <c r="B8409" s="25" t="s">
        <v>86</v>
      </c>
      <c r="C8409" s="41" t="n">
        <f aca="false">Sens!$C$8338-(Sens!$C$8340+Sens!$C$8341)</f>
        <v>0</v>
      </c>
      <c r="D8409" s="41" t="n">
        <f aca="false">Sens!$D$8338-(Sens!$D$8340+Sens!$D$8341)</f>
        <v>0</v>
      </c>
      <c r="E8409" s="41" t="n">
        <f aca="false">Sens!$E$8338-(Sens!$E$8340+Sens!$E$8341)</f>
        <v>0</v>
      </c>
      <c r="F8409" s="41" t="n">
        <f aca="false">Sens!$F$8338-(Sens!$F$8340+Sens!$F$8341)</f>
        <v>0</v>
      </c>
      <c r="G8409" s="41" t="n">
        <f aca="false">Sens!$G$8338-(Sens!$G$8340+Sens!$G$8341)</f>
        <v>0</v>
      </c>
      <c r="H8409" s="41" t="n">
        <f aca="false">Sens!$H$8338-(Sens!$H$8340+Sens!$H$8341)</f>
        <v>0</v>
      </c>
      <c r="I8409" s="41" t="n">
        <f aca="false">Sens!$I$8338-(Sens!$I$8340+Sens!$I$8341)</f>
        <v>0</v>
      </c>
      <c r="J8409" s="41" t="n">
        <f aca="false">Sens!$J$8338-(Sens!$J$8340+Sens!$J$8341)</f>
        <v>0</v>
      </c>
      <c r="K8409" s="41" t="n">
        <f aca="false">Sens!$K$8338-(Sens!$K$8340+Sens!$K$8341)</f>
        <v>0</v>
      </c>
      <c r="L8409" s="41" t="n">
        <f aca="false">Sens!$L$8338-(Sens!$L$8340+Sens!$L$8341)</f>
        <v>0</v>
      </c>
      <c r="M8409" s="41" t="n">
        <f aca="false">Sens!$M$8338-(Sens!$M$8340+Sens!$M$8341)</f>
        <v>0</v>
      </c>
      <c r="N8409" s="41" t="n">
        <f aca="false">Sens!$N$8338-(Sens!$N$8340+Sens!$N$8341)</f>
        <v>0</v>
      </c>
      <c r="O8409" s="41" t="n">
        <f aca="false">Sens!$O$8338-(Sens!$O$8340+Sens!$O$8341)</f>
        <v>0</v>
      </c>
    </row>
    <row r="8410" customFormat="false" ht="17.15" hidden="false" customHeight="false" outlineLevel="0" collapsed="false">
      <c r="A8410" s="24" t="s">
        <v>704</v>
      </c>
      <c r="B8410" s="25" t="s">
        <v>86</v>
      </c>
      <c r="C8410" s="41" t="n">
        <f aca="false">Sens!$C$8405+Sens!$C$8406-Sens!$C$8407</f>
        <v>0</v>
      </c>
      <c r="D8410" s="41" t="n">
        <f aca="false">Sens!$D$8405+Sens!$D$8406-Sens!$D$8407</f>
        <v>0</v>
      </c>
      <c r="E8410" s="41" t="n">
        <f aca="false">Sens!$E$8405+Sens!$E$8406-Sens!$E$8407</f>
        <v>0</v>
      </c>
      <c r="F8410" s="41" t="n">
        <f aca="false">Sens!$F$8405+Sens!$F$8406-Sens!$F$8407</f>
        <v>0</v>
      </c>
      <c r="G8410" s="41" t="n">
        <f aca="false">Sens!$G$8405+Sens!$G$8406-Sens!$G$8407</f>
        <v>0</v>
      </c>
      <c r="H8410" s="41" t="n">
        <f aca="false">Sens!$H$8405+Sens!$H$8406-Sens!$H$8407</f>
        <v>0</v>
      </c>
      <c r="I8410" s="41" t="n">
        <f aca="false">Sens!$I$8405+Sens!$I$8406-Sens!$I$8407</f>
        <v>0</v>
      </c>
      <c r="J8410" s="41" t="n">
        <f aca="false">Sens!$J$8405+Sens!$J$8406-Sens!$J$8407</f>
        <v>0</v>
      </c>
      <c r="K8410" s="41" t="n">
        <f aca="false">Sens!$K$8405+Sens!$K$8406-Sens!$K$8407</f>
        <v>0</v>
      </c>
      <c r="L8410" s="41" t="n">
        <f aca="false">Sens!$L$8405+Sens!$L$8406-Sens!$L$8407</f>
        <v>0</v>
      </c>
      <c r="M8410" s="41" t="n">
        <f aca="false">Sens!$M$8405+Sens!$M$8406-Sens!$M$8407</f>
        <v>0</v>
      </c>
      <c r="N8410" s="41" t="n">
        <f aca="false">Sens!$N$8405+Sens!$N$8406-Sens!$N$8407</f>
        <v>0</v>
      </c>
      <c r="O8410" s="41" t="n">
        <f aca="false">Sens!$O$8405+Sens!$O$8406-Sens!$O$8407</f>
        <v>0</v>
      </c>
    </row>
    <row r="8411" customFormat="false" ht="17.15" hidden="false" customHeight="false" outlineLevel="0" collapsed="false">
      <c r="A8411" s="24" t="s">
        <v>705</v>
      </c>
      <c r="B8411" s="25" t="s">
        <v>86</v>
      </c>
      <c r="C8411" s="41" t="n">
        <f aca="false">Sens!$C$8340+Sens!$C$8341+Sens!$C$8407-Sens!$C$8408</f>
        <v>0</v>
      </c>
      <c r="D8411" s="41" t="n">
        <f aca="false">Sens!$D$8340+Sens!$D$8341+Sens!$D$8407-Sens!$D$8408</f>
        <v>0</v>
      </c>
      <c r="E8411" s="41" t="n">
        <f aca="false">Sens!$E$8340+Sens!$E$8341+Sens!$E$8407-Sens!$E$8408</f>
        <v>0</v>
      </c>
      <c r="F8411" s="41" t="n">
        <f aca="false">Sens!$F$8340+Sens!$F$8341+Sens!$F$8407-Sens!$F$8408</f>
        <v>0</v>
      </c>
      <c r="G8411" s="41" t="n">
        <f aca="false">Sens!$G$8340+Sens!$G$8341+Sens!$G$8407-Sens!$G$8408</f>
        <v>0</v>
      </c>
      <c r="H8411" s="41" t="n">
        <f aca="false">Sens!$H$8340+Sens!$H$8341+Sens!$H$8407-Sens!$H$8408</f>
        <v>0</v>
      </c>
      <c r="I8411" s="41" t="n">
        <f aca="false">Sens!$I$8340+Sens!$I$8341+Sens!$I$8407-Sens!$I$8408</f>
        <v>0</v>
      </c>
      <c r="J8411" s="41" t="n">
        <f aca="false">Sens!$J$8340+Sens!$J$8341+Sens!$J$8407-Sens!$J$8408</f>
        <v>0</v>
      </c>
      <c r="K8411" s="41" t="n">
        <f aca="false">Sens!$K$8340+Sens!$K$8341+Sens!$K$8407-Sens!$K$8408</f>
        <v>0</v>
      </c>
      <c r="L8411" s="41" t="n">
        <f aca="false">Sens!$L$8340+Sens!$L$8341+Sens!$L$8407-Sens!$L$8408</f>
        <v>0</v>
      </c>
      <c r="M8411" s="41" t="n">
        <f aca="false">Sens!$M$8340+Sens!$M$8341+Sens!$M$8407-Sens!$M$8408</f>
        <v>0</v>
      </c>
      <c r="N8411" s="41" t="n">
        <f aca="false">Sens!$N$8340+Sens!$N$8341+Sens!$N$8407-Sens!$N$8408</f>
        <v>0</v>
      </c>
      <c r="O8411" s="41" t="n">
        <f aca="false">Sens!$O$8340+Sens!$O$8341+Sens!$O$8407-Sens!$O$8408</f>
        <v>0</v>
      </c>
    </row>
    <row r="8412" customFormat="false" ht="15" hidden="false" customHeight="false" outlineLevel="0" collapsed="false">
      <c r="A8412" s="5" t="s">
        <v>699</v>
      </c>
      <c r="B8412" s="0" t="s">
        <v>52</v>
      </c>
      <c r="G8412" s="13" t="n">
        <f aca="false">Sens!$G$8408/Sens!$D$8408-1</f>
        <v>0.140854504918937</v>
      </c>
      <c r="H8412" s="13" t="n">
        <f aca="false">Sens!$H$8408/Sens!$G$8408-1</f>
        <v>0.152063789793209</v>
      </c>
      <c r="I8412" s="13" t="n">
        <f aca="false">Sens!$I$8408/Sens!$H$8408-1</f>
        <v>0.134273264437417</v>
      </c>
      <c r="J8412" s="13" t="n">
        <f aca="false">Sens!$J$8408/Sens!$I$8408-1</f>
        <v>0.113310421234083</v>
      </c>
      <c r="K8412" s="13" t="n">
        <f aca="false">Sens!$K$8408/Sens!$J$8408-1</f>
        <v>0.0889704781158034</v>
      </c>
      <c r="L8412" s="13" t="n">
        <f aca="false">Sens!$L$8408/Sens!$K$8408-1</f>
        <v>0.0758313397147494</v>
      </c>
      <c r="M8412" s="13" t="n">
        <f aca="false">Sens!$M$8408/Sens!$L$8408-1</f>
        <v>0.0652872220853238</v>
      </c>
    </row>
    <row r="8413" customFormat="false" ht="17.15" hidden="false" customHeight="false" outlineLevel="0" collapsed="false">
      <c r="A8413" s="0" t="s">
        <v>700</v>
      </c>
      <c r="B8413" s="0" t="s">
        <v>52</v>
      </c>
      <c r="C8413" s="13" t="n">
        <f aca="false">Sens!$C$8407/Sens!$C$8408</f>
        <v>0.168593906504964</v>
      </c>
      <c r="D8413" s="13" t="n">
        <f aca="false">Sens!$D$8407/Sens!$D$8408</f>
        <v>0.179551807444025</v>
      </c>
      <c r="E8413" s="13" t="n">
        <f aca="false">Sens!$E$8407/Sens!$E$8408</f>
        <v>0.208881910369643</v>
      </c>
      <c r="F8413" s="13" t="n">
        <f aca="false">Sens!$F$8407/Sens!$F$8408</f>
        <v>0.199028269699356</v>
      </c>
      <c r="G8413" s="13" t="n">
        <f aca="false">Sens!$G$8407/Sens!$G$8408</f>
        <v>0.203631882529968</v>
      </c>
      <c r="H8413" s="13" t="n">
        <f aca="false">Sens!$H$8407/Sens!$H$8408</f>
        <v>0.234731715958496</v>
      </c>
      <c r="I8413" s="13" t="n">
        <f aca="false">Sens!$I$8407/Sens!$I$8408</f>
        <v>0.262231204480418</v>
      </c>
      <c r="J8413" s="13" t="n">
        <f aca="false">Sens!$J$8407/Sens!$J$8408</f>
        <v>0.284728366013706</v>
      </c>
      <c r="K8413" s="13" t="n">
        <f aca="false">Sens!$K$8407/Sens!$K$8408</f>
        <v>0.300668983550877</v>
      </c>
      <c r="L8413" s="13" t="n">
        <f aca="false">Sens!$L$8407/Sens!$L$8408</f>
        <v>0.307698873306092</v>
      </c>
      <c r="M8413" s="13" t="n">
        <f aca="false">Sens!$M$8407/Sens!$M$8408</f>
        <v>0.30766752519293</v>
      </c>
      <c r="N8413" s="13" t="n">
        <f aca="false">Sens!$N$8407/Sens!$N$8408</f>
        <v>0.185979484737251</v>
      </c>
      <c r="O8413" s="13" t="n">
        <f aca="false">Sens!$O$8407/Sens!$O$8408</f>
        <v>0.174270432341096</v>
      </c>
    </row>
    <row r="8414" customFormat="false" ht="17.15" hidden="false" customHeight="false" outlineLevel="0" collapsed="false">
      <c r="A8414" s="0" t="s">
        <v>701</v>
      </c>
      <c r="B8414" s="0" t="s">
        <v>52</v>
      </c>
      <c r="C8414" s="13" t="n">
        <f aca="false">Sens!$C$8405/Sens!$C$8407</f>
        <v>0.0215795060896058</v>
      </c>
      <c r="D8414" s="13" t="n">
        <f aca="false">Sens!$D$8405/Sens!$D$8407</f>
        <v>0.0676152269462122</v>
      </c>
      <c r="E8414" s="13" t="n">
        <f aca="false">Sens!$E$8405/Sens!$E$8407</f>
        <v>0.106620641395783</v>
      </c>
      <c r="F8414" s="13" t="n">
        <f aca="false">Sens!$F$8405/Sens!$F$8407</f>
        <v>0.172523487401099</v>
      </c>
      <c r="G8414" s="13" t="n">
        <f aca="false">Sens!$G$8405/Sens!$G$8407</f>
        <v>0.140939911795589</v>
      </c>
      <c r="H8414" s="13" t="n">
        <f aca="false">Sens!$H$8405/Sens!$H$8407</f>
        <v>0.272018642937714</v>
      </c>
      <c r="I8414" s="13" t="n">
        <f aca="false">Sens!$I$8405/Sens!$I$8407</f>
        <v>0.362159512436497</v>
      </c>
      <c r="J8414" s="13" t="n">
        <f aca="false">Sens!$J$8405/Sens!$J$8407</f>
        <v>0.422151735934609</v>
      </c>
      <c r="K8414" s="13" t="n">
        <f aca="false">Sens!$K$8405/Sens!$K$8407</f>
        <v>0.45729531765871</v>
      </c>
      <c r="L8414" s="13" t="n">
        <f aca="false">Sens!$L$8405/Sens!$L$8407</f>
        <v>0.467639461055993</v>
      </c>
      <c r="M8414" s="13" t="n">
        <f aca="false">Sens!$M$8405/Sens!$M$8407</f>
        <v>0.460231990503268</v>
      </c>
      <c r="N8414" s="13" t="n">
        <f aca="false">Sens!$N$8405/Sens!$N$8407</f>
        <v>0.0506537999838362</v>
      </c>
      <c r="O8414" s="13" t="n">
        <f aca="false">Sens!$O$8405/Sens!$O$8407</f>
        <v>0.0824881615167056</v>
      </c>
    </row>
    <row r="8417" customFormat="false" ht="19.4" hidden="false" customHeight="false" outlineLevel="0" collapsed="false">
      <c r="A8417" s="31" t="s">
        <v>1307</v>
      </c>
    </row>
    <row r="8418" customFormat="false" ht="17.15" hidden="false" customHeight="false" outlineLevel="0" collapsed="false">
      <c r="A8418" s="6" t="s">
        <v>16</v>
      </c>
      <c r="B8418" s="6" t="s">
        <v>17</v>
      </c>
      <c r="C8418" s="20" t="s">
        <v>497</v>
      </c>
      <c r="D8418" s="20" t="s">
        <v>498</v>
      </c>
      <c r="E8418" s="20" t="s">
        <v>580</v>
      </c>
      <c r="F8418" s="20" t="s">
        <v>581</v>
      </c>
      <c r="G8418" s="20" t="s">
        <v>582</v>
      </c>
      <c r="H8418" s="20" t="s">
        <v>583</v>
      </c>
      <c r="I8418" s="20" t="s">
        <v>584</v>
      </c>
      <c r="J8418" s="20" t="s">
        <v>585</v>
      </c>
      <c r="K8418" s="20" t="s">
        <v>586</v>
      </c>
      <c r="L8418" s="20" t="s">
        <v>587</v>
      </c>
      <c r="M8418" s="20" t="s">
        <v>588</v>
      </c>
      <c r="N8418" s="20" t="s">
        <v>589</v>
      </c>
      <c r="O8418" s="20" t="s">
        <v>590</v>
      </c>
      <c r="P8418" s="6" t="s">
        <v>23</v>
      </c>
      <c r="R8418" s="20" t="n">
        <v>2023</v>
      </c>
      <c r="S8418" s="20" t="n">
        <v>2024</v>
      </c>
      <c r="T8418" s="20" t="n">
        <v>2025</v>
      </c>
      <c r="U8418" s="20" t="n">
        <v>2026</v>
      </c>
      <c r="V8418" s="20" t="n">
        <v>2027</v>
      </c>
      <c r="W8418" s="20" t="n">
        <v>2028</v>
      </c>
      <c r="X8418" s="20" t="n">
        <v>2029</v>
      </c>
      <c r="Y8418" s="20" t="n">
        <v>2030</v>
      </c>
      <c r="Z8418" s="20" t="n">
        <v>2031</v>
      </c>
      <c r="AA8418" s="20" t="n">
        <v>2032</v>
      </c>
    </row>
    <row r="8419" customFormat="false" ht="17.15" hidden="false" customHeight="false" outlineLevel="0" collapsed="false">
      <c r="A8419" s="1" t="s">
        <v>716</v>
      </c>
    </row>
    <row r="8420" customFormat="false" ht="15" hidden="false" customHeight="false" outlineLevel="0" collapsed="false">
      <c r="A8420" s="0" t="s">
        <v>519</v>
      </c>
      <c r="B8420" s="0" t="s">
        <v>86</v>
      </c>
      <c r="C8420" s="38" t="n">
        <f aca="false">Sens!$C$8325</f>
        <v>247.029</v>
      </c>
      <c r="D8420" s="38" t="n">
        <f aca="false">Sens!$D$8325</f>
        <v>269.287</v>
      </c>
      <c r="E8420" s="38" t="n">
        <f aca="false">Sens!$E$8325</f>
        <v>134.686</v>
      </c>
      <c r="F8420" s="38" t="n">
        <f aca="false">Sens!$F$8325</f>
        <v>158.293876822267</v>
      </c>
      <c r="G8420" s="38" t="n">
        <f aca="false">Sens!$G$8325</f>
        <v>292.979876822267</v>
      </c>
      <c r="H8420" s="38" t="n">
        <f aca="false">Sens!$H$8325</f>
        <v>318.184543087396</v>
      </c>
      <c r="I8420" s="38" t="n">
        <f aca="false">Sens!$I$8325</f>
        <v>341.736278761793</v>
      </c>
      <c r="J8420" s="38" t="n">
        <f aca="false">Sens!$J$8325</f>
        <v>362.927192787048</v>
      </c>
      <c r="K8420" s="38" t="n">
        <f aca="false">Sens!$K$8325</f>
        <v>381.0735524264</v>
      </c>
      <c r="L8420" s="38" t="n">
        <f aca="false">Sens!$L$8325</f>
        <v>400.12723004772</v>
      </c>
      <c r="M8420" s="38" t="n">
        <f aca="false">Sens!$M$8325</f>
        <v>420.133591550106</v>
      </c>
      <c r="N8420" s="38" t="n">
        <f aca="false">Sens!$N$8325</f>
        <v>118.892</v>
      </c>
      <c r="O8420" s="38" t="n">
        <f aca="false">Sens!$O$8325</f>
        <v>150.395</v>
      </c>
    </row>
    <row r="8421" customFormat="false" ht="15" hidden="false" customHeight="false" outlineLevel="0" collapsed="false">
      <c r="A8421" s="0" t="s">
        <v>520</v>
      </c>
      <c r="B8421" s="0" t="s">
        <v>86</v>
      </c>
      <c r="C8421" s="38" t="n">
        <f aca="false">Sens!$C$8327</f>
        <v>21.215</v>
      </c>
      <c r="D8421" s="38" t="n">
        <f aca="false">Sens!$D$8327</f>
        <v>22.561</v>
      </c>
      <c r="E8421" s="38" t="n">
        <f aca="false">Sens!$E$8327</f>
        <v>11.579</v>
      </c>
      <c r="F8421" s="38" t="n">
        <f aca="false">Sens!$F$8327</f>
        <v>11.5938724610325</v>
      </c>
      <c r="G8421" s="38" t="n">
        <f aca="false">Sens!$G$8327</f>
        <v>23.1728724610325</v>
      </c>
      <c r="H8421" s="38" t="n">
        <f aca="false">Sens!$H$8327</f>
        <v>24.353392759506</v>
      </c>
      <c r="I8421" s="38" t="n">
        <f aca="false">Sens!$I$8327</f>
        <v>25.4240338872015</v>
      </c>
      <c r="J8421" s="38" t="n">
        <f aca="false">Sens!$J$8327</f>
        <v>26.3642491017174</v>
      </c>
      <c r="K8421" s="38" t="n">
        <f aca="false">Sens!$K$8327</f>
        <v>27.155176574769</v>
      </c>
      <c r="L8421" s="38" t="n">
        <f aca="false">Sens!$L$8327</f>
        <v>27.969831872012</v>
      </c>
      <c r="M8421" s="38" t="n">
        <f aca="false">Sens!$M$8327</f>
        <v>28.8089268281724</v>
      </c>
      <c r="N8421" s="38" t="n">
        <f aca="false">Sens!$N$8327</f>
        <v>11.128</v>
      </c>
      <c r="O8421" s="38" t="n">
        <f aca="false">Sens!$O$8327</f>
        <v>11.433</v>
      </c>
    </row>
    <row r="8422" customFormat="false" ht="15" hidden="false" customHeight="false" outlineLevel="0" collapsed="false">
      <c r="A8422" s="0" t="s">
        <v>521</v>
      </c>
      <c r="B8422" s="0" t="s">
        <v>86</v>
      </c>
      <c r="C8422" s="38" t="n">
        <f aca="false">Sens!$C$8329</f>
        <v>156.146</v>
      </c>
      <c r="D8422" s="38" t="n">
        <f aca="false">Sens!$D$8329</f>
        <v>172.162</v>
      </c>
      <c r="E8422" s="38" t="n">
        <f aca="false">Sens!$E$8329</f>
        <v>88.358</v>
      </c>
      <c r="F8422" s="38" t="n">
        <f aca="false">Sens!$F$8329</f>
        <v>102.004388260171</v>
      </c>
      <c r="G8422" s="38" t="n">
        <f aca="false">Sens!$G$8329</f>
        <v>190.362388260171</v>
      </c>
      <c r="H8422" s="38" t="n">
        <f aca="false">Sens!$H$8329</f>
        <v>210.343106588311</v>
      </c>
      <c r="I8422" s="38" t="n">
        <f aca="false">Sens!$I$8329</f>
        <v>229.969728494648</v>
      </c>
      <c r="J8422" s="38" t="n">
        <f aca="false">Sens!$J$8329</f>
        <v>248.747636972598</v>
      </c>
      <c r="K8422" s="38" t="n">
        <f aca="false">Sens!$K$8329</f>
        <v>266.15997156068</v>
      </c>
      <c r="L8422" s="38" t="n">
        <f aca="false">Sens!$L$8329</f>
        <v>284.791169569927</v>
      </c>
      <c r="M8422" s="38" t="n">
        <f aca="false">Sens!$M$8329</f>
        <v>304.726551439822</v>
      </c>
      <c r="N8422" s="38" t="n">
        <f aca="false">Sens!$N$8329</f>
        <v>76.86</v>
      </c>
      <c r="O8422" s="38" t="n">
        <f aca="false">Sens!$O$8329</f>
        <v>95.302</v>
      </c>
    </row>
    <row r="8423" customFormat="false" ht="15" hidden="false" customHeight="false" outlineLevel="0" collapsed="false">
      <c r="A8423" s="0" t="s">
        <v>522</v>
      </c>
      <c r="B8423" s="0" t="s">
        <v>86</v>
      </c>
      <c r="C8423" s="38" t="n">
        <f aca="false">Sens!$C$8331</f>
        <v>56.214</v>
      </c>
      <c r="D8423" s="38" t="n">
        <f aca="false">Sens!$D$8331</f>
        <v>68.635</v>
      </c>
      <c r="E8423" s="38" t="n">
        <f aca="false">Sens!$E$8331</f>
        <v>37.052</v>
      </c>
      <c r="F8423" s="38" t="n">
        <f aca="false">Sens!$F$8331</f>
        <v>46.1572219944148</v>
      </c>
      <c r="G8423" s="38" t="n">
        <f aca="false">Sens!$G$8331</f>
        <v>83.2092219944148</v>
      </c>
      <c r="H8423" s="38" t="n">
        <f aca="false">Sens!$H$8331</f>
        <v>99.8969223878976</v>
      </c>
      <c r="I8423" s="38" t="n">
        <f aca="false">Sens!$I$8331</f>
        <v>116.583111095496</v>
      </c>
      <c r="J8423" s="38" t="n">
        <f aca="false">Sens!$J$8331</f>
        <v>132.148941941952</v>
      </c>
      <c r="K8423" s="38" t="n">
        <f aca="false">Sens!$K$8331</f>
        <v>145.363836136147</v>
      </c>
      <c r="L8423" s="38" t="n">
        <f aca="false">Sens!$L$8331</f>
        <v>159.900219749762</v>
      </c>
      <c r="M8423" s="38" t="n">
        <f aca="false">Sens!$M$8331</f>
        <v>175.890241724738</v>
      </c>
      <c r="N8423" s="38" t="n">
        <f aca="false">Sens!$N$8331</f>
        <v>29.615</v>
      </c>
      <c r="O8423" s="38" t="n">
        <f aca="false">Sens!$O$8331</f>
        <v>39.02</v>
      </c>
    </row>
    <row r="8424" customFormat="false" ht="15" hidden="false" customHeight="false" outlineLevel="0" collapsed="false">
      <c r="A8424" s="0" t="s">
        <v>523</v>
      </c>
      <c r="B8424" s="0" t="s">
        <v>86</v>
      </c>
      <c r="C8424" s="38" t="n">
        <f aca="false">Sens!$C$8333</f>
        <v>44.374</v>
      </c>
      <c r="D8424" s="38" t="n">
        <f aca="false">Sens!$D$8333</f>
        <v>49.619</v>
      </c>
      <c r="E8424" s="38" t="n">
        <f aca="false">Sens!$E$8333</f>
        <v>27.157</v>
      </c>
      <c r="F8424" s="38" t="n">
        <f aca="false">Sens!$F$8333</f>
        <v>27.7764165988154</v>
      </c>
      <c r="G8424" s="38" t="n">
        <f aca="false">Sens!$G$8333</f>
        <v>54.9334165988154</v>
      </c>
      <c r="H8424" s="38" t="n">
        <f aca="false">Sens!$H$8333</f>
        <v>61.1564112561829</v>
      </c>
      <c r="I8424" s="38" t="n">
        <f aca="false">Sens!$I$8333</f>
        <v>67.2020282103945</v>
      </c>
      <c r="J8424" s="38" t="n">
        <f aca="false">Sens!$J$8333</f>
        <v>72.8757274028885</v>
      </c>
      <c r="K8424" s="38" t="n">
        <f aca="false">Sens!$K$8333</f>
        <v>77.9770283210907</v>
      </c>
      <c r="L8424" s="38" t="n">
        <f aca="false">Sens!$L$8333</f>
        <v>83.4354203035671</v>
      </c>
      <c r="M8424" s="38" t="n">
        <f aca="false">Sens!$M$8333</f>
        <v>89.2758997248168</v>
      </c>
      <c r="N8424" s="38" t="n">
        <f aca="false">Sens!$N$8333</f>
        <v>23.923</v>
      </c>
      <c r="O8424" s="38" t="n">
        <f aca="false">Sens!$O$8333</f>
        <v>25.696</v>
      </c>
    </row>
    <row r="8425" customFormat="false" ht="15" hidden="false" customHeight="false" outlineLevel="0" collapsed="false">
      <c r="A8425" s="0" t="s">
        <v>524</v>
      </c>
      <c r="B8425" s="0" t="s">
        <v>86</v>
      </c>
      <c r="C8425" s="38" t="n">
        <f aca="false">Sens!$C$8335</f>
        <v>5.425</v>
      </c>
      <c r="D8425" s="38" t="n">
        <f aca="false">Sens!$D$8335</f>
        <v>5.935</v>
      </c>
      <c r="E8425" s="38" t="n">
        <f aca="false">Sens!$E$8335</f>
        <v>3.474</v>
      </c>
      <c r="F8425" s="38" t="n">
        <f aca="false">Sens!$F$8335</f>
        <v>3.22246550883619</v>
      </c>
      <c r="G8425" s="38" t="n">
        <f aca="false">Sens!$G$8335</f>
        <v>6.69646550883619</v>
      </c>
      <c r="H8425" s="38" t="n">
        <f aca="false">Sens!$H$8335</f>
        <v>7.16251344209196</v>
      </c>
      <c r="I8425" s="38" t="n">
        <f aca="false">Sens!$I$8335</f>
        <v>7.61421070299826</v>
      </c>
      <c r="J8425" s="38" t="n">
        <f aca="false">Sens!$J$8335</f>
        <v>8.04465753523932</v>
      </c>
      <c r="K8425" s="38" t="n">
        <f aca="false">Sens!$K$8335</f>
        <v>8.44689041200128</v>
      </c>
      <c r="L8425" s="38" t="n">
        <f aca="false">Sens!$L$8335</f>
        <v>8.86923493260135</v>
      </c>
      <c r="M8425" s="38" t="n">
        <f aca="false">Sens!$M$8335</f>
        <v>9.31269667923142</v>
      </c>
      <c r="N8425" s="38" t="n">
        <f aca="false">Sens!$N$8335</f>
        <v>2.811</v>
      </c>
      <c r="O8425" s="38" t="n">
        <f aca="false">Sens!$O$8335</f>
        <v>3.124</v>
      </c>
    </row>
    <row r="8426" customFormat="false" ht="17.15" hidden="false" customHeight="false" outlineLevel="0" collapsed="false">
      <c r="A8426" s="0" t="s">
        <v>717</v>
      </c>
      <c r="B8426" s="0" t="s">
        <v>86</v>
      </c>
      <c r="C8426" s="38" t="n">
        <f aca="false">Sens!$C$8407</f>
        <v>107.556</v>
      </c>
      <c r="D8426" s="38" t="n">
        <f aca="false">Sens!$D$8407</f>
        <v>128.725</v>
      </c>
      <c r="E8426" s="38" t="n">
        <f aca="false">Sens!$E$8407</f>
        <v>79.819</v>
      </c>
      <c r="F8426" s="38" t="n">
        <f aca="false">Sens!$F$8407</f>
        <v>86.7327334389669</v>
      </c>
      <c r="G8426" s="38" t="n">
        <f aca="false">Sens!$G$8407</f>
        <v>166.551733438967</v>
      </c>
      <c r="H8426" s="38" t="n">
        <f aca="false">Sens!$H$8407</f>
        <v>221.182967828978</v>
      </c>
      <c r="I8426" s="38" t="n">
        <f aca="false">Sens!$I$8407</f>
        <v>280.27345865789</v>
      </c>
      <c r="J8426" s="38" t="n">
        <f aca="false">Sens!$J$8407</f>
        <v>338.800945197185</v>
      </c>
      <c r="K8426" s="38" t="n">
        <f aca="false">Sens!$K$8407</f>
        <v>389.599699375015</v>
      </c>
      <c r="L8426" s="38" t="n">
        <f aca="false">Sens!$L$8407</f>
        <v>428.943490119887</v>
      </c>
      <c r="M8426" s="38" t="n">
        <f aca="false">Sens!$M$8407</f>
        <v>456.901465525587</v>
      </c>
      <c r="N8426" s="38" t="n">
        <f aca="false">Sens!$N$8407</f>
        <v>60.14</v>
      </c>
      <c r="O8426" s="38" t="n">
        <f aca="false">Sens!$O$8407</f>
        <v>68.585</v>
      </c>
    </row>
    <row r="8427" customFormat="false" ht="15" hidden="false" customHeight="false" outlineLevel="0" collapsed="false">
      <c r="A8427" s="1" t="s">
        <v>512</v>
      </c>
      <c r="B8427" s="8" t="s">
        <v>86</v>
      </c>
      <c r="C8427" s="38" t="n">
        <f aca="false">Sens!$C$8340</f>
        <v>387.497</v>
      </c>
      <c r="D8427" s="38" t="n">
        <f aca="false">Sens!$D$8340</f>
        <v>426.305</v>
      </c>
      <c r="E8427" s="38" t="n">
        <f aca="false">Sens!$E$8340</f>
        <v>220.32</v>
      </c>
      <c r="F8427" s="38" t="n">
        <f aca="false">Sens!$F$8340</f>
        <v>250.639773480586</v>
      </c>
      <c r="G8427" s="38" t="n">
        <f aca="false">Sens!$G$8340</f>
        <v>470.959773480586</v>
      </c>
      <c r="H8427" s="38" t="n">
        <f aca="false">Sens!$H$8340</f>
        <v>521.386990416437</v>
      </c>
      <c r="I8427" s="38" t="n">
        <f aca="false">Sens!$I$8340</f>
        <v>570.143862887555</v>
      </c>
      <c r="J8427" s="38" t="n">
        <f aca="false">Sens!$J$8340</f>
        <v>615.391435791933</v>
      </c>
      <c r="K8427" s="38" t="n">
        <f aca="false">Sens!$K$8340</f>
        <v>655.208227561543</v>
      </c>
      <c r="L8427" s="38" t="n">
        <f aca="false">Sens!$L$8340</f>
        <v>697.807739249767</v>
      </c>
      <c r="M8427" s="38" t="n">
        <f aca="false">Sens!$M$8340</f>
        <v>743.399328463592</v>
      </c>
      <c r="N8427" s="38" t="n">
        <f aca="false">Sens!$N$8340</f>
        <v>192.955</v>
      </c>
      <c r="O8427" s="38" t="n">
        <f aca="false">Sens!$O$8340</f>
        <v>233.35</v>
      </c>
    </row>
    <row r="8428" customFormat="false" ht="15" hidden="false" customHeight="false" outlineLevel="0" collapsed="false">
      <c r="A8428" s="1" t="s">
        <v>515</v>
      </c>
      <c r="B8428" s="8" t="s">
        <v>86</v>
      </c>
      <c r="C8428" s="38" t="n">
        <f aca="false">Sens!$C$8341</f>
        <v>142.906</v>
      </c>
      <c r="D8428" s="38" t="n">
        <f aca="false">Sens!$D$8341</f>
        <v>161.894</v>
      </c>
      <c r="E8428" s="38" t="n">
        <f aca="false">Sens!$E$8341</f>
        <v>81.986</v>
      </c>
      <c r="F8428" s="38" t="n">
        <f aca="false">Sens!$F$8341</f>
        <v>98.408468164951</v>
      </c>
      <c r="G8428" s="38" t="n">
        <f aca="false">Sens!$G$8341</f>
        <v>180.394468164951</v>
      </c>
      <c r="H8428" s="38" t="n">
        <f aca="false">Sens!$H$8341</f>
        <v>199.709899104949</v>
      </c>
      <c r="I8428" s="38" t="n">
        <f aca="false">Sens!$I$8341</f>
        <v>218.385528264976</v>
      </c>
      <c r="J8428" s="38" t="n">
        <f aca="false">Sens!$J$8341</f>
        <v>235.71696994951</v>
      </c>
      <c r="K8428" s="38" t="n">
        <f aca="false">Sens!$K$8341</f>
        <v>250.968227869545</v>
      </c>
      <c r="L8428" s="38" t="n">
        <f aca="false">Sens!$L$8341</f>
        <v>267.285367225822</v>
      </c>
      <c r="M8428" s="38" t="n">
        <f aca="false">Sens!$M$8341</f>
        <v>284.748579483295</v>
      </c>
      <c r="N8428" s="38" t="n">
        <f aca="false">Sens!$N$8341</f>
        <v>70.274</v>
      </c>
      <c r="O8428" s="38" t="n">
        <f aca="false">Sens!$O$8341</f>
        <v>91.62</v>
      </c>
    </row>
    <row r="8429" customFormat="false" ht="15" hidden="false" customHeight="false" outlineLevel="0" collapsed="false">
      <c r="A8429" s="1" t="s">
        <v>516</v>
      </c>
      <c r="B8429" s="8" t="s">
        <v>86</v>
      </c>
      <c r="C8429" s="38" t="n">
        <f aca="false">Sens!$C$8407</f>
        <v>107.556</v>
      </c>
      <c r="D8429" s="38" t="n">
        <f aca="false">Sens!$D$8407</f>
        <v>128.725</v>
      </c>
      <c r="E8429" s="38" t="n">
        <f aca="false">Sens!$E$8407</f>
        <v>79.819</v>
      </c>
      <c r="F8429" s="38" t="n">
        <f aca="false">Sens!$F$8407</f>
        <v>86.7327334389669</v>
      </c>
      <c r="G8429" s="38" t="n">
        <f aca="false">Sens!$G$8407</f>
        <v>166.551733438967</v>
      </c>
      <c r="H8429" s="38" t="n">
        <f aca="false">Sens!$H$8407</f>
        <v>221.182967828978</v>
      </c>
      <c r="I8429" s="38" t="n">
        <f aca="false">Sens!$I$8407</f>
        <v>280.27345865789</v>
      </c>
      <c r="J8429" s="38" t="n">
        <f aca="false">Sens!$J$8407</f>
        <v>338.800945197185</v>
      </c>
      <c r="K8429" s="38" t="n">
        <f aca="false">Sens!$K$8407</f>
        <v>389.599699375015</v>
      </c>
      <c r="L8429" s="38" t="n">
        <f aca="false">Sens!$L$8407</f>
        <v>428.943490119887</v>
      </c>
      <c r="M8429" s="38" t="n">
        <f aca="false">Sens!$M$8407</f>
        <v>456.901465525587</v>
      </c>
      <c r="N8429" s="38" t="n">
        <f aca="false">Sens!$N$8407</f>
        <v>60.14</v>
      </c>
      <c r="O8429" s="38" t="n">
        <f aca="false">Sens!$O$8407</f>
        <v>68.585</v>
      </c>
    </row>
    <row r="8430" customFormat="false" ht="17.15" hidden="false" customHeight="false" outlineLevel="0" collapsed="false">
      <c r="A8430" s="0" t="s">
        <v>691</v>
      </c>
      <c r="B8430" s="0" t="s">
        <v>86</v>
      </c>
      <c r="C8430" s="38" t="n">
        <f aca="false">Sens!$C$8405</f>
        <v>2.32100535697364</v>
      </c>
      <c r="D8430" s="38" t="n">
        <f aca="false">Sens!$D$8405</f>
        <v>8.70377008865116</v>
      </c>
      <c r="E8430" s="38" t="n">
        <f aca="false">Sens!$E$8405</f>
        <v>8.51035297557002</v>
      </c>
      <c r="F8430" s="38" t="n">
        <f aca="false">Sens!$F$8405</f>
        <v>14.9634336447205</v>
      </c>
      <c r="G8430" s="38" t="n">
        <f aca="false">Sens!$G$8405</f>
        <v>23.4737866202905</v>
      </c>
      <c r="H8430" s="38" t="n">
        <f aca="false">Sens!$H$8405</f>
        <v>60.1658907497746</v>
      </c>
      <c r="I8430" s="38" t="n">
        <f aca="false">Sens!$I$8405</f>
        <v>101.503699136432</v>
      </c>
      <c r="J8430" s="38" t="n">
        <f aca="false">Sens!$J$8405</f>
        <v>143.025407151278</v>
      </c>
      <c r="K8430" s="38" t="n">
        <f aca="false">Sens!$K$8405</f>
        <v>178.162118285436</v>
      </c>
      <c r="L8430" s="38" t="n">
        <f aca="false">Sens!$L$8405</f>
        <v>200.590902543141</v>
      </c>
      <c r="M8430" s="38" t="n">
        <f aca="false">Sens!$M$8405</f>
        <v>210.280670942702</v>
      </c>
      <c r="N8430" s="38" t="n">
        <f aca="false">Sens!$N$8405</f>
        <v>3.04631953102791</v>
      </c>
      <c r="O8430" s="38" t="n">
        <f aca="false">Sens!$O$8405</f>
        <v>5.65745055762326</v>
      </c>
    </row>
    <row r="8431" customFormat="false" ht="17.15" hidden="false" customHeight="false" outlineLevel="0" collapsed="false">
      <c r="A8431" s="0" t="s">
        <v>693</v>
      </c>
      <c r="B8431" s="0" t="s">
        <v>86</v>
      </c>
      <c r="C8431" s="38" t="n">
        <f aca="false">Sens!$C$8406</f>
        <v>105.234994643026</v>
      </c>
      <c r="D8431" s="38" t="n">
        <f aca="false">Sens!$D$8406</f>
        <v>120.021229911349</v>
      </c>
      <c r="E8431" s="38" t="n">
        <f aca="false">Sens!$E$8406</f>
        <v>71.30864702443</v>
      </c>
      <c r="F8431" s="38" t="n">
        <f aca="false">Sens!$F$8406</f>
        <v>71.7692997942464</v>
      </c>
      <c r="G8431" s="38" t="n">
        <f aca="false">Sens!$G$8406</f>
        <v>143.077946818676</v>
      </c>
      <c r="H8431" s="38" t="n">
        <f aca="false">Sens!$H$8406</f>
        <v>161.017077079203</v>
      </c>
      <c r="I8431" s="38" t="n">
        <f aca="false">Sens!$I$8406</f>
        <v>178.769759521457</v>
      </c>
      <c r="J8431" s="38" t="n">
        <f aca="false">Sens!$J$8406</f>
        <v>195.775538045907</v>
      </c>
      <c r="K8431" s="38" t="n">
        <f aca="false">Sens!$K$8406</f>
        <v>211.43758108958</v>
      </c>
      <c r="L8431" s="38" t="n">
        <f aca="false">Sens!$L$8406</f>
        <v>228.352587576746</v>
      </c>
      <c r="M8431" s="38" t="n">
        <f aca="false">Sens!$M$8406</f>
        <v>246.620794582886</v>
      </c>
      <c r="N8431" s="38" t="n">
        <f aca="false">Sens!$N$8406</f>
        <v>57.0936804689721</v>
      </c>
      <c r="O8431" s="38" t="n">
        <f aca="false">Sens!$O$8406</f>
        <v>62.9275494423768</v>
      </c>
    </row>
    <row r="8432" customFormat="false" ht="15" hidden="false" customHeight="false" outlineLevel="0" collapsed="false">
      <c r="A8432" s="3" t="s">
        <v>517</v>
      </c>
      <c r="B8432" s="8" t="s">
        <v>86</v>
      </c>
      <c r="C8432" s="38" t="n">
        <f aca="false">Sens!$C$8408</f>
        <v>637.959</v>
      </c>
      <c r="D8432" s="38" t="n">
        <f aca="false">Sens!$D$8408</f>
        <v>716.924</v>
      </c>
      <c r="E8432" s="38" t="n">
        <f aca="false">Sens!$E$8408</f>
        <v>382.125</v>
      </c>
      <c r="F8432" s="38" t="n">
        <f aca="false">Sens!$F$8408</f>
        <v>435.780975084504</v>
      </c>
      <c r="G8432" s="38" t="n">
        <f aca="false">Sens!$G$8408</f>
        <v>817.905975084504</v>
      </c>
      <c r="H8432" s="38" t="n">
        <f aca="false">Sens!$H$8408</f>
        <v>942.279857350364</v>
      </c>
      <c r="I8432" s="38" t="n">
        <f aca="false">Sens!$I$8408</f>
        <v>1068.80284981042</v>
      </c>
      <c r="J8432" s="38" t="n">
        <f aca="false">Sens!$J$8408</f>
        <v>1189.90935093863</v>
      </c>
      <c r="K8432" s="38" t="n">
        <f aca="false">Sens!$K$8408</f>
        <v>1295.7761548061</v>
      </c>
      <c r="L8432" s="38" t="n">
        <f aca="false">Sens!$L$8408</f>
        <v>1394.03659659548</v>
      </c>
      <c r="M8432" s="38" t="n">
        <f aca="false">Sens!$M$8408</f>
        <v>1485.04937347247</v>
      </c>
      <c r="N8432" s="38" t="n">
        <f aca="false">Sens!$N$8408</f>
        <v>323.369</v>
      </c>
      <c r="O8432" s="38" t="n">
        <f aca="false">Sens!$O$8408</f>
        <v>393.555</v>
      </c>
    </row>
    <row r="8433" customFormat="false" ht="17.15" hidden="false" customHeight="false" outlineLevel="0" collapsed="false">
      <c r="A8433" s="24" t="s">
        <v>703</v>
      </c>
      <c r="B8433" s="25" t="s">
        <v>86</v>
      </c>
      <c r="C8433" s="41" t="n">
        <f aca="false">Sens!$C$8420+Sens!$C$8421+Sens!$C$8422+Sens!$C$8423+Sens!$C$8424+Sens!$C$8425-(Sens!$C$8427+Sens!$C$8428)</f>
        <v>0</v>
      </c>
      <c r="D8433" s="41" t="n">
        <f aca="false">Sens!$D$8420+Sens!$D$8421+Sens!$D$8422+Sens!$D$8423+Sens!$D$8424+Sens!$D$8425-(Sens!$D$8427+Sens!$D$8428)</f>
        <v>0</v>
      </c>
      <c r="E8433" s="41" t="n">
        <f aca="false">Sens!$E$8420+Sens!$E$8421+Sens!$E$8422+Sens!$E$8423+Sens!$E$8424+Sens!$E$8425-(Sens!$E$8427+Sens!$E$8428)</f>
        <v>0</v>
      </c>
      <c r="F8433" s="41" t="n">
        <f aca="false">Sens!$F$8420+Sens!$F$8421+Sens!$F$8422+Sens!$F$8423+Sens!$F$8424+Sens!$F$8425-(Sens!$F$8427+Sens!$F$8428)</f>
        <v>0</v>
      </c>
      <c r="G8433" s="41" t="n">
        <f aca="false">Sens!$G$8420+Sens!$G$8421+Sens!$G$8422+Sens!$G$8423+Sens!$G$8424+Sens!$G$8425-(Sens!$G$8427+Sens!$G$8428)</f>
        <v>0</v>
      </c>
      <c r="H8433" s="41" t="n">
        <f aca="false">Sens!$H$8420+Sens!$H$8421+Sens!$H$8422+Sens!$H$8423+Sens!$H$8424+Sens!$H$8425-(Sens!$H$8427+Sens!$H$8428)</f>
        <v>0</v>
      </c>
      <c r="I8433" s="41" t="n">
        <f aca="false">Sens!$I$8420+Sens!$I$8421+Sens!$I$8422+Sens!$I$8423+Sens!$I$8424+Sens!$I$8425-(Sens!$I$8427+Sens!$I$8428)</f>
        <v>0</v>
      </c>
      <c r="J8433" s="41" t="n">
        <f aca="false">Sens!$J$8420+Sens!$J$8421+Sens!$J$8422+Sens!$J$8423+Sens!$J$8424+Sens!$J$8425-(Sens!$J$8427+Sens!$J$8428)</f>
        <v>0</v>
      </c>
      <c r="K8433" s="41" t="n">
        <f aca="false">Sens!$K$8420+Sens!$K$8421+Sens!$K$8422+Sens!$K$8423+Sens!$K$8424+Sens!$K$8425-(Sens!$K$8427+Sens!$K$8428)</f>
        <v>0</v>
      </c>
      <c r="L8433" s="41" t="n">
        <f aca="false">Sens!$L$8420+Sens!$L$8421+Sens!$L$8422+Sens!$L$8423+Sens!$L$8424+Sens!$L$8425-(Sens!$L$8427+Sens!$L$8428)</f>
        <v>0</v>
      </c>
      <c r="M8433" s="41" t="n">
        <f aca="false">Sens!$M$8420+Sens!$M$8421+Sens!$M$8422+Sens!$M$8423+Sens!$M$8424+Sens!$M$8425-(Sens!$M$8427+Sens!$M$8428)</f>
        <v>0</v>
      </c>
      <c r="N8433" s="41" t="n">
        <f aca="false">Sens!$N$8420+Sens!$N$8421+Sens!$N$8422+Sens!$N$8423+Sens!$N$8424+Sens!$N$8425-(Sens!$N$8427+Sens!$N$8428)</f>
        <v>0</v>
      </c>
      <c r="O8433" s="41" t="n">
        <f aca="false">Sens!$O$8420+Sens!$O$8421+Sens!$O$8422+Sens!$O$8423+Sens!$O$8424+Sens!$O$8425-(Sens!$O$8427+Sens!$O$8428)</f>
        <v>0</v>
      </c>
    </row>
    <row r="8434" customFormat="false" ht="17.15" hidden="false" customHeight="false" outlineLevel="0" collapsed="false">
      <c r="A8434" s="24" t="s">
        <v>704</v>
      </c>
      <c r="B8434" s="25" t="s">
        <v>86</v>
      </c>
      <c r="C8434" s="41" t="n">
        <f aca="false">Sens!$C$8430+Sens!$C$8431-Sens!$C$8429</f>
        <v>0</v>
      </c>
      <c r="D8434" s="41" t="n">
        <f aca="false">Sens!$D$8430+Sens!$D$8431-Sens!$D$8429</f>
        <v>0</v>
      </c>
      <c r="E8434" s="41" t="n">
        <f aca="false">Sens!$E$8430+Sens!$E$8431-Sens!$E$8429</f>
        <v>0</v>
      </c>
      <c r="F8434" s="41" t="n">
        <f aca="false">Sens!$F$8430+Sens!$F$8431-Sens!$F$8429</f>
        <v>0</v>
      </c>
      <c r="G8434" s="41" t="n">
        <f aca="false">Sens!$G$8430+Sens!$G$8431-Sens!$G$8429</f>
        <v>0</v>
      </c>
      <c r="H8434" s="41" t="n">
        <f aca="false">Sens!$H$8430+Sens!$H$8431-Sens!$H$8429</f>
        <v>0</v>
      </c>
      <c r="I8434" s="41" t="n">
        <f aca="false">Sens!$I$8430+Sens!$I$8431-Sens!$I$8429</f>
        <v>0</v>
      </c>
      <c r="J8434" s="41" t="n">
        <f aca="false">Sens!$J$8430+Sens!$J$8431-Sens!$J$8429</f>
        <v>0</v>
      </c>
      <c r="K8434" s="41" t="n">
        <f aca="false">Sens!$K$8430+Sens!$K$8431-Sens!$K$8429</f>
        <v>0</v>
      </c>
      <c r="L8434" s="41" t="n">
        <f aca="false">Sens!$L$8430+Sens!$L$8431-Sens!$L$8429</f>
        <v>0</v>
      </c>
      <c r="M8434" s="41" t="n">
        <f aca="false">Sens!$M$8430+Sens!$M$8431-Sens!$M$8429</f>
        <v>0</v>
      </c>
      <c r="N8434" s="41" t="n">
        <f aca="false">Sens!$N$8430+Sens!$N$8431-Sens!$N$8429</f>
        <v>0</v>
      </c>
      <c r="O8434" s="41" t="n">
        <f aca="false">Sens!$O$8430+Sens!$O$8431-Sens!$O$8429</f>
        <v>0</v>
      </c>
    </row>
    <row r="8435" customFormat="false" ht="17.15" hidden="false" customHeight="false" outlineLevel="0" collapsed="false">
      <c r="A8435" s="24" t="s">
        <v>763</v>
      </c>
      <c r="B8435" s="25" t="s">
        <v>86</v>
      </c>
      <c r="C8435" s="41" t="n">
        <f aca="false">Sens!$C$8420+Sens!$C$8421+Sens!$C$8422+Sens!$C$8423+Sens!$C$8424+Sens!$C$8425+Sens!$C$8426-Sens!$C$8432</f>
        <v>0</v>
      </c>
      <c r="D8435" s="41" t="n">
        <f aca="false">Sens!$D$8420+Sens!$D$8421+Sens!$D$8422+Sens!$D$8423+Sens!$D$8424+Sens!$D$8425+Sens!$D$8426-Sens!$D$8432</f>
        <v>0</v>
      </c>
      <c r="E8435" s="41" t="n">
        <f aca="false">Sens!$E$8420+Sens!$E$8421+Sens!$E$8422+Sens!$E$8423+Sens!$E$8424+Sens!$E$8425+Sens!$E$8426-Sens!$E$8432</f>
        <v>0</v>
      </c>
      <c r="F8435" s="41" t="n">
        <f aca="false">Sens!$F$8420+Sens!$F$8421+Sens!$F$8422+Sens!$F$8423+Sens!$F$8424+Sens!$F$8425+Sens!$F$8426-Sens!$F$8432</f>
        <v>0</v>
      </c>
      <c r="G8435" s="41" t="n">
        <f aca="false">Sens!$G$8420+Sens!$G$8421+Sens!$G$8422+Sens!$G$8423+Sens!$G$8424+Sens!$G$8425+Sens!$G$8426-Sens!$G$8432</f>
        <v>0</v>
      </c>
      <c r="H8435" s="41" t="n">
        <f aca="false">Sens!$H$8420+Sens!$H$8421+Sens!$H$8422+Sens!$H$8423+Sens!$H$8424+Sens!$H$8425+Sens!$H$8426-Sens!$H$8432</f>
        <v>0</v>
      </c>
      <c r="I8435" s="41" t="n">
        <f aca="false">Sens!$I$8420+Sens!$I$8421+Sens!$I$8422+Sens!$I$8423+Sens!$I$8424+Sens!$I$8425+Sens!$I$8426-Sens!$I$8432</f>
        <v>0</v>
      </c>
      <c r="J8435" s="41" t="n">
        <f aca="false">Sens!$J$8420+Sens!$J$8421+Sens!$J$8422+Sens!$J$8423+Sens!$J$8424+Sens!$J$8425+Sens!$J$8426-Sens!$J$8432</f>
        <v>0</v>
      </c>
      <c r="K8435" s="41" t="n">
        <f aca="false">Sens!$K$8420+Sens!$K$8421+Sens!$K$8422+Sens!$K$8423+Sens!$K$8424+Sens!$K$8425+Sens!$K$8426-Sens!$K$8432</f>
        <v>0</v>
      </c>
      <c r="L8435" s="41" t="n">
        <f aca="false">Sens!$L$8420+Sens!$L$8421+Sens!$L$8422+Sens!$L$8423+Sens!$L$8424+Sens!$L$8425+Sens!$L$8426-Sens!$L$8432</f>
        <v>0</v>
      </c>
      <c r="M8435" s="41" t="n">
        <f aca="false">Sens!$M$8420+Sens!$M$8421+Sens!$M$8422+Sens!$M$8423+Sens!$M$8424+Sens!$M$8425+Sens!$M$8426-Sens!$M$8432</f>
        <v>0</v>
      </c>
      <c r="N8435" s="41" t="n">
        <f aca="false">Sens!$N$8420+Sens!$N$8421+Sens!$N$8422+Sens!$N$8423+Sens!$N$8424+Sens!$N$8425+Sens!$N$8426-Sens!$N$8432</f>
        <v>0</v>
      </c>
      <c r="O8435" s="41" t="n">
        <f aca="false">Sens!$O$8420+Sens!$O$8421+Sens!$O$8422+Sens!$O$8423+Sens!$O$8424+Sens!$O$8425+Sens!$O$8426-Sens!$O$8432</f>
        <v>0</v>
      </c>
    </row>
    <row r="8436" customFormat="false" ht="17.15" hidden="false" customHeight="false" outlineLevel="0" collapsed="false">
      <c r="A8436" s="24" t="s">
        <v>705</v>
      </c>
      <c r="B8436" s="25" t="s">
        <v>86</v>
      </c>
      <c r="C8436" s="41" t="n">
        <f aca="false">Sens!$C$8427+Sens!$C$8428+Sens!$C$8429-Sens!$C$8432</f>
        <v>0</v>
      </c>
      <c r="D8436" s="41" t="n">
        <f aca="false">Sens!$D$8427+Sens!$D$8428+Sens!$D$8429-Sens!$D$8432</f>
        <v>0</v>
      </c>
      <c r="E8436" s="41" t="n">
        <f aca="false">Sens!$E$8427+Sens!$E$8428+Sens!$E$8429-Sens!$E$8432</f>
        <v>0</v>
      </c>
      <c r="F8436" s="41" t="n">
        <f aca="false">Sens!$F$8427+Sens!$F$8428+Sens!$F$8429-Sens!$F$8432</f>
        <v>0</v>
      </c>
      <c r="G8436" s="41" t="n">
        <f aca="false">Sens!$G$8427+Sens!$G$8428+Sens!$G$8429-Sens!$G$8432</f>
        <v>0</v>
      </c>
      <c r="H8436" s="41" t="n">
        <f aca="false">Sens!$H$8427+Sens!$H$8428+Sens!$H$8429-Sens!$H$8432</f>
        <v>0</v>
      </c>
      <c r="I8436" s="41" t="n">
        <f aca="false">Sens!$I$8427+Sens!$I$8428+Sens!$I$8429-Sens!$I$8432</f>
        <v>0</v>
      </c>
      <c r="J8436" s="41" t="n">
        <f aca="false">Sens!$J$8427+Sens!$J$8428+Sens!$J$8429-Sens!$J$8432</f>
        <v>0</v>
      </c>
      <c r="K8436" s="41" t="n">
        <f aca="false">Sens!$K$8427+Sens!$K$8428+Sens!$K$8429-Sens!$K$8432</f>
        <v>0</v>
      </c>
      <c r="L8436" s="41" t="n">
        <f aca="false">Sens!$L$8427+Sens!$L$8428+Sens!$L$8429-Sens!$L$8432</f>
        <v>0</v>
      </c>
      <c r="M8436" s="41" t="n">
        <f aca="false">Sens!$M$8427+Sens!$M$8428+Sens!$M$8429-Sens!$M$8432</f>
        <v>0</v>
      </c>
      <c r="N8436" s="41" t="n">
        <f aca="false">Sens!$N$8427+Sens!$N$8428+Sens!$N$8429-Sens!$N$8432</f>
        <v>0</v>
      </c>
      <c r="O8436" s="41" t="n">
        <f aca="false">Sens!$O$8427+Sens!$O$8428+Sens!$O$8429-Sens!$O$8432</f>
        <v>0</v>
      </c>
    </row>
    <row r="8437" customFormat="false" ht="17.15" hidden="false" customHeight="false" outlineLevel="0" collapsed="false">
      <c r="A8437" s="1" t="s">
        <v>719</v>
      </c>
    </row>
    <row r="8438" customFormat="false" ht="17.15" hidden="false" customHeight="false" outlineLevel="0" collapsed="false">
      <c r="A8438" s="0" t="s">
        <v>720</v>
      </c>
      <c r="B8438" s="0" t="s">
        <v>86</v>
      </c>
      <c r="C8438" s="38" t="n">
        <f aca="false">Sens!$C$8342*m_ad</f>
        <v>20.5341564414228</v>
      </c>
      <c r="D8438" s="38" t="n">
        <f aca="false">Sens!$D$8342*m_ad</f>
        <v>24.8720617299587</v>
      </c>
      <c r="E8438" s="38" t="n">
        <f aca="false">Sens!$E$8342*m_ad</f>
        <v>13.5017112462207</v>
      </c>
      <c r="F8438" s="38" t="n">
        <f aca="false">Sens!$F$8342*m_ad</f>
        <v>16.5719724165257</v>
      </c>
      <c r="G8438" s="38" t="n">
        <f aca="false">Sens!$G$8342*m_ad</f>
        <v>30.0820919220415</v>
      </c>
      <c r="H8438" s="38" t="n">
        <f aca="false">Sens!$H$8342*m_ad</f>
        <v>36.1150883276314</v>
      </c>
      <c r="I8438" s="38" t="n">
        <f aca="false">Sens!$I$8342*m_ad</f>
        <v>42.1475382231996</v>
      </c>
      <c r="J8438" s="38" t="n">
        <f aca="false">Sens!$J$8342*m_ad</f>
        <v>47.7749523864693</v>
      </c>
      <c r="K8438" s="38" t="n">
        <f aca="false">Sens!$K$8342*m_ad</f>
        <v>52.5524476251162</v>
      </c>
      <c r="L8438" s="38" t="n">
        <f aca="false">Sens!$L$8342*m_ad</f>
        <v>57.8076923876279</v>
      </c>
      <c r="M8438" s="38" t="n">
        <f aca="false">Sens!$M$8342*m_ad</f>
        <v>63.5884616263907</v>
      </c>
      <c r="N8438" s="38" t="n">
        <f aca="false">Sens!$N$8342*m_ad</f>
        <v>10.8543555706248</v>
      </c>
      <c r="O8438" s="38" t="n">
        <f aca="false">Sens!$O$8342*m_ad</f>
        <v>14.0094731821399</v>
      </c>
    </row>
    <row r="8439" customFormat="false" ht="17.15" hidden="false" customHeight="false" outlineLevel="0" collapsed="false">
      <c r="A8439" s="0" t="s">
        <v>721</v>
      </c>
      <c r="B8439" s="0" t="s">
        <v>86</v>
      </c>
      <c r="C8439" s="38" t="n">
        <f aca="false">Sens!$C$8340-Sens!$C$8342</f>
        <v>346.428687117154</v>
      </c>
      <c r="D8439" s="38" t="n">
        <f aca="false">Sens!$D$8340-Sens!$D$8342</f>
        <v>376.560876540083</v>
      </c>
      <c r="E8439" s="38" t="n">
        <f aca="false">Sens!$E$8340-Sens!$E$8342</f>
        <v>193.316577507559</v>
      </c>
      <c r="F8439" s="38" t="n">
        <f aca="false">Sens!$F$8340-Sens!$F$8342</f>
        <v>217.495828647535</v>
      </c>
      <c r="G8439" s="38" t="n">
        <f aca="false">Sens!$G$8340-Sens!$G$8342</f>
        <v>410.795589636503</v>
      </c>
      <c r="H8439" s="38" t="n">
        <f aca="false">Sens!$H$8340-Sens!$H$8342</f>
        <v>449.156813761174</v>
      </c>
      <c r="I8439" s="38" t="n">
        <f aca="false">Sens!$I$8340-Sens!$I$8342</f>
        <v>485.848786441156</v>
      </c>
      <c r="J8439" s="38" t="n">
        <f aca="false">Sens!$J$8340-Sens!$J$8342</f>
        <v>519.841531018994</v>
      </c>
      <c r="K8439" s="38" t="n">
        <f aca="false">Sens!$K$8340-Sens!$K$8342</f>
        <v>550.103332311311</v>
      </c>
      <c r="L8439" s="38" t="n">
        <f aca="false">Sens!$L$8340-Sens!$L$8342</f>
        <v>582.192354474511</v>
      </c>
      <c r="M8439" s="38" t="n">
        <f aca="false">Sens!$M$8340-Sens!$M$8342</f>
        <v>616.22240521081</v>
      </c>
      <c r="N8439" s="38" t="n">
        <f aca="false">Sens!$N$8340-Sens!$N$8342</f>
        <v>171.24628885875</v>
      </c>
      <c r="O8439" s="38" t="n">
        <f aca="false">Sens!$O$8340-Sens!$O$8342</f>
        <v>205.33105363572</v>
      </c>
    </row>
    <row r="8440" customFormat="false" ht="17.15" hidden="false" customHeight="false" outlineLevel="0" collapsed="false">
      <c r="A8440" s="0" t="s">
        <v>722</v>
      </c>
      <c r="B8440" s="0" t="s">
        <v>86</v>
      </c>
      <c r="C8440" s="38" t="n">
        <f aca="false">Sens!$C$8391*Sens!$C$8339</f>
        <v>0.123617442257179</v>
      </c>
      <c r="D8440" s="38" t="n">
        <f aca="false">Sens!$D$8391*Sens!$D$8339</f>
        <v>0.600198046024689</v>
      </c>
      <c r="E8440" s="38" t="n">
        <f aca="false">Sens!$E$8391*Sens!$E$8339</f>
        <v>0.970552432202993</v>
      </c>
      <c r="F8440" s="38" t="n">
        <f aca="false">Sens!$F$8391*Sens!$F$8339</f>
        <v>1.20013524388435</v>
      </c>
      <c r="G8440" s="38" t="n">
        <f aca="false">Sens!$G$8391*Sens!$G$8339</f>
        <v>2.17135369594947</v>
      </c>
      <c r="H8440" s="38" t="n">
        <f aca="false">Sens!$H$8391*Sens!$H$8339</f>
        <v>6.14227489656333</v>
      </c>
      <c r="I8440" s="38" t="n">
        <f aca="false">Sens!$I$8391*Sens!$I$8339</f>
        <v>11.6518054969681</v>
      </c>
      <c r="J8440" s="38" t="n">
        <f aca="false">Sens!$J$8391*Sens!$J$8339</f>
        <v>17.3105301010592</v>
      </c>
      <c r="K8440" s="38" t="n">
        <f aca="false">Sens!$K$8391*Sens!$K$8339</f>
        <v>22.8384065844905</v>
      </c>
      <c r="L8440" s="38" t="n">
        <f aca="false">Sens!$L$8391*Sens!$L$8339</f>
        <v>26.587547241206</v>
      </c>
      <c r="M8440" s="38" t="n">
        <f aca="false">Sens!$M$8391*Sens!$M$8339</f>
        <v>28.7909952336448</v>
      </c>
      <c r="N8440" s="38" t="n">
        <f aca="false">Sens!$N$8391*Sens!$N$8339</f>
        <v>0.25053229484398</v>
      </c>
      <c r="O8440" s="38" t="n">
        <f aca="false">Sens!$O$8391*Sens!$O$8339</f>
        <v>0.349234376756897</v>
      </c>
    </row>
    <row r="8441" customFormat="false" ht="17.15" hidden="false" customHeight="false" outlineLevel="0" collapsed="false">
      <c r="A8441" s="0" t="s">
        <v>723</v>
      </c>
      <c r="B8441" s="0" t="s">
        <v>52</v>
      </c>
      <c r="C8441" s="28" t="n">
        <f aca="false">(Sens!$C$8442-Sens!$C$8438+Sens!$C$8440)/Sens!$C$8439</f>
        <v>0.0131526665379575</v>
      </c>
      <c r="D8441" s="28" t="n">
        <f aca="false">(Sens!$D$8442-Sens!$D$8438+Sens!$D$8440)/Sens!$D$8439</f>
        <v>0.0141999252954702</v>
      </c>
      <c r="E8441" s="28" t="n">
        <f aca="false">(Sens!$E$8442-Sens!$E$8438+Sens!$E$8440)/Sens!$E$8439</f>
        <v>0.0251341154940129</v>
      </c>
      <c r="F8441" s="28" t="n">
        <f aca="false">Sens!$O$8441+(Sens!$E$8441-Sens!$N$8441)</f>
        <v>0.0217171685713677</v>
      </c>
      <c r="G8441" s="28" t="n">
        <f aca="false">(Sens!$G$8442-Sens!$G$8438+Sens!$G$8440)/Sens!$G$8439</f>
        <v>0.0233071940458981</v>
      </c>
      <c r="H8441" s="28" t="n">
        <f aca="false">Sens!$G$8441+step_na</f>
        <v>0.0263071940458981</v>
      </c>
      <c r="I8441" s="28" t="n">
        <f aca="false">Sens!$H$8441+step_na</f>
        <v>0.0293071940458981</v>
      </c>
      <c r="J8441" s="28" t="n">
        <f aca="false">Sens!$I$8441+step_na</f>
        <v>0.0323071940458981</v>
      </c>
      <c r="K8441" s="28" t="n">
        <f aca="false">Sens!$J$8441+step_na</f>
        <v>0.0353071940458981</v>
      </c>
      <c r="L8441" s="28" t="n">
        <f aca="false">Sens!$K$8441</f>
        <v>0.0353071940458981</v>
      </c>
      <c r="M8441" s="28" t="n">
        <f aca="false">Sens!$L$8441</f>
        <v>0.0353071940458981</v>
      </c>
      <c r="N8441" s="28" t="n">
        <f aca="false">(Sens!$N$8442-Sens!$N$8438+Sens!$N$8440)/Sens!$N$8439</f>
        <v>0.0160831323269779</v>
      </c>
      <c r="O8441" s="28" t="n">
        <f aca="false">(Sens!$O$8442-Sens!$O$8438+Sens!$O$8440)/Sens!$O$8439</f>
        <v>0.0126661854043327</v>
      </c>
      <c r="P8441" s="8" t="s">
        <v>724</v>
      </c>
    </row>
    <row r="8442" customFormat="false" ht="17.15" hidden="false" customHeight="false" outlineLevel="0" collapsed="false">
      <c r="A8442" s="1" t="s">
        <v>725</v>
      </c>
      <c r="B8442" s="8" t="s">
        <v>86</v>
      </c>
      <c r="C8442" s="38" t="n">
        <f aca="false">Q!$D$22</f>
        <v>24.967</v>
      </c>
      <c r="D8442" s="38" t="n">
        <f aca="false">Q!$E$22</f>
        <v>29.619</v>
      </c>
      <c r="E8442" s="38" t="n">
        <f aca="false">Q!$P$22</f>
        <v>17.39</v>
      </c>
      <c r="F8442" s="38" t="n">
        <f aca="false">Sens!$F$8438+Sens!$F$8439*Sens!$F$8441-Sens!$F$8440</f>
        <v>20.0952307469491</v>
      </c>
      <c r="G8442" s="38" t="n">
        <f aca="false">Sens!$E$8442+Sens!$F$8442</f>
        <v>37.4852307469491</v>
      </c>
      <c r="H8442" s="38" t="n">
        <f aca="false">Sens!$H$8438+Sens!$H$8439*Sens!$H$8441-Sens!$H$8440</f>
        <v>41.7888688877206</v>
      </c>
      <c r="I8442" s="38" t="n">
        <f aca="false">Sens!$I$8438+Sens!$I$8439*Sens!$I$8441-Sens!$I$8440</f>
        <v>44.7345973874265</v>
      </c>
      <c r="J8442" s="38" t="n">
        <f aca="false">Sens!$J$8438+Sens!$J$8439*Sens!$J$8441-Sens!$J$8440</f>
        <v>47.2590435011574</v>
      </c>
      <c r="K8442" s="38" t="n">
        <f aca="false">Sens!$K$8438+Sens!$K$8439*Sens!$K$8441-Sens!$K$8440</f>
        <v>49.1366461398364</v>
      </c>
      <c r="L8442" s="38" t="n">
        <f aca="false">Sens!$L$8438+Sens!$L$8439*Sens!$L$8441-Sens!$L$8440</f>
        <v>51.7757235778917</v>
      </c>
      <c r="M8442" s="38" t="n">
        <f aca="false">Sens!$M$8438+Sens!$M$8439*Sens!$M$8441-Sens!$M$8440</f>
        <v>56.554550428954</v>
      </c>
      <c r="N8442" s="38" t="n">
        <f aca="false">Q!$N$22</f>
        <v>13.358</v>
      </c>
      <c r="O8442" s="38" t="n">
        <f aca="false">Q!$O$22</f>
        <v>16.261</v>
      </c>
    </row>
    <row r="8443" customFormat="false" ht="17.15" hidden="false" customHeight="false" outlineLevel="0" collapsed="false">
      <c r="A8443" s="0" t="s">
        <v>726</v>
      </c>
      <c r="B8443" s="0" t="s">
        <v>86</v>
      </c>
      <c r="C8443" s="38" t="n">
        <f aca="false">Sens!$C$8343*m_ad</f>
        <v>7.57284355857716</v>
      </c>
      <c r="D8443" s="38" t="n">
        <f aca="false">Sens!$D$8343*m_ad</f>
        <v>9.44543827004127</v>
      </c>
      <c r="E8443" s="38" t="n">
        <f aca="false">Sens!$E$8343*m_ad</f>
        <v>5.02428875377928</v>
      </c>
      <c r="F8443" s="38" t="n">
        <f aca="false">Sens!$F$8343*m_ad</f>
        <v>6.50663858068173</v>
      </c>
      <c r="G8443" s="38" t="n">
        <f aca="false">Sens!$G$8343*m_ad</f>
        <v>11.5225190751659</v>
      </c>
      <c r="H8443" s="38" t="n">
        <f aca="false">Sens!$H$8343*m_ad</f>
        <v>13.8333728663174</v>
      </c>
      <c r="I8443" s="38" t="n">
        <f aca="false">Sens!$I$8343*m_ad</f>
        <v>16.1440173245485</v>
      </c>
      <c r="J8443" s="38" t="n">
        <f aca="false">Sens!$J$8343*m_ad</f>
        <v>18.2995185845066</v>
      </c>
      <c r="K8443" s="38" t="n">
        <f aca="false">Sens!$K$8343*m_ad</f>
        <v>20.1294704429572</v>
      </c>
      <c r="L8443" s="38" t="n">
        <f aca="false">Sens!$L$8343*m_ad</f>
        <v>22.142417487253</v>
      </c>
      <c r="M8443" s="38" t="n">
        <f aca="false">Sens!$M$8343*m_ad</f>
        <v>24.3566592359783</v>
      </c>
      <c r="N8443" s="38" t="n">
        <f aca="false">Sens!$N$8343*m_ad</f>
        <v>3.95314442937518</v>
      </c>
      <c r="O8443" s="38" t="n">
        <f aca="false">Sens!$O$8343*m_ad</f>
        <v>5.50052681786011</v>
      </c>
    </row>
    <row r="8444" customFormat="false" ht="17.15" hidden="false" customHeight="false" outlineLevel="0" collapsed="false">
      <c r="A8444" s="0" t="s">
        <v>727</v>
      </c>
      <c r="B8444" s="0" t="s">
        <v>86</v>
      </c>
      <c r="C8444" s="38" t="n">
        <f aca="false">Sens!$C$8341-Sens!$C$8343</f>
        <v>127.760312882846</v>
      </c>
      <c r="D8444" s="38" t="n">
        <f aca="false">Sens!$D$8341-Sens!$D$8343</f>
        <v>143.003123459917</v>
      </c>
      <c r="E8444" s="38" t="n">
        <f aca="false">Sens!$E$8341-Sens!$E$8343</f>
        <v>71.9374224924414</v>
      </c>
      <c r="F8444" s="38" t="n">
        <f aca="false">Sens!$F$8341-Sens!$F$8343</f>
        <v>85.3951910035875</v>
      </c>
      <c r="G8444" s="38" t="n">
        <f aca="false">Sens!$G$8341-Sens!$G$8343</f>
        <v>157.349430014619</v>
      </c>
      <c r="H8444" s="38" t="n">
        <f aca="false">Sens!$H$8341-Sens!$H$8343</f>
        <v>172.043153372315</v>
      </c>
      <c r="I8444" s="38" t="n">
        <f aca="false">Sens!$I$8341-Sens!$I$8343</f>
        <v>186.097493615879</v>
      </c>
      <c r="J8444" s="38" t="n">
        <f aca="false">Sens!$J$8341-Sens!$J$8343</f>
        <v>199.117932780497</v>
      </c>
      <c r="K8444" s="38" t="n">
        <f aca="false">Sens!$K$8341-Sens!$K$8343</f>
        <v>210.70928698363</v>
      </c>
      <c r="L8444" s="38" t="n">
        <f aca="false">Sens!$L$8341-Sens!$L$8343</f>
        <v>223.000532251316</v>
      </c>
      <c r="M8444" s="38" t="n">
        <f aca="false">Sens!$M$8341-Sens!$M$8343</f>
        <v>236.035261011339</v>
      </c>
      <c r="N8444" s="38" t="n">
        <f aca="false">Sens!$N$8341-Sens!$N$8343</f>
        <v>62.3677111412496</v>
      </c>
      <c r="O8444" s="38" t="n">
        <f aca="false">Sens!$O$8341-Sens!$O$8343</f>
        <v>80.6189463642798</v>
      </c>
    </row>
    <row r="8445" customFormat="false" ht="17.15" hidden="false" customHeight="false" outlineLevel="0" collapsed="false">
      <c r="A8445" s="0" t="s">
        <v>728</v>
      </c>
      <c r="B8445" s="0" t="s">
        <v>86</v>
      </c>
      <c r="C8445" s="38" t="n">
        <f aca="false">Sens!$C$8391*(1-Sens!$C$8339)</f>
        <v>0.0455891896019953</v>
      </c>
      <c r="D8445" s="38" t="n">
        <f aca="false">Sens!$D$8391*(1-Sens!$D$8339)</f>
        <v>0.227931791705753</v>
      </c>
      <c r="E8445" s="38" t="n">
        <f aca="false">Sens!$E$8391*(1-Sens!$E$8339)</f>
        <v>0.361164268820781</v>
      </c>
      <c r="F8445" s="38" t="n">
        <f aca="false">Sens!$F$8391*(1-Sens!$F$8339)</f>
        <v>0.471208018190203</v>
      </c>
      <c r="G8445" s="38" t="n">
        <f aca="false">Sens!$G$8391*(1-Sens!$G$8339)</f>
        <v>0.83170626714885</v>
      </c>
      <c r="H8445" s="38" t="n">
        <f aca="false">Sens!$H$8391*(1-Sens!$H$8339)</f>
        <v>2.35271136874315</v>
      </c>
      <c r="I8445" s="38" t="n">
        <f aca="false">Sens!$I$8391*(1-Sens!$I$8339)</f>
        <v>4.46305900024741</v>
      </c>
      <c r="J8445" s="38" t="n">
        <f aca="false">Sens!$J$8391*(1-Sens!$J$8339)</f>
        <v>6.63055328092195</v>
      </c>
      <c r="K8445" s="38" t="n">
        <f aca="false">Sens!$K$8391*(1-Sens!$K$8339)</f>
        <v>8.74792804297522</v>
      </c>
      <c r="L8445" s="38" t="n">
        <f aca="false">Sens!$L$8391*(1-Sens!$L$8339)</f>
        <v>10.1839832496556</v>
      </c>
      <c r="M8445" s="38" t="n">
        <f aca="false">Sens!$M$8391*(1-Sens!$M$8339)</f>
        <v>11.027982782328</v>
      </c>
      <c r="N8445" s="38" t="n">
        <f aca="false">Sens!$N$8391*(1-Sens!$N$8339)</f>
        <v>0.0912435878202994</v>
      </c>
      <c r="O8445" s="38" t="n">
        <f aca="false">Sens!$O$8391*(1-Sens!$O$8339)</f>
        <v>0.137119578309265</v>
      </c>
    </row>
    <row r="8446" customFormat="false" ht="17.15" hidden="false" customHeight="false" outlineLevel="0" collapsed="false">
      <c r="A8446" s="0" t="s">
        <v>729</v>
      </c>
      <c r="B8446" s="0" t="s">
        <v>52</v>
      </c>
      <c r="C8446" s="28" t="n">
        <f aca="false">(Sens!$C$8447-Sens!$C$8443+Sens!$C$8445)/Sens!$C$8444</f>
        <v>-0.0292364215826579</v>
      </c>
      <c r="D8446" s="28" t="n">
        <f aca="false">(Sens!$D$8447-Sens!$D$8443+Sens!$D$8445)/Sens!$D$8444</f>
        <v>-0.0312406216748665</v>
      </c>
      <c r="E8446" s="28" t="n">
        <f aca="false">(Sens!$E$8447-Sens!$E$8443+Sens!$E$8445)/Sens!$E$8444</f>
        <v>-0.0211590078184749</v>
      </c>
      <c r="F8446" s="28" t="n">
        <f aca="false">Sens!$O$8446+(Sens!$E$8446-Sens!$N$8446)</f>
        <v>-0.0382539955245511</v>
      </c>
      <c r="G8446" s="28" t="n">
        <f aca="false">(Sens!$G$8447-Sens!$G$8443+Sens!$G$8445)/Sens!$G$8444</f>
        <v>-0.030385172031133</v>
      </c>
      <c r="H8446" s="28" t="n">
        <f aca="false">Sens!$G$8446+step_in</f>
        <v>-0.030385172031133</v>
      </c>
      <c r="I8446" s="28" t="n">
        <f aca="false">Sens!$H$8446+step_in</f>
        <v>-0.030385172031133</v>
      </c>
      <c r="J8446" s="28" t="n">
        <f aca="false">Sens!$I$8446+step_in</f>
        <v>-0.030385172031133</v>
      </c>
      <c r="K8446" s="28" t="n">
        <f aca="false">Sens!$J$8446+step_in</f>
        <v>-0.030385172031133</v>
      </c>
      <c r="L8446" s="28" t="n">
        <f aca="false">Sens!$K$8446</f>
        <v>-0.030385172031133</v>
      </c>
      <c r="M8446" s="28" t="n">
        <f aca="false">Sens!$L$8446</f>
        <v>-0.030385172031133</v>
      </c>
      <c r="N8446" s="28" t="n">
        <f aca="false">(Sens!$N$8447-Sens!$N$8443+Sens!$N$8445)/Sens!$N$8444</f>
        <v>-0.0216602600421776</v>
      </c>
      <c r="O8446" s="28" t="n">
        <f aca="false">(Sens!$O$8447-Sens!$O$8443+Sens!$O$8445)/Sens!$O$8444</f>
        <v>-0.0387552477482538</v>
      </c>
      <c r="P8446" s="8" t="s">
        <v>724</v>
      </c>
    </row>
    <row r="8447" customFormat="false" ht="17.15" hidden="false" customHeight="false" outlineLevel="0" collapsed="false">
      <c r="A8447" s="1" t="s">
        <v>730</v>
      </c>
      <c r="B8447" s="8" t="s">
        <v>86</v>
      </c>
      <c r="C8447" s="38" t="n">
        <f aca="false">Q!$D$23</f>
        <v>3.792</v>
      </c>
      <c r="D8447" s="38" t="n">
        <f aca="false">Q!$E$23</f>
        <v>4.75</v>
      </c>
      <c r="E8447" s="38" t="n">
        <f aca="false">Q!$P$23</f>
        <v>3.141</v>
      </c>
      <c r="F8447" s="38" t="n">
        <f aca="false">Sens!$F$8443+Sens!$F$8444*Sens!$F$8446-Sens!$F$8445</f>
        <v>2.7687233080221</v>
      </c>
      <c r="G8447" s="38" t="n">
        <f aca="false">Sens!$E$8447+Sens!$F$8447</f>
        <v>5.9097233080221</v>
      </c>
      <c r="H8447" s="38" t="n">
        <f aca="false">Sens!$H$8443+Sens!$H$8444*Sens!$H$8446-Sens!$H$8445</f>
        <v>6.25310068557783</v>
      </c>
      <c r="I8447" s="38" t="n">
        <f aca="false">Sens!$I$8443+Sens!$I$8444*Sens!$I$8446-Sens!$I$8445</f>
        <v>6.02635396621997</v>
      </c>
      <c r="J8447" s="38" t="n">
        <f aca="false">Sens!$J$8443+Sens!$J$8444*Sens!$J$8446-Sens!$J$8445</f>
        <v>5.61873266156566</v>
      </c>
      <c r="K8447" s="38" t="n">
        <f aca="false">Sens!$K$8443+Sens!$K$8444*Sens!$K$8446-Sens!$K$8445</f>
        <v>4.97910446642705</v>
      </c>
      <c r="L8447" s="38" t="n">
        <f aca="false">Sens!$L$8443+Sens!$L$8444*Sens!$L$8446-Sens!$L$8445</f>
        <v>5.18252470210692</v>
      </c>
      <c r="M8447" s="38" t="n">
        <f aca="false">Sens!$M$8443+Sens!$M$8444*Sens!$M$8446-Sens!$M$8445</f>
        <v>6.15670444240737</v>
      </c>
      <c r="N8447" s="38" t="n">
        <f aca="false">Q!$N$23</f>
        <v>2.511</v>
      </c>
      <c r="O8447" s="38" t="n">
        <f aca="false">Q!$O$23</f>
        <v>2.239</v>
      </c>
    </row>
    <row r="8448" customFormat="false" ht="17.15" hidden="false" customHeight="false" outlineLevel="0" collapsed="false">
      <c r="A8448" s="0" t="s">
        <v>731</v>
      </c>
      <c r="B8448" s="0" t="s">
        <v>86</v>
      </c>
      <c r="C8448" s="38" t="n">
        <f aca="false">Sens!$C$8388</f>
        <v>1.64417882953695</v>
      </c>
      <c r="D8448" s="38" t="n">
        <f aca="false">Sens!$D$8388</f>
        <v>5.39125073772939</v>
      </c>
      <c r="E8448" s="38" t="n">
        <f aca="false">Sens!$E$8388</f>
        <v>3.18348617147493</v>
      </c>
      <c r="F8448" s="38" t="n">
        <f aca="false">Sens!$F$8388</f>
        <v>8.27806059642226</v>
      </c>
      <c r="G8448" s="38" t="n">
        <f aca="false">Sens!$G$8388</f>
        <v>11.4615467678972</v>
      </c>
      <c r="H8448" s="38" t="n">
        <f aca="false">Sens!$H$8388</f>
        <v>26.1859456885487</v>
      </c>
      <c r="I8448" s="38" t="n">
        <f aca="false">Sens!$I$8388</f>
        <v>37.04424114757</v>
      </c>
      <c r="J8448" s="38" t="n">
        <f aca="false">Sens!$J$8388</f>
        <v>47.2610736233534</v>
      </c>
      <c r="K8448" s="38" t="n">
        <f aca="false">Sens!$K$8388</f>
        <v>51.8167797755728</v>
      </c>
      <c r="L8448" s="38" t="n">
        <f aca="false">Sens!$L$8388</f>
        <v>53.5047805796943</v>
      </c>
      <c r="M8448" s="38" t="n">
        <f aca="false">Sens!$M$8388</f>
        <v>51.0047588788104</v>
      </c>
      <c r="N8448" s="38" t="n">
        <f aca="false">Sens!$N$8388</f>
        <v>1.67921600037079</v>
      </c>
      <c r="O8448" s="38" t="n">
        <f aca="false">Sens!$O$8388</f>
        <v>3.71203473735861</v>
      </c>
    </row>
    <row r="8449" customFormat="false" ht="17.15" hidden="false" customHeight="false" outlineLevel="0" collapsed="false">
      <c r="A8449" s="0" t="s">
        <v>649</v>
      </c>
      <c r="B8449" s="0" t="s">
        <v>86</v>
      </c>
      <c r="C8449" s="38" t="n">
        <f aca="false">Sens!$C$8393</f>
        <v>38.1898211704631</v>
      </c>
      <c r="D8449" s="38" t="n">
        <f aca="false">Sens!$D$8393</f>
        <v>40.2147492622706</v>
      </c>
      <c r="E8449" s="38" t="n">
        <f aca="false">Sens!$E$8393</f>
        <v>27.5985138285251</v>
      </c>
      <c r="F8449" s="38" t="n">
        <f aca="false">Sens!$F$8393</f>
        <v>25.5484769754606</v>
      </c>
      <c r="G8449" s="38" t="n">
        <f aca="false">Sens!$G$8393</f>
        <v>53.1469908039857</v>
      </c>
      <c r="H8449" s="38" t="n">
        <f aca="false">Sens!$H$8393</f>
        <v>57.3189525076539</v>
      </c>
      <c r="I8449" s="38" t="n">
        <f aca="false">Sens!$I$8393</f>
        <v>63.6385627021087</v>
      </c>
      <c r="J8449" s="38" t="n">
        <f aca="false">Sens!$J$8393</f>
        <v>69.6922896066105</v>
      </c>
      <c r="K8449" s="38" t="n">
        <f aca="false">Sens!$K$8393</f>
        <v>75.2676727751394</v>
      </c>
      <c r="L8449" s="38" t="n">
        <f aca="false">Sens!$L$8393</f>
        <v>81.2890865971505</v>
      </c>
      <c r="M8449" s="38" t="n">
        <f aca="false">Sens!$M$8393</f>
        <v>87.7922135249226</v>
      </c>
      <c r="N8449" s="38" t="n">
        <f aca="false">Sens!$N$8393</f>
        <v>20.0277839996292</v>
      </c>
      <c r="O8449" s="38" t="n">
        <f aca="false">Sens!$O$8393</f>
        <v>20.1869652626414</v>
      </c>
    </row>
    <row r="8450" customFormat="false" ht="17.15" hidden="false" customHeight="false" outlineLevel="0" collapsed="false">
      <c r="A8450" s="1" t="s">
        <v>732</v>
      </c>
      <c r="B8450" s="8" t="s">
        <v>86</v>
      </c>
      <c r="C8450" s="38" t="n">
        <f aca="false">Q!$D$24</f>
        <v>39.834</v>
      </c>
      <c r="D8450" s="38" t="n">
        <f aca="false">Q!$E$24</f>
        <v>45.606</v>
      </c>
      <c r="E8450" s="38" t="n">
        <f aca="false">Q!$P$24</f>
        <v>30.782</v>
      </c>
      <c r="F8450" s="38" t="n">
        <f aca="false">Sens!$F$8448+Sens!$F$8449</f>
        <v>33.8265375718829</v>
      </c>
      <c r="G8450" s="38" t="n">
        <f aca="false">Sens!$G$8448+Sens!$G$8449</f>
        <v>64.6085375718829</v>
      </c>
      <c r="H8450" s="38" t="n">
        <f aca="false">Sens!$H$8448+Sens!$H$8449</f>
        <v>83.5048981962026</v>
      </c>
      <c r="I8450" s="38" t="n">
        <f aca="false">Sens!$I$8448+Sens!$I$8449</f>
        <v>100.682803849679</v>
      </c>
      <c r="J8450" s="38" t="n">
        <f aca="false">Sens!$J$8448+Sens!$J$8449</f>
        <v>116.953363229964</v>
      </c>
      <c r="K8450" s="38" t="n">
        <f aca="false">Sens!$K$8448+Sens!$K$8449</f>
        <v>127.084452550712</v>
      </c>
      <c r="L8450" s="38" t="n">
        <f aca="false">Sens!$L$8448+Sens!$L$8449</f>
        <v>134.793867176845</v>
      </c>
      <c r="M8450" s="38" t="n">
        <f aca="false">Sens!$M$8448+Sens!$M$8449</f>
        <v>138.796972403733</v>
      </c>
      <c r="N8450" s="38" t="n">
        <f aca="false">Q!$N$24</f>
        <v>21.707</v>
      </c>
      <c r="O8450" s="38" t="n">
        <f aca="false">Q!$O$24</f>
        <v>23.899</v>
      </c>
    </row>
    <row r="8451" customFormat="false" ht="17.15" hidden="false" customHeight="false" outlineLevel="0" collapsed="false">
      <c r="A8451" s="5" t="s">
        <v>733</v>
      </c>
      <c r="B8451" s="0" t="s">
        <v>86</v>
      </c>
      <c r="C8451" s="38" t="n">
        <f aca="false">Q!$D$26</f>
        <v>0</v>
      </c>
      <c r="D8451" s="38" t="n">
        <f aca="false">Q!$E$26</f>
        <v>0</v>
      </c>
      <c r="E8451" s="38" t="n">
        <f aca="false">Q!$P$26</f>
        <v>0</v>
      </c>
      <c r="F8451" s="39" t="n">
        <v>0</v>
      </c>
      <c r="G8451" s="38" t="n">
        <f aca="false">Sens!$E$8451+Sens!$F$8451</f>
        <v>0</v>
      </c>
      <c r="H8451" s="39" t="n">
        <v>0</v>
      </c>
      <c r="I8451" s="39" t="n">
        <v>0</v>
      </c>
      <c r="J8451" s="39" t="n">
        <v>0</v>
      </c>
      <c r="K8451" s="39" t="n">
        <v>0</v>
      </c>
      <c r="L8451" s="39" t="n">
        <v>0</v>
      </c>
      <c r="M8451" s="39" t="n">
        <v>0</v>
      </c>
      <c r="N8451" s="38" t="n">
        <f aca="false">Q!$N$26</f>
        <v>0</v>
      </c>
      <c r="O8451" s="38" t="n">
        <f aca="false">Q!$O$26</f>
        <v>0</v>
      </c>
    </row>
    <row r="8452" customFormat="false" ht="15" hidden="false" customHeight="false" outlineLevel="0" collapsed="false">
      <c r="A8452" s="3" t="s">
        <v>534</v>
      </c>
      <c r="B8452" s="8" t="s">
        <v>86</v>
      </c>
      <c r="C8452" s="38" t="n">
        <f aca="false">Q!$D$25</f>
        <v>68.593</v>
      </c>
      <c r="D8452" s="38" t="n">
        <f aca="false">Q!$E$25</f>
        <v>79.975</v>
      </c>
      <c r="E8452" s="38" t="n">
        <f aca="false">Q!$P$25</f>
        <v>51.313</v>
      </c>
      <c r="F8452" s="38" t="n">
        <f aca="false">Sens!$F$8442+Sens!$F$8447+Sens!$F$8450+Sens!$F$8451</f>
        <v>56.6904916268541</v>
      </c>
      <c r="G8452" s="38" t="n">
        <f aca="false">Sens!$G$8442+Sens!$G$8447+Sens!$G$8450+Sens!$G$8451</f>
        <v>108.003491626854</v>
      </c>
      <c r="H8452" s="38" t="n">
        <f aca="false">Sens!$H$8442+Sens!$H$8447+Sens!$H$8450+Sens!$H$8451</f>
        <v>131.546867769501</v>
      </c>
      <c r="I8452" s="38" t="n">
        <f aca="false">Sens!$I$8442+Sens!$I$8447+Sens!$I$8450+Sens!$I$8451</f>
        <v>151.443755203325</v>
      </c>
      <c r="J8452" s="38" t="n">
        <f aca="false">Sens!$J$8442+Sens!$J$8447+Sens!$J$8450+Sens!$J$8451</f>
        <v>169.831139392687</v>
      </c>
      <c r="K8452" s="38" t="n">
        <f aca="false">Sens!$K$8442+Sens!$K$8447+Sens!$K$8450+Sens!$K$8451</f>
        <v>181.200203156976</v>
      </c>
      <c r="L8452" s="38" t="n">
        <f aca="false">Sens!$L$8442+Sens!$L$8447+Sens!$L$8450+Sens!$L$8451</f>
        <v>191.752115456843</v>
      </c>
      <c r="M8452" s="38" t="n">
        <f aca="false">Sens!$M$8442+Sens!$M$8447+Sens!$M$8450+Sens!$M$8451</f>
        <v>201.508227275094</v>
      </c>
      <c r="N8452" s="38" t="n">
        <f aca="false">Q!$N$25</f>
        <v>37.576</v>
      </c>
      <c r="O8452" s="38" t="n">
        <f aca="false">Q!$O$25</f>
        <v>42.399</v>
      </c>
    </row>
    <row r="8453" customFormat="false" ht="17.15" hidden="false" customHeight="false" outlineLevel="0" collapsed="false">
      <c r="A8453" s="24" t="s">
        <v>764</v>
      </c>
      <c r="B8453" s="25" t="s">
        <v>86</v>
      </c>
      <c r="C8453" s="41" t="n">
        <f aca="false">Sens!$C$8442+Sens!$C$8447+Sens!$C$8450+Sens!$C$8451-Sens!$C$8452</f>
        <v>0</v>
      </c>
      <c r="D8453" s="41" t="n">
        <f aca="false">Sens!$D$8442+Sens!$D$8447+Sens!$D$8450+Sens!$D$8451-Sens!$D$8452</f>
        <v>0</v>
      </c>
      <c r="E8453" s="41" t="n">
        <f aca="false">Sens!$E$8442+Sens!$E$8447+Sens!$E$8450+Sens!$E$8451-Sens!$E$8452</f>
        <v>0</v>
      </c>
      <c r="F8453" s="41" t="n">
        <f aca="false">Sens!$F$8442+Sens!$F$8447+Sens!$F$8450+Sens!$F$8451-Sens!$F$8452</f>
        <v>0</v>
      </c>
      <c r="G8453" s="41" t="n">
        <f aca="false">Sens!$G$8442+Sens!$G$8447+Sens!$G$8450+Sens!$G$8451-Sens!$G$8452</f>
        <v>0</v>
      </c>
      <c r="H8453" s="41" t="n">
        <f aca="false">Sens!$H$8442+Sens!$H$8447+Sens!$H$8450+Sens!$H$8451-Sens!$H$8452</f>
        <v>0</v>
      </c>
      <c r="I8453" s="41" t="n">
        <f aca="false">Sens!$I$8442+Sens!$I$8447+Sens!$I$8450+Sens!$I$8451-Sens!$I$8452</f>
        <v>0</v>
      </c>
      <c r="J8453" s="41" t="n">
        <f aca="false">Sens!$J$8442+Sens!$J$8447+Sens!$J$8450+Sens!$J$8451-Sens!$J$8452</f>
        <v>0</v>
      </c>
      <c r="K8453" s="41" t="n">
        <f aca="false">Sens!$K$8442+Sens!$K$8447+Sens!$K$8450+Sens!$K$8451-Sens!$K$8452</f>
        <v>0</v>
      </c>
      <c r="L8453" s="41" t="n">
        <f aca="false">Sens!$L$8442+Sens!$L$8447+Sens!$L$8450+Sens!$L$8451-Sens!$L$8452</f>
        <v>0</v>
      </c>
      <c r="M8453" s="41" t="n">
        <f aca="false">Sens!$M$8442+Sens!$M$8447+Sens!$M$8450+Sens!$M$8451-Sens!$M$8452</f>
        <v>0</v>
      </c>
      <c r="N8453" s="41" t="n">
        <f aca="false">Sens!$N$8442+Sens!$N$8447+Sens!$N$8450+Sens!$N$8451-Sens!$N$8452</f>
        <v>0</v>
      </c>
      <c r="O8453" s="41" t="n">
        <f aca="false">Sens!$O$8442+Sens!$O$8447+Sens!$O$8450+Sens!$O$8451-Sens!$O$8452</f>
        <v>0</v>
      </c>
    </row>
    <row r="8454" customFormat="false" ht="17.15" hidden="false" customHeight="false" outlineLevel="0" collapsed="false">
      <c r="A8454" s="5" t="s">
        <v>735</v>
      </c>
      <c r="B8454" s="0" t="s">
        <v>86</v>
      </c>
      <c r="C8454" s="38" t="n">
        <f aca="false">Sens!$C$8390</f>
        <v>0</v>
      </c>
      <c r="D8454" s="38" t="n">
        <f aca="false">Sens!$D$8390</f>
        <v>0</v>
      </c>
      <c r="E8454" s="38" t="n">
        <f aca="false">Sens!$E$8390</f>
        <v>0</v>
      </c>
      <c r="F8454" s="38" t="n">
        <f aca="false">Sens!$F$8390</f>
        <v>3.77122048175818</v>
      </c>
      <c r="G8454" s="38" t="n">
        <f aca="false">Sens!$G$8390</f>
        <v>3.77122048175818</v>
      </c>
      <c r="H8454" s="38" t="n">
        <f aca="false">Sens!$H$8390</f>
        <v>15.1635543609893</v>
      </c>
      <c r="I8454" s="38" t="n">
        <f aca="false">Sens!$I$8390</f>
        <v>25.5818843619889</v>
      </c>
      <c r="J8454" s="38" t="n">
        <f aca="false">Sens!$J$8390</f>
        <v>36.0465624179122</v>
      </c>
      <c r="K8454" s="38" t="n">
        <f aca="false">Sens!$K$8390</f>
        <v>44.9020355557576</v>
      </c>
      <c r="L8454" s="38" t="n">
        <f aca="false">Sens!$L$8390</f>
        <v>50.55474151763</v>
      </c>
      <c r="M8454" s="38" t="n">
        <f aca="false">Sens!$M$8390</f>
        <v>52.9968449759368</v>
      </c>
      <c r="N8454" s="38" t="n">
        <f aca="false">Sens!$N$8390</f>
        <v>0</v>
      </c>
      <c r="O8454" s="38" t="n">
        <f aca="false">Sens!$O$8390</f>
        <v>0</v>
      </c>
      <c r="P8454" s="5" t="s">
        <v>736</v>
      </c>
    </row>
    <row r="8455" customFormat="false" ht="17.15" hidden="false" customHeight="false" outlineLevel="0" collapsed="false">
      <c r="A8455" s="5" t="s">
        <v>737</v>
      </c>
      <c r="B8455" s="0" t="s">
        <v>86</v>
      </c>
      <c r="C8455" s="38" t="n">
        <f aca="false">Sens!$C$8452+Sens!$C$8454</f>
        <v>68.593</v>
      </c>
      <c r="D8455" s="38" t="n">
        <f aca="false">Sens!$D$8452+Sens!$D$8454</f>
        <v>79.975</v>
      </c>
      <c r="E8455" s="38" t="n">
        <f aca="false">Sens!$E$8452+Sens!$E$8454</f>
        <v>51.313</v>
      </c>
      <c r="F8455" s="38" t="n">
        <f aca="false">Sens!$F$8452+Sens!$F$8454</f>
        <v>60.4617121086123</v>
      </c>
      <c r="G8455" s="38" t="n">
        <f aca="false">Sens!$G$8452+Sens!$G$8454</f>
        <v>111.774712108612</v>
      </c>
      <c r="H8455" s="38" t="n">
        <f aca="false">Sens!$H$8452+Sens!$H$8454</f>
        <v>146.71042213049</v>
      </c>
      <c r="I8455" s="38" t="n">
        <f aca="false">Sens!$I$8452+Sens!$I$8454</f>
        <v>177.025639565314</v>
      </c>
      <c r="J8455" s="38" t="n">
        <f aca="false">Sens!$J$8452+Sens!$J$8454</f>
        <v>205.877701810599</v>
      </c>
      <c r="K8455" s="38" t="n">
        <f aca="false">Sens!$K$8452+Sens!$K$8454</f>
        <v>226.102238712733</v>
      </c>
      <c r="L8455" s="38" t="n">
        <f aca="false">Sens!$L$8452+Sens!$L$8454</f>
        <v>242.306856974473</v>
      </c>
      <c r="M8455" s="38" t="n">
        <f aca="false">Sens!$M$8452+Sens!$M$8454</f>
        <v>254.505072251031</v>
      </c>
      <c r="N8455" s="38" t="n">
        <f aca="false">Sens!$N$8452+Sens!$N$8454</f>
        <v>37.576</v>
      </c>
      <c r="O8455" s="38" t="n">
        <f aca="false">Sens!$O$8452+Sens!$O$8454</f>
        <v>42.399</v>
      </c>
    </row>
    <row r="8456" customFormat="false" ht="17.15" hidden="false" customHeight="false" outlineLevel="0" collapsed="false">
      <c r="A8456" s="0" t="s">
        <v>738</v>
      </c>
      <c r="B8456" s="0" t="s">
        <v>52</v>
      </c>
      <c r="C8456" s="13" t="n">
        <f aca="false">Sens!$C$8442/Sens!$C$8427</f>
        <v>0.0644314665661928</v>
      </c>
      <c r="D8456" s="13" t="n">
        <f aca="false">Sens!$D$8442/Sens!$D$8427</f>
        <v>0.0694784250712518</v>
      </c>
      <c r="E8456" s="13" t="n">
        <f aca="false">Sens!$E$8442/Sens!$E$8427</f>
        <v>0.0789306463326071</v>
      </c>
      <c r="F8456" s="13" t="n">
        <f aca="false">Sens!$F$8442/Sens!$F$8427</f>
        <v>0.0801757457241943</v>
      </c>
      <c r="G8456" s="13" t="n">
        <f aca="false">Sens!$G$8442/Sens!$G$8427</f>
        <v>0.0795932749625682</v>
      </c>
      <c r="H8456" s="13" t="n">
        <f aca="false">Sens!$H$8442/Sens!$H$8427</f>
        <v>0.0801494276915951</v>
      </c>
      <c r="I8456" s="13" t="n">
        <f aca="false">Sens!$I$8442/Sens!$I$8427</f>
        <v>0.0784619467108939</v>
      </c>
      <c r="J8456" s="13" t="n">
        <f aca="false">Sens!$J$8442/Sens!$J$8427</f>
        <v>0.0767950945569155</v>
      </c>
      <c r="K8456" s="13" t="n">
        <f aca="false">Sens!$K$8442/Sens!$K$8427</f>
        <v>0.0749939394422836</v>
      </c>
      <c r="L8456" s="13" t="n">
        <f aca="false">Sens!$L$8442/Sens!$L$8427</f>
        <v>0.0741976918077138</v>
      </c>
      <c r="M8456" s="13" t="n">
        <f aca="false">Sens!$M$8442/Sens!$M$8427</f>
        <v>0.0760756006409599</v>
      </c>
      <c r="N8456" s="13" t="n">
        <f aca="false">Sens!$N$8442/Sens!$N$8427</f>
        <v>0.069228576611127</v>
      </c>
      <c r="O8456" s="13" t="n">
        <f aca="false">Sens!$O$8442/Sens!$O$8427</f>
        <v>0.069685022498393</v>
      </c>
    </row>
    <row r="8457" customFormat="false" ht="17.15" hidden="false" customHeight="false" outlineLevel="0" collapsed="false">
      <c r="A8457" s="0" t="s">
        <v>739</v>
      </c>
      <c r="B8457" s="0" t="s">
        <v>52</v>
      </c>
      <c r="C8457" s="13" t="n">
        <f aca="false">Sens!$C$8447/Sens!$C$8428</f>
        <v>0.026534925055631</v>
      </c>
      <c r="D8457" s="13" t="n">
        <f aca="false">Sens!$D$8447/Sens!$D$8428</f>
        <v>0.0293401855535103</v>
      </c>
      <c r="E8457" s="13" t="n">
        <f aca="false">Sens!$E$8447/Sens!$E$8428</f>
        <v>0.03831141902276</v>
      </c>
      <c r="F8457" s="13" t="n">
        <f aca="false">Sens!$F$8447/Sens!$F$8428</f>
        <v>0.0281350107328284</v>
      </c>
      <c r="G8457" s="13" t="n">
        <f aca="false">Sens!$G$8447/Sens!$G$8428</f>
        <v>0.0327600029432073</v>
      </c>
      <c r="H8457" s="13" t="n">
        <f aca="false">Sens!$H$8447/Sens!$H$8428</f>
        <v>0.031310920057557</v>
      </c>
      <c r="I8457" s="13" t="n">
        <f aca="false">Sens!$I$8447/Sens!$I$8428</f>
        <v>0.0275950243319601</v>
      </c>
      <c r="J8457" s="13" t="n">
        <f aca="false">Sens!$J$8447/Sens!$J$8428</f>
        <v>0.0238367762099147</v>
      </c>
      <c r="K8457" s="13" t="n">
        <f aca="false">Sens!$K$8447/Sens!$K$8428</f>
        <v>0.0198395809250214</v>
      </c>
      <c r="L8457" s="13" t="n">
        <f aca="false">Sens!$L$8447/Sens!$L$8428</f>
        <v>0.0193894815713138</v>
      </c>
      <c r="M8457" s="13" t="n">
        <f aca="false">Sens!$M$8447/Sens!$M$8428</f>
        <v>0.0216215457635621</v>
      </c>
      <c r="N8457" s="13" t="n">
        <f aca="false">Sens!$N$8447/Sens!$N$8428</f>
        <v>0.0357315650169337</v>
      </c>
      <c r="O8457" s="13" t="n">
        <f aca="false">Sens!$O$8447/Sens!$O$8428</f>
        <v>0.0244378956559703</v>
      </c>
    </row>
    <row r="8458" customFormat="false" ht="17.15" hidden="false" customHeight="false" outlineLevel="0" collapsed="false">
      <c r="A8458" s="14" t="s">
        <v>740</v>
      </c>
      <c r="B8458" s="14" t="s">
        <v>52</v>
      </c>
      <c r="C8458" s="17" t="n">
        <f aca="false">Sens!$C$8450/Sens!$C$8429</f>
        <v>0.370355907620217</v>
      </c>
      <c r="D8458" s="17" t="n">
        <f aca="false">Sens!$D$8450/Sens!$D$8429</f>
        <v>0.35429015342785</v>
      </c>
      <c r="E8458" s="17" t="n">
        <f aca="false">Sens!$E$8450/Sens!$E$8429</f>
        <v>0.385647527531039</v>
      </c>
      <c r="F8458" s="17" t="n">
        <f aca="false">Sens!$F$8450/Sens!$F$8429</f>
        <v>0.390008895496028</v>
      </c>
      <c r="G8458" s="17" t="n">
        <f aca="false">Sens!$G$8450/Sens!$G$8429</f>
        <v>0.387918733944362</v>
      </c>
      <c r="H8458" s="17" t="n">
        <f aca="false">Sens!$H$8450/Sens!$H$8429</f>
        <v>0.377537651365497</v>
      </c>
      <c r="I8458" s="17" t="n">
        <f aca="false">Sens!$I$8450/Sens!$I$8429</f>
        <v>0.359230604038662</v>
      </c>
      <c r="J8458" s="17" t="n">
        <f aca="false">Sens!$J$8450/Sens!$J$8429</f>
        <v>0.345197865849801</v>
      </c>
      <c r="K8458" s="17" t="n">
        <f aca="false">Sens!$K$8450/Sens!$K$8429</f>
        <v>0.326192378368303</v>
      </c>
      <c r="L8458" s="17" t="n">
        <f aca="false">Sens!$L$8450/Sens!$L$8429</f>
        <v>0.314246212570264</v>
      </c>
      <c r="M8458" s="17" t="n">
        <f aca="false">Sens!$M$8450/Sens!$M$8429</f>
        <v>0.303778785747756</v>
      </c>
      <c r="N8458" s="17" t="n">
        <f aca="false">Sens!$N$8450/Sens!$N$8429</f>
        <v>0.360941137346192</v>
      </c>
      <c r="O8458" s="17" t="n">
        <f aca="false">Sens!$O$8450/Sens!$O$8429</f>
        <v>0.348458117664212</v>
      </c>
    </row>
    <row r="8459" customFormat="false" ht="17.15" hidden="false" customHeight="false" outlineLevel="0" collapsed="false">
      <c r="A8459" s="0" t="s">
        <v>741</v>
      </c>
      <c r="B8459" s="0" t="s">
        <v>52</v>
      </c>
      <c r="C8459" s="13" t="n">
        <f aca="false">Sens!$C$8448/Sens!$C$8430</f>
        <v>0.708390794789371</v>
      </c>
      <c r="D8459" s="13" t="n">
        <f aca="false">Sens!$D$8448/Sens!$D$8430</f>
        <v>0.619415573115729</v>
      </c>
      <c r="E8459" s="13" t="n">
        <f aca="false">Sens!$E$8448/Sens!$E$8430</f>
        <v>0.374072166056273</v>
      </c>
      <c r="F8459" s="13" t="n">
        <f aca="false">Sens!$F$8448/Sens!$F$8430</f>
        <v>0.553219320710057</v>
      </c>
      <c r="G8459" s="13" t="n">
        <f aca="false">Sens!$G$8448/Sens!$G$8430</f>
        <v>0.488270041527512</v>
      </c>
      <c r="H8459" s="13" t="n">
        <f aca="false">Sens!$H$8448/Sens!$H$8430</f>
        <v>0.435229086816882</v>
      </c>
      <c r="I8459" s="13" t="n">
        <f aca="false">Sens!$I$8448/Sens!$I$8430</f>
        <v>0.364954592421095</v>
      </c>
      <c r="J8459" s="13" t="n">
        <f aca="false">Sens!$J$8448/Sens!$J$8430</f>
        <v>0.330438308582232</v>
      </c>
      <c r="K8459" s="13" t="n">
        <f aca="false">Sens!$K$8448/Sens!$K$8430</f>
        <v>0.290840613449356</v>
      </c>
      <c r="L8459" s="13" t="n">
        <f aca="false">Sens!$L$8448/Sens!$L$8430</f>
        <v>0.26673582850143</v>
      </c>
      <c r="M8459" s="13" t="n">
        <f aca="false">Sens!$M$8448/Sens!$M$8430</f>
        <v>0.242555621732387</v>
      </c>
      <c r="N8459" s="13" t="n">
        <f aca="false">Sens!$N$8448/Sens!$N$8430</f>
        <v>0.551227795793364</v>
      </c>
      <c r="O8459" s="13" t="n">
        <f aca="false">Sens!$O$8448/Sens!$O$8430</f>
        <v>0.656132068597002</v>
      </c>
    </row>
    <row r="8460" customFormat="false" ht="15" hidden="false" customHeight="false" outlineLevel="0" collapsed="false">
      <c r="A8460" s="5" t="s">
        <v>742</v>
      </c>
      <c r="B8460" s="0" t="s">
        <v>52</v>
      </c>
      <c r="C8460" s="13" t="n">
        <f aca="false">Sens!$C$8452/Sens!$C$8432</f>
        <v>0.107519448742004</v>
      </c>
      <c r="D8460" s="13" t="n">
        <f aca="false">Sens!$D$8452/Sens!$D$8432</f>
        <v>0.111552967957552</v>
      </c>
      <c r="E8460" s="13" t="n">
        <f aca="false">Sens!$E$8452/Sens!$E$8432</f>
        <v>0.13428328426562</v>
      </c>
      <c r="F8460" s="13" t="n">
        <f aca="false">Sens!$F$8452/Sens!$F$8432</f>
        <v>0.130089413875539</v>
      </c>
      <c r="G8460" s="13" t="n">
        <f aca="false">Sens!$G$8452/Sens!$G$8432</f>
        <v>0.132048786678316</v>
      </c>
      <c r="H8460" s="13" t="n">
        <f aca="false">Sens!$H$8452/Sens!$H$8432</f>
        <v>0.139604881440853</v>
      </c>
      <c r="I8460" s="13" t="n">
        <f aca="false">Sens!$I$8452/Sens!$I$8432</f>
        <v>0.141694752432769</v>
      </c>
      <c r="J8460" s="13" t="n">
        <f aca="false">Sens!$J$8452/Sens!$J$8432</f>
        <v>0.14272611544629</v>
      </c>
      <c r="K8460" s="13" t="n">
        <f aca="false">Sens!$K$8452/Sens!$K$8432</f>
        <v>0.139839124593314</v>
      </c>
      <c r="L8460" s="13" t="n">
        <f aca="false">Sens!$L$8452/Sens!$L$8432</f>
        <v>0.137551708416509</v>
      </c>
      <c r="M8460" s="13" t="n">
        <f aca="false">Sens!$M$8452/Sens!$M$8432</f>
        <v>0.135691264462076</v>
      </c>
      <c r="N8460" s="13" t="n">
        <f aca="false">Sens!$N$8452/Sens!$N$8432</f>
        <v>0.116201614873411</v>
      </c>
      <c r="O8460" s="13" t="n">
        <f aca="false">Sens!$O$8452/Sens!$O$8432</f>
        <v>0.107733353660861</v>
      </c>
    </row>
    <row r="8461" customFormat="false" ht="17.15" hidden="false" customHeight="false" outlineLevel="0" collapsed="false">
      <c r="A8461" s="1" t="s">
        <v>743</v>
      </c>
    </row>
    <row r="8462" customFormat="false" ht="17.15" hidden="false" customHeight="false" outlineLevel="0" collapsed="false">
      <c r="A8462" s="5" t="s">
        <v>744</v>
      </c>
      <c r="B8462" s="0" t="s">
        <v>52</v>
      </c>
      <c r="D8462" s="28" t="n">
        <f aca="false">(Q!$E$29+Q!$E$30-(1-ext_sh)*Sens!$D$8384)/Sens!$D$8338</f>
        <v>0.0341105596409988</v>
      </c>
    </row>
    <row r="8463" customFormat="false" ht="17.15" hidden="false" customHeight="false" outlineLevel="0" collapsed="false">
      <c r="A8463" s="0" t="s">
        <v>538</v>
      </c>
      <c r="B8463" s="0" t="s">
        <v>86</v>
      </c>
      <c r="C8463" s="38" t="n">
        <f aca="false">Q!$D$29</f>
        <v>14.285</v>
      </c>
      <c r="D8463" s="38" t="n">
        <f aca="false">Q!$E$29</f>
        <v>15.503</v>
      </c>
      <c r="E8463" s="38" t="n">
        <f aca="false">Q!$P$29</f>
        <v>8.78</v>
      </c>
      <c r="F8463" s="38" t="n">
        <f aca="false">(Sens!$D$8462*Sens!$F$8338+(1-ext_sh)*Sens!$F$8384)*Sens!$F$8339</f>
        <v>9.16735846116642</v>
      </c>
      <c r="G8463" s="38" t="n">
        <f aca="false">Sens!$E$8463+Sens!$F$8463</f>
        <v>17.9473584611664</v>
      </c>
      <c r="H8463" s="38" t="n">
        <f aca="false">(Sens!$D$8462*Sens!$H$8338+(1-ext_sh)*Sens!$H$8384)*Sens!$H$8339</f>
        <v>21.6406723110177</v>
      </c>
      <c r="I8463" s="38" t="n">
        <f aca="false">(Sens!$D$8462*Sens!$I$8338+(1-ext_sh)*Sens!$I$8384)*Sens!$I$8339</f>
        <v>27.3128215555087</v>
      </c>
      <c r="J8463" s="38" t="n">
        <f aca="false">(Sens!$D$8462*Sens!$J$8338+(1-ext_sh)*Sens!$J$8384)*Sens!$J$8339</f>
        <v>33.0116861885756</v>
      </c>
      <c r="K8463" s="38" t="n">
        <f aca="false">(Sens!$D$8462*Sens!$K$8338+(1-ext_sh)*Sens!$K$8384)*Sens!$K$8339</f>
        <v>38.6250238720245</v>
      </c>
      <c r="L8463" s="38" t="n">
        <f aca="false">(Sens!$D$8462*Sens!$L$8338+(1-ext_sh)*Sens!$L$8384)*Sens!$L$8339</f>
        <v>43.0147457862143</v>
      </c>
      <c r="M8463" s="38" t="n">
        <f aca="false">(Sens!$D$8462*Sens!$M$8338+(1-ext_sh)*Sens!$M$8384)*Sens!$M$8339</f>
        <v>46.4215054296107</v>
      </c>
      <c r="N8463" s="38" t="n">
        <f aca="false">Q!$N$29</f>
        <v>7.272</v>
      </c>
      <c r="O8463" s="38" t="n">
        <f aca="false">Q!$O$29</f>
        <v>8.231</v>
      </c>
    </row>
    <row r="8464" customFormat="false" ht="17.15" hidden="false" customHeight="false" outlineLevel="0" collapsed="false">
      <c r="A8464" s="0" t="s">
        <v>540</v>
      </c>
      <c r="B8464" s="0" t="s">
        <v>86</v>
      </c>
      <c r="C8464" s="38" t="n">
        <f aca="false">Q!$D$30</f>
        <v>4.462</v>
      </c>
      <c r="D8464" s="38" t="n">
        <f aca="false">Q!$E$30</f>
        <v>4.907</v>
      </c>
      <c r="E8464" s="38" t="n">
        <f aca="false">Q!$P$30</f>
        <v>2.57</v>
      </c>
      <c r="F8464" s="38" t="n">
        <f aca="false">(Sens!$D$8462*Sens!$F$8338+(1-ext_sh)*Sens!$F$8384)*(1-Sens!$F$8339)</f>
        <v>3.59937168293151</v>
      </c>
      <c r="G8464" s="38" t="n">
        <f aca="false">Sens!$E$8464+Sens!$F$8464</f>
        <v>6.16937168293151</v>
      </c>
      <c r="H8464" s="38" t="n">
        <f aca="false">(Sens!$D$8462*Sens!$H$8338+(1-ext_sh)*Sens!$H$8384)*(1-Sens!$H$8339)</f>
        <v>8.28915290031442</v>
      </c>
      <c r="I8464" s="38" t="n">
        <f aca="false">(Sens!$D$8462*Sens!$I$8338+(1-ext_sh)*Sens!$I$8384)*(1-Sens!$I$8339)</f>
        <v>10.4617892992793</v>
      </c>
      <c r="J8464" s="38" t="n">
        <f aca="false">(Sens!$D$8462*Sens!$J$8338+(1-ext_sh)*Sens!$J$8384)*(1-Sens!$J$8339)</f>
        <v>12.6446586493057</v>
      </c>
      <c r="K8464" s="38" t="n">
        <f aca="false">(Sens!$D$8462*Sens!$K$8338+(1-ext_sh)*Sens!$K$8384)*(1-Sens!$K$8339)</f>
        <v>14.7947681131192</v>
      </c>
      <c r="L8464" s="38" t="n">
        <f aca="false">(Sens!$D$8462*Sens!$L$8338+(1-ext_sh)*Sens!$L$8384)*(1-Sens!$L$8339)</f>
        <v>16.4761888940278</v>
      </c>
      <c r="M8464" s="38" t="n">
        <f aca="false">(Sens!$D$8462*Sens!$M$8338+(1-ext_sh)*Sens!$M$8384)*(1-Sens!$M$8339)</f>
        <v>17.7810999047803</v>
      </c>
      <c r="N8464" s="38" t="n">
        <f aca="false">Q!$N$30</f>
        <v>2.316</v>
      </c>
      <c r="O8464" s="38" t="n">
        <f aca="false">Q!$O$30</f>
        <v>2.591</v>
      </c>
    </row>
    <row r="8465" customFormat="false" ht="17.15" hidden="false" customHeight="false" outlineLevel="0" collapsed="false">
      <c r="A8465" s="0" t="s">
        <v>541</v>
      </c>
      <c r="B8465" s="0" t="s">
        <v>86</v>
      </c>
      <c r="C8465" s="38" t="n">
        <f aca="false">Sens!$C$8396</f>
        <v>13.32</v>
      </c>
      <c r="D8465" s="38" t="n">
        <f aca="false">Sens!$D$8396</f>
        <v>21.45</v>
      </c>
      <c r="E8465" s="38" t="n">
        <f aca="false">Sens!$E$8396</f>
        <v>15.353</v>
      </c>
      <c r="F8465" s="38" t="n">
        <f aca="false">Sens!$F$8396</f>
        <v>15.4404120185306</v>
      </c>
      <c r="G8465" s="38" t="n">
        <f aca="false">Sens!$G$8396</f>
        <v>30.7934120185306</v>
      </c>
      <c r="H8465" s="38" t="n">
        <f aca="false">Sens!$H$8396</f>
        <v>48.250114371455</v>
      </c>
      <c r="I8465" s="38" t="n">
        <f aca="false">Sens!$I$8396</f>
        <v>73.3965146995963</v>
      </c>
      <c r="J8465" s="38" t="n">
        <f aca="false">Sens!$J$8396</f>
        <v>99.22806138309</v>
      </c>
      <c r="K8465" s="38" t="n">
        <f aca="false">Sens!$K$8396</f>
        <v>125.386627452856</v>
      </c>
      <c r="L8465" s="38" t="n">
        <f aca="false">Sens!$L$8396</f>
        <v>144.460334766067</v>
      </c>
      <c r="M8465" s="38" t="n">
        <f aca="false">Sens!$M$8396</f>
        <v>157.757763910934</v>
      </c>
      <c r="N8465" s="38" t="n">
        <f aca="false">Sens!$N$8396</f>
        <v>9.234</v>
      </c>
      <c r="O8465" s="38" t="n">
        <f aca="false">Sens!$O$8396</f>
        <v>12.216</v>
      </c>
    </row>
    <row r="8466" customFormat="false" ht="17.15" hidden="false" customHeight="false" outlineLevel="0" collapsed="false">
      <c r="A8466" s="5" t="s">
        <v>745</v>
      </c>
      <c r="B8466" s="0" t="s">
        <v>86</v>
      </c>
      <c r="C8466" s="38" t="n">
        <f aca="false">Sens!$C$8463+Sens!$C$8464+Sens!$C$8465</f>
        <v>32.067</v>
      </c>
      <c r="D8466" s="38" t="n">
        <f aca="false">Sens!$D$8463+Sens!$D$8464+Sens!$D$8465</f>
        <v>41.86</v>
      </c>
      <c r="E8466" s="38" t="n">
        <f aca="false">Sens!$E$8463+Sens!$E$8464+Sens!$E$8465</f>
        <v>26.703</v>
      </c>
      <c r="F8466" s="38" t="n">
        <f aca="false">Sens!$F$8463+Sens!$F$8464+Sens!$F$8465</f>
        <v>28.2071421626285</v>
      </c>
      <c r="G8466" s="38" t="n">
        <f aca="false">Sens!$G$8463+Sens!$G$8464+Sens!$G$8465</f>
        <v>54.9101421626285</v>
      </c>
      <c r="H8466" s="38" t="n">
        <f aca="false">Sens!$H$8463+Sens!$H$8464+Sens!$H$8465</f>
        <v>78.1799395827871</v>
      </c>
      <c r="I8466" s="38" t="n">
        <f aca="false">Sens!$I$8463+Sens!$I$8464+Sens!$I$8465</f>
        <v>111.171125554384</v>
      </c>
      <c r="J8466" s="38" t="n">
        <f aca="false">Sens!$J$8463+Sens!$J$8464+Sens!$J$8465</f>
        <v>144.884406220971</v>
      </c>
      <c r="K8466" s="38" t="n">
        <f aca="false">Sens!$K$8463+Sens!$K$8464+Sens!$K$8465</f>
        <v>178.806419437999</v>
      </c>
      <c r="L8466" s="38" t="n">
        <f aca="false">Sens!$L$8463+Sens!$L$8464+Sens!$L$8465</f>
        <v>203.951269446309</v>
      </c>
      <c r="M8466" s="38" t="n">
        <f aca="false">Sens!$M$8463+Sens!$M$8464+Sens!$M$8465</f>
        <v>221.960369245325</v>
      </c>
      <c r="N8466" s="38" t="n">
        <f aca="false">Sens!$N$8463+Sens!$N$8464+Sens!$N$8465</f>
        <v>18.822</v>
      </c>
      <c r="O8466" s="38" t="n">
        <f aca="false">Sens!$O$8463+Sens!$O$8464+Sens!$O$8465</f>
        <v>23.038</v>
      </c>
    </row>
    <row r="8467" customFormat="false" ht="17.15" hidden="false" customHeight="false" outlineLevel="0" collapsed="false">
      <c r="A8467" s="0" t="s">
        <v>746</v>
      </c>
      <c r="B8467" s="0" t="s">
        <v>86</v>
      </c>
      <c r="C8467" s="38" t="n">
        <f aca="false">Sens!$C$8438+Sens!$C$8443</f>
        <v>28.107</v>
      </c>
      <c r="D8467" s="38" t="n">
        <f aca="false">Sens!$D$8438+Sens!$D$8443</f>
        <v>34.3175</v>
      </c>
      <c r="E8467" s="38" t="n">
        <f aca="false">Sens!$E$8438+Sens!$E$8443</f>
        <v>18.526</v>
      </c>
      <c r="F8467" s="38" t="n">
        <f aca="false">Sens!$F$8438+Sens!$F$8443</f>
        <v>23.0786109972074</v>
      </c>
      <c r="G8467" s="38" t="n">
        <f aca="false">Sens!$G$8438+Sens!$G$8443</f>
        <v>41.6046109972074</v>
      </c>
      <c r="H8467" s="38" t="n">
        <f aca="false">Sens!$H$8438+Sens!$H$8443</f>
        <v>49.9484611939488</v>
      </c>
      <c r="I8467" s="38" t="n">
        <f aca="false">Sens!$I$8438+Sens!$I$8443</f>
        <v>58.2915555477481</v>
      </c>
      <c r="J8467" s="38" t="n">
        <f aca="false">Sens!$J$8438+Sens!$J$8443</f>
        <v>66.0744709709759</v>
      </c>
      <c r="K8467" s="38" t="n">
        <f aca="false">Sens!$K$8438+Sens!$K$8443</f>
        <v>72.6819180680735</v>
      </c>
      <c r="L8467" s="38" t="n">
        <f aca="false">Sens!$L$8438+Sens!$L$8443</f>
        <v>79.9501098748808</v>
      </c>
      <c r="M8467" s="38" t="n">
        <f aca="false">Sens!$M$8438+Sens!$M$8443</f>
        <v>87.9451208623689</v>
      </c>
      <c r="N8467" s="38" t="n">
        <f aca="false">Sens!$N$8438+Sens!$N$8443</f>
        <v>14.8075</v>
      </c>
      <c r="O8467" s="38" t="n">
        <f aca="false">Sens!$O$8438+Sens!$O$8443</f>
        <v>19.51</v>
      </c>
    </row>
    <row r="8468" customFormat="false" ht="17.15" hidden="false" customHeight="false" outlineLevel="0" collapsed="false">
      <c r="A8468" s="0" t="s">
        <v>747</v>
      </c>
      <c r="B8468" s="0" t="s">
        <v>86</v>
      </c>
      <c r="C8468" s="38" t="n">
        <f aca="false">Sens!$C$8442+Sens!$C$8447+Sens!$C$8463+Sens!$C$8464-Sens!$C$8467</f>
        <v>19.399</v>
      </c>
      <c r="D8468" s="38" t="n">
        <f aca="false">Sens!$D$8442+Sens!$D$8447+Sens!$D$8463+Sens!$D$8464-Sens!$D$8467</f>
        <v>20.4615</v>
      </c>
      <c r="E8468" s="38" t="n">
        <f aca="false">Sens!$E$8442+Sens!$E$8447+Sens!$E$8463+Sens!$E$8464-Sens!$E$8467</f>
        <v>13.355</v>
      </c>
      <c r="F8468" s="38" t="n">
        <f aca="false">Sens!$F$8442+Sens!$F$8447+Sens!$F$8463+Sens!$F$8464-Sens!$F$8467</f>
        <v>12.5520732018618</v>
      </c>
      <c r="G8468" s="38" t="n">
        <f aca="false">Sens!$G$8442+Sens!$G$8447+Sens!$G$8463+Sens!$G$8464-Sens!$G$8467</f>
        <v>25.9070732018618</v>
      </c>
      <c r="H8468" s="38" t="n">
        <f aca="false">Sens!$H$8442+Sens!$H$8447+Sens!$H$8463+Sens!$H$8464-Sens!$H$8467</f>
        <v>28.0233335906818</v>
      </c>
      <c r="I8468" s="38" t="n">
        <f aca="false">Sens!$I$8442+Sens!$I$8447+Sens!$I$8463+Sens!$I$8464-Sens!$I$8467</f>
        <v>30.2440066606864</v>
      </c>
      <c r="J8468" s="38" t="n">
        <f aca="false">Sens!$J$8442+Sens!$J$8447+Sens!$J$8463+Sens!$J$8464-Sens!$J$8467</f>
        <v>32.4596500296286</v>
      </c>
      <c r="K8468" s="38" t="n">
        <f aca="false">Sens!$K$8442+Sens!$K$8447+Sens!$K$8463+Sens!$K$8464-Sens!$K$8467</f>
        <v>34.8536245233336</v>
      </c>
      <c r="L8468" s="38" t="n">
        <f aca="false">Sens!$L$8442+Sens!$L$8447+Sens!$L$8463+Sens!$L$8464-Sens!$L$8467</f>
        <v>36.4990730853599</v>
      </c>
      <c r="M8468" s="38" t="n">
        <f aca="false">Sens!$M$8442+Sens!$M$8447+Sens!$M$8463+Sens!$M$8464-Sens!$M$8467</f>
        <v>38.9687393433834</v>
      </c>
      <c r="N8468" s="38" t="n">
        <f aca="false">Sens!$N$8442+Sens!$N$8447+Sens!$N$8463+Sens!$N$8464-Sens!$N$8467</f>
        <v>10.6495</v>
      </c>
      <c r="O8468" s="38" t="n">
        <f aca="false">Sens!$O$8442+Sens!$O$8447+Sens!$O$8463+Sens!$O$8464-Sens!$O$8467</f>
        <v>9.81200000000001</v>
      </c>
    </row>
    <row r="8469" customFormat="false" ht="17.15" hidden="false" customHeight="false" outlineLevel="0" collapsed="false">
      <c r="A8469" s="0" t="s">
        <v>748</v>
      </c>
      <c r="B8469" s="0" t="s">
        <v>86</v>
      </c>
      <c r="C8469" s="38" t="n">
        <f aca="false">Sens!$C$8449+Sens!$C$8465-ext_sh*Sens!$C$8384</f>
        <v>51.3470500115664</v>
      </c>
      <c r="D8469" s="38" t="n">
        <f aca="false">Sens!$D$8449+Sens!$D$8465-ext_sh*Sens!$D$8384</f>
        <v>60.2799375433739</v>
      </c>
      <c r="E8469" s="38" t="n">
        <f aca="false">Sens!$E$8449+Sens!$E$8465-ext_sh*Sens!$E$8384</f>
        <v>39.5095167090767</v>
      </c>
      <c r="F8469" s="38" t="n">
        <f aca="false">Sens!$F$8449+Sens!$F$8465-ext_sh*Sens!$F$8384</f>
        <v>37.5468918745429</v>
      </c>
      <c r="G8469" s="38" t="n">
        <f aca="false">Sens!$G$8449+Sens!$G$8465-ext_sh*Sens!$G$8384</f>
        <v>77.0564085836196</v>
      </c>
      <c r="H8469" s="38" t="n">
        <f aca="false">Sens!$H$8449+Sens!$H$8465-ext_sh*Sens!$H$8384</f>
        <v>84.2378398616123</v>
      </c>
      <c r="I8469" s="38" t="n">
        <f aca="false">Sens!$I$8449+Sens!$I$8465-ext_sh*Sens!$I$8384</f>
        <v>93.5253492849083</v>
      </c>
      <c r="J8469" s="38" t="n">
        <f aca="false">Sens!$J$8449+Sens!$J$8465-ext_sh*Sens!$J$8384</f>
        <v>102.42210777817</v>
      </c>
      <c r="K8469" s="38" t="n">
        <f aca="false">Sens!$K$8449+Sens!$K$8465-ext_sh*Sens!$K$8384</f>
        <v>110.615876400424</v>
      </c>
      <c r="L8469" s="38" t="n">
        <f aca="false">Sens!$L$8449+Sens!$L$8465-ext_sh*Sens!$L$8384</f>
        <v>119.465146512458</v>
      </c>
      <c r="M8469" s="38" t="n">
        <f aca="false">Sens!$M$8449+Sens!$M$8465-ext_sh*Sens!$M$8384</f>
        <v>129.022358233455</v>
      </c>
      <c r="N8469" s="38" t="n">
        <f aca="false">Sens!$N$8449+Sens!$N$8465-ext_sh*Sens!$N$8384</f>
        <v>28.5693781401809</v>
      </c>
      <c r="O8469" s="38" t="n">
        <f aca="false">Sens!$O$8449+Sens!$O$8465-ext_sh*Sens!$O$8384</f>
        <v>31.7105594031931</v>
      </c>
    </row>
    <row r="8470" customFormat="false" ht="17.15" hidden="false" customHeight="false" outlineLevel="0" collapsed="false">
      <c r="A8470" s="0" t="s">
        <v>749</v>
      </c>
      <c r="B8470" s="0" t="s">
        <v>86</v>
      </c>
      <c r="C8470" s="38" t="n">
        <f aca="false">Sens!$C$8387</f>
        <v>1.80694998843362</v>
      </c>
      <c r="D8470" s="38" t="n">
        <f aca="false">Sens!$D$8387</f>
        <v>6.77606245662607</v>
      </c>
      <c r="E8470" s="38" t="n">
        <f aca="false">Sens!$E$8387</f>
        <v>6.62548329092326</v>
      </c>
      <c r="F8470" s="38" t="n">
        <f aca="false">Sens!$F$8387</f>
        <v>11.7200577158706</v>
      </c>
      <c r="G8470" s="38" t="n">
        <f aca="false">Sens!$G$8387</f>
        <v>18.3455410067939</v>
      </c>
      <c r="H8470" s="38" t="n">
        <f aca="false">Sens!$H$8387</f>
        <v>47.5171727060453</v>
      </c>
      <c r="I8470" s="38" t="n">
        <f aca="false">Sens!$I$8387</f>
        <v>80.5539692643667</v>
      </c>
      <c r="J8470" s="38" t="n">
        <f aca="false">Sens!$J$8387</f>
        <v>113.759316834883</v>
      </c>
      <c r="K8470" s="38" t="n">
        <f aca="false">Sens!$K$8387</f>
        <v>141.855203603144</v>
      </c>
      <c r="L8470" s="38" t="n">
        <f aca="false">Sens!$L$8387</f>
        <v>159.789055430453</v>
      </c>
      <c r="M8470" s="38" t="n">
        <f aca="false">Sens!$M$8387</f>
        <v>167.532378081213</v>
      </c>
      <c r="N8470" s="38" t="n">
        <f aca="false">Sens!$N$8387</f>
        <v>2.37162185981912</v>
      </c>
      <c r="O8470" s="38" t="n">
        <f aca="false">Sens!$O$8387</f>
        <v>4.40444059680694</v>
      </c>
    </row>
    <row r="8471" customFormat="false" ht="17.15" hidden="false" customHeight="false" outlineLevel="0" collapsed="false">
      <c r="A8471" s="0" t="s">
        <v>750</v>
      </c>
      <c r="B8471" s="0" t="s">
        <v>86</v>
      </c>
      <c r="C8471" s="38" t="n">
        <f aca="false">Sens!$C$8452+Sens!$C$8466</f>
        <v>100.66</v>
      </c>
      <c r="D8471" s="38" t="n">
        <f aca="false">Sens!$D$8452+Sens!$D$8466</f>
        <v>121.835</v>
      </c>
      <c r="E8471" s="38" t="n">
        <f aca="false">Sens!$E$8452+Sens!$E$8466</f>
        <v>78.016</v>
      </c>
      <c r="F8471" s="38" t="n">
        <f aca="false">Sens!$F$8452+Sens!$F$8466</f>
        <v>84.8976337894826</v>
      </c>
      <c r="G8471" s="38" t="n">
        <f aca="false">Sens!$G$8452+Sens!$G$8466</f>
        <v>162.913633789483</v>
      </c>
      <c r="H8471" s="38" t="n">
        <f aca="false">Sens!$H$8452+Sens!$H$8466</f>
        <v>209.726807352288</v>
      </c>
      <c r="I8471" s="38" t="n">
        <f aca="false">Sens!$I$8452+Sens!$I$8466</f>
        <v>262.61488075771</v>
      </c>
      <c r="J8471" s="38" t="n">
        <f aca="false">Sens!$J$8452+Sens!$J$8466</f>
        <v>314.715545613658</v>
      </c>
      <c r="K8471" s="38" t="n">
        <f aca="false">Sens!$K$8452+Sens!$K$8466</f>
        <v>360.006622594975</v>
      </c>
      <c r="L8471" s="38" t="n">
        <f aca="false">Sens!$L$8452+Sens!$L$8466</f>
        <v>395.703384903152</v>
      </c>
      <c r="M8471" s="38" t="n">
        <f aca="false">Sens!$M$8452+Sens!$M$8466</f>
        <v>423.46859652042</v>
      </c>
      <c r="N8471" s="38" t="n">
        <f aca="false">Sens!$N$8452+Sens!$N$8466</f>
        <v>56.398</v>
      </c>
      <c r="O8471" s="38" t="n">
        <f aca="false">Sens!$O$8452+Sens!$O$8466</f>
        <v>65.437</v>
      </c>
    </row>
    <row r="8472" customFormat="false" ht="17.15" hidden="false" customHeight="false" outlineLevel="0" collapsed="false">
      <c r="A8472" s="1" t="s">
        <v>751</v>
      </c>
    </row>
    <row r="8473" customFormat="false" ht="15" hidden="false" customHeight="false" outlineLevel="0" collapsed="false">
      <c r="A8473" s="5" t="s">
        <v>544</v>
      </c>
      <c r="B8473" s="0" t="s">
        <v>86</v>
      </c>
      <c r="C8473" s="38" t="n">
        <f aca="false">Q!$D$34</f>
        <v>2.406</v>
      </c>
      <c r="D8473" s="38" t="n">
        <f aca="false">Q!$E$34</f>
        <v>2.274</v>
      </c>
      <c r="E8473" s="38" t="n">
        <f aca="false">Q!$P$34</f>
        <v>2.114</v>
      </c>
      <c r="F8473" s="38" t="n">
        <f aca="false">Sens!$F$8511</f>
        <v>3.24888962733561</v>
      </c>
      <c r="G8473" s="38" t="n">
        <f aca="false">Sens!$E$8473+Sens!$F$8473</f>
        <v>5.36288962733561</v>
      </c>
      <c r="H8473" s="38" t="n">
        <f aca="false">Sens!$H$8511</f>
        <v>7.42354172302123</v>
      </c>
      <c r="I8473" s="38" t="n">
        <f aca="false">Sens!$I$8511</f>
        <v>8.48968024898619</v>
      </c>
      <c r="J8473" s="38" t="n">
        <f aca="false">Sens!$J$8511</f>
        <v>9.63598826439483</v>
      </c>
      <c r="K8473" s="38" t="n">
        <f aca="false">Sens!$K$8511</f>
        <v>9.63598826439483</v>
      </c>
      <c r="L8473" s="38" t="n">
        <f aca="false">Sens!$L$8511</f>
        <v>9.63598826439483</v>
      </c>
      <c r="M8473" s="38" t="n">
        <f aca="false">Sens!$M$8511</f>
        <v>9.63598826439483</v>
      </c>
      <c r="N8473" s="38" t="n">
        <f aca="false">Q!$N$34</f>
        <v>1.057</v>
      </c>
      <c r="O8473" s="38" t="n">
        <f aca="false">Q!$O$34</f>
        <v>1.217</v>
      </c>
    </row>
    <row r="8474" customFormat="false" ht="15" hidden="false" customHeight="false" outlineLevel="0" collapsed="false">
      <c r="A8474" s="5" t="s">
        <v>752</v>
      </c>
      <c r="B8474" s="0" t="s">
        <v>86</v>
      </c>
      <c r="F8474" s="38" t="n">
        <f aca="false">Sens!$F$8512</f>
        <v>2.59</v>
      </c>
      <c r="H8474" s="38" t="n">
        <f aca="false">Sens!$H$8512</f>
        <v>3.76965165045626</v>
      </c>
      <c r="I8474" s="38" t="n">
        <f aca="false">Sens!$I$8512</f>
        <v>2.10589651022864</v>
      </c>
      <c r="J8474" s="38" t="n">
        <f aca="false">Sens!$J$8512</f>
        <v>2.10589651022864</v>
      </c>
      <c r="K8474" s="38" t="n">
        <f aca="false">Sens!$K$8512</f>
        <v>3.03184385018094</v>
      </c>
      <c r="L8474" s="38" t="n">
        <f aca="false">Sens!$L$8512</f>
        <v>8.12851579968782</v>
      </c>
      <c r="M8474" s="38" t="n">
        <f aca="false">Sens!$M$8512</f>
        <v>15.7876465675307</v>
      </c>
    </row>
    <row r="8475" customFormat="false" ht="17.15" hidden="false" customHeight="false" outlineLevel="0" collapsed="false">
      <c r="A8475" s="5" t="s">
        <v>753</v>
      </c>
      <c r="B8475" s="0" t="s">
        <v>86</v>
      </c>
      <c r="C8475" s="38" t="n">
        <f aca="false">Q!$D$39</f>
        <v>2.427</v>
      </c>
      <c r="D8475" s="38" t="n">
        <f aca="false">Q!$E$39</f>
        <v>19.61</v>
      </c>
      <c r="E8475" s="38" t="n">
        <f aca="false">Q!$P$39</f>
        <v>71.492</v>
      </c>
      <c r="F8475" s="39" t="n">
        <v>0</v>
      </c>
      <c r="G8475" s="38" t="n">
        <f aca="false">Sens!$E$8475+Sens!$F$8475</f>
        <v>71.492</v>
      </c>
      <c r="H8475" s="39" t="n">
        <v>0</v>
      </c>
      <c r="I8475" s="39" t="n">
        <v>0</v>
      </c>
      <c r="J8475" s="39" t="n">
        <v>0</v>
      </c>
      <c r="K8475" s="39" t="n">
        <v>0</v>
      </c>
      <c r="L8475" s="39" t="n">
        <v>0</v>
      </c>
      <c r="M8475" s="39" t="n">
        <v>0</v>
      </c>
      <c r="N8475" s="38" t="n">
        <f aca="false">Q!$N$39</f>
        <v>6.017</v>
      </c>
      <c r="O8475" s="38" t="n">
        <f aca="false">Q!$O$39</f>
        <v>13.593</v>
      </c>
      <c r="P8475" s="5" t="s">
        <v>754</v>
      </c>
    </row>
    <row r="8476" customFormat="false" ht="15" hidden="false" customHeight="false" outlineLevel="0" collapsed="false">
      <c r="A8476" s="5" t="s">
        <v>547</v>
      </c>
      <c r="B8476" s="0" t="s">
        <v>86</v>
      </c>
      <c r="C8476" s="38" t="n">
        <f aca="false">Q!$D$36</f>
        <v>68.614</v>
      </c>
      <c r="D8476" s="38" t="n">
        <f aca="false">Q!$E$36</f>
        <v>97.311</v>
      </c>
      <c r="E8476" s="38" t="n">
        <f aca="false">Q!$P$36</f>
        <v>120.691</v>
      </c>
      <c r="F8476" s="38" t="n">
        <f aca="false">Sens!$F$8452-Sens!$F$8473+Sens!$F$8474+Sens!$F$8475</f>
        <v>56.0316019995185</v>
      </c>
      <c r="G8476" s="38" t="n">
        <f aca="false">Sens!$E$8476+Sens!$F$8476</f>
        <v>176.722601999518</v>
      </c>
      <c r="H8476" s="38" t="n">
        <f aca="false">Sens!$H$8452-Sens!$H$8473+Sens!$H$8474+Sens!$H$8475</f>
        <v>127.892977696936</v>
      </c>
      <c r="I8476" s="38" t="n">
        <f aca="false">Sens!$I$8452-Sens!$I$8473+Sens!$I$8474+Sens!$I$8475</f>
        <v>145.059971464568</v>
      </c>
      <c r="J8476" s="38" t="n">
        <f aca="false">Sens!$J$8452-Sens!$J$8473+Sens!$J$8474+Sens!$J$8475</f>
        <v>162.301047638521</v>
      </c>
      <c r="K8476" s="38" t="n">
        <f aca="false">Sens!$K$8452-Sens!$K$8473+Sens!$K$8474+Sens!$K$8475</f>
        <v>174.596058742762</v>
      </c>
      <c r="L8476" s="38" t="n">
        <f aca="false">Sens!$L$8452-Sens!$L$8473+Sens!$L$8474+Sens!$L$8475</f>
        <v>190.244642992136</v>
      </c>
      <c r="M8476" s="38" t="n">
        <f aca="false">Sens!$M$8452-Sens!$M$8473+Sens!$M$8474+Sens!$M$8475</f>
        <v>207.65988557823</v>
      </c>
      <c r="N8476" s="38" t="n">
        <f aca="false">Q!$N$36</f>
        <v>42.536</v>
      </c>
      <c r="O8476" s="38" t="n">
        <f aca="false">Q!$O$36</f>
        <v>54.775</v>
      </c>
    </row>
    <row r="8477" customFormat="false" ht="15" hidden="false" customHeight="false" outlineLevel="0" collapsed="false">
      <c r="A8477" s="5" t="s">
        <v>548</v>
      </c>
      <c r="B8477" s="0" t="s">
        <v>86</v>
      </c>
      <c r="C8477" s="38" t="n">
        <f aca="false">Q!$D$37</f>
        <v>9.265</v>
      </c>
      <c r="D8477" s="38" t="n">
        <f aca="false">Q!$E$37</f>
        <v>19.087</v>
      </c>
      <c r="E8477" s="38" t="n">
        <f aca="false">Q!$P$37</f>
        <v>27.759</v>
      </c>
      <c r="F8477" s="38" t="n">
        <f aca="false">Sens!$F$8476*tax</f>
        <v>9.72621910890414</v>
      </c>
      <c r="G8477" s="38" t="n">
        <f aca="false">Sens!$E$8477+Sens!$F$8477</f>
        <v>37.4852191089041</v>
      </c>
      <c r="H8477" s="38" t="n">
        <f aca="false">Sens!$H$8476*tax</f>
        <v>22.2002419916761</v>
      </c>
      <c r="I8477" s="38" t="n">
        <f aca="false">Sens!$I$8476*tax</f>
        <v>25.1801664783365</v>
      </c>
      <c r="J8477" s="38" t="n">
        <f aca="false">Sens!$J$8476*tax</f>
        <v>28.1729505244292</v>
      </c>
      <c r="K8477" s="38" t="n">
        <f aca="false">Sens!$K$8476*tax</f>
        <v>30.3071742067591</v>
      </c>
      <c r="L8477" s="38" t="n">
        <f aca="false">Sens!$L$8476*tax</f>
        <v>33.0235262959761</v>
      </c>
      <c r="M8477" s="38" t="n">
        <f aca="false">Sens!$M$8476*tax</f>
        <v>36.0465429362735</v>
      </c>
      <c r="N8477" s="38" t="n">
        <f aca="false">Q!$N$37</f>
        <v>7.231</v>
      </c>
      <c r="O8477" s="38" t="n">
        <f aca="false">Q!$O$37</f>
        <v>11.856</v>
      </c>
    </row>
    <row r="8478" customFormat="false" ht="15" hidden="false" customHeight="false" outlineLevel="0" collapsed="false">
      <c r="A8478" s="3" t="s">
        <v>549</v>
      </c>
      <c r="B8478" s="8" t="s">
        <v>86</v>
      </c>
      <c r="C8478" s="38" t="n">
        <f aca="false">Q!$D$38</f>
        <v>59.248</v>
      </c>
      <c r="D8478" s="38" t="n">
        <f aca="false">Q!$E$38</f>
        <v>77.67</v>
      </c>
      <c r="E8478" s="38" t="n">
        <f aca="false">Q!$P$38</f>
        <v>92.902</v>
      </c>
      <c r="F8478" s="38" t="n">
        <f aca="false">Sens!$F$8476-Sens!$F$8477</f>
        <v>46.3053828906144</v>
      </c>
      <c r="G8478" s="38" t="n">
        <f aca="false">Sens!$E$8478+Sens!$F$8478</f>
        <v>139.207382890614</v>
      </c>
      <c r="H8478" s="38" t="n">
        <f aca="false">Sens!$H$8476-Sens!$H$8477</f>
        <v>105.69273570526</v>
      </c>
      <c r="I8478" s="38" t="n">
        <f aca="false">Sens!$I$8476-Sens!$I$8477</f>
        <v>119.879804986231</v>
      </c>
      <c r="J8478" s="38" t="n">
        <f aca="false">Sens!$J$8476-Sens!$J$8477</f>
        <v>134.128097114092</v>
      </c>
      <c r="K8478" s="38" t="n">
        <f aca="false">Sens!$K$8476-Sens!$K$8477</f>
        <v>144.288884536003</v>
      </c>
      <c r="L8478" s="38" t="n">
        <f aca="false">Sens!$L$8476-Sens!$L$8477</f>
        <v>157.22111669616</v>
      </c>
      <c r="M8478" s="38" t="n">
        <f aca="false">Sens!$M$8476-Sens!$M$8477</f>
        <v>171.613342641957</v>
      </c>
      <c r="N8478" s="38" t="n">
        <f aca="false">Q!$N$38</f>
        <v>35.291</v>
      </c>
      <c r="O8478" s="38" t="n">
        <f aca="false">Q!$O$38</f>
        <v>42.379</v>
      </c>
    </row>
    <row r="8479" customFormat="false" ht="17.15" hidden="false" customHeight="false" outlineLevel="0" collapsed="false">
      <c r="A8479" s="5" t="s">
        <v>552</v>
      </c>
      <c r="B8479" s="5" t="s">
        <v>33</v>
      </c>
      <c r="C8479" s="22" t="n">
        <f aca="false">Q!$D$41</f>
        <v>10.721</v>
      </c>
      <c r="D8479" s="22" t="n">
        <f aca="false">Q!$E$41</f>
        <v>10.827</v>
      </c>
      <c r="E8479" s="22" t="n">
        <f aca="false">(Q!$L$41+Q!$M$41)/2</f>
        <v>10.8885</v>
      </c>
      <c r="F8479" s="22" t="n">
        <f aca="false">Sens!$G$8479</f>
        <v>10.924806</v>
      </c>
      <c r="G8479" s="22" t="n">
        <f aca="false">Q!$M$41*(1+sh_g*0.25)</f>
        <v>10.924806</v>
      </c>
      <c r="H8479" s="22" t="n">
        <f aca="false">Sens!$G$8479*(1+sh_g)</f>
        <v>11.012204448</v>
      </c>
      <c r="I8479" s="22" t="n">
        <f aca="false">Sens!$H$8479*(1+sh_g)</f>
        <v>11.100302083584</v>
      </c>
      <c r="J8479" s="22" t="n">
        <f aca="false">Sens!$I$8479*(1+sh_g)</f>
        <v>11.1891045002527</v>
      </c>
      <c r="K8479" s="22" t="n">
        <f aca="false">Sens!$J$8479*(1+sh_g)</f>
        <v>11.2786173362547</v>
      </c>
      <c r="L8479" s="22" t="n">
        <f aca="false">Sens!$K$8479*(1+sh_g)</f>
        <v>11.3688462749447</v>
      </c>
      <c r="M8479" s="22" t="n">
        <f aca="false">Sens!$L$8479*(1+sh_g)</f>
        <v>11.4597970451443</v>
      </c>
      <c r="P8479" s="5" t="s">
        <v>755</v>
      </c>
    </row>
    <row r="8480" customFormat="false" ht="17.15" hidden="false" customHeight="false" outlineLevel="0" collapsed="false">
      <c r="A8480" s="5" t="s">
        <v>756</v>
      </c>
      <c r="B8480" s="0" t="s">
        <v>86</v>
      </c>
      <c r="C8480" s="38" t="n">
        <f aca="false">Sens!$C$8478+Sens!$C$8454*(1-tax)</f>
        <v>59.248</v>
      </c>
      <c r="D8480" s="38" t="n">
        <f aca="false">Sens!$D$8478+Sens!$D$8454*(1-tax)</f>
        <v>77.67</v>
      </c>
      <c r="E8480" s="38" t="n">
        <f aca="false">Sens!$E$8478+Sens!$E$8454*(1-tax)</f>
        <v>92.902</v>
      </c>
      <c r="F8480" s="38" t="n">
        <f aca="false">Sens!$F$8478+Sens!$F$8454*(1-tax)</f>
        <v>49.421977850263</v>
      </c>
      <c r="G8480" s="38" t="n">
        <f aca="false">Sens!$G$8478+Sens!$G$8454*(1-tax)</f>
        <v>142.323977850263</v>
      </c>
      <c r="H8480" s="38" t="n">
        <f aca="false">Sens!$H$8478+Sens!$H$8454*(1-tax)</f>
        <v>118.224131660605</v>
      </c>
      <c r="I8480" s="38" t="n">
        <f aca="false">Sens!$I$8478+Sens!$I$8454*(1-tax)</f>
        <v>141.02107006117</v>
      </c>
      <c r="J8480" s="38" t="n">
        <f aca="false">Sens!$J$8478+Sens!$J$8454*(1-tax)</f>
        <v>163.917534058375</v>
      </c>
      <c r="K8480" s="38" t="n">
        <f aca="false">Sens!$K$8478+Sens!$K$8454*(1-tax)</f>
        <v>181.396621505494</v>
      </c>
      <c r="L8480" s="38" t="n">
        <f aca="false">Sens!$L$8478+Sens!$L$8454*(1-tax)</f>
        <v>199.000337339004</v>
      </c>
      <c r="M8480" s="38" t="n">
        <f aca="false">Sens!$M$8478+Sens!$M$8454*(1-tax)</f>
        <v>215.410755370338</v>
      </c>
      <c r="N8480" s="38" t="n">
        <f aca="false">Sens!$N$8478+Sens!$N$8454*(1-tax)</f>
        <v>35.291</v>
      </c>
      <c r="O8480" s="38" t="n">
        <f aca="false">Sens!$O$8478+Sens!$O$8454*(1-tax)</f>
        <v>42.379</v>
      </c>
    </row>
    <row r="8481" customFormat="false" ht="17.15" hidden="false" customHeight="false" outlineLevel="0" collapsed="false">
      <c r="A8481" s="43" t="s">
        <v>757</v>
      </c>
      <c r="B8481" s="14" t="s">
        <v>27</v>
      </c>
      <c r="C8481" s="44" t="n">
        <f aca="false">Sens!$C$8480/Sens!$C$8479</f>
        <v>5.52635015390355</v>
      </c>
      <c r="D8481" s="44" t="n">
        <f aca="false">Sens!$D$8480/Sens!$D$8479</f>
        <v>7.1737323358271</v>
      </c>
      <c r="E8481" s="44" t="n">
        <f aca="false">Sens!$E$8480/Sens!$E$8479</f>
        <v>8.53212104513937</v>
      </c>
      <c r="F8481" s="14"/>
      <c r="G8481" s="44" t="n">
        <f aca="false">Sens!$G$8480/Sens!$G$8479</f>
        <v>13.0275977303636</v>
      </c>
      <c r="H8481" s="44" t="n">
        <f aca="false">Sens!$H$8480/Sens!$H$8479</f>
        <v>10.7357370832392</v>
      </c>
      <c r="I8481" s="44" t="n">
        <f aca="false">Sens!$I$8480/Sens!$I$8479</f>
        <v>12.7042551634449</v>
      </c>
      <c r="J8481" s="44" t="n">
        <f aca="false">Sens!$J$8480/Sens!$J$8479</f>
        <v>14.6497455676344</v>
      </c>
      <c r="K8481" s="44" t="n">
        <f aca="false">Sens!$K$8480/Sens!$K$8479</f>
        <v>16.083232199252</v>
      </c>
      <c r="L8481" s="44" t="n">
        <f aca="false">Sens!$L$8480/Sens!$L$8479</f>
        <v>17.504004586426</v>
      </c>
      <c r="M8481" s="44" t="n">
        <f aca="false">Sens!$M$8480/Sens!$M$8479</f>
        <v>18.7970829257932</v>
      </c>
      <c r="N8481" s="14"/>
      <c r="O8481" s="14"/>
    </row>
    <row r="8482" customFormat="false" ht="17.15" hidden="false" customHeight="false" outlineLevel="0" collapsed="false">
      <c r="A8482" s="0" t="s">
        <v>758</v>
      </c>
      <c r="B8482" s="0" t="s">
        <v>27</v>
      </c>
      <c r="C8482" s="30" t="n">
        <f aca="false">Sens!$C$8478/Sens!$C$8479</f>
        <v>5.52635015390355</v>
      </c>
      <c r="D8482" s="30" t="n">
        <f aca="false">Sens!$D$8478/Sens!$D$8479</f>
        <v>7.1737323358271</v>
      </c>
      <c r="E8482" s="30" t="n">
        <f aca="false">Sens!$E$8478/Sens!$E$8479</f>
        <v>8.53212104513937</v>
      </c>
      <c r="G8482" s="30" t="n">
        <f aca="false">Sens!$G$8478/Sens!$G$8479</f>
        <v>12.7423208147233</v>
      </c>
      <c r="H8482" s="30" t="n">
        <f aca="false">Sens!$H$8478/Sens!$H$8479</f>
        <v>9.59778182509639</v>
      </c>
      <c r="I8482" s="30" t="n">
        <f aca="false">Sens!$I$8478/Sens!$I$8479</f>
        <v>10.799688520506</v>
      </c>
      <c r="J8482" s="30" t="n">
        <f aca="false">Sens!$J$8478/Sens!$J$8479</f>
        <v>11.9873844337644</v>
      </c>
      <c r="K8482" s="30" t="n">
        <f aca="false">Sens!$K$8478/Sens!$K$8479</f>
        <v>12.7931359167751</v>
      </c>
      <c r="L8482" s="30" t="n">
        <f aca="false">Sens!$L$8478/Sens!$L$8479</f>
        <v>13.8291180031744</v>
      </c>
      <c r="M8482" s="30" t="n">
        <f aca="false">Sens!$M$8478/Sens!$M$8479</f>
        <v>14.975251478356</v>
      </c>
    </row>
    <row r="8483" customFormat="false" ht="17.15" hidden="false" customHeight="false" outlineLevel="0" collapsed="false">
      <c r="A8483" s="0" t="s">
        <v>759</v>
      </c>
      <c r="B8483" s="0" t="s">
        <v>27</v>
      </c>
      <c r="C8483" s="30" t="n">
        <f aca="false">(Sens!$C$8478-Sens!$C$8475*(1-tax))/Sens!$C$8479</f>
        <v>5.33926775917445</v>
      </c>
      <c r="D8483" s="30" t="n">
        <f aca="false">(Sens!$D$8478-Sens!$D$8475*(1-tax))/Sens!$D$8479</f>
        <v>5.67691812755503</v>
      </c>
      <c r="E8483" s="30" t="n">
        <f aca="false">(Sens!$E$8478-Sens!$E$8475*(1-tax))/Sens!$E$8479</f>
        <v>3.10602057006846</v>
      </c>
      <c r="G8483" s="30" t="n">
        <f aca="false">(Sens!$G$8478-Sens!$G$8475*(1-tax))/Sens!$G$8479</f>
        <v>7.33425269682635</v>
      </c>
      <c r="H8483" s="30" t="n">
        <f aca="false">(Sens!$H$8478-Sens!$H$8475*(1-tax))/Sens!$H$8479</f>
        <v>9.59778182509639</v>
      </c>
      <c r="I8483" s="30" t="n">
        <f aca="false">(Sens!$I$8478-Sens!$I$8475*(1-tax))/Sens!$I$8479</f>
        <v>10.799688520506</v>
      </c>
      <c r="J8483" s="30" t="n">
        <f aca="false">(Sens!$J$8478-Sens!$J$8475*(1-tax))/Sens!$J$8479</f>
        <v>11.9873844337644</v>
      </c>
      <c r="K8483" s="30" t="n">
        <f aca="false">(Sens!$K$8478-Sens!$K$8475*(1-tax))/Sens!$K$8479</f>
        <v>12.7931359167751</v>
      </c>
      <c r="L8483" s="30" t="n">
        <f aca="false">(Sens!$L$8478-Sens!$L$8475*(1-tax))/Sens!$L$8479</f>
        <v>13.8291180031744</v>
      </c>
      <c r="M8483" s="30" t="n">
        <f aca="false">(Sens!$M$8478-Sens!$M$8475*(1-tax))/Sens!$M$8479</f>
        <v>14.975251478356</v>
      </c>
      <c r="P8483" s="5" t="s">
        <v>760</v>
      </c>
    </row>
    <row r="8484" customFormat="false" ht="17.15" hidden="false" customHeight="false" outlineLevel="0" collapsed="false">
      <c r="A8484" s="0" t="s">
        <v>761</v>
      </c>
      <c r="B8484" s="0" t="s">
        <v>52</v>
      </c>
      <c r="H8484" s="13" t="n">
        <f aca="false">Sens!$H$8481/Sens!$G$8481-1</f>
        <v>-0.175923504437261</v>
      </c>
      <c r="I8484" s="13" t="n">
        <f aca="false">Sens!$I$8481/Sens!$H$8481-1</f>
        <v>0.183361241519136</v>
      </c>
      <c r="J8484" s="13" t="n">
        <f aca="false">Sens!$J$8481/Sens!$I$8481-1</f>
        <v>0.153136911936991</v>
      </c>
      <c r="K8484" s="13" t="n">
        <f aca="false">Sens!$K$8481/Sens!$J$8481-1</f>
        <v>0.0978506162444597</v>
      </c>
      <c r="L8484" s="13" t="n">
        <f aca="false">Sens!$L$8481/Sens!$K$8481-1</f>
        <v>0.088338734998803</v>
      </c>
      <c r="M8484" s="13" t="n">
        <f aca="false">Sens!$M$8481/Sens!$L$8481-1</f>
        <v>0.0738732861376219</v>
      </c>
    </row>
    <row r="8487" customFormat="false" ht="19.4" hidden="false" customHeight="false" outlineLevel="0" collapsed="false">
      <c r="A8487" s="31" t="s">
        <v>1308</v>
      </c>
    </row>
    <row r="8488" customFormat="false" ht="17.15" hidden="false" customHeight="false" outlineLevel="0" collapsed="false">
      <c r="A8488" s="6" t="s">
        <v>16</v>
      </c>
      <c r="B8488" s="6" t="s">
        <v>17</v>
      </c>
      <c r="C8488" s="20" t="s">
        <v>497</v>
      </c>
      <c r="D8488" s="20" t="s">
        <v>498</v>
      </c>
      <c r="E8488" s="20" t="s">
        <v>580</v>
      </c>
      <c r="F8488" s="20" t="s">
        <v>581</v>
      </c>
      <c r="G8488" s="20" t="s">
        <v>582</v>
      </c>
      <c r="H8488" s="20" t="s">
        <v>583</v>
      </c>
      <c r="I8488" s="20" t="s">
        <v>584</v>
      </c>
      <c r="J8488" s="20" t="s">
        <v>585</v>
      </c>
      <c r="K8488" s="20" t="s">
        <v>586</v>
      </c>
      <c r="L8488" s="20" t="s">
        <v>587</v>
      </c>
      <c r="M8488" s="20" t="s">
        <v>588</v>
      </c>
      <c r="N8488" s="20" t="s">
        <v>589</v>
      </c>
      <c r="O8488" s="20" t="s">
        <v>590</v>
      </c>
      <c r="P8488" s="6" t="s">
        <v>23</v>
      </c>
      <c r="R8488" s="20" t="n">
        <v>2023</v>
      </c>
      <c r="S8488" s="20" t="n">
        <v>2024</v>
      </c>
      <c r="T8488" s="20" t="n">
        <v>2025</v>
      </c>
      <c r="U8488" s="20" t="n">
        <v>2026</v>
      </c>
      <c r="V8488" s="20" t="n">
        <v>2027</v>
      </c>
      <c r="W8488" s="20" t="n">
        <v>2028</v>
      </c>
      <c r="X8488" s="20" t="n">
        <v>2029</v>
      </c>
      <c r="Y8488" s="20" t="n">
        <v>2030</v>
      </c>
      <c r="Z8488" s="20" t="n">
        <v>2031</v>
      </c>
      <c r="AA8488" s="20" t="n">
        <v>2032</v>
      </c>
    </row>
    <row r="8489" customFormat="false" ht="15" hidden="false" customHeight="false" outlineLevel="0" collapsed="false">
      <c r="A8489" s="5" t="s">
        <v>549</v>
      </c>
      <c r="B8489" s="0" t="s">
        <v>86</v>
      </c>
      <c r="C8489" s="38" t="n">
        <f aca="false">Sens!$C$8478</f>
        <v>59.248</v>
      </c>
      <c r="D8489" s="38" t="n">
        <f aca="false">Sens!$D$8478</f>
        <v>77.67</v>
      </c>
      <c r="E8489" s="38" t="n">
        <f aca="false">Sens!$E$8478</f>
        <v>92.902</v>
      </c>
      <c r="F8489" s="38" t="n">
        <f aca="false">Sens!$F$8478</f>
        <v>46.3053828906144</v>
      </c>
      <c r="G8489" s="38" t="n">
        <f aca="false">Sens!$G$8478</f>
        <v>139.207382890614</v>
      </c>
      <c r="H8489" s="38" t="n">
        <f aca="false">Sens!$H$8478</f>
        <v>105.69273570526</v>
      </c>
      <c r="I8489" s="38" t="n">
        <f aca="false">Sens!$I$8478</f>
        <v>119.879804986231</v>
      </c>
      <c r="J8489" s="38" t="n">
        <f aca="false">Sens!$J$8478</f>
        <v>134.128097114092</v>
      </c>
      <c r="K8489" s="38" t="n">
        <f aca="false">Sens!$K$8478</f>
        <v>144.288884536003</v>
      </c>
      <c r="L8489" s="38" t="n">
        <f aca="false">Sens!$L$8478</f>
        <v>157.22111669616</v>
      </c>
      <c r="M8489" s="38" t="n">
        <f aca="false">Sens!$M$8478</f>
        <v>171.613342641957</v>
      </c>
    </row>
    <row r="8490" customFormat="false" ht="17.15" hidden="false" customHeight="false" outlineLevel="0" collapsed="false">
      <c r="A8490" s="5" t="s">
        <v>784</v>
      </c>
      <c r="B8490" s="0" t="s">
        <v>86</v>
      </c>
      <c r="C8490" s="38" t="n">
        <f aca="false">Sens!$C$8466</f>
        <v>32.067</v>
      </c>
      <c r="D8490" s="38" t="n">
        <f aca="false">Sens!$D$8466</f>
        <v>41.86</v>
      </c>
      <c r="E8490" s="38" t="n">
        <f aca="false">Sens!$E$8466</f>
        <v>26.703</v>
      </c>
      <c r="F8490" s="38" t="n">
        <f aca="false">Sens!$F$8466</f>
        <v>28.2071421626285</v>
      </c>
      <c r="G8490" s="38" t="n">
        <f aca="false">Sens!$G$8466</f>
        <v>54.9101421626285</v>
      </c>
      <c r="H8490" s="38" t="n">
        <f aca="false">Sens!$H$8466</f>
        <v>78.1799395827871</v>
      </c>
      <c r="I8490" s="38" t="n">
        <f aca="false">Sens!$I$8466</f>
        <v>111.171125554384</v>
      </c>
      <c r="J8490" s="38" t="n">
        <f aca="false">Sens!$J$8466</f>
        <v>144.884406220971</v>
      </c>
      <c r="K8490" s="38" t="n">
        <f aca="false">Sens!$K$8466</f>
        <v>178.806419437999</v>
      </c>
      <c r="L8490" s="38" t="n">
        <f aca="false">Sens!$L$8466</f>
        <v>203.951269446309</v>
      </c>
      <c r="M8490" s="38" t="n">
        <f aca="false">Sens!$M$8466</f>
        <v>221.960369245325</v>
      </c>
    </row>
    <row r="8491" customFormat="false" ht="15" hidden="false" customHeight="false" outlineLevel="0" collapsed="false">
      <c r="A8491" s="5" t="s">
        <v>785</v>
      </c>
      <c r="B8491" s="0" t="s">
        <v>86</v>
      </c>
      <c r="C8491" s="38" t="n">
        <f aca="false">Q!$D$48</f>
        <v>22.011</v>
      </c>
      <c r="D8491" s="38" t="n">
        <f aca="false">Q!$E$48</f>
        <v>19.467</v>
      </c>
      <c r="E8491" s="38" t="n">
        <f aca="false">Q!$P$48</f>
        <v>10.07</v>
      </c>
      <c r="F8491" s="38" t="n">
        <f aca="false">sbc_r*Sens!$F$8408</f>
        <v>10.8507035798037</v>
      </c>
      <c r="G8491" s="38" t="n">
        <f aca="false">Sens!$E$8491+Sens!$F$8491</f>
        <v>20.9207035798037</v>
      </c>
      <c r="H8491" s="38" t="n">
        <f aca="false">sbc_r*Sens!$H$8408</f>
        <v>23.46224366345</v>
      </c>
      <c r="I8491" s="38" t="n">
        <f aca="false">sbc_r*Sens!$I$8408</f>
        <v>26.6125957111676</v>
      </c>
      <c r="J8491" s="38" t="n">
        <f aca="false">sbc_r*Sens!$J$8408</f>
        <v>29.6280801413323</v>
      </c>
      <c r="K8491" s="38" t="n">
        <f aca="false">sbc_r*Sens!$K$8408</f>
        <v>32.26410459716</v>
      </c>
      <c r="L8491" s="38" t="n">
        <f aca="false">sbc_r*Sens!$L$8408</f>
        <v>34.7107348734595</v>
      </c>
      <c r="M8491" s="38" t="n">
        <f aca="false">sbc_r*Sens!$M$8408</f>
        <v>36.9769023298878</v>
      </c>
    </row>
    <row r="8492" customFormat="false" ht="17.15" hidden="false" customHeight="false" outlineLevel="0" collapsed="false">
      <c r="A8492" s="5" t="s">
        <v>786</v>
      </c>
      <c r="B8492" s="0" t="s">
        <v>86</v>
      </c>
      <c r="C8492" s="38" t="n">
        <f aca="false">Q!$D$44-Sens!$C$8489-Sens!$C$8490-Sens!$C$8491</f>
        <v>2.551</v>
      </c>
      <c r="D8492" s="38" t="n">
        <f aca="false">Q!$E$44-Sens!$D$8489-Sens!$D$8490-Sens!$D$8491</f>
        <v>0.51700000000001</v>
      </c>
      <c r="E8492" s="38" t="n">
        <f aca="false">Q!$P$44-Sens!$E$8489-Sens!$E$8490-Sens!$E$8491</f>
        <v>-58.256</v>
      </c>
      <c r="F8492" s="38" t="n">
        <f aca="false">oth_r*Sens!$F$8408</f>
        <v>5.22265251035878</v>
      </c>
      <c r="G8492" s="38" t="n">
        <f aca="false">Sens!$E$8492+Sens!$F$8492</f>
        <v>-53.0333474896412</v>
      </c>
      <c r="H8492" s="38" t="n">
        <f aca="false">oth_r*Sens!$H$8408</f>
        <v>11.2928295263397</v>
      </c>
      <c r="I8492" s="38" t="n">
        <f aca="false">oth_r*Sens!$I$8408</f>
        <v>12.8091546115766</v>
      </c>
      <c r="J8492" s="38" t="n">
        <f aca="false">oth_r*Sens!$J$8408</f>
        <v>14.2605653162668</v>
      </c>
      <c r="K8492" s="38" t="n">
        <f aca="false">oth_r*Sens!$K$8408</f>
        <v>15.5293346306567</v>
      </c>
      <c r="L8492" s="38" t="n">
        <f aca="false">oth_r*Sens!$L$8408</f>
        <v>16.7069448805781</v>
      </c>
      <c r="M8492" s="38" t="n">
        <f aca="false">oth_r*Sens!$M$8408</f>
        <v>17.7976949013636</v>
      </c>
      <c r="P8492" s="8" t="s">
        <v>787</v>
      </c>
    </row>
    <row r="8493" customFormat="false" ht="15" hidden="false" customHeight="false" outlineLevel="0" collapsed="false">
      <c r="A8493" s="3" t="s">
        <v>555</v>
      </c>
      <c r="B8493" s="8" t="s">
        <v>86</v>
      </c>
      <c r="C8493" s="38" t="n">
        <f aca="false">Q!$D$44</f>
        <v>115.877</v>
      </c>
      <c r="D8493" s="38" t="n">
        <f aca="false">Q!$E$44</f>
        <v>139.514</v>
      </c>
      <c r="E8493" s="38" t="n">
        <f aca="false">Q!$P$44</f>
        <v>71.419</v>
      </c>
      <c r="F8493" s="38" t="n">
        <f aca="false">Sens!$F$8489+Sens!$F$8490+Sens!$F$8491+Sens!$F$8492</f>
        <v>90.5858811434053</v>
      </c>
      <c r="G8493" s="38" t="n">
        <f aca="false">Sens!$E$8493+Sens!$F$8493</f>
        <v>162.004881143405</v>
      </c>
      <c r="H8493" s="38" t="n">
        <f aca="false">Sens!$H$8489+Sens!$H$8490+Sens!$H$8491+Sens!$H$8492</f>
        <v>218.627748477837</v>
      </c>
      <c r="I8493" s="38" t="n">
        <f aca="false">Sens!$I$8489+Sens!$I$8490+Sens!$I$8491+Sens!$I$8492</f>
        <v>270.47268086336</v>
      </c>
      <c r="J8493" s="38" t="n">
        <f aca="false">Sens!$J$8489+Sens!$J$8490+Sens!$J$8491+Sens!$J$8492</f>
        <v>322.901148792662</v>
      </c>
      <c r="K8493" s="38" t="n">
        <f aca="false">Sens!$K$8489+Sens!$K$8490+Sens!$K$8491+Sens!$K$8492</f>
        <v>370.888743201819</v>
      </c>
      <c r="L8493" s="38" t="n">
        <f aca="false">Sens!$L$8489+Sens!$L$8490+Sens!$L$8491+Sens!$L$8492</f>
        <v>412.590065896507</v>
      </c>
      <c r="M8493" s="38" t="n">
        <f aca="false">Sens!$M$8489+Sens!$M$8490+Sens!$M$8491+Sens!$M$8492</f>
        <v>448.348309118534</v>
      </c>
    </row>
    <row r="8494" customFormat="false" ht="17.15" hidden="false" customHeight="false" outlineLevel="0" collapsed="false">
      <c r="A8494" s="5" t="s">
        <v>788</v>
      </c>
      <c r="B8494" s="0" t="s">
        <v>86</v>
      </c>
      <c r="C8494" s="38" t="n">
        <f aca="false">Sens!$C$8375</f>
        <v>25.2781053077374</v>
      </c>
      <c r="D8494" s="38" t="n">
        <f aca="false">Sens!$D$8375</f>
        <v>69.5686316310026</v>
      </c>
      <c r="E8494" s="38" t="n">
        <f aca="false">Sens!$E$8375</f>
        <v>64.1899206485108</v>
      </c>
      <c r="F8494" s="38" t="n">
        <f aca="false">Sens!$F$8375</f>
        <v>96.2481299895</v>
      </c>
      <c r="G8494" s="38" t="n">
        <f aca="false">Sens!$G$8375</f>
        <v>160.438050638011</v>
      </c>
      <c r="H8494" s="38" t="n">
        <f aca="false">Sens!$H$8375</f>
        <v>198.57136494475</v>
      </c>
      <c r="I8494" s="38" t="n">
        <f aca="false">Sens!$I$8375</f>
        <v>204.6464699105</v>
      </c>
      <c r="J8494" s="38" t="n">
        <f aca="false">Sens!$J$8375</f>
        <v>209.8832381105</v>
      </c>
      <c r="K8494" s="38" t="n">
        <f aca="false">Sens!$K$8375</f>
        <v>152.460428963578</v>
      </c>
      <c r="L8494" s="38" t="n">
        <f aca="false">Sens!$L$8375</f>
        <v>126.458229016657</v>
      </c>
      <c r="M8494" s="38" t="n">
        <f aca="false">Sens!$M$8375</f>
        <v>123.897112724985</v>
      </c>
    </row>
    <row r="8495" customFormat="false" ht="17.15" hidden="false" customHeight="false" outlineLevel="0" collapsed="false">
      <c r="A8495" s="5" t="s">
        <v>789</v>
      </c>
      <c r="B8495" s="0" t="s">
        <v>86</v>
      </c>
      <c r="C8495" s="38" t="n">
        <f aca="false">cx_awso*Sens!$C$8406</f>
        <v>21.0469989286053</v>
      </c>
      <c r="D8495" s="38" t="n">
        <f aca="false">cx_awso*Sens!$D$8406</f>
        <v>24.0042459822698</v>
      </c>
      <c r="E8495" s="38" t="n">
        <f aca="false">cx_awso*Sens!$E$8406</f>
        <v>14.261729404886</v>
      </c>
      <c r="F8495" s="38" t="n">
        <f aca="false">cx_awso*Sens!$F$8406</f>
        <v>14.3538599588493</v>
      </c>
      <c r="G8495" s="38" t="n">
        <f aca="false">Sens!$E$8495+Sens!$F$8495</f>
        <v>28.6155893637353</v>
      </c>
      <c r="H8495" s="38" t="n">
        <f aca="false">cx_awso*Sens!$H$8406</f>
        <v>32.2034154158406</v>
      </c>
      <c r="I8495" s="38" t="n">
        <f aca="false">cx_awso*Sens!$I$8406</f>
        <v>35.7539519042915</v>
      </c>
      <c r="J8495" s="38" t="n">
        <f aca="false">cx_awso*Sens!$J$8406</f>
        <v>39.1551076091815</v>
      </c>
      <c r="K8495" s="38" t="n">
        <f aca="false">cx_awso*Sens!$K$8406</f>
        <v>42.287516217916</v>
      </c>
      <c r="L8495" s="38" t="n">
        <f aca="false">cx_awso*Sens!$L$8406</f>
        <v>45.6705175153492</v>
      </c>
      <c r="M8495" s="38" t="n">
        <f aca="false">cx_awso*Sens!$M$8406</f>
        <v>49.3241589165772</v>
      </c>
    </row>
    <row r="8496" customFormat="false" ht="17.15" hidden="false" customHeight="false" outlineLevel="0" collapsed="false">
      <c r="A8496" s="5" t="s">
        <v>790</v>
      </c>
      <c r="B8496" s="0" t="s">
        <v>86</v>
      </c>
      <c r="C8496" s="38" t="n">
        <f aca="false">Q!$D$46-Sens!$C$8494-Sens!$C$8495</f>
        <v>31.3328957636573</v>
      </c>
      <c r="D8496" s="38" t="n">
        <f aca="false">Q!$E$46-Sens!$D$8494-Sens!$D$8495</f>
        <v>34.7471223867276</v>
      </c>
      <c r="E8496" s="38" t="n">
        <f aca="false">Q!$P$46-Sens!$E$8494-Sens!$E$8495</f>
        <v>17.8583499466032</v>
      </c>
      <c r="F8496" s="38" t="n">
        <f aca="false">cx_rt*Sens!$F$8338</f>
        <v>20.6195895799373</v>
      </c>
      <c r="G8496" s="38" t="n">
        <f aca="false">Sens!$E$8496+Sens!$F$8496</f>
        <v>38.4779395265405</v>
      </c>
      <c r="H8496" s="38" t="n">
        <f aca="false">cx_rt*Sens!$H$8338</f>
        <v>42.5978994743075</v>
      </c>
      <c r="I8496" s="38" t="n">
        <f aca="false">cx_rt*Sens!$I$8338</f>
        <v>46.5813904136335</v>
      </c>
      <c r="J8496" s="38" t="n">
        <f aca="false">cx_rt*Sens!$J$8338</f>
        <v>50.2781676586844</v>
      </c>
      <c r="K8496" s="38" t="n">
        <f aca="false">cx_rt*Sens!$K$8338</f>
        <v>53.5312440191755</v>
      </c>
      <c r="L8496" s="38" t="n">
        <f aca="false">cx_rt*Sens!$L$8338</f>
        <v>57.0116717051447</v>
      </c>
      <c r="M8496" s="38" t="n">
        <f aca="false">cx_rt*Sens!$M$8338</f>
        <v>60.7365554669226</v>
      </c>
    </row>
    <row r="8497" customFormat="false" ht="15" hidden="false" customHeight="false" outlineLevel="0" collapsed="false">
      <c r="A8497" s="3" t="s">
        <v>791</v>
      </c>
      <c r="B8497" s="8" t="s">
        <v>86</v>
      </c>
      <c r="C8497" s="38" t="n">
        <f aca="false">Q!$D$46</f>
        <v>77.658</v>
      </c>
      <c r="D8497" s="38" t="n">
        <f aca="false">Q!$E$46</f>
        <v>128.32</v>
      </c>
      <c r="E8497" s="38" t="n">
        <f aca="false">Q!$P$46</f>
        <v>96.31</v>
      </c>
      <c r="F8497" s="38" t="n">
        <f aca="false">Sens!$F$8494+Sens!$F$8495+Sens!$F$8496</f>
        <v>131.221579528287</v>
      </c>
      <c r="G8497" s="38" t="n">
        <f aca="false">Sens!$E$8497+Sens!$F$8497</f>
        <v>227.531579528287</v>
      </c>
      <c r="H8497" s="38" t="n">
        <f aca="false">Sens!$H$8494+Sens!$H$8495+Sens!$H$8496</f>
        <v>273.372679834898</v>
      </c>
      <c r="I8497" s="38" t="n">
        <f aca="false">Sens!$I$8494+Sens!$I$8495+Sens!$I$8496</f>
        <v>286.981812228425</v>
      </c>
      <c r="J8497" s="38" t="n">
        <f aca="false">Sens!$J$8494+Sens!$J$8495+Sens!$J$8496</f>
        <v>299.316513378366</v>
      </c>
      <c r="K8497" s="38" t="n">
        <f aca="false">Sens!$K$8494+Sens!$K$8495+Sens!$K$8496</f>
        <v>248.27918920067</v>
      </c>
      <c r="L8497" s="38" t="n">
        <f aca="false">Sens!$L$8494+Sens!$L$8495+Sens!$L$8496</f>
        <v>229.140418237151</v>
      </c>
      <c r="M8497" s="38" t="n">
        <f aca="false">Sens!$M$8494+Sens!$M$8495+Sens!$M$8496</f>
        <v>233.957827108485</v>
      </c>
    </row>
    <row r="8498" customFormat="false" ht="17.15" hidden="false" customHeight="false" outlineLevel="0" collapsed="false">
      <c r="A8498" s="5" t="s">
        <v>563</v>
      </c>
      <c r="B8498" s="0" t="s">
        <v>86</v>
      </c>
      <c r="C8498" s="38" t="n">
        <f aca="false">Q!$D$50</f>
        <v>2.043</v>
      </c>
      <c r="D8498" s="38" t="n">
        <f aca="false">Q!$E$50</f>
        <v>1.557</v>
      </c>
      <c r="E8498" s="38" t="n">
        <f aca="false">lease_pr/2</f>
        <v>0.8</v>
      </c>
      <c r="F8498" s="38" t="n">
        <f aca="false">lease_pr/2</f>
        <v>0.8</v>
      </c>
      <c r="G8498" s="38" t="n">
        <f aca="false">Sens!$E$8498+Sens!$F$8498</f>
        <v>1.6</v>
      </c>
      <c r="H8498" s="38" t="n">
        <f aca="false">lease_pr</f>
        <v>1.6</v>
      </c>
      <c r="I8498" s="38" t="n">
        <f aca="false">lease_pr</f>
        <v>1.6</v>
      </c>
      <c r="J8498" s="38" t="n">
        <f aca="false">lease_pr</f>
        <v>1.6</v>
      </c>
      <c r="K8498" s="38" t="n">
        <f aca="false">lease_pr</f>
        <v>1.6</v>
      </c>
      <c r="L8498" s="38" t="n">
        <f aca="false">lease_pr</f>
        <v>1.6</v>
      </c>
      <c r="M8498" s="38" t="n">
        <f aca="false">lease_pr</f>
        <v>1.6</v>
      </c>
      <c r="P8498" s="8" t="s">
        <v>792</v>
      </c>
    </row>
    <row r="8499" customFormat="false" ht="15" hidden="false" customHeight="false" outlineLevel="0" collapsed="false">
      <c r="A8499" s="47" t="s">
        <v>793</v>
      </c>
      <c r="B8499" s="14" t="s">
        <v>86</v>
      </c>
      <c r="C8499" s="48" t="n">
        <f aca="false">Sens!$C$8493-Sens!$C$8497-Sens!$C$8498</f>
        <v>36.176</v>
      </c>
      <c r="D8499" s="48" t="n">
        <f aca="false">Sens!$D$8493-Sens!$D$8497-Sens!$D$8498</f>
        <v>9.63700000000002</v>
      </c>
      <c r="E8499" s="48" t="n">
        <f aca="false">Sens!$E$8493-Sens!$E$8497-Sens!$E$8498</f>
        <v>-25.691</v>
      </c>
      <c r="F8499" s="48" t="n">
        <f aca="false">Sens!$F$8493-Sens!$F$8497-Sens!$F$8498</f>
        <v>-41.4356983848813</v>
      </c>
      <c r="G8499" s="48" t="n">
        <f aca="false">Sens!$G$8493-Sens!$G$8497-Sens!$G$8498</f>
        <v>-67.1266983848813</v>
      </c>
      <c r="H8499" s="48" t="n">
        <f aca="false">Sens!$H$8493-Sens!$H$8497-Sens!$H$8498</f>
        <v>-56.3449313570613</v>
      </c>
      <c r="I8499" s="48" t="n">
        <f aca="false">Sens!$I$8493-Sens!$I$8497-Sens!$I$8498</f>
        <v>-18.1091313650653</v>
      </c>
      <c r="J8499" s="48" t="n">
        <f aca="false">Sens!$J$8493-Sens!$J$8497-Sens!$J$8498</f>
        <v>21.9846354142961</v>
      </c>
      <c r="K8499" s="48" t="n">
        <f aca="false">Sens!$K$8493-Sens!$K$8497-Sens!$K$8498</f>
        <v>121.009554001149</v>
      </c>
      <c r="L8499" s="48" t="n">
        <f aca="false">Sens!$L$8493-Sens!$L$8497-Sens!$L$8498</f>
        <v>181.849647659356</v>
      </c>
      <c r="M8499" s="48" t="n">
        <f aca="false">Sens!$M$8493-Sens!$M$8497-Sens!$M$8498</f>
        <v>212.790482010049</v>
      </c>
      <c r="N8499" s="14"/>
      <c r="O8499" s="14"/>
    </row>
    <row r="8500" customFormat="false" ht="17.15" hidden="false" customHeight="false" outlineLevel="0" collapsed="false">
      <c r="A8500" s="5" t="s">
        <v>794</v>
      </c>
      <c r="B8500" s="0" t="s">
        <v>86</v>
      </c>
      <c r="C8500" s="38" t="n">
        <f aca="false">dps*Sens!$C$8479</f>
        <v>0</v>
      </c>
      <c r="D8500" s="38" t="n">
        <f aca="false">dps*Sens!$D$8479</f>
        <v>0</v>
      </c>
      <c r="E8500" s="38" t="n">
        <f aca="false">dps*Sens!$E$8479</f>
        <v>0</v>
      </c>
      <c r="F8500" s="38" t="n">
        <f aca="false">0</f>
        <v>0</v>
      </c>
      <c r="G8500" s="38" t="n">
        <f aca="false">dps*Sens!$G$8479</f>
        <v>0</v>
      </c>
      <c r="H8500" s="38" t="n">
        <f aca="false">dps*Sens!$H$8479</f>
        <v>0</v>
      </c>
      <c r="I8500" s="38" t="n">
        <f aca="false">dps*Sens!$I$8479</f>
        <v>0</v>
      </c>
      <c r="J8500" s="38" t="n">
        <f aca="false">dps*Sens!$J$8479</f>
        <v>0</v>
      </c>
      <c r="K8500" s="38" t="n">
        <f aca="false">dps*Sens!$K$8479</f>
        <v>0</v>
      </c>
      <c r="L8500" s="38" t="n">
        <f aca="false">dps*Sens!$L$8479</f>
        <v>0</v>
      </c>
      <c r="M8500" s="38" t="n">
        <f aca="false">dps*Sens!$M$8479</f>
        <v>0</v>
      </c>
      <c r="P8500" s="8" t="s">
        <v>795</v>
      </c>
    </row>
    <row r="8501" customFormat="false" ht="17.15" hidden="false" customHeight="false" outlineLevel="0" collapsed="false">
      <c r="A8501" s="5" t="s">
        <v>796</v>
      </c>
      <c r="B8501" s="0" t="s">
        <v>86</v>
      </c>
      <c r="C8501" s="38" t="n">
        <f aca="false">0</f>
        <v>0</v>
      </c>
      <c r="D8501" s="38" t="n">
        <f aca="false">0</f>
        <v>0</v>
      </c>
      <c r="E8501" s="38" t="n">
        <f aca="false">0</f>
        <v>0</v>
      </c>
      <c r="F8501" s="38" t="n">
        <f aca="false">0</f>
        <v>0</v>
      </c>
      <c r="G8501" s="38" t="n">
        <f aca="false">0</f>
        <v>0</v>
      </c>
      <c r="H8501" s="38" t="n">
        <f aca="false">0</f>
        <v>0</v>
      </c>
      <c r="I8501" s="38" t="n">
        <f aca="false">0</f>
        <v>0</v>
      </c>
      <c r="J8501" s="38" t="n">
        <f aca="false">0</f>
        <v>0</v>
      </c>
      <c r="K8501" s="38" t="n">
        <f aca="false">0</f>
        <v>0</v>
      </c>
      <c r="L8501" s="38" t="n">
        <f aca="false">0</f>
        <v>0</v>
      </c>
      <c r="M8501" s="38" t="n">
        <f aca="false">0</f>
        <v>0</v>
      </c>
      <c r="P8501" s="8" t="s">
        <v>797</v>
      </c>
    </row>
    <row r="8502" customFormat="false" ht="15" hidden="false" customHeight="false" outlineLevel="0" collapsed="false">
      <c r="A8502" s="3" t="s">
        <v>798</v>
      </c>
      <c r="B8502" s="8" t="s">
        <v>86</v>
      </c>
      <c r="C8502" s="38" t="n">
        <f aca="false">Sens!$C$8499-Sens!$C$8500</f>
        <v>36.176</v>
      </c>
      <c r="D8502" s="38" t="n">
        <f aca="false">Sens!$D$8499-Sens!$D$8500</f>
        <v>9.63700000000002</v>
      </c>
      <c r="E8502" s="38" t="n">
        <f aca="false">Sens!$E$8499-Sens!$E$8500</f>
        <v>-25.691</v>
      </c>
      <c r="F8502" s="38" t="n">
        <f aca="false">Sens!$F$8499-Sens!$F$8500</f>
        <v>-41.4356983848813</v>
      </c>
      <c r="G8502" s="38" t="n">
        <f aca="false">Sens!$G$8499-Sens!$G$8500</f>
        <v>-67.1266983848813</v>
      </c>
      <c r="H8502" s="38" t="n">
        <f aca="false">Sens!$H$8499-Sens!$H$8500</f>
        <v>-56.3449313570613</v>
      </c>
      <c r="I8502" s="38" t="n">
        <f aca="false">Sens!$I$8499-Sens!$I$8500</f>
        <v>-18.1091313650653</v>
      </c>
      <c r="J8502" s="38" t="n">
        <f aca="false">Sens!$J$8499-Sens!$J$8500</f>
        <v>21.9846354142961</v>
      </c>
      <c r="K8502" s="38" t="n">
        <f aca="false">Sens!$K$8499-Sens!$K$8500</f>
        <v>121.009554001149</v>
      </c>
      <c r="L8502" s="38" t="n">
        <f aca="false">Sens!$L$8499-Sens!$L$8500</f>
        <v>181.849647659356</v>
      </c>
      <c r="M8502" s="38" t="n">
        <f aca="false">Sens!$M$8499-Sens!$M$8500</f>
        <v>212.790482010049</v>
      </c>
    </row>
    <row r="8503" customFormat="false" ht="17.15" hidden="false" customHeight="false" outlineLevel="0" collapsed="false">
      <c r="A8503" s="5" t="s">
        <v>799</v>
      </c>
      <c r="B8503" s="0" t="s">
        <v>86</v>
      </c>
      <c r="E8503" s="38" t="n">
        <f aca="false">Q!$P$53</f>
        <v>39.767</v>
      </c>
      <c r="F8503" s="38" t="n">
        <f aca="false">inv_2h26</f>
        <v>21.3</v>
      </c>
      <c r="G8503" s="38" t="n">
        <f aca="false">Sens!$E$8503+Sens!$F$8503</f>
        <v>61.067</v>
      </c>
      <c r="H8503" s="39" t="n">
        <v>0</v>
      </c>
      <c r="I8503" s="39" t="n">
        <v>0</v>
      </c>
      <c r="J8503" s="39" t="n">
        <v>0</v>
      </c>
      <c r="K8503" s="39" t="n">
        <v>0</v>
      </c>
      <c r="L8503" s="39" t="n">
        <v>0</v>
      </c>
      <c r="M8503" s="39" t="n">
        <v>0</v>
      </c>
    </row>
    <row r="8504" customFormat="false" ht="17.15" hidden="false" customHeight="false" outlineLevel="0" collapsed="false">
      <c r="A8504" s="5" t="s">
        <v>800</v>
      </c>
      <c r="B8504" s="0" t="s">
        <v>86</v>
      </c>
      <c r="F8504" s="38" t="n">
        <f aca="false">iss_2h26</f>
        <v>29.249999</v>
      </c>
      <c r="G8504" s="38" t="n">
        <f aca="false">Sens!$F$8504</f>
        <v>29.249999</v>
      </c>
      <c r="H8504" s="39" t="n">
        <v>0</v>
      </c>
      <c r="I8504" s="39" t="n">
        <v>0</v>
      </c>
      <c r="J8504" s="39" t="n">
        <v>0</v>
      </c>
      <c r="K8504" s="39" t="n">
        <v>0</v>
      </c>
      <c r="L8504" s="39" t="n">
        <v>0</v>
      </c>
      <c r="M8504" s="39" t="n">
        <v>0</v>
      </c>
    </row>
    <row r="8505" customFormat="false" ht="17.15" hidden="false" customHeight="false" outlineLevel="0" collapsed="false">
      <c r="A8505" s="5" t="s">
        <v>801</v>
      </c>
      <c r="B8505" s="0" t="s">
        <v>86</v>
      </c>
      <c r="F8505" s="38" t="n">
        <f aca="false">cash_q2</f>
        <v>122.988</v>
      </c>
      <c r="G8505" s="38" t="n">
        <f aca="false">cash_q2</f>
        <v>122.988</v>
      </c>
      <c r="H8505" s="38" t="n">
        <f aca="false">Sens!$G$8508</f>
        <v>89.5023006151187</v>
      </c>
      <c r="I8505" s="38" t="n">
        <f aca="false">Sens!$H$8508</f>
        <v>50</v>
      </c>
      <c r="J8505" s="38" t="n">
        <f aca="false">Sens!$I$8508</f>
        <v>50</v>
      </c>
      <c r="K8505" s="38" t="n">
        <f aca="false">Sens!$J$8508</f>
        <v>71.9846354142962</v>
      </c>
      <c r="L8505" s="38" t="n">
        <f aca="false">Sens!$K$8508</f>
        <v>192.994189415445</v>
      </c>
      <c r="M8505" s="38" t="n">
        <f aca="false">Sens!$L$8508</f>
        <v>374.843837074801</v>
      </c>
    </row>
    <row r="8506" customFormat="false" ht="15" hidden="false" customHeight="false" outlineLevel="0" collapsed="false">
      <c r="A8506" s="5" t="s">
        <v>802</v>
      </c>
      <c r="B8506" s="0" t="s">
        <v>86</v>
      </c>
      <c r="F8506" s="38" t="n">
        <f aca="false">Sens!$F$8505+Sens!$F$8502-Sens!$F$8501-Sens!$F$8503+Sens!$F$8504</f>
        <v>89.5023006151187</v>
      </c>
      <c r="H8506" s="38" t="n">
        <f aca="false">Sens!$H$8505+Sens!$H$8502-Sens!$H$8501-Sens!$H$8503+Sens!$H$8504</f>
        <v>33.1573692580575</v>
      </c>
      <c r="I8506" s="38" t="n">
        <f aca="false">Sens!$I$8505+Sens!$I$8502-Sens!$I$8501-Sens!$I$8503+Sens!$I$8504</f>
        <v>31.8908686349347</v>
      </c>
      <c r="J8506" s="38" t="n">
        <f aca="false">Sens!$J$8505+Sens!$J$8502-Sens!$J$8501-Sens!$J$8503+Sens!$J$8504</f>
        <v>71.9846354142962</v>
      </c>
      <c r="K8506" s="38" t="n">
        <f aca="false">Sens!$K$8505+Sens!$K$8502-Sens!$K$8501-Sens!$K$8503+Sens!$K$8504</f>
        <v>192.994189415445</v>
      </c>
      <c r="L8506" s="38" t="n">
        <f aca="false">Sens!$L$8505+Sens!$L$8502-Sens!$L$8501-Sens!$L$8503+Sens!$L$8504</f>
        <v>374.843837074801</v>
      </c>
      <c r="M8506" s="38" t="n">
        <f aca="false">Sens!$M$8505+Sens!$M$8502-Sens!$M$8501-Sens!$M$8503+Sens!$M$8504</f>
        <v>587.63431908485</v>
      </c>
    </row>
    <row r="8507" customFormat="false" ht="17.15" hidden="false" customHeight="false" outlineLevel="0" collapsed="false">
      <c r="A8507" s="5" t="s">
        <v>803</v>
      </c>
      <c r="B8507" s="0" t="s">
        <v>86</v>
      </c>
      <c r="F8507" s="38" t="n">
        <f aca="false">MAX(0,min_cash-Sens!$F$8506)</f>
        <v>0</v>
      </c>
      <c r="G8507" s="38" t="n">
        <f aca="false">Sens!$F$8507</f>
        <v>0</v>
      </c>
      <c r="H8507" s="38" t="n">
        <f aca="false">MAX(0,min_cash-Sens!$H$8506)</f>
        <v>16.8426307419426</v>
      </c>
      <c r="I8507" s="38" t="n">
        <f aca="false">MAX(0,min_cash-Sens!$I$8506)</f>
        <v>18.1091313650653</v>
      </c>
      <c r="J8507" s="38" t="n">
        <f aca="false">MAX(0,min_cash-Sens!$J$8506)</f>
        <v>0</v>
      </c>
      <c r="K8507" s="38" t="n">
        <f aca="false">MAX(0,min_cash-Sens!$K$8506)</f>
        <v>0</v>
      </c>
      <c r="L8507" s="38" t="n">
        <f aca="false">MAX(0,min_cash-Sens!$L$8506)</f>
        <v>0</v>
      </c>
      <c r="M8507" s="38" t="n">
        <f aca="false">MAX(0,min_cash-Sens!$M$8506)</f>
        <v>0</v>
      </c>
      <c r="P8507" s="5" t="s">
        <v>804</v>
      </c>
    </row>
    <row r="8508" customFormat="false" ht="15" hidden="false" customHeight="false" outlineLevel="0" collapsed="false">
      <c r="A8508" s="5" t="s">
        <v>805</v>
      </c>
      <c r="B8508" s="0" t="s">
        <v>86</v>
      </c>
      <c r="D8508" s="38" t="n">
        <f aca="false">Q!$E$61</f>
        <v>123.029</v>
      </c>
      <c r="E8508" s="38" t="n">
        <f aca="false">Q!$M$61</f>
        <v>122.988</v>
      </c>
      <c r="F8508" s="38" t="n">
        <f aca="false">Sens!$F$8506+Sens!$F$8507</f>
        <v>89.5023006151187</v>
      </c>
      <c r="G8508" s="38" t="n">
        <f aca="false">Sens!$F$8508</f>
        <v>89.5023006151187</v>
      </c>
      <c r="H8508" s="38" t="n">
        <f aca="false">Sens!$H$8506+Sens!$H$8507</f>
        <v>50</v>
      </c>
      <c r="I8508" s="38" t="n">
        <f aca="false">Sens!$I$8506+Sens!$I$8507</f>
        <v>50</v>
      </c>
      <c r="J8508" s="38" t="n">
        <f aca="false">Sens!$J$8506+Sens!$J$8507</f>
        <v>71.9846354142962</v>
      </c>
      <c r="K8508" s="38" t="n">
        <f aca="false">Sens!$K$8506+Sens!$K$8507</f>
        <v>192.994189415445</v>
      </c>
      <c r="L8508" s="38" t="n">
        <f aca="false">Sens!$L$8506+Sens!$L$8507</f>
        <v>374.843837074801</v>
      </c>
      <c r="M8508" s="38" t="n">
        <f aca="false">Sens!$M$8506+Sens!$M$8507</f>
        <v>587.63431908485</v>
      </c>
    </row>
    <row r="8509" customFormat="false" ht="15" hidden="false" customHeight="false" outlineLevel="0" collapsed="false">
      <c r="A8509" s="5" t="s">
        <v>806</v>
      </c>
      <c r="B8509" s="0" t="s">
        <v>86</v>
      </c>
      <c r="D8509" s="38" t="n">
        <f aca="false">Q!$E$62</f>
        <v>68.836</v>
      </c>
      <c r="E8509" s="38" t="n">
        <f aca="false">Q!$M$62</f>
        <v>132.995</v>
      </c>
      <c r="F8509" s="38" t="n">
        <f aca="false">debt_q2+Sens!$F$8504+Sens!$F$8507</f>
        <v>162.244999</v>
      </c>
      <c r="G8509" s="38" t="n">
        <f aca="false">Sens!$F$8509</f>
        <v>162.244999</v>
      </c>
      <c r="H8509" s="38" t="n">
        <f aca="false">Sens!$G$8509+Sens!$H$8507</f>
        <v>179.087629741943</v>
      </c>
      <c r="I8509" s="38" t="n">
        <f aca="false">Sens!$H$8509+Sens!$I$8507</f>
        <v>197.196761107008</v>
      </c>
      <c r="J8509" s="38" t="n">
        <f aca="false">Sens!$I$8509+Sens!$J$8507</f>
        <v>197.196761107008</v>
      </c>
      <c r="K8509" s="38" t="n">
        <f aca="false">Sens!$J$8509+Sens!$K$8507</f>
        <v>197.196761107008</v>
      </c>
      <c r="L8509" s="38" t="n">
        <f aca="false">Sens!$K$8509+Sens!$L$8507</f>
        <v>197.196761107008</v>
      </c>
      <c r="M8509" s="38" t="n">
        <f aca="false">Sens!$L$8509+Sens!$M$8507</f>
        <v>197.196761107008</v>
      </c>
    </row>
    <row r="8510" customFormat="false" ht="15" hidden="false" customHeight="false" outlineLevel="0" collapsed="false">
      <c r="A8510" s="5" t="s">
        <v>807</v>
      </c>
      <c r="B8510" s="0" t="s">
        <v>86</v>
      </c>
      <c r="D8510" s="38" t="n">
        <f aca="false">Sens!$D$8509-Sens!$D$8508</f>
        <v>-54.193</v>
      </c>
      <c r="E8510" s="38" t="n">
        <f aca="false">Sens!$E$8509-Sens!$E$8508</f>
        <v>10.007</v>
      </c>
      <c r="F8510" s="38" t="n">
        <f aca="false">Sens!$F$8509-Sens!$F$8508</f>
        <v>72.7426983848813</v>
      </c>
      <c r="G8510" s="38" t="n">
        <f aca="false">Sens!$G$8509-Sens!$G$8508</f>
        <v>72.7426983848813</v>
      </c>
      <c r="H8510" s="38" t="n">
        <f aca="false">Sens!$H$8509-Sens!$H$8508</f>
        <v>129.087629741943</v>
      </c>
      <c r="I8510" s="38" t="n">
        <f aca="false">Sens!$I$8509-Sens!$I$8508</f>
        <v>147.196761107008</v>
      </c>
      <c r="J8510" s="38" t="n">
        <f aca="false">Sens!$J$8509-Sens!$J$8508</f>
        <v>125.212125692712</v>
      </c>
      <c r="K8510" s="38" t="n">
        <f aca="false">Sens!$K$8509-Sens!$K$8508</f>
        <v>4.2025716915629</v>
      </c>
      <c r="L8510" s="38" t="n">
        <f aca="false">Sens!$L$8509-Sens!$L$8508</f>
        <v>-177.647075967793</v>
      </c>
      <c r="M8510" s="38" t="n">
        <f aca="false">Sens!$M$8509-Sens!$M$8508</f>
        <v>-390.437557977842</v>
      </c>
    </row>
    <row r="8511" customFormat="false" ht="17.15" hidden="false" customHeight="false" outlineLevel="0" collapsed="false">
      <c r="A8511" s="5" t="s">
        <v>808</v>
      </c>
      <c r="B8511" s="0" t="s">
        <v>86</v>
      </c>
      <c r="F8511" s="38" t="n">
        <f aca="false">debt_q2*kd_book*0.5+iss_2h26*kd_new*iss_t</f>
        <v>3.24888962733561</v>
      </c>
      <c r="H8511" s="38" t="n">
        <f aca="false">debt_q2*kd_book+(Sens!$G$8509-debt_q2)*kd_new</f>
        <v>7.42354172302123</v>
      </c>
      <c r="I8511" s="38" t="n">
        <f aca="false">debt_q2*kd_book+(Sens!$H$8509-debt_q2)*kd_new</f>
        <v>8.48968024898619</v>
      </c>
      <c r="J8511" s="38" t="n">
        <f aca="false">debt_q2*kd_book+(Sens!$I$8509-debt_q2)*kd_new</f>
        <v>9.63598826439483</v>
      </c>
      <c r="K8511" s="38" t="n">
        <f aca="false">debt_q2*kd_book+(Sens!$J$8509-debt_q2)*kd_new</f>
        <v>9.63598826439483</v>
      </c>
      <c r="L8511" s="38" t="n">
        <f aca="false">debt_q2*kd_book+(Sens!$K$8509-debt_q2)*kd_new</f>
        <v>9.63598826439483</v>
      </c>
      <c r="M8511" s="38" t="n">
        <f aca="false">debt_q2*kd_book+(Sens!$L$8509-debt_q2)*kd_new</f>
        <v>9.63598826439483</v>
      </c>
    </row>
    <row r="8512" customFormat="false" ht="17.15" hidden="false" customHeight="false" outlineLevel="0" collapsed="false">
      <c r="A8512" s="5" t="s">
        <v>809</v>
      </c>
      <c r="B8512" s="0" t="s">
        <v>86</v>
      </c>
      <c r="F8512" s="38" t="n">
        <f aca="false">cash_q2*y_cash*0.5</f>
        <v>2.59</v>
      </c>
      <c r="H8512" s="38" t="n">
        <f aca="false">Sens!$G$8508*y_cash</f>
        <v>3.76965165045626</v>
      </c>
      <c r="I8512" s="38" t="n">
        <f aca="false">Sens!$H$8508*y_cash</f>
        <v>2.10589651022864</v>
      </c>
      <c r="J8512" s="38" t="n">
        <f aca="false">Sens!$I$8508*y_cash</f>
        <v>2.10589651022864</v>
      </c>
      <c r="K8512" s="38" t="n">
        <f aca="false">Sens!$J$8508*y_cash</f>
        <v>3.03184385018094</v>
      </c>
      <c r="L8512" s="38" t="n">
        <f aca="false">Sens!$K$8508*y_cash</f>
        <v>8.12851579968782</v>
      </c>
      <c r="M8512" s="38" t="n">
        <f aca="false">Sens!$L$8508*y_cash</f>
        <v>15.7876465675307</v>
      </c>
    </row>
    <row r="8513" customFormat="false" ht="17.15" hidden="false" customHeight="false" outlineLevel="0" collapsed="false">
      <c r="A8513" s="47" t="s">
        <v>810</v>
      </c>
      <c r="B8513" s="14" t="s">
        <v>86</v>
      </c>
      <c r="C8513" s="14"/>
      <c r="D8513" s="14"/>
      <c r="E8513" s="14"/>
      <c r="F8513" s="14"/>
      <c r="G8513" s="48" t="n">
        <f aca="false">SUM(Sens!$G$8502:$K$8502)</f>
        <v>1.41342830843709</v>
      </c>
      <c r="H8513" s="14"/>
      <c r="I8513" s="14"/>
      <c r="J8513" s="14"/>
      <c r="K8513" s="14"/>
      <c r="L8513" s="14"/>
      <c r="M8513" s="14"/>
      <c r="N8513" s="14"/>
      <c r="O8513" s="14"/>
    </row>
    <row r="8514" customFormat="false" ht="17.15" hidden="false" customHeight="false" outlineLevel="0" collapsed="false">
      <c r="A8514" s="0" t="s">
        <v>776</v>
      </c>
      <c r="B8514" s="0" t="s">
        <v>86</v>
      </c>
      <c r="G8514" s="38" t="n">
        <f aca="false">SUM(Sens!$G$8507:$K$8507)</f>
        <v>34.9517621070079</v>
      </c>
    </row>
    <row r="8515" customFormat="false" ht="17.15" hidden="false" customHeight="false" outlineLevel="0" collapsed="false">
      <c r="A8515" s="24" t="s">
        <v>813</v>
      </c>
      <c r="B8515" s="25" t="s">
        <v>86</v>
      </c>
      <c r="C8515" s="25"/>
      <c r="D8515" s="25"/>
      <c r="E8515" s="25"/>
      <c r="F8515" s="25"/>
      <c r="G8515" s="41" t="n">
        <f aca="false">Sens!$G$8513-(Sens!$G$8502+Sens!$H$8502+Sens!$I$8502+Sens!$J$8502+Sens!$K$8502)</f>
        <v>-2.8421709430404E-014</v>
      </c>
      <c r="H8515" s="25"/>
      <c r="I8515" s="25"/>
      <c r="J8515" s="25"/>
      <c r="K8515" s="25"/>
      <c r="L8515" s="25"/>
      <c r="M8515" s="25"/>
      <c r="N8515" s="25"/>
      <c r="O8515" s="25"/>
    </row>
    <row r="8518" customFormat="false" ht="19.4" hidden="false" customHeight="false" outlineLevel="0" collapsed="false">
      <c r="A8518" s="31" t="s">
        <v>1309</v>
      </c>
    </row>
    <row r="8519" customFormat="false" ht="17.15" hidden="false" customHeight="false" outlineLevel="0" collapsed="false">
      <c r="A8519" s="6" t="s">
        <v>16</v>
      </c>
      <c r="B8519" s="6" t="s">
        <v>17</v>
      </c>
      <c r="C8519" s="20" t="s">
        <v>497</v>
      </c>
      <c r="D8519" s="20" t="s">
        <v>498</v>
      </c>
      <c r="E8519" s="20" t="s">
        <v>580</v>
      </c>
      <c r="F8519" s="20" t="s">
        <v>581</v>
      </c>
      <c r="G8519" s="20" t="s">
        <v>582</v>
      </c>
      <c r="H8519" s="20" t="s">
        <v>583</v>
      </c>
      <c r="I8519" s="20" t="s">
        <v>584</v>
      </c>
      <c r="J8519" s="20" t="s">
        <v>585</v>
      </c>
      <c r="K8519" s="20" t="s">
        <v>586</v>
      </c>
      <c r="L8519" s="20" t="s">
        <v>587</v>
      </c>
      <c r="M8519" s="20" t="s">
        <v>588</v>
      </c>
      <c r="N8519" s="20" t="s">
        <v>589</v>
      </c>
      <c r="O8519" s="20" t="s">
        <v>590</v>
      </c>
      <c r="P8519" s="6" t="s">
        <v>23</v>
      </c>
      <c r="R8519" s="20" t="n">
        <v>2023</v>
      </c>
      <c r="S8519" s="20" t="n">
        <v>2024</v>
      </c>
      <c r="T8519" s="20" t="n">
        <v>2025</v>
      </c>
      <c r="U8519" s="20" t="n">
        <v>2026</v>
      </c>
      <c r="V8519" s="20" t="n">
        <v>2027</v>
      </c>
      <c r="W8519" s="20" t="n">
        <v>2028</v>
      </c>
      <c r="X8519" s="20" t="n">
        <v>2029</v>
      </c>
      <c r="Y8519" s="20" t="n">
        <v>2030</v>
      </c>
      <c r="Z8519" s="20" t="n">
        <v>2031</v>
      </c>
      <c r="AA8519" s="20" t="n">
        <v>2032</v>
      </c>
    </row>
    <row r="8520" customFormat="false" ht="17.15" hidden="false" customHeight="false" outlineLevel="0" collapsed="false">
      <c r="A8520" s="1" t="s">
        <v>915</v>
      </c>
    </row>
    <row r="8521" customFormat="false" ht="17.15" hidden="false" customHeight="false" outlineLevel="0" collapsed="false">
      <c r="A8521" s="0" t="s">
        <v>916</v>
      </c>
      <c r="B8521" s="0" t="s">
        <v>86</v>
      </c>
      <c r="H8521" s="38" t="n">
        <f aca="false">Sens!$H$8455*(1-tax)</f>
        <v>121.243762954598</v>
      </c>
      <c r="I8521" s="38" t="n">
        <f aca="false">Sens!$I$8455*(1-tax)</f>
        <v>146.296727721585</v>
      </c>
      <c r="J8521" s="38" t="n">
        <f aca="false">Sens!$J$8455*(1-tax)</f>
        <v>170.140518399982</v>
      </c>
      <c r="K8521" s="38" t="n">
        <f aca="false">Sens!$K$8455*(1-tax)</f>
        <v>186.854388637829</v>
      </c>
      <c r="L8521" s="38" t="n">
        <f aca="false">Sens!$L$8455*(1-tax)</f>
        <v>200.246135909531</v>
      </c>
      <c r="M8521" s="38" t="n">
        <f aca="false">Sens!$M$8455*(1-tax)</f>
        <v>210.326929761686</v>
      </c>
    </row>
    <row r="8522" customFormat="false" ht="15" hidden="false" customHeight="false" outlineLevel="0" collapsed="false">
      <c r="A8522" s="5" t="s">
        <v>917</v>
      </c>
      <c r="B8522" s="0" t="s">
        <v>86</v>
      </c>
      <c r="H8522" s="38" t="n">
        <f aca="false">Sens!$H$8466</f>
        <v>78.1799395827871</v>
      </c>
      <c r="I8522" s="38" t="n">
        <f aca="false">Sens!$I$8466</f>
        <v>111.171125554384</v>
      </c>
      <c r="J8522" s="38" t="n">
        <f aca="false">Sens!$J$8466</f>
        <v>144.884406220971</v>
      </c>
      <c r="K8522" s="38" t="n">
        <f aca="false">Sens!$K$8466</f>
        <v>178.806419437999</v>
      </c>
      <c r="L8522" s="38" t="n">
        <f aca="false">Sens!$L$8466</f>
        <v>203.951269446309</v>
      </c>
      <c r="M8522" s="38" t="n">
        <f aca="false">Sens!$M$8466</f>
        <v>221.960369245325</v>
      </c>
    </row>
    <row r="8523" customFormat="false" ht="15" hidden="false" customHeight="false" outlineLevel="0" collapsed="false">
      <c r="A8523" s="5" t="s">
        <v>918</v>
      </c>
      <c r="B8523" s="0" t="s">
        <v>86</v>
      </c>
      <c r="H8523" s="38" t="n">
        <f aca="false">Sens!$H$8497</f>
        <v>273.372679834898</v>
      </c>
      <c r="I8523" s="38" t="n">
        <f aca="false">Sens!$I$8497</f>
        <v>286.981812228425</v>
      </c>
      <c r="J8523" s="38" t="n">
        <f aca="false">Sens!$J$8497</f>
        <v>299.316513378366</v>
      </c>
      <c r="K8523" s="38" t="n">
        <f aca="false">Sens!$K$8497</f>
        <v>248.27918920067</v>
      </c>
      <c r="L8523" s="38" t="n">
        <f aca="false">Sens!$L$8497</f>
        <v>229.140418237151</v>
      </c>
      <c r="M8523" s="38" t="n">
        <f aca="false">Sens!$M$8497</f>
        <v>233.957827108485</v>
      </c>
    </row>
    <row r="8524" customFormat="false" ht="15" hidden="false" customHeight="false" outlineLevel="0" collapsed="false">
      <c r="A8524" s="5" t="s">
        <v>919</v>
      </c>
      <c r="B8524" s="0" t="s">
        <v>86</v>
      </c>
      <c r="H8524" s="38" t="n">
        <f aca="false">Sens!$H$8498</f>
        <v>1.6</v>
      </c>
      <c r="I8524" s="38" t="n">
        <f aca="false">Sens!$I$8498</f>
        <v>1.6</v>
      </c>
      <c r="J8524" s="38" t="n">
        <f aca="false">Sens!$J$8498</f>
        <v>1.6</v>
      </c>
      <c r="K8524" s="38" t="n">
        <f aca="false">Sens!$K$8498</f>
        <v>1.6</v>
      </c>
      <c r="L8524" s="38" t="n">
        <f aca="false">Sens!$L$8498</f>
        <v>1.6</v>
      </c>
      <c r="M8524" s="38" t="n">
        <f aca="false">Sens!$M$8498</f>
        <v>1.6</v>
      </c>
    </row>
    <row r="8525" customFormat="false" ht="15" hidden="false" customHeight="false" outlineLevel="0" collapsed="false">
      <c r="A8525" s="5" t="s">
        <v>920</v>
      </c>
      <c r="B8525" s="0" t="s">
        <v>86</v>
      </c>
      <c r="H8525" s="38" t="n">
        <f aca="false">Sens!$H$8492</f>
        <v>11.2928295263397</v>
      </c>
      <c r="I8525" s="38" t="n">
        <f aca="false">Sens!$I$8492</f>
        <v>12.8091546115766</v>
      </c>
      <c r="J8525" s="38" t="n">
        <f aca="false">Sens!$J$8492</f>
        <v>14.2605653162668</v>
      </c>
      <c r="K8525" s="38" t="n">
        <f aca="false">Sens!$K$8492</f>
        <v>15.5293346306567</v>
      </c>
      <c r="L8525" s="38" t="n">
        <f aca="false">Sens!$L$8492</f>
        <v>16.7069448805781</v>
      </c>
      <c r="M8525" s="38" t="n">
        <f aca="false">Sens!$M$8492</f>
        <v>17.7976949013636</v>
      </c>
    </row>
    <row r="8526" customFormat="false" ht="17.15" hidden="false" customHeight="false" outlineLevel="0" collapsed="false">
      <c r="A8526" s="1" t="s">
        <v>921</v>
      </c>
      <c r="B8526" s="8" t="s">
        <v>86</v>
      </c>
      <c r="H8526" s="38" t="n">
        <f aca="false">Sens!$H$8521+Sens!$H$8522-Sens!$H$8523+Sens!$H$8525</f>
        <v>-62.6561477711731</v>
      </c>
      <c r="I8526" s="38" t="n">
        <f aca="false">Sens!$I$8521+Sens!$I$8522-Sens!$I$8523+Sens!$I$8525</f>
        <v>-16.7048043408794</v>
      </c>
      <c r="J8526" s="38" t="n">
        <f aca="false">Sens!$J$8521+Sens!$J$8522-Sens!$J$8523+Sens!$J$8525</f>
        <v>29.9689765588539</v>
      </c>
      <c r="K8526" s="38" t="n">
        <f aca="false">Sens!$K$8521+Sens!$K$8522-Sens!$K$8523+Sens!$K$8525</f>
        <v>132.910953505815</v>
      </c>
      <c r="L8526" s="38" t="n">
        <f aca="false">Sens!$L$8521+Sens!$L$8522-Sens!$L$8523+Sens!$L$8525</f>
        <v>191.763931999267</v>
      </c>
      <c r="M8526" s="38" t="n">
        <f aca="false">Sens!$M$8521+Sens!$M$8522-Sens!$M$8523+Sens!$M$8525</f>
        <v>216.12716679989</v>
      </c>
    </row>
    <row r="8527" customFormat="false" ht="15" hidden="false" customHeight="false" outlineLevel="0" collapsed="false">
      <c r="A8527" s="5" t="s">
        <v>922</v>
      </c>
      <c r="B8527" s="0" t="s">
        <v>57</v>
      </c>
      <c r="H8527" s="40" t="n">
        <f aca="false">1/(1+(wacc-0.01))^(2027-2026-0.5)</f>
        <v>0.952036717208703</v>
      </c>
      <c r="I8527" s="40" t="n">
        <f aca="false">1/(1+(wacc-0.01))^(2028-2026-0.5)</f>
        <v>0.862901242709724</v>
      </c>
      <c r="J8527" s="40" t="n">
        <f aca="false">1/(1+(wacc-0.01))^(2029-2026-0.5)</f>
        <v>0.782111174086951</v>
      </c>
      <c r="K8527" s="40" t="n">
        <f aca="false">1/(1+(wacc-0.01))^(2030-2026-0.5)</f>
        <v>0.708885163626357</v>
      </c>
      <c r="L8527" s="40" t="n">
        <f aca="false">1/(1+(wacc-0.01))^(2031-2026-0.5)</f>
        <v>0.642515018144594</v>
      </c>
      <c r="M8527" s="40" t="n">
        <f aca="false">1/(1+(wacc-0.01))^(2032-2026-0.5)</f>
        <v>0.582358849816389</v>
      </c>
    </row>
    <row r="8528" customFormat="false" ht="15" hidden="false" customHeight="false" outlineLevel="0" collapsed="false">
      <c r="A8528" s="5" t="s">
        <v>923</v>
      </c>
      <c r="B8528" s="0" t="s">
        <v>86</v>
      </c>
      <c r="H8528" s="38" t="n">
        <f aca="false">Sens!$H$8526*Sens!$H$8527</f>
        <v>-59.650953237011</v>
      </c>
      <c r="I8528" s="38" t="n">
        <f aca="false">Sens!$I$8526*Sens!$I$8527</f>
        <v>-14.4145964249676</v>
      </c>
      <c r="J8528" s="38" t="n">
        <f aca="false">Sens!$J$8526*Sens!$J$8527</f>
        <v>23.4390714426295</v>
      </c>
      <c r="K8528" s="38" t="n">
        <f aca="false">Sens!$K$8526*Sens!$K$8527</f>
        <v>94.2186030237052</v>
      </c>
      <c r="L8528" s="38" t="n">
        <f aca="false">Sens!$L$8526*Sens!$L$8527</f>
        <v>123.211206247988</v>
      </c>
      <c r="M8528" s="38" t="n">
        <f aca="false">Sens!$M$8526*Sens!$M$8527</f>
        <v>125.863568271659</v>
      </c>
    </row>
    <row r="8529" customFormat="false" ht="15" hidden="false" customHeight="false" outlineLevel="0" collapsed="false">
      <c r="A8529" s="5" t="s">
        <v>924</v>
      </c>
      <c r="B8529" s="0" t="s">
        <v>86</v>
      </c>
      <c r="C8529" s="38" t="n">
        <f aca="false">SUM(Sens!$H$8528:$M$8528)</f>
        <v>292.666899324003</v>
      </c>
    </row>
    <row r="8530" customFormat="false" ht="17.15" hidden="false" customHeight="false" outlineLevel="0" collapsed="false">
      <c r="A8530" s="5" t="s">
        <v>925</v>
      </c>
      <c r="B8530" s="0" t="s">
        <v>86</v>
      </c>
      <c r="C8530" s="38" t="n">
        <f aca="false">Sens!$M$8521*(1+tg_lo)*(1-tg_lo/ronic)/((wacc-0.01)-tg_lo)</f>
        <v>2120.86539297243</v>
      </c>
    </row>
    <row r="8531" customFormat="false" ht="15" hidden="false" customHeight="false" outlineLevel="0" collapsed="false">
      <c r="A8531" s="5" t="s">
        <v>926</v>
      </c>
      <c r="B8531" s="0" t="s">
        <v>86</v>
      </c>
      <c r="C8531" s="38" t="n">
        <f aca="false">Sens!$C$8530/(1+(wacc-0.01))^6</f>
        <v>1175.86505338337</v>
      </c>
    </row>
    <row r="8532" customFormat="false" ht="17.15" hidden="false" customHeight="false" outlineLevel="0" collapsed="false">
      <c r="A8532" s="5" t="s">
        <v>927</v>
      </c>
      <c r="B8532" s="0" t="s">
        <v>86</v>
      </c>
      <c r="C8532" s="38" t="n">
        <f aca="false">Sens!$C$8529+Sens!$C$8531</f>
        <v>1468.53195270738</v>
      </c>
    </row>
    <row r="8533" customFormat="false" ht="17.15" hidden="false" customHeight="false" outlineLevel="0" collapsed="false">
      <c r="A8533" s="5" t="s">
        <v>928</v>
      </c>
      <c r="B8533" s="0" t="s">
        <v>52</v>
      </c>
      <c r="C8533" s="13" t="n">
        <f aca="false">Sens!$C$8531/Sens!$C$8532</f>
        <v>0.80070784378614</v>
      </c>
    </row>
    <row r="8534" customFormat="false" ht="17.15" hidden="false" customHeight="false" outlineLevel="0" collapsed="false">
      <c r="A8534" s="5" t="s">
        <v>929</v>
      </c>
      <c r="B8534" s="0" t="s">
        <v>86</v>
      </c>
      <c r="C8534" s="38" t="n">
        <f aca="false">Sens!$G$8510+fin_debt</f>
        <v>97.2636983848813</v>
      </c>
    </row>
    <row r="8535" customFormat="false" ht="17.15" hidden="false" customHeight="false" outlineLevel="0" collapsed="false">
      <c r="A8535" s="5" t="s">
        <v>930</v>
      </c>
      <c r="B8535" s="0" t="s">
        <v>86</v>
      </c>
      <c r="C8535" s="38" t="n">
        <f aca="false">(ant_val*ant_sh+oai_val*oai_sh)*(1-liq_disc)</f>
        <v>178.944</v>
      </c>
    </row>
    <row r="8536" customFormat="false" ht="15" hidden="false" customHeight="false" outlineLevel="0" collapsed="false">
      <c r="A8536" s="5" t="s">
        <v>931</v>
      </c>
      <c r="B8536" s="0" t="s">
        <v>86</v>
      </c>
      <c r="C8536" s="38" t="n">
        <f aca="false">Sens!$C$8532-Sens!$C$8534+Sens!$C$8535</f>
        <v>1550.21225432249</v>
      </c>
    </row>
    <row r="8537" customFormat="false" ht="17.15" hidden="false" customHeight="false" outlineLevel="0" collapsed="false">
      <c r="A8537" s="5" t="s">
        <v>932</v>
      </c>
      <c r="B8537" s="0" t="s">
        <v>27</v>
      </c>
      <c r="C8537" s="30" t="n">
        <f aca="false">Sens!$C$8536/sh_out</f>
        <v>143.720297250988</v>
      </c>
    </row>
    <row r="8538" customFormat="false" ht="17.15" hidden="false" customHeight="false" outlineLevel="0" collapsed="false">
      <c r="A8538" s="1" t="s">
        <v>933</v>
      </c>
      <c r="B8538" s="8" t="s">
        <v>27</v>
      </c>
      <c r="C8538" s="30" t="n">
        <f aca="false">Sens!$C$8537*(1+ke)^tp_yf-dps*tp_yf</f>
        <v>157.426736214807</v>
      </c>
    </row>
    <row r="8539" customFormat="false" ht="17.15" hidden="false" customHeight="false" outlineLevel="0" collapsed="false">
      <c r="A8539" s="3" t="s">
        <v>934</v>
      </c>
    </row>
    <row r="8540" customFormat="false" ht="17.15" hidden="false" customHeight="false" outlineLevel="0" collapsed="false">
      <c r="A8540" s="5" t="s">
        <v>935</v>
      </c>
      <c r="B8540" s="0" t="s">
        <v>86</v>
      </c>
      <c r="C8540" s="38" t="n">
        <f aca="false">(1-tp_yf)*(Sens!$H$8467+sbc_ab*Sens!$H$8491*Sens!$H$8331/Sens!$H$8408)+tp_yf*(Sens!$I$8467+sbc_ab*Sens!$I$8491*Sens!$I$8331/Sens!$I$8408)</f>
        <v>59.634664536349</v>
      </c>
    </row>
    <row r="8541" customFormat="false" ht="15" hidden="false" customHeight="false" outlineLevel="0" collapsed="false">
      <c r="A8541" s="5" t="s">
        <v>936</v>
      </c>
      <c r="B8541" s="0" t="s">
        <v>57</v>
      </c>
      <c r="C8541" s="30" t="n">
        <f aca="false">m_ads*m_x</f>
        <v>9.11</v>
      </c>
    </row>
    <row r="8542" customFormat="false" ht="17.15" hidden="false" customHeight="false" outlineLevel="0" collapsed="false">
      <c r="A8542" s="5" t="s">
        <v>937</v>
      </c>
      <c r="B8542" s="0" t="s">
        <v>86</v>
      </c>
      <c r="C8542" s="38" t="n">
        <f aca="false">Sens!$C$8540*Sens!$C$8541</f>
        <v>543.271793926139</v>
      </c>
    </row>
    <row r="8543" customFormat="false" ht="17.15" hidden="false" customHeight="false" outlineLevel="0" collapsed="false">
      <c r="A8543" s="5" t="s">
        <v>938</v>
      </c>
      <c r="B8543" s="0" t="s">
        <v>86</v>
      </c>
      <c r="C8543" s="38" t="n">
        <f aca="false">(1-tp_yf)*(Sens!$H$8468+sbc_ab*Sens!$H$8491*(Sens!$H$8338-Sens!$H$8331)/Sens!$H$8408+IF(internal_ai_reading=2,1,0)*(1-ext_sh)*Sens!$H$8368)+tp_yf*(Sens!$I$8468+sbc_ab*Sens!$I$8491*(Sens!$I$8338-Sens!$I$8331)/Sens!$I$8408+IF(internal_ai_reading=2,1,0)*(1-ext_sh)*Sens!$I$8368)</f>
        <v>51.2224827206816</v>
      </c>
    </row>
    <row r="8544" customFormat="false" ht="17.15" hidden="false" customHeight="false" outlineLevel="0" collapsed="false">
      <c r="A8544" s="5" t="s">
        <v>939</v>
      </c>
      <c r="B8544" s="0" t="s">
        <v>57</v>
      </c>
      <c r="C8544" s="30" t="n">
        <f aca="false">m_retail*m_x</f>
        <v>17.72</v>
      </c>
    </row>
    <row r="8545" customFormat="false" ht="17.15" hidden="false" customHeight="false" outlineLevel="0" collapsed="false">
      <c r="A8545" s="5" t="s">
        <v>940</v>
      </c>
      <c r="B8545" s="0" t="s">
        <v>86</v>
      </c>
      <c r="C8545" s="38" t="n">
        <f aca="false">Sens!$C$8543*Sens!$C$8544</f>
        <v>907.662393810478</v>
      </c>
    </row>
    <row r="8546" customFormat="false" ht="17.15" hidden="false" customHeight="false" outlineLevel="0" collapsed="false">
      <c r="A8546" s="0" t="s">
        <v>941</v>
      </c>
      <c r="B8546" s="0" t="s">
        <v>86</v>
      </c>
      <c r="C8546" s="38" t="n">
        <f aca="false">(1-tp_yf)*(Sens!$H$8469+sbc_ab*Sens!$H$8491*Sens!$H$8406/Sens!$H$8408)+tp_yf*(Sens!$I$8469+sbc_ab*Sens!$I$8491*Sens!$I$8406/Sens!$I$8408)</f>
        <v>96.2439586897193</v>
      </c>
    </row>
    <row r="8547" customFormat="false" ht="17.15" hidden="false" customHeight="false" outlineLevel="0" collapsed="false">
      <c r="A8547" s="0" t="s">
        <v>942</v>
      </c>
      <c r="B8547" s="0" t="s">
        <v>57</v>
      </c>
      <c r="C8547" s="30" t="n">
        <f aca="false">m_cloud*m_x</f>
        <v>13.82</v>
      </c>
    </row>
    <row r="8548" customFormat="false" ht="17.15" hidden="false" customHeight="false" outlineLevel="0" collapsed="false">
      <c r="A8548" s="0" t="s">
        <v>943</v>
      </c>
      <c r="B8548" s="0" t="s">
        <v>86</v>
      </c>
      <c r="C8548" s="38" t="n">
        <f aca="false">Sens!$C$8546*Sens!$C$8547</f>
        <v>1330.09150909192</v>
      </c>
    </row>
    <row r="8549" customFormat="false" ht="17.15" hidden="false" customHeight="false" outlineLevel="0" collapsed="false">
      <c r="A8549" s="0" t="s">
        <v>944</v>
      </c>
      <c r="B8549" s="0" t="s">
        <v>86</v>
      </c>
      <c r="H8549" s="38" t="n">
        <f aca="false">Sens!$H$8387-tax*Sens!$H$8388-ext_sh*Sens!$H$8375</f>
        <v>-115.885394236225</v>
      </c>
      <c r="I8549" s="38" t="n">
        <f aca="false">Sens!$I$8387-tax*Sens!$I$8388-ext_sh*Sens!$I$8375</f>
        <v>-89.5935137276694</v>
      </c>
      <c r="J8549" s="38" t="n">
        <f aca="false">Sens!$J$8387-tax*Sens!$J$8388-ext_sh*Sens!$J$8375</f>
        <v>-62.3510647460279</v>
      </c>
      <c r="K8549" s="38" t="n">
        <f aca="false">Sens!$K$8387-tax*Sens!$K$8388-ext_sh*Sens!$K$8375</f>
        <v>10.8922692439123</v>
      </c>
      <c r="L8549" s="38" t="n">
        <f aca="false">Sens!$L$8387-tax*Sens!$L$8388-ext_sh*Sens!$L$8375</f>
        <v>49.33487020824</v>
      </c>
      <c r="M8549" s="38" t="n">
        <f aca="false">Sens!$M$8387-tax*Sens!$M$8388-ext_sh*Sens!$M$8375</f>
        <v>59.5610509758268</v>
      </c>
    </row>
    <row r="8550" customFormat="false" ht="17.15" hidden="false" customHeight="false" outlineLevel="0" collapsed="false">
      <c r="A8550" s="5" t="s">
        <v>945</v>
      </c>
      <c r="B8550" s="0" t="s">
        <v>86</v>
      </c>
      <c r="H8550" s="38" t="n">
        <f aca="false">Sens!$H$8549*Sens!$H$8527</f>
        <v>-110.327150301092</v>
      </c>
      <c r="I8550" s="38" t="n">
        <f aca="false">Sens!$I$8549*Sens!$I$8527</f>
        <v>-77.3103543343366</v>
      </c>
      <c r="J8550" s="38" t="n">
        <f aca="false">Sens!$J$8549*Sens!$J$8527</f>
        <v>-48.7654644540874</v>
      </c>
      <c r="K8550" s="38" t="n">
        <f aca="false">Sens!$K$8549*Sens!$K$8527</f>
        <v>7.7213680652331</v>
      </c>
      <c r="L8550" s="38" t="n">
        <f aca="false">Sens!$L$8549*Sens!$L$8527</f>
        <v>31.6983950270085</v>
      </c>
      <c r="M8550" s="38" t="n">
        <f aca="false">Sens!$M$8549*Sens!$M$8527</f>
        <v>34.6859051401378</v>
      </c>
    </row>
    <row r="8551" customFormat="false" ht="17.15" hidden="false" customHeight="false" outlineLevel="0" collapsed="false">
      <c r="A8551" s="5" t="s">
        <v>946</v>
      </c>
      <c r="B8551" s="0" t="s">
        <v>86</v>
      </c>
      <c r="C8551" s="38" t="n">
        <f aca="false">Sens!$M$8388*(1-tax)*(1+tg_lo)*(1-tg_lo/ronic)/((wacc-0.01)-tg_lo)</f>
        <v>425.037611337956</v>
      </c>
    </row>
    <row r="8552" customFormat="false" ht="17.15" hidden="false" customHeight="false" outlineLevel="0" collapsed="false">
      <c r="A8552" s="0" t="s">
        <v>947</v>
      </c>
      <c r="B8552" s="0" t="s">
        <v>86</v>
      </c>
      <c r="C8552" s="38" t="n">
        <f aca="false">(SUM(Sens!$I$8550:$M$8550)+Sens!$C$8551/(1+(wacc-0.01))^6)*(1+(wacc-0.01))^tp_yf</f>
        <v>199.139236340336</v>
      </c>
    </row>
    <row r="8553" customFormat="false" ht="17.15" hidden="false" customHeight="false" outlineLevel="0" collapsed="false">
      <c r="A8553" s="5" t="s">
        <v>948</v>
      </c>
      <c r="B8553" s="0" t="s">
        <v>86</v>
      </c>
      <c r="C8553" s="38" t="n">
        <f aca="false">(1-tp_yf)*(Sens!$H$8470)+tp_yf*(Sens!$I$8470)</f>
        <v>74.6707041238437</v>
      </c>
    </row>
    <row r="8554" customFormat="false" ht="17.15" hidden="false" customHeight="false" outlineLevel="0" collapsed="false">
      <c r="A8554" s="5" t="s">
        <v>949</v>
      </c>
      <c r="B8554" s="0" t="s">
        <v>86</v>
      </c>
      <c r="C8554" s="38" t="n">
        <f aca="false">Sens!$C$8553*m_ai</f>
        <v>448.024224743062</v>
      </c>
    </row>
    <row r="8555" customFormat="false" ht="17.15" hidden="false" customHeight="false" outlineLevel="0" collapsed="false">
      <c r="A8555" s="0" t="s">
        <v>950</v>
      </c>
      <c r="B8555" s="0" t="s">
        <v>86</v>
      </c>
      <c r="C8555" s="38" t="n">
        <f aca="false">IF(ai_leg=1,Sens!$C$8552,Sens!$C$8554)</f>
        <v>199.139236340336</v>
      </c>
    </row>
    <row r="8556" customFormat="false" ht="17.15" hidden="false" customHeight="false" outlineLevel="0" collapsed="false">
      <c r="A8556" s="5" t="s">
        <v>951</v>
      </c>
      <c r="B8556" s="0" t="s">
        <v>86</v>
      </c>
      <c r="C8556" s="38" t="n">
        <f aca="false">Sens!$C$8542+Sens!$C$8545+Sens!$C$8548+Sens!$C$8555</f>
        <v>2980.16493316887</v>
      </c>
    </row>
    <row r="8557" customFormat="false" ht="17.15" hidden="false" customHeight="false" outlineLevel="0" collapsed="false">
      <c r="A8557" s="5" t="s">
        <v>952</v>
      </c>
      <c r="B8557" s="0" t="s">
        <v>86</v>
      </c>
      <c r="C8557" s="38" t="n">
        <f aca="false">Sens!$H$8510+fin_debt</f>
        <v>153.608629741943</v>
      </c>
    </row>
    <row r="8558" customFormat="false" ht="15" hidden="false" customHeight="false" outlineLevel="0" collapsed="false">
      <c r="A8558" s="5" t="s">
        <v>953</v>
      </c>
      <c r="B8558" s="0" t="s">
        <v>86</v>
      </c>
      <c r="C8558" s="38" t="n">
        <f aca="false">Sens!$C$8556-Sens!$C$8557+Sens!$C$8535</f>
        <v>3005.50030342693</v>
      </c>
    </row>
    <row r="8559" customFormat="false" ht="15" hidden="false" customHeight="false" outlineLevel="0" collapsed="false">
      <c r="A8559" s="3" t="s">
        <v>954</v>
      </c>
      <c r="B8559" s="8" t="s">
        <v>27</v>
      </c>
      <c r="C8559" s="30" t="n">
        <f aca="false">Sens!$C$8558/sh_val</f>
        <v>272.476404880852</v>
      </c>
    </row>
    <row r="8560" customFormat="false" ht="17.15" hidden="false" customHeight="false" outlineLevel="0" collapsed="false">
      <c r="A8560" s="47" t="s">
        <v>955</v>
      </c>
      <c r="B8560" s="14" t="s">
        <v>27</v>
      </c>
      <c r="C8560" s="44" t="n">
        <f aca="false">w_dcf*Sens!$C$8538+(1-w_dcf)*Sens!$C$8559</f>
        <v>214.951570547829</v>
      </c>
      <c r="D8560" s="14"/>
      <c r="E8560" s="14"/>
      <c r="F8560" s="14"/>
      <c r="G8560" s="14"/>
      <c r="H8560" s="14"/>
      <c r="I8560" s="14"/>
      <c r="J8560" s="14"/>
      <c r="K8560" s="14"/>
      <c r="L8560" s="14"/>
      <c r="M8560" s="14"/>
      <c r="N8560" s="14"/>
      <c r="O8560" s="14"/>
    </row>
    <row r="8561" customFormat="false" ht="17.15" hidden="false" customHeight="false" outlineLevel="0" collapsed="false">
      <c r="A8561" s="5" t="s">
        <v>956</v>
      </c>
      <c r="B8561" s="0" t="s">
        <v>27</v>
      </c>
      <c r="C8561" s="30" t="n">
        <f aca="false">v022_wdcf*Sens!$C$8538+(1-v022_wdcf)*Sens!$C$8559</f>
        <v>220.704053981132</v>
      </c>
    </row>
    <row r="8562" customFormat="false" ht="17.15" hidden="false" customHeight="false" outlineLevel="0" collapsed="false">
      <c r="A8562" s="5" t="s">
        <v>957</v>
      </c>
      <c r="B8562" s="0" t="s">
        <v>27</v>
      </c>
      <c r="C8562" s="30" t="n">
        <f aca="false">(Sens!$C$8558-Sens!$C$8555+Sens!$C$8554)/sh_val</f>
        <v>295.040131389701</v>
      </c>
    </row>
    <row r="8565" customFormat="false" ht="19.4" hidden="false" customHeight="false" outlineLevel="0" collapsed="false">
      <c r="A8565" s="31" t="s">
        <v>1310</v>
      </c>
    </row>
    <row r="8566" customFormat="false" ht="17.15" hidden="false" customHeight="false" outlineLevel="0" collapsed="false">
      <c r="A8566" s="6" t="s">
        <v>16</v>
      </c>
      <c r="B8566" s="6" t="s">
        <v>17</v>
      </c>
      <c r="C8566" s="20" t="s">
        <v>497</v>
      </c>
      <c r="D8566" s="20" t="s">
        <v>498</v>
      </c>
      <c r="E8566" s="20" t="s">
        <v>580</v>
      </c>
      <c r="F8566" s="20" t="s">
        <v>581</v>
      </c>
      <c r="G8566" s="20" t="s">
        <v>582</v>
      </c>
      <c r="H8566" s="20" t="s">
        <v>583</v>
      </c>
      <c r="I8566" s="20" t="s">
        <v>584</v>
      </c>
      <c r="J8566" s="20" t="s">
        <v>585</v>
      </c>
      <c r="K8566" s="20" t="s">
        <v>586</v>
      </c>
      <c r="L8566" s="20" t="s">
        <v>587</v>
      </c>
      <c r="M8566" s="20" t="s">
        <v>588</v>
      </c>
      <c r="N8566" s="20" t="s">
        <v>589</v>
      </c>
      <c r="O8566" s="20" t="s">
        <v>590</v>
      </c>
      <c r="P8566" s="6" t="s">
        <v>23</v>
      </c>
      <c r="R8566" s="20" t="n">
        <v>2023</v>
      </c>
      <c r="S8566" s="20" t="n">
        <v>2024</v>
      </c>
      <c r="T8566" s="20" t="n">
        <v>2025</v>
      </c>
      <c r="U8566" s="20" t="n">
        <v>2026</v>
      </c>
      <c r="V8566" s="20" t="n">
        <v>2027</v>
      </c>
      <c r="W8566" s="20" t="n">
        <v>2028</v>
      </c>
      <c r="X8566" s="20" t="n">
        <v>2029</v>
      </c>
      <c r="Y8566" s="20" t="n">
        <v>2030</v>
      </c>
      <c r="Z8566" s="20" t="n">
        <v>2031</v>
      </c>
      <c r="AA8566" s="20" t="n">
        <v>2032</v>
      </c>
    </row>
    <row r="8567" customFormat="false" ht="17.15" hidden="false" customHeight="false" outlineLevel="0" collapsed="false">
      <c r="A8567" s="1" t="s">
        <v>666</v>
      </c>
    </row>
    <row r="8568" customFormat="false" ht="17.15" hidden="false" customHeight="false" outlineLevel="0" collapsed="false">
      <c r="A8568" s="0" t="s">
        <v>519</v>
      </c>
      <c r="B8568" s="0" t="s">
        <v>86</v>
      </c>
      <c r="C8568" s="38" t="n">
        <f aca="false">Q!$D$10</f>
        <v>247.029</v>
      </c>
      <c r="D8568" s="38" t="n">
        <f aca="false">Q!$E$10</f>
        <v>269.287</v>
      </c>
      <c r="E8568" s="38" t="n">
        <f aca="false">Q!$P$10</f>
        <v>134.686</v>
      </c>
      <c r="F8568" s="38" t="n">
        <f aca="false">Sens!$O$8568*(1+Sens!$F$8569)*Sens!$F$8580</f>
        <v>158.293876822267</v>
      </c>
      <c r="G8568" s="38" t="n">
        <f aca="false">Sens!$E$8568+Sens!$F$8568</f>
        <v>292.979876822267</v>
      </c>
      <c r="H8568" s="38" t="n">
        <f aca="false">Sens!$G$8568*(1+Sens!$H$8569)</f>
        <v>318.184543087396</v>
      </c>
      <c r="I8568" s="38" t="n">
        <f aca="false">Sens!$H$8568*(1+Sens!$I$8569)</f>
        <v>341.736278761793</v>
      </c>
      <c r="J8568" s="38" t="n">
        <f aca="false">Sens!$I$8568*(1+Sens!$J$8569)</f>
        <v>362.927192787048</v>
      </c>
      <c r="K8568" s="38" t="n">
        <f aca="false">Sens!$J$8568*(1+Sens!$K$8569)</f>
        <v>381.0735524264</v>
      </c>
      <c r="L8568" s="38" t="n">
        <f aca="false">Sens!$K$8568*(1+Sens!$L$8569)</f>
        <v>400.12723004772</v>
      </c>
      <c r="M8568" s="38" t="n">
        <f aca="false">Sens!$L$8568*(1+Sens!$M$8569)</f>
        <v>420.133591550106</v>
      </c>
      <c r="N8568" s="38" t="n">
        <f aca="false">Q!$N$10</f>
        <v>118.892</v>
      </c>
      <c r="O8568" s="38" t="n">
        <f aca="false">Q!$O$10</f>
        <v>150.395</v>
      </c>
      <c r="P8568" s="8" t="s">
        <v>667</v>
      </c>
    </row>
    <row r="8569" customFormat="false" ht="17.15" hidden="false" customHeight="false" outlineLevel="0" collapsed="false">
      <c r="A8569" s="0" t="s">
        <v>668</v>
      </c>
      <c r="B8569" s="0" t="s">
        <v>52</v>
      </c>
      <c r="E8569" s="13" t="n">
        <f aca="false">Sens!$E$8568/Sens!$N$8568-1</f>
        <v>0.132843252699929</v>
      </c>
      <c r="F8569" s="13" t="n">
        <f aca="false">Sens!$O$8568/(Q!$F$10+Q!$G$10)-1</f>
        <v>0.0980382135842941</v>
      </c>
      <c r="G8569" s="13" t="n">
        <f aca="false">Sens!$G$8568/Sens!$D$8568-1</f>
        <v>0.0879837378791657</v>
      </c>
      <c r="H8569" s="13" t="n">
        <f aca="false">Sens!$F$8569+(g_os-Sens!$F$8569)*1/4</f>
        <v>0.0860286601882206</v>
      </c>
      <c r="I8569" s="13" t="n">
        <f aca="false">Sens!$F$8569+(g_os-Sens!$F$8569)*2/4</f>
        <v>0.074019106792147</v>
      </c>
      <c r="J8569" s="13" t="n">
        <f aca="false">Sens!$F$8569+(g_os-Sens!$F$8569)*3/4</f>
        <v>0.0620095533960735</v>
      </c>
      <c r="K8569" s="13" t="n">
        <f aca="false">Sens!$F$8569+(g_os-Sens!$F$8569)*4/4</f>
        <v>0.05</v>
      </c>
      <c r="L8569" s="13" t="n">
        <f aca="false">g_os</f>
        <v>0.05</v>
      </c>
      <c r="M8569" s="13" t="n">
        <f aca="false">g_os</f>
        <v>0.05</v>
      </c>
      <c r="P8569" s="8" t="s">
        <v>669</v>
      </c>
    </row>
    <row r="8570" customFormat="false" ht="17.15" hidden="false" customHeight="false" outlineLevel="0" collapsed="false">
      <c r="A8570" s="0" t="s">
        <v>520</v>
      </c>
      <c r="B8570" s="0" t="s">
        <v>86</v>
      </c>
      <c r="C8570" s="38" t="n">
        <f aca="false">Q!$D$11</f>
        <v>21.215</v>
      </c>
      <c r="D8570" s="38" t="n">
        <f aca="false">Q!$E$11</f>
        <v>22.561</v>
      </c>
      <c r="E8570" s="38" t="n">
        <f aca="false">Q!$P$11</f>
        <v>11.579</v>
      </c>
      <c r="F8570" s="38" t="n">
        <f aca="false">Sens!$O$8570*(1+Sens!$F$8571)*Sens!$F$8580</f>
        <v>11.5938724610325</v>
      </c>
      <c r="G8570" s="38" t="n">
        <f aca="false">Sens!$E$8570+Sens!$F$8570</f>
        <v>23.1728724610325</v>
      </c>
      <c r="H8570" s="38" t="n">
        <f aca="false">Sens!$G$8570*(1+Sens!$H$8571)</f>
        <v>24.353392759506</v>
      </c>
      <c r="I8570" s="38" t="n">
        <f aca="false">Sens!$H$8570*(1+Sens!$I$8571)</f>
        <v>25.4240338872015</v>
      </c>
      <c r="J8570" s="38" t="n">
        <f aca="false">Sens!$I$8570*(1+Sens!$J$8571)</f>
        <v>26.3642491017174</v>
      </c>
      <c r="K8570" s="38" t="n">
        <f aca="false">Sens!$J$8570*(1+Sens!$K$8571)</f>
        <v>27.155176574769</v>
      </c>
      <c r="L8570" s="38" t="n">
        <f aca="false">Sens!$K$8570*(1+Sens!$L$8571)</f>
        <v>27.969831872012</v>
      </c>
      <c r="M8570" s="38" t="n">
        <f aca="false">Sens!$L$8570*(1+Sens!$M$8571)</f>
        <v>28.8089268281724</v>
      </c>
      <c r="N8570" s="38" t="n">
        <f aca="false">Q!$N$11</f>
        <v>11.128</v>
      </c>
      <c r="O8570" s="38" t="n">
        <f aca="false">Q!$O$11</f>
        <v>11.433</v>
      </c>
      <c r="P8570" s="8" t="s">
        <v>667</v>
      </c>
    </row>
    <row r="8571" customFormat="false" ht="17.15" hidden="false" customHeight="false" outlineLevel="0" collapsed="false">
      <c r="A8571" s="0" t="s">
        <v>670</v>
      </c>
      <c r="B8571" s="0" t="s">
        <v>52</v>
      </c>
      <c r="E8571" s="13" t="n">
        <f aca="false">Sens!$E$8570/Sens!$N$8570-1</f>
        <v>0.0405283968368082</v>
      </c>
      <c r="F8571" s="13" t="n">
        <f aca="false">Sens!$O$8570/(Q!$F$11+Q!$G$11)-1</f>
        <v>0.0579254187100955</v>
      </c>
      <c r="G8571" s="13" t="n">
        <f aca="false">Sens!$G$8570/Sens!$D$8570-1</f>
        <v>0.0271208040881397</v>
      </c>
      <c r="H8571" s="13" t="n">
        <f aca="false">Sens!$F$8571+(g_ps-Sens!$F$8571)*1/4</f>
        <v>0.0509440640325716</v>
      </c>
      <c r="I8571" s="13" t="n">
        <f aca="false">Sens!$F$8571+(g_ps-Sens!$F$8571)*2/4</f>
        <v>0.0439627093550477</v>
      </c>
      <c r="J8571" s="13" t="n">
        <f aca="false">Sens!$F$8571+(g_ps-Sens!$F$8571)*3/4</f>
        <v>0.0369813546775239</v>
      </c>
      <c r="K8571" s="13" t="n">
        <f aca="false">Sens!$F$8571+(g_ps-Sens!$F$8571)*4/4</f>
        <v>0.03</v>
      </c>
      <c r="L8571" s="13" t="n">
        <f aca="false">g_ps</f>
        <v>0.03</v>
      </c>
      <c r="M8571" s="13" t="n">
        <f aca="false">g_ps</f>
        <v>0.03</v>
      </c>
      <c r="P8571" s="8" t="s">
        <v>671</v>
      </c>
    </row>
    <row r="8572" customFormat="false" ht="17.15" hidden="false" customHeight="false" outlineLevel="0" collapsed="false">
      <c r="A8572" s="0" t="s">
        <v>521</v>
      </c>
      <c r="B8572" s="0" t="s">
        <v>86</v>
      </c>
      <c r="C8572" s="38" t="n">
        <f aca="false">Q!$D$12</f>
        <v>156.146</v>
      </c>
      <c r="D8572" s="38" t="n">
        <f aca="false">Q!$E$12</f>
        <v>172.162</v>
      </c>
      <c r="E8572" s="38" t="n">
        <f aca="false">Q!$P$12</f>
        <v>88.358</v>
      </c>
      <c r="F8572" s="38" t="n">
        <f aca="false">Sens!$O$8572*(1+Sens!$F$8573)*Sens!$F$8580</f>
        <v>102.004388260171</v>
      </c>
      <c r="G8572" s="38" t="n">
        <f aca="false">Sens!$E$8572+Sens!$F$8572</f>
        <v>190.362388260171</v>
      </c>
      <c r="H8572" s="38" t="n">
        <f aca="false">Sens!$G$8572*(1+Sens!$H$8573)</f>
        <v>210.343106588311</v>
      </c>
      <c r="I8572" s="38" t="n">
        <f aca="false">Sens!$H$8572*(1+Sens!$I$8573)</f>
        <v>229.969728494648</v>
      </c>
      <c r="J8572" s="38" t="n">
        <f aca="false">Sens!$I$8572*(1+Sens!$J$8573)</f>
        <v>248.747636972598</v>
      </c>
      <c r="K8572" s="38" t="n">
        <f aca="false">Sens!$J$8572*(1+Sens!$K$8573)</f>
        <v>266.15997156068</v>
      </c>
      <c r="L8572" s="38" t="n">
        <f aca="false">Sens!$K$8572*(1+Sens!$L$8573)</f>
        <v>284.791169569927</v>
      </c>
      <c r="M8572" s="38" t="n">
        <f aca="false">Sens!$L$8572*(1+Sens!$M$8573)</f>
        <v>304.726551439822</v>
      </c>
      <c r="N8572" s="38" t="n">
        <f aca="false">Q!$N$12</f>
        <v>76.86</v>
      </c>
      <c r="O8572" s="38" t="n">
        <f aca="false">Q!$O$12</f>
        <v>95.302</v>
      </c>
      <c r="P8572" s="8" t="s">
        <v>667</v>
      </c>
    </row>
    <row r="8573" customFormat="false" ht="17.15" hidden="false" customHeight="false" outlineLevel="0" collapsed="false">
      <c r="A8573" s="0" t="s">
        <v>672</v>
      </c>
      <c r="B8573" s="0" t="s">
        <v>52</v>
      </c>
      <c r="E8573" s="13" t="n">
        <f aca="false">Sens!$E$8572/Sens!$N$8572-1</f>
        <v>0.1495966692688</v>
      </c>
      <c r="F8573" s="13" t="n">
        <f aca="false">Sens!$O$8572/(Q!$F$12+Q!$G$12)-1</f>
        <v>0.11661530890813</v>
      </c>
      <c r="G8573" s="13" t="n">
        <f aca="false">Sens!$G$8572/Sens!$D$8572-1</f>
        <v>0.105716640490767</v>
      </c>
      <c r="H8573" s="13" t="n">
        <f aca="false">Sens!$F$8573+(g_sp-Sens!$F$8573)*1/4</f>
        <v>0.104961481681098</v>
      </c>
      <c r="I8573" s="13" t="n">
        <f aca="false">Sens!$F$8573+(g_sp-Sens!$F$8573)*2/4</f>
        <v>0.0933076544540651</v>
      </c>
      <c r="J8573" s="13" t="n">
        <f aca="false">Sens!$F$8573+(g_sp-Sens!$F$8573)*3/4</f>
        <v>0.0816538272270325</v>
      </c>
      <c r="K8573" s="13" t="n">
        <f aca="false">Sens!$F$8573+(g_sp-Sens!$F$8573)*4/4</f>
        <v>0.07</v>
      </c>
      <c r="L8573" s="13" t="n">
        <f aca="false">g_sp</f>
        <v>0.07</v>
      </c>
      <c r="M8573" s="13" t="n">
        <f aca="false">g_sp</f>
        <v>0.07</v>
      </c>
      <c r="P8573" s="8" t="s">
        <v>673</v>
      </c>
    </row>
    <row r="8574" customFormat="false" ht="17.15" hidden="false" customHeight="false" outlineLevel="0" collapsed="false">
      <c r="A8574" s="0" t="s">
        <v>522</v>
      </c>
      <c r="B8574" s="0" t="s">
        <v>86</v>
      </c>
      <c r="C8574" s="38" t="n">
        <f aca="false">Q!$D$13</f>
        <v>56.214</v>
      </c>
      <c r="D8574" s="38" t="n">
        <f aca="false">Q!$E$13</f>
        <v>68.635</v>
      </c>
      <c r="E8574" s="38" t="n">
        <f aca="false">Q!$P$13</f>
        <v>37.052</v>
      </c>
      <c r="F8574" s="38" t="n">
        <f aca="false">Sens!$O$8574*(1+Sens!$F$8575)*Sens!$F$8580</f>
        <v>46.1572219944148</v>
      </c>
      <c r="G8574" s="38" t="n">
        <f aca="false">Sens!$E$8574+Sens!$F$8574</f>
        <v>83.2092219944148</v>
      </c>
      <c r="H8574" s="38" t="n">
        <f aca="false">Sens!$G$8574*(1+Sens!$H$8575)</f>
        <v>99.8969223878976</v>
      </c>
      <c r="I8574" s="38" t="n">
        <f aca="false">Sens!$H$8574*(1+Sens!$I$8575)</f>
        <v>116.583111095496</v>
      </c>
      <c r="J8574" s="38" t="n">
        <f aca="false">Sens!$I$8574*(1+Sens!$J$8575)</f>
        <v>132.148941941952</v>
      </c>
      <c r="K8574" s="38" t="n">
        <f aca="false">Sens!$J$8574*(1+Sens!$K$8575)</f>
        <v>145.363836136147</v>
      </c>
      <c r="L8574" s="38" t="n">
        <f aca="false">Sens!$K$8574*(1+Sens!$L$8575)</f>
        <v>159.900219749762</v>
      </c>
      <c r="M8574" s="38" t="n">
        <f aca="false">Sens!$L$8574*(1+Sens!$M$8575)</f>
        <v>175.890241724738</v>
      </c>
      <c r="N8574" s="38" t="n">
        <f aca="false">Q!$N$13</f>
        <v>29.615</v>
      </c>
      <c r="O8574" s="38" t="n">
        <f aca="false">Q!$O$13</f>
        <v>39.02</v>
      </c>
      <c r="P8574" s="8" t="s">
        <v>667</v>
      </c>
    </row>
    <row r="8575" customFormat="false" ht="17.15" hidden="false" customHeight="false" outlineLevel="0" collapsed="false">
      <c r="A8575" s="0" t="s">
        <v>674</v>
      </c>
      <c r="B8575" s="0" t="s">
        <v>52</v>
      </c>
      <c r="E8575" s="13" t="n">
        <f aca="false">Sens!$E$8574/Sens!$N$8574-1</f>
        <v>0.25112274185379</v>
      </c>
      <c r="F8575" s="13" t="n">
        <f aca="false">Sens!$O$8574/(Q!$F$13+Q!$G$13)-1</f>
        <v>0.234068123596572</v>
      </c>
      <c r="G8575" s="13" t="n">
        <f aca="false">Sens!$G$8574/Sens!$D$8574-1</f>
        <v>0.212343876949294</v>
      </c>
      <c r="H8575" s="13" t="n">
        <f aca="false">Sens!$F$8575+(g_ad-Sens!$F$8575)*1/4</f>
        <v>0.200551092697429</v>
      </c>
      <c r="I8575" s="13" t="n">
        <f aca="false">Sens!$F$8575+(g_ad-Sens!$F$8575)*2/4</f>
        <v>0.167034061798286</v>
      </c>
      <c r="J8575" s="13" t="n">
        <f aca="false">Sens!$F$8575+(g_ad-Sens!$F$8575)*3/4</f>
        <v>0.133517030899143</v>
      </c>
      <c r="K8575" s="13" t="n">
        <f aca="false">Sens!$F$8575+(g_ad-Sens!$F$8575)*4/4</f>
        <v>0.1</v>
      </c>
      <c r="L8575" s="13" t="n">
        <f aca="false">g_ad</f>
        <v>0.1</v>
      </c>
      <c r="M8575" s="13" t="n">
        <f aca="false">g_ad</f>
        <v>0.1</v>
      </c>
      <c r="P8575" s="8" t="s">
        <v>675</v>
      </c>
    </row>
    <row r="8576" customFormat="false" ht="17.15" hidden="false" customHeight="false" outlineLevel="0" collapsed="false">
      <c r="A8576" s="0" t="s">
        <v>523</v>
      </c>
      <c r="B8576" s="0" t="s">
        <v>86</v>
      </c>
      <c r="C8576" s="38" t="n">
        <f aca="false">Q!$D$14</f>
        <v>44.374</v>
      </c>
      <c r="D8576" s="38" t="n">
        <f aca="false">Q!$E$14</f>
        <v>49.619</v>
      </c>
      <c r="E8576" s="38" t="n">
        <f aca="false">Q!$P$14</f>
        <v>27.157</v>
      </c>
      <c r="F8576" s="38" t="n">
        <f aca="false">Sens!$O$8576*(1+Sens!$F$8577)*Sens!$F$8580</f>
        <v>27.7764165988154</v>
      </c>
      <c r="G8576" s="38" t="n">
        <f aca="false">Sens!$E$8576+Sens!$F$8576</f>
        <v>54.9334165988154</v>
      </c>
      <c r="H8576" s="38" t="n">
        <f aca="false">Sens!$G$8576*(1+Sens!$H$8577)</f>
        <v>61.1564112561829</v>
      </c>
      <c r="I8576" s="38" t="n">
        <f aca="false">Sens!$H$8576*(1+Sens!$I$8577)</f>
        <v>67.2020282103945</v>
      </c>
      <c r="J8576" s="38" t="n">
        <f aca="false">Sens!$I$8576*(1+Sens!$J$8577)</f>
        <v>72.8757274028885</v>
      </c>
      <c r="K8576" s="38" t="n">
        <f aca="false">Sens!$J$8576*(1+Sens!$K$8577)</f>
        <v>77.9770283210907</v>
      </c>
      <c r="L8576" s="38" t="n">
        <f aca="false">Sens!$K$8576*(1+Sens!$L$8577)</f>
        <v>83.4354203035671</v>
      </c>
      <c r="M8576" s="38" t="n">
        <f aca="false">Sens!$L$8576*(1+Sens!$M$8577)</f>
        <v>89.2758997248168</v>
      </c>
      <c r="N8576" s="38" t="n">
        <f aca="false">Q!$N$14</f>
        <v>23.923</v>
      </c>
      <c r="O8576" s="38" t="n">
        <f aca="false">Q!$O$14</f>
        <v>25.696</v>
      </c>
      <c r="P8576" s="8" t="s">
        <v>667</v>
      </c>
    </row>
    <row r="8577" customFormat="false" ht="17.15" hidden="false" customHeight="false" outlineLevel="0" collapsed="false">
      <c r="A8577" s="0" t="s">
        <v>676</v>
      </c>
      <c r="B8577" s="0" t="s">
        <v>52</v>
      </c>
      <c r="E8577" s="13" t="n">
        <f aca="false">Sens!$E$8576/Sens!$N$8576-1</f>
        <v>0.135183714417088</v>
      </c>
      <c r="F8577" s="13" t="n">
        <f aca="false">Sens!$O$8576/(Q!$F$14+Q!$G$14)-1</f>
        <v>0.127709997366804</v>
      </c>
      <c r="G8577" s="13" t="n">
        <f aca="false">Sens!$G$8576/Sens!$D$8576-1</f>
        <v>0.107104468022641</v>
      </c>
      <c r="H8577" s="13" t="n">
        <f aca="false">Sens!$F$8577+(g_sub-Sens!$F$8577)*1/4</f>
        <v>0.113282498025103</v>
      </c>
      <c r="I8577" s="13" t="n">
        <f aca="false">Sens!$F$8577+(g_sub-Sens!$F$8577)*2/4</f>
        <v>0.0988549986834021</v>
      </c>
      <c r="J8577" s="13" t="n">
        <f aca="false">Sens!$F$8577+(g_sub-Sens!$F$8577)*3/4</f>
        <v>0.084427499341701</v>
      </c>
      <c r="K8577" s="13" t="n">
        <f aca="false">Sens!$F$8577+(g_sub-Sens!$F$8577)*4/4</f>
        <v>0.07</v>
      </c>
      <c r="L8577" s="13" t="n">
        <f aca="false">g_sub</f>
        <v>0.07</v>
      </c>
      <c r="M8577" s="13" t="n">
        <f aca="false">g_sub</f>
        <v>0.07</v>
      </c>
      <c r="P8577" s="8" t="s">
        <v>677</v>
      </c>
    </row>
    <row r="8578" customFormat="false" ht="17.15" hidden="false" customHeight="false" outlineLevel="0" collapsed="false">
      <c r="A8578" s="0" t="s">
        <v>524</v>
      </c>
      <c r="B8578" s="0" t="s">
        <v>86</v>
      </c>
      <c r="C8578" s="38" t="n">
        <f aca="false">Q!$D$15</f>
        <v>5.425</v>
      </c>
      <c r="D8578" s="38" t="n">
        <f aca="false">Q!$E$15</f>
        <v>5.935</v>
      </c>
      <c r="E8578" s="38" t="n">
        <f aca="false">Q!$P$15</f>
        <v>3.474</v>
      </c>
      <c r="F8578" s="38" t="n">
        <f aca="false">Sens!$O$8578*(1+Sens!$F$8579)*Sens!$F$8580</f>
        <v>3.22246550883619</v>
      </c>
      <c r="G8578" s="38" t="n">
        <f aca="false">Sens!$E$8578+Sens!$F$8578</f>
        <v>6.69646550883619</v>
      </c>
      <c r="H8578" s="38" t="n">
        <f aca="false">Sens!$G$8578*(1+Sens!$H$8579)</f>
        <v>7.16251344209196</v>
      </c>
      <c r="I8578" s="38" t="n">
        <f aca="false">Sens!$H$8578*(1+Sens!$I$8579)</f>
        <v>7.61421070299826</v>
      </c>
      <c r="J8578" s="38" t="n">
        <f aca="false">Sens!$I$8578*(1+Sens!$J$8579)</f>
        <v>8.04465753523932</v>
      </c>
      <c r="K8578" s="38" t="n">
        <f aca="false">Sens!$J$8578*(1+Sens!$K$8579)</f>
        <v>8.44689041200128</v>
      </c>
      <c r="L8578" s="38" t="n">
        <f aca="false">Sens!$K$8578*(1+Sens!$L$8579)</f>
        <v>8.86923493260135</v>
      </c>
      <c r="M8578" s="38" t="n">
        <f aca="false">Sens!$L$8578*(1+Sens!$M$8579)</f>
        <v>9.31269667923142</v>
      </c>
      <c r="N8578" s="38" t="n">
        <f aca="false">Q!$N$15</f>
        <v>2.811</v>
      </c>
      <c r="O8578" s="38" t="n">
        <f aca="false">Q!$O$15</f>
        <v>3.124</v>
      </c>
      <c r="P8578" s="8" t="s">
        <v>667</v>
      </c>
    </row>
    <row r="8579" customFormat="false" ht="17.15" hidden="false" customHeight="false" outlineLevel="0" collapsed="false">
      <c r="A8579" s="0" t="s">
        <v>678</v>
      </c>
      <c r="B8579" s="0" t="s">
        <v>52</v>
      </c>
      <c r="E8579" s="13" t="n">
        <f aca="false">Sens!$E$8578/Sens!$N$8578-1</f>
        <v>0.235859124866596</v>
      </c>
      <c r="F8579" s="13" t="n">
        <f aca="false">Sens!$O$8578/(Q!$F$15+Q!$G$15)-1</f>
        <v>0.0761281433000345</v>
      </c>
      <c r="G8579" s="13" t="n">
        <f aca="false">Sens!$G$8578/Sens!$D$8578-1</f>
        <v>0.128300843948811</v>
      </c>
      <c r="H8579" s="13" t="n">
        <f aca="false">Sens!$F$8579+(g_ot-Sens!$F$8579)*1/4</f>
        <v>0.0695961074750259</v>
      </c>
      <c r="I8579" s="13" t="n">
        <f aca="false">Sens!$F$8579+(g_ot-Sens!$F$8579)*2/4</f>
        <v>0.0630640716500172</v>
      </c>
      <c r="J8579" s="13" t="n">
        <f aca="false">Sens!$F$8579+(g_ot-Sens!$F$8579)*3/4</f>
        <v>0.0565320358250086</v>
      </c>
      <c r="K8579" s="13" t="n">
        <f aca="false">Sens!$F$8579+(g_ot-Sens!$F$8579)*4/4</f>
        <v>0.05</v>
      </c>
      <c r="L8579" s="13" t="n">
        <f aca="false">g_ot</f>
        <v>0.05</v>
      </c>
      <c r="M8579" s="13" t="n">
        <f aca="false">g_ot</f>
        <v>0.05</v>
      </c>
      <c r="P8579" s="8" t="s">
        <v>679</v>
      </c>
    </row>
    <row r="8580" customFormat="false" ht="17.15" hidden="false" customHeight="false" outlineLevel="0" collapsed="false">
      <c r="A8580" s="0" t="s">
        <v>680</v>
      </c>
      <c r="B8580" s="0" t="s">
        <v>57</v>
      </c>
      <c r="F8580" s="40" t="n">
        <f aca="false">(g26q3_mid*Q!$O$8/Q!$J$8-Thesis!$F$86-Thesis!$F$90)/(Sens!$O$8568*(1+Sens!$F$8569)+Sens!$O$8570*(1+Sens!$F$8571)+Sens!$O$8572*(1+Sens!$F$8573)+Sens!$O$8574*(1+Sens!$F$8575)+Sens!$O$8576*(1+Sens!$F$8577)+Sens!$O$8578*(1+Sens!$F$8579))</f>
        <v>0.958546670622329</v>
      </c>
      <c r="P8580" s="8" t="s">
        <v>681</v>
      </c>
    </row>
    <row r="8581" customFormat="false" ht="17.15" hidden="false" customHeight="false" outlineLevel="0" collapsed="false">
      <c r="A8581" s="3" t="s">
        <v>682</v>
      </c>
      <c r="B8581" s="8" t="s">
        <v>86</v>
      </c>
      <c r="C8581" s="38" t="n">
        <f aca="false">Sens!$C$8568+Sens!$C$8570+Sens!$C$8572+Sens!$C$8574+Sens!$C$8576+Sens!$C$8578</f>
        <v>530.403</v>
      </c>
      <c r="D8581" s="38" t="n">
        <f aca="false">Sens!$D$8568+Sens!$D$8570+Sens!$D$8572+Sens!$D$8574+Sens!$D$8576+Sens!$D$8578</f>
        <v>588.199</v>
      </c>
      <c r="E8581" s="38" t="n">
        <f aca="false">Sens!$E$8568+Sens!$E$8570+Sens!$E$8572+Sens!$E$8574+Sens!$E$8576+Sens!$E$8578</f>
        <v>302.306</v>
      </c>
      <c r="F8581" s="38" t="n">
        <f aca="false">Sens!$F$8568+Sens!$F$8570+Sens!$F$8572+Sens!$F$8574+Sens!$F$8576+Sens!$F$8578</f>
        <v>349.048241645537</v>
      </c>
      <c r="G8581" s="38" t="n">
        <f aca="false">Sens!$G$8568+Sens!$G$8570+Sens!$G$8572+Sens!$G$8574+Sens!$G$8576+Sens!$G$8578</f>
        <v>651.354241645537</v>
      </c>
      <c r="H8581" s="38" t="n">
        <f aca="false">Sens!$H$8568+Sens!$H$8570+Sens!$H$8572+Sens!$H$8574+Sens!$H$8576+Sens!$H$8578</f>
        <v>721.096889521386</v>
      </c>
      <c r="I8581" s="38" t="n">
        <f aca="false">Sens!$I$8568+Sens!$I$8570+Sens!$I$8572+Sens!$I$8574+Sens!$I$8576+Sens!$I$8578</f>
        <v>788.529391152531</v>
      </c>
      <c r="J8581" s="38" t="n">
        <f aca="false">Sens!$J$8568+Sens!$J$8570+Sens!$J$8572+Sens!$J$8574+Sens!$J$8576+Sens!$J$8578</f>
        <v>851.108405741443</v>
      </c>
      <c r="K8581" s="38" t="n">
        <f aca="false">Sens!$K$8568+Sens!$K$8570+Sens!$K$8572+Sens!$K$8574+Sens!$K$8576+Sens!$K$8578</f>
        <v>906.176455431088</v>
      </c>
      <c r="L8581" s="38" t="n">
        <f aca="false">Sens!$L$8568+Sens!$L$8570+Sens!$L$8572+Sens!$L$8574+Sens!$L$8576+Sens!$L$8578</f>
        <v>965.093106475589</v>
      </c>
      <c r="M8581" s="38" t="n">
        <f aca="false">Sens!$M$8568+Sens!$M$8570+Sens!$M$8572+Sens!$M$8574+Sens!$M$8576+Sens!$M$8578</f>
        <v>1028.14790794689</v>
      </c>
      <c r="N8581" s="38" t="n">
        <f aca="false">Sens!$N$8568+Sens!$N$8570+Sens!$N$8572+Sens!$N$8574+Sens!$N$8576+Sens!$N$8578</f>
        <v>263.229</v>
      </c>
      <c r="O8581" s="38" t="n">
        <f aca="false">Sens!$O$8568+Sens!$O$8570+Sens!$O$8572+Sens!$O$8574+Sens!$O$8576+Sens!$O$8578</f>
        <v>324.97</v>
      </c>
    </row>
    <row r="8582" customFormat="false" ht="17.15" hidden="false" customHeight="false" outlineLevel="0" collapsed="false">
      <c r="A8582" s="5" t="s">
        <v>683</v>
      </c>
      <c r="B8582" s="0" t="s">
        <v>52</v>
      </c>
      <c r="C8582" s="13" t="n">
        <f aca="false">Q!$D$5/(Q!$D$5+Q!$D$6)</f>
        <v>0.730570905519011</v>
      </c>
      <c r="D8582" s="13" t="n">
        <f aca="false">Q!$E$5/(Q!$E$5+Q!$E$6)</f>
        <v>0.724763217890544</v>
      </c>
      <c r="E8582" s="13" t="n">
        <f aca="false">Q!$P$5/(Q!$P$5+Q!$P$6)</f>
        <v>0.728797972914861</v>
      </c>
      <c r="F8582" s="13" t="n">
        <f aca="false">Sens!$O$8582</f>
        <v>0.718066283041511</v>
      </c>
      <c r="G8582" s="13" t="n">
        <f aca="false">Sens!$G$8583/Sens!$G$8581</f>
        <v>0.723047066202847</v>
      </c>
      <c r="H8582" s="13" t="n">
        <f aca="false">Sens!$G$8582</f>
        <v>0.723047066202847</v>
      </c>
      <c r="I8582" s="13" t="n">
        <f aca="false">Sens!$G$8582</f>
        <v>0.723047066202847</v>
      </c>
      <c r="J8582" s="13" t="n">
        <f aca="false">Sens!$G$8582</f>
        <v>0.723047066202847</v>
      </c>
      <c r="K8582" s="13" t="n">
        <f aca="false">Sens!$G$8582</f>
        <v>0.723047066202847</v>
      </c>
      <c r="L8582" s="13" t="n">
        <f aca="false">Sens!$G$8582</f>
        <v>0.723047066202847</v>
      </c>
      <c r="M8582" s="13" t="n">
        <f aca="false">Sens!$G$8582</f>
        <v>0.723047066202847</v>
      </c>
      <c r="N8582" s="13" t="n">
        <f aca="false">Q!$N$5/(Q!$N$5+Q!$N$6)</f>
        <v>0.733030935041352</v>
      </c>
      <c r="O8582" s="13" t="n">
        <f aca="false">Q!$O$5/(Q!$O$5+Q!$O$6)</f>
        <v>0.718066283041511</v>
      </c>
      <c r="P8582" s="8" t="s">
        <v>684</v>
      </c>
    </row>
    <row r="8583" customFormat="false" ht="17.15" hidden="false" customHeight="false" outlineLevel="0" collapsed="false">
      <c r="A8583" s="1" t="s">
        <v>512</v>
      </c>
      <c r="B8583" s="8" t="s">
        <v>86</v>
      </c>
      <c r="C8583" s="38" t="n">
        <f aca="false">Q!$D$5</f>
        <v>387.497</v>
      </c>
      <c r="D8583" s="38" t="n">
        <f aca="false">Q!$E$5</f>
        <v>426.305</v>
      </c>
      <c r="E8583" s="38" t="n">
        <f aca="false">Q!$P$5</f>
        <v>220.32</v>
      </c>
      <c r="F8583" s="38" t="n">
        <f aca="false">Sens!$F$8581*Sens!$F$8582</f>
        <v>250.639773480586</v>
      </c>
      <c r="G8583" s="38" t="n">
        <f aca="false">Sens!$E$8583+Sens!$F$8583</f>
        <v>470.959773480586</v>
      </c>
      <c r="H8583" s="38" t="n">
        <f aca="false">Sens!$H$8581*Sens!$H$8582</f>
        <v>521.386990416437</v>
      </c>
      <c r="I8583" s="38" t="n">
        <f aca="false">Sens!$I$8581*Sens!$I$8582</f>
        <v>570.143862887555</v>
      </c>
      <c r="J8583" s="38" t="n">
        <f aca="false">Sens!$J$8581*Sens!$J$8582</f>
        <v>615.391435791933</v>
      </c>
      <c r="K8583" s="38" t="n">
        <f aca="false">Sens!$K$8581*Sens!$K$8582</f>
        <v>655.208227561543</v>
      </c>
      <c r="L8583" s="38" t="n">
        <f aca="false">Sens!$L$8581*Sens!$L$8582</f>
        <v>697.807739249767</v>
      </c>
      <c r="M8583" s="38" t="n">
        <f aca="false">Sens!$M$8581*Sens!$M$8582</f>
        <v>743.399328463592</v>
      </c>
      <c r="N8583" s="38" t="n">
        <f aca="false">Q!$N$5</f>
        <v>192.955</v>
      </c>
      <c r="O8583" s="38" t="n">
        <f aca="false">Q!$O$5</f>
        <v>233.35</v>
      </c>
      <c r="P8583" s="5" t="s">
        <v>685</v>
      </c>
    </row>
    <row r="8584" customFormat="false" ht="17.15" hidden="false" customHeight="false" outlineLevel="0" collapsed="false">
      <c r="A8584" s="1" t="s">
        <v>515</v>
      </c>
      <c r="B8584" s="8" t="s">
        <v>86</v>
      </c>
      <c r="C8584" s="38" t="n">
        <f aca="false">Q!$D$6</f>
        <v>142.906</v>
      </c>
      <c r="D8584" s="38" t="n">
        <f aca="false">Q!$E$6</f>
        <v>161.894</v>
      </c>
      <c r="E8584" s="38" t="n">
        <f aca="false">Q!$P$6</f>
        <v>81.986</v>
      </c>
      <c r="F8584" s="38" t="n">
        <f aca="false">Sens!$F$8581*(1-Sens!$F$8582)</f>
        <v>98.408468164951</v>
      </c>
      <c r="G8584" s="38" t="n">
        <f aca="false">Sens!$E$8584+Sens!$F$8584</f>
        <v>180.394468164951</v>
      </c>
      <c r="H8584" s="38" t="n">
        <f aca="false">Sens!$H$8581*(1-Sens!$H$8582)</f>
        <v>199.709899104949</v>
      </c>
      <c r="I8584" s="38" t="n">
        <f aca="false">Sens!$I$8581*(1-Sens!$I$8582)</f>
        <v>218.385528264976</v>
      </c>
      <c r="J8584" s="38" t="n">
        <f aca="false">Sens!$J$8581*(1-Sens!$J$8582)</f>
        <v>235.71696994951</v>
      </c>
      <c r="K8584" s="38" t="n">
        <f aca="false">Sens!$K$8581*(1-Sens!$K$8582)</f>
        <v>250.968227869545</v>
      </c>
      <c r="L8584" s="38" t="n">
        <f aca="false">Sens!$L$8581*(1-Sens!$L$8582)</f>
        <v>267.285367225822</v>
      </c>
      <c r="M8584" s="38" t="n">
        <f aca="false">Sens!$M$8581*(1-Sens!$M$8582)</f>
        <v>284.748579483295</v>
      </c>
      <c r="N8584" s="38" t="n">
        <f aca="false">Q!$N$6</f>
        <v>70.274</v>
      </c>
      <c r="O8584" s="38" t="n">
        <f aca="false">Q!$O$6</f>
        <v>91.62</v>
      </c>
      <c r="P8584" s="5" t="s">
        <v>686</v>
      </c>
    </row>
    <row r="8585" customFormat="false" ht="17.15" hidden="false" customHeight="false" outlineLevel="0" collapsed="false">
      <c r="A8585" s="5" t="s">
        <v>687</v>
      </c>
      <c r="B8585" s="0" t="s">
        <v>86</v>
      </c>
      <c r="C8585" s="38" t="n">
        <f aca="false">Sens!$C$8574*Sens!$C$8582</f>
        <v>41.0683128828457</v>
      </c>
      <c r="D8585" s="38" t="n">
        <f aca="false">Sens!$D$8574*Sens!$D$8582</f>
        <v>49.7441234599175</v>
      </c>
      <c r="E8585" s="38" t="n">
        <f aca="false">Sens!$E$8574*Sens!$E$8582</f>
        <v>27.0034224924414</v>
      </c>
      <c r="F8585" s="38" t="n">
        <f aca="false">Sens!$F$8574*Sens!$F$8582</f>
        <v>33.1439448330513</v>
      </c>
      <c r="G8585" s="38" t="n">
        <f aca="false">Sens!$G$8574*Sens!$G$8582</f>
        <v>60.164183844083</v>
      </c>
      <c r="H8585" s="38" t="n">
        <f aca="false">Sens!$H$8574*Sens!$H$8582</f>
        <v>72.2301766552629</v>
      </c>
      <c r="I8585" s="38" t="n">
        <f aca="false">Sens!$I$8574*Sens!$I$8582</f>
        <v>84.2950764463991</v>
      </c>
      <c r="J8585" s="38" t="n">
        <f aca="false">Sens!$J$8574*Sens!$J$8582</f>
        <v>95.5499047729386</v>
      </c>
      <c r="K8585" s="38" t="n">
        <f aca="false">Sens!$K$8574*Sens!$K$8582</f>
        <v>105.104895250232</v>
      </c>
      <c r="L8585" s="38" t="n">
        <f aca="false">Sens!$L$8574*Sens!$L$8582</f>
        <v>115.615384775256</v>
      </c>
      <c r="M8585" s="38" t="n">
        <f aca="false">Sens!$M$8574*Sens!$M$8582</f>
        <v>127.176923252781</v>
      </c>
      <c r="N8585" s="38" t="n">
        <f aca="false">Sens!$N$8574*Sens!$N$8582</f>
        <v>21.7087111412496</v>
      </c>
      <c r="O8585" s="38" t="n">
        <f aca="false">Sens!$O$8574*Sens!$O$8582</f>
        <v>28.0189463642798</v>
      </c>
      <c r="P8585" s="5" t="s">
        <v>688</v>
      </c>
    </row>
    <row r="8586" customFormat="false" ht="15" hidden="false" customHeight="false" outlineLevel="0" collapsed="false">
      <c r="A8586" s="5" t="s">
        <v>689</v>
      </c>
      <c r="B8586" s="0" t="s">
        <v>86</v>
      </c>
      <c r="C8586" s="38" t="n">
        <f aca="false">Sens!$C$8574-Sens!$C$8585</f>
        <v>15.1456871171543</v>
      </c>
      <c r="D8586" s="38" t="n">
        <f aca="false">Sens!$D$8574-Sens!$D$8585</f>
        <v>18.8908765400825</v>
      </c>
      <c r="E8586" s="38" t="n">
        <f aca="false">Sens!$E$8574-Sens!$E$8585</f>
        <v>10.0485775075586</v>
      </c>
      <c r="F8586" s="38" t="n">
        <f aca="false">Sens!$F$8574-Sens!$F$8585</f>
        <v>13.0132771613635</v>
      </c>
      <c r="G8586" s="38" t="n">
        <f aca="false">Sens!$G$8574-Sens!$G$8585</f>
        <v>23.0450381503318</v>
      </c>
      <c r="H8586" s="38" t="n">
        <f aca="false">Sens!$H$8574-Sens!$H$8585</f>
        <v>27.6667457326347</v>
      </c>
      <c r="I8586" s="38" t="n">
        <f aca="false">Sens!$I$8574-Sens!$I$8585</f>
        <v>32.2880346490971</v>
      </c>
      <c r="J8586" s="38" t="n">
        <f aca="false">Sens!$J$8574-Sens!$J$8585</f>
        <v>36.5990371690132</v>
      </c>
      <c r="K8586" s="38" t="n">
        <f aca="false">Sens!$K$8574-Sens!$K$8585</f>
        <v>40.2589408859145</v>
      </c>
      <c r="L8586" s="38" t="n">
        <f aca="false">Sens!$L$8574-Sens!$L$8585</f>
        <v>44.2848349745059</v>
      </c>
      <c r="M8586" s="38" t="n">
        <f aca="false">Sens!$M$8574-Sens!$M$8585</f>
        <v>48.7133184719565</v>
      </c>
      <c r="N8586" s="38" t="n">
        <f aca="false">Sens!$N$8574-Sens!$N$8585</f>
        <v>7.90628885875037</v>
      </c>
      <c r="O8586" s="38" t="n">
        <f aca="false">Sens!$O$8574-Sens!$O$8585</f>
        <v>11.0010536357202</v>
      </c>
    </row>
    <row r="8587" customFormat="false" ht="19.4" hidden="false" customHeight="false" outlineLevel="0" collapsed="false">
      <c r="A8587" s="31" t="s">
        <v>1311</v>
      </c>
    </row>
    <row r="8588" customFormat="false" ht="17.15" hidden="false" customHeight="false" outlineLevel="0" collapsed="false">
      <c r="A8588" s="6" t="s">
        <v>16</v>
      </c>
      <c r="B8588" s="6" t="s">
        <v>17</v>
      </c>
      <c r="C8588" s="20" t="s">
        <v>497</v>
      </c>
      <c r="D8588" s="20" t="s">
        <v>498</v>
      </c>
      <c r="E8588" s="20" t="s">
        <v>580</v>
      </c>
      <c r="F8588" s="20" t="s">
        <v>581</v>
      </c>
      <c r="G8588" s="20" t="s">
        <v>582</v>
      </c>
      <c r="H8588" s="20" t="s">
        <v>583</v>
      </c>
      <c r="I8588" s="20" t="s">
        <v>584</v>
      </c>
      <c r="J8588" s="20" t="s">
        <v>585</v>
      </c>
      <c r="K8588" s="20" t="s">
        <v>586</v>
      </c>
      <c r="L8588" s="20" t="s">
        <v>587</v>
      </c>
      <c r="M8588" s="20" t="s">
        <v>588</v>
      </c>
      <c r="N8588" s="20" t="s">
        <v>589</v>
      </c>
      <c r="O8588" s="20" t="s">
        <v>590</v>
      </c>
      <c r="P8588" s="6" t="s">
        <v>23</v>
      </c>
      <c r="R8588" s="20" t="n">
        <v>2023</v>
      </c>
      <c r="S8588" s="20" t="n">
        <v>2024</v>
      </c>
      <c r="T8588" s="20" t="n">
        <v>2025</v>
      </c>
      <c r="U8588" s="20" t="n">
        <v>2026</v>
      </c>
      <c r="V8588" s="20" t="n">
        <v>2027</v>
      </c>
      <c r="W8588" s="20" t="n">
        <v>2028</v>
      </c>
      <c r="X8588" s="20" t="n">
        <v>2029</v>
      </c>
      <c r="Y8588" s="20" t="n">
        <v>2030</v>
      </c>
      <c r="Z8588" s="20" t="n">
        <v>2031</v>
      </c>
      <c r="AA8588" s="20" t="n">
        <v>2032</v>
      </c>
    </row>
    <row r="8589" customFormat="false" ht="17.15" hidden="false" customHeight="false" outlineLevel="0" collapsed="false">
      <c r="A8589" s="1" t="s">
        <v>591</v>
      </c>
    </row>
    <row r="8590" customFormat="false" ht="17.15" hidden="false" customHeight="false" outlineLevel="0" collapsed="false">
      <c r="A8590" s="5" t="s">
        <v>592</v>
      </c>
      <c r="B8590" s="0" t="s">
        <v>144</v>
      </c>
      <c r="H8590" s="32" t="n">
        <f aca="false">pace_B</f>
        <v>3634.3</v>
      </c>
      <c r="I8590" s="32" t="n">
        <f aca="false">pace_B</f>
        <v>3634.3</v>
      </c>
      <c r="J8590" s="32" t="n">
        <f aca="false">pace_B</f>
        <v>3634.3</v>
      </c>
      <c r="K8590" s="32" t="n">
        <f aca="false">pace_B+(Sens!$J$8591*tg-pace_B)*1/3</f>
        <v>2570.86716666667</v>
      </c>
      <c r="L8590" s="32" t="n">
        <f aca="false">pace_B+(Sens!$J$8591*tg-pace_B)*2/3</f>
        <v>1507.43433333333</v>
      </c>
      <c r="M8590" s="32" t="n">
        <f aca="false">pace_B+(Sens!$J$8591*tg-pace_B)*3/3</f>
        <v>444.0015</v>
      </c>
      <c r="P8590" s="5" t="s">
        <v>593</v>
      </c>
    </row>
    <row r="8591" customFormat="false" ht="17.15" hidden="false" customHeight="false" outlineLevel="0" collapsed="false">
      <c r="A8591" s="15" t="s">
        <v>594</v>
      </c>
      <c r="B8591" s="14" t="s">
        <v>129</v>
      </c>
      <c r="C8591" s="33" t="n">
        <f aca="false">mw_ye24</f>
        <v>360</v>
      </c>
      <c r="D8591" s="33" t="n">
        <f aca="false">mw_ye25</f>
        <v>1440</v>
      </c>
      <c r="E8591" s="33" t="n">
        <f aca="false">mw_open</f>
        <v>2080</v>
      </c>
      <c r="F8591" s="33" t="n">
        <f aca="false">Sens!$E$8591+pace_B*0.5</f>
        <v>3897.15</v>
      </c>
      <c r="G8591" s="33" t="n">
        <f aca="false">Sens!$F$8591</f>
        <v>3897.15</v>
      </c>
      <c r="H8591" s="33" t="n">
        <f aca="false">Sens!$G$8591+Sens!$H$8590</f>
        <v>7531.45</v>
      </c>
      <c r="I8591" s="33" t="n">
        <f aca="false">Sens!$H$8591+Sens!$I$8590</f>
        <v>11165.75</v>
      </c>
      <c r="J8591" s="33" t="n">
        <f aca="false">Sens!$I$8591+Sens!$J$8590</f>
        <v>14800.05</v>
      </c>
      <c r="K8591" s="33" t="n">
        <f aca="false">Sens!$J$8591+Sens!$K$8590</f>
        <v>17370.9171666667</v>
      </c>
      <c r="L8591" s="33" t="n">
        <f aca="false">Sens!$K$8591+Sens!$L$8590</f>
        <v>18878.3515</v>
      </c>
      <c r="M8591" s="33" t="n">
        <f aca="false">Sens!$L$8591+Sens!$M$8590</f>
        <v>19322.353</v>
      </c>
      <c r="N8591" s="33" t="n">
        <f aca="false">(mw_ye24+mw_ye25)/2</f>
        <v>900</v>
      </c>
      <c r="O8591" s="33" t="n">
        <f aca="false">mw_ye25</f>
        <v>1440</v>
      </c>
      <c r="P8591" s="5" t="s">
        <v>595</v>
      </c>
    </row>
    <row r="8592" customFormat="false" ht="17.15" hidden="false" customHeight="false" outlineLevel="0" collapsed="false">
      <c r="A8592" s="5" t="s">
        <v>596</v>
      </c>
      <c r="B8592" s="0" t="s">
        <v>129</v>
      </c>
      <c r="C8592" s="32" t="n">
        <f aca="false">(mw_ye23+mw_ye24)/2</f>
        <v>240</v>
      </c>
      <c r="D8592" s="32" t="n">
        <f aca="false">(Sens!$C$8591+Sens!$D$8591)/2</f>
        <v>900</v>
      </c>
      <c r="E8592" s="32" t="n">
        <f aca="false">(Sens!$D$8591+Sens!$E$8591)/2</f>
        <v>1760</v>
      </c>
      <c r="F8592" s="32" t="n">
        <f aca="false">(Sens!$E$8591+Sens!$F$8591)/2</f>
        <v>2988.575</v>
      </c>
      <c r="G8592" s="32" t="n">
        <f aca="false">(Sens!$E$8592+Sens!$F$8592)/2</f>
        <v>2374.2875</v>
      </c>
      <c r="H8592" s="32" t="n">
        <f aca="false">(Sens!$G$8591+Sens!$H$8591)/2</f>
        <v>5714.3</v>
      </c>
      <c r="I8592" s="32" t="n">
        <f aca="false">(Sens!$H$8591+Sens!$I$8591)/2</f>
        <v>9348.6</v>
      </c>
      <c r="J8592" s="32" t="n">
        <f aca="false">(Sens!$I$8591+Sens!$J$8591)/2</f>
        <v>12982.9</v>
      </c>
      <c r="K8592" s="32" t="n">
        <f aca="false">(Sens!$J$8591+Sens!$K$8591)/2</f>
        <v>16085.4835833333</v>
      </c>
      <c r="L8592" s="32" t="n">
        <f aca="false">(Sens!$K$8591+Sens!$L$8591)/2</f>
        <v>18124.6343333333</v>
      </c>
      <c r="M8592" s="32" t="n">
        <f aca="false">(Sens!$L$8591+Sens!$M$8591)/2</f>
        <v>19100.35225</v>
      </c>
      <c r="N8592" s="32" t="n">
        <f aca="false">(Sens!$C$8591+Sens!$N$8591)/2</f>
        <v>630</v>
      </c>
      <c r="O8592" s="32" t="n">
        <f aca="false">(Sens!$N$8591+Sens!$O$8591)/2</f>
        <v>1170</v>
      </c>
    </row>
    <row r="8593" customFormat="false" ht="15" hidden="false" customHeight="false" outlineLevel="0" collapsed="false">
      <c r="A8593" s="5" t="s">
        <v>597</v>
      </c>
      <c r="B8593" s="5" t="s">
        <v>123</v>
      </c>
      <c r="C8593" s="34" t="n">
        <v>1</v>
      </c>
      <c r="D8593" s="34" t="n">
        <v>1</v>
      </c>
      <c r="E8593" s="34" t="n">
        <v>0.5</v>
      </c>
      <c r="F8593" s="34" t="n">
        <v>0.5</v>
      </c>
      <c r="G8593" s="34" t="n">
        <v>1</v>
      </c>
      <c r="H8593" s="34" t="n">
        <v>1</v>
      </c>
      <c r="I8593" s="34" t="n">
        <v>1</v>
      </c>
      <c r="J8593" s="34" t="n">
        <v>1</v>
      </c>
      <c r="K8593" s="34" t="n">
        <v>1</v>
      </c>
      <c r="L8593" s="34" t="n">
        <v>1</v>
      </c>
      <c r="M8593" s="34" t="n">
        <v>1</v>
      </c>
      <c r="N8593" s="34" t="n">
        <v>0.5</v>
      </c>
      <c r="O8593" s="34" t="n">
        <v>0.5</v>
      </c>
    </row>
    <row r="8594" customFormat="false" ht="17.15" hidden="false" customHeight="false" outlineLevel="0" collapsed="false">
      <c r="A8594" s="5" t="s">
        <v>598</v>
      </c>
      <c r="B8594" s="0" t="s">
        <v>129</v>
      </c>
      <c r="C8594" s="32" t="n">
        <f aca="false">Sens!$C$8591-mw_ye23</f>
        <v>240</v>
      </c>
      <c r="D8594" s="32" t="n">
        <f aca="false">Sens!$D$8591-Sens!$C$8591</f>
        <v>1080</v>
      </c>
      <c r="E8594" s="32" t="n">
        <f aca="false">Sens!$E$8591-Sens!$D$8591</f>
        <v>640</v>
      </c>
      <c r="F8594" s="32" t="n">
        <f aca="false">Sens!$F$8591-Sens!$E$8591</f>
        <v>1817.15</v>
      </c>
      <c r="G8594" s="32" t="n">
        <f aca="false">Sens!$E$8594+Sens!$F$8594</f>
        <v>2457.15</v>
      </c>
      <c r="H8594" s="32" t="n">
        <f aca="false">Sens!$H$8591-Sens!$G$8591</f>
        <v>3634.3</v>
      </c>
      <c r="I8594" s="32" t="n">
        <f aca="false">Sens!$I$8591-Sens!$H$8591</f>
        <v>3634.3</v>
      </c>
      <c r="J8594" s="32" t="n">
        <f aca="false">Sens!$J$8591-Sens!$I$8591</f>
        <v>3634.3</v>
      </c>
      <c r="K8594" s="32" t="n">
        <f aca="false">Sens!$K$8591-Sens!$J$8591</f>
        <v>2570.86716666667</v>
      </c>
      <c r="L8594" s="32" t="n">
        <f aca="false">Sens!$L$8591-Sens!$K$8591</f>
        <v>1507.43433333333</v>
      </c>
      <c r="M8594" s="32" t="n">
        <f aca="false">Sens!$M$8591-Sens!$L$8591</f>
        <v>444.001499999999</v>
      </c>
      <c r="N8594" s="32" t="n">
        <f aca="false">Sens!$N$8591-Sens!$C$8591</f>
        <v>540</v>
      </c>
      <c r="O8594" s="32" t="n">
        <f aca="false">Sens!$O$8591-Sens!$N$8591</f>
        <v>540</v>
      </c>
    </row>
    <row r="8595" customFormat="false" ht="17.15" hidden="false" customHeight="false" outlineLevel="0" collapsed="false">
      <c r="A8595" s="5" t="s">
        <v>599</v>
      </c>
      <c r="B8595" s="0" t="s">
        <v>129</v>
      </c>
      <c r="C8595" s="32" t="n">
        <f aca="false">Sens!$C$8594/ext_sh</f>
        <v>300</v>
      </c>
      <c r="D8595" s="32" t="n">
        <f aca="false">Sens!$D$8594/ext_sh</f>
        <v>1350</v>
      </c>
      <c r="E8595" s="32" t="n">
        <f aca="false">Sens!$E$8594/ext_sh</f>
        <v>800</v>
      </c>
      <c r="F8595" s="32" t="n">
        <f aca="false">Sens!$F$8594/ext_sh</f>
        <v>2271.4375</v>
      </c>
      <c r="G8595" s="32" t="n">
        <f aca="false">Sens!$G$8594/ext_sh</f>
        <v>3071.4375</v>
      </c>
      <c r="H8595" s="32" t="n">
        <f aca="false">Sens!$H$8594/ext_sh</f>
        <v>4542.875</v>
      </c>
      <c r="I8595" s="32" t="n">
        <f aca="false">Sens!$I$8594/ext_sh</f>
        <v>4542.875</v>
      </c>
      <c r="J8595" s="32" t="n">
        <f aca="false">Sens!$J$8594/ext_sh</f>
        <v>4542.875</v>
      </c>
      <c r="K8595" s="32" t="n">
        <f aca="false">Sens!$K$8594/ext_sh</f>
        <v>3213.58395833333</v>
      </c>
      <c r="L8595" s="32" t="n">
        <f aca="false">Sens!$L$8594/ext_sh</f>
        <v>1884.29291666667</v>
      </c>
      <c r="M8595" s="32" t="n">
        <f aca="false">Sens!$M$8594/ext_sh</f>
        <v>555.001874999998</v>
      </c>
      <c r="N8595" s="32" t="n">
        <f aca="false">Sens!$N$8594/ext_sh</f>
        <v>675</v>
      </c>
      <c r="O8595" s="32" t="n">
        <f aca="false">Sens!$O$8594/ext_sh</f>
        <v>675</v>
      </c>
      <c r="P8595" s="8" t="s">
        <v>600</v>
      </c>
      <c r="R8595" s="32" t="n">
        <f aca="false">mw_ye23/ext_sh</f>
        <v>150</v>
      </c>
      <c r="S8595" s="32" t="n">
        <f aca="false">Sens!$C$8595</f>
        <v>300</v>
      </c>
      <c r="T8595" s="32" t="n">
        <f aca="false">Sens!$D$8595</f>
        <v>1350</v>
      </c>
      <c r="U8595" s="32" t="n">
        <f aca="false">Sens!$G$8595</f>
        <v>3071.4375</v>
      </c>
      <c r="V8595" s="32" t="n">
        <f aca="false">Sens!$H$8595</f>
        <v>4542.875</v>
      </c>
      <c r="W8595" s="32" t="n">
        <f aca="false">Sens!$I$8595</f>
        <v>4542.875</v>
      </c>
      <c r="X8595" s="32" t="n">
        <f aca="false">Sens!$J$8595</f>
        <v>4542.875</v>
      </c>
      <c r="Y8595" s="32" t="n">
        <f aca="false">Sens!$K$8595</f>
        <v>3213.58395833333</v>
      </c>
      <c r="Z8595" s="32" t="n">
        <f aca="false">Sens!$L$8595</f>
        <v>1884.29291666667</v>
      </c>
      <c r="AA8595" s="32" t="n">
        <f aca="false">Sens!$M$8595</f>
        <v>555.001874999998</v>
      </c>
    </row>
    <row r="8596" customFormat="false" ht="17.15" hidden="false" customHeight="false" outlineLevel="0" collapsed="false">
      <c r="A8596" s="1" t="s">
        <v>601</v>
      </c>
    </row>
    <row r="8597" customFormat="false" ht="17.15" hidden="false" customHeight="false" outlineLevel="0" collapsed="false">
      <c r="A8597" s="0" t="s">
        <v>602</v>
      </c>
      <c r="B8597" s="0" t="s">
        <v>52</v>
      </c>
      <c r="F8597" s="35" t="n">
        <f aca="false">na_vr26</f>
        <v>0</v>
      </c>
      <c r="G8597" s="35" t="n">
        <f aca="false">na_vr26</f>
        <v>0</v>
      </c>
      <c r="H8597" s="35" t="n">
        <f aca="false">na_vr27</f>
        <v>0.5</v>
      </c>
      <c r="I8597" s="35" t="n">
        <f aca="false">na_vr28</f>
        <v>1</v>
      </c>
      <c r="J8597" s="35" t="n">
        <f aca="false">na_vr28</f>
        <v>1</v>
      </c>
      <c r="K8597" s="35" t="n">
        <f aca="false">na_vr28</f>
        <v>1</v>
      </c>
      <c r="L8597" s="35" t="n">
        <f aca="false">na_vr28</f>
        <v>1</v>
      </c>
      <c r="M8597" s="35" t="n">
        <f aca="false">na_vr28</f>
        <v>1</v>
      </c>
    </row>
    <row r="8598" customFormat="false" ht="17.15" hidden="false" customHeight="false" outlineLevel="0" collapsed="false">
      <c r="A8598" s="5" t="s">
        <v>603</v>
      </c>
      <c r="B8598" s="0" t="s">
        <v>173</v>
      </c>
      <c r="F8598" s="36" t="n">
        <f aca="false">cust_sh*tk_he_gb300*cf_chip+(1-cust_sh)*((1-Sens!$F$8597)*tk_he_gb300+Sens!$F$8597*tk_he_vr200)</f>
        <v>10.8864110021101</v>
      </c>
      <c r="G8598" s="36" t="n">
        <f aca="false">cust_sh*tk_he_gb300*cf_chip+(1-cust_sh)*((1-Sens!$G$8597)*tk_he_gb300+Sens!$G$8597*tk_he_vr200)</f>
        <v>10.8864110021101</v>
      </c>
      <c r="H8598" s="36" t="n">
        <f aca="false">cust_sh*tk_he_gb300*cf_chip+(1-cust_sh)*((1-Sens!$H$8597)*tk_he_gb300+Sens!$H$8597*tk_he_vr200)</f>
        <v>11.2211760027286</v>
      </c>
      <c r="I8598" s="36" t="n">
        <f aca="false">cust_sh*tk_he_gb300*cf_chip+(1-cust_sh)*((1-Sens!$I$8597)*tk_he_gb300+Sens!$I$8597*tk_he_vr200)</f>
        <v>11.5559410033471</v>
      </c>
      <c r="J8598" s="36" t="n">
        <f aca="false">cust_sh*tk_he_gb300*cf_chip+(1-cust_sh)*((1-Sens!$J$8597)*tk_he_gb300+Sens!$J$8597*tk_he_vr200)</f>
        <v>11.5559410033471</v>
      </c>
      <c r="K8598" s="36" t="n">
        <f aca="false">cust_sh*tk_he_gb300*cf_chip+(1-cust_sh)*((1-Sens!$K$8597)*tk_he_gb300+Sens!$K$8597*tk_he_vr200)</f>
        <v>11.5559410033471</v>
      </c>
      <c r="L8598" s="36" t="n">
        <f aca="false">cust_sh*tk_he_gb300*cf_chip+(1-cust_sh)*((1-Sens!$L$8597)*tk_he_gb300+Sens!$L$8597*tk_he_vr200)</f>
        <v>11.5559410033471</v>
      </c>
      <c r="M8598" s="36" t="n">
        <f aca="false">cust_sh*tk_he_gb300*cf_chip+(1-cust_sh)*((1-Sens!$M$8597)*tk_he_gb300+Sens!$M$8597*tk_he_vr200)</f>
        <v>11.5559410033471</v>
      </c>
    </row>
    <row r="8599" customFormat="false" ht="17.15" hidden="false" customHeight="false" outlineLevel="0" collapsed="false">
      <c r="A8599" s="5" t="s">
        <v>604</v>
      </c>
      <c r="B8599" s="0" t="s">
        <v>173</v>
      </c>
      <c r="F8599" s="36" t="n">
        <f aca="false">cust_sh*tk_ox_gb300+(1-cust_sh)*((1-Sens!$F$8597)*tk_ox_gb300+Sens!$F$8597*tk_ox_vr200)</f>
        <v>1.98263481314457</v>
      </c>
      <c r="G8599" s="36" t="n">
        <f aca="false">cust_sh*tk_ox_gb300+(1-cust_sh)*((1-Sens!$G$8597)*tk_ox_gb300+Sens!$G$8597*tk_ox_vr200)</f>
        <v>1.98263481314457</v>
      </c>
      <c r="H8599" s="36" t="n">
        <f aca="false">cust_sh*tk_ox_gb300+(1-cust_sh)*((1-Sens!$H$8597)*tk_ox_gb300+Sens!$H$8597*tk_ox_vr200)</f>
        <v>2.01034999693694</v>
      </c>
      <c r="I8599" s="36" t="n">
        <f aca="false">cust_sh*tk_ox_gb300+(1-cust_sh)*((1-Sens!$I$8597)*tk_ox_gb300+Sens!$I$8597*tk_ox_vr200)</f>
        <v>2.0380651807293</v>
      </c>
      <c r="J8599" s="36" t="n">
        <f aca="false">cust_sh*tk_ox_gb300+(1-cust_sh)*((1-Sens!$J$8597)*tk_ox_gb300+Sens!$J$8597*tk_ox_vr200)</f>
        <v>2.0380651807293</v>
      </c>
      <c r="K8599" s="36" t="n">
        <f aca="false">cust_sh*tk_ox_gb300+(1-cust_sh)*((1-Sens!$K$8597)*tk_ox_gb300+Sens!$K$8597*tk_ox_vr200)</f>
        <v>2.0380651807293</v>
      </c>
      <c r="L8599" s="36" t="n">
        <f aca="false">cust_sh*tk_ox_gb300+(1-cust_sh)*((1-Sens!$L$8597)*tk_ox_gb300+Sens!$L$8597*tk_ox_vr200)</f>
        <v>2.0380651807293</v>
      </c>
      <c r="M8599" s="36" t="n">
        <f aca="false">cust_sh*tk_ox_gb300+(1-cust_sh)*((1-Sens!$M$8597)*tk_ox_gb300+Sens!$M$8597*tk_ox_vr200)</f>
        <v>2.0380651807293</v>
      </c>
    </row>
    <row r="8600" customFormat="false" ht="17.15" hidden="false" customHeight="false" outlineLevel="0" collapsed="false">
      <c r="A8600" s="5" t="s">
        <v>605</v>
      </c>
      <c r="B8600" s="0" t="s">
        <v>192</v>
      </c>
      <c r="F8600" s="36" t="n">
        <f aca="false">cust_sh*tk_cx_gb300*cf_cx+(1-cust_sh)*((1-Sens!$F$8597)*tk_cx_gb300+Sens!$F$8597*tk_cx_vr200)</f>
        <v>32.237224</v>
      </c>
      <c r="G8600" s="36" t="n">
        <f aca="false">cust_sh*tk_cx_gb300*cf_cx+(1-cust_sh)*((1-Sens!$G$8597)*tk_cx_gb300+Sens!$G$8597*tk_cx_vr200)</f>
        <v>32.237224</v>
      </c>
      <c r="H8600" s="36" t="n">
        <f aca="false">cust_sh*tk_cx_gb300*cf_cx+(1-cust_sh)*((1-Sens!$H$8597)*tk_cx_gb300+Sens!$H$8597*tk_cx_vr200)</f>
        <v>33.574506</v>
      </c>
      <c r="I8600" s="36" t="n">
        <f aca="false">cust_sh*tk_cx_gb300*cf_cx+(1-cust_sh)*((1-Sens!$I$8597)*tk_cx_gb300+Sens!$I$8597*tk_cx_vr200)</f>
        <v>34.911788</v>
      </c>
      <c r="J8600" s="36" t="n">
        <f aca="false">cust_sh*tk_cx_gb300*cf_cx+(1-cust_sh)*((1-Sens!$J$8597)*tk_cx_gb300+Sens!$J$8597*tk_cx_vr200)</f>
        <v>34.911788</v>
      </c>
      <c r="K8600" s="36" t="n">
        <f aca="false">cust_sh*tk_cx_gb300*cf_cx+(1-cust_sh)*((1-Sens!$K$8597)*tk_cx_gb300+Sens!$K$8597*tk_cx_vr200)</f>
        <v>34.911788</v>
      </c>
      <c r="L8600" s="36" t="n">
        <f aca="false">cust_sh*tk_cx_gb300*cf_cx+(1-cust_sh)*((1-Sens!$L$8597)*tk_cx_gb300+Sens!$L$8597*tk_cx_vr200)</f>
        <v>34.911788</v>
      </c>
      <c r="M8600" s="36" t="n">
        <f aca="false">cust_sh*tk_cx_gb300*cf_cx+(1-cust_sh)*((1-Sens!$M$8597)*tk_cx_gb300+Sens!$M$8597*tk_cx_vr200)</f>
        <v>34.911788</v>
      </c>
    </row>
    <row r="8601" customFormat="false" ht="17.15" hidden="false" customHeight="false" outlineLevel="0" collapsed="false">
      <c r="A8601" s="5" t="s">
        <v>606</v>
      </c>
      <c r="B8601" s="0" t="s">
        <v>129</v>
      </c>
      <c r="F8601" s="32" t="n">
        <f aca="false">Sens!$F$8591-mw_open</f>
        <v>1817.15</v>
      </c>
      <c r="G8601" s="32" t="n">
        <f aca="false">Sens!$F$8601</f>
        <v>1817.15</v>
      </c>
      <c r="H8601" s="32" t="n">
        <f aca="false">Sens!$H$8591-mw_open</f>
        <v>5451.45</v>
      </c>
      <c r="I8601" s="32" t="n">
        <f aca="false">Sens!$I$8591-mw_open</f>
        <v>9085.75</v>
      </c>
      <c r="J8601" s="32" t="n">
        <f aca="false">Sens!$J$8591-mw_open</f>
        <v>12720.05</v>
      </c>
      <c r="K8601" s="32" t="n">
        <f aca="false">Sens!$K$8591-mw_open</f>
        <v>15290.9171666667</v>
      </c>
      <c r="L8601" s="32" t="n">
        <f aca="false">Sens!$L$8591-mw_open</f>
        <v>16798.3515</v>
      </c>
      <c r="M8601" s="32" t="n">
        <f aca="false">Sens!$M$8591-mw_open</f>
        <v>17242.353</v>
      </c>
    </row>
    <row r="8602" customFormat="false" ht="17.15" hidden="false" customHeight="false" outlineLevel="0" collapsed="false">
      <c r="A8602" s="0" t="s">
        <v>607</v>
      </c>
      <c r="B8602" s="0" t="s">
        <v>608</v>
      </c>
      <c r="F8602" s="32" t="n">
        <f aca="false">Sens!$F$8594*Sens!$F$8598</f>
        <v>19782.2417524844</v>
      </c>
      <c r="G8602" s="32" t="n">
        <f aca="false">Sens!$F$8602</f>
        <v>19782.2417524844</v>
      </c>
      <c r="H8602" s="32" t="n">
        <f aca="false">Sens!$G$8602+Sens!$H$8594*Sens!$H$8598</f>
        <v>60563.3616992009</v>
      </c>
      <c r="I8602" s="32" t="n">
        <f aca="false">Sens!$H$8602+Sens!$I$8594*Sens!$I$8598</f>
        <v>102561.118087665</v>
      </c>
      <c r="J8602" s="32" t="n">
        <f aca="false">Sens!$I$8602+Sens!$J$8594*Sens!$J$8598</f>
        <v>144558.87447613</v>
      </c>
      <c r="K8602" s="32" t="n">
        <f aca="false">Sens!$J$8602+Sens!$K$8594*Sens!$K$8598</f>
        <v>174267.663781572</v>
      </c>
      <c r="L8602" s="32" t="n">
        <f aca="false">Sens!$K$8602+Sens!$L$8594*Sens!$L$8598</f>
        <v>191687.486003992</v>
      </c>
      <c r="M8602" s="32" t="n">
        <f aca="false">Sens!$L$8602+Sens!$M$8594*Sens!$M$8598</f>
        <v>196818.341143389</v>
      </c>
    </row>
    <row r="8603" customFormat="false" ht="17.15" hidden="false" customHeight="false" outlineLevel="0" collapsed="false">
      <c r="A8603" s="0" t="s">
        <v>609</v>
      </c>
      <c r="B8603" s="0" t="s">
        <v>608</v>
      </c>
      <c r="F8603" s="32" t="n">
        <f aca="false">Sens!$F$8594*Sens!$F$8599</f>
        <v>3602.74485070566</v>
      </c>
      <c r="G8603" s="32" t="n">
        <f aca="false">Sens!$F$8603</f>
        <v>3602.74485070566</v>
      </c>
      <c r="H8603" s="32" t="n">
        <f aca="false">Sens!$G$8603+Sens!$H$8594*Sens!$H$8599</f>
        <v>10908.9598445736</v>
      </c>
      <c r="I8603" s="32" t="n">
        <f aca="false">Sens!$H$8603+Sens!$I$8594*Sens!$I$8599</f>
        <v>18315.9001308981</v>
      </c>
      <c r="J8603" s="32" t="n">
        <f aca="false">Sens!$I$8603+Sens!$J$8594*Sens!$J$8599</f>
        <v>25722.8404172225</v>
      </c>
      <c r="K8603" s="32" t="n">
        <f aca="false">Sens!$J$8603+Sens!$K$8594*Sens!$K$8599</f>
        <v>30962.4352738861</v>
      </c>
      <c r="L8603" s="32" t="n">
        <f aca="false">Sens!$K$8603+Sens!$L$8594*Sens!$L$8599</f>
        <v>34034.6847008886</v>
      </c>
      <c r="M8603" s="32" t="n">
        <f aca="false">Sens!$L$8603+Sens!$M$8594*Sens!$M$8599</f>
        <v>34939.5886982302</v>
      </c>
    </row>
    <row r="8604" customFormat="false" ht="17.15" hidden="false" customHeight="false" outlineLevel="0" collapsed="false">
      <c r="A8604" s="5" t="s">
        <v>610</v>
      </c>
      <c r="B8604" s="0" t="s">
        <v>173</v>
      </c>
      <c r="F8604" s="36" t="n">
        <f aca="false">IF(Sens!$F$8601&gt;0,Sens!$F$8602/Sens!$F$8601,Sens!$F$8598)</f>
        <v>10.8864110021101</v>
      </c>
      <c r="G8604" s="36" t="n">
        <f aca="false">IF(Sens!$G$8601&gt;0,Sens!$G$8602/Sens!$G$8601,Sens!$G$8598)</f>
        <v>10.8864110021101</v>
      </c>
      <c r="H8604" s="36" t="n">
        <f aca="false">IF(Sens!$H$8601&gt;0,Sens!$H$8602/Sens!$H$8601,Sens!$H$8598)</f>
        <v>11.1095876691891</v>
      </c>
      <c r="I8604" s="36" t="n">
        <f aca="false">IF(Sens!$I$8601&gt;0,Sens!$I$8602/Sens!$I$8601,Sens!$I$8598)</f>
        <v>11.2881290028523</v>
      </c>
      <c r="J8604" s="36" t="n">
        <f aca="false">IF(Sens!$J$8601&gt;0,Sens!$J$8602/Sens!$J$8601,Sens!$J$8598)</f>
        <v>11.3646467172794</v>
      </c>
      <c r="K8604" s="36" t="n">
        <f aca="false">IF(Sens!$K$8601&gt;0,Sens!$K$8602/Sens!$K$8601,Sens!$K$8598)</f>
        <v>11.3968090914432</v>
      </c>
      <c r="L8604" s="36" t="n">
        <f aca="false">IF(Sens!$L$8601&gt;0,Sens!$L$8602/Sens!$L$8601,Sens!$L$8598)</f>
        <v>11.4110891181192</v>
      </c>
      <c r="M8604" s="36" t="n">
        <f aca="false">IF(Sens!$M$8601&gt;0,Sens!$M$8602/Sens!$M$8601,Sens!$M$8598)</f>
        <v>11.4148191458201</v>
      </c>
    </row>
    <row r="8605" customFormat="false" ht="17.15" hidden="false" customHeight="false" outlineLevel="0" collapsed="false">
      <c r="A8605" s="5" t="s">
        <v>611</v>
      </c>
      <c r="B8605" s="0" t="s">
        <v>173</v>
      </c>
      <c r="F8605" s="36" t="n">
        <f aca="false">IF(Sens!$F$8601&gt;0,Sens!$F$8603/Sens!$F$8601,Sens!$F$8599)</f>
        <v>1.98263481314457</v>
      </c>
      <c r="G8605" s="36" t="n">
        <f aca="false">IF(Sens!$G$8601&gt;0,Sens!$G$8603/Sens!$G$8601,Sens!$G$8599)</f>
        <v>1.98263481314457</v>
      </c>
      <c r="H8605" s="36" t="n">
        <f aca="false">IF(Sens!$H$8601&gt;0,Sens!$H$8603/Sens!$H$8601,Sens!$H$8599)</f>
        <v>2.00111160233948</v>
      </c>
      <c r="I8605" s="36" t="n">
        <f aca="false">IF(Sens!$I$8601&gt;0,Sens!$I$8603/Sens!$I$8601,Sens!$I$8599)</f>
        <v>2.01589303369541</v>
      </c>
      <c r="J8605" s="36" t="n">
        <f aca="false">IF(Sens!$J$8601&gt;0,Sens!$J$8603/Sens!$J$8601,Sens!$J$8599)</f>
        <v>2.02222793284795</v>
      </c>
      <c r="K8605" s="36" t="n">
        <f aca="false">IF(Sens!$K$8601&gt;0,Sens!$K$8603/Sens!$K$8601,Sens!$K$8599)</f>
        <v>2.02489065478573</v>
      </c>
      <c r="L8605" s="36" t="n">
        <f aca="false">IF(Sens!$L$8601&gt;0,Sens!$L$8603/Sens!$L$8601,Sens!$L$8599)</f>
        <v>2.0260728977417</v>
      </c>
      <c r="M8605" s="36" t="n">
        <f aca="false">IF(Sens!$M$8601&gt;0,Sens!$M$8603/Sens!$M$8601,Sens!$M$8599)</f>
        <v>2.02638170661685</v>
      </c>
    </row>
    <row r="8606" customFormat="false" ht="17.15" hidden="false" customHeight="false" outlineLevel="0" collapsed="false">
      <c r="A8606" s="15" t="s">
        <v>612</v>
      </c>
      <c r="B8606" s="14" t="s">
        <v>173</v>
      </c>
      <c r="C8606" s="14"/>
      <c r="D8606" s="14"/>
      <c r="E8606" s="14"/>
      <c r="F8606" s="37" t="n">
        <f aca="false">Sens!$F$8604*k_B</f>
        <v>10.7987645808025</v>
      </c>
      <c r="G8606" s="37" t="n">
        <f aca="false">Sens!$G$8604*k_B</f>
        <v>10.7987645808025</v>
      </c>
      <c r="H8606" s="37" t="n">
        <f aca="false">Sens!$H$8604*k_B</f>
        <v>11.0201444540452</v>
      </c>
      <c r="I8606" s="37" t="n">
        <f aca="false">Sens!$I$8604*k_B</f>
        <v>11.1972483526393</v>
      </c>
      <c r="J8606" s="37" t="n">
        <f aca="false">Sens!$J$8604*k_B</f>
        <v>11.2731500234653</v>
      </c>
      <c r="K8606" s="37" t="n">
        <f aca="false">Sens!$K$8604*k_B</f>
        <v>11.3050534585724</v>
      </c>
      <c r="L8606" s="37" t="n">
        <f aca="false">Sens!$L$8604*k_B</f>
        <v>11.3192185168503</v>
      </c>
      <c r="M8606" s="37" t="n">
        <f aca="false">Sens!$M$8604*k_B</f>
        <v>11.3229185141234</v>
      </c>
      <c r="N8606" s="14"/>
      <c r="O8606" s="14"/>
      <c r="P8606" s="5" t="s">
        <v>613</v>
      </c>
    </row>
    <row r="8607" customFormat="false" ht="17.15" hidden="false" customHeight="false" outlineLevel="0" collapsed="false">
      <c r="A8607" s="5" t="s">
        <v>614</v>
      </c>
      <c r="B8607" s="0" t="s">
        <v>129</v>
      </c>
      <c r="F8607" s="32" t="n">
        <f aca="false">Sens!$F$8601/2</f>
        <v>908.575</v>
      </c>
      <c r="H8607" s="32" t="n">
        <f aca="false">(Sens!$G$8601+Sens!$H$8601)/2</f>
        <v>3634.3</v>
      </c>
      <c r="I8607" s="32" t="n">
        <f aca="false">(Sens!$H$8601+Sens!$I$8601)/2</f>
        <v>7268.6</v>
      </c>
      <c r="J8607" s="32" t="n">
        <f aca="false">(Sens!$I$8601+Sens!$J$8601)/2</f>
        <v>10902.9</v>
      </c>
      <c r="K8607" s="32" t="n">
        <f aca="false">(Sens!$J$8601+Sens!$K$8601)/2</f>
        <v>14005.4835833333</v>
      </c>
      <c r="L8607" s="32" t="n">
        <f aca="false">(Sens!$K$8601+Sens!$L$8601)/2</f>
        <v>16044.6343333333</v>
      </c>
      <c r="M8607" s="32" t="n">
        <f aca="false">(Sens!$L$8601+Sens!$M$8601)/2</f>
        <v>17020.35225</v>
      </c>
    </row>
    <row r="8608" customFormat="false" ht="17.15" hidden="false" customHeight="false" outlineLevel="0" collapsed="false">
      <c r="A8608" s="1" t="s">
        <v>615</v>
      </c>
    </row>
    <row r="8609" customFormat="false" ht="17.15" hidden="false" customHeight="false" outlineLevel="0" collapsed="false">
      <c r="A8609" s="1" t="s">
        <v>616</v>
      </c>
      <c r="B8609" s="8" t="s">
        <v>86</v>
      </c>
      <c r="C8609" s="38" t="n">
        <f aca="false">Sens!$C$8592*rpm_open*Sens!$C$8593/1000</f>
        <v>2.32100535697364</v>
      </c>
      <c r="D8609" s="38" t="n">
        <f aca="false">Sens!$D$8592*rpm_open*Sens!$D$8593/1000</f>
        <v>8.70377008865116</v>
      </c>
      <c r="E8609" s="38" t="n">
        <f aca="false">Sens!$E$8592*rpm_open*Sens!$E$8593/1000</f>
        <v>8.51035297557002</v>
      </c>
      <c r="F8609" s="38" t="n">
        <f aca="false">(mw_open*rpm_open+Sens!$F$8607*Sens!$F$8606)*Sens!$F$8593/1000</f>
        <v>14.9634336447205</v>
      </c>
      <c r="G8609" s="38" t="n">
        <f aca="false">Sens!$E$8609+Sens!$F$8609</f>
        <v>23.4737866202905</v>
      </c>
      <c r="H8609" s="38" t="n">
        <f aca="false">(mw_open*rpm_open+Sens!$H$8607*Sens!$H$8606)/1000</f>
        <v>60.1658907497746</v>
      </c>
      <c r="I8609" s="38" t="n">
        <f aca="false">(mw_open*rpm_open+Sens!$I$8607*Sens!$I$8606)/1000</f>
        <v>101.503699136432</v>
      </c>
      <c r="J8609" s="38" t="n">
        <f aca="false">(mw_open*rpm_open+Sens!$J$8607*Sens!$J$8606)/1000</f>
        <v>143.025407151278</v>
      </c>
      <c r="K8609" s="38" t="n">
        <f aca="false">(mw_open*rpm_open+Sens!$K$8607*Sens!$K$8606)/1000</f>
        <v>178.44812038318</v>
      </c>
      <c r="L8609" s="38" t="n">
        <f aca="false">(mw_open*rpm_open+Sens!$L$8607*Sens!$L$8606)/1000</f>
        <v>201.728101802396</v>
      </c>
      <c r="M8609" s="38" t="n">
        <f aca="false">(mw_open*rpm_open+Sens!$M$8607*Sens!$M$8606)/1000</f>
        <v>212.835441368865</v>
      </c>
      <c r="N8609" s="38" t="n">
        <f aca="false">Sens!$N$8592*rpm_open*Sens!$N$8593/1000</f>
        <v>3.04631953102791</v>
      </c>
      <c r="O8609" s="38" t="n">
        <f aca="false">Sens!$O$8592*rpm_open*Sens!$O$8593/1000</f>
        <v>5.65745055762326</v>
      </c>
      <c r="P8609" s="5" t="s">
        <v>617</v>
      </c>
    </row>
    <row r="8610" customFormat="false" ht="17.15" hidden="false" customHeight="false" outlineLevel="0" collapsed="false">
      <c r="A8610" s="5" t="s">
        <v>618</v>
      </c>
      <c r="B8610" s="0" t="s">
        <v>173</v>
      </c>
      <c r="C8610" s="36" t="n">
        <f aca="false">Sens!$C$8609*1000/(Sens!$C$8592*Sens!$C$8593)</f>
        <v>9.67085565405685</v>
      </c>
      <c r="D8610" s="36" t="n">
        <f aca="false">Sens!$D$8609*1000/(Sens!$D$8592*Sens!$D$8593)</f>
        <v>9.67085565405685</v>
      </c>
      <c r="E8610" s="36" t="n">
        <f aca="false">Sens!$E$8609*1000/(Sens!$E$8592*Sens!$E$8593)</f>
        <v>9.67085565405685</v>
      </c>
      <c r="F8610" s="36" t="n">
        <f aca="false">Sens!$F$8609*1000/(Sens!$F$8592*Sens!$F$8593)</f>
        <v>10.0137581588017</v>
      </c>
      <c r="G8610" s="36" t="n">
        <f aca="false">Sens!$G$8609*1000/(Sens!$G$8592*Sens!$G$8593)</f>
        <v>9.88666562928478</v>
      </c>
      <c r="H8610" s="36" t="n">
        <f aca="false">Sens!$H$8609*1000/(Sens!$H$8592*Sens!$H$8593)</f>
        <v>10.5290045586992</v>
      </c>
      <c r="I8610" s="36" t="n">
        <f aca="false">Sens!$I$8609*1000/(Sens!$I$8592*Sens!$I$8593)</f>
        <v>10.8576363451674</v>
      </c>
      <c r="J8610" s="36" t="n">
        <f aca="false">Sens!$J$8609*1000/(Sens!$J$8592*Sens!$J$8593)</f>
        <v>11.0164452588619</v>
      </c>
      <c r="K8610" s="36" t="n">
        <f aca="false">Sens!$K$8609*1000/(Sens!$K$8592*Sens!$K$8593)</f>
        <v>11.0937367508227</v>
      </c>
      <c r="L8610" s="36" t="n">
        <f aca="false">Sens!$L$8609*1000/(Sens!$L$8592*Sens!$L$8593)</f>
        <v>11.1300508519168</v>
      </c>
      <c r="M8610" s="36" t="n">
        <f aca="false">Sens!$M$8609*1000/(Sens!$M$8592*Sens!$M$8593)</f>
        <v>11.1430113216297</v>
      </c>
      <c r="N8610" s="36" t="n">
        <f aca="false">Sens!$N$8609*1000/(Sens!$N$8592*Sens!$N$8593)</f>
        <v>9.67085565405685</v>
      </c>
      <c r="O8610" s="36" t="n">
        <f aca="false">Sens!$O$8609*1000/(Sens!$O$8592*Sens!$O$8593)</f>
        <v>9.67085565405685</v>
      </c>
    </row>
    <row r="8611" customFormat="false" ht="17.15" hidden="false" customHeight="false" outlineLevel="0" collapsed="false">
      <c r="A8611" s="0" t="s">
        <v>619</v>
      </c>
      <c r="B8611" s="0" t="s">
        <v>86</v>
      </c>
      <c r="C8611" s="38" t="n">
        <f aca="false">Sens!$C$8592/ext_sh*(ox_open+rent_mw)*Sens!$C$8593/1000</f>
        <v>0.642569210675032</v>
      </c>
      <c r="D8611" s="38" t="n">
        <f aca="false">Sens!$D$8592/ext_sh*(ox_open+rent_mw)*Sens!$D$8593/1000</f>
        <v>2.40963454003137</v>
      </c>
      <c r="E8611" s="38" t="n">
        <f aca="false">Sens!$E$8592/ext_sh*(ox_open+rent_mw)*Sens!$E$8593/1000</f>
        <v>2.35608710580845</v>
      </c>
      <c r="F8611" s="38" t="n">
        <f aca="false">((mw_open*ox_open+Sens!$F$8607*Sens!$F$8605)/ext_sh+Sens!$F$8592/ext_sh*rent_mw)*Sens!$F$8593/1000</f>
        <v>4.05421991106232</v>
      </c>
      <c r="G8611" s="38" t="n">
        <f aca="false">Sens!$E$8611+Sens!$F$8611</f>
        <v>6.41030701687077</v>
      </c>
      <c r="H8611" s="38" t="n">
        <f aca="false">((mw_open*ox_open+Sens!$H$8607*Sens!$H$8605)/ext_sh+Sens!$H$8592/ext_sh*rent_mw)*Sens!$H$8593/1000</f>
        <v>15.8108975546616</v>
      </c>
      <c r="I8611" s="38" t="n">
        <f aca="false">((mw_open*ox_open+Sens!$I$8607*Sens!$I$8605)/ext_sh+Sens!$I$8592/ext_sh*rent_mw)*Sens!$I$8593/1000</f>
        <v>26.1871623400817</v>
      </c>
      <c r="J8611" s="38" t="n">
        <f aca="false">((mw_open*ox_open+Sens!$J$8607*Sens!$J$8605)/ext_sh+Sens!$J$8592/ext_sh*rent_mw)*Sens!$J$8593/1000</f>
        <v>36.5826128954935</v>
      </c>
      <c r="K8611" s="38" t="n">
        <f aca="false">((mw_open*ox_open+Sens!$K$8607*Sens!$K$8605)/ext_sh+Sens!$K$8592/ext_sh*rent_mw)*Sens!$K$8593/1000</f>
        <v>45.4546361137628</v>
      </c>
      <c r="L8611" s="38" t="n">
        <f aca="false">((mw_open*ox_open+Sens!$L$8607*Sens!$L$8605)/ext_sh+Sens!$L$8592/ext_sh*rent_mw)*Sens!$L$8593/1000</f>
        <v>51.2855695554452</v>
      </c>
      <c r="M8611" s="38" t="n">
        <f aca="false">((mw_open*ox_open+Sens!$M$8607*Sens!$M$8605)/ext_sh+Sens!$M$8592/ext_sh*rent_mw)*Sens!$M$8593/1000</f>
        <v>54.0722927838398</v>
      </c>
      <c r="N8611" s="38" t="n">
        <f aca="false">Sens!$N$8592/ext_sh*(ox_open+rent_mw)*Sens!$N$8593/1000</f>
        <v>0.84337208901098</v>
      </c>
      <c r="O8611" s="38" t="n">
        <f aca="false">Sens!$O$8592/ext_sh*(ox_open+rent_mw)*Sens!$O$8593/1000</f>
        <v>1.56626245102039</v>
      </c>
    </row>
    <row r="8612" customFormat="false" ht="17.15" hidden="false" customHeight="false" outlineLevel="0" collapsed="false">
      <c r="A8612" s="0" t="s">
        <v>620</v>
      </c>
      <c r="B8612" s="0" t="s">
        <v>86</v>
      </c>
      <c r="C8612" s="38" t="n">
        <f aca="false">Q!$D$7</f>
        <v>107.556</v>
      </c>
      <c r="D8612" s="38" t="n">
        <f aca="false">Q!$E$7</f>
        <v>128.725</v>
      </c>
      <c r="E8612" s="38" t="n">
        <f aca="false">Q!$P$7</f>
        <v>79.819</v>
      </c>
      <c r="N8612" s="38" t="n">
        <f aca="false">Q!$N$7</f>
        <v>60.14</v>
      </c>
      <c r="O8612" s="38" t="n">
        <f aca="false">Q!$O$7</f>
        <v>68.585</v>
      </c>
    </row>
    <row r="8613" customFormat="false" ht="17.15" hidden="false" customHeight="false" outlineLevel="0" collapsed="false">
      <c r="A8613" s="1" t="s">
        <v>621</v>
      </c>
      <c r="B8613" s="8" t="s">
        <v>86</v>
      </c>
      <c r="C8613" s="38" t="n">
        <f aca="false">Sens!$C$8612-Sens!$C$8609</f>
        <v>105.234994643026</v>
      </c>
      <c r="D8613" s="38" t="n">
        <f aca="false">Sens!$D$8612-Sens!$D$8609</f>
        <v>120.021229911349</v>
      </c>
      <c r="E8613" s="38" t="n">
        <f aca="false">Sens!$E$8612-Sens!$E$8609</f>
        <v>71.30864702443</v>
      </c>
      <c r="F8613" s="38" t="n">
        <f aca="false">Sens!$O$8613*(1+Sens!$F$8614)</f>
        <v>71.7692997942464</v>
      </c>
      <c r="G8613" s="38" t="n">
        <f aca="false">Sens!$E$8613+Sens!$F$8613</f>
        <v>143.077946818676</v>
      </c>
      <c r="H8613" s="38" t="n">
        <f aca="false">Sens!$G$8613*(1+Sens!$H$8614)</f>
        <v>161.017077079203</v>
      </c>
      <c r="I8613" s="38" t="n">
        <f aca="false">Sens!$H$8613*(1+Sens!$I$8614)</f>
        <v>178.769759521457</v>
      </c>
      <c r="J8613" s="38" t="n">
        <f aca="false">Sens!$I$8613*(1+Sens!$J$8614)</f>
        <v>195.775538045907</v>
      </c>
      <c r="K8613" s="38" t="n">
        <f aca="false">Sens!$J$8613*(1+Sens!$K$8614)</f>
        <v>211.43758108958</v>
      </c>
      <c r="L8613" s="38" t="n">
        <f aca="false">Sens!$K$8613*(1+Sens!$L$8614)</f>
        <v>228.352587576746</v>
      </c>
      <c r="M8613" s="38" t="n">
        <f aca="false">Sens!$L$8613*(1+Sens!$M$8614)</f>
        <v>246.620794582886</v>
      </c>
      <c r="N8613" s="38" t="n">
        <f aca="false">Sens!$N$8612-Sens!$N$8609</f>
        <v>57.0936804689721</v>
      </c>
      <c r="O8613" s="38" t="n">
        <f aca="false">Sens!$O$8612-Sens!$O$8609</f>
        <v>62.9275494423768</v>
      </c>
      <c r="P8613" s="5" t="s">
        <v>622</v>
      </c>
    </row>
    <row r="8614" customFormat="false" ht="17.15" hidden="false" customHeight="false" outlineLevel="0" collapsed="false">
      <c r="A8614" s="0" t="s">
        <v>623</v>
      </c>
      <c r="B8614" s="0" t="s">
        <v>52</v>
      </c>
      <c r="D8614" s="13" t="n">
        <f aca="false">Sens!$D$8613/Sens!$C$8613-1</f>
        <v>0.140506827776062</v>
      </c>
      <c r="E8614" s="13" t="n">
        <f aca="false">Sens!$E$8613/Sens!$N$8613-1</f>
        <v>0.248976181579029</v>
      </c>
      <c r="F8614" s="13" t="n">
        <f aca="false">Sens!$D$8614</f>
        <v>0.140506827776062</v>
      </c>
      <c r="G8614" s="13" t="n">
        <f aca="false">Sens!$G$8613/Sens!$D$8613-1</f>
        <v>0.19210532106993</v>
      </c>
      <c r="H8614" s="13" t="n">
        <f aca="false">Sens!$F$8614+(g_awso_lt-Sens!$F$8614)*1/4</f>
        <v>0.125380120832046</v>
      </c>
      <c r="I8614" s="13" t="n">
        <f aca="false">Sens!$F$8614+(g_awso_lt-Sens!$F$8614)*2/4</f>
        <v>0.110253413888031</v>
      </c>
      <c r="J8614" s="13" t="n">
        <f aca="false">Sens!$F$8614+(g_awso_lt-Sens!$F$8614)*3/4</f>
        <v>0.0951267069440154</v>
      </c>
      <c r="K8614" s="13" t="n">
        <f aca="false">Sens!$F$8614+(g_awso_lt-Sens!$F$8614)*4/4</f>
        <v>0.08</v>
      </c>
      <c r="L8614" s="13" t="n">
        <f aca="false">g_awso_lt</f>
        <v>0.08</v>
      </c>
      <c r="M8614" s="13" t="n">
        <f aca="false">g_awso_lt</f>
        <v>0.08</v>
      </c>
      <c r="P8614" s="5" t="s">
        <v>624</v>
      </c>
    </row>
    <row r="8615" customFormat="false" ht="17.15" hidden="false" customHeight="false" outlineLevel="0" collapsed="false">
      <c r="A8615" s="1" t="s">
        <v>625</v>
      </c>
    </row>
    <row r="8616" customFormat="false" ht="17.15" hidden="false" customHeight="false" outlineLevel="0" collapsed="false">
      <c r="A8616" s="0" t="s">
        <v>626</v>
      </c>
      <c r="B8616" s="0" t="s">
        <v>86</v>
      </c>
      <c r="F8616" s="38" t="n">
        <f aca="false">cx_rt*Sens!$F$8581+cx_awso*Sens!$F$8613</f>
        <v>34.9734495387866</v>
      </c>
    </row>
    <row r="8617" customFormat="false" ht="17.15" hidden="false" customHeight="false" outlineLevel="0" collapsed="false">
      <c r="A8617" s="0" t="s">
        <v>627</v>
      </c>
      <c r="B8617" s="0" t="s">
        <v>52</v>
      </c>
      <c r="C8617" s="13" t="n">
        <f aca="false">tk_cx_h100/(tk_cx_h100+tk_fac*(1-colo_sh))</f>
        <v>0.730756458006641</v>
      </c>
      <c r="D8617" s="13" t="n">
        <f aca="false">tk_cx_h100/(tk_cx_h100+tk_fac*(1-colo_sh))</f>
        <v>0.730756458006641</v>
      </c>
      <c r="E8617" s="13" t="n">
        <f aca="false">Sens!$F$8617</f>
        <v>0.760792334328868</v>
      </c>
      <c r="F8617" s="13" t="n">
        <f aca="false">Sens!$F$8600/(Sens!$F$8600+tk_fac*(1-colo_sh))</f>
        <v>0.760792334328868</v>
      </c>
      <c r="G8617" s="13" t="n">
        <f aca="false">Sens!$G$8600/(Sens!$G$8600+tk_fac*(1-colo_sh))</f>
        <v>0.760792334328868</v>
      </c>
      <c r="H8617" s="13" t="n">
        <f aca="false">Sens!$H$8600/(Sens!$H$8600+tk_fac*(1-colo_sh))</f>
        <v>0.768110668862996</v>
      </c>
      <c r="I8617" s="13" t="n">
        <f aca="false">Sens!$I$8600/(Sens!$I$8600+tk_fac*(1-colo_sh))</f>
        <v>0.77499450139483</v>
      </c>
      <c r="J8617" s="13" t="n">
        <f aca="false">Sens!$J$8600/(Sens!$J$8600+tk_fac*(1-colo_sh))</f>
        <v>0.77499450139483</v>
      </c>
      <c r="K8617" s="13" t="n">
        <f aca="false">Sens!$K$8600/(Sens!$K$8600+tk_fac*(1-colo_sh))</f>
        <v>0.77499450139483</v>
      </c>
      <c r="L8617" s="13" t="n">
        <f aca="false">Sens!$L$8600/(Sens!$L$8600+tk_fac*(1-colo_sh))</f>
        <v>0.77499450139483</v>
      </c>
      <c r="M8617" s="13" t="n">
        <f aca="false">Sens!$M$8600/(Sens!$M$8600+tk_fac*(1-colo_sh))</f>
        <v>0.77499450139483</v>
      </c>
    </row>
    <row r="8618" customFormat="false" ht="17.15" hidden="false" customHeight="false" outlineLevel="0" collapsed="false">
      <c r="A8618" s="1" t="s">
        <v>628</v>
      </c>
      <c r="B8618" s="8" t="s">
        <v>86</v>
      </c>
      <c r="C8618" s="38" t="n">
        <f aca="false">Q!$D$46-cx_rt*Q!$D$16-cx_awso*Sens!$C$8613</f>
        <v>25.2781053077374</v>
      </c>
      <c r="D8618" s="38" t="n">
        <f aca="false">Q!$E$46-cx_rt*Q!$E$16-cx_awso*Sens!$D$8613</f>
        <v>69.5686316310026</v>
      </c>
      <c r="E8618" s="38" t="n">
        <f aca="false">Q!$P$46-cx_rt*Q!$P$16-cx_awso*Sens!$E$8613</f>
        <v>64.1899206485108</v>
      </c>
      <c r="F8618" s="38" t="n">
        <f aca="false">MAX(Sens!$F$8595*(Sens!$F$8600+tk_fac*(1-colo_sh))/1000,capex_g26-Q!$P$46-Sens!$F$8616)</f>
        <v>96.2481299895</v>
      </c>
      <c r="G8618" s="38" t="n">
        <f aca="false">Sens!$E$8618+Sens!$F$8618</f>
        <v>160.438050638011</v>
      </c>
      <c r="H8618" s="38" t="n">
        <f aca="false">Sens!$H$8595*(Sens!$H$8600+tk_fac*(1-colo_sh))/1000+Sens!$H$8619</f>
        <v>198.57136494475</v>
      </c>
      <c r="I8618" s="38" t="n">
        <f aca="false">Sens!$I$8595*(Sens!$I$8600+tk_fac*(1-colo_sh))/1000+Sens!$I$8619</f>
        <v>204.6464699105</v>
      </c>
      <c r="J8618" s="38" t="n">
        <f aca="false">Sens!$J$8595*(Sens!$J$8600+tk_fac*(1-colo_sh))/1000+Sens!$J$8619</f>
        <v>209.8832381105</v>
      </c>
      <c r="K8618" s="38" t="n">
        <f aca="false">Sens!$K$8595*(Sens!$K$8600+tk_fac*(1-colo_sh))/1000+Sens!$K$8619</f>
        <v>155.238385275201</v>
      </c>
      <c r="L8618" s="38" t="n">
        <f aca="false">Sens!$L$8595*(Sens!$L$8600+tk_fac*(1-colo_sh))/1000+Sens!$L$8619</f>
        <v>132.014141639902</v>
      </c>
      <c r="M8618" s="38" t="n">
        <f aca="false">Sens!$M$8595*(Sens!$M$8600+tk_fac*(1-colo_sh))/1000+Sens!$M$8619</f>
        <v>132.230981659852</v>
      </c>
      <c r="P8618" s="5" t="s">
        <v>629</v>
      </c>
      <c r="R8618" s="38" t="n">
        <f aca="false">Q!$C$46-cx_rt*Q!$C$16-cx_awso*(Q!$C$7-mw_ye23/2*rpm_open/1000)</f>
        <v>1.50429979529945</v>
      </c>
      <c r="S8618" s="38" t="n">
        <f aca="false">Sens!$C$8618</f>
        <v>25.2781053077374</v>
      </c>
      <c r="T8618" s="38" t="n">
        <f aca="false">Sens!$D$8618</f>
        <v>69.5686316310026</v>
      </c>
      <c r="U8618" s="38" t="n">
        <f aca="false">Sens!$G$8618</f>
        <v>160.438050638011</v>
      </c>
      <c r="V8618" s="38" t="n">
        <f aca="false">Sens!$H$8618</f>
        <v>198.57136494475</v>
      </c>
      <c r="W8618" s="38" t="n">
        <f aca="false">Sens!$I$8618</f>
        <v>204.6464699105</v>
      </c>
      <c r="X8618" s="38" t="n">
        <f aca="false">Sens!$J$8618</f>
        <v>209.8832381105</v>
      </c>
      <c r="Y8618" s="38" t="n">
        <f aca="false">Sens!$K$8618</f>
        <v>155.238385275201</v>
      </c>
      <c r="Z8618" s="38" t="n">
        <f aca="false">Sens!$L$8618</f>
        <v>132.014141639902</v>
      </c>
      <c r="AA8618" s="38" t="n">
        <f aca="false">Sens!$M$8618</f>
        <v>132.230981659852</v>
      </c>
    </row>
    <row r="8619" customFormat="false" ht="17.15" hidden="false" customHeight="false" outlineLevel="0" collapsed="false">
      <c r="A8619" s="0" t="s">
        <v>630</v>
      </c>
      <c r="B8619" s="0" t="s">
        <v>86</v>
      </c>
      <c r="H8619" s="38" t="n">
        <f aca="false">SUMPRODUCT(--(Sens!$R$8588:$AA$8588=2027-tk_life),Sens!$R$8595:$AA$8595)*Sens!$H$8600/1000</f>
        <v>0</v>
      </c>
      <c r="I8619" s="38" t="n">
        <f aca="false">SUMPRODUCT(--(Sens!$R$8588:$AA$8588=2028-tk_life),Sens!$R$8595:$AA$8595)*Sens!$I$8600/1000</f>
        <v>0</v>
      </c>
      <c r="J8619" s="38" t="n">
        <f aca="false">SUMPRODUCT(--(Sens!$R$8588:$AA$8588=2029-tk_life),Sens!$R$8595:$AA$8595)*Sens!$J$8600/1000</f>
        <v>5.2367682</v>
      </c>
      <c r="K8619" s="38" t="n">
        <f aca="false">SUMPRODUCT(--(Sens!$R$8588:$AA$8588=2030-tk_life),Sens!$R$8595:$AA$8595)*Sens!$K$8600/1000</f>
        <v>10.4735364</v>
      </c>
      <c r="L8619" s="38" t="n">
        <f aca="false">SUMPRODUCT(--(Sens!$R$8588:$AA$8588=2031-tk_life),Sens!$R$8595:$AA$8595)*Sens!$L$8600/1000</f>
        <v>47.1309138</v>
      </c>
      <c r="M8619" s="38" t="n">
        <f aca="false">SUMPRODUCT(--(Sens!$R$8588:$AA$8588=2032-tk_life),Sens!$R$8595:$AA$8595)*Sens!$M$8600/1000</f>
        <v>107.22937485525</v>
      </c>
    </row>
    <row r="8620" customFormat="false" ht="17.15" hidden="false" customHeight="false" outlineLevel="0" collapsed="false">
      <c r="A8620" s="0" t="s">
        <v>631</v>
      </c>
      <c r="B8620" s="0" t="s">
        <v>86</v>
      </c>
      <c r="C8620" s="38" t="n">
        <f aca="false">MIN(Sens!$C$8618,Sens!$C$8595*(tk_cx_h100+tk_fac*(1-colo_sh))/1000)</f>
        <v>11.2938642</v>
      </c>
      <c r="D8620" s="38" t="n">
        <f aca="false">MIN(Sens!$D$8618,Sens!$D$8595*(tk_cx_h100+tk_fac*(1-colo_sh))/1000)</f>
        <v>50.8223889</v>
      </c>
      <c r="E8620" s="38" t="n">
        <f aca="false">MIN(Sens!$E$8618,Sens!$E$8595*(Sens!$F$8600+tk_fac*(1-colo_sh))/1000)</f>
        <v>33.8985792</v>
      </c>
      <c r="F8620" s="38" t="n">
        <f aca="false">Sens!$F$8618</f>
        <v>96.2481299895</v>
      </c>
      <c r="G8620" s="38" t="n">
        <f aca="false">Sens!$E$8620+Sens!$F$8620</f>
        <v>130.1467091895</v>
      </c>
      <c r="H8620" s="38" t="n">
        <f aca="false">Sens!$H$8618</f>
        <v>198.57136494475</v>
      </c>
      <c r="I8620" s="38" t="n">
        <f aca="false">Sens!$I$8618</f>
        <v>204.6464699105</v>
      </c>
      <c r="J8620" s="38" t="n">
        <f aca="false">Sens!$J$8618</f>
        <v>209.8832381105</v>
      </c>
      <c r="K8620" s="38" t="n">
        <f aca="false">Sens!$K$8618</f>
        <v>155.238385275201</v>
      </c>
      <c r="L8620" s="38" t="n">
        <f aca="false">Sens!$L$8618</f>
        <v>132.014141639902</v>
      </c>
      <c r="M8620" s="38" t="n">
        <f aca="false">Sens!$M$8618</f>
        <v>132.230981659852</v>
      </c>
      <c r="P8620" s="5" t="s">
        <v>632</v>
      </c>
      <c r="R8620" s="38" t="n">
        <f aca="false">MIN(Sens!$R$8618,Sens!$R$8595*(tk_cx_h100+tk_fac*(1-colo_sh))/1000)</f>
        <v>1.50429979529945</v>
      </c>
      <c r="S8620" s="38" t="n">
        <f aca="false">Sens!$C$8620</f>
        <v>11.2938642</v>
      </c>
      <c r="T8620" s="38" t="n">
        <f aca="false">Sens!$D$8620</f>
        <v>50.8223889</v>
      </c>
      <c r="U8620" s="38" t="n">
        <f aca="false">Sens!$G$8620</f>
        <v>130.1467091895</v>
      </c>
      <c r="V8620" s="38" t="n">
        <f aca="false">Sens!$H$8620</f>
        <v>198.57136494475</v>
      </c>
      <c r="W8620" s="38" t="n">
        <f aca="false">Sens!$I$8620</f>
        <v>204.6464699105</v>
      </c>
      <c r="X8620" s="38" t="n">
        <f aca="false">Sens!$J$8620</f>
        <v>209.8832381105</v>
      </c>
      <c r="Y8620" s="38" t="n">
        <f aca="false">Sens!$K$8620</f>
        <v>155.238385275201</v>
      </c>
      <c r="Z8620" s="38" t="n">
        <f aca="false">Sens!$L$8620</f>
        <v>132.014141639902</v>
      </c>
      <c r="AA8620" s="38" t="n">
        <f aca="false">Sens!$M$8620</f>
        <v>132.230981659852</v>
      </c>
    </row>
    <row r="8621" customFormat="false" ht="17.15" hidden="false" customHeight="false" outlineLevel="0" collapsed="false">
      <c r="A8621" s="5" t="s">
        <v>633</v>
      </c>
      <c r="B8621" s="0" t="s">
        <v>86</v>
      </c>
      <c r="C8621" s="38" t="n">
        <f aca="false">Sens!$C$8618-Sens!$C$8620</f>
        <v>13.9842411077374</v>
      </c>
      <c r="D8621" s="38" t="n">
        <f aca="false">Sens!$D$8618-Sens!$D$8620</f>
        <v>18.7462427310026</v>
      </c>
      <c r="E8621" s="38" t="n">
        <f aca="false">Sens!$E$8618-Sens!$E$8620</f>
        <v>30.2913414485108</v>
      </c>
      <c r="F8621" s="38" t="n">
        <f aca="false">Sens!$F$8618-Sens!$F$8620</f>
        <v>0</v>
      </c>
      <c r="G8621" s="38" t="n">
        <f aca="false">Sens!$G$8618-Sens!$G$8620</f>
        <v>30.2913414485108</v>
      </c>
      <c r="H8621" s="38" t="n">
        <f aca="false">Sens!$H$8618-Sens!$H$8620</f>
        <v>0</v>
      </c>
      <c r="I8621" s="38" t="n">
        <f aca="false">Sens!$I$8618-Sens!$I$8620</f>
        <v>0</v>
      </c>
      <c r="J8621" s="38" t="n">
        <f aca="false">Sens!$J$8618-Sens!$J$8620</f>
        <v>0</v>
      </c>
      <c r="K8621" s="38" t="n">
        <f aca="false">Sens!$K$8618-Sens!$K$8620</f>
        <v>0</v>
      </c>
      <c r="L8621" s="38" t="n">
        <f aca="false">Sens!$L$8618-Sens!$L$8620</f>
        <v>0</v>
      </c>
      <c r="M8621" s="38" t="n">
        <f aca="false">Sens!$M$8618-Sens!$M$8620</f>
        <v>0</v>
      </c>
    </row>
    <row r="8622" customFormat="false" ht="17.15" hidden="false" customHeight="false" outlineLevel="0" collapsed="false">
      <c r="A8622" s="5" t="s">
        <v>634</v>
      </c>
      <c r="B8622" s="0" t="s">
        <v>86</v>
      </c>
      <c r="C8622" s="38" t="n">
        <f aca="false">Sens!$C$8620*Sens!$C$8617</f>
        <v>8.2530642</v>
      </c>
      <c r="D8622" s="38" t="n">
        <f aca="false">Sens!$D$8620*Sens!$D$8617</f>
        <v>37.1387889</v>
      </c>
      <c r="E8622" s="38" t="n">
        <f aca="false">Sens!$E$8620*Sens!$E$8617</f>
        <v>25.7897792</v>
      </c>
      <c r="F8622" s="38" t="n">
        <f aca="false">Sens!$F$8620*Sens!$F$8617</f>
        <v>73.2248394895</v>
      </c>
      <c r="G8622" s="38" t="n">
        <f aca="false">Sens!$E$8622+Sens!$F$8622</f>
        <v>99.0146186895</v>
      </c>
      <c r="H8622" s="38" t="n">
        <f aca="false">(Sens!$H$8620-Sens!$H$8619)*Sens!$H$8617+Sens!$H$8619</f>
        <v>152.52478394475</v>
      </c>
      <c r="I8622" s="38" t="n">
        <f aca="false">(Sens!$I$8620-Sens!$I$8619)*Sens!$I$8617+Sens!$I$8619</f>
        <v>158.5998889105</v>
      </c>
      <c r="J8622" s="38" t="n">
        <f aca="false">(Sens!$J$8620-Sens!$J$8619)*Sens!$J$8617+Sens!$J$8619</f>
        <v>163.8366571105</v>
      </c>
      <c r="K8622" s="38" t="n">
        <f aca="false">(Sens!$K$8620-Sens!$K$8619)*Sens!$K$8617+Sens!$K$8619</f>
        <v>122.665498273534</v>
      </c>
      <c r="L8622" s="38" t="n">
        <f aca="false">(Sens!$L$8620-Sens!$L$8619)*Sens!$L$8617+Sens!$L$8619</f>
        <v>112.914948636568</v>
      </c>
      <c r="M8622" s="38" t="n">
        <f aca="false">(Sens!$M$8620-Sens!$M$8619)*Sens!$M$8617+Sens!$M$8619</f>
        <v>126.605482654852</v>
      </c>
      <c r="R8622" s="38" t="n">
        <f aca="false">Sens!$R$8620*Sens!$C$8617</f>
        <v>1.09927679019314</v>
      </c>
      <c r="S8622" s="38" t="n">
        <f aca="false">Sens!$C$8622</f>
        <v>8.2530642</v>
      </c>
      <c r="T8622" s="38" t="n">
        <f aca="false">Sens!$D$8622</f>
        <v>37.1387889</v>
      </c>
      <c r="U8622" s="38" t="n">
        <f aca="false">Sens!$G$8622</f>
        <v>99.0146186895</v>
      </c>
      <c r="V8622" s="38" t="n">
        <f aca="false">Sens!$H$8622</f>
        <v>152.52478394475</v>
      </c>
      <c r="W8622" s="38" t="n">
        <f aca="false">Sens!$I$8622</f>
        <v>158.5998889105</v>
      </c>
      <c r="X8622" s="38" t="n">
        <f aca="false">Sens!$J$8622</f>
        <v>163.8366571105</v>
      </c>
      <c r="Y8622" s="38" t="n">
        <f aca="false">Sens!$K$8622</f>
        <v>122.665498273534</v>
      </c>
      <c r="Z8622" s="38" t="n">
        <f aca="false">Sens!$L$8622</f>
        <v>112.914948636568</v>
      </c>
      <c r="AA8622" s="38" t="n">
        <f aca="false">Sens!$M$8622</f>
        <v>126.605482654852</v>
      </c>
    </row>
    <row r="8623" customFormat="false" ht="15" hidden="false" customHeight="false" outlineLevel="0" collapsed="false">
      <c r="A8623" s="5" t="s">
        <v>635</v>
      </c>
      <c r="B8623" s="0" t="s">
        <v>86</v>
      </c>
      <c r="C8623" s="38" t="n">
        <f aca="false">Sens!$C$8620-Sens!$C$8622</f>
        <v>3.0408</v>
      </c>
      <c r="D8623" s="38" t="n">
        <f aca="false">Sens!$D$8620-Sens!$D$8622</f>
        <v>13.6836</v>
      </c>
      <c r="E8623" s="38" t="n">
        <f aca="false">Sens!$E$8620-Sens!$E$8622</f>
        <v>8.1088</v>
      </c>
      <c r="F8623" s="38" t="n">
        <f aca="false">Sens!$F$8620-Sens!$F$8622</f>
        <v>23.0232905</v>
      </c>
      <c r="G8623" s="38" t="n">
        <f aca="false">Sens!$G$8620-Sens!$G$8622</f>
        <v>31.1320905</v>
      </c>
      <c r="H8623" s="38" t="n">
        <f aca="false">Sens!$H$8620-Sens!$H$8622</f>
        <v>46.046581</v>
      </c>
      <c r="I8623" s="38" t="n">
        <f aca="false">Sens!$I$8620-Sens!$I$8622</f>
        <v>46.046581</v>
      </c>
      <c r="J8623" s="38" t="n">
        <f aca="false">Sens!$J$8620-Sens!$J$8622</f>
        <v>46.046581</v>
      </c>
      <c r="K8623" s="38" t="n">
        <f aca="false">Sens!$K$8620-Sens!$K$8622</f>
        <v>32.5728870016667</v>
      </c>
      <c r="L8623" s="38" t="n">
        <f aca="false">Sens!$L$8620-Sens!$L$8622</f>
        <v>19.0991930033334</v>
      </c>
      <c r="M8623" s="38" t="n">
        <f aca="false">Sens!$M$8620-Sens!$M$8622</f>
        <v>5.62549900499998</v>
      </c>
      <c r="R8623" s="38" t="n">
        <f aca="false">Sens!$R$8620-Sens!$R$8622</f>
        <v>0.405023005106309</v>
      </c>
      <c r="S8623" s="38" t="n">
        <f aca="false">Sens!$S$8620-Sens!$S$8622</f>
        <v>3.0408</v>
      </c>
      <c r="T8623" s="38" t="n">
        <f aca="false">Sens!$T$8620-Sens!$T$8622</f>
        <v>13.6836</v>
      </c>
      <c r="U8623" s="38" t="n">
        <f aca="false">Sens!$U$8620-Sens!$U$8622</f>
        <v>31.1320905</v>
      </c>
      <c r="V8623" s="38" t="n">
        <f aca="false">Sens!$V$8620-Sens!$V$8622</f>
        <v>46.046581</v>
      </c>
      <c r="W8623" s="38" t="n">
        <f aca="false">Sens!$W$8620-Sens!$W$8622</f>
        <v>46.046581</v>
      </c>
      <c r="X8623" s="38" t="n">
        <f aca="false">Sens!$X$8620-Sens!$X$8622</f>
        <v>46.046581</v>
      </c>
      <c r="Y8623" s="38" t="n">
        <f aca="false">Sens!$Y$8620-Sens!$Y$8622</f>
        <v>32.5728870016667</v>
      </c>
      <c r="Z8623" s="38" t="n">
        <f aca="false">Sens!$Z$8620-Sens!$Z$8622</f>
        <v>19.0991930033334</v>
      </c>
      <c r="AA8623" s="38" t="n">
        <f aca="false">Sens!$AA$8620-Sens!$AA$8622</f>
        <v>5.62549900499998</v>
      </c>
    </row>
    <row r="8624" customFormat="false" ht="17.15" hidden="false" customHeight="false" outlineLevel="0" collapsed="false">
      <c r="A8624" s="0" t="s">
        <v>636</v>
      </c>
      <c r="B8624" s="0" t="s">
        <v>52</v>
      </c>
      <c r="C8624" s="13" t="n">
        <f aca="false">Sens!$C$8618/Sens!$C$8740</f>
        <v>0.325505489553393</v>
      </c>
      <c r="D8624" s="13" t="n">
        <f aca="false">Sens!$D$8618/Sens!$D$8740</f>
        <v>0.54214956071542</v>
      </c>
      <c r="E8624" s="13" t="n">
        <f aca="false">Sens!$E$8618/Sens!$E$8740</f>
        <v>0.666492790452817</v>
      </c>
      <c r="F8624" s="13" t="n">
        <f aca="false">Sens!$F$8618/Sens!$F$8740</f>
        <v>0.733477910687338</v>
      </c>
      <c r="G8624" s="13" t="n">
        <f aca="false">Sens!$G$8618/Sens!$G$8740</f>
        <v>0.705124321514523</v>
      </c>
      <c r="H8624" s="13" t="n">
        <f aca="false">Sens!$H$8618/Sens!$H$8740</f>
        <v>0.726376041178204</v>
      </c>
      <c r="I8624" s="13" t="n">
        <f aca="false">Sens!$I$8618/Sens!$I$8740</f>
        <v>0.713099092661699</v>
      </c>
      <c r="J8624" s="13" t="n">
        <f aca="false">Sens!$J$8618/Sens!$J$8740</f>
        <v>0.701208348786245</v>
      </c>
      <c r="K8624" s="13" t="n">
        <f aca="false">Sens!$K$8618/Sens!$K$8740</f>
        <v>0.618338844562383</v>
      </c>
      <c r="L8624" s="13" t="n">
        <f aca="false">Sens!$L$8618/Sens!$L$8740</f>
        <v>0.562489158462506</v>
      </c>
      <c r="M8624" s="13" t="n">
        <f aca="false">Sens!$M$8618/Sens!$M$8740</f>
        <v>0.545751190895923</v>
      </c>
    </row>
    <row r="8625" customFormat="false" ht="17.15" hidden="false" customHeight="false" outlineLevel="0" collapsed="false">
      <c r="A8625" s="0" t="s">
        <v>637</v>
      </c>
      <c r="B8625" s="0" t="s">
        <v>86</v>
      </c>
      <c r="C8625" s="38" t="n">
        <f aca="false">Sens!$S$8625</f>
        <v>0.183212798365523</v>
      </c>
      <c r="D8625" s="38" t="n">
        <f aca="false">Sens!$T$8625</f>
        <v>1.55872349836552</v>
      </c>
      <c r="E8625" s="38" t="n">
        <f aca="false">Sens!$G$8625/2</f>
        <v>3.87426082418276</v>
      </c>
      <c r="F8625" s="38" t="n">
        <f aca="false">Sens!$G$8625/2</f>
        <v>3.87426082418276</v>
      </c>
      <c r="G8625" s="38" t="n">
        <f aca="false">Sens!$U$8625</f>
        <v>7.74852164836552</v>
      </c>
      <c r="H8625" s="38" t="n">
        <f aca="false">Sens!$V$8625</f>
        <v>24.2509580966155</v>
      </c>
      <c r="I8625" s="38" t="n">
        <f aca="false">Sens!$W$8625</f>
        <v>49.6717554207405</v>
      </c>
      <c r="J8625" s="38" t="n">
        <f aca="false">Sens!$X$8625</f>
        <v>76.1050702391572</v>
      </c>
      <c r="K8625" s="38" t="n">
        <f aca="false">Sens!$Y$8625</f>
        <v>103.227966959208</v>
      </c>
      <c r="L8625" s="38" t="n">
        <f aca="false">Sens!$Z$8625</f>
        <v>122.296705971464</v>
      </c>
      <c r="M8625" s="38" t="n">
        <f aca="false">Sens!$AA$8625</f>
        <v>134.926065927559</v>
      </c>
      <c r="N8625" s="38" t="n">
        <f aca="false">Sens!$D$8625/2</f>
        <v>0.779361749182762</v>
      </c>
      <c r="O8625" s="38" t="n">
        <f aca="false">Sens!$D$8625/2</f>
        <v>0.779361749182762</v>
      </c>
      <c r="R8625" s="38" t="n">
        <f aca="false">SUMPRODUCT(--(Sens!$R$8588:$AA$8588&lt;Sens!R$8588),--(Sens!$R$8588:$AA$8588&gt;=Sens!R$8588-tk_life),Sens!$R$8622:$AA$8622)/tk_life</f>
        <v>0</v>
      </c>
      <c r="S8625" s="38" t="n">
        <f aca="false">SUMPRODUCT(--(Sens!$R$8588:$AA$8588&lt;Sens!S$8588),--(Sens!$R$8588:$AA$8588&gt;=Sens!S$8588-tk_life),Sens!$R$8622:$AA$8622)/tk_life</f>
        <v>0.183212798365523</v>
      </c>
      <c r="T8625" s="38" t="n">
        <f aca="false">SUMPRODUCT(--(Sens!$R$8588:$AA$8588&lt;Sens!T$8588),--(Sens!$R$8588:$AA$8588&gt;=Sens!T$8588-tk_life),Sens!$R$8622:$AA$8622)/tk_life</f>
        <v>1.55872349836552</v>
      </c>
      <c r="U8625" s="38" t="n">
        <f aca="false">SUMPRODUCT(--(Sens!$R$8588:$AA$8588&lt;Sens!U$8588),--(Sens!$R$8588:$AA$8588&gt;=Sens!U$8588-tk_life),Sens!$R$8622:$AA$8622)/tk_life</f>
        <v>7.74852164836552</v>
      </c>
      <c r="V8625" s="38" t="n">
        <f aca="false">SUMPRODUCT(--(Sens!$R$8588:$AA$8588&lt;Sens!V$8588),--(Sens!$R$8588:$AA$8588&gt;=Sens!V$8588-tk_life),Sens!$R$8622:$AA$8622)/tk_life</f>
        <v>24.2509580966155</v>
      </c>
      <c r="W8625" s="38" t="n">
        <f aca="false">SUMPRODUCT(--(Sens!$R$8588:$AA$8588&lt;Sens!W$8588),--(Sens!$R$8588:$AA$8588&gt;=Sens!W$8588-tk_life),Sens!$R$8622:$AA$8622)/tk_life</f>
        <v>49.6717554207405</v>
      </c>
      <c r="X8625" s="38" t="n">
        <f aca="false">SUMPRODUCT(--(Sens!$R$8588:$AA$8588&lt;Sens!X$8588),--(Sens!$R$8588:$AA$8588&gt;=Sens!X$8588-tk_life),Sens!$R$8622:$AA$8622)/tk_life</f>
        <v>76.1050702391572</v>
      </c>
      <c r="Y8625" s="38" t="n">
        <f aca="false">SUMPRODUCT(--(Sens!$R$8588:$AA$8588&lt;Sens!Y$8588),--(Sens!$R$8588:$AA$8588&gt;=Sens!Y$8588-tk_life),Sens!$R$8622:$AA$8622)/tk_life</f>
        <v>103.227966959208</v>
      </c>
      <c r="Z8625" s="38" t="n">
        <f aca="false">SUMPRODUCT(--(Sens!$R$8588:$AA$8588&lt;Sens!Z$8588),--(Sens!$R$8588:$AA$8588&gt;=Sens!Z$8588-tk_life),Sens!$R$8622:$AA$8622)/tk_life</f>
        <v>122.296705971464</v>
      </c>
      <c r="AA8625" s="38" t="n">
        <f aca="false">SUMPRODUCT(--(Sens!$R$8588:$AA$8588&lt;Sens!AA$8588),--(Sens!$R$8588:$AA$8588&gt;=Sens!AA$8588-tk_life),Sens!$R$8622:$AA$8622)/tk_life</f>
        <v>134.926065927559</v>
      </c>
    </row>
    <row r="8626" customFormat="false" ht="17.15" hidden="false" customHeight="false" outlineLevel="0" collapsed="false">
      <c r="A8626" s="0" t="s">
        <v>638</v>
      </c>
      <c r="B8626" s="0" t="s">
        <v>86</v>
      </c>
      <c r="C8626" s="38" t="n">
        <f aca="false">Sens!$S$8626</f>
        <v>0.0202511502553155</v>
      </c>
      <c r="D8626" s="38" t="n">
        <f aca="false">Sens!$T$8626</f>
        <v>0.172291150255315</v>
      </c>
      <c r="E8626" s="38" t="n">
        <f aca="false">Sens!$G$8626/2</f>
        <v>0.428235575127658</v>
      </c>
      <c r="F8626" s="38" t="n">
        <f aca="false">Sens!$G$8626/2</f>
        <v>0.428235575127658</v>
      </c>
      <c r="G8626" s="38" t="n">
        <f aca="false">Sens!$U$8626</f>
        <v>0.856471150255315</v>
      </c>
      <c r="H8626" s="38" t="n">
        <f aca="false">Sens!$V$8626</f>
        <v>2.41307567525532</v>
      </c>
      <c r="I8626" s="38" t="n">
        <f aca="false">Sens!$W$8626</f>
        <v>4.71540472525532</v>
      </c>
      <c r="J8626" s="38" t="n">
        <f aca="false">Sens!$X$8626</f>
        <v>7.01773377525532</v>
      </c>
      <c r="K8626" s="38" t="n">
        <f aca="false">Sens!$Y$8626</f>
        <v>9.32006282525532</v>
      </c>
      <c r="L8626" s="38" t="n">
        <f aca="false">Sens!$Z$8626</f>
        <v>10.9487071753387</v>
      </c>
      <c r="M8626" s="38" t="n">
        <f aca="false">Sens!$AA$8626</f>
        <v>11.9036668255053</v>
      </c>
      <c r="N8626" s="38" t="n">
        <f aca="false">Sens!$D$8626/2</f>
        <v>0.0861455751276577</v>
      </c>
      <c r="O8626" s="38" t="n">
        <f aca="false">Sens!$D$8626/2</f>
        <v>0.0861455751276577</v>
      </c>
      <c r="R8626" s="38" t="n">
        <f aca="false">SUMPRODUCT(--(Sens!$R$8588:$AA$8588&lt;Sens!R$8588),Sens!$R$8623:$AA$8623)/fac_life</f>
        <v>0</v>
      </c>
      <c r="S8626" s="38" t="n">
        <f aca="false">SUMPRODUCT(--(Sens!$R$8588:$AA$8588&lt;Sens!S$8588),Sens!$R$8623:$AA$8623)/fac_life</f>
        <v>0.0202511502553155</v>
      </c>
      <c r="T8626" s="38" t="n">
        <f aca="false">SUMPRODUCT(--(Sens!$R$8588:$AA$8588&lt;Sens!T$8588),Sens!$R$8623:$AA$8623)/fac_life</f>
        <v>0.172291150255315</v>
      </c>
      <c r="U8626" s="38" t="n">
        <f aca="false">SUMPRODUCT(--(Sens!$R$8588:$AA$8588&lt;Sens!U$8588),Sens!$R$8623:$AA$8623)/fac_life</f>
        <v>0.856471150255315</v>
      </c>
      <c r="V8626" s="38" t="n">
        <f aca="false">SUMPRODUCT(--(Sens!$R$8588:$AA$8588&lt;Sens!V$8588),Sens!$R$8623:$AA$8623)/fac_life</f>
        <v>2.41307567525532</v>
      </c>
      <c r="W8626" s="38" t="n">
        <f aca="false">SUMPRODUCT(--(Sens!$R$8588:$AA$8588&lt;Sens!W$8588),Sens!$R$8623:$AA$8623)/fac_life</f>
        <v>4.71540472525532</v>
      </c>
      <c r="X8626" s="38" t="n">
        <f aca="false">SUMPRODUCT(--(Sens!$R$8588:$AA$8588&lt;Sens!X$8588),Sens!$R$8623:$AA$8623)/fac_life</f>
        <v>7.01773377525532</v>
      </c>
      <c r="Y8626" s="38" t="n">
        <f aca="false">SUMPRODUCT(--(Sens!$R$8588:$AA$8588&lt;Sens!Y$8588),Sens!$R$8623:$AA$8623)/fac_life</f>
        <v>9.32006282525532</v>
      </c>
      <c r="Z8626" s="38" t="n">
        <f aca="false">SUMPRODUCT(--(Sens!$R$8588:$AA$8588&lt;Sens!Z$8588),Sens!$R$8623:$AA$8623)/fac_life</f>
        <v>10.9487071753387</v>
      </c>
      <c r="AA8626" s="38" t="n">
        <f aca="false">SUMPRODUCT(--(Sens!$R$8588:$AA$8588&lt;Sens!AA$8588),Sens!$R$8623:$AA$8623)/fac_life</f>
        <v>11.9036668255053</v>
      </c>
    </row>
    <row r="8627" customFormat="false" ht="17.15" hidden="false" customHeight="false" outlineLevel="0" collapsed="false">
      <c r="A8627" s="1" t="s">
        <v>639</v>
      </c>
      <c r="B8627" s="8" t="s">
        <v>86</v>
      </c>
      <c r="C8627" s="38" t="n">
        <f aca="false">Sens!$C$8625+Sens!$C$8626</f>
        <v>0.203463948620839</v>
      </c>
      <c r="D8627" s="38" t="n">
        <f aca="false">Sens!$D$8625+Sens!$D$8626</f>
        <v>1.73101464862084</v>
      </c>
      <c r="E8627" s="38" t="n">
        <f aca="false">Sens!$E$8625+Sens!$E$8626</f>
        <v>4.30249639931042</v>
      </c>
      <c r="F8627" s="38" t="n">
        <f aca="false">Sens!$F$8625+Sens!$F$8626</f>
        <v>4.30249639931042</v>
      </c>
      <c r="G8627" s="38" t="n">
        <f aca="false">Sens!$G$8625+Sens!$G$8626</f>
        <v>8.60499279862084</v>
      </c>
      <c r="H8627" s="38" t="n">
        <f aca="false">Sens!$H$8625+Sens!$H$8626</f>
        <v>26.6640337718708</v>
      </c>
      <c r="I8627" s="38" t="n">
        <f aca="false">Sens!$I$8625+Sens!$I$8626</f>
        <v>54.3871601459959</v>
      </c>
      <c r="J8627" s="38" t="n">
        <f aca="false">Sens!$J$8625+Sens!$J$8626</f>
        <v>83.1228040144125</v>
      </c>
      <c r="K8627" s="38" t="n">
        <f aca="false">Sens!$K$8625+Sens!$K$8626</f>
        <v>112.548029784464</v>
      </c>
      <c r="L8627" s="38" t="n">
        <f aca="false">Sens!$L$8625+Sens!$L$8626</f>
        <v>133.245413146803</v>
      </c>
      <c r="M8627" s="38" t="n">
        <f aca="false">Sens!$M$8625+Sens!$M$8626</f>
        <v>146.829732753064</v>
      </c>
      <c r="N8627" s="38" t="n">
        <f aca="false">Sens!$N$8625+Sens!$N$8626</f>
        <v>0.865507324310419</v>
      </c>
      <c r="O8627" s="38" t="n">
        <f aca="false">Sens!$O$8625+Sens!$O$8626</f>
        <v>0.865507324310419</v>
      </c>
      <c r="R8627" s="38" t="n">
        <f aca="false">Sens!$R$8625+Sens!$R$8626</f>
        <v>0</v>
      </c>
      <c r="S8627" s="38" t="n">
        <f aca="false">Sens!$S$8625+Sens!$S$8626</f>
        <v>0.203463948620839</v>
      </c>
      <c r="T8627" s="38" t="n">
        <f aca="false">Sens!$T$8625+Sens!$T$8626</f>
        <v>1.73101464862084</v>
      </c>
      <c r="U8627" s="38" t="n">
        <f aca="false">Sens!$U$8625+Sens!$U$8626</f>
        <v>8.60499279862084</v>
      </c>
      <c r="V8627" s="38" t="n">
        <f aca="false">Sens!$V$8625+Sens!$V$8626</f>
        <v>26.6640337718708</v>
      </c>
      <c r="W8627" s="38" t="n">
        <f aca="false">Sens!$W$8625+Sens!$W$8626</f>
        <v>54.3871601459959</v>
      </c>
      <c r="X8627" s="38" t="n">
        <f aca="false">Sens!$X$8625+Sens!$X$8626</f>
        <v>83.1228040144125</v>
      </c>
      <c r="Y8627" s="38" t="n">
        <f aca="false">Sens!$Y$8625+Sens!$Y$8626</f>
        <v>112.548029784464</v>
      </c>
      <c r="Z8627" s="38" t="n">
        <f aca="false">Sens!$Z$8625+Sens!$Z$8626</f>
        <v>133.245413146803</v>
      </c>
      <c r="AA8627" s="38" t="n">
        <f aca="false">Sens!$AA$8625+Sens!$AA$8626</f>
        <v>146.829732753064</v>
      </c>
    </row>
    <row r="8628" customFormat="false" ht="17.15" hidden="false" customHeight="false" outlineLevel="0" collapsed="false">
      <c r="A8628" s="0" t="s">
        <v>640</v>
      </c>
      <c r="B8628" s="0" t="s">
        <v>86</v>
      </c>
      <c r="C8628" s="38" t="n">
        <f aca="false">Sens!$S$8628</f>
        <v>12.5947000466786</v>
      </c>
      <c r="D8628" s="38" t="n">
        <f aca="false">Sens!$T$8628</f>
        <v>61.6860742980578</v>
      </c>
      <c r="G8628" s="38" t="n">
        <f aca="false">Sens!$U$8628</f>
        <v>183.227790688937</v>
      </c>
      <c r="H8628" s="38" t="n">
        <f aca="false">Sens!$V$8628</f>
        <v>355.135121861816</v>
      </c>
      <c r="I8628" s="38" t="n">
        <f aca="false">Sens!$W$8628</f>
        <v>505.39443162632</v>
      </c>
      <c r="J8628" s="38" t="n">
        <f aca="false">Sens!$X$8628</f>
        <v>632.154865722408</v>
      </c>
      <c r="K8628" s="38" t="n">
        <f aca="false">Sens!$Y$8628</f>
        <v>674.845221213145</v>
      </c>
      <c r="L8628" s="38" t="n">
        <f aca="false">Sens!$Z$8628</f>
        <v>673.613949706244</v>
      </c>
      <c r="M8628" s="38" t="n">
        <f aca="false">Sens!$AA$8628</f>
        <v>659.015198613032</v>
      </c>
      <c r="R8628" s="38" t="n">
        <f aca="false">SUM(Sens!$R$8620:$R$8620)-SUM(Sens!$R$8627:$R$8627)</f>
        <v>1.50429979529945</v>
      </c>
      <c r="S8628" s="38" t="n">
        <f aca="false">SUM(Sens!$R$8620:$S$8620)-SUM(Sens!$R$8627:$S$8627)</f>
        <v>12.5947000466786</v>
      </c>
      <c r="T8628" s="38" t="n">
        <f aca="false">SUM(Sens!$R$8620:$T$8620)-SUM(Sens!$R$8627:$T$8627)</f>
        <v>61.6860742980578</v>
      </c>
      <c r="U8628" s="38" t="n">
        <f aca="false">SUM(Sens!$R$8620:$U$8620)-SUM(Sens!$R$8627:$U$8627)</f>
        <v>183.227790688937</v>
      </c>
      <c r="V8628" s="38" t="n">
        <f aca="false">SUM(Sens!$R$8620:$V$8620)-SUM(Sens!$R$8627:$V$8627)</f>
        <v>355.135121861816</v>
      </c>
      <c r="W8628" s="38" t="n">
        <f aca="false">SUM(Sens!$R$8620:$W$8620)-SUM(Sens!$R$8627:$W$8627)</f>
        <v>505.39443162632</v>
      </c>
      <c r="X8628" s="38" t="n">
        <f aca="false">SUM(Sens!$R$8620:$X$8620)-SUM(Sens!$R$8627:$X$8627)</f>
        <v>632.154865722408</v>
      </c>
      <c r="Y8628" s="38" t="n">
        <f aca="false">SUM(Sens!$R$8620:$Y$8620)-SUM(Sens!$R$8627:$Y$8627)</f>
        <v>674.845221213145</v>
      </c>
      <c r="Z8628" s="38" t="n">
        <f aca="false">SUM(Sens!$R$8620:$Z$8620)-SUM(Sens!$R$8627:$Z$8627)</f>
        <v>673.613949706244</v>
      </c>
      <c r="AA8628" s="38" t="n">
        <f aca="false">SUM(Sens!$R$8620:$AA$8620)-SUM(Sens!$R$8627:$AA$8627)</f>
        <v>659.015198613032</v>
      </c>
    </row>
    <row r="8629" customFormat="false" ht="17.15" hidden="false" customHeight="false" outlineLevel="0" collapsed="false">
      <c r="A8629" s="1" t="s">
        <v>641</v>
      </c>
    </row>
    <row r="8630" customFormat="false" ht="17.15" hidden="false" customHeight="false" outlineLevel="0" collapsed="false">
      <c r="A8630" s="0" t="s">
        <v>642</v>
      </c>
      <c r="B8630" s="0" t="s">
        <v>86</v>
      </c>
      <c r="C8630" s="38" t="n">
        <f aca="false">Sens!$C$8609-ext_sh*Sens!$C$8611</f>
        <v>1.80694998843362</v>
      </c>
      <c r="D8630" s="38" t="n">
        <f aca="false">Sens!$D$8609-ext_sh*Sens!$D$8611</f>
        <v>6.77606245662607</v>
      </c>
      <c r="E8630" s="38" t="n">
        <f aca="false">Sens!$E$8609-ext_sh*Sens!$E$8611</f>
        <v>6.62548329092326</v>
      </c>
      <c r="F8630" s="38" t="n">
        <f aca="false">Sens!$F$8609-ext_sh*Sens!$F$8611</f>
        <v>11.7200577158706</v>
      </c>
      <c r="G8630" s="38" t="n">
        <f aca="false">Sens!$G$8609-ext_sh*Sens!$G$8611</f>
        <v>18.3455410067939</v>
      </c>
      <c r="H8630" s="38" t="n">
        <f aca="false">Sens!$H$8609-ext_sh*Sens!$H$8611</f>
        <v>47.5171727060453</v>
      </c>
      <c r="I8630" s="38" t="n">
        <f aca="false">Sens!$I$8609-ext_sh*Sens!$I$8611</f>
        <v>80.5539692643667</v>
      </c>
      <c r="J8630" s="38" t="n">
        <f aca="false">Sens!$J$8609-ext_sh*Sens!$J$8611</f>
        <v>113.759316834883</v>
      </c>
      <c r="K8630" s="38" t="n">
        <f aca="false">Sens!$K$8609-ext_sh*Sens!$K$8611</f>
        <v>142.084411492169</v>
      </c>
      <c r="L8630" s="38" t="n">
        <f aca="false">Sens!$L$8609-ext_sh*Sens!$L$8611</f>
        <v>160.69964615804</v>
      </c>
      <c r="M8630" s="38" t="n">
        <f aca="false">Sens!$M$8609-ext_sh*Sens!$M$8611</f>
        <v>169.577607141793</v>
      </c>
      <c r="N8630" s="38" t="n">
        <f aca="false">Sens!$N$8609-ext_sh*Sens!$N$8611</f>
        <v>2.37162185981912</v>
      </c>
      <c r="O8630" s="38" t="n">
        <f aca="false">Sens!$O$8609-ext_sh*Sens!$O$8611</f>
        <v>4.40444059680694</v>
      </c>
    </row>
    <row r="8631" customFormat="false" ht="17.15" hidden="false" customHeight="false" outlineLevel="0" collapsed="false">
      <c r="A8631" s="1" t="s">
        <v>643</v>
      </c>
      <c r="B8631" s="8" t="s">
        <v>86</v>
      </c>
      <c r="C8631" s="38" t="n">
        <f aca="false">Sens!$C$8630-ext_sh*Sens!$C$8627</f>
        <v>1.64417882953695</v>
      </c>
      <c r="D8631" s="38" t="n">
        <f aca="false">Sens!$D$8630-ext_sh*Sens!$D$8627</f>
        <v>5.39125073772939</v>
      </c>
      <c r="E8631" s="38" t="n">
        <f aca="false">Sens!$E$8630-ext_sh*Sens!$E$8627</f>
        <v>3.18348617147493</v>
      </c>
      <c r="F8631" s="38" t="n">
        <f aca="false">Sens!$F$8630-ext_sh*Sens!$F$8627</f>
        <v>8.27806059642226</v>
      </c>
      <c r="G8631" s="38" t="n">
        <f aca="false">Sens!$G$8630-ext_sh*Sens!$G$8627</f>
        <v>11.4615467678972</v>
      </c>
      <c r="H8631" s="38" t="n">
        <f aca="false">Sens!$H$8630-ext_sh*Sens!$H$8627</f>
        <v>26.1859456885487</v>
      </c>
      <c r="I8631" s="38" t="n">
        <f aca="false">Sens!$I$8630-ext_sh*Sens!$I$8627</f>
        <v>37.04424114757</v>
      </c>
      <c r="J8631" s="38" t="n">
        <f aca="false">Sens!$J$8630-ext_sh*Sens!$J$8627</f>
        <v>47.2610736233534</v>
      </c>
      <c r="K8631" s="38" t="n">
        <f aca="false">Sens!$K$8630-ext_sh*Sens!$K$8627</f>
        <v>52.0459876645985</v>
      </c>
      <c r="L8631" s="38" t="n">
        <f aca="false">Sens!$L$8630-ext_sh*Sens!$L$8627</f>
        <v>54.1033156405981</v>
      </c>
      <c r="M8631" s="38" t="n">
        <f aca="false">Sens!$M$8630-ext_sh*Sens!$M$8627</f>
        <v>52.1138209393421</v>
      </c>
      <c r="N8631" s="38" t="n">
        <f aca="false">Sens!$N$8630-ext_sh*Sens!$N$8627</f>
        <v>1.67921600037079</v>
      </c>
      <c r="O8631" s="38" t="n">
        <f aca="false">Sens!$O$8630-ext_sh*Sens!$O$8627</f>
        <v>3.71203473735861</v>
      </c>
    </row>
    <row r="8632" customFormat="false" ht="17.15" hidden="false" customHeight="false" outlineLevel="0" collapsed="false">
      <c r="A8632" s="0" t="s">
        <v>644</v>
      </c>
      <c r="B8632" s="0" t="s">
        <v>52</v>
      </c>
      <c r="C8632" s="13" t="n">
        <f aca="false">Sens!$C$8631/Sens!$C$8609</f>
        <v>0.708390794789371</v>
      </c>
      <c r="D8632" s="13" t="n">
        <f aca="false">Sens!$D$8631/Sens!$D$8609</f>
        <v>0.619415573115729</v>
      </c>
      <c r="E8632" s="13" t="n">
        <f aca="false">Sens!$E$8631/Sens!$E$8609</f>
        <v>0.374072166056273</v>
      </c>
      <c r="F8632" s="13" t="n">
        <f aca="false">Sens!$F$8631/Sens!$F$8609</f>
        <v>0.553219320710057</v>
      </c>
      <c r="G8632" s="13" t="n">
        <f aca="false">Sens!$G$8631/Sens!$G$8609</f>
        <v>0.488270041527512</v>
      </c>
      <c r="H8632" s="13" t="n">
        <f aca="false">Sens!$H$8631/Sens!$H$8609</f>
        <v>0.435229086816882</v>
      </c>
      <c r="I8632" s="13" t="n">
        <f aca="false">Sens!$I$8631/Sens!$I$8609</f>
        <v>0.364954592421095</v>
      </c>
      <c r="J8632" s="13" t="n">
        <f aca="false">Sens!$J$8631/Sens!$J$8609</f>
        <v>0.330438308582232</v>
      </c>
      <c r="K8632" s="13" t="n">
        <f aca="false">Sens!$K$8631/Sens!$K$8609</f>
        <v>0.2916589289528</v>
      </c>
      <c r="L8632" s="13" t="n">
        <f aca="false">Sens!$L$8631/Sens!$L$8609</f>
        <v>0.268199200593258</v>
      </c>
      <c r="M8632" s="13" t="n">
        <f aca="false">Sens!$M$8631/Sens!$M$8609</f>
        <v>0.244854995033574</v>
      </c>
      <c r="N8632" s="13" t="n">
        <f aca="false">Sens!$N$8631/Sens!$N$8609</f>
        <v>0.551227795793364</v>
      </c>
      <c r="O8632" s="13" t="n">
        <f aca="false">Sens!$O$8631/Sens!$O$8609</f>
        <v>0.656132068597002</v>
      </c>
    </row>
    <row r="8633" customFormat="false" ht="17.15" hidden="false" customHeight="false" outlineLevel="0" collapsed="false">
      <c r="A8633" s="5" t="s">
        <v>645</v>
      </c>
      <c r="B8633" s="0" t="s">
        <v>86</v>
      </c>
      <c r="C8633" s="39" t="n">
        <v>0</v>
      </c>
      <c r="D8633" s="39" t="n">
        <v>0</v>
      </c>
      <c r="E8633" s="39" t="n">
        <v>0</v>
      </c>
      <c r="F8633" s="38" t="n">
        <f aca="false">IF(internal_ai_reading=2,1,0)*(1-ext_sh)/ext_sh*(mw_open*he_open+Sens!$F$8607*Sens!$F$8604)*Sens!$F$8593/1000</f>
        <v>3.77122048175818</v>
      </c>
      <c r="G8633" s="38" t="n">
        <f aca="false">Sens!$E$8633+Sens!$F$8633</f>
        <v>3.77122048175818</v>
      </c>
      <c r="H8633" s="38" t="n">
        <f aca="false">IF(internal_ai_reading=2,1,0)*(1-ext_sh)/ext_sh*(mw_open*he_open+Sens!$H$8607*Sens!$H$8604)*Sens!$H$8593/1000</f>
        <v>15.1635543609893</v>
      </c>
      <c r="I8633" s="38" t="n">
        <f aca="false">IF(internal_ai_reading=2,1,0)*(1-ext_sh)/ext_sh*(mw_open*he_open+Sens!$I$8607*Sens!$I$8604)*Sens!$I$8593/1000</f>
        <v>25.5818843619889</v>
      </c>
      <c r="J8633" s="38" t="n">
        <f aca="false">IF(internal_ai_reading=2,1,0)*(1-ext_sh)/ext_sh*(mw_open*he_open+Sens!$J$8607*Sens!$J$8604)*Sens!$J$8593/1000</f>
        <v>36.0465624179122</v>
      </c>
      <c r="K8633" s="38" t="n">
        <f aca="false">IF(internal_ai_reading=2,1,0)*(1-ext_sh)/ext_sh*(mw_open*he_open+Sens!$K$8607*Sens!$K$8604)*Sens!$K$8593/1000</f>
        <v>44.9741164026038</v>
      </c>
      <c r="L8633" s="38" t="n">
        <f aca="false">IF(internal_ai_reading=2,1,0)*(1-ext_sh)/ext_sh*(mw_open*he_open+Sens!$L$8607*Sens!$L$8604)*Sens!$L$8593/1000</f>
        <v>50.8413488057813</v>
      </c>
      <c r="M8633" s="38" t="n">
        <f aca="false">IF(internal_ai_reading=2,1,0)*(1-ext_sh)/ext_sh*(mw_open*he_open+Sens!$M$8607*Sens!$M$8604)*Sens!$M$8593/1000</f>
        <v>53.6407214274315</v>
      </c>
      <c r="N8633" s="39" t="n">
        <v>0</v>
      </c>
      <c r="O8633" s="39" t="n">
        <v>0</v>
      </c>
      <c r="P8633" s="8" t="s">
        <v>646</v>
      </c>
    </row>
    <row r="8634" customFormat="false" ht="17.15" hidden="false" customHeight="false" outlineLevel="0" collapsed="false">
      <c r="A8634" s="5" t="s">
        <v>647</v>
      </c>
      <c r="B8634" s="0" t="s">
        <v>86</v>
      </c>
      <c r="C8634" s="38" t="n">
        <f aca="false">(1-ext_sh)*(Sens!$C$8611+Sens!$C$8627)</f>
        <v>0.169206631859174</v>
      </c>
      <c r="D8634" s="38" t="n">
        <f aca="false">(1-ext_sh)*(Sens!$D$8611+Sens!$D$8627)</f>
        <v>0.828129837730442</v>
      </c>
      <c r="E8634" s="38" t="n">
        <f aca="false">(1-ext_sh)*(Sens!$E$8611+Sens!$E$8627)</f>
        <v>1.33171670102377</v>
      </c>
      <c r="F8634" s="38" t="n">
        <f aca="false">(1-ext_sh)*(Sens!$F$8611+Sens!$F$8627)</f>
        <v>1.67134326207455</v>
      </c>
      <c r="G8634" s="38" t="n">
        <f aca="false">(1-ext_sh)*(Sens!$G$8611+Sens!$G$8627)</f>
        <v>3.00305996309832</v>
      </c>
      <c r="H8634" s="38" t="n">
        <f aca="false">(1-ext_sh)*(Sens!$H$8611+Sens!$H$8627)</f>
        <v>8.49498626530648</v>
      </c>
      <c r="I8634" s="38" t="n">
        <f aca="false">(1-ext_sh)*(Sens!$I$8611+Sens!$I$8627)</f>
        <v>16.1148644972155</v>
      </c>
      <c r="J8634" s="38" t="n">
        <f aca="false">(1-ext_sh)*(Sens!$J$8611+Sens!$J$8627)</f>
        <v>23.9410833819812</v>
      </c>
      <c r="K8634" s="38" t="n">
        <f aca="false">(1-ext_sh)*(Sens!$K$8611+Sens!$K$8627)</f>
        <v>31.6005331796453</v>
      </c>
      <c r="L8634" s="38" t="n">
        <f aca="false">(1-ext_sh)*(Sens!$L$8611+Sens!$L$8627)</f>
        <v>36.9061965404496</v>
      </c>
      <c r="M8634" s="38" t="n">
        <f aca="false">(1-ext_sh)*(Sens!$M$8611+Sens!$M$8627)</f>
        <v>40.1804051073808</v>
      </c>
      <c r="N8634" s="38" t="n">
        <f aca="false">(1-ext_sh)*(Sens!$N$8611+Sens!$N$8627)</f>
        <v>0.34177588266428</v>
      </c>
      <c r="O8634" s="38" t="n">
        <f aca="false">(1-ext_sh)*(Sens!$O$8611+Sens!$O$8627)</f>
        <v>0.486353955066162</v>
      </c>
    </row>
    <row r="8635" customFormat="false" ht="17.15" hidden="false" customHeight="false" outlineLevel="0" collapsed="false">
      <c r="A8635" s="0" t="s">
        <v>648</v>
      </c>
      <c r="B8635" s="0" t="s">
        <v>86</v>
      </c>
      <c r="C8635" s="38" t="n">
        <f aca="false">Q!$D$24</f>
        <v>39.834</v>
      </c>
      <c r="D8635" s="38" t="n">
        <f aca="false">Q!$E$24</f>
        <v>45.606</v>
      </c>
      <c r="E8635" s="38" t="n">
        <f aca="false">Q!$P$24</f>
        <v>30.782</v>
      </c>
      <c r="N8635" s="38" t="n">
        <f aca="false">Q!$N$24</f>
        <v>21.707</v>
      </c>
      <c r="O8635" s="38" t="n">
        <f aca="false">Q!$O$24</f>
        <v>23.899</v>
      </c>
    </row>
    <row r="8636" customFormat="false" ht="17.15" hidden="false" customHeight="false" outlineLevel="0" collapsed="false">
      <c r="A8636" s="0" t="s">
        <v>649</v>
      </c>
      <c r="B8636" s="0" t="s">
        <v>86</v>
      </c>
      <c r="C8636" s="38" t="n">
        <f aca="false">Sens!$C$8635-Sens!$C$8631</f>
        <v>38.1898211704631</v>
      </c>
      <c r="D8636" s="38" t="n">
        <f aca="false">Sens!$D$8635-Sens!$D$8631</f>
        <v>40.2147492622706</v>
      </c>
      <c r="E8636" s="38" t="n">
        <f aca="false">Sens!$E$8635-Sens!$E$8631</f>
        <v>27.5985138285251</v>
      </c>
      <c r="F8636" s="38" t="n">
        <f aca="false">Sens!$F$8613*Sens!$F$8637</f>
        <v>25.5484769754606</v>
      </c>
      <c r="G8636" s="38" t="n">
        <f aca="false">Sens!$E$8636+Sens!$F$8636</f>
        <v>53.1469908039857</v>
      </c>
      <c r="H8636" s="38" t="n">
        <f aca="false">Sens!$H$8613*Sens!$H$8637</f>
        <v>57.3189525076539</v>
      </c>
      <c r="I8636" s="38" t="n">
        <f aca="false">Sens!$I$8613*Sens!$I$8637</f>
        <v>63.6385627021087</v>
      </c>
      <c r="J8636" s="38" t="n">
        <f aca="false">Sens!$J$8613*Sens!$J$8637</f>
        <v>69.6922896066105</v>
      </c>
      <c r="K8636" s="38" t="n">
        <f aca="false">Sens!$K$8613*Sens!$K$8637</f>
        <v>75.2676727751394</v>
      </c>
      <c r="L8636" s="38" t="n">
        <f aca="false">Sens!$L$8613*Sens!$L$8637</f>
        <v>81.2890865971505</v>
      </c>
      <c r="M8636" s="38" t="n">
        <f aca="false">Sens!$M$8613*Sens!$M$8637</f>
        <v>87.7922135249226</v>
      </c>
      <c r="N8636" s="38" t="n">
        <f aca="false">Sens!$N$8635-Sens!$N$8631</f>
        <v>20.0277839996292</v>
      </c>
      <c r="O8636" s="38" t="n">
        <f aca="false">Sens!$O$8635-Sens!$O$8631</f>
        <v>20.1869652626414</v>
      </c>
      <c r="P8636" s="5" t="s">
        <v>650</v>
      </c>
    </row>
    <row r="8637" customFormat="false" ht="17.15" hidden="false" customHeight="false" outlineLevel="0" collapsed="false">
      <c r="A8637" s="0" t="s">
        <v>651</v>
      </c>
      <c r="B8637" s="0" t="s">
        <v>52</v>
      </c>
      <c r="C8637" s="13" t="n">
        <f aca="false">Sens!$C$8636/Sens!$C$8613</f>
        <v>0.362900395443635</v>
      </c>
      <c r="D8637" s="13" t="n">
        <f aca="false">Sens!$D$8636/Sens!$D$8613</f>
        <v>0.335063632425483</v>
      </c>
      <c r="E8637" s="13" t="n">
        <f aca="false">Sens!$E$8636/Sens!$E$8613</f>
        <v>0.387028992698038</v>
      </c>
      <c r="F8637" s="13" t="n">
        <f aca="false">(Sens!$O$8636+Sens!$E$8636)/(Sens!$O$8613+Sens!$E$8613)</f>
        <v>0.355980580118587</v>
      </c>
      <c r="G8637" s="13" t="n">
        <f aca="false">Sens!$G$8636/Sens!$G$8613</f>
        <v>0.371454804780916</v>
      </c>
      <c r="H8637" s="13" t="n">
        <f aca="false">Sens!$F$8637</f>
        <v>0.355980580118587</v>
      </c>
      <c r="I8637" s="13" t="n">
        <f aca="false">Sens!$F$8637</f>
        <v>0.355980580118587</v>
      </c>
      <c r="J8637" s="13" t="n">
        <f aca="false">Sens!$F$8637</f>
        <v>0.355980580118587</v>
      </c>
      <c r="K8637" s="13" t="n">
        <f aca="false">Sens!$F$8637</f>
        <v>0.355980580118587</v>
      </c>
      <c r="L8637" s="13" t="n">
        <f aca="false">Sens!$F$8637</f>
        <v>0.355980580118587</v>
      </c>
      <c r="M8637" s="13" t="n">
        <f aca="false">Sens!$F$8637</f>
        <v>0.355980580118587</v>
      </c>
      <c r="N8637" s="13" t="n">
        <f aca="false">Sens!$N$8636/Sens!$N$8613</f>
        <v>0.35078810535806</v>
      </c>
      <c r="O8637" s="13" t="n">
        <f aca="false">Sens!$O$8636/Sens!$O$8613</f>
        <v>0.320796939361619</v>
      </c>
      <c r="P8637" s="8" t="s">
        <v>652</v>
      </c>
    </row>
    <row r="8638" customFormat="false" ht="17.15" hidden="false" customHeight="false" outlineLevel="0" collapsed="false">
      <c r="A8638" s="0" t="s">
        <v>653</v>
      </c>
      <c r="B8638" s="0" t="s">
        <v>52</v>
      </c>
      <c r="D8638" s="13" t="n">
        <f aca="false">(Q!$E$31-ext_sh*Sens!$D$8627)/Sens!$D$8613</f>
        <v>0.167180325480118</v>
      </c>
    </row>
    <row r="8639" customFormat="false" ht="17.15" hidden="false" customHeight="false" outlineLevel="0" collapsed="false">
      <c r="A8639" s="0" t="s">
        <v>654</v>
      </c>
      <c r="B8639" s="0" t="s">
        <v>86</v>
      </c>
      <c r="C8639" s="38" t="n">
        <f aca="false">Q!$D$31</f>
        <v>13.32</v>
      </c>
      <c r="D8639" s="38" t="n">
        <f aca="false">Q!$E$31</f>
        <v>21.45</v>
      </c>
      <c r="E8639" s="38" t="n">
        <f aca="false">Q!$P$31</f>
        <v>15.353</v>
      </c>
      <c r="F8639" s="38" t="n">
        <f aca="false">ext_sh*Sens!$F$8627+Sens!$D$8638*Sens!$F$8613</f>
        <v>15.4404120185306</v>
      </c>
      <c r="G8639" s="38" t="n">
        <f aca="false">Sens!$E$8639+Sens!$F$8639</f>
        <v>30.7934120185306</v>
      </c>
      <c r="H8639" s="38" t="n">
        <f aca="false">ext_sh*Sens!$H$8627+Sens!$D$8638*Sens!$H$8613</f>
        <v>48.250114371455</v>
      </c>
      <c r="I8639" s="38" t="n">
        <f aca="false">ext_sh*Sens!$I$8627+Sens!$D$8638*Sens!$I$8613</f>
        <v>73.3965146995963</v>
      </c>
      <c r="J8639" s="38" t="n">
        <f aca="false">ext_sh*Sens!$J$8627+Sens!$D$8638*Sens!$J$8613</f>
        <v>99.22806138309</v>
      </c>
      <c r="K8639" s="38" t="n">
        <f aca="false">ext_sh*Sens!$K$8627+Sens!$D$8638*Sens!$K$8613</f>
        <v>125.386627452856</v>
      </c>
      <c r="L8639" s="38" t="n">
        <f aca="false">ext_sh*Sens!$L$8627+Sens!$D$8638*Sens!$L$8613</f>
        <v>144.77239043275</v>
      </c>
      <c r="M8639" s="38" t="n">
        <f aca="false">ext_sh*Sens!$M$8627+Sens!$D$8638*Sens!$M$8613</f>
        <v>158.693930910983</v>
      </c>
      <c r="N8639" s="38" t="n">
        <f aca="false">Q!$N$31</f>
        <v>9.234</v>
      </c>
      <c r="O8639" s="38" t="n">
        <f aca="false">Q!$O$31</f>
        <v>12.216</v>
      </c>
    </row>
    <row r="8640" customFormat="false" ht="17.15" hidden="false" customHeight="false" outlineLevel="0" collapsed="false">
      <c r="A8640" s="1" t="s">
        <v>655</v>
      </c>
    </row>
    <row r="8641" customFormat="false" ht="17.15" hidden="false" customHeight="false" outlineLevel="0" collapsed="false">
      <c r="A8641" s="15" t="s">
        <v>656</v>
      </c>
      <c r="B8641" s="14" t="s">
        <v>52</v>
      </c>
      <c r="C8641" s="14"/>
      <c r="D8641" s="14"/>
      <c r="E8641" s="14"/>
      <c r="F8641" s="14"/>
      <c r="G8641" s="17" t="n">
        <f aca="false">Sens!$G$8631*(1-tax)/(ext_sh*(Sens!$D$8628+Sens!$G$8628)/2)</f>
        <v>0.0966870495301478</v>
      </c>
      <c r="H8641" s="17" t="n">
        <f aca="false">Sens!$H$8631*(1-tax)/(ext_sh*(Sens!$G$8628+Sens!$H$8628)/2)</f>
        <v>0.100492020334136</v>
      </c>
      <c r="I8641" s="17" t="n">
        <f aca="false">Sens!$I$8631*(1-tax)/(ext_sh*(Sens!$H$8628+Sens!$I$8628)/2)</f>
        <v>0.0889392292218236</v>
      </c>
      <c r="J8641" s="17" t="n">
        <f aca="false">Sens!$J$8631*(1-tax)/(ext_sh*(Sens!$I$8628+Sens!$J$8628)/2)</f>
        <v>0.0858364613777012</v>
      </c>
      <c r="K8641" s="17" t="n">
        <f aca="false">Sens!$K$8631*(1-tax)/(ext_sh*(Sens!$J$8628+Sens!$K$8628)/2)</f>
        <v>0.08227162714687</v>
      </c>
      <c r="L8641" s="17" t="n">
        <f aca="false">Sens!$L$8631*(1-tax)/(ext_sh*(Sens!$K$8628+Sens!$L$8628)/2)</f>
        <v>0.0828942732763872</v>
      </c>
      <c r="M8641" s="17" t="n">
        <f aca="false">Sens!$M$8631*(1-tax)/(ext_sh*(Sens!$L$8628+Sens!$M$8628)/2)</f>
        <v>0.0807945482347635</v>
      </c>
      <c r="N8641" s="14"/>
      <c r="O8641" s="14"/>
      <c r="P8641" s="8" t="s">
        <v>657</v>
      </c>
    </row>
    <row r="8642" customFormat="false" ht="17.15" hidden="false" customHeight="false" outlineLevel="0" collapsed="false">
      <c r="A8642" s="5" t="s">
        <v>658</v>
      </c>
      <c r="B8642" s="0" t="s">
        <v>57</v>
      </c>
      <c r="H8642" s="36" t="n">
        <f aca="false">Sens!$H$8609*1000/(mw_open*he_open+Sens!$H$8607*Sens!$H$8604)</f>
        <v>0.991949006767191</v>
      </c>
      <c r="I8642" s="36" t="n">
        <f aca="false">Sens!$I$8609*1000/(mw_open*he_open+Sens!$I$8607*Sens!$I$8604)</f>
        <v>0.991949006767191</v>
      </c>
      <c r="J8642" s="36" t="n">
        <f aca="false">Sens!$J$8609*1000/(mw_open*he_open+Sens!$J$8607*Sens!$J$8604)</f>
        <v>0.991949006767191</v>
      </c>
      <c r="K8642" s="36" t="n">
        <f aca="false">Sens!$K$8609*1000/(mw_open*he_open+Sens!$K$8607*Sens!$K$8604)</f>
        <v>0.991949006767191</v>
      </c>
      <c r="L8642" s="36" t="n">
        <f aca="false">Sens!$L$8609*1000/(mw_open*he_open+Sens!$L$8607*Sens!$L$8604)</f>
        <v>0.991949006767191</v>
      </c>
      <c r="M8642" s="36" t="n">
        <f aca="false">Sens!$M$8609*1000/(mw_open*he_open+Sens!$M$8607*Sens!$M$8604)</f>
        <v>0.991949006767191</v>
      </c>
    </row>
    <row r="8643" customFormat="false" ht="17.15" hidden="false" customHeight="false" outlineLevel="0" collapsed="false">
      <c r="A8643" s="5" t="s">
        <v>659</v>
      </c>
      <c r="B8643" s="0" t="s">
        <v>57</v>
      </c>
      <c r="H8643" s="36" t="n">
        <f aca="false">Sens!$H$8642*(Sens!$H$8609+(wacc-0.01)*ext_sh*(Sens!$G$8628+Sens!$H$8628)/2/(1-tax)-Sens!$H$8631)/Sens!$H$8609</f>
        <v>1.00400133234511</v>
      </c>
      <c r="I8643" s="36" t="n">
        <f aca="false">Sens!$I$8642*(Sens!$I$8609+(wacc-0.01)*ext_sh*(Sens!$H$8628+Sens!$I$8628)/2/(1-tax)-Sens!$I$8631)/Sens!$I$8609</f>
        <v>1.05039229226163</v>
      </c>
      <c r="J8643" s="36" t="n">
        <f aca="false">Sens!$J$8642*(Sens!$J$8609+(wacc-0.01)*ext_sh*(Sens!$I$8628+Sens!$J$8628)/2/(1-tax)-Sens!$J$8631)/Sens!$J$8609</f>
        <v>1.05862601187152</v>
      </c>
      <c r="K8643" s="36" t="n">
        <f aca="false">Sens!$K$8642*(Sens!$K$8609+(wacc-0.01)*ext_sh*(Sens!$J$8628+Sens!$K$8628)/2/(1-tax)-Sens!$K$8631)/Sens!$K$8609</f>
        <v>1.06588688368778</v>
      </c>
      <c r="L8643" s="36" t="n">
        <f aca="false">Sens!$L$8642*(Sens!$L$8609+(wacc-0.01)*ext_sh*(Sens!$K$8628+Sens!$L$8628)/2/(1-tax)-Sens!$L$8631)/Sens!$L$8609</f>
        <v>1.05743064100385</v>
      </c>
      <c r="M8643" s="36" t="n">
        <f aca="false">Sens!$M$8642*(Sens!$M$8609+(wacc-0.01)*ext_sh*(Sens!$L$8628+Sens!$M$8628)/2/(1-tax)-Sens!$M$8631)/Sens!$M$8609</f>
        <v>1.05959689710889</v>
      </c>
    </row>
    <row r="8644" customFormat="false" ht="17.15" hidden="false" customHeight="false" outlineLevel="0" collapsed="false">
      <c r="A8644" s="5" t="s">
        <v>660</v>
      </c>
      <c r="B8644" s="0" t="s">
        <v>52</v>
      </c>
      <c r="C8644" s="13" t="n">
        <f aca="false">Sens!$C$8610/tk_pq</f>
        <v>0.195316432429398</v>
      </c>
      <c r="D8644" s="13" t="n">
        <f aca="false">Sens!$D$8610/tk_pq</f>
        <v>0.195316432429398</v>
      </c>
      <c r="E8644" s="13" t="n">
        <f aca="false">Sens!$E$8610/tk_pq</f>
        <v>0.195316432429398</v>
      </c>
      <c r="F8644" s="13" t="n">
        <f aca="false">Sens!$F$8610/tk_pq</f>
        <v>0.202241827274866</v>
      </c>
      <c r="G8644" s="13" t="n">
        <f aca="false">Sens!$G$8610/tk_pq</f>
        <v>0.199675016194063</v>
      </c>
      <c r="H8644" s="13" t="n">
        <f aca="false">Sens!$H$8610/tk_pq</f>
        <v>0.212647947710325</v>
      </c>
      <c r="I8644" s="13" t="n">
        <f aca="false">Sens!$I$8610/tk_pq</f>
        <v>0.219285125475351</v>
      </c>
      <c r="J8644" s="13" t="n">
        <f aca="false">Sens!$J$8610/tk_pq</f>
        <v>0.222492493217189</v>
      </c>
      <c r="K8644" s="13" t="n">
        <f aca="false">Sens!$K$8610/tk_pq</f>
        <v>0.224053502812094</v>
      </c>
      <c r="L8644" s="13" t="n">
        <f aca="false">Sens!$L$8610/tk_pq</f>
        <v>0.224786916785614</v>
      </c>
      <c r="M8644" s="13" t="n">
        <f aca="false">Sens!$M$8610/tk_pq</f>
        <v>0.225048671566937</v>
      </c>
      <c r="N8644" s="13" t="n">
        <f aca="false">Sens!$N$8610/tk_pq</f>
        <v>0.195316432429398</v>
      </c>
      <c r="O8644" s="13" t="n">
        <f aca="false">Sens!$O$8610/tk_pq</f>
        <v>0.195316432429398</v>
      </c>
      <c r="P8644" s="5" t="s">
        <v>661</v>
      </c>
    </row>
    <row r="8647" customFormat="false" ht="17.15" hidden="false" customHeight="false" outlineLevel="0" collapsed="false">
      <c r="A8647" s="1" t="s">
        <v>690</v>
      </c>
    </row>
    <row r="8648" customFormat="false" ht="17.15" hidden="false" customHeight="false" outlineLevel="0" collapsed="false">
      <c r="A8648" s="0" t="s">
        <v>691</v>
      </c>
      <c r="B8648" s="0" t="s">
        <v>86</v>
      </c>
      <c r="C8648" s="38" t="n">
        <f aca="false">Sens!$C$8609</f>
        <v>2.32100535697364</v>
      </c>
      <c r="D8648" s="38" t="n">
        <f aca="false">Sens!$D$8609</f>
        <v>8.70377008865116</v>
      </c>
      <c r="E8648" s="38" t="n">
        <f aca="false">Sens!$E$8609</f>
        <v>8.51035297557002</v>
      </c>
      <c r="F8648" s="38" t="n">
        <f aca="false">Sens!$F$8609</f>
        <v>14.9634336447205</v>
      </c>
      <c r="G8648" s="38" t="n">
        <f aca="false">Sens!$G$8609</f>
        <v>23.4737866202905</v>
      </c>
      <c r="H8648" s="38" t="n">
        <f aca="false">Sens!$H$8609</f>
        <v>60.1658907497746</v>
      </c>
      <c r="I8648" s="38" t="n">
        <f aca="false">Sens!$I$8609</f>
        <v>101.503699136432</v>
      </c>
      <c r="J8648" s="38" t="n">
        <f aca="false">Sens!$J$8609</f>
        <v>143.025407151278</v>
      </c>
      <c r="K8648" s="38" t="n">
        <f aca="false">Sens!$K$8609</f>
        <v>178.44812038318</v>
      </c>
      <c r="L8648" s="38" t="n">
        <f aca="false">Sens!$L$8609</f>
        <v>201.728101802396</v>
      </c>
      <c r="M8648" s="38" t="n">
        <f aca="false">Sens!$M$8609</f>
        <v>212.835441368865</v>
      </c>
      <c r="N8648" s="38" t="n">
        <f aca="false">Sens!$N$8609</f>
        <v>3.04631953102791</v>
      </c>
      <c r="O8648" s="38" t="n">
        <f aca="false">Sens!$O$8609</f>
        <v>5.65745055762326</v>
      </c>
      <c r="P8648" s="8" t="s">
        <v>692</v>
      </c>
    </row>
    <row r="8649" customFormat="false" ht="17.15" hidden="false" customHeight="false" outlineLevel="0" collapsed="false">
      <c r="A8649" s="0" t="s">
        <v>693</v>
      </c>
      <c r="B8649" s="0" t="s">
        <v>86</v>
      </c>
      <c r="C8649" s="38" t="n">
        <f aca="false">Sens!$C$8613</f>
        <v>105.234994643026</v>
      </c>
      <c r="D8649" s="38" t="n">
        <f aca="false">Sens!$D$8613</f>
        <v>120.021229911349</v>
      </c>
      <c r="E8649" s="38" t="n">
        <f aca="false">Sens!$E$8613</f>
        <v>71.30864702443</v>
      </c>
      <c r="F8649" s="38" t="n">
        <f aca="false">Sens!$F$8613</f>
        <v>71.7692997942464</v>
      </c>
      <c r="G8649" s="38" t="n">
        <f aca="false">Sens!$G$8613</f>
        <v>143.077946818676</v>
      </c>
      <c r="H8649" s="38" t="n">
        <f aca="false">Sens!$H$8613</f>
        <v>161.017077079203</v>
      </c>
      <c r="I8649" s="38" t="n">
        <f aca="false">Sens!$I$8613</f>
        <v>178.769759521457</v>
      </c>
      <c r="J8649" s="38" t="n">
        <f aca="false">Sens!$J$8613</f>
        <v>195.775538045907</v>
      </c>
      <c r="K8649" s="38" t="n">
        <f aca="false">Sens!$K$8613</f>
        <v>211.43758108958</v>
      </c>
      <c r="L8649" s="38" t="n">
        <f aca="false">Sens!$L$8613</f>
        <v>228.352587576746</v>
      </c>
      <c r="M8649" s="38" t="n">
        <f aca="false">Sens!$M$8613</f>
        <v>246.620794582886</v>
      </c>
      <c r="N8649" s="38" t="n">
        <f aca="false">Sens!$N$8613</f>
        <v>57.0936804689721</v>
      </c>
      <c r="O8649" s="38" t="n">
        <f aca="false">Sens!$O$8613</f>
        <v>62.9275494423768</v>
      </c>
      <c r="P8649" s="8" t="s">
        <v>692</v>
      </c>
    </row>
    <row r="8650" customFormat="false" ht="17.15" hidden="false" customHeight="false" outlineLevel="0" collapsed="false">
      <c r="A8650" s="1" t="s">
        <v>516</v>
      </c>
      <c r="B8650" s="8" t="s">
        <v>86</v>
      </c>
      <c r="C8650" s="38" t="n">
        <f aca="false">Q!$D$7</f>
        <v>107.556</v>
      </c>
      <c r="D8650" s="38" t="n">
        <f aca="false">Q!$E$7</f>
        <v>128.725</v>
      </c>
      <c r="E8650" s="38" t="n">
        <f aca="false">Q!$P$7</f>
        <v>79.819</v>
      </c>
      <c r="F8650" s="38" t="n">
        <f aca="false">Sens!$F$8648+Sens!$F$8649</f>
        <v>86.7327334389669</v>
      </c>
      <c r="G8650" s="38" t="n">
        <f aca="false">Sens!$G$8648+Sens!$G$8649</f>
        <v>166.551733438967</v>
      </c>
      <c r="H8650" s="38" t="n">
        <f aca="false">Sens!$H$8648+Sens!$H$8649</f>
        <v>221.182967828978</v>
      </c>
      <c r="I8650" s="38" t="n">
        <f aca="false">Sens!$I$8648+Sens!$I$8649</f>
        <v>280.27345865789</v>
      </c>
      <c r="J8650" s="38" t="n">
        <f aca="false">Sens!$J$8648+Sens!$J$8649</f>
        <v>338.800945197185</v>
      </c>
      <c r="K8650" s="38" t="n">
        <f aca="false">Sens!$K$8648+Sens!$K$8649</f>
        <v>389.88570147276</v>
      </c>
      <c r="L8650" s="38" t="n">
        <f aca="false">Sens!$L$8648+Sens!$L$8649</f>
        <v>430.080689379143</v>
      </c>
      <c r="M8650" s="38" t="n">
        <f aca="false">Sens!$M$8648+Sens!$M$8649</f>
        <v>459.456235951751</v>
      </c>
      <c r="N8650" s="38" t="n">
        <f aca="false">Q!$N$7</f>
        <v>60.14</v>
      </c>
      <c r="O8650" s="38" t="n">
        <f aca="false">Q!$O$7</f>
        <v>68.585</v>
      </c>
      <c r="P8650" s="5" t="s">
        <v>694</v>
      </c>
    </row>
    <row r="8651" customFormat="false" ht="15" hidden="false" customHeight="false" outlineLevel="0" collapsed="false">
      <c r="A8651" s="3" t="s">
        <v>695</v>
      </c>
      <c r="B8651" s="8" t="s">
        <v>86</v>
      </c>
      <c r="C8651" s="38" t="n">
        <f aca="false">Q!$D$8</f>
        <v>637.959</v>
      </c>
      <c r="D8651" s="38" t="n">
        <f aca="false">Q!$E$8</f>
        <v>716.924</v>
      </c>
      <c r="E8651" s="38" t="n">
        <f aca="false">Q!$P$8</f>
        <v>382.125</v>
      </c>
      <c r="F8651" s="38" t="n">
        <f aca="false">Sens!$F$8581+Sens!$F$8650</f>
        <v>435.780975084504</v>
      </c>
      <c r="G8651" s="38" t="n">
        <f aca="false">Sens!$G$8581+Sens!$G$8650</f>
        <v>817.905975084504</v>
      </c>
      <c r="H8651" s="38" t="n">
        <f aca="false">Sens!$H$8581+Sens!$H$8650</f>
        <v>942.279857350364</v>
      </c>
      <c r="I8651" s="38" t="n">
        <f aca="false">Sens!$I$8581+Sens!$I$8650</f>
        <v>1068.80284981042</v>
      </c>
      <c r="J8651" s="38" t="n">
        <f aca="false">Sens!$J$8581+Sens!$J$8650</f>
        <v>1189.90935093863</v>
      </c>
      <c r="K8651" s="38" t="n">
        <f aca="false">Sens!$K$8581+Sens!$K$8650</f>
        <v>1296.06215690385</v>
      </c>
      <c r="L8651" s="38" t="n">
        <f aca="false">Sens!$L$8581+Sens!$L$8650</f>
        <v>1395.17379585473</v>
      </c>
      <c r="M8651" s="38" t="n">
        <f aca="false">Sens!$M$8581+Sens!$M$8650</f>
        <v>1487.60414389864</v>
      </c>
      <c r="N8651" s="38" t="n">
        <f aca="false">Q!$N$8</f>
        <v>323.369</v>
      </c>
      <c r="O8651" s="38" t="n">
        <f aca="false">Q!$O$8</f>
        <v>393.555</v>
      </c>
    </row>
    <row r="8652" customFormat="false" ht="17.15" hidden="false" customHeight="false" outlineLevel="0" collapsed="false">
      <c r="A8652" s="24" t="s">
        <v>703</v>
      </c>
      <c r="B8652" s="25" t="s">
        <v>86</v>
      </c>
      <c r="C8652" s="41" t="n">
        <f aca="false">Sens!$C$8581-(Sens!$C$8583+Sens!$C$8584)</f>
        <v>0</v>
      </c>
      <c r="D8652" s="41" t="n">
        <f aca="false">Sens!$D$8581-(Sens!$D$8583+Sens!$D$8584)</f>
        <v>0</v>
      </c>
      <c r="E8652" s="41" t="n">
        <f aca="false">Sens!$E$8581-(Sens!$E$8583+Sens!$E$8584)</f>
        <v>0</v>
      </c>
      <c r="F8652" s="41" t="n">
        <f aca="false">Sens!$F$8581-(Sens!$F$8583+Sens!$F$8584)</f>
        <v>0</v>
      </c>
      <c r="G8652" s="41" t="n">
        <f aca="false">Sens!$G$8581-(Sens!$G$8583+Sens!$G$8584)</f>
        <v>0</v>
      </c>
      <c r="H8652" s="41" t="n">
        <f aca="false">Sens!$H$8581-(Sens!$H$8583+Sens!$H$8584)</f>
        <v>0</v>
      </c>
      <c r="I8652" s="41" t="n">
        <f aca="false">Sens!$I$8581-(Sens!$I$8583+Sens!$I$8584)</f>
        <v>0</v>
      </c>
      <c r="J8652" s="41" t="n">
        <f aca="false">Sens!$J$8581-(Sens!$J$8583+Sens!$J$8584)</f>
        <v>0</v>
      </c>
      <c r="K8652" s="41" t="n">
        <f aca="false">Sens!$K$8581-(Sens!$K$8583+Sens!$K$8584)</f>
        <v>0</v>
      </c>
      <c r="L8652" s="41" t="n">
        <f aca="false">Sens!$L$8581-(Sens!$L$8583+Sens!$L$8584)</f>
        <v>0</v>
      </c>
      <c r="M8652" s="41" t="n">
        <f aca="false">Sens!$M$8581-(Sens!$M$8583+Sens!$M$8584)</f>
        <v>0</v>
      </c>
      <c r="N8652" s="41" t="n">
        <f aca="false">Sens!$N$8581-(Sens!$N$8583+Sens!$N$8584)</f>
        <v>0</v>
      </c>
      <c r="O8652" s="41" t="n">
        <f aca="false">Sens!$O$8581-(Sens!$O$8583+Sens!$O$8584)</f>
        <v>0</v>
      </c>
    </row>
    <row r="8653" customFormat="false" ht="17.15" hidden="false" customHeight="false" outlineLevel="0" collapsed="false">
      <c r="A8653" s="24" t="s">
        <v>704</v>
      </c>
      <c r="B8653" s="25" t="s">
        <v>86</v>
      </c>
      <c r="C8653" s="41" t="n">
        <f aca="false">Sens!$C$8648+Sens!$C$8649-Sens!$C$8650</f>
        <v>0</v>
      </c>
      <c r="D8653" s="41" t="n">
        <f aca="false">Sens!$D$8648+Sens!$D$8649-Sens!$D$8650</f>
        <v>0</v>
      </c>
      <c r="E8653" s="41" t="n">
        <f aca="false">Sens!$E$8648+Sens!$E$8649-Sens!$E$8650</f>
        <v>0</v>
      </c>
      <c r="F8653" s="41" t="n">
        <f aca="false">Sens!$F$8648+Sens!$F$8649-Sens!$F$8650</f>
        <v>0</v>
      </c>
      <c r="G8653" s="41" t="n">
        <f aca="false">Sens!$G$8648+Sens!$G$8649-Sens!$G$8650</f>
        <v>0</v>
      </c>
      <c r="H8653" s="41" t="n">
        <f aca="false">Sens!$H$8648+Sens!$H$8649-Sens!$H$8650</f>
        <v>0</v>
      </c>
      <c r="I8653" s="41" t="n">
        <f aca="false">Sens!$I$8648+Sens!$I$8649-Sens!$I$8650</f>
        <v>0</v>
      </c>
      <c r="J8653" s="41" t="n">
        <f aca="false">Sens!$J$8648+Sens!$J$8649-Sens!$J$8650</f>
        <v>0</v>
      </c>
      <c r="K8653" s="41" t="n">
        <f aca="false">Sens!$K$8648+Sens!$K$8649-Sens!$K$8650</f>
        <v>0</v>
      </c>
      <c r="L8653" s="41" t="n">
        <f aca="false">Sens!$L$8648+Sens!$L$8649-Sens!$L$8650</f>
        <v>0</v>
      </c>
      <c r="M8653" s="41" t="n">
        <f aca="false">Sens!$M$8648+Sens!$M$8649-Sens!$M$8650</f>
        <v>0</v>
      </c>
      <c r="N8653" s="41" t="n">
        <f aca="false">Sens!$N$8648+Sens!$N$8649-Sens!$N$8650</f>
        <v>0</v>
      </c>
      <c r="O8653" s="41" t="n">
        <f aca="false">Sens!$O$8648+Sens!$O$8649-Sens!$O$8650</f>
        <v>0</v>
      </c>
    </row>
    <row r="8654" customFormat="false" ht="17.15" hidden="false" customHeight="false" outlineLevel="0" collapsed="false">
      <c r="A8654" s="24" t="s">
        <v>705</v>
      </c>
      <c r="B8654" s="25" t="s">
        <v>86</v>
      </c>
      <c r="C8654" s="41" t="n">
        <f aca="false">Sens!$C$8583+Sens!$C$8584+Sens!$C$8650-Sens!$C$8651</f>
        <v>0</v>
      </c>
      <c r="D8654" s="41" t="n">
        <f aca="false">Sens!$D$8583+Sens!$D$8584+Sens!$D$8650-Sens!$D$8651</f>
        <v>0</v>
      </c>
      <c r="E8654" s="41" t="n">
        <f aca="false">Sens!$E$8583+Sens!$E$8584+Sens!$E$8650-Sens!$E$8651</f>
        <v>0</v>
      </c>
      <c r="F8654" s="41" t="n">
        <f aca="false">Sens!$F$8583+Sens!$F$8584+Sens!$F$8650-Sens!$F$8651</f>
        <v>0</v>
      </c>
      <c r="G8654" s="41" t="n">
        <f aca="false">Sens!$G$8583+Sens!$G$8584+Sens!$G$8650-Sens!$G$8651</f>
        <v>0</v>
      </c>
      <c r="H8654" s="41" t="n">
        <f aca="false">Sens!$H$8583+Sens!$H$8584+Sens!$H$8650-Sens!$H$8651</f>
        <v>0</v>
      </c>
      <c r="I8654" s="41" t="n">
        <f aca="false">Sens!$I$8583+Sens!$I$8584+Sens!$I$8650-Sens!$I$8651</f>
        <v>0</v>
      </c>
      <c r="J8654" s="41" t="n">
        <f aca="false">Sens!$J$8583+Sens!$J$8584+Sens!$J$8650-Sens!$J$8651</f>
        <v>0</v>
      </c>
      <c r="K8654" s="41" t="n">
        <f aca="false">Sens!$K$8583+Sens!$K$8584+Sens!$K$8650-Sens!$K$8651</f>
        <v>0</v>
      </c>
      <c r="L8654" s="41" t="n">
        <f aca="false">Sens!$L$8583+Sens!$L$8584+Sens!$L$8650-Sens!$L$8651</f>
        <v>0</v>
      </c>
      <c r="M8654" s="41" t="n">
        <f aca="false">Sens!$M$8583+Sens!$M$8584+Sens!$M$8650-Sens!$M$8651</f>
        <v>0</v>
      </c>
      <c r="N8654" s="41" t="n">
        <f aca="false">Sens!$N$8583+Sens!$N$8584+Sens!$N$8650-Sens!$N$8651</f>
        <v>0</v>
      </c>
      <c r="O8654" s="41" t="n">
        <f aca="false">Sens!$O$8583+Sens!$O$8584+Sens!$O$8650-Sens!$O$8651</f>
        <v>0</v>
      </c>
    </row>
    <row r="8655" customFormat="false" ht="15" hidden="false" customHeight="false" outlineLevel="0" collapsed="false">
      <c r="A8655" s="5" t="s">
        <v>699</v>
      </c>
      <c r="B8655" s="0" t="s">
        <v>52</v>
      </c>
      <c r="G8655" s="13" t="n">
        <f aca="false">Sens!$G$8651/Sens!$D$8651-1</f>
        <v>0.140854504918937</v>
      </c>
      <c r="H8655" s="13" t="n">
        <f aca="false">Sens!$H$8651/Sens!$G$8651-1</f>
        <v>0.152063789793209</v>
      </c>
      <c r="I8655" s="13" t="n">
        <f aca="false">Sens!$I$8651/Sens!$H$8651-1</f>
        <v>0.134273264437417</v>
      </c>
      <c r="J8655" s="13" t="n">
        <f aca="false">Sens!$J$8651/Sens!$I$8651-1</f>
        <v>0.113310421234083</v>
      </c>
      <c r="K8655" s="13" t="n">
        <f aca="false">Sens!$K$8651/Sens!$J$8651-1</f>
        <v>0.0892108343223652</v>
      </c>
      <c r="L8655" s="13" t="n">
        <f aca="false">Sens!$L$8651/Sens!$K$8651-1</f>
        <v>0.076471362444261</v>
      </c>
      <c r="M8655" s="13" t="n">
        <f aca="false">Sens!$M$8651/Sens!$L$8651-1</f>
        <v>0.066250060256672</v>
      </c>
    </row>
    <row r="8656" customFormat="false" ht="17.15" hidden="false" customHeight="false" outlineLevel="0" collapsed="false">
      <c r="A8656" s="0" t="s">
        <v>700</v>
      </c>
      <c r="B8656" s="0" t="s">
        <v>52</v>
      </c>
      <c r="C8656" s="13" t="n">
        <f aca="false">Sens!$C$8650/Sens!$C$8651</f>
        <v>0.168593906504964</v>
      </c>
      <c r="D8656" s="13" t="n">
        <f aca="false">Sens!$D$8650/Sens!$D$8651</f>
        <v>0.179551807444025</v>
      </c>
      <c r="E8656" s="13" t="n">
        <f aca="false">Sens!$E$8650/Sens!$E$8651</f>
        <v>0.208881910369643</v>
      </c>
      <c r="F8656" s="13" t="n">
        <f aca="false">Sens!$F$8650/Sens!$F$8651</f>
        <v>0.199028269699356</v>
      </c>
      <c r="G8656" s="13" t="n">
        <f aca="false">Sens!$G$8650/Sens!$G$8651</f>
        <v>0.203631882529968</v>
      </c>
      <c r="H8656" s="13" t="n">
        <f aca="false">Sens!$H$8650/Sens!$H$8651</f>
        <v>0.234731715958496</v>
      </c>
      <c r="I8656" s="13" t="n">
        <f aca="false">Sens!$I$8650/Sens!$I$8651</f>
        <v>0.262231204480418</v>
      </c>
      <c r="J8656" s="13" t="n">
        <f aca="false">Sens!$J$8650/Sens!$J$8651</f>
        <v>0.284728366013706</v>
      </c>
      <c r="K8656" s="13" t="n">
        <f aca="false">Sens!$K$8650/Sens!$K$8651</f>
        <v>0.300823304959505</v>
      </c>
      <c r="L8656" s="13" t="n">
        <f aca="false">Sens!$L$8650/Sens!$L$8651</f>
        <v>0.308263164529735</v>
      </c>
      <c r="M8656" s="13" t="n">
        <f aca="false">Sens!$M$8650/Sens!$M$8651</f>
        <v>0.308856517936036</v>
      </c>
      <c r="N8656" s="13" t="n">
        <f aca="false">Sens!$N$8650/Sens!$N$8651</f>
        <v>0.185979484737251</v>
      </c>
      <c r="O8656" s="13" t="n">
        <f aca="false">Sens!$O$8650/Sens!$O$8651</f>
        <v>0.174270432341096</v>
      </c>
    </row>
    <row r="8657" customFormat="false" ht="17.15" hidden="false" customHeight="false" outlineLevel="0" collapsed="false">
      <c r="A8657" s="0" t="s">
        <v>701</v>
      </c>
      <c r="B8657" s="0" t="s">
        <v>52</v>
      </c>
      <c r="C8657" s="13" t="n">
        <f aca="false">Sens!$C$8648/Sens!$C$8650</f>
        <v>0.0215795060896058</v>
      </c>
      <c r="D8657" s="13" t="n">
        <f aca="false">Sens!$D$8648/Sens!$D$8650</f>
        <v>0.0676152269462122</v>
      </c>
      <c r="E8657" s="13" t="n">
        <f aca="false">Sens!$E$8648/Sens!$E$8650</f>
        <v>0.106620641395783</v>
      </c>
      <c r="F8657" s="13" t="n">
        <f aca="false">Sens!$F$8648/Sens!$F$8650</f>
        <v>0.172523487401099</v>
      </c>
      <c r="G8657" s="13" t="n">
        <f aca="false">Sens!$G$8648/Sens!$G$8650</f>
        <v>0.140939911795589</v>
      </c>
      <c r="H8657" s="13" t="n">
        <f aca="false">Sens!$H$8648/Sens!$H$8650</f>
        <v>0.272018642937714</v>
      </c>
      <c r="I8657" s="13" t="n">
        <f aca="false">Sens!$I$8648/Sens!$I$8650</f>
        <v>0.362159512436497</v>
      </c>
      <c r="J8657" s="13" t="n">
        <f aca="false">Sens!$J$8648/Sens!$J$8650</f>
        <v>0.422151735934609</v>
      </c>
      <c r="K8657" s="13" t="n">
        <f aca="false">Sens!$K$8648/Sens!$K$8650</f>
        <v>0.45769342068485</v>
      </c>
      <c r="L8657" s="13" t="n">
        <f aca="false">Sens!$L$8648/Sens!$L$8650</f>
        <v>0.469047103913472</v>
      </c>
      <c r="M8657" s="13" t="n">
        <f aca="false">Sens!$M$8648/Sens!$M$8650</f>
        <v>0.463233328258093</v>
      </c>
      <c r="N8657" s="13" t="n">
        <f aca="false">Sens!$N$8648/Sens!$N$8650</f>
        <v>0.0506537999838362</v>
      </c>
      <c r="O8657" s="13" t="n">
        <f aca="false">Sens!$O$8648/Sens!$O$8650</f>
        <v>0.0824881615167056</v>
      </c>
    </row>
    <row r="8660" customFormat="false" ht="19.4" hidden="false" customHeight="false" outlineLevel="0" collapsed="false">
      <c r="A8660" s="31" t="s">
        <v>1312</v>
      </c>
    </row>
    <row r="8661" customFormat="false" ht="17.15" hidden="false" customHeight="false" outlineLevel="0" collapsed="false">
      <c r="A8661" s="6" t="s">
        <v>16</v>
      </c>
      <c r="B8661" s="6" t="s">
        <v>17</v>
      </c>
      <c r="C8661" s="20" t="s">
        <v>497</v>
      </c>
      <c r="D8661" s="20" t="s">
        <v>498</v>
      </c>
      <c r="E8661" s="20" t="s">
        <v>580</v>
      </c>
      <c r="F8661" s="20" t="s">
        <v>581</v>
      </c>
      <c r="G8661" s="20" t="s">
        <v>582</v>
      </c>
      <c r="H8661" s="20" t="s">
        <v>583</v>
      </c>
      <c r="I8661" s="20" t="s">
        <v>584</v>
      </c>
      <c r="J8661" s="20" t="s">
        <v>585</v>
      </c>
      <c r="K8661" s="20" t="s">
        <v>586</v>
      </c>
      <c r="L8661" s="20" t="s">
        <v>587</v>
      </c>
      <c r="M8661" s="20" t="s">
        <v>588</v>
      </c>
      <c r="N8661" s="20" t="s">
        <v>589</v>
      </c>
      <c r="O8661" s="20" t="s">
        <v>590</v>
      </c>
      <c r="P8661" s="6" t="s">
        <v>23</v>
      </c>
      <c r="R8661" s="20" t="n">
        <v>2023</v>
      </c>
      <c r="S8661" s="20" t="n">
        <v>2024</v>
      </c>
      <c r="T8661" s="20" t="n">
        <v>2025</v>
      </c>
      <c r="U8661" s="20" t="n">
        <v>2026</v>
      </c>
      <c r="V8661" s="20" t="n">
        <v>2027</v>
      </c>
      <c r="W8661" s="20" t="n">
        <v>2028</v>
      </c>
      <c r="X8661" s="20" t="n">
        <v>2029</v>
      </c>
      <c r="Y8661" s="20" t="n">
        <v>2030</v>
      </c>
      <c r="Z8661" s="20" t="n">
        <v>2031</v>
      </c>
      <c r="AA8661" s="20" t="n">
        <v>2032</v>
      </c>
    </row>
    <row r="8662" customFormat="false" ht="17.15" hidden="false" customHeight="false" outlineLevel="0" collapsed="false">
      <c r="A8662" s="1" t="s">
        <v>716</v>
      </c>
    </row>
    <row r="8663" customFormat="false" ht="15" hidden="false" customHeight="false" outlineLevel="0" collapsed="false">
      <c r="A8663" s="0" t="s">
        <v>519</v>
      </c>
      <c r="B8663" s="0" t="s">
        <v>86</v>
      </c>
      <c r="C8663" s="38" t="n">
        <f aca="false">Sens!$C$8568</f>
        <v>247.029</v>
      </c>
      <c r="D8663" s="38" t="n">
        <f aca="false">Sens!$D$8568</f>
        <v>269.287</v>
      </c>
      <c r="E8663" s="38" t="n">
        <f aca="false">Sens!$E$8568</f>
        <v>134.686</v>
      </c>
      <c r="F8663" s="38" t="n">
        <f aca="false">Sens!$F$8568</f>
        <v>158.293876822267</v>
      </c>
      <c r="G8663" s="38" t="n">
        <f aca="false">Sens!$G$8568</f>
        <v>292.979876822267</v>
      </c>
      <c r="H8663" s="38" t="n">
        <f aca="false">Sens!$H$8568</f>
        <v>318.184543087396</v>
      </c>
      <c r="I8663" s="38" t="n">
        <f aca="false">Sens!$I$8568</f>
        <v>341.736278761793</v>
      </c>
      <c r="J8663" s="38" t="n">
        <f aca="false">Sens!$J$8568</f>
        <v>362.927192787048</v>
      </c>
      <c r="K8663" s="38" t="n">
        <f aca="false">Sens!$K$8568</f>
        <v>381.0735524264</v>
      </c>
      <c r="L8663" s="38" t="n">
        <f aca="false">Sens!$L$8568</f>
        <v>400.12723004772</v>
      </c>
      <c r="M8663" s="38" t="n">
        <f aca="false">Sens!$M$8568</f>
        <v>420.133591550106</v>
      </c>
      <c r="N8663" s="38" t="n">
        <f aca="false">Sens!$N$8568</f>
        <v>118.892</v>
      </c>
      <c r="O8663" s="38" t="n">
        <f aca="false">Sens!$O$8568</f>
        <v>150.395</v>
      </c>
    </row>
    <row r="8664" customFormat="false" ht="15" hidden="false" customHeight="false" outlineLevel="0" collapsed="false">
      <c r="A8664" s="0" t="s">
        <v>520</v>
      </c>
      <c r="B8664" s="0" t="s">
        <v>86</v>
      </c>
      <c r="C8664" s="38" t="n">
        <f aca="false">Sens!$C$8570</f>
        <v>21.215</v>
      </c>
      <c r="D8664" s="38" t="n">
        <f aca="false">Sens!$D$8570</f>
        <v>22.561</v>
      </c>
      <c r="E8664" s="38" t="n">
        <f aca="false">Sens!$E$8570</f>
        <v>11.579</v>
      </c>
      <c r="F8664" s="38" t="n">
        <f aca="false">Sens!$F$8570</f>
        <v>11.5938724610325</v>
      </c>
      <c r="G8664" s="38" t="n">
        <f aca="false">Sens!$G$8570</f>
        <v>23.1728724610325</v>
      </c>
      <c r="H8664" s="38" t="n">
        <f aca="false">Sens!$H$8570</f>
        <v>24.353392759506</v>
      </c>
      <c r="I8664" s="38" t="n">
        <f aca="false">Sens!$I$8570</f>
        <v>25.4240338872015</v>
      </c>
      <c r="J8664" s="38" t="n">
        <f aca="false">Sens!$J$8570</f>
        <v>26.3642491017174</v>
      </c>
      <c r="K8664" s="38" t="n">
        <f aca="false">Sens!$K$8570</f>
        <v>27.155176574769</v>
      </c>
      <c r="L8664" s="38" t="n">
        <f aca="false">Sens!$L$8570</f>
        <v>27.969831872012</v>
      </c>
      <c r="M8664" s="38" t="n">
        <f aca="false">Sens!$M$8570</f>
        <v>28.8089268281724</v>
      </c>
      <c r="N8664" s="38" t="n">
        <f aca="false">Sens!$N$8570</f>
        <v>11.128</v>
      </c>
      <c r="O8664" s="38" t="n">
        <f aca="false">Sens!$O$8570</f>
        <v>11.433</v>
      </c>
    </row>
    <row r="8665" customFormat="false" ht="15" hidden="false" customHeight="false" outlineLevel="0" collapsed="false">
      <c r="A8665" s="0" t="s">
        <v>521</v>
      </c>
      <c r="B8665" s="0" t="s">
        <v>86</v>
      </c>
      <c r="C8665" s="38" t="n">
        <f aca="false">Sens!$C$8572</f>
        <v>156.146</v>
      </c>
      <c r="D8665" s="38" t="n">
        <f aca="false">Sens!$D$8572</f>
        <v>172.162</v>
      </c>
      <c r="E8665" s="38" t="n">
        <f aca="false">Sens!$E$8572</f>
        <v>88.358</v>
      </c>
      <c r="F8665" s="38" t="n">
        <f aca="false">Sens!$F$8572</f>
        <v>102.004388260171</v>
      </c>
      <c r="G8665" s="38" t="n">
        <f aca="false">Sens!$G$8572</f>
        <v>190.362388260171</v>
      </c>
      <c r="H8665" s="38" t="n">
        <f aca="false">Sens!$H$8572</f>
        <v>210.343106588311</v>
      </c>
      <c r="I8665" s="38" t="n">
        <f aca="false">Sens!$I$8572</f>
        <v>229.969728494648</v>
      </c>
      <c r="J8665" s="38" t="n">
        <f aca="false">Sens!$J$8572</f>
        <v>248.747636972598</v>
      </c>
      <c r="K8665" s="38" t="n">
        <f aca="false">Sens!$K$8572</f>
        <v>266.15997156068</v>
      </c>
      <c r="L8665" s="38" t="n">
        <f aca="false">Sens!$L$8572</f>
        <v>284.791169569927</v>
      </c>
      <c r="M8665" s="38" t="n">
        <f aca="false">Sens!$M$8572</f>
        <v>304.726551439822</v>
      </c>
      <c r="N8665" s="38" t="n">
        <f aca="false">Sens!$N$8572</f>
        <v>76.86</v>
      </c>
      <c r="O8665" s="38" t="n">
        <f aca="false">Sens!$O$8572</f>
        <v>95.302</v>
      </c>
    </row>
    <row r="8666" customFormat="false" ht="15" hidden="false" customHeight="false" outlineLevel="0" collapsed="false">
      <c r="A8666" s="0" t="s">
        <v>522</v>
      </c>
      <c r="B8666" s="0" t="s">
        <v>86</v>
      </c>
      <c r="C8666" s="38" t="n">
        <f aca="false">Sens!$C$8574</f>
        <v>56.214</v>
      </c>
      <c r="D8666" s="38" t="n">
        <f aca="false">Sens!$D$8574</f>
        <v>68.635</v>
      </c>
      <c r="E8666" s="38" t="n">
        <f aca="false">Sens!$E$8574</f>
        <v>37.052</v>
      </c>
      <c r="F8666" s="38" t="n">
        <f aca="false">Sens!$F$8574</f>
        <v>46.1572219944148</v>
      </c>
      <c r="G8666" s="38" t="n">
        <f aca="false">Sens!$G$8574</f>
        <v>83.2092219944148</v>
      </c>
      <c r="H8666" s="38" t="n">
        <f aca="false">Sens!$H$8574</f>
        <v>99.8969223878976</v>
      </c>
      <c r="I8666" s="38" t="n">
        <f aca="false">Sens!$I$8574</f>
        <v>116.583111095496</v>
      </c>
      <c r="J8666" s="38" t="n">
        <f aca="false">Sens!$J$8574</f>
        <v>132.148941941952</v>
      </c>
      <c r="K8666" s="38" t="n">
        <f aca="false">Sens!$K$8574</f>
        <v>145.363836136147</v>
      </c>
      <c r="L8666" s="38" t="n">
        <f aca="false">Sens!$L$8574</f>
        <v>159.900219749762</v>
      </c>
      <c r="M8666" s="38" t="n">
        <f aca="false">Sens!$M$8574</f>
        <v>175.890241724738</v>
      </c>
      <c r="N8666" s="38" t="n">
        <f aca="false">Sens!$N$8574</f>
        <v>29.615</v>
      </c>
      <c r="O8666" s="38" t="n">
        <f aca="false">Sens!$O$8574</f>
        <v>39.02</v>
      </c>
    </row>
    <row r="8667" customFormat="false" ht="15" hidden="false" customHeight="false" outlineLevel="0" collapsed="false">
      <c r="A8667" s="0" t="s">
        <v>523</v>
      </c>
      <c r="B8667" s="0" t="s">
        <v>86</v>
      </c>
      <c r="C8667" s="38" t="n">
        <f aca="false">Sens!$C$8576</f>
        <v>44.374</v>
      </c>
      <c r="D8667" s="38" t="n">
        <f aca="false">Sens!$D$8576</f>
        <v>49.619</v>
      </c>
      <c r="E8667" s="38" t="n">
        <f aca="false">Sens!$E$8576</f>
        <v>27.157</v>
      </c>
      <c r="F8667" s="38" t="n">
        <f aca="false">Sens!$F$8576</f>
        <v>27.7764165988154</v>
      </c>
      <c r="G8667" s="38" t="n">
        <f aca="false">Sens!$G$8576</f>
        <v>54.9334165988154</v>
      </c>
      <c r="H8667" s="38" t="n">
        <f aca="false">Sens!$H$8576</f>
        <v>61.1564112561829</v>
      </c>
      <c r="I8667" s="38" t="n">
        <f aca="false">Sens!$I$8576</f>
        <v>67.2020282103945</v>
      </c>
      <c r="J8667" s="38" t="n">
        <f aca="false">Sens!$J$8576</f>
        <v>72.8757274028885</v>
      </c>
      <c r="K8667" s="38" t="n">
        <f aca="false">Sens!$K$8576</f>
        <v>77.9770283210907</v>
      </c>
      <c r="L8667" s="38" t="n">
        <f aca="false">Sens!$L$8576</f>
        <v>83.4354203035671</v>
      </c>
      <c r="M8667" s="38" t="n">
        <f aca="false">Sens!$M$8576</f>
        <v>89.2758997248168</v>
      </c>
      <c r="N8667" s="38" t="n">
        <f aca="false">Sens!$N$8576</f>
        <v>23.923</v>
      </c>
      <c r="O8667" s="38" t="n">
        <f aca="false">Sens!$O$8576</f>
        <v>25.696</v>
      </c>
    </row>
    <row r="8668" customFormat="false" ht="15" hidden="false" customHeight="false" outlineLevel="0" collapsed="false">
      <c r="A8668" s="0" t="s">
        <v>524</v>
      </c>
      <c r="B8668" s="0" t="s">
        <v>86</v>
      </c>
      <c r="C8668" s="38" t="n">
        <f aca="false">Sens!$C$8578</f>
        <v>5.425</v>
      </c>
      <c r="D8668" s="38" t="n">
        <f aca="false">Sens!$D$8578</f>
        <v>5.935</v>
      </c>
      <c r="E8668" s="38" t="n">
        <f aca="false">Sens!$E$8578</f>
        <v>3.474</v>
      </c>
      <c r="F8668" s="38" t="n">
        <f aca="false">Sens!$F$8578</f>
        <v>3.22246550883619</v>
      </c>
      <c r="G8668" s="38" t="n">
        <f aca="false">Sens!$G$8578</f>
        <v>6.69646550883619</v>
      </c>
      <c r="H8668" s="38" t="n">
        <f aca="false">Sens!$H$8578</f>
        <v>7.16251344209196</v>
      </c>
      <c r="I8668" s="38" t="n">
        <f aca="false">Sens!$I$8578</f>
        <v>7.61421070299826</v>
      </c>
      <c r="J8668" s="38" t="n">
        <f aca="false">Sens!$J$8578</f>
        <v>8.04465753523932</v>
      </c>
      <c r="K8668" s="38" t="n">
        <f aca="false">Sens!$K$8578</f>
        <v>8.44689041200128</v>
      </c>
      <c r="L8668" s="38" t="n">
        <f aca="false">Sens!$L$8578</f>
        <v>8.86923493260135</v>
      </c>
      <c r="M8668" s="38" t="n">
        <f aca="false">Sens!$M$8578</f>
        <v>9.31269667923142</v>
      </c>
      <c r="N8668" s="38" t="n">
        <f aca="false">Sens!$N$8578</f>
        <v>2.811</v>
      </c>
      <c r="O8668" s="38" t="n">
        <f aca="false">Sens!$O$8578</f>
        <v>3.124</v>
      </c>
    </row>
    <row r="8669" customFormat="false" ht="17.15" hidden="false" customHeight="false" outlineLevel="0" collapsed="false">
      <c r="A8669" s="0" t="s">
        <v>717</v>
      </c>
      <c r="B8669" s="0" t="s">
        <v>86</v>
      </c>
      <c r="C8669" s="38" t="n">
        <f aca="false">Sens!$C$8650</f>
        <v>107.556</v>
      </c>
      <c r="D8669" s="38" t="n">
        <f aca="false">Sens!$D$8650</f>
        <v>128.725</v>
      </c>
      <c r="E8669" s="38" t="n">
        <f aca="false">Sens!$E$8650</f>
        <v>79.819</v>
      </c>
      <c r="F8669" s="38" t="n">
        <f aca="false">Sens!$F$8650</f>
        <v>86.7327334389669</v>
      </c>
      <c r="G8669" s="38" t="n">
        <f aca="false">Sens!$G$8650</f>
        <v>166.551733438967</v>
      </c>
      <c r="H8669" s="38" t="n">
        <f aca="false">Sens!$H$8650</f>
        <v>221.182967828978</v>
      </c>
      <c r="I8669" s="38" t="n">
        <f aca="false">Sens!$I$8650</f>
        <v>280.27345865789</v>
      </c>
      <c r="J8669" s="38" t="n">
        <f aca="false">Sens!$J$8650</f>
        <v>338.800945197185</v>
      </c>
      <c r="K8669" s="38" t="n">
        <f aca="false">Sens!$K$8650</f>
        <v>389.88570147276</v>
      </c>
      <c r="L8669" s="38" t="n">
        <f aca="false">Sens!$L$8650</f>
        <v>430.080689379143</v>
      </c>
      <c r="M8669" s="38" t="n">
        <f aca="false">Sens!$M$8650</f>
        <v>459.456235951751</v>
      </c>
      <c r="N8669" s="38" t="n">
        <f aca="false">Sens!$N$8650</f>
        <v>60.14</v>
      </c>
      <c r="O8669" s="38" t="n">
        <f aca="false">Sens!$O$8650</f>
        <v>68.585</v>
      </c>
    </row>
    <row r="8670" customFormat="false" ht="15" hidden="false" customHeight="false" outlineLevel="0" collapsed="false">
      <c r="A8670" s="1" t="s">
        <v>512</v>
      </c>
      <c r="B8670" s="8" t="s">
        <v>86</v>
      </c>
      <c r="C8670" s="38" t="n">
        <f aca="false">Sens!$C$8583</f>
        <v>387.497</v>
      </c>
      <c r="D8670" s="38" t="n">
        <f aca="false">Sens!$D$8583</f>
        <v>426.305</v>
      </c>
      <c r="E8670" s="38" t="n">
        <f aca="false">Sens!$E$8583</f>
        <v>220.32</v>
      </c>
      <c r="F8670" s="38" t="n">
        <f aca="false">Sens!$F$8583</f>
        <v>250.639773480586</v>
      </c>
      <c r="G8670" s="38" t="n">
        <f aca="false">Sens!$G$8583</f>
        <v>470.959773480586</v>
      </c>
      <c r="H8670" s="38" t="n">
        <f aca="false">Sens!$H$8583</f>
        <v>521.386990416437</v>
      </c>
      <c r="I8670" s="38" t="n">
        <f aca="false">Sens!$I$8583</f>
        <v>570.143862887555</v>
      </c>
      <c r="J8670" s="38" t="n">
        <f aca="false">Sens!$J$8583</f>
        <v>615.391435791933</v>
      </c>
      <c r="K8670" s="38" t="n">
        <f aca="false">Sens!$K$8583</f>
        <v>655.208227561543</v>
      </c>
      <c r="L8670" s="38" t="n">
        <f aca="false">Sens!$L$8583</f>
        <v>697.807739249767</v>
      </c>
      <c r="M8670" s="38" t="n">
        <f aca="false">Sens!$M$8583</f>
        <v>743.399328463592</v>
      </c>
      <c r="N8670" s="38" t="n">
        <f aca="false">Sens!$N$8583</f>
        <v>192.955</v>
      </c>
      <c r="O8670" s="38" t="n">
        <f aca="false">Sens!$O$8583</f>
        <v>233.35</v>
      </c>
    </row>
    <row r="8671" customFormat="false" ht="15" hidden="false" customHeight="false" outlineLevel="0" collapsed="false">
      <c r="A8671" s="1" t="s">
        <v>515</v>
      </c>
      <c r="B8671" s="8" t="s">
        <v>86</v>
      </c>
      <c r="C8671" s="38" t="n">
        <f aca="false">Sens!$C$8584</f>
        <v>142.906</v>
      </c>
      <c r="D8671" s="38" t="n">
        <f aca="false">Sens!$D$8584</f>
        <v>161.894</v>
      </c>
      <c r="E8671" s="38" t="n">
        <f aca="false">Sens!$E$8584</f>
        <v>81.986</v>
      </c>
      <c r="F8671" s="38" t="n">
        <f aca="false">Sens!$F$8584</f>
        <v>98.408468164951</v>
      </c>
      <c r="G8671" s="38" t="n">
        <f aca="false">Sens!$G$8584</f>
        <v>180.394468164951</v>
      </c>
      <c r="H8671" s="38" t="n">
        <f aca="false">Sens!$H$8584</f>
        <v>199.709899104949</v>
      </c>
      <c r="I8671" s="38" t="n">
        <f aca="false">Sens!$I$8584</f>
        <v>218.385528264976</v>
      </c>
      <c r="J8671" s="38" t="n">
        <f aca="false">Sens!$J$8584</f>
        <v>235.71696994951</v>
      </c>
      <c r="K8671" s="38" t="n">
        <f aca="false">Sens!$K$8584</f>
        <v>250.968227869545</v>
      </c>
      <c r="L8671" s="38" t="n">
        <f aca="false">Sens!$L$8584</f>
        <v>267.285367225822</v>
      </c>
      <c r="M8671" s="38" t="n">
        <f aca="false">Sens!$M$8584</f>
        <v>284.748579483295</v>
      </c>
      <c r="N8671" s="38" t="n">
        <f aca="false">Sens!$N$8584</f>
        <v>70.274</v>
      </c>
      <c r="O8671" s="38" t="n">
        <f aca="false">Sens!$O$8584</f>
        <v>91.62</v>
      </c>
    </row>
    <row r="8672" customFormat="false" ht="15" hidden="false" customHeight="false" outlineLevel="0" collapsed="false">
      <c r="A8672" s="1" t="s">
        <v>516</v>
      </c>
      <c r="B8672" s="8" t="s">
        <v>86</v>
      </c>
      <c r="C8672" s="38" t="n">
        <f aca="false">Sens!$C$8650</f>
        <v>107.556</v>
      </c>
      <c r="D8672" s="38" t="n">
        <f aca="false">Sens!$D$8650</f>
        <v>128.725</v>
      </c>
      <c r="E8672" s="38" t="n">
        <f aca="false">Sens!$E$8650</f>
        <v>79.819</v>
      </c>
      <c r="F8672" s="38" t="n">
        <f aca="false">Sens!$F$8650</f>
        <v>86.7327334389669</v>
      </c>
      <c r="G8672" s="38" t="n">
        <f aca="false">Sens!$G$8650</f>
        <v>166.551733438967</v>
      </c>
      <c r="H8672" s="38" t="n">
        <f aca="false">Sens!$H$8650</f>
        <v>221.182967828978</v>
      </c>
      <c r="I8672" s="38" t="n">
        <f aca="false">Sens!$I$8650</f>
        <v>280.27345865789</v>
      </c>
      <c r="J8672" s="38" t="n">
        <f aca="false">Sens!$J$8650</f>
        <v>338.800945197185</v>
      </c>
      <c r="K8672" s="38" t="n">
        <f aca="false">Sens!$K$8650</f>
        <v>389.88570147276</v>
      </c>
      <c r="L8672" s="38" t="n">
        <f aca="false">Sens!$L$8650</f>
        <v>430.080689379143</v>
      </c>
      <c r="M8672" s="38" t="n">
        <f aca="false">Sens!$M$8650</f>
        <v>459.456235951751</v>
      </c>
      <c r="N8672" s="38" t="n">
        <f aca="false">Sens!$N$8650</f>
        <v>60.14</v>
      </c>
      <c r="O8672" s="38" t="n">
        <f aca="false">Sens!$O$8650</f>
        <v>68.585</v>
      </c>
    </row>
    <row r="8673" customFormat="false" ht="17.15" hidden="false" customHeight="false" outlineLevel="0" collapsed="false">
      <c r="A8673" s="0" t="s">
        <v>691</v>
      </c>
      <c r="B8673" s="0" t="s">
        <v>86</v>
      </c>
      <c r="C8673" s="38" t="n">
        <f aca="false">Sens!$C$8648</f>
        <v>2.32100535697364</v>
      </c>
      <c r="D8673" s="38" t="n">
        <f aca="false">Sens!$D$8648</f>
        <v>8.70377008865116</v>
      </c>
      <c r="E8673" s="38" t="n">
        <f aca="false">Sens!$E$8648</f>
        <v>8.51035297557002</v>
      </c>
      <c r="F8673" s="38" t="n">
        <f aca="false">Sens!$F$8648</f>
        <v>14.9634336447205</v>
      </c>
      <c r="G8673" s="38" t="n">
        <f aca="false">Sens!$G$8648</f>
        <v>23.4737866202905</v>
      </c>
      <c r="H8673" s="38" t="n">
        <f aca="false">Sens!$H$8648</f>
        <v>60.1658907497746</v>
      </c>
      <c r="I8673" s="38" t="n">
        <f aca="false">Sens!$I$8648</f>
        <v>101.503699136432</v>
      </c>
      <c r="J8673" s="38" t="n">
        <f aca="false">Sens!$J$8648</f>
        <v>143.025407151278</v>
      </c>
      <c r="K8673" s="38" t="n">
        <f aca="false">Sens!$K$8648</f>
        <v>178.44812038318</v>
      </c>
      <c r="L8673" s="38" t="n">
        <f aca="false">Sens!$L$8648</f>
        <v>201.728101802396</v>
      </c>
      <c r="M8673" s="38" t="n">
        <f aca="false">Sens!$M$8648</f>
        <v>212.835441368865</v>
      </c>
      <c r="N8673" s="38" t="n">
        <f aca="false">Sens!$N$8648</f>
        <v>3.04631953102791</v>
      </c>
      <c r="O8673" s="38" t="n">
        <f aca="false">Sens!$O$8648</f>
        <v>5.65745055762326</v>
      </c>
    </row>
    <row r="8674" customFormat="false" ht="17.15" hidden="false" customHeight="false" outlineLevel="0" collapsed="false">
      <c r="A8674" s="0" t="s">
        <v>693</v>
      </c>
      <c r="B8674" s="0" t="s">
        <v>86</v>
      </c>
      <c r="C8674" s="38" t="n">
        <f aca="false">Sens!$C$8649</f>
        <v>105.234994643026</v>
      </c>
      <c r="D8674" s="38" t="n">
        <f aca="false">Sens!$D$8649</f>
        <v>120.021229911349</v>
      </c>
      <c r="E8674" s="38" t="n">
        <f aca="false">Sens!$E$8649</f>
        <v>71.30864702443</v>
      </c>
      <c r="F8674" s="38" t="n">
        <f aca="false">Sens!$F$8649</f>
        <v>71.7692997942464</v>
      </c>
      <c r="G8674" s="38" t="n">
        <f aca="false">Sens!$G$8649</f>
        <v>143.077946818676</v>
      </c>
      <c r="H8674" s="38" t="n">
        <f aca="false">Sens!$H$8649</f>
        <v>161.017077079203</v>
      </c>
      <c r="I8674" s="38" t="n">
        <f aca="false">Sens!$I$8649</f>
        <v>178.769759521457</v>
      </c>
      <c r="J8674" s="38" t="n">
        <f aca="false">Sens!$J$8649</f>
        <v>195.775538045907</v>
      </c>
      <c r="K8674" s="38" t="n">
        <f aca="false">Sens!$K$8649</f>
        <v>211.43758108958</v>
      </c>
      <c r="L8674" s="38" t="n">
        <f aca="false">Sens!$L$8649</f>
        <v>228.352587576746</v>
      </c>
      <c r="M8674" s="38" t="n">
        <f aca="false">Sens!$M$8649</f>
        <v>246.620794582886</v>
      </c>
      <c r="N8674" s="38" t="n">
        <f aca="false">Sens!$N$8649</f>
        <v>57.0936804689721</v>
      </c>
      <c r="O8674" s="38" t="n">
        <f aca="false">Sens!$O$8649</f>
        <v>62.9275494423768</v>
      </c>
    </row>
    <row r="8675" customFormat="false" ht="15" hidden="false" customHeight="false" outlineLevel="0" collapsed="false">
      <c r="A8675" s="3" t="s">
        <v>517</v>
      </c>
      <c r="B8675" s="8" t="s">
        <v>86</v>
      </c>
      <c r="C8675" s="38" t="n">
        <f aca="false">Sens!$C$8651</f>
        <v>637.959</v>
      </c>
      <c r="D8675" s="38" t="n">
        <f aca="false">Sens!$D$8651</f>
        <v>716.924</v>
      </c>
      <c r="E8675" s="38" t="n">
        <f aca="false">Sens!$E$8651</f>
        <v>382.125</v>
      </c>
      <c r="F8675" s="38" t="n">
        <f aca="false">Sens!$F$8651</f>
        <v>435.780975084504</v>
      </c>
      <c r="G8675" s="38" t="n">
        <f aca="false">Sens!$G$8651</f>
        <v>817.905975084504</v>
      </c>
      <c r="H8675" s="38" t="n">
        <f aca="false">Sens!$H$8651</f>
        <v>942.279857350364</v>
      </c>
      <c r="I8675" s="38" t="n">
        <f aca="false">Sens!$I$8651</f>
        <v>1068.80284981042</v>
      </c>
      <c r="J8675" s="38" t="n">
        <f aca="false">Sens!$J$8651</f>
        <v>1189.90935093863</v>
      </c>
      <c r="K8675" s="38" t="n">
        <f aca="false">Sens!$K$8651</f>
        <v>1296.06215690385</v>
      </c>
      <c r="L8675" s="38" t="n">
        <f aca="false">Sens!$L$8651</f>
        <v>1395.17379585473</v>
      </c>
      <c r="M8675" s="38" t="n">
        <f aca="false">Sens!$M$8651</f>
        <v>1487.60414389864</v>
      </c>
      <c r="N8675" s="38" t="n">
        <f aca="false">Sens!$N$8651</f>
        <v>323.369</v>
      </c>
      <c r="O8675" s="38" t="n">
        <f aca="false">Sens!$O$8651</f>
        <v>393.555</v>
      </c>
    </row>
    <row r="8676" customFormat="false" ht="17.15" hidden="false" customHeight="false" outlineLevel="0" collapsed="false">
      <c r="A8676" s="24" t="s">
        <v>703</v>
      </c>
      <c r="B8676" s="25" t="s">
        <v>86</v>
      </c>
      <c r="C8676" s="41" t="n">
        <f aca="false">Sens!$C$8663+Sens!$C$8664+Sens!$C$8665+Sens!$C$8666+Sens!$C$8667+Sens!$C$8668-(Sens!$C$8670+Sens!$C$8671)</f>
        <v>0</v>
      </c>
      <c r="D8676" s="41" t="n">
        <f aca="false">Sens!$D$8663+Sens!$D$8664+Sens!$D$8665+Sens!$D$8666+Sens!$D$8667+Sens!$D$8668-(Sens!$D$8670+Sens!$D$8671)</f>
        <v>0</v>
      </c>
      <c r="E8676" s="41" t="n">
        <f aca="false">Sens!$E$8663+Sens!$E$8664+Sens!$E$8665+Sens!$E$8666+Sens!$E$8667+Sens!$E$8668-(Sens!$E$8670+Sens!$E$8671)</f>
        <v>0</v>
      </c>
      <c r="F8676" s="41" t="n">
        <f aca="false">Sens!$F$8663+Sens!$F$8664+Sens!$F$8665+Sens!$F$8666+Sens!$F$8667+Sens!$F$8668-(Sens!$F$8670+Sens!$F$8671)</f>
        <v>0</v>
      </c>
      <c r="G8676" s="41" t="n">
        <f aca="false">Sens!$G$8663+Sens!$G$8664+Sens!$G$8665+Sens!$G$8666+Sens!$G$8667+Sens!$G$8668-(Sens!$G$8670+Sens!$G$8671)</f>
        <v>0</v>
      </c>
      <c r="H8676" s="41" t="n">
        <f aca="false">Sens!$H$8663+Sens!$H$8664+Sens!$H$8665+Sens!$H$8666+Sens!$H$8667+Sens!$H$8668-(Sens!$H$8670+Sens!$H$8671)</f>
        <v>0</v>
      </c>
      <c r="I8676" s="41" t="n">
        <f aca="false">Sens!$I$8663+Sens!$I$8664+Sens!$I$8665+Sens!$I$8666+Sens!$I$8667+Sens!$I$8668-(Sens!$I$8670+Sens!$I$8671)</f>
        <v>0</v>
      </c>
      <c r="J8676" s="41" t="n">
        <f aca="false">Sens!$J$8663+Sens!$J$8664+Sens!$J$8665+Sens!$J$8666+Sens!$J$8667+Sens!$J$8668-(Sens!$J$8670+Sens!$J$8671)</f>
        <v>0</v>
      </c>
      <c r="K8676" s="41" t="n">
        <f aca="false">Sens!$K$8663+Sens!$K$8664+Sens!$K$8665+Sens!$K$8666+Sens!$K$8667+Sens!$K$8668-(Sens!$K$8670+Sens!$K$8671)</f>
        <v>0</v>
      </c>
      <c r="L8676" s="41" t="n">
        <f aca="false">Sens!$L$8663+Sens!$L$8664+Sens!$L$8665+Sens!$L$8666+Sens!$L$8667+Sens!$L$8668-(Sens!$L$8670+Sens!$L$8671)</f>
        <v>0</v>
      </c>
      <c r="M8676" s="41" t="n">
        <f aca="false">Sens!$M$8663+Sens!$M$8664+Sens!$M$8665+Sens!$M$8666+Sens!$M$8667+Sens!$M$8668-(Sens!$M$8670+Sens!$M$8671)</f>
        <v>0</v>
      </c>
      <c r="N8676" s="41" t="n">
        <f aca="false">Sens!$N$8663+Sens!$N$8664+Sens!$N$8665+Sens!$N$8666+Sens!$N$8667+Sens!$N$8668-(Sens!$N$8670+Sens!$N$8671)</f>
        <v>0</v>
      </c>
      <c r="O8676" s="41" t="n">
        <f aca="false">Sens!$O$8663+Sens!$O$8664+Sens!$O$8665+Sens!$O$8666+Sens!$O$8667+Sens!$O$8668-(Sens!$O$8670+Sens!$O$8671)</f>
        <v>0</v>
      </c>
    </row>
    <row r="8677" customFormat="false" ht="17.15" hidden="false" customHeight="false" outlineLevel="0" collapsed="false">
      <c r="A8677" s="24" t="s">
        <v>704</v>
      </c>
      <c r="B8677" s="25" t="s">
        <v>86</v>
      </c>
      <c r="C8677" s="41" t="n">
        <f aca="false">Sens!$C$8673+Sens!$C$8674-Sens!$C$8672</f>
        <v>0</v>
      </c>
      <c r="D8677" s="41" t="n">
        <f aca="false">Sens!$D$8673+Sens!$D$8674-Sens!$D$8672</f>
        <v>0</v>
      </c>
      <c r="E8677" s="41" t="n">
        <f aca="false">Sens!$E$8673+Sens!$E$8674-Sens!$E$8672</f>
        <v>0</v>
      </c>
      <c r="F8677" s="41" t="n">
        <f aca="false">Sens!$F$8673+Sens!$F$8674-Sens!$F$8672</f>
        <v>0</v>
      </c>
      <c r="G8677" s="41" t="n">
        <f aca="false">Sens!$G$8673+Sens!$G$8674-Sens!$G$8672</f>
        <v>0</v>
      </c>
      <c r="H8677" s="41" t="n">
        <f aca="false">Sens!$H$8673+Sens!$H$8674-Sens!$H$8672</f>
        <v>0</v>
      </c>
      <c r="I8677" s="41" t="n">
        <f aca="false">Sens!$I$8673+Sens!$I$8674-Sens!$I$8672</f>
        <v>0</v>
      </c>
      <c r="J8677" s="41" t="n">
        <f aca="false">Sens!$J$8673+Sens!$J$8674-Sens!$J$8672</f>
        <v>0</v>
      </c>
      <c r="K8677" s="41" t="n">
        <f aca="false">Sens!$K$8673+Sens!$K$8674-Sens!$K$8672</f>
        <v>0</v>
      </c>
      <c r="L8677" s="41" t="n">
        <f aca="false">Sens!$L$8673+Sens!$L$8674-Sens!$L$8672</f>
        <v>0</v>
      </c>
      <c r="M8677" s="41" t="n">
        <f aca="false">Sens!$M$8673+Sens!$M$8674-Sens!$M$8672</f>
        <v>0</v>
      </c>
      <c r="N8677" s="41" t="n">
        <f aca="false">Sens!$N$8673+Sens!$N$8674-Sens!$N$8672</f>
        <v>0</v>
      </c>
      <c r="O8677" s="41" t="n">
        <f aca="false">Sens!$O$8673+Sens!$O$8674-Sens!$O$8672</f>
        <v>0</v>
      </c>
    </row>
    <row r="8678" customFormat="false" ht="17.15" hidden="false" customHeight="false" outlineLevel="0" collapsed="false">
      <c r="A8678" s="24" t="s">
        <v>763</v>
      </c>
      <c r="B8678" s="25" t="s">
        <v>86</v>
      </c>
      <c r="C8678" s="41" t="n">
        <f aca="false">Sens!$C$8663+Sens!$C$8664+Sens!$C$8665+Sens!$C$8666+Sens!$C$8667+Sens!$C$8668+Sens!$C$8669-Sens!$C$8675</f>
        <v>0</v>
      </c>
      <c r="D8678" s="41" t="n">
        <f aca="false">Sens!$D$8663+Sens!$D$8664+Sens!$D$8665+Sens!$D$8666+Sens!$D$8667+Sens!$D$8668+Sens!$D$8669-Sens!$D$8675</f>
        <v>0</v>
      </c>
      <c r="E8678" s="41" t="n">
        <f aca="false">Sens!$E$8663+Sens!$E$8664+Sens!$E$8665+Sens!$E$8666+Sens!$E$8667+Sens!$E$8668+Sens!$E$8669-Sens!$E$8675</f>
        <v>0</v>
      </c>
      <c r="F8678" s="41" t="n">
        <f aca="false">Sens!$F$8663+Sens!$F$8664+Sens!$F$8665+Sens!$F$8666+Sens!$F$8667+Sens!$F$8668+Sens!$F$8669-Sens!$F$8675</f>
        <v>0</v>
      </c>
      <c r="G8678" s="41" t="n">
        <f aca="false">Sens!$G$8663+Sens!$G$8664+Sens!$G$8665+Sens!$G$8666+Sens!$G$8667+Sens!$G$8668+Sens!$G$8669-Sens!$G$8675</f>
        <v>0</v>
      </c>
      <c r="H8678" s="41" t="n">
        <f aca="false">Sens!$H$8663+Sens!$H$8664+Sens!$H$8665+Sens!$H$8666+Sens!$H$8667+Sens!$H$8668+Sens!$H$8669-Sens!$H$8675</f>
        <v>0</v>
      </c>
      <c r="I8678" s="41" t="n">
        <f aca="false">Sens!$I$8663+Sens!$I$8664+Sens!$I$8665+Sens!$I$8666+Sens!$I$8667+Sens!$I$8668+Sens!$I$8669-Sens!$I$8675</f>
        <v>0</v>
      </c>
      <c r="J8678" s="41" t="n">
        <f aca="false">Sens!$J$8663+Sens!$J$8664+Sens!$J$8665+Sens!$J$8666+Sens!$J$8667+Sens!$J$8668+Sens!$J$8669-Sens!$J$8675</f>
        <v>0</v>
      </c>
      <c r="K8678" s="41" t="n">
        <f aca="false">Sens!$K$8663+Sens!$K$8664+Sens!$K$8665+Sens!$K$8666+Sens!$K$8667+Sens!$K$8668+Sens!$K$8669-Sens!$K$8675</f>
        <v>0</v>
      </c>
      <c r="L8678" s="41" t="n">
        <f aca="false">Sens!$L$8663+Sens!$L$8664+Sens!$L$8665+Sens!$L$8666+Sens!$L$8667+Sens!$L$8668+Sens!$L$8669-Sens!$L$8675</f>
        <v>0</v>
      </c>
      <c r="M8678" s="41" t="n">
        <f aca="false">Sens!$M$8663+Sens!$M$8664+Sens!$M$8665+Sens!$M$8666+Sens!$M$8667+Sens!$M$8668+Sens!$M$8669-Sens!$M$8675</f>
        <v>0</v>
      </c>
      <c r="N8678" s="41" t="n">
        <f aca="false">Sens!$N$8663+Sens!$N$8664+Sens!$N$8665+Sens!$N$8666+Sens!$N$8667+Sens!$N$8668+Sens!$N$8669-Sens!$N$8675</f>
        <v>0</v>
      </c>
      <c r="O8678" s="41" t="n">
        <f aca="false">Sens!$O$8663+Sens!$O$8664+Sens!$O$8665+Sens!$O$8666+Sens!$O$8667+Sens!$O$8668+Sens!$O$8669-Sens!$O$8675</f>
        <v>0</v>
      </c>
    </row>
    <row r="8679" customFormat="false" ht="17.15" hidden="false" customHeight="false" outlineLevel="0" collapsed="false">
      <c r="A8679" s="24" t="s">
        <v>705</v>
      </c>
      <c r="B8679" s="25" t="s">
        <v>86</v>
      </c>
      <c r="C8679" s="41" t="n">
        <f aca="false">Sens!$C$8670+Sens!$C$8671+Sens!$C$8672-Sens!$C$8675</f>
        <v>0</v>
      </c>
      <c r="D8679" s="41" t="n">
        <f aca="false">Sens!$D$8670+Sens!$D$8671+Sens!$D$8672-Sens!$D$8675</f>
        <v>0</v>
      </c>
      <c r="E8679" s="41" t="n">
        <f aca="false">Sens!$E$8670+Sens!$E$8671+Sens!$E$8672-Sens!$E$8675</f>
        <v>0</v>
      </c>
      <c r="F8679" s="41" t="n">
        <f aca="false">Sens!$F$8670+Sens!$F$8671+Sens!$F$8672-Sens!$F$8675</f>
        <v>0</v>
      </c>
      <c r="G8679" s="41" t="n">
        <f aca="false">Sens!$G$8670+Sens!$G$8671+Sens!$G$8672-Sens!$G$8675</f>
        <v>0</v>
      </c>
      <c r="H8679" s="41" t="n">
        <f aca="false">Sens!$H$8670+Sens!$H$8671+Sens!$H$8672-Sens!$H$8675</f>
        <v>0</v>
      </c>
      <c r="I8679" s="41" t="n">
        <f aca="false">Sens!$I$8670+Sens!$I$8671+Sens!$I$8672-Sens!$I$8675</f>
        <v>0</v>
      </c>
      <c r="J8679" s="41" t="n">
        <f aca="false">Sens!$J$8670+Sens!$J$8671+Sens!$J$8672-Sens!$J$8675</f>
        <v>0</v>
      </c>
      <c r="K8679" s="41" t="n">
        <f aca="false">Sens!$K$8670+Sens!$K$8671+Sens!$K$8672-Sens!$K$8675</f>
        <v>0</v>
      </c>
      <c r="L8679" s="41" t="n">
        <f aca="false">Sens!$L$8670+Sens!$L$8671+Sens!$L$8672-Sens!$L$8675</f>
        <v>0</v>
      </c>
      <c r="M8679" s="41" t="n">
        <f aca="false">Sens!$M$8670+Sens!$M$8671+Sens!$M$8672-Sens!$M$8675</f>
        <v>0</v>
      </c>
      <c r="N8679" s="41" t="n">
        <f aca="false">Sens!$N$8670+Sens!$N$8671+Sens!$N$8672-Sens!$N$8675</f>
        <v>0</v>
      </c>
      <c r="O8679" s="41" t="n">
        <f aca="false">Sens!$O$8670+Sens!$O$8671+Sens!$O$8672-Sens!$O$8675</f>
        <v>0</v>
      </c>
    </row>
    <row r="8680" customFormat="false" ht="17.15" hidden="false" customHeight="false" outlineLevel="0" collapsed="false">
      <c r="A8680" s="1" t="s">
        <v>719</v>
      </c>
    </row>
    <row r="8681" customFormat="false" ht="17.15" hidden="false" customHeight="false" outlineLevel="0" collapsed="false">
      <c r="A8681" s="0" t="s">
        <v>720</v>
      </c>
      <c r="B8681" s="0" t="s">
        <v>86</v>
      </c>
      <c r="C8681" s="38" t="n">
        <f aca="false">Sens!$C$8585*m_ad</f>
        <v>20.5341564414228</v>
      </c>
      <c r="D8681" s="38" t="n">
        <f aca="false">Sens!$D$8585*m_ad</f>
        <v>24.8720617299587</v>
      </c>
      <c r="E8681" s="38" t="n">
        <f aca="false">Sens!$E$8585*m_ad</f>
        <v>13.5017112462207</v>
      </c>
      <c r="F8681" s="38" t="n">
        <f aca="false">Sens!$F$8585*m_ad</f>
        <v>16.5719724165257</v>
      </c>
      <c r="G8681" s="38" t="n">
        <f aca="false">Sens!$G$8585*m_ad</f>
        <v>30.0820919220415</v>
      </c>
      <c r="H8681" s="38" t="n">
        <f aca="false">Sens!$H$8585*m_ad</f>
        <v>36.1150883276314</v>
      </c>
      <c r="I8681" s="38" t="n">
        <f aca="false">Sens!$I$8585*m_ad</f>
        <v>42.1475382231996</v>
      </c>
      <c r="J8681" s="38" t="n">
        <f aca="false">Sens!$J$8585*m_ad</f>
        <v>47.7749523864693</v>
      </c>
      <c r="K8681" s="38" t="n">
        <f aca="false">Sens!$K$8585*m_ad</f>
        <v>52.5524476251162</v>
      </c>
      <c r="L8681" s="38" t="n">
        <f aca="false">Sens!$L$8585*m_ad</f>
        <v>57.8076923876279</v>
      </c>
      <c r="M8681" s="38" t="n">
        <f aca="false">Sens!$M$8585*m_ad</f>
        <v>63.5884616263907</v>
      </c>
      <c r="N8681" s="38" t="n">
        <f aca="false">Sens!$N$8585*m_ad</f>
        <v>10.8543555706248</v>
      </c>
      <c r="O8681" s="38" t="n">
        <f aca="false">Sens!$O$8585*m_ad</f>
        <v>14.0094731821399</v>
      </c>
    </row>
    <row r="8682" customFormat="false" ht="17.15" hidden="false" customHeight="false" outlineLevel="0" collapsed="false">
      <c r="A8682" s="0" t="s">
        <v>721</v>
      </c>
      <c r="B8682" s="0" t="s">
        <v>86</v>
      </c>
      <c r="C8682" s="38" t="n">
        <f aca="false">Sens!$C$8583-Sens!$C$8585</f>
        <v>346.428687117154</v>
      </c>
      <c r="D8682" s="38" t="n">
        <f aca="false">Sens!$D$8583-Sens!$D$8585</f>
        <v>376.560876540083</v>
      </c>
      <c r="E8682" s="38" t="n">
        <f aca="false">Sens!$E$8583-Sens!$E$8585</f>
        <v>193.316577507559</v>
      </c>
      <c r="F8682" s="38" t="n">
        <f aca="false">Sens!$F$8583-Sens!$F$8585</f>
        <v>217.495828647535</v>
      </c>
      <c r="G8682" s="38" t="n">
        <f aca="false">Sens!$G$8583-Sens!$G$8585</f>
        <v>410.795589636503</v>
      </c>
      <c r="H8682" s="38" t="n">
        <f aca="false">Sens!$H$8583-Sens!$H$8585</f>
        <v>449.156813761174</v>
      </c>
      <c r="I8682" s="38" t="n">
        <f aca="false">Sens!$I$8583-Sens!$I$8585</f>
        <v>485.848786441156</v>
      </c>
      <c r="J8682" s="38" t="n">
        <f aca="false">Sens!$J$8583-Sens!$J$8585</f>
        <v>519.841531018994</v>
      </c>
      <c r="K8682" s="38" t="n">
        <f aca="false">Sens!$K$8583-Sens!$K$8585</f>
        <v>550.103332311311</v>
      </c>
      <c r="L8682" s="38" t="n">
        <f aca="false">Sens!$L$8583-Sens!$L$8585</f>
        <v>582.192354474511</v>
      </c>
      <c r="M8682" s="38" t="n">
        <f aca="false">Sens!$M$8583-Sens!$M$8585</f>
        <v>616.22240521081</v>
      </c>
      <c r="N8682" s="38" t="n">
        <f aca="false">Sens!$N$8583-Sens!$N$8585</f>
        <v>171.24628885875</v>
      </c>
      <c r="O8682" s="38" t="n">
        <f aca="false">Sens!$O$8583-Sens!$O$8585</f>
        <v>205.33105363572</v>
      </c>
    </row>
    <row r="8683" customFormat="false" ht="17.15" hidden="false" customHeight="false" outlineLevel="0" collapsed="false">
      <c r="A8683" s="0" t="s">
        <v>722</v>
      </c>
      <c r="B8683" s="0" t="s">
        <v>86</v>
      </c>
      <c r="C8683" s="38" t="n">
        <f aca="false">Sens!$C$8634*Sens!$C$8582</f>
        <v>0.123617442257179</v>
      </c>
      <c r="D8683" s="38" t="n">
        <f aca="false">Sens!$D$8634*Sens!$D$8582</f>
        <v>0.600198046024689</v>
      </c>
      <c r="E8683" s="38" t="n">
        <f aca="false">Sens!$E$8634*Sens!$E$8582</f>
        <v>0.970552432202993</v>
      </c>
      <c r="F8683" s="38" t="n">
        <f aca="false">Sens!$F$8634*Sens!$F$8582</f>
        <v>1.20013524388435</v>
      </c>
      <c r="G8683" s="38" t="n">
        <f aca="false">Sens!$G$8634*Sens!$G$8582</f>
        <v>2.17135369594947</v>
      </c>
      <c r="H8683" s="38" t="n">
        <f aca="false">Sens!$H$8634*Sens!$H$8582</f>
        <v>6.14227489656333</v>
      </c>
      <c r="I8683" s="38" t="n">
        <f aca="false">Sens!$I$8634*Sens!$I$8582</f>
        <v>11.6518054969681</v>
      </c>
      <c r="J8683" s="38" t="n">
        <f aca="false">Sens!$J$8634*Sens!$J$8582</f>
        <v>17.3105301010592</v>
      </c>
      <c r="K8683" s="38" t="n">
        <f aca="false">Sens!$K$8634*Sens!$K$8582</f>
        <v>22.8486728059883</v>
      </c>
      <c r="L8683" s="38" t="n">
        <f aca="false">Sens!$L$8634*Sens!$L$8582</f>
        <v>26.6849171332777</v>
      </c>
      <c r="M8683" s="38" t="n">
        <f aca="false">Sens!$M$8634*Sens!$M$8582</f>
        <v>29.0523240317336</v>
      </c>
      <c r="N8683" s="38" t="n">
        <f aca="false">Sens!$N$8634*Sens!$N$8582</f>
        <v>0.25053229484398</v>
      </c>
      <c r="O8683" s="38" t="n">
        <f aca="false">Sens!$O$8634*Sens!$O$8582</f>
        <v>0.349234376756897</v>
      </c>
    </row>
    <row r="8684" customFormat="false" ht="17.15" hidden="false" customHeight="false" outlineLevel="0" collapsed="false">
      <c r="A8684" s="0" t="s">
        <v>723</v>
      </c>
      <c r="B8684" s="0" t="s">
        <v>52</v>
      </c>
      <c r="C8684" s="28" t="n">
        <f aca="false">(Sens!$C$8685-Sens!$C$8681+Sens!$C$8683)/Sens!$C$8682</f>
        <v>0.0131526665379575</v>
      </c>
      <c r="D8684" s="28" t="n">
        <f aca="false">(Sens!$D$8685-Sens!$D$8681+Sens!$D$8683)/Sens!$D$8682</f>
        <v>0.0141999252954702</v>
      </c>
      <c r="E8684" s="28" t="n">
        <f aca="false">(Sens!$E$8685-Sens!$E$8681+Sens!$E$8683)/Sens!$E$8682</f>
        <v>0.0251341154940129</v>
      </c>
      <c r="F8684" s="28" t="n">
        <f aca="false">Sens!$O$8684+(Sens!$E$8684-Sens!$N$8684)</f>
        <v>0.0217171685713677</v>
      </c>
      <c r="G8684" s="28" t="n">
        <f aca="false">(Sens!$G$8685-Sens!$G$8681+Sens!$G$8683)/Sens!$G$8682</f>
        <v>0.0233071940458981</v>
      </c>
      <c r="H8684" s="28" t="n">
        <f aca="false">Sens!$G$8684+step_na</f>
        <v>0.0263071940458981</v>
      </c>
      <c r="I8684" s="28" t="n">
        <f aca="false">Sens!$H$8684+step_na</f>
        <v>0.0293071940458981</v>
      </c>
      <c r="J8684" s="28" t="n">
        <f aca="false">Sens!$I$8684+step_na</f>
        <v>0.0323071940458981</v>
      </c>
      <c r="K8684" s="28" t="n">
        <f aca="false">Sens!$J$8684+step_na</f>
        <v>0.0353071940458981</v>
      </c>
      <c r="L8684" s="28" t="n">
        <f aca="false">Sens!$K$8684</f>
        <v>0.0353071940458981</v>
      </c>
      <c r="M8684" s="28" t="n">
        <f aca="false">Sens!$L$8684</f>
        <v>0.0353071940458981</v>
      </c>
      <c r="N8684" s="28" t="n">
        <f aca="false">(Sens!$N$8685-Sens!$N$8681+Sens!$N$8683)/Sens!$N$8682</f>
        <v>0.0160831323269779</v>
      </c>
      <c r="O8684" s="28" t="n">
        <f aca="false">(Sens!$O$8685-Sens!$O$8681+Sens!$O$8683)/Sens!$O$8682</f>
        <v>0.0126661854043327</v>
      </c>
      <c r="P8684" s="8" t="s">
        <v>724</v>
      </c>
    </row>
    <row r="8685" customFormat="false" ht="17.15" hidden="false" customHeight="false" outlineLevel="0" collapsed="false">
      <c r="A8685" s="1" t="s">
        <v>725</v>
      </c>
      <c r="B8685" s="8" t="s">
        <v>86</v>
      </c>
      <c r="C8685" s="38" t="n">
        <f aca="false">Q!$D$22</f>
        <v>24.967</v>
      </c>
      <c r="D8685" s="38" t="n">
        <f aca="false">Q!$E$22</f>
        <v>29.619</v>
      </c>
      <c r="E8685" s="38" t="n">
        <f aca="false">Q!$P$22</f>
        <v>17.39</v>
      </c>
      <c r="F8685" s="38" t="n">
        <f aca="false">Sens!$F$8681+Sens!$F$8682*Sens!$F$8684-Sens!$F$8683</f>
        <v>20.0952307469491</v>
      </c>
      <c r="G8685" s="38" t="n">
        <f aca="false">Sens!$E$8685+Sens!$F$8685</f>
        <v>37.4852307469491</v>
      </c>
      <c r="H8685" s="38" t="n">
        <f aca="false">Sens!$H$8681+Sens!$H$8682*Sens!$H$8684-Sens!$H$8683</f>
        <v>41.7888688877206</v>
      </c>
      <c r="I8685" s="38" t="n">
        <f aca="false">Sens!$I$8681+Sens!$I$8682*Sens!$I$8684-Sens!$I$8683</f>
        <v>44.7345973874265</v>
      </c>
      <c r="J8685" s="38" t="n">
        <f aca="false">Sens!$J$8681+Sens!$J$8682*Sens!$J$8684-Sens!$J$8683</f>
        <v>47.2590435011574</v>
      </c>
      <c r="K8685" s="38" t="n">
        <f aca="false">Sens!$K$8681+Sens!$K$8682*Sens!$K$8684-Sens!$K$8683</f>
        <v>49.1263799183386</v>
      </c>
      <c r="L8685" s="38" t="n">
        <f aca="false">Sens!$L$8681+Sens!$L$8682*Sens!$L$8684-Sens!$L$8683</f>
        <v>51.67835368582</v>
      </c>
      <c r="M8685" s="38" t="n">
        <f aca="false">Sens!$M$8681+Sens!$M$8682*Sens!$M$8684-Sens!$M$8683</f>
        <v>56.2932216308652</v>
      </c>
      <c r="N8685" s="38" t="n">
        <f aca="false">Q!$N$22</f>
        <v>13.358</v>
      </c>
      <c r="O8685" s="38" t="n">
        <f aca="false">Q!$O$22</f>
        <v>16.261</v>
      </c>
    </row>
    <row r="8686" customFormat="false" ht="17.15" hidden="false" customHeight="false" outlineLevel="0" collapsed="false">
      <c r="A8686" s="0" t="s">
        <v>726</v>
      </c>
      <c r="B8686" s="0" t="s">
        <v>86</v>
      </c>
      <c r="C8686" s="38" t="n">
        <f aca="false">Sens!$C$8586*m_ad</f>
        <v>7.57284355857716</v>
      </c>
      <c r="D8686" s="38" t="n">
        <f aca="false">Sens!$D$8586*m_ad</f>
        <v>9.44543827004127</v>
      </c>
      <c r="E8686" s="38" t="n">
        <f aca="false">Sens!$E$8586*m_ad</f>
        <v>5.02428875377928</v>
      </c>
      <c r="F8686" s="38" t="n">
        <f aca="false">Sens!$F$8586*m_ad</f>
        <v>6.50663858068173</v>
      </c>
      <c r="G8686" s="38" t="n">
        <f aca="false">Sens!$G$8586*m_ad</f>
        <v>11.5225190751659</v>
      </c>
      <c r="H8686" s="38" t="n">
        <f aca="false">Sens!$H$8586*m_ad</f>
        <v>13.8333728663174</v>
      </c>
      <c r="I8686" s="38" t="n">
        <f aca="false">Sens!$I$8586*m_ad</f>
        <v>16.1440173245485</v>
      </c>
      <c r="J8686" s="38" t="n">
        <f aca="false">Sens!$J$8586*m_ad</f>
        <v>18.2995185845066</v>
      </c>
      <c r="K8686" s="38" t="n">
        <f aca="false">Sens!$K$8586*m_ad</f>
        <v>20.1294704429572</v>
      </c>
      <c r="L8686" s="38" t="n">
        <f aca="false">Sens!$L$8586*m_ad</f>
        <v>22.142417487253</v>
      </c>
      <c r="M8686" s="38" t="n">
        <f aca="false">Sens!$M$8586*m_ad</f>
        <v>24.3566592359783</v>
      </c>
      <c r="N8686" s="38" t="n">
        <f aca="false">Sens!$N$8586*m_ad</f>
        <v>3.95314442937518</v>
      </c>
      <c r="O8686" s="38" t="n">
        <f aca="false">Sens!$O$8586*m_ad</f>
        <v>5.50052681786011</v>
      </c>
    </row>
    <row r="8687" customFormat="false" ht="17.15" hidden="false" customHeight="false" outlineLevel="0" collapsed="false">
      <c r="A8687" s="0" t="s">
        <v>727</v>
      </c>
      <c r="B8687" s="0" t="s">
        <v>86</v>
      </c>
      <c r="C8687" s="38" t="n">
        <f aca="false">Sens!$C$8584-Sens!$C$8586</f>
        <v>127.760312882846</v>
      </c>
      <c r="D8687" s="38" t="n">
        <f aca="false">Sens!$D$8584-Sens!$D$8586</f>
        <v>143.003123459917</v>
      </c>
      <c r="E8687" s="38" t="n">
        <f aca="false">Sens!$E$8584-Sens!$E$8586</f>
        <v>71.9374224924414</v>
      </c>
      <c r="F8687" s="38" t="n">
        <f aca="false">Sens!$F$8584-Sens!$F$8586</f>
        <v>85.3951910035875</v>
      </c>
      <c r="G8687" s="38" t="n">
        <f aca="false">Sens!$G$8584-Sens!$G$8586</f>
        <v>157.349430014619</v>
      </c>
      <c r="H8687" s="38" t="n">
        <f aca="false">Sens!$H$8584-Sens!$H$8586</f>
        <v>172.043153372315</v>
      </c>
      <c r="I8687" s="38" t="n">
        <f aca="false">Sens!$I$8584-Sens!$I$8586</f>
        <v>186.097493615879</v>
      </c>
      <c r="J8687" s="38" t="n">
        <f aca="false">Sens!$J$8584-Sens!$J$8586</f>
        <v>199.117932780497</v>
      </c>
      <c r="K8687" s="38" t="n">
        <f aca="false">Sens!$K$8584-Sens!$K$8586</f>
        <v>210.70928698363</v>
      </c>
      <c r="L8687" s="38" t="n">
        <f aca="false">Sens!$L$8584-Sens!$L$8586</f>
        <v>223.000532251316</v>
      </c>
      <c r="M8687" s="38" t="n">
        <f aca="false">Sens!$M$8584-Sens!$M$8586</f>
        <v>236.035261011339</v>
      </c>
      <c r="N8687" s="38" t="n">
        <f aca="false">Sens!$N$8584-Sens!$N$8586</f>
        <v>62.3677111412496</v>
      </c>
      <c r="O8687" s="38" t="n">
        <f aca="false">Sens!$O$8584-Sens!$O$8586</f>
        <v>80.6189463642798</v>
      </c>
    </row>
    <row r="8688" customFormat="false" ht="17.15" hidden="false" customHeight="false" outlineLevel="0" collapsed="false">
      <c r="A8688" s="0" t="s">
        <v>728</v>
      </c>
      <c r="B8688" s="0" t="s">
        <v>86</v>
      </c>
      <c r="C8688" s="38" t="n">
        <f aca="false">Sens!$C$8634*(1-Sens!$C$8582)</f>
        <v>0.0455891896019953</v>
      </c>
      <c r="D8688" s="38" t="n">
        <f aca="false">Sens!$D$8634*(1-Sens!$D$8582)</f>
        <v>0.227931791705753</v>
      </c>
      <c r="E8688" s="38" t="n">
        <f aca="false">Sens!$E$8634*(1-Sens!$E$8582)</f>
        <v>0.361164268820781</v>
      </c>
      <c r="F8688" s="38" t="n">
        <f aca="false">Sens!$F$8634*(1-Sens!$F$8582)</f>
        <v>0.471208018190203</v>
      </c>
      <c r="G8688" s="38" t="n">
        <f aca="false">Sens!$G$8634*(1-Sens!$G$8582)</f>
        <v>0.83170626714885</v>
      </c>
      <c r="H8688" s="38" t="n">
        <f aca="false">Sens!$H$8634*(1-Sens!$H$8582)</f>
        <v>2.35271136874315</v>
      </c>
      <c r="I8688" s="38" t="n">
        <f aca="false">Sens!$I$8634*(1-Sens!$I$8582)</f>
        <v>4.46305900024741</v>
      </c>
      <c r="J8688" s="38" t="n">
        <f aca="false">Sens!$J$8634*(1-Sens!$J$8582)</f>
        <v>6.63055328092195</v>
      </c>
      <c r="K8688" s="38" t="n">
        <f aca="false">Sens!$K$8634*(1-Sens!$K$8582)</f>
        <v>8.75186037365703</v>
      </c>
      <c r="L8688" s="38" t="n">
        <f aca="false">Sens!$L$8634*(1-Sens!$L$8582)</f>
        <v>10.2212794071718</v>
      </c>
      <c r="M8688" s="38" t="n">
        <f aca="false">Sens!$M$8634*(1-Sens!$M$8582)</f>
        <v>11.1280810756472</v>
      </c>
      <c r="N8688" s="38" t="n">
        <f aca="false">Sens!$N$8634*(1-Sens!$N$8582)</f>
        <v>0.0912435878202994</v>
      </c>
      <c r="O8688" s="38" t="n">
        <f aca="false">Sens!$O$8634*(1-Sens!$O$8582)</f>
        <v>0.137119578309265</v>
      </c>
    </row>
    <row r="8689" customFormat="false" ht="17.15" hidden="false" customHeight="false" outlineLevel="0" collapsed="false">
      <c r="A8689" s="0" t="s">
        <v>729</v>
      </c>
      <c r="B8689" s="0" t="s">
        <v>52</v>
      </c>
      <c r="C8689" s="28" t="n">
        <f aca="false">(Sens!$C$8690-Sens!$C$8686+Sens!$C$8688)/Sens!$C$8687</f>
        <v>-0.0292364215826579</v>
      </c>
      <c r="D8689" s="28" t="n">
        <f aca="false">(Sens!$D$8690-Sens!$D$8686+Sens!$D$8688)/Sens!$D$8687</f>
        <v>-0.0312406216748665</v>
      </c>
      <c r="E8689" s="28" t="n">
        <f aca="false">(Sens!$E$8690-Sens!$E$8686+Sens!$E$8688)/Sens!$E$8687</f>
        <v>-0.0211590078184749</v>
      </c>
      <c r="F8689" s="28" t="n">
        <f aca="false">Sens!$O$8689+(Sens!$E$8689-Sens!$N$8689)</f>
        <v>-0.0382539955245511</v>
      </c>
      <c r="G8689" s="28" t="n">
        <f aca="false">(Sens!$G$8690-Sens!$G$8686+Sens!$G$8688)/Sens!$G$8687</f>
        <v>-0.030385172031133</v>
      </c>
      <c r="H8689" s="28" t="n">
        <f aca="false">Sens!$G$8689+step_in</f>
        <v>-0.030385172031133</v>
      </c>
      <c r="I8689" s="28" t="n">
        <f aca="false">Sens!$H$8689+step_in</f>
        <v>-0.030385172031133</v>
      </c>
      <c r="J8689" s="28" t="n">
        <f aca="false">Sens!$I$8689+step_in</f>
        <v>-0.030385172031133</v>
      </c>
      <c r="K8689" s="28" t="n">
        <f aca="false">Sens!$J$8689+step_in</f>
        <v>-0.030385172031133</v>
      </c>
      <c r="L8689" s="28" t="n">
        <f aca="false">Sens!$K$8689</f>
        <v>-0.030385172031133</v>
      </c>
      <c r="M8689" s="28" t="n">
        <f aca="false">Sens!$L$8689</f>
        <v>-0.030385172031133</v>
      </c>
      <c r="N8689" s="28" t="n">
        <f aca="false">(Sens!$N$8690-Sens!$N$8686+Sens!$N$8688)/Sens!$N$8687</f>
        <v>-0.0216602600421776</v>
      </c>
      <c r="O8689" s="28" t="n">
        <f aca="false">(Sens!$O$8690-Sens!$O$8686+Sens!$O$8688)/Sens!$O$8687</f>
        <v>-0.0387552477482538</v>
      </c>
      <c r="P8689" s="8" t="s">
        <v>724</v>
      </c>
    </row>
    <row r="8690" customFormat="false" ht="17.15" hidden="false" customHeight="false" outlineLevel="0" collapsed="false">
      <c r="A8690" s="1" t="s">
        <v>730</v>
      </c>
      <c r="B8690" s="8" t="s">
        <v>86</v>
      </c>
      <c r="C8690" s="38" t="n">
        <f aca="false">Q!$D$23</f>
        <v>3.792</v>
      </c>
      <c r="D8690" s="38" t="n">
        <f aca="false">Q!$E$23</f>
        <v>4.75</v>
      </c>
      <c r="E8690" s="38" t="n">
        <f aca="false">Q!$P$23</f>
        <v>3.141</v>
      </c>
      <c r="F8690" s="38" t="n">
        <f aca="false">Sens!$F$8686+Sens!$F$8687*Sens!$F$8689-Sens!$F$8688</f>
        <v>2.7687233080221</v>
      </c>
      <c r="G8690" s="38" t="n">
        <f aca="false">Sens!$E$8690+Sens!$F$8690</f>
        <v>5.9097233080221</v>
      </c>
      <c r="H8690" s="38" t="n">
        <f aca="false">Sens!$H$8686+Sens!$H$8687*Sens!$H$8689-Sens!$H$8688</f>
        <v>6.25310068557783</v>
      </c>
      <c r="I8690" s="38" t="n">
        <f aca="false">Sens!$I$8686+Sens!$I$8687*Sens!$I$8689-Sens!$I$8688</f>
        <v>6.02635396621997</v>
      </c>
      <c r="J8690" s="38" t="n">
        <f aca="false">Sens!$J$8686+Sens!$J$8687*Sens!$J$8689-Sens!$J$8688</f>
        <v>5.61873266156566</v>
      </c>
      <c r="K8690" s="38" t="n">
        <f aca="false">Sens!$K$8686+Sens!$K$8687*Sens!$K$8689-Sens!$K$8688</f>
        <v>4.97517213574524</v>
      </c>
      <c r="L8690" s="38" t="n">
        <f aca="false">Sens!$L$8686+Sens!$L$8687*Sens!$L$8689-Sens!$L$8688</f>
        <v>5.14522854459066</v>
      </c>
      <c r="M8690" s="38" t="n">
        <f aca="false">Sens!$M$8686+Sens!$M$8687*Sens!$M$8689-Sens!$M$8688</f>
        <v>6.05660614908815</v>
      </c>
      <c r="N8690" s="38" t="n">
        <f aca="false">Q!$N$23</f>
        <v>2.511</v>
      </c>
      <c r="O8690" s="38" t="n">
        <f aca="false">Q!$O$23</f>
        <v>2.239</v>
      </c>
    </row>
    <row r="8691" customFormat="false" ht="17.15" hidden="false" customHeight="false" outlineLevel="0" collapsed="false">
      <c r="A8691" s="0" t="s">
        <v>731</v>
      </c>
      <c r="B8691" s="0" t="s">
        <v>86</v>
      </c>
      <c r="C8691" s="38" t="n">
        <f aca="false">Sens!$C$8631</f>
        <v>1.64417882953695</v>
      </c>
      <c r="D8691" s="38" t="n">
        <f aca="false">Sens!$D$8631</f>
        <v>5.39125073772939</v>
      </c>
      <c r="E8691" s="38" t="n">
        <f aca="false">Sens!$E$8631</f>
        <v>3.18348617147493</v>
      </c>
      <c r="F8691" s="38" t="n">
        <f aca="false">Sens!$F$8631</f>
        <v>8.27806059642226</v>
      </c>
      <c r="G8691" s="38" t="n">
        <f aca="false">Sens!$G$8631</f>
        <v>11.4615467678972</v>
      </c>
      <c r="H8691" s="38" t="n">
        <f aca="false">Sens!$H$8631</f>
        <v>26.1859456885487</v>
      </c>
      <c r="I8691" s="38" t="n">
        <f aca="false">Sens!$I$8631</f>
        <v>37.04424114757</v>
      </c>
      <c r="J8691" s="38" t="n">
        <f aca="false">Sens!$J$8631</f>
        <v>47.2610736233534</v>
      </c>
      <c r="K8691" s="38" t="n">
        <f aca="false">Sens!$K$8631</f>
        <v>52.0459876645985</v>
      </c>
      <c r="L8691" s="38" t="n">
        <f aca="false">Sens!$L$8631</f>
        <v>54.1033156405981</v>
      </c>
      <c r="M8691" s="38" t="n">
        <f aca="false">Sens!$M$8631</f>
        <v>52.1138209393421</v>
      </c>
      <c r="N8691" s="38" t="n">
        <f aca="false">Sens!$N$8631</f>
        <v>1.67921600037079</v>
      </c>
      <c r="O8691" s="38" t="n">
        <f aca="false">Sens!$O$8631</f>
        <v>3.71203473735861</v>
      </c>
    </row>
    <row r="8692" customFormat="false" ht="17.15" hidden="false" customHeight="false" outlineLevel="0" collapsed="false">
      <c r="A8692" s="0" t="s">
        <v>649</v>
      </c>
      <c r="B8692" s="0" t="s">
        <v>86</v>
      </c>
      <c r="C8692" s="38" t="n">
        <f aca="false">Sens!$C$8636</f>
        <v>38.1898211704631</v>
      </c>
      <c r="D8692" s="38" t="n">
        <f aca="false">Sens!$D$8636</f>
        <v>40.2147492622706</v>
      </c>
      <c r="E8692" s="38" t="n">
        <f aca="false">Sens!$E$8636</f>
        <v>27.5985138285251</v>
      </c>
      <c r="F8692" s="38" t="n">
        <f aca="false">Sens!$F$8636</f>
        <v>25.5484769754606</v>
      </c>
      <c r="G8692" s="38" t="n">
        <f aca="false">Sens!$G$8636</f>
        <v>53.1469908039857</v>
      </c>
      <c r="H8692" s="38" t="n">
        <f aca="false">Sens!$H$8636</f>
        <v>57.3189525076539</v>
      </c>
      <c r="I8692" s="38" t="n">
        <f aca="false">Sens!$I$8636</f>
        <v>63.6385627021087</v>
      </c>
      <c r="J8692" s="38" t="n">
        <f aca="false">Sens!$J$8636</f>
        <v>69.6922896066105</v>
      </c>
      <c r="K8692" s="38" t="n">
        <f aca="false">Sens!$K$8636</f>
        <v>75.2676727751394</v>
      </c>
      <c r="L8692" s="38" t="n">
        <f aca="false">Sens!$L$8636</f>
        <v>81.2890865971505</v>
      </c>
      <c r="M8692" s="38" t="n">
        <f aca="false">Sens!$M$8636</f>
        <v>87.7922135249226</v>
      </c>
      <c r="N8692" s="38" t="n">
        <f aca="false">Sens!$N$8636</f>
        <v>20.0277839996292</v>
      </c>
      <c r="O8692" s="38" t="n">
        <f aca="false">Sens!$O$8636</f>
        <v>20.1869652626414</v>
      </c>
    </row>
    <row r="8693" customFormat="false" ht="17.15" hidden="false" customHeight="false" outlineLevel="0" collapsed="false">
      <c r="A8693" s="1" t="s">
        <v>732</v>
      </c>
      <c r="B8693" s="8" t="s">
        <v>86</v>
      </c>
      <c r="C8693" s="38" t="n">
        <f aca="false">Q!$D$24</f>
        <v>39.834</v>
      </c>
      <c r="D8693" s="38" t="n">
        <f aca="false">Q!$E$24</f>
        <v>45.606</v>
      </c>
      <c r="E8693" s="38" t="n">
        <f aca="false">Q!$P$24</f>
        <v>30.782</v>
      </c>
      <c r="F8693" s="38" t="n">
        <f aca="false">Sens!$F$8691+Sens!$F$8692</f>
        <v>33.8265375718829</v>
      </c>
      <c r="G8693" s="38" t="n">
        <f aca="false">Sens!$G$8691+Sens!$G$8692</f>
        <v>64.6085375718829</v>
      </c>
      <c r="H8693" s="38" t="n">
        <f aca="false">Sens!$H$8691+Sens!$H$8692</f>
        <v>83.5048981962026</v>
      </c>
      <c r="I8693" s="38" t="n">
        <f aca="false">Sens!$I$8691+Sens!$I$8692</f>
        <v>100.682803849679</v>
      </c>
      <c r="J8693" s="38" t="n">
        <f aca="false">Sens!$J$8691+Sens!$J$8692</f>
        <v>116.953363229964</v>
      </c>
      <c r="K8693" s="38" t="n">
        <f aca="false">Sens!$K$8691+Sens!$K$8692</f>
        <v>127.313660439738</v>
      </c>
      <c r="L8693" s="38" t="n">
        <f aca="false">Sens!$L$8691+Sens!$L$8692</f>
        <v>135.392402237749</v>
      </c>
      <c r="M8693" s="38" t="n">
        <f aca="false">Sens!$M$8691+Sens!$M$8692</f>
        <v>139.906034464265</v>
      </c>
      <c r="N8693" s="38" t="n">
        <f aca="false">Q!$N$24</f>
        <v>21.707</v>
      </c>
      <c r="O8693" s="38" t="n">
        <f aca="false">Q!$O$24</f>
        <v>23.899</v>
      </c>
    </row>
    <row r="8694" customFormat="false" ht="17.15" hidden="false" customHeight="false" outlineLevel="0" collapsed="false">
      <c r="A8694" s="5" t="s">
        <v>733</v>
      </c>
      <c r="B8694" s="0" t="s">
        <v>86</v>
      </c>
      <c r="C8694" s="38" t="n">
        <f aca="false">Q!$D$26</f>
        <v>0</v>
      </c>
      <c r="D8694" s="38" t="n">
        <f aca="false">Q!$E$26</f>
        <v>0</v>
      </c>
      <c r="E8694" s="38" t="n">
        <f aca="false">Q!$P$26</f>
        <v>0</v>
      </c>
      <c r="F8694" s="39" t="n">
        <v>0</v>
      </c>
      <c r="G8694" s="38" t="n">
        <f aca="false">Sens!$E$8694+Sens!$F$8694</f>
        <v>0</v>
      </c>
      <c r="H8694" s="39" t="n">
        <v>0</v>
      </c>
      <c r="I8694" s="39" t="n">
        <v>0</v>
      </c>
      <c r="J8694" s="39" t="n">
        <v>0</v>
      </c>
      <c r="K8694" s="39" t="n">
        <v>0</v>
      </c>
      <c r="L8694" s="39" t="n">
        <v>0</v>
      </c>
      <c r="M8694" s="39" t="n">
        <v>0</v>
      </c>
      <c r="N8694" s="38" t="n">
        <f aca="false">Q!$N$26</f>
        <v>0</v>
      </c>
      <c r="O8694" s="38" t="n">
        <f aca="false">Q!$O$26</f>
        <v>0</v>
      </c>
    </row>
    <row r="8695" customFormat="false" ht="15" hidden="false" customHeight="false" outlineLevel="0" collapsed="false">
      <c r="A8695" s="3" t="s">
        <v>534</v>
      </c>
      <c r="B8695" s="8" t="s">
        <v>86</v>
      </c>
      <c r="C8695" s="38" t="n">
        <f aca="false">Q!$D$25</f>
        <v>68.593</v>
      </c>
      <c r="D8695" s="38" t="n">
        <f aca="false">Q!$E$25</f>
        <v>79.975</v>
      </c>
      <c r="E8695" s="38" t="n">
        <f aca="false">Q!$P$25</f>
        <v>51.313</v>
      </c>
      <c r="F8695" s="38" t="n">
        <f aca="false">Sens!$F$8685+Sens!$F$8690+Sens!$F$8693+Sens!$F$8694</f>
        <v>56.6904916268541</v>
      </c>
      <c r="G8695" s="38" t="n">
        <f aca="false">Sens!$G$8685+Sens!$G$8690+Sens!$G$8693+Sens!$G$8694</f>
        <v>108.003491626854</v>
      </c>
      <c r="H8695" s="38" t="n">
        <f aca="false">Sens!$H$8685+Sens!$H$8690+Sens!$H$8693+Sens!$H$8694</f>
        <v>131.546867769501</v>
      </c>
      <c r="I8695" s="38" t="n">
        <f aca="false">Sens!$I$8685+Sens!$I$8690+Sens!$I$8693+Sens!$I$8694</f>
        <v>151.443755203325</v>
      </c>
      <c r="J8695" s="38" t="n">
        <f aca="false">Sens!$J$8685+Sens!$J$8690+Sens!$J$8693+Sens!$J$8694</f>
        <v>169.831139392687</v>
      </c>
      <c r="K8695" s="38" t="n">
        <f aca="false">Sens!$K$8685+Sens!$K$8690+Sens!$K$8693+Sens!$K$8694</f>
        <v>181.415212493822</v>
      </c>
      <c r="L8695" s="38" t="n">
        <f aca="false">Sens!$L$8685+Sens!$L$8690+Sens!$L$8693+Sens!$L$8694</f>
        <v>192.215984468159</v>
      </c>
      <c r="M8695" s="38" t="n">
        <f aca="false">Sens!$M$8685+Sens!$M$8690+Sens!$M$8693+Sens!$M$8694</f>
        <v>202.255862244218</v>
      </c>
      <c r="N8695" s="38" t="n">
        <f aca="false">Q!$N$25</f>
        <v>37.576</v>
      </c>
      <c r="O8695" s="38" t="n">
        <f aca="false">Q!$O$25</f>
        <v>42.399</v>
      </c>
    </row>
    <row r="8696" customFormat="false" ht="17.15" hidden="false" customHeight="false" outlineLevel="0" collapsed="false">
      <c r="A8696" s="24" t="s">
        <v>764</v>
      </c>
      <c r="B8696" s="25" t="s">
        <v>86</v>
      </c>
      <c r="C8696" s="41" t="n">
        <f aca="false">Sens!$C$8685+Sens!$C$8690+Sens!$C$8693+Sens!$C$8694-Sens!$C$8695</f>
        <v>0</v>
      </c>
      <c r="D8696" s="41" t="n">
        <f aca="false">Sens!$D$8685+Sens!$D$8690+Sens!$D$8693+Sens!$D$8694-Sens!$D$8695</f>
        <v>0</v>
      </c>
      <c r="E8696" s="41" t="n">
        <f aca="false">Sens!$E$8685+Sens!$E$8690+Sens!$E$8693+Sens!$E$8694-Sens!$E$8695</f>
        <v>0</v>
      </c>
      <c r="F8696" s="41" t="n">
        <f aca="false">Sens!$F$8685+Sens!$F$8690+Sens!$F$8693+Sens!$F$8694-Sens!$F$8695</f>
        <v>0</v>
      </c>
      <c r="G8696" s="41" t="n">
        <f aca="false">Sens!$G$8685+Sens!$G$8690+Sens!$G$8693+Sens!$G$8694-Sens!$G$8695</f>
        <v>0</v>
      </c>
      <c r="H8696" s="41" t="n">
        <f aca="false">Sens!$H$8685+Sens!$H$8690+Sens!$H$8693+Sens!$H$8694-Sens!$H$8695</f>
        <v>0</v>
      </c>
      <c r="I8696" s="41" t="n">
        <f aca="false">Sens!$I$8685+Sens!$I$8690+Sens!$I$8693+Sens!$I$8694-Sens!$I$8695</f>
        <v>0</v>
      </c>
      <c r="J8696" s="41" t="n">
        <f aca="false">Sens!$J$8685+Sens!$J$8690+Sens!$J$8693+Sens!$J$8694-Sens!$J$8695</f>
        <v>0</v>
      </c>
      <c r="K8696" s="41" t="n">
        <f aca="false">Sens!$K$8685+Sens!$K$8690+Sens!$K$8693+Sens!$K$8694-Sens!$K$8695</f>
        <v>0</v>
      </c>
      <c r="L8696" s="41" t="n">
        <f aca="false">Sens!$L$8685+Sens!$L$8690+Sens!$L$8693+Sens!$L$8694-Sens!$L$8695</f>
        <v>0</v>
      </c>
      <c r="M8696" s="41" t="n">
        <f aca="false">Sens!$M$8685+Sens!$M$8690+Sens!$M$8693+Sens!$M$8694-Sens!$M$8695</f>
        <v>0</v>
      </c>
      <c r="N8696" s="41" t="n">
        <f aca="false">Sens!$N$8685+Sens!$N$8690+Sens!$N$8693+Sens!$N$8694-Sens!$N$8695</f>
        <v>0</v>
      </c>
      <c r="O8696" s="41" t="n">
        <f aca="false">Sens!$O$8685+Sens!$O$8690+Sens!$O$8693+Sens!$O$8694-Sens!$O$8695</f>
        <v>0</v>
      </c>
    </row>
    <row r="8697" customFormat="false" ht="17.15" hidden="false" customHeight="false" outlineLevel="0" collapsed="false">
      <c r="A8697" s="5" t="s">
        <v>735</v>
      </c>
      <c r="B8697" s="0" t="s">
        <v>86</v>
      </c>
      <c r="C8697" s="38" t="n">
        <f aca="false">Sens!$C$8633</f>
        <v>0</v>
      </c>
      <c r="D8697" s="38" t="n">
        <f aca="false">Sens!$D$8633</f>
        <v>0</v>
      </c>
      <c r="E8697" s="38" t="n">
        <f aca="false">Sens!$E$8633</f>
        <v>0</v>
      </c>
      <c r="F8697" s="38" t="n">
        <f aca="false">Sens!$F$8633</f>
        <v>3.77122048175818</v>
      </c>
      <c r="G8697" s="38" t="n">
        <f aca="false">Sens!$G$8633</f>
        <v>3.77122048175818</v>
      </c>
      <c r="H8697" s="38" t="n">
        <f aca="false">Sens!$H$8633</f>
        <v>15.1635543609893</v>
      </c>
      <c r="I8697" s="38" t="n">
        <f aca="false">Sens!$I$8633</f>
        <v>25.5818843619889</v>
      </c>
      <c r="J8697" s="38" t="n">
        <f aca="false">Sens!$J$8633</f>
        <v>36.0465624179122</v>
      </c>
      <c r="K8697" s="38" t="n">
        <f aca="false">Sens!$K$8633</f>
        <v>44.9741164026038</v>
      </c>
      <c r="L8697" s="38" t="n">
        <f aca="false">Sens!$L$8633</f>
        <v>50.8413488057813</v>
      </c>
      <c r="M8697" s="38" t="n">
        <f aca="false">Sens!$M$8633</f>
        <v>53.6407214274315</v>
      </c>
      <c r="N8697" s="38" t="n">
        <f aca="false">Sens!$N$8633</f>
        <v>0</v>
      </c>
      <c r="O8697" s="38" t="n">
        <f aca="false">Sens!$O$8633</f>
        <v>0</v>
      </c>
      <c r="P8697" s="5" t="s">
        <v>736</v>
      </c>
    </row>
    <row r="8698" customFormat="false" ht="17.15" hidden="false" customHeight="false" outlineLevel="0" collapsed="false">
      <c r="A8698" s="5" t="s">
        <v>737</v>
      </c>
      <c r="B8698" s="0" t="s">
        <v>86</v>
      </c>
      <c r="C8698" s="38" t="n">
        <f aca="false">Sens!$C$8695+Sens!$C$8697</f>
        <v>68.593</v>
      </c>
      <c r="D8698" s="38" t="n">
        <f aca="false">Sens!$D$8695+Sens!$D$8697</f>
        <v>79.975</v>
      </c>
      <c r="E8698" s="38" t="n">
        <f aca="false">Sens!$E$8695+Sens!$E$8697</f>
        <v>51.313</v>
      </c>
      <c r="F8698" s="38" t="n">
        <f aca="false">Sens!$F$8695+Sens!$F$8697</f>
        <v>60.4617121086123</v>
      </c>
      <c r="G8698" s="38" t="n">
        <f aca="false">Sens!$G$8695+Sens!$G$8697</f>
        <v>111.774712108612</v>
      </c>
      <c r="H8698" s="38" t="n">
        <f aca="false">Sens!$H$8695+Sens!$H$8697</f>
        <v>146.71042213049</v>
      </c>
      <c r="I8698" s="38" t="n">
        <f aca="false">Sens!$I$8695+Sens!$I$8697</f>
        <v>177.025639565314</v>
      </c>
      <c r="J8698" s="38" t="n">
        <f aca="false">Sens!$J$8695+Sens!$J$8697</f>
        <v>205.877701810599</v>
      </c>
      <c r="K8698" s="38" t="n">
        <f aca="false">Sens!$K$8695+Sens!$K$8697</f>
        <v>226.389328896426</v>
      </c>
      <c r="L8698" s="38" t="n">
        <f aca="false">Sens!$L$8695+Sens!$L$8697</f>
        <v>243.057333273941</v>
      </c>
      <c r="M8698" s="38" t="n">
        <f aca="false">Sens!$M$8695+Sens!$M$8697</f>
        <v>255.896583671649</v>
      </c>
      <c r="N8698" s="38" t="n">
        <f aca="false">Sens!$N$8695+Sens!$N$8697</f>
        <v>37.576</v>
      </c>
      <c r="O8698" s="38" t="n">
        <f aca="false">Sens!$O$8695+Sens!$O$8697</f>
        <v>42.399</v>
      </c>
    </row>
    <row r="8699" customFormat="false" ht="17.15" hidden="false" customHeight="false" outlineLevel="0" collapsed="false">
      <c r="A8699" s="0" t="s">
        <v>738</v>
      </c>
      <c r="B8699" s="0" t="s">
        <v>52</v>
      </c>
      <c r="C8699" s="13" t="n">
        <f aca="false">Sens!$C$8685/Sens!$C$8670</f>
        <v>0.0644314665661928</v>
      </c>
      <c r="D8699" s="13" t="n">
        <f aca="false">Sens!$D$8685/Sens!$D$8670</f>
        <v>0.0694784250712518</v>
      </c>
      <c r="E8699" s="13" t="n">
        <f aca="false">Sens!$E$8685/Sens!$E$8670</f>
        <v>0.0789306463326071</v>
      </c>
      <c r="F8699" s="13" t="n">
        <f aca="false">Sens!$F$8685/Sens!$F$8670</f>
        <v>0.0801757457241943</v>
      </c>
      <c r="G8699" s="13" t="n">
        <f aca="false">Sens!$G$8685/Sens!$G$8670</f>
        <v>0.0795932749625682</v>
      </c>
      <c r="H8699" s="13" t="n">
        <f aca="false">Sens!$H$8685/Sens!$H$8670</f>
        <v>0.0801494276915951</v>
      </c>
      <c r="I8699" s="13" t="n">
        <f aca="false">Sens!$I$8685/Sens!$I$8670</f>
        <v>0.0784619467108939</v>
      </c>
      <c r="J8699" s="13" t="n">
        <f aca="false">Sens!$J$8685/Sens!$J$8670</f>
        <v>0.0767950945569155</v>
      </c>
      <c r="K8699" s="13" t="n">
        <f aca="false">Sens!$K$8685/Sens!$K$8670</f>
        <v>0.0749782708028101</v>
      </c>
      <c r="L8699" s="13" t="n">
        <f aca="false">Sens!$L$8685/Sens!$L$8670</f>
        <v>0.0740581549602486</v>
      </c>
      <c r="M8699" s="13" t="n">
        <f aca="false">Sens!$M$8685/Sens!$M$8670</f>
        <v>0.075724068445432</v>
      </c>
      <c r="N8699" s="13" t="n">
        <f aca="false">Sens!$N$8685/Sens!$N$8670</f>
        <v>0.069228576611127</v>
      </c>
      <c r="O8699" s="13" t="n">
        <f aca="false">Sens!$O$8685/Sens!$O$8670</f>
        <v>0.069685022498393</v>
      </c>
    </row>
    <row r="8700" customFormat="false" ht="17.15" hidden="false" customHeight="false" outlineLevel="0" collapsed="false">
      <c r="A8700" s="0" t="s">
        <v>739</v>
      </c>
      <c r="B8700" s="0" t="s">
        <v>52</v>
      </c>
      <c r="C8700" s="13" t="n">
        <f aca="false">Sens!$C$8690/Sens!$C$8671</f>
        <v>0.026534925055631</v>
      </c>
      <c r="D8700" s="13" t="n">
        <f aca="false">Sens!$D$8690/Sens!$D$8671</f>
        <v>0.0293401855535103</v>
      </c>
      <c r="E8700" s="13" t="n">
        <f aca="false">Sens!$E$8690/Sens!$E$8671</f>
        <v>0.03831141902276</v>
      </c>
      <c r="F8700" s="13" t="n">
        <f aca="false">Sens!$F$8690/Sens!$F$8671</f>
        <v>0.0281350107328284</v>
      </c>
      <c r="G8700" s="13" t="n">
        <f aca="false">Sens!$G$8690/Sens!$G$8671</f>
        <v>0.0327600029432073</v>
      </c>
      <c r="H8700" s="13" t="n">
        <f aca="false">Sens!$H$8690/Sens!$H$8671</f>
        <v>0.031310920057557</v>
      </c>
      <c r="I8700" s="13" t="n">
        <f aca="false">Sens!$I$8690/Sens!$I$8671</f>
        <v>0.0275950243319601</v>
      </c>
      <c r="J8700" s="13" t="n">
        <f aca="false">Sens!$J$8690/Sens!$J$8671</f>
        <v>0.0238367762099147</v>
      </c>
      <c r="K8700" s="13" t="n">
        <f aca="false">Sens!$K$8690/Sens!$K$8671</f>
        <v>0.0198239122855479</v>
      </c>
      <c r="L8700" s="13" t="n">
        <f aca="false">Sens!$L$8690/Sens!$L$8671</f>
        <v>0.0192499447238486</v>
      </c>
      <c r="M8700" s="13" t="n">
        <f aca="false">Sens!$M$8690/Sens!$M$8671</f>
        <v>0.0212700135680342</v>
      </c>
      <c r="N8700" s="13" t="n">
        <f aca="false">Sens!$N$8690/Sens!$N$8671</f>
        <v>0.0357315650169337</v>
      </c>
      <c r="O8700" s="13" t="n">
        <f aca="false">Sens!$O$8690/Sens!$O$8671</f>
        <v>0.0244378956559703</v>
      </c>
    </row>
    <row r="8701" customFormat="false" ht="17.15" hidden="false" customHeight="false" outlineLevel="0" collapsed="false">
      <c r="A8701" s="14" t="s">
        <v>740</v>
      </c>
      <c r="B8701" s="14" t="s">
        <v>52</v>
      </c>
      <c r="C8701" s="17" t="n">
        <f aca="false">Sens!$C$8693/Sens!$C$8672</f>
        <v>0.370355907620217</v>
      </c>
      <c r="D8701" s="17" t="n">
        <f aca="false">Sens!$D$8693/Sens!$D$8672</f>
        <v>0.35429015342785</v>
      </c>
      <c r="E8701" s="17" t="n">
        <f aca="false">Sens!$E$8693/Sens!$E$8672</f>
        <v>0.385647527531039</v>
      </c>
      <c r="F8701" s="17" t="n">
        <f aca="false">Sens!$F$8693/Sens!$F$8672</f>
        <v>0.390008895496028</v>
      </c>
      <c r="G8701" s="17" t="n">
        <f aca="false">Sens!$G$8693/Sens!$G$8672</f>
        <v>0.387918733944362</v>
      </c>
      <c r="H8701" s="17" t="n">
        <f aca="false">Sens!$H$8693/Sens!$H$8672</f>
        <v>0.377537651365497</v>
      </c>
      <c r="I8701" s="17" t="n">
        <f aca="false">Sens!$I$8693/Sens!$I$8672</f>
        <v>0.359230604038662</v>
      </c>
      <c r="J8701" s="17" t="n">
        <f aca="false">Sens!$J$8693/Sens!$J$8672</f>
        <v>0.345197865849801</v>
      </c>
      <c r="K8701" s="17" t="n">
        <f aca="false">Sens!$K$8693/Sens!$K$8672</f>
        <v>0.32654098357242</v>
      </c>
      <c r="L8701" s="17" t="n">
        <f aca="false">Sens!$L$8693/Sens!$L$8672</f>
        <v>0.314806978274702</v>
      </c>
      <c r="M8701" s="17" t="n">
        <f aca="false">Sens!$M$8693/Sens!$M$8672</f>
        <v>0.304503505485029</v>
      </c>
      <c r="N8701" s="17" t="n">
        <f aca="false">Sens!$N$8693/Sens!$N$8672</f>
        <v>0.360941137346192</v>
      </c>
      <c r="O8701" s="17" t="n">
        <f aca="false">Sens!$O$8693/Sens!$O$8672</f>
        <v>0.348458117664212</v>
      </c>
    </row>
    <row r="8702" customFormat="false" ht="17.15" hidden="false" customHeight="false" outlineLevel="0" collapsed="false">
      <c r="A8702" s="0" t="s">
        <v>741</v>
      </c>
      <c r="B8702" s="0" t="s">
        <v>52</v>
      </c>
      <c r="C8702" s="13" t="n">
        <f aca="false">Sens!$C$8691/Sens!$C$8673</f>
        <v>0.708390794789371</v>
      </c>
      <c r="D8702" s="13" t="n">
        <f aca="false">Sens!$D$8691/Sens!$D$8673</f>
        <v>0.619415573115729</v>
      </c>
      <c r="E8702" s="13" t="n">
        <f aca="false">Sens!$E$8691/Sens!$E$8673</f>
        <v>0.374072166056273</v>
      </c>
      <c r="F8702" s="13" t="n">
        <f aca="false">Sens!$F$8691/Sens!$F$8673</f>
        <v>0.553219320710057</v>
      </c>
      <c r="G8702" s="13" t="n">
        <f aca="false">Sens!$G$8691/Sens!$G$8673</f>
        <v>0.488270041527512</v>
      </c>
      <c r="H8702" s="13" t="n">
        <f aca="false">Sens!$H$8691/Sens!$H$8673</f>
        <v>0.435229086816882</v>
      </c>
      <c r="I8702" s="13" t="n">
        <f aca="false">Sens!$I$8691/Sens!$I$8673</f>
        <v>0.364954592421095</v>
      </c>
      <c r="J8702" s="13" t="n">
        <f aca="false">Sens!$J$8691/Sens!$J$8673</f>
        <v>0.330438308582232</v>
      </c>
      <c r="K8702" s="13" t="n">
        <f aca="false">Sens!$K$8691/Sens!$K$8673</f>
        <v>0.2916589289528</v>
      </c>
      <c r="L8702" s="13" t="n">
        <f aca="false">Sens!$L$8691/Sens!$L$8673</f>
        <v>0.268199200593258</v>
      </c>
      <c r="M8702" s="13" t="n">
        <f aca="false">Sens!$M$8691/Sens!$M$8673</f>
        <v>0.244854995033574</v>
      </c>
      <c r="N8702" s="13" t="n">
        <f aca="false">Sens!$N$8691/Sens!$N$8673</f>
        <v>0.551227795793364</v>
      </c>
      <c r="O8702" s="13" t="n">
        <f aca="false">Sens!$O$8691/Sens!$O$8673</f>
        <v>0.656132068597002</v>
      </c>
    </row>
    <row r="8703" customFormat="false" ht="15" hidden="false" customHeight="false" outlineLevel="0" collapsed="false">
      <c r="A8703" s="5" t="s">
        <v>742</v>
      </c>
      <c r="B8703" s="0" t="s">
        <v>52</v>
      </c>
      <c r="C8703" s="13" t="n">
        <f aca="false">Sens!$C$8695/Sens!$C$8675</f>
        <v>0.107519448742004</v>
      </c>
      <c r="D8703" s="13" t="n">
        <f aca="false">Sens!$D$8695/Sens!$D$8675</f>
        <v>0.111552967957552</v>
      </c>
      <c r="E8703" s="13" t="n">
        <f aca="false">Sens!$E$8695/Sens!$E$8675</f>
        <v>0.13428328426562</v>
      </c>
      <c r="F8703" s="13" t="n">
        <f aca="false">Sens!$F$8695/Sens!$F$8675</f>
        <v>0.130089413875539</v>
      </c>
      <c r="G8703" s="13" t="n">
        <f aca="false">Sens!$G$8695/Sens!$G$8675</f>
        <v>0.132048786678316</v>
      </c>
      <c r="H8703" s="13" t="n">
        <f aca="false">Sens!$H$8695/Sens!$H$8675</f>
        <v>0.139604881440853</v>
      </c>
      <c r="I8703" s="13" t="n">
        <f aca="false">Sens!$I$8695/Sens!$I$8675</f>
        <v>0.141694752432769</v>
      </c>
      <c r="J8703" s="13" t="n">
        <f aca="false">Sens!$J$8695/Sens!$J$8675</f>
        <v>0.14272611544629</v>
      </c>
      <c r="K8703" s="13" t="n">
        <f aca="false">Sens!$K$8695/Sens!$K$8675</f>
        <v>0.139974160596744</v>
      </c>
      <c r="L8703" s="13" t="n">
        <f aca="false">Sens!$L$8695/Sens!$L$8675</f>
        <v>0.137772071866073</v>
      </c>
      <c r="M8703" s="13" t="n">
        <f aca="false">Sens!$M$8695/Sens!$M$8675</f>
        <v>0.13596080857516</v>
      </c>
      <c r="N8703" s="13" t="n">
        <f aca="false">Sens!$N$8695/Sens!$N$8675</f>
        <v>0.116201614873411</v>
      </c>
      <c r="O8703" s="13" t="n">
        <f aca="false">Sens!$O$8695/Sens!$O$8675</f>
        <v>0.107733353660861</v>
      </c>
    </row>
    <row r="8704" customFormat="false" ht="17.15" hidden="false" customHeight="false" outlineLevel="0" collapsed="false">
      <c r="A8704" s="1" t="s">
        <v>743</v>
      </c>
    </row>
    <row r="8705" customFormat="false" ht="17.15" hidden="false" customHeight="false" outlineLevel="0" collapsed="false">
      <c r="A8705" s="5" t="s">
        <v>744</v>
      </c>
      <c r="B8705" s="0" t="s">
        <v>52</v>
      </c>
      <c r="D8705" s="28" t="n">
        <f aca="false">(Q!$E$29+Q!$E$30-(1-ext_sh)*Sens!$D$8627)/Sens!$D$8581</f>
        <v>0.0341105596409988</v>
      </c>
    </row>
    <row r="8706" customFormat="false" ht="17.15" hidden="false" customHeight="false" outlineLevel="0" collapsed="false">
      <c r="A8706" s="0" t="s">
        <v>538</v>
      </c>
      <c r="B8706" s="0" t="s">
        <v>86</v>
      </c>
      <c r="C8706" s="38" t="n">
        <f aca="false">Q!$D$29</f>
        <v>14.285</v>
      </c>
      <c r="D8706" s="38" t="n">
        <f aca="false">Q!$E$29</f>
        <v>15.503</v>
      </c>
      <c r="E8706" s="38" t="n">
        <f aca="false">Q!$P$29</f>
        <v>8.78</v>
      </c>
      <c r="F8706" s="38" t="n">
        <f aca="false">(Sens!$D$8705*Sens!$F$8581+(1-ext_sh)*Sens!$F$8627)*Sens!$F$8582</f>
        <v>9.16735846116642</v>
      </c>
      <c r="G8706" s="38" t="n">
        <f aca="false">Sens!$E$8706+Sens!$F$8706</f>
        <v>17.9473584611664</v>
      </c>
      <c r="H8706" s="38" t="n">
        <f aca="false">(Sens!$D$8705*Sens!$H$8581+(1-ext_sh)*Sens!$H$8627)*Sens!$H$8582</f>
        <v>21.6406723110177</v>
      </c>
      <c r="I8706" s="38" t="n">
        <f aca="false">(Sens!$D$8705*Sens!$I$8581+(1-ext_sh)*Sens!$I$8627)*Sens!$I$8582</f>
        <v>27.3128215555087</v>
      </c>
      <c r="J8706" s="38" t="n">
        <f aca="false">(Sens!$D$8705*Sens!$J$8581+(1-ext_sh)*Sens!$J$8627)*Sens!$J$8582</f>
        <v>33.0116861885756</v>
      </c>
      <c r="K8706" s="38" t="n">
        <f aca="false">(Sens!$D$8705*Sens!$K$8581+(1-ext_sh)*Sens!$K$8627)*Sens!$K$8582</f>
        <v>38.6250238720245</v>
      </c>
      <c r="L8706" s="38" t="n">
        <f aca="false">(Sens!$D$8705*Sens!$L$8581+(1-ext_sh)*Sens!$L$8627)*Sens!$L$8582</f>
        <v>43.0711535197861</v>
      </c>
      <c r="M8706" s="38" t="n">
        <f aca="false">(Sens!$D$8705*Sens!$M$8581+(1-ext_sh)*Sens!$M$8627)*Sens!$M$8582</f>
        <v>46.590728630326</v>
      </c>
      <c r="N8706" s="38" t="n">
        <f aca="false">Q!$N$29</f>
        <v>7.272</v>
      </c>
      <c r="O8706" s="38" t="n">
        <f aca="false">Q!$O$29</f>
        <v>8.231</v>
      </c>
    </row>
    <row r="8707" customFormat="false" ht="17.15" hidden="false" customHeight="false" outlineLevel="0" collapsed="false">
      <c r="A8707" s="0" t="s">
        <v>540</v>
      </c>
      <c r="B8707" s="0" t="s">
        <v>86</v>
      </c>
      <c r="C8707" s="38" t="n">
        <f aca="false">Q!$D$30</f>
        <v>4.462</v>
      </c>
      <c r="D8707" s="38" t="n">
        <f aca="false">Q!$E$30</f>
        <v>4.907</v>
      </c>
      <c r="E8707" s="38" t="n">
        <f aca="false">Q!$P$30</f>
        <v>2.57</v>
      </c>
      <c r="F8707" s="38" t="n">
        <f aca="false">(Sens!$D$8705*Sens!$F$8581+(1-ext_sh)*Sens!$F$8627)*(1-Sens!$F$8582)</f>
        <v>3.59937168293151</v>
      </c>
      <c r="G8707" s="38" t="n">
        <f aca="false">Sens!$E$8707+Sens!$F$8707</f>
        <v>6.16937168293151</v>
      </c>
      <c r="H8707" s="38" t="n">
        <f aca="false">(Sens!$D$8705*Sens!$H$8581+(1-ext_sh)*Sens!$H$8627)*(1-Sens!$H$8582)</f>
        <v>8.28915290031442</v>
      </c>
      <c r="I8707" s="38" t="n">
        <f aca="false">(Sens!$D$8705*Sens!$I$8581+(1-ext_sh)*Sens!$I$8627)*(1-Sens!$I$8582)</f>
        <v>10.4617892992793</v>
      </c>
      <c r="J8707" s="38" t="n">
        <f aca="false">(Sens!$D$8705*Sens!$J$8581+(1-ext_sh)*Sens!$J$8627)*(1-Sens!$J$8582)</f>
        <v>12.6446586493057</v>
      </c>
      <c r="K8707" s="38" t="n">
        <f aca="false">(Sens!$D$8705*Sens!$K$8581+(1-ext_sh)*Sens!$K$8627)*(1-Sens!$K$8582)</f>
        <v>14.7947681131192</v>
      </c>
      <c r="L8707" s="38" t="n">
        <f aca="false">(Sens!$D$8705*Sens!$L$8581+(1-ext_sh)*Sens!$L$8627)*(1-Sens!$L$8582)</f>
        <v>16.4977950771268</v>
      </c>
      <c r="M8707" s="38" t="n">
        <f aca="false">(Sens!$D$8705*Sens!$M$8581+(1-ext_sh)*Sens!$M$8627)*(1-Sens!$M$8582)</f>
        <v>17.8459184540772</v>
      </c>
      <c r="N8707" s="38" t="n">
        <f aca="false">Q!$N$30</f>
        <v>2.316</v>
      </c>
      <c r="O8707" s="38" t="n">
        <f aca="false">Q!$O$30</f>
        <v>2.591</v>
      </c>
    </row>
    <row r="8708" customFormat="false" ht="17.15" hidden="false" customHeight="false" outlineLevel="0" collapsed="false">
      <c r="A8708" s="0" t="s">
        <v>541</v>
      </c>
      <c r="B8708" s="0" t="s">
        <v>86</v>
      </c>
      <c r="C8708" s="38" t="n">
        <f aca="false">Sens!$C$8639</f>
        <v>13.32</v>
      </c>
      <c r="D8708" s="38" t="n">
        <f aca="false">Sens!$D$8639</f>
        <v>21.45</v>
      </c>
      <c r="E8708" s="38" t="n">
        <f aca="false">Sens!$E$8639</f>
        <v>15.353</v>
      </c>
      <c r="F8708" s="38" t="n">
        <f aca="false">Sens!$F$8639</f>
        <v>15.4404120185306</v>
      </c>
      <c r="G8708" s="38" t="n">
        <f aca="false">Sens!$G$8639</f>
        <v>30.7934120185306</v>
      </c>
      <c r="H8708" s="38" t="n">
        <f aca="false">Sens!$H$8639</f>
        <v>48.250114371455</v>
      </c>
      <c r="I8708" s="38" t="n">
        <f aca="false">Sens!$I$8639</f>
        <v>73.3965146995963</v>
      </c>
      <c r="J8708" s="38" t="n">
        <f aca="false">Sens!$J$8639</f>
        <v>99.22806138309</v>
      </c>
      <c r="K8708" s="38" t="n">
        <f aca="false">Sens!$K$8639</f>
        <v>125.386627452856</v>
      </c>
      <c r="L8708" s="38" t="n">
        <f aca="false">Sens!$L$8639</f>
        <v>144.77239043275</v>
      </c>
      <c r="M8708" s="38" t="n">
        <f aca="false">Sens!$M$8639</f>
        <v>158.693930910983</v>
      </c>
      <c r="N8708" s="38" t="n">
        <f aca="false">Sens!$N$8639</f>
        <v>9.234</v>
      </c>
      <c r="O8708" s="38" t="n">
        <f aca="false">Sens!$O$8639</f>
        <v>12.216</v>
      </c>
    </row>
    <row r="8709" customFormat="false" ht="17.15" hidden="false" customHeight="false" outlineLevel="0" collapsed="false">
      <c r="A8709" s="5" t="s">
        <v>745</v>
      </c>
      <c r="B8709" s="0" t="s">
        <v>86</v>
      </c>
      <c r="C8709" s="38" t="n">
        <f aca="false">Sens!$C$8706+Sens!$C$8707+Sens!$C$8708</f>
        <v>32.067</v>
      </c>
      <c r="D8709" s="38" t="n">
        <f aca="false">Sens!$D$8706+Sens!$D$8707+Sens!$D$8708</f>
        <v>41.86</v>
      </c>
      <c r="E8709" s="38" t="n">
        <f aca="false">Sens!$E$8706+Sens!$E$8707+Sens!$E$8708</f>
        <v>26.703</v>
      </c>
      <c r="F8709" s="38" t="n">
        <f aca="false">Sens!$F$8706+Sens!$F$8707+Sens!$F$8708</f>
        <v>28.2071421626285</v>
      </c>
      <c r="G8709" s="38" t="n">
        <f aca="false">Sens!$G$8706+Sens!$G$8707+Sens!$G$8708</f>
        <v>54.9101421626285</v>
      </c>
      <c r="H8709" s="38" t="n">
        <f aca="false">Sens!$H$8706+Sens!$H$8707+Sens!$H$8708</f>
        <v>78.1799395827871</v>
      </c>
      <c r="I8709" s="38" t="n">
        <f aca="false">Sens!$I$8706+Sens!$I$8707+Sens!$I$8708</f>
        <v>111.171125554384</v>
      </c>
      <c r="J8709" s="38" t="n">
        <f aca="false">Sens!$J$8706+Sens!$J$8707+Sens!$J$8708</f>
        <v>144.884406220971</v>
      </c>
      <c r="K8709" s="38" t="n">
        <f aca="false">Sens!$K$8706+Sens!$K$8707+Sens!$K$8708</f>
        <v>178.806419437999</v>
      </c>
      <c r="L8709" s="38" t="n">
        <f aca="false">Sens!$L$8706+Sens!$L$8707+Sens!$L$8708</f>
        <v>204.341339029663</v>
      </c>
      <c r="M8709" s="38" t="n">
        <f aca="false">Sens!$M$8706+Sens!$M$8707+Sens!$M$8708</f>
        <v>223.130577995387</v>
      </c>
      <c r="N8709" s="38" t="n">
        <f aca="false">Sens!$N$8706+Sens!$N$8707+Sens!$N$8708</f>
        <v>18.822</v>
      </c>
      <c r="O8709" s="38" t="n">
        <f aca="false">Sens!$O$8706+Sens!$O$8707+Sens!$O$8708</f>
        <v>23.038</v>
      </c>
    </row>
    <row r="8710" customFormat="false" ht="17.15" hidden="false" customHeight="false" outlineLevel="0" collapsed="false">
      <c r="A8710" s="0" t="s">
        <v>746</v>
      </c>
      <c r="B8710" s="0" t="s">
        <v>86</v>
      </c>
      <c r="C8710" s="38" t="n">
        <f aca="false">Sens!$C$8681+Sens!$C$8686</f>
        <v>28.107</v>
      </c>
      <c r="D8710" s="38" t="n">
        <f aca="false">Sens!$D$8681+Sens!$D$8686</f>
        <v>34.3175</v>
      </c>
      <c r="E8710" s="38" t="n">
        <f aca="false">Sens!$E$8681+Sens!$E$8686</f>
        <v>18.526</v>
      </c>
      <c r="F8710" s="38" t="n">
        <f aca="false">Sens!$F$8681+Sens!$F$8686</f>
        <v>23.0786109972074</v>
      </c>
      <c r="G8710" s="38" t="n">
        <f aca="false">Sens!$G$8681+Sens!$G$8686</f>
        <v>41.6046109972074</v>
      </c>
      <c r="H8710" s="38" t="n">
        <f aca="false">Sens!$H$8681+Sens!$H$8686</f>
        <v>49.9484611939488</v>
      </c>
      <c r="I8710" s="38" t="n">
        <f aca="false">Sens!$I$8681+Sens!$I$8686</f>
        <v>58.2915555477481</v>
      </c>
      <c r="J8710" s="38" t="n">
        <f aca="false">Sens!$J$8681+Sens!$J$8686</f>
        <v>66.0744709709759</v>
      </c>
      <c r="K8710" s="38" t="n">
        <f aca="false">Sens!$K$8681+Sens!$K$8686</f>
        <v>72.6819180680735</v>
      </c>
      <c r="L8710" s="38" t="n">
        <f aca="false">Sens!$L$8681+Sens!$L$8686</f>
        <v>79.9501098748808</v>
      </c>
      <c r="M8710" s="38" t="n">
        <f aca="false">Sens!$M$8681+Sens!$M$8686</f>
        <v>87.9451208623689</v>
      </c>
      <c r="N8710" s="38" t="n">
        <f aca="false">Sens!$N$8681+Sens!$N$8686</f>
        <v>14.8075</v>
      </c>
      <c r="O8710" s="38" t="n">
        <f aca="false">Sens!$O$8681+Sens!$O$8686</f>
        <v>19.51</v>
      </c>
    </row>
    <row r="8711" customFormat="false" ht="17.15" hidden="false" customHeight="false" outlineLevel="0" collapsed="false">
      <c r="A8711" s="0" t="s">
        <v>747</v>
      </c>
      <c r="B8711" s="0" t="s">
        <v>86</v>
      </c>
      <c r="C8711" s="38" t="n">
        <f aca="false">Sens!$C$8685+Sens!$C$8690+Sens!$C$8706+Sens!$C$8707-Sens!$C$8710</f>
        <v>19.399</v>
      </c>
      <c r="D8711" s="38" t="n">
        <f aca="false">Sens!$D$8685+Sens!$D$8690+Sens!$D$8706+Sens!$D$8707-Sens!$D$8710</f>
        <v>20.4615</v>
      </c>
      <c r="E8711" s="38" t="n">
        <f aca="false">Sens!$E$8685+Sens!$E$8690+Sens!$E$8706+Sens!$E$8707-Sens!$E$8710</f>
        <v>13.355</v>
      </c>
      <c r="F8711" s="38" t="n">
        <f aca="false">Sens!$F$8685+Sens!$F$8690+Sens!$F$8706+Sens!$F$8707-Sens!$F$8710</f>
        <v>12.5520732018618</v>
      </c>
      <c r="G8711" s="38" t="n">
        <f aca="false">Sens!$G$8685+Sens!$G$8690+Sens!$G$8706+Sens!$G$8707-Sens!$G$8710</f>
        <v>25.9070732018618</v>
      </c>
      <c r="H8711" s="38" t="n">
        <f aca="false">Sens!$H$8685+Sens!$H$8690+Sens!$H$8706+Sens!$H$8707-Sens!$H$8710</f>
        <v>28.0233335906818</v>
      </c>
      <c r="I8711" s="38" t="n">
        <f aca="false">Sens!$I$8685+Sens!$I$8690+Sens!$I$8706+Sens!$I$8707-Sens!$I$8710</f>
        <v>30.2440066606864</v>
      </c>
      <c r="J8711" s="38" t="n">
        <f aca="false">Sens!$J$8685+Sens!$J$8690+Sens!$J$8706+Sens!$J$8707-Sens!$J$8710</f>
        <v>32.4596500296286</v>
      </c>
      <c r="K8711" s="38" t="n">
        <f aca="false">Sens!$K$8685+Sens!$K$8690+Sens!$K$8706+Sens!$K$8707-Sens!$K$8710</f>
        <v>34.839425971154</v>
      </c>
      <c r="L8711" s="38" t="n">
        <f aca="false">Sens!$L$8685+Sens!$L$8690+Sens!$L$8706+Sens!$L$8707-Sens!$L$8710</f>
        <v>36.4424209524427</v>
      </c>
      <c r="M8711" s="38" t="n">
        <f aca="false">Sens!$M$8685+Sens!$M$8690+Sens!$M$8706+Sens!$M$8707-Sens!$M$8710</f>
        <v>38.8413540019876</v>
      </c>
      <c r="N8711" s="38" t="n">
        <f aca="false">Sens!$N$8685+Sens!$N$8690+Sens!$N$8706+Sens!$N$8707-Sens!$N$8710</f>
        <v>10.6495</v>
      </c>
      <c r="O8711" s="38" t="n">
        <f aca="false">Sens!$O$8685+Sens!$O$8690+Sens!$O$8706+Sens!$O$8707-Sens!$O$8710</f>
        <v>9.81200000000001</v>
      </c>
    </row>
    <row r="8712" customFormat="false" ht="17.15" hidden="false" customHeight="false" outlineLevel="0" collapsed="false">
      <c r="A8712" s="0" t="s">
        <v>748</v>
      </c>
      <c r="B8712" s="0" t="s">
        <v>86</v>
      </c>
      <c r="C8712" s="38" t="n">
        <f aca="false">Sens!$C$8692+Sens!$C$8708-ext_sh*Sens!$C$8627</f>
        <v>51.3470500115664</v>
      </c>
      <c r="D8712" s="38" t="n">
        <f aca="false">Sens!$D$8692+Sens!$D$8708-ext_sh*Sens!$D$8627</f>
        <v>60.2799375433739</v>
      </c>
      <c r="E8712" s="38" t="n">
        <f aca="false">Sens!$E$8692+Sens!$E$8708-ext_sh*Sens!$E$8627</f>
        <v>39.5095167090767</v>
      </c>
      <c r="F8712" s="38" t="n">
        <f aca="false">Sens!$F$8692+Sens!$F$8708-ext_sh*Sens!$F$8627</f>
        <v>37.5468918745429</v>
      </c>
      <c r="G8712" s="38" t="n">
        <f aca="false">Sens!$G$8692+Sens!$G$8708-ext_sh*Sens!$G$8627</f>
        <v>77.0564085836196</v>
      </c>
      <c r="H8712" s="38" t="n">
        <f aca="false">Sens!$H$8692+Sens!$H$8708-ext_sh*Sens!$H$8627</f>
        <v>84.2378398616123</v>
      </c>
      <c r="I8712" s="38" t="n">
        <f aca="false">Sens!$I$8692+Sens!$I$8708-ext_sh*Sens!$I$8627</f>
        <v>93.5253492849083</v>
      </c>
      <c r="J8712" s="38" t="n">
        <f aca="false">Sens!$J$8692+Sens!$J$8708-ext_sh*Sens!$J$8627</f>
        <v>102.42210777817</v>
      </c>
      <c r="K8712" s="38" t="n">
        <f aca="false">Sens!$K$8692+Sens!$K$8708-ext_sh*Sens!$K$8627</f>
        <v>110.615876400424</v>
      </c>
      <c r="L8712" s="38" t="n">
        <f aca="false">Sens!$L$8692+Sens!$L$8708-ext_sh*Sens!$L$8627</f>
        <v>119.465146512458</v>
      </c>
      <c r="M8712" s="38" t="n">
        <f aca="false">Sens!$M$8692+Sens!$M$8708-ext_sh*Sens!$M$8627</f>
        <v>129.022358233455</v>
      </c>
      <c r="N8712" s="38" t="n">
        <f aca="false">Sens!$N$8692+Sens!$N$8708-ext_sh*Sens!$N$8627</f>
        <v>28.5693781401809</v>
      </c>
      <c r="O8712" s="38" t="n">
        <f aca="false">Sens!$O$8692+Sens!$O$8708-ext_sh*Sens!$O$8627</f>
        <v>31.7105594031931</v>
      </c>
    </row>
    <row r="8713" customFormat="false" ht="17.15" hidden="false" customHeight="false" outlineLevel="0" collapsed="false">
      <c r="A8713" s="0" t="s">
        <v>749</v>
      </c>
      <c r="B8713" s="0" t="s">
        <v>86</v>
      </c>
      <c r="C8713" s="38" t="n">
        <f aca="false">Sens!$C$8630</f>
        <v>1.80694998843362</v>
      </c>
      <c r="D8713" s="38" t="n">
        <f aca="false">Sens!$D$8630</f>
        <v>6.77606245662607</v>
      </c>
      <c r="E8713" s="38" t="n">
        <f aca="false">Sens!$E$8630</f>
        <v>6.62548329092326</v>
      </c>
      <c r="F8713" s="38" t="n">
        <f aca="false">Sens!$F$8630</f>
        <v>11.7200577158706</v>
      </c>
      <c r="G8713" s="38" t="n">
        <f aca="false">Sens!$G$8630</f>
        <v>18.3455410067939</v>
      </c>
      <c r="H8713" s="38" t="n">
        <f aca="false">Sens!$H$8630</f>
        <v>47.5171727060453</v>
      </c>
      <c r="I8713" s="38" t="n">
        <f aca="false">Sens!$I$8630</f>
        <v>80.5539692643667</v>
      </c>
      <c r="J8713" s="38" t="n">
        <f aca="false">Sens!$J$8630</f>
        <v>113.759316834883</v>
      </c>
      <c r="K8713" s="38" t="n">
        <f aca="false">Sens!$K$8630</f>
        <v>142.084411492169</v>
      </c>
      <c r="L8713" s="38" t="n">
        <f aca="false">Sens!$L$8630</f>
        <v>160.69964615804</v>
      </c>
      <c r="M8713" s="38" t="n">
        <f aca="false">Sens!$M$8630</f>
        <v>169.577607141793</v>
      </c>
      <c r="N8713" s="38" t="n">
        <f aca="false">Sens!$N$8630</f>
        <v>2.37162185981912</v>
      </c>
      <c r="O8713" s="38" t="n">
        <f aca="false">Sens!$O$8630</f>
        <v>4.40444059680694</v>
      </c>
    </row>
    <row r="8714" customFormat="false" ht="17.15" hidden="false" customHeight="false" outlineLevel="0" collapsed="false">
      <c r="A8714" s="0" t="s">
        <v>750</v>
      </c>
      <c r="B8714" s="0" t="s">
        <v>86</v>
      </c>
      <c r="C8714" s="38" t="n">
        <f aca="false">Sens!$C$8695+Sens!$C$8709</f>
        <v>100.66</v>
      </c>
      <c r="D8714" s="38" t="n">
        <f aca="false">Sens!$D$8695+Sens!$D$8709</f>
        <v>121.835</v>
      </c>
      <c r="E8714" s="38" t="n">
        <f aca="false">Sens!$E$8695+Sens!$E$8709</f>
        <v>78.016</v>
      </c>
      <c r="F8714" s="38" t="n">
        <f aca="false">Sens!$F$8695+Sens!$F$8709</f>
        <v>84.8976337894826</v>
      </c>
      <c r="G8714" s="38" t="n">
        <f aca="false">Sens!$G$8695+Sens!$G$8709</f>
        <v>162.913633789483</v>
      </c>
      <c r="H8714" s="38" t="n">
        <f aca="false">Sens!$H$8695+Sens!$H$8709</f>
        <v>209.726807352288</v>
      </c>
      <c r="I8714" s="38" t="n">
        <f aca="false">Sens!$I$8695+Sens!$I$8709</f>
        <v>262.61488075771</v>
      </c>
      <c r="J8714" s="38" t="n">
        <f aca="false">Sens!$J$8695+Sens!$J$8709</f>
        <v>314.715545613658</v>
      </c>
      <c r="K8714" s="38" t="n">
        <f aca="false">Sens!$K$8695+Sens!$K$8709</f>
        <v>360.221631931821</v>
      </c>
      <c r="L8714" s="38" t="n">
        <f aca="false">Sens!$L$8695+Sens!$L$8709</f>
        <v>396.557323497822</v>
      </c>
      <c r="M8714" s="38" t="n">
        <f aca="false">Sens!$M$8695+Sens!$M$8709</f>
        <v>425.386440239605</v>
      </c>
      <c r="N8714" s="38" t="n">
        <f aca="false">Sens!$N$8695+Sens!$N$8709</f>
        <v>56.398</v>
      </c>
      <c r="O8714" s="38" t="n">
        <f aca="false">Sens!$O$8695+Sens!$O$8709</f>
        <v>65.437</v>
      </c>
    </row>
    <row r="8715" customFormat="false" ht="17.15" hidden="false" customHeight="false" outlineLevel="0" collapsed="false">
      <c r="A8715" s="1" t="s">
        <v>751</v>
      </c>
    </row>
    <row r="8716" customFormat="false" ht="15" hidden="false" customHeight="false" outlineLevel="0" collapsed="false">
      <c r="A8716" s="5" t="s">
        <v>544</v>
      </c>
      <c r="B8716" s="0" t="s">
        <v>86</v>
      </c>
      <c r="C8716" s="38" t="n">
        <f aca="false">Q!$D$34</f>
        <v>2.406</v>
      </c>
      <c r="D8716" s="38" t="n">
        <f aca="false">Q!$E$34</f>
        <v>2.274</v>
      </c>
      <c r="E8716" s="38" t="n">
        <f aca="false">Q!$P$34</f>
        <v>2.114</v>
      </c>
      <c r="F8716" s="38" t="n">
        <f aca="false">Sens!$F$8754</f>
        <v>3.24888962733561</v>
      </c>
      <c r="G8716" s="38" t="n">
        <f aca="false">Sens!$E$8716+Sens!$F$8716</f>
        <v>5.36288962733561</v>
      </c>
      <c r="H8716" s="38" t="n">
        <f aca="false">Sens!$H$8754</f>
        <v>7.42354172302123</v>
      </c>
      <c r="I8716" s="38" t="n">
        <f aca="false">Sens!$I$8754</f>
        <v>8.48968024898619</v>
      </c>
      <c r="J8716" s="38" t="n">
        <f aca="false">Sens!$J$8754</f>
        <v>9.63598826439483</v>
      </c>
      <c r="K8716" s="38" t="n">
        <f aca="false">Sens!$K$8754</f>
        <v>9.63598826439483</v>
      </c>
      <c r="L8716" s="38" t="n">
        <f aca="false">Sens!$L$8754</f>
        <v>9.63598826439483</v>
      </c>
      <c r="M8716" s="38" t="n">
        <f aca="false">Sens!$M$8754</f>
        <v>9.63598826439483</v>
      </c>
      <c r="N8716" s="38" t="n">
        <f aca="false">Q!$N$34</f>
        <v>1.057</v>
      </c>
      <c r="O8716" s="38" t="n">
        <f aca="false">Q!$O$34</f>
        <v>1.217</v>
      </c>
    </row>
    <row r="8717" customFormat="false" ht="15" hidden="false" customHeight="false" outlineLevel="0" collapsed="false">
      <c r="A8717" s="5" t="s">
        <v>752</v>
      </c>
      <c r="B8717" s="0" t="s">
        <v>86</v>
      </c>
      <c r="F8717" s="38" t="n">
        <f aca="false">Sens!$F$8755</f>
        <v>2.59</v>
      </c>
      <c r="H8717" s="38" t="n">
        <f aca="false">Sens!$H$8755</f>
        <v>3.76965165045626</v>
      </c>
      <c r="I8717" s="38" t="n">
        <f aca="false">Sens!$I$8755</f>
        <v>2.10589651022864</v>
      </c>
      <c r="J8717" s="38" t="n">
        <f aca="false">Sens!$J$8755</f>
        <v>2.10589651022864</v>
      </c>
      <c r="K8717" s="38" t="n">
        <f aca="false">Sens!$K$8755</f>
        <v>3.03184385018094</v>
      </c>
      <c r="L8717" s="38" t="n">
        <f aca="false">Sens!$L$8755</f>
        <v>8.01944213829919</v>
      </c>
      <c r="M8717" s="38" t="n">
        <f aca="false">Sens!$M$8755</f>
        <v>15.4751142339777</v>
      </c>
    </row>
    <row r="8718" customFormat="false" ht="17.15" hidden="false" customHeight="false" outlineLevel="0" collapsed="false">
      <c r="A8718" s="5" t="s">
        <v>753</v>
      </c>
      <c r="B8718" s="0" t="s">
        <v>86</v>
      </c>
      <c r="C8718" s="38" t="n">
        <f aca="false">Q!$D$39</f>
        <v>2.427</v>
      </c>
      <c r="D8718" s="38" t="n">
        <f aca="false">Q!$E$39</f>
        <v>19.61</v>
      </c>
      <c r="E8718" s="38" t="n">
        <f aca="false">Q!$P$39</f>
        <v>71.492</v>
      </c>
      <c r="F8718" s="39" t="n">
        <v>0</v>
      </c>
      <c r="G8718" s="38" t="n">
        <f aca="false">Sens!$E$8718+Sens!$F$8718</f>
        <v>71.492</v>
      </c>
      <c r="H8718" s="39" t="n">
        <v>0</v>
      </c>
      <c r="I8718" s="39" t="n">
        <v>0</v>
      </c>
      <c r="J8718" s="39" t="n">
        <v>0</v>
      </c>
      <c r="K8718" s="39" t="n">
        <v>0</v>
      </c>
      <c r="L8718" s="39" t="n">
        <v>0</v>
      </c>
      <c r="M8718" s="39" t="n">
        <v>0</v>
      </c>
      <c r="N8718" s="38" t="n">
        <f aca="false">Q!$N$39</f>
        <v>6.017</v>
      </c>
      <c r="O8718" s="38" t="n">
        <f aca="false">Q!$O$39</f>
        <v>13.593</v>
      </c>
      <c r="P8718" s="5" t="s">
        <v>754</v>
      </c>
    </row>
    <row r="8719" customFormat="false" ht="15" hidden="false" customHeight="false" outlineLevel="0" collapsed="false">
      <c r="A8719" s="5" t="s">
        <v>547</v>
      </c>
      <c r="B8719" s="0" t="s">
        <v>86</v>
      </c>
      <c r="C8719" s="38" t="n">
        <f aca="false">Q!$D$36</f>
        <v>68.614</v>
      </c>
      <c r="D8719" s="38" t="n">
        <f aca="false">Q!$E$36</f>
        <v>97.311</v>
      </c>
      <c r="E8719" s="38" t="n">
        <f aca="false">Q!$P$36</f>
        <v>120.691</v>
      </c>
      <c r="F8719" s="38" t="n">
        <f aca="false">Sens!$F$8695-Sens!$F$8716+Sens!$F$8717+Sens!$F$8718</f>
        <v>56.0316019995185</v>
      </c>
      <c r="G8719" s="38" t="n">
        <f aca="false">Sens!$E$8719+Sens!$F$8719</f>
        <v>176.722601999518</v>
      </c>
      <c r="H8719" s="38" t="n">
        <f aca="false">Sens!$H$8695-Sens!$H$8716+Sens!$H$8717+Sens!$H$8718</f>
        <v>127.892977696936</v>
      </c>
      <c r="I8719" s="38" t="n">
        <f aca="false">Sens!$I$8695-Sens!$I$8716+Sens!$I$8717+Sens!$I$8718</f>
        <v>145.059971464568</v>
      </c>
      <c r="J8719" s="38" t="n">
        <f aca="false">Sens!$J$8695-Sens!$J$8716+Sens!$J$8717+Sens!$J$8718</f>
        <v>162.301047638521</v>
      </c>
      <c r="K8719" s="38" t="n">
        <f aca="false">Sens!$K$8695-Sens!$K$8716+Sens!$K$8717+Sens!$K$8718</f>
        <v>174.811068079608</v>
      </c>
      <c r="L8719" s="38" t="n">
        <f aca="false">Sens!$L$8695-Sens!$L$8716+Sens!$L$8717+Sens!$L$8718</f>
        <v>190.599438342064</v>
      </c>
      <c r="M8719" s="38" t="n">
        <f aca="false">Sens!$M$8695-Sens!$M$8716+Sens!$M$8717+Sens!$M$8718</f>
        <v>208.094988213801</v>
      </c>
      <c r="N8719" s="38" t="n">
        <f aca="false">Q!$N$36</f>
        <v>42.536</v>
      </c>
      <c r="O8719" s="38" t="n">
        <f aca="false">Q!$O$36</f>
        <v>54.775</v>
      </c>
    </row>
    <row r="8720" customFormat="false" ht="15" hidden="false" customHeight="false" outlineLevel="0" collapsed="false">
      <c r="A8720" s="5" t="s">
        <v>548</v>
      </c>
      <c r="B8720" s="0" t="s">
        <v>86</v>
      </c>
      <c r="C8720" s="38" t="n">
        <f aca="false">Q!$D$37</f>
        <v>9.265</v>
      </c>
      <c r="D8720" s="38" t="n">
        <f aca="false">Q!$E$37</f>
        <v>19.087</v>
      </c>
      <c r="E8720" s="38" t="n">
        <f aca="false">Q!$P$37</f>
        <v>27.759</v>
      </c>
      <c r="F8720" s="38" t="n">
        <f aca="false">Sens!$F$8719*tax</f>
        <v>9.72621910890414</v>
      </c>
      <c r="G8720" s="38" t="n">
        <f aca="false">Sens!$E$8720+Sens!$F$8720</f>
        <v>37.4852191089041</v>
      </c>
      <c r="H8720" s="38" t="n">
        <f aca="false">Sens!$H$8719*tax</f>
        <v>22.2002419916761</v>
      </c>
      <c r="I8720" s="38" t="n">
        <f aca="false">Sens!$I$8719*tax</f>
        <v>25.1801664783365</v>
      </c>
      <c r="J8720" s="38" t="n">
        <f aca="false">Sens!$J$8719*tax</f>
        <v>28.1729505244292</v>
      </c>
      <c r="K8720" s="38" t="n">
        <f aca="false">Sens!$K$8719*tax</f>
        <v>30.3444965007146</v>
      </c>
      <c r="L8720" s="38" t="n">
        <f aca="false">Sens!$L$8719*tax</f>
        <v>33.0851132788405</v>
      </c>
      <c r="M8720" s="38" t="n">
        <f aca="false">Sens!$M$8719*tax</f>
        <v>36.1220700213006</v>
      </c>
      <c r="N8720" s="38" t="n">
        <f aca="false">Q!$N$37</f>
        <v>7.231</v>
      </c>
      <c r="O8720" s="38" t="n">
        <f aca="false">Q!$O$37</f>
        <v>11.856</v>
      </c>
    </row>
    <row r="8721" customFormat="false" ht="15" hidden="false" customHeight="false" outlineLevel="0" collapsed="false">
      <c r="A8721" s="3" t="s">
        <v>549</v>
      </c>
      <c r="B8721" s="8" t="s">
        <v>86</v>
      </c>
      <c r="C8721" s="38" t="n">
        <f aca="false">Q!$D$38</f>
        <v>59.248</v>
      </c>
      <c r="D8721" s="38" t="n">
        <f aca="false">Q!$E$38</f>
        <v>77.67</v>
      </c>
      <c r="E8721" s="38" t="n">
        <f aca="false">Q!$P$38</f>
        <v>92.902</v>
      </c>
      <c r="F8721" s="38" t="n">
        <f aca="false">Sens!$F$8719-Sens!$F$8720</f>
        <v>46.3053828906144</v>
      </c>
      <c r="G8721" s="38" t="n">
        <f aca="false">Sens!$E$8721+Sens!$F$8721</f>
        <v>139.207382890614</v>
      </c>
      <c r="H8721" s="38" t="n">
        <f aca="false">Sens!$H$8719-Sens!$H$8720</f>
        <v>105.69273570526</v>
      </c>
      <c r="I8721" s="38" t="n">
        <f aca="false">Sens!$I$8719-Sens!$I$8720</f>
        <v>119.879804986231</v>
      </c>
      <c r="J8721" s="38" t="n">
        <f aca="false">Sens!$J$8719-Sens!$J$8720</f>
        <v>134.128097114092</v>
      </c>
      <c r="K8721" s="38" t="n">
        <f aca="false">Sens!$K$8719-Sens!$K$8720</f>
        <v>144.466571578893</v>
      </c>
      <c r="L8721" s="38" t="n">
        <f aca="false">Sens!$L$8719-Sens!$L$8720</f>
        <v>157.514325063223</v>
      </c>
      <c r="M8721" s="38" t="n">
        <f aca="false">Sens!$M$8719-Sens!$M$8720</f>
        <v>171.9729181925</v>
      </c>
      <c r="N8721" s="38" t="n">
        <f aca="false">Q!$N$38</f>
        <v>35.291</v>
      </c>
      <c r="O8721" s="38" t="n">
        <f aca="false">Q!$O$38</f>
        <v>42.379</v>
      </c>
    </row>
    <row r="8722" customFormat="false" ht="17.15" hidden="false" customHeight="false" outlineLevel="0" collapsed="false">
      <c r="A8722" s="5" t="s">
        <v>552</v>
      </c>
      <c r="B8722" s="5" t="s">
        <v>33</v>
      </c>
      <c r="C8722" s="22" t="n">
        <f aca="false">Q!$D$41</f>
        <v>10.721</v>
      </c>
      <c r="D8722" s="22" t="n">
        <f aca="false">Q!$E$41</f>
        <v>10.827</v>
      </c>
      <c r="E8722" s="22" t="n">
        <f aca="false">(Q!$L$41+Q!$M$41)/2</f>
        <v>10.8885</v>
      </c>
      <c r="F8722" s="22" t="n">
        <f aca="false">Sens!$G$8722</f>
        <v>10.924806</v>
      </c>
      <c r="G8722" s="22" t="n">
        <f aca="false">Q!$M$41*(1+sh_g*0.25)</f>
        <v>10.924806</v>
      </c>
      <c r="H8722" s="22" t="n">
        <f aca="false">Sens!$G$8722*(1+sh_g)</f>
        <v>11.012204448</v>
      </c>
      <c r="I8722" s="22" t="n">
        <f aca="false">Sens!$H$8722*(1+sh_g)</f>
        <v>11.100302083584</v>
      </c>
      <c r="J8722" s="22" t="n">
        <f aca="false">Sens!$I$8722*(1+sh_g)</f>
        <v>11.1891045002527</v>
      </c>
      <c r="K8722" s="22" t="n">
        <f aca="false">Sens!$J$8722*(1+sh_g)</f>
        <v>11.2786173362547</v>
      </c>
      <c r="L8722" s="22" t="n">
        <f aca="false">Sens!$K$8722*(1+sh_g)</f>
        <v>11.3688462749447</v>
      </c>
      <c r="M8722" s="22" t="n">
        <f aca="false">Sens!$L$8722*(1+sh_g)</f>
        <v>11.4597970451443</v>
      </c>
      <c r="P8722" s="5" t="s">
        <v>755</v>
      </c>
    </row>
    <row r="8723" customFormat="false" ht="17.15" hidden="false" customHeight="false" outlineLevel="0" collapsed="false">
      <c r="A8723" s="5" t="s">
        <v>756</v>
      </c>
      <c r="B8723" s="0" t="s">
        <v>86</v>
      </c>
      <c r="C8723" s="38" t="n">
        <f aca="false">Sens!$C$8721+Sens!$C$8697*(1-tax)</f>
        <v>59.248</v>
      </c>
      <c r="D8723" s="38" t="n">
        <f aca="false">Sens!$D$8721+Sens!$D$8697*(1-tax)</f>
        <v>77.67</v>
      </c>
      <c r="E8723" s="38" t="n">
        <f aca="false">Sens!$E$8721+Sens!$E$8697*(1-tax)</f>
        <v>92.902</v>
      </c>
      <c r="F8723" s="38" t="n">
        <f aca="false">Sens!$F$8721+Sens!$F$8697*(1-tax)</f>
        <v>49.421977850263</v>
      </c>
      <c r="G8723" s="38" t="n">
        <f aca="false">Sens!$G$8721+Sens!$G$8697*(1-tax)</f>
        <v>142.323977850263</v>
      </c>
      <c r="H8723" s="38" t="n">
        <f aca="false">Sens!$H$8721+Sens!$H$8697*(1-tax)</f>
        <v>118.224131660605</v>
      </c>
      <c r="I8723" s="38" t="n">
        <f aca="false">Sens!$I$8721+Sens!$I$8697*(1-tax)</f>
        <v>141.02107006117</v>
      </c>
      <c r="J8723" s="38" t="n">
        <f aca="false">Sens!$J$8721+Sens!$J$8697*(1-tax)</f>
        <v>163.917534058375</v>
      </c>
      <c r="K8723" s="38" t="n">
        <f aca="false">Sens!$K$8721+Sens!$K$8697*(1-tax)</f>
        <v>181.633877275552</v>
      </c>
      <c r="L8723" s="38" t="n">
        <f aca="false">Sens!$L$8721+Sens!$L$8697*(1-tax)</f>
        <v>199.530402403778</v>
      </c>
      <c r="M8723" s="38" t="n">
        <f aca="false">Sens!$M$8721+Sens!$M$8697*(1-tax)</f>
        <v>216.302440383341</v>
      </c>
      <c r="N8723" s="38" t="n">
        <f aca="false">Sens!$N$8721+Sens!$N$8697*(1-tax)</f>
        <v>35.291</v>
      </c>
      <c r="O8723" s="38" t="n">
        <f aca="false">Sens!$O$8721+Sens!$O$8697*(1-tax)</f>
        <v>42.379</v>
      </c>
    </row>
    <row r="8724" customFormat="false" ht="17.15" hidden="false" customHeight="false" outlineLevel="0" collapsed="false">
      <c r="A8724" s="43" t="s">
        <v>757</v>
      </c>
      <c r="B8724" s="14" t="s">
        <v>27</v>
      </c>
      <c r="C8724" s="44" t="n">
        <f aca="false">Sens!$C$8723/Sens!$C$8722</f>
        <v>5.52635015390355</v>
      </c>
      <c r="D8724" s="44" t="n">
        <f aca="false">Sens!$D$8723/Sens!$D$8722</f>
        <v>7.1737323358271</v>
      </c>
      <c r="E8724" s="44" t="n">
        <f aca="false">Sens!$E$8723/Sens!$E$8722</f>
        <v>8.53212104513937</v>
      </c>
      <c r="F8724" s="14"/>
      <c r="G8724" s="44" t="n">
        <f aca="false">Sens!$G$8723/Sens!$G$8722</f>
        <v>13.0275977303636</v>
      </c>
      <c r="H8724" s="44" t="n">
        <f aca="false">Sens!$H$8723/Sens!$H$8722</f>
        <v>10.7357370832392</v>
      </c>
      <c r="I8724" s="44" t="n">
        <f aca="false">Sens!$I$8723/Sens!$I$8722</f>
        <v>12.7042551634449</v>
      </c>
      <c r="J8724" s="44" t="n">
        <f aca="false">Sens!$J$8723/Sens!$J$8722</f>
        <v>14.6497455676344</v>
      </c>
      <c r="K8724" s="44" t="n">
        <f aca="false">Sens!$K$8723/Sens!$K$8722</f>
        <v>16.104268090708</v>
      </c>
      <c r="L8724" s="44" t="n">
        <f aca="false">Sens!$L$8723/Sens!$L$8722</f>
        <v>17.5506289361581</v>
      </c>
      <c r="M8724" s="44" t="n">
        <f aca="false">Sens!$M$8723/Sens!$M$8722</f>
        <v>18.8748927691518</v>
      </c>
      <c r="N8724" s="14"/>
      <c r="O8724" s="14"/>
    </row>
    <row r="8725" customFormat="false" ht="17.15" hidden="false" customHeight="false" outlineLevel="0" collapsed="false">
      <c r="A8725" s="0" t="s">
        <v>758</v>
      </c>
      <c r="B8725" s="0" t="s">
        <v>27</v>
      </c>
      <c r="C8725" s="30" t="n">
        <f aca="false">Sens!$C$8721/Sens!$C$8722</f>
        <v>5.52635015390355</v>
      </c>
      <c r="D8725" s="30" t="n">
        <f aca="false">Sens!$D$8721/Sens!$D$8722</f>
        <v>7.1737323358271</v>
      </c>
      <c r="E8725" s="30" t="n">
        <f aca="false">Sens!$E$8721/Sens!$E$8722</f>
        <v>8.53212104513937</v>
      </c>
      <c r="G8725" s="30" t="n">
        <f aca="false">Sens!$G$8721/Sens!$G$8722</f>
        <v>12.7423208147233</v>
      </c>
      <c r="H8725" s="30" t="n">
        <f aca="false">Sens!$H$8721/Sens!$H$8722</f>
        <v>9.59778182509639</v>
      </c>
      <c r="I8725" s="30" t="n">
        <f aca="false">Sens!$I$8721/Sens!$I$8722</f>
        <v>10.799688520506</v>
      </c>
      <c r="J8725" s="30" t="n">
        <f aca="false">Sens!$J$8721/Sens!$J$8722</f>
        <v>11.9873844337644</v>
      </c>
      <c r="K8725" s="30" t="n">
        <f aca="false">Sens!$K$8721/Sens!$K$8722</f>
        <v>12.8088902453061</v>
      </c>
      <c r="L8725" s="30" t="n">
        <f aca="false">Sens!$L$8721/Sens!$L$8722</f>
        <v>13.8549085152432</v>
      </c>
      <c r="M8725" s="30" t="n">
        <f aca="false">Sens!$M$8721/Sens!$M$8722</f>
        <v>15.0066286091313</v>
      </c>
    </row>
    <row r="8726" customFormat="false" ht="17.15" hidden="false" customHeight="false" outlineLevel="0" collapsed="false">
      <c r="A8726" s="0" t="s">
        <v>759</v>
      </c>
      <c r="B8726" s="0" t="s">
        <v>27</v>
      </c>
      <c r="C8726" s="30" t="n">
        <f aca="false">(Sens!$C$8721-Sens!$C$8718*(1-tax))/Sens!$C$8722</f>
        <v>5.33926775917445</v>
      </c>
      <c r="D8726" s="30" t="n">
        <f aca="false">(Sens!$D$8721-Sens!$D$8718*(1-tax))/Sens!$D$8722</f>
        <v>5.67691812755503</v>
      </c>
      <c r="E8726" s="30" t="n">
        <f aca="false">(Sens!$E$8721-Sens!$E$8718*(1-tax))/Sens!$E$8722</f>
        <v>3.10602057006846</v>
      </c>
      <c r="G8726" s="30" t="n">
        <f aca="false">(Sens!$G$8721-Sens!$G$8718*(1-tax))/Sens!$G$8722</f>
        <v>7.33425269682635</v>
      </c>
      <c r="H8726" s="30" t="n">
        <f aca="false">(Sens!$H$8721-Sens!$H$8718*(1-tax))/Sens!$H$8722</f>
        <v>9.59778182509639</v>
      </c>
      <c r="I8726" s="30" t="n">
        <f aca="false">(Sens!$I$8721-Sens!$I$8718*(1-tax))/Sens!$I$8722</f>
        <v>10.799688520506</v>
      </c>
      <c r="J8726" s="30" t="n">
        <f aca="false">(Sens!$J$8721-Sens!$J$8718*(1-tax))/Sens!$J$8722</f>
        <v>11.9873844337644</v>
      </c>
      <c r="K8726" s="30" t="n">
        <f aca="false">(Sens!$K$8721-Sens!$K$8718*(1-tax))/Sens!$K$8722</f>
        <v>12.8088902453061</v>
      </c>
      <c r="L8726" s="30" t="n">
        <f aca="false">(Sens!$L$8721-Sens!$L$8718*(1-tax))/Sens!$L$8722</f>
        <v>13.8549085152432</v>
      </c>
      <c r="M8726" s="30" t="n">
        <f aca="false">(Sens!$M$8721-Sens!$M$8718*(1-tax))/Sens!$M$8722</f>
        <v>15.0066286091313</v>
      </c>
      <c r="P8726" s="5" t="s">
        <v>760</v>
      </c>
    </row>
    <row r="8727" customFormat="false" ht="17.15" hidden="false" customHeight="false" outlineLevel="0" collapsed="false">
      <c r="A8727" s="0" t="s">
        <v>761</v>
      </c>
      <c r="B8727" s="0" t="s">
        <v>52</v>
      </c>
      <c r="H8727" s="13" t="n">
        <f aca="false">Sens!$H$8724/Sens!$G$8724-1</f>
        <v>-0.175923504437261</v>
      </c>
      <c r="I8727" s="13" t="n">
        <f aca="false">Sens!$I$8724/Sens!$H$8724-1</f>
        <v>0.183361241519136</v>
      </c>
      <c r="J8727" s="13" t="n">
        <f aca="false">Sens!$J$8724/Sens!$I$8724-1</f>
        <v>0.153136911936991</v>
      </c>
      <c r="K8727" s="13" t="n">
        <f aca="false">Sens!$K$8724/Sens!$J$8724-1</f>
        <v>0.0992865382103958</v>
      </c>
      <c r="L8727" s="13" t="n">
        <f aca="false">Sens!$L$8724/Sens!$K$8724-1</f>
        <v>0.0898122682324627</v>
      </c>
      <c r="M8727" s="13" t="n">
        <f aca="false">Sens!$M$8724/Sens!$L$8724-1</f>
        <v>0.0754539246320329</v>
      </c>
    </row>
    <row r="8730" customFormat="false" ht="19.4" hidden="false" customHeight="false" outlineLevel="0" collapsed="false">
      <c r="A8730" s="31" t="s">
        <v>1313</v>
      </c>
    </row>
    <row r="8731" customFormat="false" ht="17.15" hidden="false" customHeight="false" outlineLevel="0" collapsed="false">
      <c r="A8731" s="6" t="s">
        <v>16</v>
      </c>
      <c r="B8731" s="6" t="s">
        <v>17</v>
      </c>
      <c r="C8731" s="20" t="s">
        <v>497</v>
      </c>
      <c r="D8731" s="20" t="s">
        <v>498</v>
      </c>
      <c r="E8731" s="20" t="s">
        <v>580</v>
      </c>
      <c r="F8731" s="20" t="s">
        <v>581</v>
      </c>
      <c r="G8731" s="20" t="s">
        <v>582</v>
      </c>
      <c r="H8731" s="20" t="s">
        <v>583</v>
      </c>
      <c r="I8731" s="20" t="s">
        <v>584</v>
      </c>
      <c r="J8731" s="20" t="s">
        <v>585</v>
      </c>
      <c r="K8731" s="20" t="s">
        <v>586</v>
      </c>
      <c r="L8731" s="20" t="s">
        <v>587</v>
      </c>
      <c r="M8731" s="20" t="s">
        <v>588</v>
      </c>
      <c r="N8731" s="20" t="s">
        <v>589</v>
      </c>
      <c r="O8731" s="20" t="s">
        <v>590</v>
      </c>
      <c r="P8731" s="6" t="s">
        <v>23</v>
      </c>
      <c r="R8731" s="20" t="n">
        <v>2023</v>
      </c>
      <c r="S8731" s="20" t="n">
        <v>2024</v>
      </c>
      <c r="T8731" s="20" t="n">
        <v>2025</v>
      </c>
      <c r="U8731" s="20" t="n">
        <v>2026</v>
      </c>
      <c r="V8731" s="20" t="n">
        <v>2027</v>
      </c>
      <c r="W8731" s="20" t="n">
        <v>2028</v>
      </c>
      <c r="X8731" s="20" t="n">
        <v>2029</v>
      </c>
      <c r="Y8731" s="20" t="n">
        <v>2030</v>
      </c>
      <c r="Z8731" s="20" t="n">
        <v>2031</v>
      </c>
      <c r="AA8731" s="20" t="n">
        <v>2032</v>
      </c>
    </row>
    <row r="8732" customFormat="false" ht="15" hidden="false" customHeight="false" outlineLevel="0" collapsed="false">
      <c r="A8732" s="5" t="s">
        <v>549</v>
      </c>
      <c r="B8732" s="0" t="s">
        <v>86</v>
      </c>
      <c r="C8732" s="38" t="n">
        <f aca="false">Sens!$C$8721</f>
        <v>59.248</v>
      </c>
      <c r="D8732" s="38" t="n">
        <f aca="false">Sens!$D$8721</f>
        <v>77.67</v>
      </c>
      <c r="E8732" s="38" t="n">
        <f aca="false">Sens!$E$8721</f>
        <v>92.902</v>
      </c>
      <c r="F8732" s="38" t="n">
        <f aca="false">Sens!$F$8721</f>
        <v>46.3053828906144</v>
      </c>
      <c r="G8732" s="38" t="n">
        <f aca="false">Sens!$G$8721</f>
        <v>139.207382890614</v>
      </c>
      <c r="H8732" s="38" t="n">
        <f aca="false">Sens!$H$8721</f>
        <v>105.69273570526</v>
      </c>
      <c r="I8732" s="38" t="n">
        <f aca="false">Sens!$I$8721</f>
        <v>119.879804986231</v>
      </c>
      <c r="J8732" s="38" t="n">
        <f aca="false">Sens!$J$8721</f>
        <v>134.128097114092</v>
      </c>
      <c r="K8732" s="38" t="n">
        <f aca="false">Sens!$K$8721</f>
        <v>144.466571578893</v>
      </c>
      <c r="L8732" s="38" t="n">
        <f aca="false">Sens!$L$8721</f>
        <v>157.514325063223</v>
      </c>
      <c r="M8732" s="38" t="n">
        <f aca="false">Sens!$M$8721</f>
        <v>171.9729181925</v>
      </c>
    </row>
    <row r="8733" customFormat="false" ht="17.15" hidden="false" customHeight="false" outlineLevel="0" collapsed="false">
      <c r="A8733" s="5" t="s">
        <v>784</v>
      </c>
      <c r="B8733" s="0" t="s">
        <v>86</v>
      </c>
      <c r="C8733" s="38" t="n">
        <f aca="false">Sens!$C$8709</f>
        <v>32.067</v>
      </c>
      <c r="D8733" s="38" t="n">
        <f aca="false">Sens!$D$8709</f>
        <v>41.86</v>
      </c>
      <c r="E8733" s="38" t="n">
        <f aca="false">Sens!$E$8709</f>
        <v>26.703</v>
      </c>
      <c r="F8733" s="38" t="n">
        <f aca="false">Sens!$F$8709</f>
        <v>28.2071421626285</v>
      </c>
      <c r="G8733" s="38" t="n">
        <f aca="false">Sens!$G$8709</f>
        <v>54.9101421626285</v>
      </c>
      <c r="H8733" s="38" t="n">
        <f aca="false">Sens!$H$8709</f>
        <v>78.1799395827871</v>
      </c>
      <c r="I8733" s="38" t="n">
        <f aca="false">Sens!$I$8709</f>
        <v>111.171125554384</v>
      </c>
      <c r="J8733" s="38" t="n">
        <f aca="false">Sens!$J$8709</f>
        <v>144.884406220971</v>
      </c>
      <c r="K8733" s="38" t="n">
        <f aca="false">Sens!$K$8709</f>
        <v>178.806419437999</v>
      </c>
      <c r="L8733" s="38" t="n">
        <f aca="false">Sens!$L$8709</f>
        <v>204.341339029663</v>
      </c>
      <c r="M8733" s="38" t="n">
        <f aca="false">Sens!$M$8709</f>
        <v>223.130577995387</v>
      </c>
    </row>
    <row r="8734" customFormat="false" ht="15" hidden="false" customHeight="false" outlineLevel="0" collapsed="false">
      <c r="A8734" s="5" t="s">
        <v>785</v>
      </c>
      <c r="B8734" s="0" t="s">
        <v>86</v>
      </c>
      <c r="C8734" s="38" t="n">
        <f aca="false">Q!$D$48</f>
        <v>22.011</v>
      </c>
      <c r="D8734" s="38" t="n">
        <f aca="false">Q!$E$48</f>
        <v>19.467</v>
      </c>
      <c r="E8734" s="38" t="n">
        <f aca="false">Q!$P$48</f>
        <v>10.07</v>
      </c>
      <c r="F8734" s="38" t="n">
        <f aca="false">sbc_r*Sens!$F$8651</f>
        <v>10.8507035798037</v>
      </c>
      <c r="G8734" s="38" t="n">
        <f aca="false">Sens!$E$8734+Sens!$F$8734</f>
        <v>20.9207035798037</v>
      </c>
      <c r="H8734" s="38" t="n">
        <f aca="false">sbc_r*Sens!$H$8651</f>
        <v>23.46224366345</v>
      </c>
      <c r="I8734" s="38" t="n">
        <f aca="false">sbc_r*Sens!$I$8651</f>
        <v>26.6125957111676</v>
      </c>
      <c r="J8734" s="38" t="n">
        <f aca="false">sbc_r*Sens!$J$8651</f>
        <v>29.6280801413323</v>
      </c>
      <c r="K8734" s="38" t="n">
        <f aca="false">sbc_r*Sens!$K$8651</f>
        <v>32.2712258901105</v>
      </c>
      <c r="L8734" s="38" t="n">
        <f aca="false">sbc_r*Sens!$L$8651</f>
        <v>34.7390505016737</v>
      </c>
      <c r="M8734" s="38" t="n">
        <f aca="false">sbc_r*Sens!$M$8651</f>
        <v>37.0405146906692</v>
      </c>
    </row>
    <row r="8735" customFormat="false" ht="17.15" hidden="false" customHeight="false" outlineLevel="0" collapsed="false">
      <c r="A8735" s="5" t="s">
        <v>786</v>
      </c>
      <c r="B8735" s="0" t="s">
        <v>86</v>
      </c>
      <c r="C8735" s="38" t="n">
        <f aca="false">Q!$D$44-Sens!$C$8732-Sens!$C$8733-Sens!$C$8734</f>
        <v>2.551</v>
      </c>
      <c r="D8735" s="38" t="n">
        <f aca="false">Q!$E$44-Sens!$D$8732-Sens!$D$8733-Sens!$D$8734</f>
        <v>0.51700000000001</v>
      </c>
      <c r="E8735" s="38" t="n">
        <f aca="false">Q!$P$44-Sens!$E$8732-Sens!$E$8733-Sens!$E$8734</f>
        <v>-58.256</v>
      </c>
      <c r="F8735" s="38" t="n">
        <f aca="false">oth_r*Sens!$F$8651</f>
        <v>5.22265251035878</v>
      </c>
      <c r="G8735" s="38" t="n">
        <f aca="false">Sens!$E$8735+Sens!$F$8735</f>
        <v>-53.0333474896412</v>
      </c>
      <c r="H8735" s="38" t="n">
        <f aca="false">oth_r*Sens!$H$8651</f>
        <v>11.2928295263397</v>
      </c>
      <c r="I8735" s="38" t="n">
        <f aca="false">oth_r*Sens!$I$8651</f>
        <v>12.8091546115766</v>
      </c>
      <c r="J8735" s="38" t="n">
        <f aca="false">oth_r*Sens!$J$8651</f>
        <v>14.2605653162668</v>
      </c>
      <c r="K8735" s="38" t="n">
        <f aca="false">oth_r*Sens!$K$8651</f>
        <v>15.5327622460396</v>
      </c>
      <c r="L8735" s="38" t="n">
        <f aca="false">oth_r*Sens!$L$8651</f>
        <v>16.720573737517</v>
      </c>
      <c r="M8735" s="38" t="n">
        <f aca="false">oth_r*Sens!$M$8651</f>
        <v>17.8283127551536</v>
      </c>
      <c r="P8735" s="8" t="s">
        <v>787</v>
      </c>
    </row>
    <row r="8736" customFormat="false" ht="15" hidden="false" customHeight="false" outlineLevel="0" collapsed="false">
      <c r="A8736" s="3" t="s">
        <v>555</v>
      </c>
      <c r="B8736" s="8" t="s">
        <v>86</v>
      </c>
      <c r="C8736" s="38" t="n">
        <f aca="false">Q!$D$44</f>
        <v>115.877</v>
      </c>
      <c r="D8736" s="38" t="n">
        <f aca="false">Q!$E$44</f>
        <v>139.514</v>
      </c>
      <c r="E8736" s="38" t="n">
        <f aca="false">Q!$P$44</f>
        <v>71.419</v>
      </c>
      <c r="F8736" s="38" t="n">
        <f aca="false">Sens!$F$8732+Sens!$F$8733+Sens!$F$8734+Sens!$F$8735</f>
        <v>90.5858811434053</v>
      </c>
      <c r="G8736" s="38" t="n">
        <f aca="false">Sens!$E$8736+Sens!$F$8736</f>
        <v>162.004881143405</v>
      </c>
      <c r="H8736" s="38" t="n">
        <f aca="false">Sens!$H$8732+Sens!$H$8733+Sens!$H$8734+Sens!$H$8735</f>
        <v>218.627748477837</v>
      </c>
      <c r="I8736" s="38" t="n">
        <f aca="false">Sens!$I$8732+Sens!$I$8733+Sens!$I$8734+Sens!$I$8735</f>
        <v>270.47268086336</v>
      </c>
      <c r="J8736" s="38" t="n">
        <f aca="false">Sens!$J$8732+Sens!$J$8733+Sens!$J$8734+Sens!$J$8735</f>
        <v>322.901148792662</v>
      </c>
      <c r="K8736" s="38" t="n">
        <f aca="false">Sens!$K$8732+Sens!$K$8733+Sens!$K$8734+Sens!$K$8735</f>
        <v>371.076979153043</v>
      </c>
      <c r="L8736" s="38" t="n">
        <f aca="false">Sens!$L$8732+Sens!$L$8733+Sens!$L$8734+Sens!$L$8735</f>
        <v>413.315288332076</v>
      </c>
      <c r="M8736" s="38" t="n">
        <f aca="false">Sens!$M$8732+Sens!$M$8733+Sens!$M$8734+Sens!$M$8735</f>
        <v>449.97232363371</v>
      </c>
    </row>
    <row r="8737" customFormat="false" ht="17.15" hidden="false" customHeight="false" outlineLevel="0" collapsed="false">
      <c r="A8737" s="5" t="s">
        <v>788</v>
      </c>
      <c r="B8737" s="0" t="s">
        <v>86</v>
      </c>
      <c r="C8737" s="38" t="n">
        <f aca="false">Sens!$C$8618</f>
        <v>25.2781053077374</v>
      </c>
      <c r="D8737" s="38" t="n">
        <f aca="false">Sens!$D$8618</f>
        <v>69.5686316310026</v>
      </c>
      <c r="E8737" s="38" t="n">
        <f aca="false">Sens!$E$8618</f>
        <v>64.1899206485108</v>
      </c>
      <c r="F8737" s="38" t="n">
        <f aca="false">Sens!$F$8618</f>
        <v>96.2481299895</v>
      </c>
      <c r="G8737" s="38" t="n">
        <f aca="false">Sens!$G$8618</f>
        <v>160.438050638011</v>
      </c>
      <c r="H8737" s="38" t="n">
        <f aca="false">Sens!$H$8618</f>
        <v>198.57136494475</v>
      </c>
      <c r="I8737" s="38" t="n">
        <f aca="false">Sens!$I$8618</f>
        <v>204.6464699105</v>
      </c>
      <c r="J8737" s="38" t="n">
        <f aca="false">Sens!$J$8618</f>
        <v>209.8832381105</v>
      </c>
      <c r="K8737" s="38" t="n">
        <f aca="false">Sens!$K$8618</f>
        <v>155.238385275201</v>
      </c>
      <c r="L8737" s="38" t="n">
        <f aca="false">Sens!$L$8618</f>
        <v>132.014141639902</v>
      </c>
      <c r="M8737" s="38" t="n">
        <f aca="false">Sens!$M$8618</f>
        <v>132.230981659852</v>
      </c>
    </row>
    <row r="8738" customFormat="false" ht="17.15" hidden="false" customHeight="false" outlineLevel="0" collapsed="false">
      <c r="A8738" s="5" t="s">
        <v>789</v>
      </c>
      <c r="B8738" s="0" t="s">
        <v>86</v>
      </c>
      <c r="C8738" s="38" t="n">
        <f aca="false">cx_awso*Sens!$C$8649</f>
        <v>21.0469989286053</v>
      </c>
      <c r="D8738" s="38" t="n">
        <f aca="false">cx_awso*Sens!$D$8649</f>
        <v>24.0042459822698</v>
      </c>
      <c r="E8738" s="38" t="n">
        <f aca="false">cx_awso*Sens!$E$8649</f>
        <v>14.261729404886</v>
      </c>
      <c r="F8738" s="38" t="n">
        <f aca="false">cx_awso*Sens!$F$8649</f>
        <v>14.3538599588493</v>
      </c>
      <c r="G8738" s="38" t="n">
        <f aca="false">Sens!$E$8738+Sens!$F$8738</f>
        <v>28.6155893637353</v>
      </c>
      <c r="H8738" s="38" t="n">
        <f aca="false">cx_awso*Sens!$H$8649</f>
        <v>32.2034154158406</v>
      </c>
      <c r="I8738" s="38" t="n">
        <f aca="false">cx_awso*Sens!$I$8649</f>
        <v>35.7539519042915</v>
      </c>
      <c r="J8738" s="38" t="n">
        <f aca="false">cx_awso*Sens!$J$8649</f>
        <v>39.1551076091815</v>
      </c>
      <c r="K8738" s="38" t="n">
        <f aca="false">cx_awso*Sens!$K$8649</f>
        <v>42.287516217916</v>
      </c>
      <c r="L8738" s="38" t="n">
        <f aca="false">cx_awso*Sens!$L$8649</f>
        <v>45.6705175153492</v>
      </c>
      <c r="M8738" s="38" t="n">
        <f aca="false">cx_awso*Sens!$M$8649</f>
        <v>49.3241589165772</v>
      </c>
    </row>
    <row r="8739" customFormat="false" ht="17.15" hidden="false" customHeight="false" outlineLevel="0" collapsed="false">
      <c r="A8739" s="5" t="s">
        <v>790</v>
      </c>
      <c r="B8739" s="0" t="s">
        <v>86</v>
      </c>
      <c r="C8739" s="38" t="n">
        <f aca="false">Q!$D$46-Sens!$C$8737-Sens!$C$8738</f>
        <v>31.3328957636573</v>
      </c>
      <c r="D8739" s="38" t="n">
        <f aca="false">Q!$E$46-Sens!$D$8737-Sens!$D$8738</f>
        <v>34.7471223867276</v>
      </c>
      <c r="E8739" s="38" t="n">
        <f aca="false">Q!$P$46-Sens!$E$8737-Sens!$E$8738</f>
        <v>17.8583499466032</v>
      </c>
      <c r="F8739" s="38" t="n">
        <f aca="false">cx_rt*Sens!$F$8581</f>
        <v>20.6195895799373</v>
      </c>
      <c r="G8739" s="38" t="n">
        <f aca="false">Sens!$E$8739+Sens!$F$8739</f>
        <v>38.4779395265405</v>
      </c>
      <c r="H8739" s="38" t="n">
        <f aca="false">cx_rt*Sens!$H$8581</f>
        <v>42.5978994743075</v>
      </c>
      <c r="I8739" s="38" t="n">
        <f aca="false">cx_rt*Sens!$I$8581</f>
        <v>46.5813904136335</v>
      </c>
      <c r="J8739" s="38" t="n">
        <f aca="false">cx_rt*Sens!$J$8581</f>
        <v>50.2781676586844</v>
      </c>
      <c r="K8739" s="38" t="n">
        <f aca="false">cx_rt*Sens!$K$8581</f>
        <v>53.5312440191755</v>
      </c>
      <c r="L8739" s="38" t="n">
        <f aca="false">cx_rt*Sens!$L$8581</f>
        <v>57.0116717051447</v>
      </c>
      <c r="M8739" s="38" t="n">
        <f aca="false">cx_rt*Sens!$M$8581</f>
        <v>60.7365554669226</v>
      </c>
    </row>
    <row r="8740" customFormat="false" ht="15" hidden="false" customHeight="false" outlineLevel="0" collapsed="false">
      <c r="A8740" s="3" t="s">
        <v>791</v>
      </c>
      <c r="B8740" s="8" t="s">
        <v>86</v>
      </c>
      <c r="C8740" s="38" t="n">
        <f aca="false">Q!$D$46</f>
        <v>77.658</v>
      </c>
      <c r="D8740" s="38" t="n">
        <f aca="false">Q!$E$46</f>
        <v>128.32</v>
      </c>
      <c r="E8740" s="38" t="n">
        <f aca="false">Q!$P$46</f>
        <v>96.31</v>
      </c>
      <c r="F8740" s="38" t="n">
        <f aca="false">Sens!$F$8737+Sens!$F$8738+Sens!$F$8739</f>
        <v>131.221579528287</v>
      </c>
      <c r="G8740" s="38" t="n">
        <f aca="false">Sens!$E$8740+Sens!$F$8740</f>
        <v>227.531579528287</v>
      </c>
      <c r="H8740" s="38" t="n">
        <f aca="false">Sens!$H$8737+Sens!$H$8738+Sens!$H$8739</f>
        <v>273.372679834898</v>
      </c>
      <c r="I8740" s="38" t="n">
        <f aca="false">Sens!$I$8737+Sens!$I$8738+Sens!$I$8739</f>
        <v>286.981812228425</v>
      </c>
      <c r="J8740" s="38" t="n">
        <f aca="false">Sens!$J$8737+Sens!$J$8738+Sens!$J$8739</f>
        <v>299.316513378366</v>
      </c>
      <c r="K8740" s="38" t="n">
        <f aca="false">Sens!$K$8737+Sens!$K$8738+Sens!$K$8739</f>
        <v>251.057145512292</v>
      </c>
      <c r="L8740" s="38" t="n">
        <f aca="false">Sens!$L$8737+Sens!$L$8738+Sens!$L$8739</f>
        <v>234.696330860396</v>
      </c>
      <c r="M8740" s="38" t="n">
        <f aca="false">Sens!$M$8737+Sens!$M$8738+Sens!$M$8739</f>
        <v>242.291696043352</v>
      </c>
    </row>
    <row r="8741" customFormat="false" ht="17.15" hidden="false" customHeight="false" outlineLevel="0" collapsed="false">
      <c r="A8741" s="5" t="s">
        <v>563</v>
      </c>
      <c r="B8741" s="0" t="s">
        <v>86</v>
      </c>
      <c r="C8741" s="38" t="n">
        <f aca="false">Q!$D$50</f>
        <v>2.043</v>
      </c>
      <c r="D8741" s="38" t="n">
        <f aca="false">Q!$E$50</f>
        <v>1.557</v>
      </c>
      <c r="E8741" s="38" t="n">
        <f aca="false">lease_pr/2</f>
        <v>0.8</v>
      </c>
      <c r="F8741" s="38" t="n">
        <f aca="false">lease_pr/2</f>
        <v>0.8</v>
      </c>
      <c r="G8741" s="38" t="n">
        <f aca="false">Sens!$E$8741+Sens!$F$8741</f>
        <v>1.6</v>
      </c>
      <c r="H8741" s="38" t="n">
        <f aca="false">lease_pr</f>
        <v>1.6</v>
      </c>
      <c r="I8741" s="38" t="n">
        <f aca="false">lease_pr</f>
        <v>1.6</v>
      </c>
      <c r="J8741" s="38" t="n">
        <f aca="false">lease_pr</f>
        <v>1.6</v>
      </c>
      <c r="K8741" s="38" t="n">
        <f aca="false">lease_pr</f>
        <v>1.6</v>
      </c>
      <c r="L8741" s="38" t="n">
        <f aca="false">lease_pr</f>
        <v>1.6</v>
      </c>
      <c r="M8741" s="38" t="n">
        <f aca="false">lease_pr</f>
        <v>1.6</v>
      </c>
      <c r="P8741" s="8" t="s">
        <v>792</v>
      </c>
    </row>
    <row r="8742" customFormat="false" ht="15" hidden="false" customHeight="false" outlineLevel="0" collapsed="false">
      <c r="A8742" s="47" t="s">
        <v>793</v>
      </c>
      <c r="B8742" s="14" t="s">
        <v>86</v>
      </c>
      <c r="C8742" s="48" t="n">
        <f aca="false">Sens!$C$8736-Sens!$C$8740-Sens!$C$8741</f>
        <v>36.176</v>
      </c>
      <c r="D8742" s="48" t="n">
        <f aca="false">Sens!$D$8736-Sens!$D$8740-Sens!$D$8741</f>
        <v>9.63700000000002</v>
      </c>
      <c r="E8742" s="48" t="n">
        <f aca="false">Sens!$E$8736-Sens!$E$8740-Sens!$E$8741</f>
        <v>-25.691</v>
      </c>
      <c r="F8742" s="48" t="n">
        <f aca="false">Sens!$F$8736-Sens!$F$8740-Sens!$F$8741</f>
        <v>-41.4356983848813</v>
      </c>
      <c r="G8742" s="48" t="n">
        <f aca="false">Sens!$G$8736-Sens!$G$8740-Sens!$G$8741</f>
        <v>-67.1266983848813</v>
      </c>
      <c r="H8742" s="48" t="n">
        <f aca="false">Sens!$H$8736-Sens!$H$8740-Sens!$H$8741</f>
        <v>-56.3449313570613</v>
      </c>
      <c r="I8742" s="48" t="n">
        <f aca="false">Sens!$I$8736-Sens!$I$8740-Sens!$I$8741</f>
        <v>-18.1091313650653</v>
      </c>
      <c r="J8742" s="48" t="n">
        <f aca="false">Sens!$J$8736-Sens!$J$8740-Sens!$J$8741</f>
        <v>21.9846354142961</v>
      </c>
      <c r="K8742" s="48" t="n">
        <f aca="false">Sens!$K$8736-Sens!$K$8740-Sens!$K$8741</f>
        <v>118.41983364075</v>
      </c>
      <c r="L8742" s="48" t="n">
        <f aca="false">Sens!$L$8736-Sens!$L$8740-Sens!$L$8741</f>
        <v>177.018957471681</v>
      </c>
      <c r="M8742" s="48" t="n">
        <f aca="false">Sens!$M$8736-Sens!$M$8740-Sens!$M$8741</f>
        <v>206.080627590357</v>
      </c>
      <c r="N8742" s="14"/>
      <c r="O8742" s="14"/>
    </row>
    <row r="8743" customFormat="false" ht="17.15" hidden="false" customHeight="false" outlineLevel="0" collapsed="false">
      <c r="A8743" s="5" t="s">
        <v>794</v>
      </c>
      <c r="B8743" s="0" t="s">
        <v>86</v>
      </c>
      <c r="C8743" s="38" t="n">
        <f aca="false">dps*Sens!$C$8722</f>
        <v>0</v>
      </c>
      <c r="D8743" s="38" t="n">
        <f aca="false">dps*Sens!$D$8722</f>
        <v>0</v>
      </c>
      <c r="E8743" s="38" t="n">
        <f aca="false">dps*Sens!$E$8722</f>
        <v>0</v>
      </c>
      <c r="F8743" s="38" t="n">
        <f aca="false">0</f>
        <v>0</v>
      </c>
      <c r="G8743" s="38" t="n">
        <f aca="false">dps*Sens!$G$8722</f>
        <v>0</v>
      </c>
      <c r="H8743" s="38" t="n">
        <f aca="false">dps*Sens!$H$8722</f>
        <v>0</v>
      </c>
      <c r="I8743" s="38" t="n">
        <f aca="false">dps*Sens!$I$8722</f>
        <v>0</v>
      </c>
      <c r="J8743" s="38" t="n">
        <f aca="false">dps*Sens!$J$8722</f>
        <v>0</v>
      </c>
      <c r="K8743" s="38" t="n">
        <f aca="false">dps*Sens!$K$8722</f>
        <v>0</v>
      </c>
      <c r="L8743" s="38" t="n">
        <f aca="false">dps*Sens!$L$8722</f>
        <v>0</v>
      </c>
      <c r="M8743" s="38" t="n">
        <f aca="false">dps*Sens!$M$8722</f>
        <v>0</v>
      </c>
      <c r="P8743" s="8" t="s">
        <v>795</v>
      </c>
    </row>
    <row r="8744" customFormat="false" ht="17.15" hidden="false" customHeight="false" outlineLevel="0" collapsed="false">
      <c r="A8744" s="5" t="s">
        <v>796</v>
      </c>
      <c r="B8744" s="0" t="s">
        <v>86</v>
      </c>
      <c r="C8744" s="38" t="n">
        <f aca="false">0</f>
        <v>0</v>
      </c>
      <c r="D8744" s="38" t="n">
        <f aca="false">0</f>
        <v>0</v>
      </c>
      <c r="E8744" s="38" t="n">
        <f aca="false">0</f>
        <v>0</v>
      </c>
      <c r="F8744" s="38" t="n">
        <f aca="false">0</f>
        <v>0</v>
      </c>
      <c r="G8744" s="38" t="n">
        <f aca="false">0</f>
        <v>0</v>
      </c>
      <c r="H8744" s="38" t="n">
        <f aca="false">0</f>
        <v>0</v>
      </c>
      <c r="I8744" s="38" t="n">
        <f aca="false">0</f>
        <v>0</v>
      </c>
      <c r="J8744" s="38" t="n">
        <f aca="false">0</f>
        <v>0</v>
      </c>
      <c r="K8744" s="38" t="n">
        <f aca="false">0</f>
        <v>0</v>
      </c>
      <c r="L8744" s="38" t="n">
        <f aca="false">0</f>
        <v>0</v>
      </c>
      <c r="M8744" s="38" t="n">
        <f aca="false">0</f>
        <v>0</v>
      </c>
      <c r="P8744" s="8" t="s">
        <v>797</v>
      </c>
    </row>
    <row r="8745" customFormat="false" ht="15" hidden="false" customHeight="false" outlineLevel="0" collapsed="false">
      <c r="A8745" s="3" t="s">
        <v>798</v>
      </c>
      <c r="B8745" s="8" t="s">
        <v>86</v>
      </c>
      <c r="C8745" s="38" t="n">
        <f aca="false">Sens!$C$8742-Sens!$C$8743</f>
        <v>36.176</v>
      </c>
      <c r="D8745" s="38" t="n">
        <f aca="false">Sens!$D$8742-Sens!$D$8743</f>
        <v>9.63700000000002</v>
      </c>
      <c r="E8745" s="38" t="n">
        <f aca="false">Sens!$E$8742-Sens!$E$8743</f>
        <v>-25.691</v>
      </c>
      <c r="F8745" s="38" t="n">
        <f aca="false">Sens!$F$8742-Sens!$F$8743</f>
        <v>-41.4356983848813</v>
      </c>
      <c r="G8745" s="38" t="n">
        <f aca="false">Sens!$G$8742-Sens!$G$8743</f>
        <v>-67.1266983848813</v>
      </c>
      <c r="H8745" s="38" t="n">
        <f aca="false">Sens!$H$8742-Sens!$H$8743</f>
        <v>-56.3449313570613</v>
      </c>
      <c r="I8745" s="38" t="n">
        <f aca="false">Sens!$I$8742-Sens!$I$8743</f>
        <v>-18.1091313650653</v>
      </c>
      <c r="J8745" s="38" t="n">
        <f aca="false">Sens!$J$8742-Sens!$J$8743</f>
        <v>21.9846354142961</v>
      </c>
      <c r="K8745" s="38" t="n">
        <f aca="false">Sens!$K$8742-Sens!$K$8743</f>
        <v>118.41983364075</v>
      </c>
      <c r="L8745" s="38" t="n">
        <f aca="false">Sens!$L$8742-Sens!$L$8743</f>
        <v>177.018957471681</v>
      </c>
      <c r="M8745" s="38" t="n">
        <f aca="false">Sens!$M$8742-Sens!$M$8743</f>
        <v>206.080627590357</v>
      </c>
    </row>
    <row r="8746" customFormat="false" ht="17.15" hidden="false" customHeight="false" outlineLevel="0" collapsed="false">
      <c r="A8746" s="5" t="s">
        <v>799</v>
      </c>
      <c r="B8746" s="0" t="s">
        <v>86</v>
      </c>
      <c r="E8746" s="38" t="n">
        <f aca="false">Q!$P$53</f>
        <v>39.767</v>
      </c>
      <c r="F8746" s="38" t="n">
        <f aca="false">inv_2h26</f>
        <v>21.3</v>
      </c>
      <c r="G8746" s="38" t="n">
        <f aca="false">Sens!$E$8746+Sens!$F$8746</f>
        <v>61.067</v>
      </c>
      <c r="H8746" s="39" t="n">
        <v>0</v>
      </c>
      <c r="I8746" s="39" t="n">
        <v>0</v>
      </c>
      <c r="J8746" s="39" t="n">
        <v>0</v>
      </c>
      <c r="K8746" s="39" t="n">
        <v>0</v>
      </c>
      <c r="L8746" s="39" t="n">
        <v>0</v>
      </c>
      <c r="M8746" s="39" t="n">
        <v>0</v>
      </c>
    </row>
    <row r="8747" customFormat="false" ht="17.15" hidden="false" customHeight="false" outlineLevel="0" collapsed="false">
      <c r="A8747" s="5" t="s">
        <v>800</v>
      </c>
      <c r="B8747" s="0" t="s">
        <v>86</v>
      </c>
      <c r="F8747" s="38" t="n">
        <f aca="false">iss_2h26</f>
        <v>29.249999</v>
      </c>
      <c r="G8747" s="38" t="n">
        <f aca="false">Sens!$F$8747</f>
        <v>29.249999</v>
      </c>
      <c r="H8747" s="39" t="n">
        <v>0</v>
      </c>
      <c r="I8747" s="39" t="n">
        <v>0</v>
      </c>
      <c r="J8747" s="39" t="n">
        <v>0</v>
      </c>
      <c r="K8747" s="39" t="n">
        <v>0</v>
      </c>
      <c r="L8747" s="39" t="n">
        <v>0</v>
      </c>
      <c r="M8747" s="39" t="n">
        <v>0</v>
      </c>
    </row>
    <row r="8748" customFormat="false" ht="17.15" hidden="false" customHeight="false" outlineLevel="0" collapsed="false">
      <c r="A8748" s="5" t="s">
        <v>801</v>
      </c>
      <c r="B8748" s="0" t="s">
        <v>86</v>
      </c>
      <c r="F8748" s="38" t="n">
        <f aca="false">cash_q2</f>
        <v>122.988</v>
      </c>
      <c r="G8748" s="38" t="n">
        <f aca="false">cash_q2</f>
        <v>122.988</v>
      </c>
      <c r="H8748" s="38" t="n">
        <f aca="false">Sens!$G$8751</f>
        <v>89.5023006151187</v>
      </c>
      <c r="I8748" s="38" t="n">
        <f aca="false">Sens!$H$8751</f>
        <v>50</v>
      </c>
      <c r="J8748" s="38" t="n">
        <f aca="false">Sens!$I$8751</f>
        <v>50</v>
      </c>
      <c r="K8748" s="38" t="n">
        <f aca="false">Sens!$J$8751</f>
        <v>71.9846354142962</v>
      </c>
      <c r="L8748" s="38" t="n">
        <f aca="false">Sens!$K$8751</f>
        <v>190.404469055046</v>
      </c>
      <c r="M8748" s="38" t="n">
        <f aca="false">Sens!$L$8751</f>
        <v>367.423426526727</v>
      </c>
    </row>
    <row r="8749" customFormat="false" ht="15" hidden="false" customHeight="false" outlineLevel="0" collapsed="false">
      <c r="A8749" s="5" t="s">
        <v>802</v>
      </c>
      <c r="B8749" s="0" t="s">
        <v>86</v>
      </c>
      <c r="F8749" s="38" t="n">
        <f aca="false">Sens!$F$8748+Sens!$F$8745-Sens!$F$8744-Sens!$F$8746+Sens!$F$8747</f>
        <v>89.5023006151187</v>
      </c>
      <c r="H8749" s="38" t="n">
        <f aca="false">Sens!$H$8748+Sens!$H$8745-Sens!$H$8744-Sens!$H$8746+Sens!$H$8747</f>
        <v>33.1573692580575</v>
      </c>
      <c r="I8749" s="38" t="n">
        <f aca="false">Sens!$I$8748+Sens!$I$8745-Sens!$I$8744-Sens!$I$8746+Sens!$I$8747</f>
        <v>31.8908686349347</v>
      </c>
      <c r="J8749" s="38" t="n">
        <f aca="false">Sens!$J$8748+Sens!$J$8745-Sens!$J$8744-Sens!$J$8746+Sens!$J$8747</f>
        <v>71.9846354142962</v>
      </c>
      <c r="K8749" s="38" t="n">
        <f aca="false">Sens!$K$8748+Sens!$K$8745-Sens!$K$8744-Sens!$K$8746+Sens!$K$8747</f>
        <v>190.404469055046</v>
      </c>
      <c r="L8749" s="38" t="n">
        <f aca="false">Sens!$L$8748+Sens!$L$8745-Sens!$L$8744-Sens!$L$8746+Sens!$L$8747</f>
        <v>367.423426526727</v>
      </c>
      <c r="M8749" s="38" t="n">
        <f aca="false">Sens!$M$8748+Sens!$M$8745-Sens!$M$8744-Sens!$M$8746+Sens!$M$8747</f>
        <v>573.504054117085</v>
      </c>
    </row>
    <row r="8750" customFormat="false" ht="17.15" hidden="false" customHeight="false" outlineLevel="0" collapsed="false">
      <c r="A8750" s="5" t="s">
        <v>803</v>
      </c>
      <c r="B8750" s="0" t="s">
        <v>86</v>
      </c>
      <c r="F8750" s="38" t="n">
        <f aca="false">MAX(0,min_cash-Sens!$F$8749)</f>
        <v>0</v>
      </c>
      <c r="G8750" s="38" t="n">
        <f aca="false">Sens!$F$8750</f>
        <v>0</v>
      </c>
      <c r="H8750" s="38" t="n">
        <f aca="false">MAX(0,min_cash-Sens!$H$8749)</f>
        <v>16.8426307419426</v>
      </c>
      <c r="I8750" s="38" t="n">
        <f aca="false">MAX(0,min_cash-Sens!$I$8749)</f>
        <v>18.1091313650653</v>
      </c>
      <c r="J8750" s="38" t="n">
        <f aca="false">MAX(0,min_cash-Sens!$J$8749)</f>
        <v>0</v>
      </c>
      <c r="K8750" s="38" t="n">
        <f aca="false">MAX(0,min_cash-Sens!$K$8749)</f>
        <v>0</v>
      </c>
      <c r="L8750" s="38" t="n">
        <f aca="false">MAX(0,min_cash-Sens!$L$8749)</f>
        <v>0</v>
      </c>
      <c r="M8750" s="38" t="n">
        <f aca="false">MAX(0,min_cash-Sens!$M$8749)</f>
        <v>0</v>
      </c>
      <c r="P8750" s="5" t="s">
        <v>804</v>
      </c>
    </row>
    <row r="8751" customFormat="false" ht="15" hidden="false" customHeight="false" outlineLevel="0" collapsed="false">
      <c r="A8751" s="5" t="s">
        <v>805</v>
      </c>
      <c r="B8751" s="0" t="s">
        <v>86</v>
      </c>
      <c r="D8751" s="38" t="n">
        <f aca="false">Q!$E$61</f>
        <v>123.029</v>
      </c>
      <c r="E8751" s="38" t="n">
        <f aca="false">Q!$M$61</f>
        <v>122.988</v>
      </c>
      <c r="F8751" s="38" t="n">
        <f aca="false">Sens!$F$8749+Sens!$F$8750</f>
        <v>89.5023006151187</v>
      </c>
      <c r="G8751" s="38" t="n">
        <f aca="false">Sens!$F$8751</f>
        <v>89.5023006151187</v>
      </c>
      <c r="H8751" s="38" t="n">
        <f aca="false">Sens!$H$8749+Sens!$H$8750</f>
        <v>50</v>
      </c>
      <c r="I8751" s="38" t="n">
        <f aca="false">Sens!$I$8749+Sens!$I$8750</f>
        <v>50</v>
      </c>
      <c r="J8751" s="38" t="n">
        <f aca="false">Sens!$J$8749+Sens!$J$8750</f>
        <v>71.9846354142962</v>
      </c>
      <c r="K8751" s="38" t="n">
        <f aca="false">Sens!$K$8749+Sens!$K$8750</f>
        <v>190.404469055046</v>
      </c>
      <c r="L8751" s="38" t="n">
        <f aca="false">Sens!$L$8749+Sens!$L$8750</f>
        <v>367.423426526727</v>
      </c>
      <c r="M8751" s="38" t="n">
        <f aca="false">Sens!$M$8749+Sens!$M$8750</f>
        <v>573.504054117085</v>
      </c>
    </row>
    <row r="8752" customFormat="false" ht="15" hidden="false" customHeight="false" outlineLevel="0" collapsed="false">
      <c r="A8752" s="5" t="s">
        <v>806</v>
      </c>
      <c r="B8752" s="0" t="s">
        <v>86</v>
      </c>
      <c r="D8752" s="38" t="n">
        <f aca="false">Q!$E$62</f>
        <v>68.836</v>
      </c>
      <c r="E8752" s="38" t="n">
        <f aca="false">Q!$M$62</f>
        <v>132.995</v>
      </c>
      <c r="F8752" s="38" t="n">
        <f aca="false">debt_q2+Sens!$F$8747+Sens!$F$8750</f>
        <v>162.244999</v>
      </c>
      <c r="G8752" s="38" t="n">
        <f aca="false">Sens!$F$8752</f>
        <v>162.244999</v>
      </c>
      <c r="H8752" s="38" t="n">
        <f aca="false">Sens!$G$8752+Sens!$H$8750</f>
        <v>179.087629741943</v>
      </c>
      <c r="I8752" s="38" t="n">
        <f aca="false">Sens!$H$8752+Sens!$I$8750</f>
        <v>197.196761107008</v>
      </c>
      <c r="J8752" s="38" t="n">
        <f aca="false">Sens!$I$8752+Sens!$J$8750</f>
        <v>197.196761107008</v>
      </c>
      <c r="K8752" s="38" t="n">
        <f aca="false">Sens!$J$8752+Sens!$K$8750</f>
        <v>197.196761107008</v>
      </c>
      <c r="L8752" s="38" t="n">
        <f aca="false">Sens!$K$8752+Sens!$L$8750</f>
        <v>197.196761107008</v>
      </c>
      <c r="M8752" s="38" t="n">
        <f aca="false">Sens!$L$8752+Sens!$M$8750</f>
        <v>197.196761107008</v>
      </c>
    </row>
    <row r="8753" customFormat="false" ht="15" hidden="false" customHeight="false" outlineLevel="0" collapsed="false">
      <c r="A8753" s="5" t="s">
        <v>807</v>
      </c>
      <c r="B8753" s="0" t="s">
        <v>86</v>
      </c>
      <c r="D8753" s="38" t="n">
        <f aca="false">Sens!$D$8752-Sens!$D$8751</f>
        <v>-54.193</v>
      </c>
      <c r="E8753" s="38" t="n">
        <f aca="false">Sens!$E$8752-Sens!$E$8751</f>
        <v>10.007</v>
      </c>
      <c r="F8753" s="38" t="n">
        <f aca="false">Sens!$F$8752-Sens!$F$8751</f>
        <v>72.7426983848813</v>
      </c>
      <c r="G8753" s="38" t="n">
        <f aca="false">Sens!$G$8752-Sens!$G$8751</f>
        <v>72.7426983848813</v>
      </c>
      <c r="H8753" s="38" t="n">
        <f aca="false">Sens!$H$8752-Sens!$H$8751</f>
        <v>129.087629741943</v>
      </c>
      <c r="I8753" s="38" t="n">
        <f aca="false">Sens!$I$8752-Sens!$I$8751</f>
        <v>147.196761107008</v>
      </c>
      <c r="J8753" s="38" t="n">
        <f aca="false">Sens!$J$8752-Sens!$J$8751</f>
        <v>125.212125692712</v>
      </c>
      <c r="K8753" s="38" t="n">
        <f aca="false">Sens!$K$8752-Sens!$K$8751</f>
        <v>6.79229205196145</v>
      </c>
      <c r="L8753" s="38" t="n">
        <f aca="false">Sens!$L$8752-Sens!$L$8751</f>
        <v>-170.226665419719</v>
      </c>
      <c r="M8753" s="38" t="n">
        <f aca="false">Sens!$M$8752-Sens!$M$8751</f>
        <v>-376.307293010077</v>
      </c>
    </row>
    <row r="8754" customFormat="false" ht="17.15" hidden="false" customHeight="false" outlineLevel="0" collapsed="false">
      <c r="A8754" s="5" t="s">
        <v>808</v>
      </c>
      <c r="B8754" s="0" t="s">
        <v>86</v>
      </c>
      <c r="F8754" s="38" t="n">
        <f aca="false">debt_q2*kd_book*0.5+iss_2h26*kd_new*iss_t</f>
        <v>3.24888962733561</v>
      </c>
      <c r="H8754" s="38" t="n">
        <f aca="false">debt_q2*kd_book+(Sens!$G$8752-debt_q2)*kd_new</f>
        <v>7.42354172302123</v>
      </c>
      <c r="I8754" s="38" t="n">
        <f aca="false">debt_q2*kd_book+(Sens!$H$8752-debt_q2)*kd_new</f>
        <v>8.48968024898619</v>
      </c>
      <c r="J8754" s="38" t="n">
        <f aca="false">debt_q2*kd_book+(Sens!$I$8752-debt_q2)*kd_new</f>
        <v>9.63598826439483</v>
      </c>
      <c r="K8754" s="38" t="n">
        <f aca="false">debt_q2*kd_book+(Sens!$J$8752-debt_q2)*kd_new</f>
        <v>9.63598826439483</v>
      </c>
      <c r="L8754" s="38" t="n">
        <f aca="false">debt_q2*kd_book+(Sens!$K$8752-debt_q2)*kd_new</f>
        <v>9.63598826439483</v>
      </c>
      <c r="M8754" s="38" t="n">
        <f aca="false">debt_q2*kd_book+(Sens!$L$8752-debt_q2)*kd_new</f>
        <v>9.63598826439483</v>
      </c>
    </row>
    <row r="8755" customFormat="false" ht="17.15" hidden="false" customHeight="false" outlineLevel="0" collapsed="false">
      <c r="A8755" s="5" t="s">
        <v>809</v>
      </c>
      <c r="B8755" s="0" t="s">
        <v>86</v>
      </c>
      <c r="F8755" s="38" t="n">
        <f aca="false">cash_q2*y_cash*0.5</f>
        <v>2.59</v>
      </c>
      <c r="H8755" s="38" t="n">
        <f aca="false">Sens!$G$8751*y_cash</f>
        <v>3.76965165045626</v>
      </c>
      <c r="I8755" s="38" t="n">
        <f aca="false">Sens!$H$8751*y_cash</f>
        <v>2.10589651022864</v>
      </c>
      <c r="J8755" s="38" t="n">
        <f aca="false">Sens!$I$8751*y_cash</f>
        <v>2.10589651022864</v>
      </c>
      <c r="K8755" s="38" t="n">
        <f aca="false">Sens!$J$8751*y_cash</f>
        <v>3.03184385018094</v>
      </c>
      <c r="L8755" s="38" t="n">
        <f aca="false">Sens!$K$8751*y_cash</f>
        <v>8.01944213829919</v>
      </c>
      <c r="M8755" s="38" t="n">
        <f aca="false">Sens!$L$8751*y_cash</f>
        <v>15.4751142339777</v>
      </c>
    </row>
    <row r="8756" customFormat="false" ht="17.15" hidden="false" customHeight="false" outlineLevel="0" collapsed="false">
      <c r="A8756" s="47" t="s">
        <v>810</v>
      </c>
      <c r="B8756" s="14" t="s">
        <v>86</v>
      </c>
      <c r="C8756" s="14"/>
      <c r="D8756" s="14"/>
      <c r="E8756" s="14"/>
      <c r="F8756" s="14"/>
      <c r="G8756" s="48" t="n">
        <f aca="false">SUM(Sens!$G$8745:$K$8745)</f>
        <v>-1.17629205196147</v>
      </c>
      <c r="H8756" s="14"/>
      <c r="I8756" s="14"/>
      <c r="J8756" s="14"/>
      <c r="K8756" s="14"/>
      <c r="L8756" s="14"/>
      <c r="M8756" s="14"/>
      <c r="N8756" s="14"/>
      <c r="O8756" s="14"/>
    </row>
    <row r="8757" customFormat="false" ht="17.15" hidden="false" customHeight="false" outlineLevel="0" collapsed="false">
      <c r="A8757" s="0" t="s">
        <v>776</v>
      </c>
      <c r="B8757" s="0" t="s">
        <v>86</v>
      </c>
      <c r="G8757" s="38" t="n">
        <f aca="false">SUM(Sens!$G$8750:$K$8750)</f>
        <v>34.9517621070079</v>
      </c>
    </row>
    <row r="8758" customFormat="false" ht="17.15" hidden="false" customHeight="false" outlineLevel="0" collapsed="false">
      <c r="A8758" s="24" t="s">
        <v>813</v>
      </c>
      <c r="B8758" s="25" t="s">
        <v>86</v>
      </c>
      <c r="C8758" s="25"/>
      <c r="D8758" s="25"/>
      <c r="E8758" s="25"/>
      <c r="F8758" s="25"/>
      <c r="G8758" s="41" t="n">
        <f aca="false">Sens!$G$8756-(Sens!$G$8745+Sens!$H$8745+Sens!$I$8745+Sens!$J$8745+Sens!$K$8745)</f>
        <v>-2.8421709430404E-014</v>
      </c>
      <c r="H8758" s="25"/>
      <c r="I8758" s="25"/>
      <c r="J8758" s="25"/>
      <c r="K8758" s="25"/>
      <c r="L8758" s="25"/>
      <c r="M8758" s="25"/>
      <c r="N8758" s="25"/>
      <c r="O8758" s="25"/>
    </row>
    <row r="8761" customFormat="false" ht="19.4" hidden="false" customHeight="false" outlineLevel="0" collapsed="false">
      <c r="A8761" s="31" t="s">
        <v>1314</v>
      </c>
    </row>
    <row r="8762" customFormat="false" ht="17.15" hidden="false" customHeight="false" outlineLevel="0" collapsed="false">
      <c r="A8762" s="6" t="s">
        <v>16</v>
      </c>
      <c r="B8762" s="6" t="s">
        <v>17</v>
      </c>
      <c r="C8762" s="20" t="s">
        <v>497</v>
      </c>
      <c r="D8762" s="20" t="s">
        <v>498</v>
      </c>
      <c r="E8762" s="20" t="s">
        <v>580</v>
      </c>
      <c r="F8762" s="20" t="s">
        <v>581</v>
      </c>
      <c r="G8762" s="20" t="s">
        <v>582</v>
      </c>
      <c r="H8762" s="20" t="s">
        <v>583</v>
      </c>
      <c r="I8762" s="20" t="s">
        <v>584</v>
      </c>
      <c r="J8762" s="20" t="s">
        <v>585</v>
      </c>
      <c r="K8762" s="20" t="s">
        <v>586</v>
      </c>
      <c r="L8762" s="20" t="s">
        <v>587</v>
      </c>
      <c r="M8762" s="20" t="s">
        <v>588</v>
      </c>
      <c r="N8762" s="20" t="s">
        <v>589</v>
      </c>
      <c r="O8762" s="20" t="s">
        <v>590</v>
      </c>
      <c r="P8762" s="6" t="s">
        <v>23</v>
      </c>
      <c r="R8762" s="20" t="n">
        <v>2023</v>
      </c>
      <c r="S8762" s="20" t="n">
        <v>2024</v>
      </c>
      <c r="T8762" s="20" t="n">
        <v>2025</v>
      </c>
      <c r="U8762" s="20" t="n">
        <v>2026</v>
      </c>
      <c r="V8762" s="20" t="n">
        <v>2027</v>
      </c>
      <c r="W8762" s="20" t="n">
        <v>2028</v>
      </c>
      <c r="X8762" s="20" t="n">
        <v>2029</v>
      </c>
      <c r="Y8762" s="20" t="n">
        <v>2030</v>
      </c>
      <c r="Z8762" s="20" t="n">
        <v>2031</v>
      </c>
      <c r="AA8762" s="20" t="n">
        <v>2032</v>
      </c>
    </row>
    <row r="8763" customFormat="false" ht="17.15" hidden="false" customHeight="false" outlineLevel="0" collapsed="false">
      <c r="A8763" s="1" t="s">
        <v>915</v>
      </c>
    </row>
    <row r="8764" customFormat="false" ht="17.15" hidden="false" customHeight="false" outlineLevel="0" collapsed="false">
      <c r="A8764" s="0" t="s">
        <v>916</v>
      </c>
      <c r="B8764" s="0" t="s">
        <v>86</v>
      </c>
      <c r="H8764" s="38" t="n">
        <f aca="false">Sens!$H$8698*(1-tax)</f>
        <v>121.243762954598</v>
      </c>
      <c r="I8764" s="38" t="n">
        <f aca="false">Sens!$I$8698*(1-tax)</f>
        <v>146.296727721585</v>
      </c>
      <c r="J8764" s="38" t="n">
        <f aca="false">Sens!$J$8698*(1-tax)</f>
        <v>170.140518399982</v>
      </c>
      <c r="K8764" s="38" t="n">
        <f aca="false">Sens!$K$8698*(1-tax)</f>
        <v>187.091644407888</v>
      </c>
      <c r="L8764" s="38" t="n">
        <f aca="false">Sens!$L$8698*(1-tax)</f>
        <v>200.866341135815</v>
      </c>
      <c r="M8764" s="38" t="n">
        <f aca="false">Sens!$M$8698*(1-tax)</f>
        <v>211.476896331068</v>
      </c>
    </row>
    <row r="8765" customFormat="false" ht="15" hidden="false" customHeight="false" outlineLevel="0" collapsed="false">
      <c r="A8765" s="5" t="s">
        <v>917</v>
      </c>
      <c r="B8765" s="0" t="s">
        <v>86</v>
      </c>
      <c r="H8765" s="38" t="n">
        <f aca="false">Sens!$H$8709</f>
        <v>78.1799395827871</v>
      </c>
      <c r="I8765" s="38" t="n">
        <f aca="false">Sens!$I$8709</f>
        <v>111.171125554384</v>
      </c>
      <c r="J8765" s="38" t="n">
        <f aca="false">Sens!$J$8709</f>
        <v>144.884406220971</v>
      </c>
      <c r="K8765" s="38" t="n">
        <f aca="false">Sens!$K$8709</f>
        <v>178.806419437999</v>
      </c>
      <c r="L8765" s="38" t="n">
        <f aca="false">Sens!$L$8709</f>
        <v>204.341339029663</v>
      </c>
      <c r="M8765" s="38" t="n">
        <f aca="false">Sens!$M$8709</f>
        <v>223.130577995387</v>
      </c>
    </row>
    <row r="8766" customFormat="false" ht="15" hidden="false" customHeight="false" outlineLevel="0" collapsed="false">
      <c r="A8766" s="5" t="s">
        <v>918</v>
      </c>
      <c r="B8766" s="0" t="s">
        <v>86</v>
      </c>
      <c r="H8766" s="38" t="n">
        <f aca="false">Sens!$H$8740</f>
        <v>273.372679834898</v>
      </c>
      <c r="I8766" s="38" t="n">
        <f aca="false">Sens!$I$8740</f>
        <v>286.981812228425</v>
      </c>
      <c r="J8766" s="38" t="n">
        <f aca="false">Sens!$J$8740</f>
        <v>299.316513378366</v>
      </c>
      <c r="K8766" s="38" t="n">
        <f aca="false">Sens!$K$8740</f>
        <v>251.057145512292</v>
      </c>
      <c r="L8766" s="38" t="n">
        <f aca="false">Sens!$L$8740</f>
        <v>234.696330860396</v>
      </c>
      <c r="M8766" s="38" t="n">
        <f aca="false">Sens!$M$8740</f>
        <v>242.291696043352</v>
      </c>
    </row>
    <row r="8767" customFormat="false" ht="15" hidden="false" customHeight="false" outlineLevel="0" collapsed="false">
      <c r="A8767" s="5" t="s">
        <v>919</v>
      </c>
      <c r="B8767" s="0" t="s">
        <v>86</v>
      </c>
      <c r="H8767" s="38" t="n">
        <f aca="false">Sens!$H$8741</f>
        <v>1.6</v>
      </c>
      <c r="I8767" s="38" t="n">
        <f aca="false">Sens!$I$8741</f>
        <v>1.6</v>
      </c>
      <c r="J8767" s="38" t="n">
        <f aca="false">Sens!$J$8741</f>
        <v>1.6</v>
      </c>
      <c r="K8767" s="38" t="n">
        <f aca="false">Sens!$K$8741</f>
        <v>1.6</v>
      </c>
      <c r="L8767" s="38" t="n">
        <f aca="false">Sens!$L$8741</f>
        <v>1.6</v>
      </c>
      <c r="M8767" s="38" t="n">
        <f aca="false">Sens!$M$8741</f>
        <v>1.6</v>
      </c>
    </row>
    <row r="8768" customFormat="false" ht="15" hidden="false" customHeight="false" outlineLevel="0" collapsed="false">
      <c r="A8768" s="5" t="s">
        <v>920</v>
      </c>
      <c r="B8768" s="0" t="s">
        <v>86</v>
      </c>
      <c r="H8768" s="38" t="n">
        <f aca="false">Sens!$H$8735</f>
        <v>11.2928295263397</v>
      </c>
      <c r="I8768" s="38" t="n">
        <f aca="false">Sens!$I$8735</f>
        <v>12.8091546115766</v>
      </c>
      <c r="J8768" s="38" t="n">
        <f aca="false">Sens!$J$8735</f>
        <v>14.2605653162668</v>
      </c>
      <c r="K8768" s="38" t="n">
        <f aca="false">Sens!$K$8735</f>
        <v>15.5327622460396</v>
      </c>
      <c r="L8768" s="38" t="n">
        <f aca="false">Sens!$L$8735</f>
        <v>16.720573737517</v>
      </c>
      <c r="M8768" s="38" t="n">
        <f aca="false">Sens!$M$8735</f>
        <v>17.8283127551536</v>
      </c>
    </row>
    <row r="8769" customFormat="false" ht="17.15" hidden="false" customHeight="false" outlineLevel="0" collapsed="false">
      <c r="A8769" s="1" t="s">
        <v>921</v>
      </c>
      <c r="B8769" s="8" t="s">
        <v>86</v>
      </c>
      <c r="H8769" s="38" t="n">
        <f aca="false">Sens!$H$8764+Sens!$H$8765-Sens!$H$8766+Sens!$H$8768</f>
        <v>-62.6561477711731</v>
      </c>
      <c r="I8769" s="38" t="n">
        <f aca="false">Sens!$I$8764+Sens!$I$8765-Sens!$I$8766+Sens!$I$8768</f>
        <v>-16.7048043408794</v>
      </c>
      <c r="J8769" s="38" t="n">
        <f aca="false">Sens!$J$8764+Sens!$J$8765-Sens!$J$8766+Sens!$J$8768</f>
        <v>29.9689765588539</v>
      </c>
      <c r="K8769" s="38" t="n">
        <f aca="false">Sens!$K$8764+Sens!$K$8765-Sens!$K$8766+Sens!$K$8768</f>
        <v>130.373680579634</v>
      </c>
      <c r="L8769" s="38" t="n">
        <f aca="false">Sens!$L$8764+Sens!$L$8765-Sens!$L$8766+Sens!$L$8768</f>
        <v>187.231923042598</v>
      </c>
      <c r="M8769" s="38" t="n">
        <f aca="false">Sens!$M$8764+Sens!$M$8765-Sens!$M$8766+Sens!$M$8768</f>
        <v>210.144091038257</v>
      </c>
    </row>
    <row r="8770" customFormat="false" ht="15" hidden="false" customHeight="false" outlineLevel="0" collapsed="false">
      <c r="A8770" s="5" t="s">
        <v>922</v>
      </c>
      <c r="B8770" s="0" t="s">
        <v>57</v>
      </c>
      <c r="H8770" s="40" t="n">
        <f aca="false">1/(1+(wacc-0.01))^(2027-2026-0.5)</f>
        <v>0.952036717208703</v>
      </c>
      <c r="I8770" s="40" t="n">
        <f aca="false">1/(1+(wacc-0.01))^(2028-2026-0.5)</f>
        <v>0.862901242709724</v>
      </c>
      <c r="J8770" s="40" t="n">
        <f aca="false">1/(1+(wacc-0.01))^(2029-2026-0.5)</f>
        <v>0.782111174086951</v>
      </c>
      <c r="K8770" s="40" t="n">
        <f aca="false">1/(1+(wacc-0.01))^(2030-2026-0.5)</f>
        <v>0.708885163626357</v>
      </c>
      <c r="L8770" s="40" t="n">
        <f aca="false">1/(1+(wacc-0.01))^(2031-2026-0.5)</f>
        <v>0.642515018144594</v>
      </c>
      <c r="M8770" s="40" t="n">
        <f aca="false">1/(1+(wacc-0.01))^(2032-2026-0.5)</f>
        <v>0.582358849816389</v>
      </c>
    </row>
    <row r="8771" customFormat="false" ht="15" hidden="false" customHeight="false" outlineLevel="0" collapsed="false">
      <c r="A8771" s="5" t="s">
        <v>923</v>
      </c>
      <c r="B8771" s="0" t="s">
        <v>86</v>
      </c>
      <c r="H8771" s="38" t="n">
        <f aca="false">Sens!$H$8769*Sens!$H$8770</f>
        <v>-59.650953237011</v>
      </c>
      <c r="I8771" s="38" t="n">
        <f aca="false">Sens!$I$8769*Sens!$I$8770</f>
        <v>-14.4145964249676</v>
      </c>
      <c r="J8771" s="38" t="n">
        <f aca="false">Sens!$J$8769*Sens!$J$8770</f>
        <v>23.4390714426295</v>
      </c>
      <c r="K8771" s="38" t="n">
        <f aca="false">Sens!$K$8769*Sens!$K$8770</f>
        <v>92.4199678902645</v>
      </c>
      <c r="L8771" s="38" t="n">
        <f aca="false">Sens!$L$8769*Sens!$L$8770</f>
        <v>120.299322430962</v>
      </c>
      <c r="M8771" s="38" t="n">
        <f aca="false">Sens!$M$8769*Sens!$M$8770</f>
        <v>122.37927115275</v>
      </c>
    </row>
    <row r="8772" customFormat="false" ht="15" hidden="false" customHeight="false" outlineLevel="0" collapsed="false">
      <c r="A8772" s="5" t="s">
        <v>924</v>
      </c>
      <c r="B8772" s="0" t="s">
        <v>86</v>
      </c>
      <c r="C8772" s="38" t="n">
        <f aca="false">SUM(Sens!$H$8771:$M$8771)</f>
        <v>284.472083254628</v>
      </c>
    </row>
    <row r="8773" customFormat="false" ht="17.15" hidden="false" customHeight="false" outlineLevel="0" collapsed="false">
      <c r="A8773" s="5" t="s">
        <v>925</v>
      </c>
      <c r="B8773" s="0" t="s">
        <v>86</v>
      </c>
      <c r="C8773" s="38" t="n">
        <f aca="false">Sens!$M$8764*(1+tg)*(1-tg/ronic)/((wacc-0.01)-tg)</f>
        <v>2184.85681996336</v>
      </c>
    </row>
    <row r="8774" customFormat="false" ht="15" hidden="false" customHeight="false" outlineLevel="0" collapsed="false">
      <c r="A8774" s="5" t="s">
        <v>926</v>
      </c>
      <c r="B8774" s="0" t="s">
        <v>86</v>
      </c>
      <c r="C8774" s="38" t="n">
        <f aca="false">Sens!$C$8773/(1+(wacc-0.01))^6</f>
        <v>1211.34362876307</v>
      </c>
    </row>
    <row r="8775" customFormat="false" ht="17.15" hidden="false" customHeight="false" outlineLevel="0" collapsed="false">
      <c r="A8775" s="5" t="s">
        <v>927</v>
      </c>
      <c r="B8775" s="0" t="s">
        <v>86</v>
      </c>
      <c r="C8775" s="38" t="n">
        <f aca="false">Sens!$C$8772+Sens!$C$8774</f>
        <v>1495.8157120177</v>
      </c>
    </row>
    <row r="8776" customFormat="false" ht="17.15" hidden="false" customHeight="false" outlineLevel="0" collapsed="false">
      <c r="A8776" s="5" t="s">
        <v>928</v>
      </c>
      <c r="B8776" s="0" t="s">
        <v>52</v>
      </c>
      <c r="C8776" s="13" t="n">
        <f aca="false">Sens!$C$8774/Sens!$C$8775</f>
        <v>0.809821436578638</v>
      </c>
    </row>
    <row r="8777" customFormat="false" ht="17.15" hidden="false" customHeight="false" outlineLevel="0" collapsed="false">
      <c r="A8777" s="5" t="s">
        <v>929</v>
      </c>
      <c r="B8777" s="0" t="s">
        <v>86</v>
      </c>
      <c r="C8777" s="38" t="n">
        <f aca="false">Sens!$G$8753+fin_debt</f>
        <v>97.2636983848813</v>
      </c>
    </row>
    <row r="8778" customFormat="false" ht="17.15" hidden="false" customHeight="false" outlineLevel="0" collapsed="false">
      <c r="A8778" s="5" t="s">
        <v>930</v>
      </c>
      <c r="B8778" s="0" t="s">
        <v>86</v>
      </c>
      <c r="C8778" s="38" t="n">
        <f aca="false">(ant_val*ant_sh+oai_val*oai_sh)*(1-liq_disc)</f>
        <v>178.944</v>
      </c>
    </row>
    <row r="8779" customFormat="false" ht="15" hidden="false" customHeight="false" outlineLevel="0" collapsed="false">
      <c r="A8779" s="5" t="s">
        <v>931</v>
      </c>
      <c r="B8779" s="0" t="s">
        <v>86</v>
      </c>
      <c r="C8779" s="38" t="n">
        <f aca="false">Sens!$C$8775-Sens!$C$8777+Sens!$C$8778</f>
        <v>1577.49601363282</v>
      </c>
    </row>
    <row r="8780" customFormat="false" ht="17.15" hidden="false" customHeight="false" outlineLevel="0" collapsed="false">
      <c r="A8780" s="5" t="s">
        <v>932</v>
      </c>
      <c r="B8780" s="0" t="s">
        <v>27</v>
      </c>
      <c r="C8780" s="30" t="n">
        <f aca="false">Sens!$C$8779/sh_out</f>
        <v>146.249776673738</v>
      </c>
    </row>
    <row r="8781" customFormat="false" ht="17.15" hidden="false" customHeight="false" outlineLevel="0" collapsed="false">
      <c r="A8781" s="1" t="s">
        <v>933</v>
      </c>
      <c r="B8781" s="8" t="s">
        <v>27</v>
      </c>
      <c r="C8781" s="30" t="n">
        <f aca="false">Sens!$C$8780*(1+ke)^tp_yf-dps*tp_yf</f>
        <v>160.197449172286</v>
      </c>
    </row>
    <row r="8782" customFormat="false" ht="17.15" hidden="false" customHeight="false" outlineLevel="0" collapsed="false">
      <c r="A8782" s="3" t="s">
        <v>934</v>
      </c>
    </row>
    <row r="8783" customFormat="false" ht="17.15" hidden="false" customHeight="false" outlineLevel="0" collapsed="false">
      <c r="A8783" s="5" t="s">
        <v>935</v>
      </c>
      <c r="B8783" s="0" t="s">
        <v>86</v>
      </c>
      <c r="C8783" s="38" t="n">
        <f aca="false">(1-tp_yf)*(Sens!$H$8710+sbc_ab*Sens!$H$8734*Sens!$H$8574/Sens!$H$8651)+tp_yf*(Sens!$I$8710+sbc_ab*Sens!$I$8734*Sens!$I$8574/Sens!$I$8651)</f>
        <v>59.634664536349</v>
      </c>
    </row>
    <row r="8784" customFormat="false" ht="15" hidden="false" customHeight="false" outlineLevel="0" collapsed="false">
      <c r="A8784" s="5" t="s">
        <v>936</v>
      </c>
      <c r="B8784" s="0" t="s">
        <v>57</v>
      </c>
      <c r="C8784" s="30" t="n">
        <f aca="false">m_ads*m_x</f>
        <v>9.11</v>
      </c>
    </row>
    <row r="8785" customFormat="false" ht="17.15" hidden="false" customHeight="false" outlineLevel="0" collapsed="false">
      <c r="A8785" s="5" t="s">
        <v>937</v>
      </c>
      <c r="B8785" s="0" t="s">
        <v>86</v>
      </c>
      <c r="C8785" s="38" t="n">
        <f aca="false">Sens!$C$8783*Sens!$C$8784</f>
        <v>543.271793926139</v>
      </c>
    </row>
    <row r="8786" customFormat="false" ht="17.15" hidden="false" customHeight="false" outlineLevel="0" collapsed="false">
      <c r="A8786" s="5" t="s">
        <v>938</v>
      </c>
      <c r="B8786" s="0" t="s">
        <v>86</v>
      </c>
      <c r="C8786" s="38" t="n">
        <f aca="false">(1-tp_yf)*(Sens!$H$8711+sbc_ab*Sens!$H$8734*(Sens!$H$8581-Sens!$H$8574)/Sens!$H$8651+IF(internal_ai_reading=2,1,0)*(1-ext_sh)*Sens!$H$8611)+tp_yf*(Sens!$I$8711+sbc_ab*Sens!$I$8734*(Sens!$I$8581-Sens!$I$8574)/Sens!$I$8651+IF(internal_ai_reading=2,1,0)*(1-ext_sh)*Sens!$I$8611)</f>
        <v>51.2224827206816</v>
      </c>
    </row>
    <row r="8787" customFormat="false" ht="17.15" hidden="false" customHeight="false" outlineLevel="0" collapsed="false">
      <c r="A8787" s="5" t="s">
        <v>939</v>
      </c>
      <c r="B8787" s="0" t="s">
        <v>57</v>
      </c>
      <c r="C8787" s="30" t="n">
        <f aca="false">m_retail*m_x</f>
        <v>17.72</v>
      </c>
    </row>
    <row r="8788" customFormat="false" ht="17.15" hidden="false" customHeight="false" outlineLevel="0" collapsed="false">
      <c r="A8788" s="5" t="s">
        <v>940</v>
      </c>
      <c r="B8788" s="0" t="s">
        <v>86</v>
      </c>
      <c r="C8788" s="38" t="n">
        <f aca="false">Sens!$C$8786*Sens!$C$8787</f>
        <v>907.662393810478</v>
      </c>
    </row>
    <row r="8789" customFormat="false" ht="17.15" hidden="false" customHeight="false" outlineLevel="0" collapsed="false">
      <c r="A8789" s="0" t="s">
        <v>941</v>
      </c>
      <c r="B8789" s="0" t="s">
        <v>86</v>
      </c>
      <c r="C8789" s="38" t="n">
        <f aca="false">(1-tp_yf)*(Sens!$H$8712+sbc_ab*Sens!$H$8734*Sens!$H$8649/Sens!$H$8651)+tp_yf*(Sens!$I$8712+sbc_ab*Sens!$I$8734*Sens!$I$8649/Sens!$I$8651)</f>
        <v>96.2439586897193</v>
      </c>
    </row>
    <row r="8790" customFormat="false" ht="17.15" hidden="false" customHeight="false" outlineLevel="0" collapsed="false">
      <c r="A8790" s="0" t="s">
        <v>942</v>
      </c>
      <c r="B8790" s="0" t="s">
        <v>57</v>
      </c>
      <c r="C8790" s="30" t="n">
        <f aca="false">m_cloud*m_x</f>
        <v>13.82</v>
      </c>
    </row>
    <row r="8791" customFormat="false" ht="17.15" hidden="false" customHeight="false" outlineLevel="0" collapsed="false">
      <c r="A8791" s="0" t="s">
        <v>943</v>
      </c>
      <c r="B8791" s="0" t="s">
        <v>86</v>
      </c>
      <c r="C8791" s="38" t="n">
        <f aca="false">Sens!$C$8789*Sens!$C$8790</f>
        <v>1330.09150909192</v>
      </c>
    </row>
    <row r="8792" customFormat="false" ht="17.15" hidden="false" customHeight="false" outlineLevel="0" collapsed="false">
      <c r="A8792" s="0" t="s">
        <v>944</v>
      </c>
      <c r="B8792" s="0" t="s">
        <v>86</v>
      </c>
      <c r="H8792" s="38" t="n">
        <f aca="false">Sens!$H$8630-tax*Sens!$H$8631-ext_sh*Sens!$H$8618</f>
        <v>-115.885394236225</v>
      </c>
      <c r="I8792" s="38" t="n">
        <f aca="false">Sens!$I$8630-tax*Sens!$I$8631-ext_sh*Sens!$I$8618</f>
        <v>-89.5935137276694</v>
      </c>
      <c r="J8792" s="38" t="n">
        <f aca="false">Sens!$J$8630-tax*Sens!$J$8631-ext_sh*Sens!$J$8618</f>
        <v>-62.3510647460279</v>
      </c>
      <c r="K8792" s="38" t="n">
        <f aca="false">Sens!$K$8630-tax*Sens!$K$8631-ext_sh*Sens!$K$8618</f>
        <v>8.85932514072565</v>
      </c>
      <c r="L8792" s="38" t="n">
        <f aca="false">Sens!$L$8630-tax*Sens!$L$8631-ext_sh*Sens!$L$8618</f>
        <v>45.6968344120177</v>
      </c>
      <c r="M8792" s="38" t="n">
        <f aca="false">Sens!$M$8630-tax*Sens!$M$8631-ext_sh*Sens!$M$8618</f>
        <v>54.7466688757428</v>
      </c>
    </row>
    <row r="8793" customFormat="false" ht="17.15" hidden="false" customHeight="false" outlineLevel="0" collapsed="false">
      <c r="A8793" s="5" t="s">
        <v>945</v>
      </c>
      <c r="B8793" s="0" t="s">
        <v>86</v>
      </c>
      <c r="H8793" s="38" t="n">
        <f aca="false">Sens!$H$8792*Sens!$H$8770</f>
        <v>-110.327150301092</v>
      </c>
      <c r="I8793" s="38" t="n">
        <f aca="false">Sens!$I$8792*Sens!$I$8770</f>
        <v>-77.3103543343366</v>
      </c>
      <c r="J8793" s="38" t="n">
        <f aca="false">Sens!$J$8792*Sens!$J$8770</f>
        <v>-48.7654644540874</v>
      </c>
      <c r="K8793" s="38" t="n">
        <f aca="false">Sens!$K$8792*Sens!$K$8770</f>
        <v>6.2802441520024</v>
      </c>
      <c r="L8793" s="38" t="n">
        <f aca="false">Sens!$L$8792*Sens!$L$8770</f>
        <v>29.3609023913881</v>
      </c>
      <c r="M8793" s="38" t="n">
        <f aca="false">Sens!$M$8792*Sens!$M$8770</f>
        <v>31.8822071177563</v>
      </c>
    </row>
    <row r="8794" customFormat="false" ht="17.15" hidden="false" customHeight="false" outlineLevel="0" collapsed="false">
      <c r="A8794" s="5" t="s">
        <v>946</v>
      </c>
      <c r="B8794" s="0" t="s">
        <v>86</v>
      </c>
      <c r="C8794" s="38" t="n">
        <f aca="false">Sens!$M$8631*(1-tax)*(1+tg)*(1-tg/ronic)/((wacc-0.01)-tg)</f>
        <v>444.950203945553</v>
      </c>
    </row>
    <row r="8795" customFormat="false" ht="17.15" hidden="false" customHeight="false" outlineLevel="0" collapsed="false">
      <c r="A8795" s="0" t="s">
        <v>947</v>
      </c>
      <c r="B8795" s="0" t="s">
        <v>86</v>
      </c>
      <c r="C8795" s="38" t="n">
        <f aca="false">(SUM(Sens!$I$8793:$M$8793)+Sens!$C$8794/(1+(wacc-0.01))^6)*(1+(wacc-0.01))^tp_yf</f>
        <v>203.972126654663</v>
      </c>
    </row>
    <row r="8796" customFormat="false" ht="17.15" hidden="false" customHeight="false" outlineLevel="0" collapsed="false">
      <c r="A8796" s="5" t="s">
        <v>948</v>
      </c>
      <c r="B8796" s="0" t="s">
        <v>86</v>
      </c>
      <c r="C8796" s="38" t="n">
        <f aca="false">(1-tp_yf)*(Sens!$H$8713)+tp_yf*(Sens!$I$8713)</f>
        <v>74.6707041238437</v>
      </c>
    </row>
    <row r="8797" customFormat="false" ht="17.15" hidden="false" customHeight="false" outlineLevel="0" collapsed="false">
      <c r="A8797" s="5" t="s">
        <v>949</v>
      </c>
      <c r="B8797" s="0" t="s">
        <v>86</v>
      </c>
      <c r="C8797" s="38" t="n">
        <f aca="false">Sens!$C$8796*m_ai</f>
        <v>448.024224743062</v>
      </c>
    </row>
    <row r="8798" customFormat="false" ht="17.15" hidden="false" customHeight="false" outlineLevel="0" collapsed="false">
      <c r="A8798" s="0" t="s">
        <v>950</v>
      </c>
      <c r="B8798" s="0" t="s">
        <v>86</v>
      </c>
      <c r="C8798" s="38" t="n">
        <f aca="false">IF(ai_leg=1,Sens!$C$8795,Sens!$C$8797)</f>
        <v>203.972126654663</v>
      </c>
    </row>
    <row r="8799" customFormat="false" ht="17.15" hidden="false" customHeight="false" outlineLevel="0" collapsed="false">
      <c r="A8799" s="5" t="s">
        <v>951</v>
      </c>
      <c r="B8799" s="0" t="s">
        <v>86</v>
      </c>
      <c r="C8799" s="38" t="n">
        <f aca="false">Sens!$C$8785+Sens!$C$8788+Sens!$C$8791+Sens!$C$8798</f>
        <v>2984.9978234832</v>
      </c>
    </row>
    <row r="8800" customFormat="false" ht="17.15" hidden="false" customHeight="false" outlineLevel="0" collapsed="false">
      <c r="A8800" s="5" t="s">
        <v>952</v>
      </c>
      <c r="B8800" s="0" t="s">
        <v>86</v>
      </c>
      <c r="C8800" s="38" t="n">
        <f aca="false">Sens!$H$8753+fin_debt</f>
        <v>153.608629741943</v>
      </c>
    </row>
    <row r="8801" customFormat="false" ht="15" hidden="false" customHeight="false" outlineLevel="0" collapsed="false">
      <c r="A8801" s="5" t="s">
        <v>953</v>
      </c>
      <c r="B8801" s="0" t="s">
        <v>86</v>
      </c>
      <c r="C8801" s="38" t="n">
        <f aca="false">Sens!$C$8799-Sens!$C$8800+Sens!$C$8778</f>
        <v>3010.33319374126</v>
      </c>
    </row>
    <row r="8802" customFormat="false" ht="15" hidden="false" customHeight="false" outlineLevel="0" collapsed="false">
      <c r="A8802" s="3" t="s">
        <v>954</v>
      </c>
      <c r="B8802" s="8" t="s">
        <v>27</v>
      </c>
      <c r="C8802" s="30" t="n">
        <f aca="false">Sens!$C$8801/sh_val</f>
        <v>272.914551094489</v>
      </c>
    </row>
    <row r="8803" customFormat="false" ht="17.15" hidden="false" customHeight="false" outlineLevel="0" collapsed="false">
      <c r="A8803" s="47" t="s">
        <v>955</v>
      </c>
      <c r="B8803" s="14" t="s">
        <v>27</v>
      </c>
      <c r="C8803" s="44" t="n">
        <f aca="false">w_dcf*Sens!$C$8781+(1-w_dcf)*Sens!$C$8802</f>
        <v>216.556000133387</v>
      </c>
      <c r="D8803" s="14"/>
      <c r="E8803" s="14"/>
      <c r="F8803" s="14"/>
      <c r="G8803" s="14"/>
      <c r="H8803" s="14"/>
      <c r="I8803" s="14"/>
      <c r="J8803" s="14"/>
      <c r="K8803" s="14"/>
      <c r="L8803" s="14"/>
      <c r="M8803" s="14"/>
      <c r="N8803" s="14"/>
      <c r="O8803" s="14"/>
    </row>
    <row r="8804" customFormat="false" ht="17.15" hidden="false" customHeight="false" outlineLevel="0" collapsed="false">
      <c r="A8804" s="5" t="s">
        <v>956</v>
      </c>
      <c r="B8804" s="0" t="s">
        <v>27</v>
      </c>
      <c r="C8804" s="30" t="n">
        <f aca="false">v022_wdcf*Sens!$C$8781+(1-v022_wdcf)*Sens!$C$8802</f>
        <v>222.191855229498</v>
      </c>
    </row>
    <row r="8805" customFormat="false" ht="17.15" hidden="false" customHeight="false" outlineLevel="0" collapsed="false">
      <c r="A8805" s="5" t="s">
        <v>957</v>
      </c>
      <c r="B8805" s="0" t="s">
        <v>27</v>
      </c>
      <c r="C8805" s="30" t="n">
        <f aca="false">(Sens!$C$8801-Sens!$C$8798+Sens!$C$8797)/sh_val</f>
        <v>295.040131389701</v>
      </c>
    </row>
    <row r="8808" customFormat="false" ht="19.4" hidden="false" customHeight="false" outlineLevel="0" collapsed="false">
      <c r="A8808" s="31" t="s">
        <v>1315</v>
      </c>
    </row>
    <row r="8809" customFormat="false" ht="17.15" hidden="false" customHeight="false" outlineLevel="0" collapsed="false">
      <c r="A8809" s="6" t="s">
        <v>16</v>
      </c>
      <c r="B8809" s="6" t="s">
        <v>17</v>
      </c>
      <c r="C8809" s="20" t="s">
        <v>497</v>
      </c>
      <c r="D8809" s="20" t="s">
        <v>498</v>
      </c>
      <c r="E8809" s="20" t="s">
        <v>580</v>
      </c>
      <c r="F8809" s="20" t="s">
        <v>581</v>
      </c>
      <c r="G8809" s="20" t="s">
        <v>582</v>
      </c>
      <c r="H8809" s="20" t="s">
        <v>583</v>
      </c>
      <c r="I8809" s="20" t="s">
        <v>584</v>
      </c>
      <c r="J8809" s="20" t="s">
        <v>585</v>
      </c>
      <c r="K8809" s="20" t="s">
        <v>586</v>
      </c>
      <c r="L8809" s="20" t="s">
        <v>587</v>
      </c>
      <c r="M8809" s="20" t="s">
        <v>588</v>
      </c>
      <c r="N8809" s="20" t="s">
        <v>589</v>
      </c>
      <c r="O8809" s="20" t="s">
        <v>590</v>
      </c>
      <c r="P8809" s="6" t="s">
        <v>23</v>
      </c>
      <c r="R8809" s="20" t="n">
        <v>2023</v>
      </c>
      <c r="S8809" s="20" t="n">
        <v>2024</v>
      </c>
      <c r="T8809" s="20" t="n">
        <v>2025</v>
      </c>
      <c r="U8809" s="20" t="n">
        <v>2026</v>
      </c>
      <c r="V8809" s="20" t="n">
        <v>2027</v>
      </c>
      <c r="W8809" s="20" t="n">
        <v>2028</v>
      </c>
      <c r="X8809" s="20" t="n">
        <v>2029</v>
      </c>
      <c r="Y8809" s="20" t="n">
        <v>2030</v>
      </c>
      <c r="Z8809" s="20" t="n">
        <v>2031</v>
      </c>
      <c r="AA8809" s="20" t="n">
        <v>2032</v>
      </c>
    </row>
    <row r="8810" customFormat="false" ht="17.15" hidden="false" customHeight="false" outlineLevel="0" collapsed="false">
      <c r="A8810" s="1" t="s">
        <v>666</v>
      </c>
    </row>
    <row r="8811" customFormat="false" ht="17.15" hidden="false" customHeight="false" outlineLevel="0" collapsed="false">
      <c r="A8811" s="0" t="s">
        <v>519</v>
      </c>
      <c r="B8811" s="0" t="s">
        <v>86</v>
      </c>
      <c r="C8811" s="38" t="n">
        <f aca="false">Q!$D$10</f>
        <v>247.029</v>
      </c>
      <c r="D8811" s="38" t="n">
        <f aca="false">Q!$E$10</f>
        <v>269.287</v>
      </c>
      <c r="E8811" s="38" t="n">
        <f aca="false">Q!$P$10</f>
        <v>134.686</v>
      </c>
      <c r="F8811" s="38" t="n">
        <f aca="false">Sens!$O$8811*(1+Sens!$F$8812)*Sens!$F$8823</f>
        <v>158.293876822267</v>
      </c>
      <c r="G8811" s="38" t="n">
        <f aca="false">Sens!$E$8811+Sens!$F$8811</f>
        <v>292.979876822267</v>
      </c>
      <c r="H8811" s="38" t="n">
        <f aca="false">Sens!$G$8811*(1+Sens!$H$8812)</f>
        <v>318.184543087396</v>
      </c>
      <c r="I8811" s="38" t="n">
        <f aca="false">Sens!$H$8811*(1+Sens!$I$8812)</f>
        <v>341.736278761793</v>
      </c>
      <c r="J8811" s="38" t="n">
        <f aca="false">Sens!$I$8811*(1+Sens!$J$8812)</f>
        <v>362.927192787048</v>
      </c>
      <c r="K8811" s="38" t="n">
        <f aca="false">Sens!$J$8811*(1+Sens!$K$8812)</f>
        <v>381.0735524264</v>
      </c>
      <c r="L8811" s="38" t="n">
        <f aca="false">Sens!$K$8811*(1+Sens!$L$8812)</f>
        <v>400.12723004772</v>
      </c>
      <c r="M8811" s="38" t="n">
        <f aca="false">Sens!$L$8811*(1+Sens!$M$8812)</f>
        <v>420.133591550106</v>
      </c>
      <c r="N8811" s="38" t="n">
        <f aca="false">Q!$N$10</f>
        <v>118.892</v>
      </c>
      <c r="O8811" s="38" t="n">
        <f aca="false">Q!$O$10</f>
        <v>150.395</v>
      </c>
      <c r="P8811" s="8" t="s">
        <v>667</v>
      </c>
    </row>
    <row r="8812" customFormat="false" ht="17.15" hidden="false" customHeight="false" outlineLevel="0" collapsed="false">
      <c r="A8812" s="0" t="s">
        <v>668</v>
      </c>
      <c r="B8812" s="0" t="s">
        <v>52</v>
      </c>
      <c r="E8812" s="13" t="n">
        <f aca="false">Sens!$E$8811/Sens!$N$8811-1</f>
        <v>0.132843252699929</v>
      </c>
      <c r="F8812" s="13" t="n">
        <f aca="false">Sens!$O$8811/(Q!$F$10+Q!$G$10)-1</f>
        <v>0.0980382135842941</v>
      </c>
      <c r="G8812" s="13" t="n">
        <f aca="false">Sens!$G$8811/Sens!$D$8811-1</f>
        <v>0.0879837378791657</v>
      </c>
      <c r="H8812" s="13" t="n">
        <f aca="false">Sens!$F$8812+(g_os-Sens!$F$8812)*1/4</f>
        <v>0.0860286601882206</v>
      </c>
      <c r="I8812" s="13" t="n">
        <f aca="false">Sens!$F$8812+(g_os-Sens!$F$8812)*2/4</f>
        <v>0.074019106792147</v>
      </c>
      <c r="J8812" s="13" t="n">
        <f aca="false">Sens!$F$8812+(g_os-Sens!$F$8812)*3/4</f>
        <v>0.0620095533960735</v>
      </c>
      <c r="K8812" s="13" t="n">
        <f aca="false">Sens!$F$8812+(g_os-Sens!$F$8812)*4/4</f>
        <v>0.05</v>
      </c>
      <c r="L8812" s="13" t="n">
        <f aca="false">g_os</f>
        <v>0.05</v>
      </c>
      <c r="M8812" s="13" t="n">
        <f aca="false">g_os</f>
        <v>0.05</v>
      </c>
      <c r="P8812" s="8" t="s">
        <v>669</v>
      </c>
    </row>
    <row r="8813" customFormat="false" ht="17.15" hidden="false" customHeight="false" outlineLevel="0" collapsed="false">
      <c r="A8813" s="0" t="s">
        <v>520</v>
      </c>
      <c r="B8813" s="0" t="s">
        <v>86</v>
      </c>
      <c r="C8813" s="38" t="n">
        <f aca="false">Q!$D$11</f>
        <v>21.215</v>
      </c>
      <c r="D8813" s="38" t="n">
        <f aca="false">Q!$E$11</f>
        <v>22.561</v>
      </c>
      <c r="E8813" s="38" t="n">
        <f aca="false">Q!$P$11</f>
        <v>11.579</v>
      </c>
      <c r="F8813" s="38" t="n">
        <f aca="false">Sens!$O$8813*(1+Sens!$F$8814)*Sens!$F$8823</f>
        <v>11.5938724610325</v>
      </c>
      <c r="G8813" s="38" t="n">
        <f aca="false">Sens!$E$8813+Sens!$F$8813</f>
        <v>23.1728724610325</v>
      </c>
      <c r="H8813" s="38" t="n">
        <f aca="false">Sens!$G$8813*(1+Sens!$H$8814)</f>
        <v>24.353392759506</v>
      </c>
      <c r="I8813" s="38" t="n">
        <f aca="false">Sens!$H$8813*(1+Sens!$I$8814)</f>
        <v>25.4240338872015</v>
      </c>
      <c r="J8813" s="38" t="n">
        <f aca="false">Sens!$I$8813*(1+Sens!$J$8814)</f>
        <v>26.3642491017174</v>
      </c>
      <c r="K8813" s="38" t="n">
        <f aca="false">Sens!$J$8813*(1+Sens!$K$8814)</f>
        <v>27.155176574769</v>
      </c>
      <c r="L8813" s="38" t="n">
        <f aca="false">Sens!$K$8813*(1+Sens!$L$8814)</f>
        <v>27.969831872012</v>
      </c>
      <c r="M8813" s="38" t="n">
        <f aca="false">Sens!$L$8813*(1+Sens!$M$8814)</f>
        <v>28.8089268281724</v>
      </c>
      <c r="N8813" s="38" t="n">
        <f aca="false">Q!$N$11</f>
        <v>11.128</v>
      </c>
      <c r="O8813" s="38" t="n">
        <f aca="false">Q!$O$11</f>
        <v>11.433</v>
      </c>
      <c r="P8813" s="8" t="s">
        <v>667</v>
      </c>
    </row>
    <row r="8814" customFormat="false" ht="17.15" hidden="false" customHeight="false" outlineLevel="0" collapsed="false">
      <c r="A8814" s="0" t="s">
        <v>670</v>
      </c>
      <c r="B8814" s="0" t="s">
        <v>52</v>
      </c>
      <c r="E8814" s="13" t="n">
        <f aca="false">Sens!$E$8813/Sens!$N$8813-1</f>
        <v>0.0405283968368082</v>
      </c>
      <c r="F8814" s="13" t="n">
        <f aca="false">Sens!$O$8813/(Q!$F$11+Q!$G$11)-1</f>
        <v>0.0579254187100955</v>
      </c>
      <c r="G8814" s="13" t="n">
        <f aca="false">Sens!$G$8813/Sens!$D$8813-1</f>
        <v>0.0271208040881397</v>
      </c>
      <c r="H8814" s="13" t="n">
        <f aca="false">Sens!$F$8814+(g_ps-Sens!$F$8814)*1/4</f>
        <v>0.0509440640325716</v>
      </c>
      <c r="I8814" s="13" t="n">
        <f aca="false">Sens!$F$8814+(g_ps-Sens!$F$8814)*2/4</f>
        <v>0.0439627093550477</v>
      </c>
      <c r="J8814" s="13" t="n">
        <f aca="false">Sens!$F$8814+(g_ps-Sens!$F$8814)*3/4</f>
        <v>0.0369813546775239</v>
      </c>
      <c r="K8814" s="13" t="n">
        <f aca="false">Sens!$F$8814+(g_ps-Sens!$F$8814)*4/4</f>
        <v>0.03</v>
      </c>
      <c r="L8814" s="13" t="n">
        <f aca="false">g_ps</f>
        <v>0.03</v>
      </c>
      <c r="M8814" s="13" t="n">
        <f aca="false">g_ps</f>
        <v>0.03</v>
      </c>
      <c r="P8814" s="8" t="s">
        <v>671</v>
      </c>
    </row>
    <row r="8815" customFormat="false" ht="17.15" hidden="false" customHeight="false" outlineLevel="0" collapsed="false">
      <c r="A8815" s="0" t="s">
        <v>521</v>
      </c>
      <c r="B8815" s="0" t="s">
        <v>86</v>
      </c>
      <c r="C8815" s="38" t="n">
        <f aca="false">Q!$D$12</f>
        <v>156.146</v>
      </c>
      <c r="D8815" s="38" t="n">
        <f aca="false">Q!$E$12</f>
        <v>172.162</v>
      </c>
      <c r="E8815" s="38" t="n">
        <f aca="false">Q!$P$12</f>
        <v>88.358</v>
      </c>
      <c r="F8815" s="38" t="n">
        <f aca="false">Sens!$O$8815*(1+Sens!$F$8816)*Sens!$F$8823</f>
        <v>102.004388260171</v>
      </c>
      <c r="G8815" s="38" t="n">
        <f aca="false">Sens!$E$8815+Sens!$F$8815</f>
        <v>190.362388260171</v>
      </c>
      <c r="H8815" s="38" t="n">
        <f aca="false">Sens!$G$8815*(1+Sens!$H$8816)</f>
        <v>210.343106588311</v>
      </c>
      <c r="I8815" s="38" t="n">
        <f aca="false">Sens!$H$8815*(1+Sens!$I$8816)</f>
        <v>229.969728494648</v>
      </c>
      <c r="J8815" s="38" t="n">
        <f aca="false">Sens!$I$8815*(1+Sens!$J$8816)</f>
        <v>248.747636972598</v>
      </c>
      <c r="K8815" s="38" t="n">
        <f aca="false">Sens!$J$8815*(1+Sens!$K$8816)</f>
        <v>266.15997156068</v>
      </c>
      <c r="L8815" s="38" t="n">
        <f aca="false">Sens!$K$8815*(1+Sens!$L$8816)</f>
        <v>284.791169569927</v>
      </c>
      <c r="M8815" s="38" t="n">
        <f aca="false">Sens!$L$8815*(1+Sens!$M$8816)</f>
        <v>304.726551439822</v>
      </c>
      <c r="N8815" s="38" t="n">
        <f aca="false">Q!$N$12</f>
        <v>76.86</v>
      </c>
      <c r="O8815" s="38" t="n">
        <f aca="false">Q!$O$12</f>
        <v>95.302</v>
      </c>
      <c r="P8815" s="8" t="s">
        <v>667</v>
      </c>
    </row>
    <row r="8816" customFormat="false" ht="17.15" hidden="false" customHeight="false" outlineLevel="0" collapsed="false">
      <c r="A8816" s="0" t="s">
        <v>672</v>
      </c>
      <c r="B8816" s="0" t="s">
        <v>52</v>
      </c>
      <c r="E8816" s="13" t="n">
        <f aca="false">Sens!$E$8815/Sens!$N$8815-1</f>
        <v>0.1495966692688</v>
      </c>
      <c r="F8816" s="13" t="n">
        <f aca="false">Sens!$O$8815/(Q!$F$12+Q!$G$12)-1</f>
        <v>0.11661530890813</v>
      </c>
      <c r="G8816" s="13" t="n">
        <f aca="false">Sens!$G$8815/Sens!$D$8815-1</f>
        <v>0.105716640490767</v>
      </c>
      <c r="H8816" s="13" t="n">
        <f aca="false">Sens!$F$8816+(g_sp-Sens!$F$8816)*1/4</f>
        <v>0.104961481681098</v>
      </c>
      <c r="I8816" s="13" t="n">
        <f aca="false">Sens!$F$8816+(g_sp-Sens!$F$8816)*2/4</f>
        <v>0.0933076544540651</v>
      </c>
      <c r="J8816" s="13" t="n">
        <f aca="false">Sens!$F$8816+(g_sp-Sens!$F$8816)*3/4</f>
        <v>0.0816538272270325</v>
      </c>
      <c r="K8816" s="13" t="n">
        <f aca="false">Sens!$F$8816+(g_sp-Sens!$F$8816)*4/4</f>
        <v>0.07</v>
      </c>
      <c r="L8816" s="13" t="n">
        <f aca="false">g_sp</f>
        <v>0.07</v>
      </c>
      <c r="M8816" s="13" t="n">
        <f aca="false">g_sp</f>
        <v>0.07</v>
      </c>
      <c r="P8816" s="8" t="s">
        <v>673</v>
      </c>
    </row>
    <row r="8817" customFormat="false" ht="17.15" hidden="false" customHeight="false" outlineLevel="0" collapsed="false">
      <c r="A8817" s="0" t="s">
        <v>522</v>
      </c>
      <c r="B8817" s="0" t="s">
        <v>86</v>
      </c>
      <c r="C8817" s="38" t="n">
        <f aca="false">Q!$D$13</f>
        <v>56.214</v>
      </c>
      <c r="D8817" s="38" t="n">
        <f aca="false">Q!$E$13</f>
        <v>68.635</v>
      </c>
      <c r="E8817" s="38" t="n">
        <f aca="false">Q!$P$13</f>
        <v>37.052</v>
      </c>
      <c r="F8817" s="38" t="n">
        <f aca="false">Sens!$O$8817*(1+Sens!$F$8818)*Sens!$F$8823</f>
        <v>46.1572219944148</v>
      </c>
      <c r="G8817" s="38" t="n">
        <f aca="false">Sens!$E$8817+Sens!$F$8817</f>
        <v>83.2092219944148</v>
      </c>
      <c r="H8817" s="38" t="n">
        <f aca="false">Sens!$G$8817*(1+Sens!$H$8818)</f>
        <v>99.8969223878976</v>
      </c>
      <c r="I8817" s="38" t="n">
        <f aca="false">Sens!$H$8817*(1+Sens!$I$8818)</f>
        <v>116.583111095496</v>
      </c>
      <c r="J8817" s="38" t="n">
        <f aca="false">Sens!$I$8817*(1+Sens!$J$8818)</f>
        <v>132.148941941952</v>
      </c>
      <c r="K8817" s="38" t="n">
        <f aca="false">Sens!$J$8817*(1+Sens!$K$8818)</f>
        <v>145.363836136147</v>
      </c>
      <c r="L8817" s="38" t="n">
        <f aca="false">Sens!$K$8817*(1+Sens!$L$8818)</f>
        <v>159.900219749762</v>
      </c>
      <c r="M8817" s="38" t="n">
        <f aca="false">Sens!$L$8817*(1+Sens!$M$8818)</f>
        <v>175.890241724738</v>
      </c>
      <c r="N8817" s="38" t="n">
        <f aca="false">Q!$N$13</f>
        <v>29.615</v>
      </c>
      <c r="O8817" s="38" t="n">
        <f aca="false">Q!$O$13</f>
        <v>39.02</v>
      </c>
      <c r="P8817" s="8" t="s">
        <v>667</v>
      </c>
    </row>
    <row r="8818" customFormat="false" ht="17.15" hidden="false" customHeight="false" outlineLevel="0" collapsed="false">
      <c r="A8818" s="0" t="s">
        <v>674</v>
      </c>
      <c r="B8818" s="0" t="s">
        <v>52</v>
      </c>
      <c r="E8818" s="13" t="n">
        <f aca="false">Sens!$E$8817/Sens!$N$8817-1</f>
        <v>0.25112274185379</v>
      </c>
      <c r="F8818" s="13" t="n">
        <f aca="false">Sens!$O$8817/(Q!$F$13+Q!$G$13)-1</f>
        <v>0.234068123596572</v>
      </c>
      <c r="G8818" s="13" t="n">
        <f aca="false">Sens!$G$8817/Sens!$D$8817-1</f>
        <v>0.212343876949294</v>
      </c>
      <c r="H8818" s="13" t="n">
        <f aca="false">Sens!$F$8818+(g_ad-Sens!$F$8818)*1/4</f>
        <v>0.200551092697429</v>
      </c>
      <c r="I8818" s="13" t="n">
        <f aca="false">Sens!$F$8818+(g_ad-Sens!$F$8818)*2/4</f>
        <v>0.167034061798286</v>
      </c>
      <c r="J8818" s="13" t="n">
        <f aca="false">Sens!$F$8818+(g_ad-Sens!$F$8818)*3/4</f>
        <v>0.133517030899143</v>
      </c>
      <c r="K8818" s="13" t="n">
        <f aca="false">Sens!$F$8818+(g_ad-Sens!$F$8818)*4/4</f>
        <v>0.1</v>
      </c>
      <c r="L8818" s="13" t="n">
        <f aca="false">g_ad</f>
        <v>0.1</v>
      </c>
      <c r="M8818" s="13" t="n">
        <f aca="false">g_ad</f>
        <v>0.1</v>
      </c>
      <c r="P8818" s="8" t="s">
        <v>675</v>
      </c>
    </row>
    <row r="8819" customFormat="false" ht="17.15" hidden="false" customHeight="false" outlineLevel="0" collapsed="false">
      <c r="A8819" s="0" t="s">
        <v>523</v>
      </c>
      <c r="B8819" s="0" t="s">
        <v>86</v>
      </c>
      <c r="C8819" s="38" t="n">
        <f aca="false">Q!$D$14</f>
        <v>44.374</v>
      </c>
      <c r="D8819" s="38" t="n">
        <f aca="false">Q!$E$14</f>
        <v>49.619</v>
      </c>
      <c r="E8819" s="38" t="n">
        <f aca="false">Q!$P$14</f>
        <v>27.157</v>
      </c>
      <c r="F8819" s="38" t="n">
        <f aca="false">Sens!$O$8819*(1+Sens!$F$8820)*Sens!$F$8823</f>
        <v>27.7764165988154</v>
      </c>
      <c r="G8819" s="38" t="n">
        <f aca="false">Sens!$E$8819+Sens!$F$8819</f>
        <v>54.9334165988154</v>
      </c>
      <c r="H8819" s="38" t="n">
        <f aca="false">Sens!$G$8819*(1+Sens!$H$8820)</f>
        <v>61.1564112561829</v>
      </c>
      <c r="I8819" s="38" t="n">
        <f aca="false">Sens!$H$8819*(1+Sens!$I$8820)</f>
        <v>67.2020282103945</v>
      </c>
      <c r="J8819" s="38" t="n">
        <f aca="false">Sens!$I$8819*(1+Sens!$J$8820)</f>
        <v>72.8757274028885</v>
      </c>
      <c r="K8819" s="38" t="n">
        <f aca="false">Sens!$J$8819*(1+Sens!$K$8820)</f>
        <v>77.9770283210907</v>
      </c>
      <c r="L8819" s="38" t="n">
        <f aca="false">Sens!$K$8819*(1+Sens!$L$8820)</f>
        <v>83.4354203035671</v>
      </c>
      <c r="M8819" s="38" t="n">
        <f aca="false">Sens!$L$8819*(1+Sens!$M$8820)</f>
        <v>89.2758997248168</v>
      </c>
      <c r="N8819" s="38" t="n">
        <f aca="false">Q!$N$14</f>
        <v>23.923</v>
      </c>
      <c r="O8819" s="38" t="n">
        <f aca="false">Q!$O$14</f>
        <v>25.696</v>
      </c>
      <c r="P8819" s="8" t="s">
        <v>667</v>
      </c>
    </row>
    <row r="8820" customFormat="false" ht="17.15" hidden="false" customHeight="false" outlineLevel="0" collapsed="false">
      <c r="A8820" s="0" t="s">
        <v>676</v>
      </c>
      <c r="B8820" s="0" t="s">
        <v>52</v>
      </c>
      <c r="E8820" s="13" t="n">
        <f aca="false">Sens!$E$8819/Sens!$N$8819-1</f>
        <v>0.135183714417088</v>
      </c>
      <c r="F8820" s="13" t="n">
        <f aca="false">Sens!$O$8819/(Q!$F$14+Q!$G$14)-1</f>
        <v>0.127709997366804</v>
      </c>
      <c r="G8820" s="13" t="n">
        <f aca="false">Sens!$G$8819/Sens!$D$8819-1</f>
        <v>0.107104468022641</v>
      </c>
      <c r="H8820" s="13" t="n">
        <f aca="false">Sens!$F$8820+(g_sub-Sens!$F$8820)*1/4</f>
        <v>0.113282498025103</v>
      </c>
      <c r="I8820" s="13" t="n">
        <f aca="false">Sens!$F$8820+(g_sub-Sens!$F$8820)*2/4</f>
        <v>0.0988549986834021</v>
      </c>
      <c r="J8820" s="13" t="n">
        <f aca="false">Sens!$F$8820+(g_sub-Sens!$F$8820)*3/4</f>
        <v>0.084427499341701</v>
      </c>
      <c r="K8820" s="13" t="n">
        <f aca="false">Sens!$F$8820+(g_sub-Sens!$F$8820)*4/4</f>
        <v>0.07</v>
      </c>
      <c r="L8820" s="13" t="n">
        <f aca="false">g_sub</f>
        <v>0.07</v>
      </c>
      <c r="M8820" s="13" t="n">
        <f aca="false">g_sub</f>
        <v>0.07</v>
      </c>
      <c r="P8820" s="8" t="s">
        <v>677</v>
      </c>
    </row>
    <row r="8821" customFormat="false" ht="17.15" hidden="false" customHeight="false" outlineLevel="0" collapsed="false">
      <c r="A8821" s="0" t="s">
        <v>524</v>
      </c>
      <c r="B8821" s="0" t="s">
        <v>86</v>
      </c>
      <c r="C8821" s="38" t="n">
        <f aca="false">Q!$D$15</f>
        <v>5.425</v>
      </c>
      <c r="D8821" s="38" t="n">
        <f aca="false">Q!$E$15</f>
        <v>5.935</v>
      </c>
      <c r="E8821" s="38" t="n">
        <f aca="false">Q!$P$15</f>
        <v>3.474</v>
      </c>
      <c r="F8821" s="38" t="n">
        <f aca="false">Sens!$O$8821*(1+Sens!$F$8822)*Sens!$F$8823</f>
        <v>3.22246550883619</v>
      </c>
      <c r="G8821" s="38" t="n">
        <f aca="false">Sens!$E$8821+Sens!$F$8821</f>
        <v>6.69646550883619</v>
      </c>
      <c r="H8821" s="38" t="n">
        <f aca="false">Sens!$G$8821*(1+Sens!$H$8822)</f>
        <v>7.16251344209196</v>
      </c>
      <c r="I8821" s="38" t="n">
        <f aca="false">Sens!$H$8821*(1+Sens!$I$8822)</f>
        <v>7.61421070299826</v>
      </c>
      <c r="J8821" s="38" t="n">
        <f aca="false">Sens!$I$8821*(1+Sens!$J$8822)</f>
        <v>8.04465753523932</v>
      </c>
      <c r="K8821" s="38" t="n">
        <f aca="false">Sens!$J$8821*(1+Sens!$K$8822)</f>
        <v>8.44689041200128</v>
      </c>
      <c r="L8821" s="38" t="n">
        <f aca="false">Sens!$K$8821*(1+Sens!$L$8822)</f>
        <v>8.86923493260135</v>
      </c>
      <c r="M8821" s="38" t="n">
        <f aca="false">Sens!$L$8821*(1+Sens!$M$8822)</f>
        <v>9.31269667923142</v>
      </c>
      <c r="N8821" s="38" t="n">
        <f aca="false">Q!$N$15</f>
        <v>2.811</v>
      </c>
      <c r="O8821" s="38" t="n">
        <f aca="false">Q!$O$15</f>
        <v>3.124</v>
      </c>
      <c r="P8821" s="8" t="s">
        <v>667</v>
      </c>
    </row>
    <row r="8822" customFormat="false" ht="17.15" hidden="false" customHeight="false" outlineLevel="0" collapsed="false">
      <c r="A8822" s="0" t="s">
        <v>678</v>
      </c>
      <c r="B8822" s="0" t="s">
        <v>52</v>
      </c>
      <c r="E8822" s="13" t="n">
        <f aca="false">Sens!$E$8821/Sens!$N$8821-1</f>
        <v>0.235859124866596</v>
      </c>
      <c r="F8822" s="13" t="n">
        <f aca="false">Sens!$O$8821/(Q!$F$15+Q!$G$15)-1</f>
        <v>0.0761281433000345</v>
      </c>
      <c r="G8822" s="13" t="n">
        <f aca="false">Sens!$G$8821/Sens!$D$8821-1</f>
        <v>0.128300843948811</v>
      </c>
      <c r="H8822" s="13" t="n">
        <f aca="false">Sens!$F$8822+(g_ot-Sens!$F$8822)*1/4</f>
        <v>0.0695961074750259</v>
      </c>
      <c r="I8822" s="13" t="n">
        <f aca="false">Sens!$F$8822+(g_ot-Sens!$F$8822)*2/4</f>
        <v>0.0630640716500172</v>
      </c>
      <c r="J8822" s="13" t="n">
        <f aca="false">Sens!$F$8822+(g_ot-Sens!$F$8822)*3/4</f>
        <v>0.0565320358250086</v>
      </c>
      <c r="K8822" s="13" t="n">
        <f aca="false">Sens!$F$8822+(g_ot-Sens!$F$8822)*4/4</f>
        <v>0.05</v>
      </c>
      <c r="L8822" s="13" t="n">
        <f aca="false">g_ot</f>
        <v>0.05</v>
      </c>
      <c r="M8822" s="13" t="n">
        <f aca="false">g_ot</f>
        <v>0.05</v>
      </c>
      <c r="P8822" s="8" t="s">
        <v>679</v>
      </c>
    </row>
    <row r="8823" customFormat="false" ht="17.15" hidden="false" customHeight="false" outlineLevel="0" collapsed="false">
      <c r="A8823" s="0" t="s">
        <v>680</v>
      </c>
      <c r="B8823" s="0" t="s">
        <v>57</v>
      </c>
      <c r="F8823" s="40" t="n">
        <f aca="false">(g26q3_mid*Q!$O$8/Q!$J$8-Thesis!$F$86-Thesis!$F$90)/(Sens!$O$8811*(1+Sens!$F$8812)+Sens!$O$8813*(1+Sens!$F$8814)+Sens!$O$8815*(1+Sens!$F$8816)+Sens!$O$8817*(1+Sens!$F$8818)+Sens!$O$8819*(1+Sens!$F$8820)+Sens!$O$8821*(1+Sens!$F$8822))</f>
        <v>0.958546670622329</v>
      </c>
      <c r="P8823" s="8" t="s">
        <v>681</v>
      </c>
    </row>
    <row r="8824" customFormat="false" ht="17.15" hidden="false" customHeight="false" outlineLevel="0" collapsed="false">
      <c r="A8824" s="3" t="s">
        <v>682</v>
      </c>
      <c r="B8824" s="8" t="s">
        <v>86</v>
      </c>
      <c r="C8824" s="38" t="n">
        <f aca="false">Sens!$C$8811+Sens!$C$8813+Sens!$C$8815+Sens!$C$8817+Sens!$C$8819+Sens!$C$8821</f>
        <v>530.403</v>
      </c>
      <c r="D8824" s="38" t="n">
        <f aca="false">Sens!$D$8811+Sens!$D$8813+Sens!$D$8815+Sens!$D$8817+Sens!$D$8819+Sens!$D$8821</f>
        <v>588.199</v>
      </c>
      <c r="E8824" s="38" t="n">
        <f aca="false">Sens!$E$8811+Sens!$E$8813+Sens!$E$8815+Sens!$E$8817+Sens!$E$8819+Sens!$E$8821</f>
        <v>302.306</v>
      </c>
      <c r="F8824" s="38" t="n">
        <f aca="false">Sens!$F$8811+Sens!$F$8813+Sens!$F$8815+Sens!$F$8817+Sens!$F$8819+Sens!$F$8821</f>
        <v>349.048241645537</v>
      </c>
      <c r="G8824" s="38" t="n">
        <f aca="false">Sens!$G$8811+Sens!$G$8813+Sens!$G$8815+Sens!$G$8817+Sens!$G$8819+Sens!$G$8821</f>
        <v>651.354241645537</v>
      </c>
      <c r="H8824" s="38" t="n">
        <f aca="false">Sens!$H$8811+Sens!$H$8813+Sens!$H$8815+Sens!$H$8817+Sens!$H$8819+Sens!$H$8821</f>
        <v>721.096889521386</v>
      </c>
      <c r="I8824" s="38" t="n">
        <f aca="false">Sens!$I$8811+Sens!$I$8813+Sens!$I$8815+Sens!$I$8817+Sens!$I$8819+Sens!$I$8821</f>
        <v>788.529391152531</v>
      </c>
      <c r="J8824" s="38" t="n">
        <f aca="false">Sens!$J$8811+Sens!$J$8813+Sens!$J$8815+Sens!$J$8817+Sens!$J$8819+Sens!$J$8821</f>
        <v>851.108405741443</v>
      </c>
      <c r="K8824" s="38" t="n">
        <f aca="false">Sens!$K$8811+Sens!$K$8813+Sens!$K$8815+Sens!$K$8817+Sens!$K$8819+Sens!$K$8821</f>
        <v>906.176455431088</v>
      </c>
      <c r="L8824" s="38" t="n">
        <f aca="false">Sens!$L$8811+Sens!$L$8813+Sens!$L$8815+Sens!$L$8817+Sens!$L$8819+Sens!$L$8821</f>
        <v>965.093106475589</v>
      </c>
      <c r="M8824" s="38" t="n">
        <f aca="false">Sens!$M$8811+Sens!$M$8813+Sens!$M$8815+Sens!$M$8817+Sens!$M$8819+Sens!$M$8821</f>
        <v>1028.14790794689</v>
      </c>
      <c r="N8824" s="38" t="n">
        <f aca="false">Sens!$N$8811+Sens!$N$8813+Sens!$N$8815+Sens!$N$8817+Sens!$N$8819+Sens!$N$8821</f>
        <v>263.229</v>
      </c>
      <c r="O8824" s="38" t="n">
        <f aca="false">Sens!$O$8811+Sens!$O$8813+Sens!$O$8815+Sens!$O$8817+Sens!$O$8819+Sens!$O$8821</f>
        <v>324.97</v>
      </c>
    </row>
    <row r="8825" customFormat="false" ht="17.15" hidden="false" customHeight="false" outlineLevel="0" collapsed="false">
      <c r="A8825" s="5" t="s">
        <v>683</v>
      </c>
      <c r="B8825" s="0" t="s">
        <v>52</v>
      </c>
      <c r="C8825" s="13" t="n">
        <f aca="false">Q!$D$5/(Q!$D$5+Q!$D$6)</f>
        <v>0.730570905519011</v>
      </c>
      <c r="D8825" s="13" t="n">
        <f aca="false">Q!$E$5/(Q!$E$5+Q!$E$6)</f>
        <v>0.724763217890544</v>
      </c>
      <c r="E8825" s="13" t="n">
        <f aca="false">Q!$P$5/(Q!$P$5+Q!$P$6)</f>
        <v>0.728797972914861</v>
      </c>
      <c r="F8825" s="13" t="n">
        <f aca="false">Sens!$O$8825</f>
        <v>0.718066283041511</v>
      </c>
      <c r="G8825" s="13" t="n">
        <f aca="false">Sens!$G$8826/Sens!$G$8824</f>
        <v>0.723047066202847</v>
      </c>
      <c r="H8825" s="13" t="n">
        <f aca="false">Sens!$G$8825</f>
        <v>0.723047066202847</v>
      </c>
      <c r="I8825" s="13" t="n">
        <f aca="false">Sens!$G$8825</f>
        <v>0.723047066202847</v>
      </c>
      <c r="J8825" s="13" t="n">
        <f aca="false">Sens!$G$8825</f>
        <v>0.723047066202847</v>
      </c>
      <c r="K8825" s="13" t="n">
        <f aca="false">Sens!$G$8825</f>
        <v>0.723047066202847</v>
      </c>
      <c r="L8825" s="13" t="n">
        <f aca="false">Sens!$G$8825</f>
        <v>0.723047066202847</v>
      </c>
      <c r="M8825" s="13" t="n">
        <f aca="false">Sens!$G$8825</f>
        <v>0.723047066202847</v>
      </c>
      <c r="N8825" s="13" t="n">
        <f aca="false">Q!$N$5/(Q!$N$5+Q!$N$6)</f>
        <v>0.733030935041352</v>
      </c>
      <c r="O8825" s="13" t="n">
        <f aca="false">Q!$O$5/(Q!$O$5+Q!$O$6)</f>
        <v>0.718066283041511</v>
      </c>
      <c r="P8825" s="8" t="s">
        <v>684</v>
      </c>
    </row>
    <row r="8826" customFormat="false" ht="17.15" hidden="false" customHeight="false" outlineLevel="0" collapsed="false">
      <c r="A8826" s="1" t="s">
        <v>512</v>
      </c>
      <c r="B8826" s="8" t="s">
        <v>86</v>
      </c>
      <c r="C8826" s="38" t="n">
        <f aca="false">Q!$D$5</f>
        <v>387.497</v>
      </c>
      <c r="D8826" s="38" t="n">
        <f aca="false">Q!$E$5</f>
        <v>426.305</v>
      </c>
      <c r="E8826" s="38" t="n">
        <f aca="false">Q!$P$5</f>
        <v>220.32</v>
      </c>
      <c r="F8826" s="38" t="n">
        <f aca="false">Sens!$F$8824*Sens!$F$8825</f>
        <v>250.639773480586</v>
      </c>
      <c r="G8826" s="38" t="n">
        <f aca="false">Sens!$E$8826+Sens!$F$8826</f>
        <v>470.959773480586</v>
      </c>
      <c r="H8826" s="38" t="n">
        <f aca="false">Sens!$H$8824*Sens!$H$8825</f>
        <v>521.386990416437</v>
      </c>
      <c r="I8826" s="38" t="n">
        <f aca="false">Sens!$I$8824*Sens!$I$8825</f>
        <v>570.143862887555</v>
      </c>
      <c r="J8826" s="38" t="n">
        <f aca="false">Sens!$J$8824*Sens!$J$8825</f>
        <v>615.391435791933</v>
      </c>
      <c r="K8826" s="38" t="n">
        <f aca="false">Sens!$K$8824*Sens!$K$8825</f>
        <v>655.208227561543</v>
      </c>
      <c r="L8826" s="38" t="n">
        <f aca="false">Sens!$L$8824*Sens!$L$8825</f>
        <v>697.807739249767</v>
      </c>
      <c r="M8826" s="38" t="n">
        <f aca="false">Sens!$M$8824*Sens!$M$8825</f>
        <v>743.399328463592</v>
      </c>
      <c r="N8826" s="38" t="n">
        <f aca="false">Q!$N$5</f>
        <v>192.955</v>
      </c>
      <c r="O8826" s="38" t="n">
        <f aca="false">Q!$O$5</f>
        <v>233.35</v>
      </c>
      <c r="P8826" s="5" t="s">
        <v>685</v>
      </c>
    </row>
    <row r="8827" customFormat="false" ht="17.15" hidden="false" customHeight="false" outlineLevel="0" collapsed="false">
      <c r="A8827" s="1" t="s">
        <v>515</v>
      </c>
      <c r="B8827" s="8" t="s">
        <v>86</v>
      </c>
      <c r="C8827" s="38" t="n">
        <f aca="false">Q!$D$6</f>
        <v>142.906</v>
      </c>
      <c r="D8827" s="38" t="n">
        <f aca="false">Q!$E$6</f>
        <v>161.894</v>
      </c>
      <c r="E8827" s="38" t="n">
        <f aca="false">Q!$P$6</f>
        <v>81.986</v>
      </c>
      <c r="F8827" s="38" t="n">
        <f aca="false">Sens!$F$8824*(1-Sens!$F$8825)</f>
        <v>98.408468164951</v>
      </c>
      <c r="G8827" s="38" t="n">
        <f aca="false">Sens!$E$8827+Sens!$F$8827</f>
        <v>180.394468164951</v>
      </c>
      <c r="H8827" s="38" t="n">
        <f aca="false">Sens!$H$8824*(1-Sens!$H$8825)</f>
        <v>199.709899104949</v>
      </c>
      <c r="I8827" s="38" t="n">
        <f aca="false">Sens!$I$8824*(1-Sens!$I$8825)</f>
        <v>218.385528264976</v>
      </c>
      <c r="J8827" s="38" t="n">
        <f aca="false">Sens!$J$8824*(1-Sens!$J$8825)</f>
        <v>235.71696994951</v>
      </c>
      <c r="K8827" s="38" t="n">
        <f aca="false">Sens!$K$8824*(1-Sens!$K$8825)</f>
        <v>250.968227869545</v>
      </c>
      <c r="L8827" s="38" t="n">
        <f aca="false">Sens!$L$8824*(1-Sens!$L$8825)</f>
        <v>267.285367225822</v>
      </c>
      <c r="M8827" s="38" t="n">
        <f aca="false">Sens!$M$8824*(1-Sens!$M$8825)</f>
        <v>284.748579483295</v>
      </c>
      <c r="N8827" s="38" t="n">
        <f aca="false">Q!$N$6</f>
        <v>70.274</v>
      </c>
      <c r="O8827" s="38" t="n">
        <f aca="false">Q!$O$6</f>
        <v>91.62</v>
      </c>
      <c r="P8827" s="5" t="s">
        <v>686</v>
      </c>
    </row>
    <row r="8828" customFormat="false" ht="17.15" hidden="false" customHeight="false" outlineLevel="0" collapsed="false">
      <c r="A8828" s="5" t="s">
        <v>687</v>
      </c>
      <c r="B8828" s="0" t="s">
        <v>86</v>
      </c>
      <c r="C8828" s="38" t="n">
        <f aca="false">Sens!$C$8817*Sens!$C$8825</f>
        <v>41.0683128828457</v>
      </c>
      <c r="D8828" s="38" t="n">
        <f aca="false">Sens!$D$8817*Sens!$D$8825</f>
        <v>49.7441234599175</v>
      </c>
      <c r="E8828" s="38" t="n">
        <f aca="false">Sens!$E$8817*Sens!$E$8825</f>
        <v>27.0034224924414</v>
      </c>
      <c r="F8828" s="38" t="n">
        <f aca="false">Sens!$F$8817*Sens!$F$8825</f>
        <v>33.1439448330513</v>
      </c>
      <c r="G8828" s="38" t="n">
        <f aca="false">Sens!$G$8817*Sens!$G$8825</f>
        <v>60.164183844083</v>
      </c>
      <c r="H8828" s="38" t="n">
        <f aca="false">Sens!$H$8817*Sens!$H$8825</f>
        <v>72.2301766552629</v>
      </c>
      <c r="I8828" s="38" t="n">
        <f aca="false">Sens!$I$8817*Sens!$I$8825</f>
        <v>84.2950764463991</v>
      </c>
      <c r="J8828" s="38" t="n">
        <f aca="false">Sens!$J$8817*Sens!$J$8825</f>
        <v>95.5499047729386</v>
      </c>
      <c r="K8828" s="38" t="n">
        <f aca="false">Sens!$K$8817*Sens!$K$8825</f>
        <v>105.104895250232</v>
      </c>
      <c r="L8828" s="38" t="n">
        <f aca="false">Sens!$L$8817*Sens!$L$8825</f>
        <v>115.615384775256</v>
      </c>
      <c r="M8828" s="38" t="n">
        <f aca="false">Sens!$M$8817*Sens!$M$8825</f>
        <v>127.176923252781</v>
      </c>
      <c r="N8828" s="38" t="n">
        <f aca="false">Sens!$N$8817*Sens!$N$8825</f>
        <v>21.7087111412496</v>
      </c>
      <c r="O8828" s="38" t="n">
        <f aca="false">Sens!$O$8817*Sens!$O$8825</f>
        <v>28.0189463642798</v>
      </c>
      <c r="P8828" s="5" t="s">
        <v>688</v>
      </c>
    </row>
    <row r="8829" customFormat="false" ht="15" hidden="false" customHeight="false" outlineLevel="0" collapsed="false">
      <c r="A8829" s="5" t="s">
        <v>689</v>
      </c>
      <c r="B8829" s="0" t="s">
        <v>86</v>
      </c>
      <c r="C8829" s="38" t="n">
        <f aca="false">Sens!$C$8817-Sens!$C$8828</f>
        <v>15.1456871171543</v>
      </c>
      <c r="D8829" s="38" t="n">
        <f aca="false">Sens!$D$8817-Sens!$D$8828</f>
        <v>18.8908765400825</v>
      </c>
      <c r="E8829" s="38" t="n">
        <f aca="false">Sens!$E$8817-Sens!$E$8828</f>
        <v>10.0485775075586</v>
      </c>
      <c r="F8829" s="38" t="n">
        <f aca="false">Sens!$F$8817-Sens!$F$8828</f>
        <v>13.0132771613635</v>
      </c>
      <c r="G8829" s="38" t="n">
        <f aca="false">Sens!$G$8817-Sens!$G$8828</f>
        <v>23.0450381503318</v>
      </c>
      <c r="H8829" s="38" t="n">
        <f aca="false">Sens!$H$8817-Sens!$H$8828</f>
        <v>27.6667457326347</v>
      </c>
      <c r="I8829" s="38" t="n">
        <f aca="false">Sens!$I$8817-Sens!$I$8828</f>
        <v>32.2880346490971</v>
      </c>
      <c r="J8829" s="38" t="n">
        <f aca="false">Sens!$J$8817-Sens!$J$8828</f>
        <v>36.5990371690132</v>
      </c>
      <c r="K8829" s="38" t="n">
        <f aca="false">Sens!$K$8817-Sens!$K$8828</f>
        <v>40.2589408859145</v>
      </c>
      <c r="L8829" s="38" t="n">
        <f aca="false">Sens!$L$8817-Sens!$L$8828</f>
        <v>44.2848349745059</v>
      </c>
      <c r="M8829" s="38" t="n">
        <f aca="false">Sens!$M$8817-Sens!$M$8828</f>
        <v>48.7133184719565</v>
      </c>
      <c r="N8829" s="38" t="n">
        <f aca="false">Sens!$N$8817-Sens!$N$8828</f>
        <v>7.90628885875037</v>
      </c>
      <c r="O8829" s="38" t="n">
        <f aca="false">Sens!$O$8817-Sens!$O$8828</f>
        <v>11.0010536357202</v>
      </c>
    </row>
    <row r="8830" customFormat="false" ht="19.4" hidden="false" customHeight="false" outlineLevel="0" collapsed="false">
      <c r="A8830" s="31" t="s">
        <v>1316</v>
      </c>
    </row>
    <row r="8831" customFormat="false" ht="17.15" hidden="false" customHeight="false" outlineLevel="0" collapsed="false">
      <c r="A8831" s="6" t="s">
        <v>16</v>
      </c>
      <c r="B8831" s="6" t="s">
        <v>17</v>
      </c>
      <c r="C8831" s="20" t="s">
        <v>497</v>
      </c>
      <c r="D8831" s="20" t="s">
        <v>498</v>
      </c>
      <c r="E8831" s="20" t="s">
        <v>580</v>
      </c>
      <c r="F8831" s="20" t="s">
        <v>581</v>
      </c>
      <c r="G8831" s="20" t="s">
        <v>582</v>
      </c>
      <c r="H8831" s="20" t="s">
        <v>583</v>
      </c>
      <c r="I8831" s="20" t="s">
        <v>584</v>
      </c>
      <c r="J8831" s="20" t="s">
        <v>585</v>
      </c>
      <c r="K8831" s="20" t="s">
        <v>586</v>
      </c>
      <c r="L8831" s="20" t="s">
        <v>587</v>
      </c>
      <c r="M8831" s="20" t="s">
        <v>588</v>
      </c>
      <c r="N8831" s="20" t="s">
        <v>589</v>
      </c>
      <c r="O8831" s="20" t="s">
        <v>590</v>
      </c>
      <c r="P8831" s="6" t="s">
        <v>23</v>
      </c>
      <c r="R8831" s="20" t="n">
        <v>2023</v>
      </c>
      <c r="S8831" s="20" t="n">
        <v>2024</v>
      </c>
      <c r="T8831" s="20" t="n">
        <v>2025</v>
      </c>
      <c r="U8831" s="20" t="n">
        <v>2026</v>
      </c>
      <c r="V8831" s="20" t="n">
        <v>2027</v>
      </c>
      <c r="W8831" s="20" t="n">
        <v>2028</v>
      </c>
      <c r="X8831" s="20" t="n">
        <v>2029</v>
      </c>
      <c r="Y8831" s="20" t="n">
        <v>2030</v>
      </c>
      <c r="Z8831" s="20" t="n">
        <v>2031</v>
      </c>
      <c r="AA8831" s="20" t="n">
        <v>2032</v>
      </c>
    </row>
    <row r="8832" customFormat="false" ht="17.15" hidden="false" customHeight="false" outlineLevel="0" collapsed="false">
      <c r="A8832" s="1" t="s">
        <v>591</v>
      </c>
    </row>
    <row r="8833" customFormat="false" ht="17.15" hidden="false" customHeight="false" outlineLevel="0" collapsed="false">
      <c r="A8833" s="5" t="s">
        <v>592</v>
      </c>
      <c r="B8833" s="0" t="s">
        <v>144</v>
      </c>
      <c r="H8833" s="32" t="n">
        <f aca="false">pace_B</f>
        <v>3634.3</v>
      </c>
      <c r="I8833" s="32" t="n">
        <f aca="false">pace_B</f>
        <v>3634.3</v>
      </c>
      <c r="J8833" s="32" t="n">
        <f aca="false">pace_B</f>
        <v>3634.3</v>
      </c>
      <c r="K8833" s="32" t="n">
        <f aca="false">pace_B+(Sens!$J$8834*tg_hi-pace_B)*1/3</f>
        <v>2620.20066666667</v>
      </c>
      <c r="L8833" s="32" t="n">
        <f aca="false">pace_B+(Sens!$J$8834*tg_hi-pace_B)*2/3</f>
        <v>1606.10133333333</v>
      </c>
      <c r="M8833" s="32" t="n">
        <f aca="false">pace_B+(Sens!$J$8834*tg_hi-pace_B)*3/3</f>
        <v>592.002</v>
      </c>
      <c r="P8833" s="5" t="s">
        <v>593</v>
      </c>
    </row>
    <row r="8834" customFormat="false" ht="17.15" hidden="false" customHeight="false" outlineLevel="0" collapsed="false">
      <c r="A8834" s="15" t="s">
        <v>594</v>
      </c>
      <c r="B8834" s="14" t="s">
        <v>129</v>
      </c>
      <c r="C8834" s="33" t="n">
        <f aca="false">mw_ye24</f>
        <v>360</v>
      </c>
      <c r="D8834" s="33" t="n">
        <f aca="false">mw_ye25</f>
        <v>1440</v>
      </c>
      <c r="E8834" s="33" t="n">
        <f aca="false">mw_open</f>
        <v>2080</v>
      </c>
      <c r="F8834" s="33" t="n">
        <f aca="false">Sens!$E$8834+pace_B*0.5</f>
        <v>3897.15</v>
      </c>
      <c r="G8834" s="33" t="n">
        <f aca="false">Sens!$F$8834</f>
        <v>3897.15</v>
      </c>
      <c r="H8834" s="33" t="n">
        <f aca="false">Sens!$G$8834+Sens!$H$8833</f>
        <v>7531.45</v>
      </c>
      <c r="I8834" s="33" t="n">
        <f aca="false">Sens!$H$8834+Sens!$I$8833</f>
        <v>11165.75</v>
      </c>
      <c r="J8834" s="33" t="n">
        <f aca="false">Sens!$I$8834+Sens!$J$8833</f>
        <v>14800.05</v>
      </c>
      <c r="K8834" s="33" t="n">
        <f aca="false">Sens!$J$8834+Sens!$K$8833</f>
        <v>17420.2506666667</v>
      </c>
      <c r="L8834" s="33" t="n">
        <f aca="false">Sens!$K$8834+Sens!$L$8833</f>
        <v>19026.352</v>
      </c>
      <c r="M8834" s="33" t="n">
        <f aca="false">Sens!$L$8834+Sens!$M$8833</f>
        <v>19618.354</v>
      </c>
      <c r="N8834" s="33" t="n">
        <f aca="false">(mw_ye24+mw_ye25)/2</f>
        <v>900</v>
      </c>
      <c r="O8834" s="33" t="n">
        <f aca="false">mw_ye25</f>
        <v>1440</v>
      </c>
      <c r="P8834" s="5" t="s">
        <v>595</v>
      </c>
    </row>
    <row r="8835" customFormat="false" ht="17.15" hidden="false" customHeight="false" outlineLevel="0" collapsed="false">
      <c r="A8835" s="5" t="s">
        <v>596</v>
      </c>
      <c r="B8835" s="0" t="s">
        <v>129</v>
      </c>
      <c r="C8835" s="32" t="n">
        <f aca="false">(mw_ye23+mw_ye24)/2</f>
        <v>240</v>
      </c>
      <c r="D8835" s="32" t="n">
        <f aca="false">(Sens!$C$8834+Sens!$D$8834)/2</f>
        <v>900</v>
      </c>
      <c r="E8835" s="32" t="n">
        <f aca="false">(Sens!$D$8834+Sens!$E$8834)/2</f>
        <v>1760</v>
      </c>
      <c r="F8835" s="32" t="n">
        <f aca="false">(Sens!$E$8834+Sens!$F$8834)/2</f>
        <v>2988.575</v>
      </c>
      <c r="G8835" s="32" t="n">
        <f aca="false">(Sens!$E$8835+Sens!$F$8835)/2</f>
        <v>2374.2875</v>
      </c>
      <c r="H8835" s="32" t="n">
        <f aca="false">(Sens!$G$8834+Sens!$H$8834)/2</f>
        <v>5714.3</v>
      </c>
      <c r="I8835" s="32" t="n">
        <f aca="false">(Sens!$H$8834+Sens!$I$8834)/2</f>
        <v>9348.6</v>
      </c>
      <c r="J8835" s="32" t="n">
        <f aca="false">(Sens!$I$8834+Sens!$J$8834)/2</f>
        <v>12982.9</v>
      </c>
      <c r="K8835" s="32" t="n">
        <f aca="false">(Sens!$J$8834+Sens!$K$8834)/2</f>
        <v>16110.1503333333</v>
      </c>
      <c r="L8835" s="32" t="n">
        <f aca="false">(Sens!$K$8834+Sens!$L$8834)/2</f>
        <v>18223.3013333333</v>
      </c>
      <c r="M8835" s="32" t="n">
        <f aca="false">(Sens!$L$8834+Sens!$M$8834)/2</f>
        <v>19322.353</v>
      </c>
      <c r="N8835" s="32" t="n">
        <f aca="false">(Sens!$C$8834+Sens!$N$8834)/2</f>
        <v>630</v>
      </c>
      <c r="O8835" s="32" t="n">
        <f aca="false">(Sens!$N$8834+Sens!$O$8834)/2</f>
        <v>1170</v>
      </c>
    </row>
    <row r="8836" customFormat="false" ht="15" hidden="false" customHeight="false" outlineLevel="0" collapsed="false">
      <c r="A8836" s="5" t="s">
        <v>597</v>
      </c>
      <c r="B8836" s="5" t="s">
        <v>123</v>
      </c>
      <c r="C8836" s="34" t="n">
        <v>1</v>
      </c>
      <c r="D8836" s="34" t="n">
        <v>1</v>
      </c>
      <c r="E8836" s="34" t="n">
        <v>0.5</v>
      </c>
      <c r="F8836" s="34" t="n">
        <v>0.5</v>
      </c>
      <c r="G8836" s="34" t="n">
        <v>1</v>
      </c>
      <c r="H8836" s="34" t="n">
        <v>1</v>
      </c>
      <c r="I8836" s="34" t="n">
        <v>1</v>
      </c>
      <c r="J8836" s="34" t="n">
        <v>1</v>
      </c>
      <c r="K8836" s="34" t="n">
        <v>1</v>
      </c>
      <c r="L8836" s="34" t="n">
        <v>1</v>
      </c>
      <c r="M8836" s="34" t="n">
        <v>1</v>
      </c>
      <c r="N8836" s="34" t="n">
        <v>0.5</v>
      </c>
      <c r="O8836" s="34" t="n">
        <v>0.5</v>
      </c>
    </row>
    <row r="8837" customFormat="false" ht="17.15" hidden="false" customHeight="false" outlineLevel="0" collapsed="false">
      <c r="A8837" s="5" t="s">
        <v>598</v>
      </c>
      <c r="B8837" s="0" t="s">
        <v>129</v>
      </c>
      <c r="C8837" s="32" t="n">
        <f aca="false">Sens!$C$8834-mw_ye23</f>
        <v>240</v>
      </c>
      <c r="D8837" s="32" t="n">
        <f aca="false">Sens!$D$8834-Sens!$C$8834</f>
        <v>1080</v>
      </c>
      <c r="E8837" s="32" t="n">
        <f aca="false">Sens!$E$8834-Sens!$D$8834</f>
        <v>640</v>
      </c>
      <c r="F8837" s="32" t="n">
        <f aca="false">Sens!$F$8834-Sens!$E$8834</f>
        <v>1817.15</v>
      </c>
      <c r="G8837" s="32" t="n">
        <f aca="false">Sens!$E$8837+Sens!$F$8837</f>
        <v>2457.15</v>
      </c>
      <c r="H8837" s="32" t="n">
        <f aca="false">Sens!$H$8834-Sens!$G$8834</f>
        <v>3634.3</v>
      </c>
      <c r="I8837" s="32" t="n">
        <f aca="false">Sens!$I$8834-Sens!$H$8834</f>
        <v>3634.3</v>
      </c>
      <c r="J8837" s="32" t="n">
        <f aca="false">Sens!$J$8834-Sens!$I$8834</f>
        <v>3634.3</v>
      </c>
      <c r="K8837" s="32" t="n">
        <f aca="false">Sens!$K$8834-Sens!$J$8834</f>
        <v>2620.20066666667</v>
      </c>
      <c r="L8837" s="32" t="n">
        <f aca="false">Sens!$L$8834-Sens!$K$8834</f>
        <v>1606.10133333333</v>
      </c>
      <c r="M8837" s="32" t="n">
        <f aca="false">Sens!$M$8834-Sens!$L$8834</f>
        <v>592.002</v>
      </c>
      <c r="N8837" s="32" t="n">
        <f aca="false">Sens!$N$8834-Sens!$C$8834</f>
        <v>540</v>
      </c>
      <c r="O8837" s="32" t="n">
        <f aca="false">Sens!$O$8834-Sens!$N$8834</f>
        <v>540</v>
      </c>
    </row>
    <row r="8838" customFormat="false" ht="17.15" hidden="false" customHeight="false" outlineLevel="0" collapsed="false">
      <c r="A8838" s="5" t="s">
        <v>599</v>
      </c>
      <c r="B8838" s="0" t="s">
        <v>129</v>
      </c>
      <c r="C8838" s="32" t="n">
        <f aca="false">Sens!$C$8837/ext_sh</f>
        <v>300</v>
      </c>
      <c r="D8838" s="32" t="n">
        <f aca="false">Sens!$D$8837/ext_sh</f>
        <v>1350</v>
      </c>
      <c r="E8838" s="32" t="n">
        <f aca="false">Sens!$E$8837/ext_sh</f>
        <v>800</v>
      </c>
      <c r="F8838" s="32" t="n">
        <f aca="false">Sens!$F$8837/ext_sh</f>
        <v>2271.4375</v>
      </c>
      <c r="G8838" s="32" t="n">
        <f aca="false">Sens!$G$8837/ext_sh</f>
        <v>3071.4375</v>
      </c>
      <c r="H8838" s="32" t="n">
        <f aca="false">Sens!$H$8837/ext_sh</f>
        <v>4542.875</v>
      </c>
      <c r="I8838" s="32" t="n">
        <f aca="false">Sens!$I$8837/ext_sh</f>
        <v>4542.875</v>
      </c>
      <c r="J8838" s="32" t="n">
        <f aca="false">Sens!$J$8837/ext_sh</f>
        <v>4542.875</v>
      </c>
      <c r="K8838" s="32" t="n">
        <f aca="false">Sens!$K$8837/ext_sh</f>
        <v>3275.25083333333</v>
      </c>
      <c r="L8838" s="32" t="n">
        <f aca="false">Sens!$L$8837/ext_sh</f>
        <v>2007.62666666667</v>
      </c>
      <c r="M8838" s="32" t="n">
        <f aca="false">Sens!$M$8837/ext_sh</f>
        <v>740.002500000001</v>
      </c>
      <c r="N8838" s="32" t="n">
        <f aca="false">Sens!$N$8837/ext_sh</f>
        <v>675</v>
      </c>
      <c r="O8838" s="32" t="n">
        <f aca="false">Sens!$O$8837/ext_sh</f>
        <v>675</v>
      </c>
      <c r="P8838" s="8" t="s">
        <v>600</v>
      </c>
      <c r="R8838" s="32" t="n">
        <f aca="false">mw_ye23/ext_sh</f>
        <v>150</v>
      </c>
      <c r="S8838" s="32" t="n">
        <f aca="false">Sens!$C$8838</f>
        <v>300</v>
      </c>
      <c r="T8838" s="32" t="n">
        <f aca="false">Sens!$D$8838</f>
        <v>1350</v>
      </c>
      <c r="U8838" s="32" t="n">
        <f aca="false">Sens!$G$8838</f>
        <v>3071.4375</v>
      </c>
      <c r="V8838" s="32" t="n">
        <f aca="false">Sens!$H$8838</f>
        <v>4542.875</v>
      </c>
      <c r="W8838" s="32" t="n">
        <f aca="false">Sens!$I$8838</f>
        <v>4542.875</v>
      </c>
      <c r="X8838" s="32" t="n">
        <f aca="false">Sens!$J$8838</f>
        <v>4542.875</v>
      </c>
      <c r="Y8838" s="32" t="n">
        <f aca="false">Sens!$K$8838</f>
        <v>3275.25083333333</v>
      </c>
      <c r="Z8838" s="32" t="n">
        <f aca="false">Sens!$L$8838</f>
        <v>2007.62666666667</v>
      </c>
      <c r="AA8838" s="32" t="n">
        <f aca="false">Sens!$M$8838</f>
        <v>740.002500000001</v>
      </c>
    </row>
    <row r="8839" customFormat="false" ht="17.15" hidden="false" customHeight="false" outlineLevel="0" collapsed="false">
      <c r="A8839" s="1" t="s">
        <v>601</v>
      </c>
    </row>
    <row r="8840" customFormat="false" ht="17.15" hidden="false" customHeight="false" outlineLevel="0" collapsed="false">
      <c r="A8840" s="0" t="s">
        <v>602</v>
      </c>
      <c r="B8840" s="0" t="s">
        <v>52</v>
      </c>
      <c r="F8840" s="35" t="n">
        <f aca="false">na_vr26</f>
        <v>0</v>
      </c>
      <c r="G8840" s="35" t="n">
        <f aca="false">na_vr26</f>
        <v>0</v>
      </c>
      <c r="H8840" s="35" t="n">
        <f aca="false">na_vr27</f>
        <v>0.5</v>
      </c>
      <c r="I8840" s="35" t="n">
        <f aca="false">na_vr28</f>
        <v>1</v>
      </c>
      <c r="J8840" s="35" t="n">
        <f aca="false">na_vr28</f>
        <v>1</v>
      </c>
      <c r="K8840" s="35" t="n">
        <f aca="false">na_vr28</f>
        <v>1</v>
      </c>
      <c r="L8840" s="35" t="n">
        <f aca="false">na_vr28</f>
        <v>1</v>
      </c>
      <c r="M8840" s="35" t="n">
        <f aca="false">na_vr28</f>
        <v>1</v>
      </c>
    </row>
    <row r="8841" customFormat="false" ht="17.15" hidden="false" customHeight="false" outlineLevel="0" collapsed="false">
      <c r="A8841" s="5" t="s">
        <v>603</v>
      </c>
      <c r="B8841" s="0" t="s">
        <v>173</v>
      </c>
      <c r="F8841" s="36" t="n">
        <f aca="false">cust_sh*tk_he_gb300*cf_chip+(1-cust_sh)*((1-Sens!$F$8840)*tk_he_gb300+Sens!$F$8840*tk_he_vr200)</f>
        <v>10.8864110021101</v>
      </c>
      <c r="G8841" s="36" t="n">
        <f aca="false">cust_sh*tk_he_gb300*cf_chip+(1-cust_sh)*((1-Sens!$G$8840)*tk_he_gb300+Sens!$G$8840*tk_he_vr200)</f>
        <v>10.8864110021101</v>
      </c>
      <c r="H8841" s="36" t="n">
        <f aca="false">cust_sh*tk_he_gb300*cf_chip+(1-cust_sh)*((1-Sens!$H$8840)*tk_he_gb300+Sens!$H$8840*tk_he_vr200)</f>
        <v>11.2211760027286</v>
      </c>
      <c r="I8841" s="36" t="n">
        <f aca="false">cust_sh*tk_he_gb300*cf_chip+(1-cust_sh)*((1-Sens!$I$8840)*tk_he_gb300+Sens!$I$8840*tk_he_vr200)</f>
        <v>11.5559410033471</v>
      </c>
      <c r="J8841" s="36" t="n">
        <f aca="false">cust_sh*tk_he_gb300*cf_chip+(1-cust_sh)*((1-Sens!$J$8840)*tk_he_gb300+Sens!$J$8840*tk_he_vr200)</f>
        <v>11.5559410033471</v>
      </c>
      <c r="K8841" s="36" t="n">
        <f aca="false">cust_sh*tk_he_gb300*cf_chip+(1-cust_sh)*((1-Sens!$K$8840)*tk_he_gb300+Sens!$K$8840*tk_he_vr200)</f>
        <v>11.5559410033471</v>
      </c>
      <c r="L8841" s="36" t="n">
        <f aca="false">cust_sh*tk_he_gb300*cf_chip+(1-cust_sh)*((1-Sens!$L$8840)*tk_he_gb300+Sens!$L$8840*tk_he_vr200)</f>
        <v>11.5559410033471</v>
      </c>
      <c r="M8841" s="36" t="n">
        <f aca="false">cust_sh*tk_he_gb300*cf_chip+(1-cust_sh)*((1-Sens!$M$8840)*tk_he_gb300+Sens!$M$8840*tk_he_vr200)</f>
        <v>11.5559410033471</v>
      </c>
    </row>
    <row r="8842" customFormat="false" ht="17.15" hidden="false" customHeight="false" outlineLevel="0" collapsed="false">
      <c r="A8842" s="5" t="s">
        <v>604</v>
      </c>
      <c r="B8842" s="0" t="s">
        <v>173</v>
      </c>
      <c r="F8842" s="36" t="n">
        <f aca="false">cust_sh*tk_ox_gb300+(1-cust_sh)*((1-Sens!$F$8840)*tk_ox_gb300+Sens!$F$8840*tk_ox_vr200)</f>
        <v>1.98263481314457</v>
      </c>
      <c r="G8842" s="36" t="n">
        <f aca="false">cust_sh*tk_ox_gb300+(1-cust_sh)*((1-Sens!$G$8840)*tk_ox_gb300+Sens!$G$8840*tk_ox_vr200)</f>
        <v>1.98263481314457</v>
      </c>
      <c r="H8842" s="36" t="n">
        <f aca="false">cust_sh*tk_ox_gb300+(1-cust_sh)*((1-Sens!$H$8840)*tk_ox_gb300+Sens!$H$8840*tk_ox_vr200)</f>
        <v>2.01034999693694</v>
      </c>
      <c r="I8842" s="36" t="n">
        <f aca="false">cust_sh*tk_ox_gb300+(1-cust_sh)*((1-Sens!$I$8840)*tk_ox_gb300+Sens!$I$8840*tk_ox_vr200)</f>
        <v>2.0380651807293</v>
      </c>
      <c r="J8842" s="36" t="n">
        <f aca="false">cust_sh*tk_ox_gb300+(1-cust_sh)*((1-Sens!$J$8840)*tk_ox_gb300+Sens!$J$8840*tk_ox_vr200)</f>
        <v>2.0380651807293</v>
      </c>
      <c r="K8842" s="36" t="n">
        <f aca="false">cust_sh*tk_ox_gb300+(1-cust_sh)*((1-Sens!$K$8840)*tk_ox_gb300+Sens!$K$8840*tk_ox_vr200)</f>
        <v>2.0380651807293</v>
      </c>
      <c r="L8842" s="36" t="n">
        <f aca="false">cust_sh*tk_ox_gb300+(1-cust_sh)*((1-Sens!$L$8840)*tk_ox_gb300+Sens!$L$8840*tk_ox_vr200)</f>
        <v>2.0380651807293</v>
      </c>
      <c r="M8842" s="36" t="n">
        <f aca="false">cust_sh*tk_ox_gb300+(1-cust_sh)*((1-Sens!$M$8840)*tk_ox_gb300+Sens!$M$8840*tk_ox_vr200)</f>
        <v>2.0380651807293</v>
      </c>
    </row>
    <row r="8843" customFormat="false" ht="17.15" hidden="false" customHeight="false" outlineLevel="0" collapsed="false">
      <c r="A8843" s="5" t="s">
        <v>605</v>
      </c>
      <c r="B8843" s="0" t="s">
        <v>192</v>
      </c>
      <c r="F8843" s="36" t="n">
        <f aca="false">cust_sh*tk_cx_gb300*cf_cx+(1-cust_sh)*((1-Sens!$F$8840)*tk_cx_gb300+Sens!$F$8840*tk_cx_vr200)</f>
        <v>32.237224</v>
      </c>
      <c r="G8843" s="36" t="n">
        <f aca="false">cust_sh*tk_cx_gb300*cf_cx+(1-cust_sh)*((1-Sens!$G$8840)*tk_cx_gb300+Sens!$G$8840*tk_cx_vr200)</f>
        <v>32.237224</v>
      </c>
      <c r="H8843" s="36" t="n">
        <f aca="false">cust_sh*tk_cx_gb300*cf_cx+(1-cust_sh)*((1-Sens!$H$8840)*tk_cx_gb300+Sens!$H$8840*tk_cx_vr200)</f>
        <v>33.574506</v>
      </c>
      <c r="I8843" s="36" t="n">
        <f aca="false">cust_sh*tk_cx_gb300*cf_cx+(1-cust_sh)*((1-Sens!$I$8840)*tk_cx_gb300+Sens!$I$8840*tk_cx_vr200)</f>
        <v>34.911788</v>
      </c>
      <c r="J8843" s="36" t="n">
        <f aca="false">cust_sh*tk_cx_gb300*cf_cx+(1-cust_sh)*((1-Sens!$J$8840)*tk_cx_gb300+Sens!$J$8840*tk_cx_vr200)</f>
        <v>34.911788</v>
      </c>
      <c r="K8843" s="36" t="n">
        <f aca="false">cust_sh*tk_cx_gb300*cf_cx+(1-cust_sh)*((1-Sens!$K$8840)*tk_cx_gb300+Sens!$K$8840*tk_cx_vr200)</f>
        <v>34.911788</v>
      </c>
      <c r="L8843" s="36" t="n">
        <f aca="false">cust_sh*tk_cx_gb300*cf_cx+(1-cust_sh)*((1-Sens!$L$8840)*tk_cx_gb300+Sens!$L$8840*tk_cx_vr200)</f>
        <v>34.911788</v>
      </c>
      <c r="M8843" s="36" t="n">
        <f aca="false">cust_sh*tk_cx_gb300*cf_cx+(1-cust_sh)*((1-Sens!$M$8840)*tk_cx_gb300+Sens!$M$8840*tk_cx_vr200)</f>
        <v>34.911788</v>
      </c>
    </row>
    <row r="8844" customFormat="false" ht="17.15" hidden="false" customHeight="false" outlineLevel="0" collapsed="false">
      <c r="A8844" s="5" t="s">
        <v>606</v>
      </c>
      <c r="B8844" s="0" t="s">
        <v>129</v>
      </c>
      <c r="F8844" s="32" t="n">
        <f aca="false">Sens!$F$8834-mw_open</f>
        <v>1817.15</v>
      </c>
      <c r="G8844" s="32" t="n">
        <f aca="false">Sens!$F$8844</f>
        <v>1817.15</v>
      </c>
      <c r="H8844" s="32" t="n">
        <f aca="false">Sens!$H$8834-mw_open</f>
        <v>5451.45</v>
      </c>
      <c r="I8844" s="32" t="n">
        <f aca="false">Sens!$I$8834-mw_open</f>
        <v>9085.75</v>
      </c>
      <c r="J8844" s="32" t="n">
        <f aca="false">Sens!$J$8834-mw_open</f>
        <v>12720.05</v>
      </c>
      <c r="K8844" s="32" t="n">
        <f aca="false">Sens!$K$8834-mw_open</f>
        <v>15340.2506666667</v>
      </c>
      <c r="L8844" s="32" t="n">
        <f aca="false">Sens!$L$8834-mw_open</f>
        <v>16946.352</v>
      </c>
      <c r="M8844" s="32" t="n">
        <f aca="false">Sens!$M$8834-mw_open</f>
        <v>17538.354</v>
      </c>
    </row>
    <row r="8845" customFormat="false" ht="17.15" hidden="false" customHeight="false" outlineLevel="0" collapsed="false">
      <c r="A8845" s="0" t="s">
        <v>607</v>
      </c>
      <c r="B8845" s="0" t="s">
        <v>608</v>
      </c>
      <c r="F8845" s="32" t="n">
        <f aca="false">Sens!$F$8837*Sens!$F$8841</f>
        <v>19782.2417524844</v>
      </c>
      <c r="G8845" s="32" t="n">
        <f aca="false">Sens!$F$8845</f>
        <v>19782.2417524844</v>
      </c>
      <c r="H8845" s="32" t="n">
        <f aca="false">Sens!$G$8845+Sens!$H$8837*Sens!$H$8841</f>
        <v>60563.3616992009</v>
      </c>
      <c r="I8845" s="32" t="n">
        <f aca="false">Sens!$H$8845+Sens!$I$8837*Sens!$I$8841</f>
        <v>102561.118087665</v>
      </c>
      <c r="J8845" s="32" t="n">
        <f aca="false">Sens!$I$8845+Sens!$J$8837*Sens!$J$8841</f>
        <v>144558.87447613</v>
      </c>
      <c r="K8845" s="32" t="n">
        <f aca="false">Sens!$J$8845+Sens!$K$8837*Sens!$K$8841</f>
        <v>174837.75879706</v>
      </c>
      <c r="L8845" s="32" t="n">
        <f aca="false">Sens!$K$8845+Sens!$L$8837*Sens!$L$8841</f>
        <v>193397.771050458</v>
      </c>
      <c r="M8845" s="32" t="n">
        <f aca="false">Sens!$L$8845+Sens!$M$8837*Sens!$M$8841</f>
        <v>200238.911236321</v>
      </c>
    </row>
    <row r="8846" customFormat="false" ht="17.15" hidden="false" customHeight="false" outlineLevel="0" collapsed="false">
      <c r="A8846" s="0" t="s">
        <v>609</v>
      </c>
      <c r="B8846" s="0" t="s">
        <v>608</v>
      </c>
      <c r="F8846" s="32" t="n">
        <f aca="false">Sens!$F$8837*Sens!$F$8842</f>
        <v>3602.74485070566</v>
      </c>
      <c r="G8846" s="32" t="n">
        <f aca="false">Sens!$F$8846</f>
        <v>3602.74485070566</v>
      </c>
      <c r="H8846" s="32" t="n">
        <f aca="false">Sens!$G$8846+Sens!$H$8837*Sens!$H$8842</f>
        <v>10908.9598445736</v>
      </c>
      <c r="I8846" s="32" t="n">
        <f aca="false">Sens!$H$8846+Sens!$I$8837*Sens!$I$8842</f>
        <v>18315.9001308981</v>
      </c>
      <c r="J8846" s="32" t="n">
        <f aca="false">Sens!$I$8846+Sens!$J$8837*Sens!$J$8842</f>
        <v>25722.8404172225</v>
      </c>
      <c r="K8846" s="32" t="n">
        <f aca="false">Sens!$J$8846+Sens!$K$8837*Sens!$K$8842</f>
        <v>31062.9801624796</v>
      </c>
      <c r="L8846" s="32" t="n">
        <f aca="false">Sens!$K$8846+Sens!$L$8837*Sens!$L$8842</f>
        <v>34336.3193666691</v>
      </c>
      <c r="M8846" s="32" t="n">
        <f aca="false">Sens!$L$8846+Sens!$M$8837*Sens!$M$8842</f>
        <v>35542.8580297913</v>
      </c>
    </row>
    <row r="8847" customFormat="false" ht="17.15" hidden="false" customHeight="false" outlineLevel="0" collapsed="false">
      <c r="A8847" s="5" t="s">
        <v>610</v>
      </c>
      <c r="B8847" s="0" t="s">
        <v>173</v>
      </c>
      <c r="F8847" s="36" t="n">
        <f aca="false">IF(Sens!$F$8844&gt;0,Sens!$F$8845/Sens!$F$8844,Sens!$F$8841)</f>
        <v>10.8864110021101</v>
      </c>
      <c r="G8847" s="36" t="n">
        <f aca="false">IF(Sens!$G$8844&gt;0,Sens!$G$8845/Sens!$G$8844,Sens!$G$8841)</f>
        <v>10.8864110021101</v>
      </c>
      <c r="H8847" s="36" t="n">
        <f aca="false">IF(Sens!$H$8844&gt;0,Sens!$H$8845/Sens!$H$8844,Sens!$H$8841)</f>
        <v>11.1095876691891</v>
      </c>
      <c r="I8847" s="36" t="n">
        <f aca="false">IF(Sens!$I$8844&gt;0,Sens!$I$8845/Sens!$I$8844,Sens!$I$8841)</f>
        <v>11.2881290028523</v>
      </c>
      <c r="J8847" s="36" t="n">
        <f aca="false">IF(Sens!$J$8844&gt;0,Sens!$J$8845/Sens!$J$8844,Sens!$J$8841)</f>
        <v>11.3646467172794</v>
      </c>
      <c r="K8847" s="36" t="n">
        <f aca="false">IF(Sens!$K$8844&gt;0,Sens!$K$8845/Sens!$K$8844,Sens!$K$8841)</f>
        <v>11.3973208519318</v>
      </c>
      <c r="L8847" s="36" t="n">
        <f aca="false">IF(Sens!$L$8844&gt;0,Sens!$L$8845/Sens!$L$8844,Sens!$L$8841)</f>
        <v>11.4123541780825</v>
      </c>
      <c r="M8847" s="36" t="n">
        <f aca="false">IF(Sens!$M$8844&gt;0,Sens!$M$8845/Sens!$M$8844,Sens!$M$8841)</f>
        <v>11.4172009092941</v>
      </c>
    </row>
    <row r="8848" customFormat="false" ht="17.15" hidden="false" customHeight="false" outlineLevel="0" collapsed="false">
      <c r="A8848" s="5" t="s">
        <v>611</v>
      </c>
      <c r="B8848" s="0" t="s">
        <v>173</v>
      </c>
      <c r="F8848" s="36" t="n">
        <f aca="false">IF(Sens!$F$8844&gt;0,Sens!$F$8846/Sens!$F$8844,Sens!$F$8842)</f>
        <v>1.98263481314457</v>
      </c>
      <c r="G8848" s="36" t="n">
        <f aca="false">IF(Sens!$G$8844&gt;0,Sens!$G$8846/Sens!$G$8844,Sens!$G$8842)</f>
        <v>1.98263481314457</v>
      </c>
      <c r="H8848" s="36" t="n">
        <f aca="false">IF(Sens!$H$8844&gt;0,Sens!$H$8846/Sens!$H$8844,Sens!$H$8842)</f>
        <v>2.00111160233948</v>
      </c>
      <c r="I8848" s="36" t="n">
        <f aca="false">IF(Sens!$I$8844&gt;0,Sens!$I$8846/Sens!$I$8844,Sens!$I$8842)</f>
        <v>2.01589303369541</v>
      </c>
      <c r="J8848" s="36" t="n">
        <f aca="false">IF(Sens!$J$8844&gt;0,Sens!$J$8846/Sens!$J$8844,Sens!$J$8842)</f>
        <v>2.02222793284795</v>
      </c>
      <c r="K8848" s="36" t="n">
        <f aca="false">IF(Sens!$K$8844&gt;0,Sens!$K$8846/Sens!$K$8844,Sens!$K$8842)</f>
        <v>2.02493302342036</v>
      </c>
      <c r="L8848" s="36" t="n">
        <f aca="false">IF(Sens!$L$8844&gt;0,Sens!$L$8846/Sens!$L$8844,Sens!$L$8842)</f>
        <v>2.02617763201597</v>
      </c>
      <c r="M8848" s="36" t="n">
        <f aca="false">IF(Sens!$M$8844&gt;0,Sens!$M$8846/Sens!$M$8844,Sens!$M$8842)</f>
        <v>2.02657889273938</v>
      </c>
    </row>
    <row r="8849" customFormat="false" ht="17.15" hidden="false" customHeight="false" outlineLevel="0" collapsed="false">
      <c r="A8849" s="15" t="s">
        <v>612</v>
      </c>
      <c r="B8849" s="14" t="s">
        <v>173</v>
      </c>
      <c r="C8849" s="14"/>
      <c r="D8849" s="14"/>
      <c r="E8849" s="14"/>
      <c r="F8849" s="37" t="n">
        <f aca="false">Sens!$F$8847*k_B</f>
        <v>10.7987645808025</v>
      </c>
      <c r="G8849" s="37" t="n">
        <f aca="false">Sens!$G$8847*k_B</f>
        <v>10.7987645808025</v>
      </c>
      <c r="H8849" s="37" t="n">
        <f aca="false">Sens!$H$8847*k_B</f>
        <v>11.0201444540452</v>
      </c>
      <c r="I8849" s="37" t="n">
        <f aca="false">Sens!$I$8847*k_B</f>
        <v>11.1972483526393</v>
      </c>
      <c r="J8849" s="37" t="n">
        <f aca="false">Sens!$J$8847*k_B</f>
        <v>11.2731500234653</v>
      </c>
      <c r="K8849" s="37" t="n">
        <f aca="false">Sens!$K$8847*k_B</f>
        <v>11.3055610988807</v>
      </c>
      <c r="L8849" s="37" t="n">
        <f aca="false">Sens!$L$8847*k_B</f>
        <v>11.3204733918244</v>
      </c>
      <c r="M8849" s="37" t="n">
        <f aca="false">Sens!$M$8847*k_B</f>
        <v>11.3252811020357</v>
      </c>
      <c r="N8849" s="14"/>
      <c r="O8849" s="14"/>
      <c r="P8849" s="5" t="s">
        <v>613</v>
      </c>
    </row>
    <row r="8850" customFormat="false" ht="17.15" hidden="false" customHeight="false" outlineLevel="0" collapsed="false">
      <c r="A8850" s="5" t="s">
        <v>614</v>
      </c>
      <c r="B8850" s="0" t="s">
        <v>129</v>
      </c>
      <c r="F8850" s="32" t="n">
        <f aca="false">Sens!$F$8844/2</f>
        <v>908.575</v>
      </c>
      <c r="H8850" s="32" t="n">
        <f aca="false">(Sens!$G$8844+Sens!$H$8844)/2</f>
        <v>3634.3</v>
      </c>
      <c r="I8850" s="32" t="n">
        <f aca="false">(Sens!$H$8844+Sens!$I$8844)/2</f>
        <v>7268.6</v>
      </c>
      <c r="J8850" s="32" t="n">
        <f aca="false">(Sens!$I$8844+Sens!$J$8844)/2</f>
        <v>10902.9</v>
      </c>
      <c r="K8850" s="32" t="n">
        <f aca="false">(Sens!$J$8844+Sens!$K$8844)/2</f>
        <v>14030.1503333333</v>
      </c>
      <c r="L8850" s="32" t="n">
        <f aca="false">(Sens!$K$8844+Sens!$L$8844)/2</f>
        <v>16143.3013333333</v>
      </c>
      <c r="M8850" s="32" t="n">
        <f aca="false">(Sens!$L$8844+Sens!$M$8844)/2</f>
        <v>17242.353</v>
      </c>
    </row>
    <row r="8851" customFormat="false" ht="17.15" hidden="false" customHeight="false" outlineLevel="0" collapsed="false">
      <c r="A8851" s="1" t="s">
        <v>615</v>
      </c>
    </row>
    <row r="8852" customFormat="false" ht="17.15" hidden="false" customHeight="false" outlineLevel="0" collapsed="false">
      <c r="A8852" s="1" t="s">
        <v>616</v>
      </c>
      <c r="B8852" s="8" t="s">
        <v>86</v>
      </c>
      <c r="C8852" s="38" t="n">
        <f aca="false">Sens!$C$8835*rpm_open*Sens!$C$8836/1000</f>
        <v>2.32100535697364</v>
      </c>
      <c r="D8852" s="38" t="n">
        <f aca="false">Sens!$D$8835*rpm_open*Sens!$D$8836/1000</f>
        <v>8.70377008865116</v>
      </c>
      <c r="E8852" s="38" t="n">
        <f aca="false">Sens!$E$8835*rpm_open*Sens!$E$8836/1000</f>
        <v>8.51035297557002</v>
      </c>
      <c r="F8852" s="38" t="n">
        <f aca="false">(mw_open*rpm_open+Sens!$F$8850*Sens!$F$8849)*Sens!$F$8836/1000</f>
        <v>14.9634336447205</v>
      </c>
      <c r="G8852" s="38" t="n">
        <f aca="false">Sens!$E$8852+Sens!$F$8852</f>
        <v>23.4737866202905</v>
      </c>
      <c r="H8852" s="38" t="n">
        <f aca="false">(mw_open*rpm_open+Sens!$H$8850*Sens!$H$8849)/1000</f>
        <v>60.1658907497746</v>
      </c>
      <c r="I8852" s="38" t="n">
        <f aca="false">(mw_open*rpm_open+Sens!$I$8850*Sens!$I$8849)/1000</f>
        <v>101.503699136432</v>
      </c>
      <c r="J8852" s="38" t="n">
        <f aca="false">(mw_open*rpm_open+Sens!$J$8850*Sens!$J$8849)/1000</f>
        <v>143.025407151278</v>
      </c>
      <c r="K8852" s="38" t="n">
        <f aca="false">(mw_open*rpm_open+Sens!$K$8850*Sens!$K$8849)/1000</f>
        <v>178.73410158042</v>
      </c>
      <c r="L8852" s="38" t="n">
        <f aca="false">(mw_open*rpm_open+Sens!$L$8850*Sens!$L$8849)/1000</f>
        <v>202.865192960641</v>
      </c>
      <c r="M8852" s="38" t="n">
        <f aca="false">(mw_open*rpm_open+Sens!$M$8850*Sens!$M$8849)/1000</f>
        <v>215.389874345967</v>
      </c>
      <c r="N8852" s="38" t="n">
        <f aca="false">Sens!$N$8835*rpm_open*Sens!$N$8836/1000</f>
        <v>3.04631953102791</v>
      </c>
      <c r="O8852" s="38" t="n">
        <f aca="false">Sens!$O$8835*rpm_open*Sens!$O$8836/1000</f>
        <v>5.65745055762326</v>
      </c>
      <c r="P8852" s="5" t="s">
        <v>617</v>
      </c>
    </row>
    <row r="8853" customFormat="false" ht="17.15" hidden="false" customHeight="false" outlineLevel="0" collapsed="false">
      <c r="A8853" s="5" t="s">
        <v>618</v>
      </c>
      <c r="B8853" s="0" t="s">
        <v>173</v>
      </c>
      <c r="C8853" s="36" t="n">
        <f aca="false">Sens!$C$8852*1000/(Sens!$C$8835*Sens!$C$8836)</f>
        <v>9.67085565405685</v>
      </c>
      <c r="D8853" s="36" t="n">
        <f aca="false">Sens!$D$8852*1000/(Sens!$D$8835*Sens!$D$8836)</f>
        <v>9.67085565405685</v>
      </c>
      <c r="E8853" s="36" t="n">
        <f aca="false">Sens!$E$8852*1000/(Sens!$E$8835*Sens!$E$8836)</f>
        <v>9.67085565405685</v>
      </c>
      <c r="F8853" s="36" t="n">
        <f aca="false">Sens!$F$8852*1000/(Sens!$F$8835*Sens!$F$8836)</f>
        <v>10.0137581588017</v>
      </c>
      <c r="G8853" s="36" t="n">
        <f aca="false">Sens!$G$8852*1000/(Sens!$G$8835*Sens!$G$8836)</f>
        <v>9.88666562928478</v>
      </c>
      <c r="H8853" s="36" t="n">
        <f aca="false">Sens!$H$8852*1000/(Sens!$H$8835*Sens!$H$8836)</f>
        <v>10.5290045586992</v>
      </c>
      <c r="I8853" s="36" t="n">
        <f aca="false">Sens!$I$8852*1000/(Sens!$I$8835*Sens!$I$8836)</f>
        <v>10.8576363451674</v>
      </c>
      <c r="J8853" s="36" t="n">
        <f aca="false">Sens!$J$8852*1000/(Sens!$J$8835*Sens!$J$8836)</f>
        <v>11.0164452588619</v>
      </c>
      <c r="K8853" s="36" t="n">
        <f aca="false">Sens!$K$8852*1000/(Sens!$K$8835*Sens!$K$8836)</f>
        <v>11.0945024026625</v>
      </c>
      <c r="L8853" s="36" t="n">
        <f aca="false">Sens!$L$8852*1000/(Sens!$L$8835*Sens!$L$8836)</f>
        <v>11.1321867124904</v>
      </c>
      <c r="M8853" s="36" t="n">
        <f aca="false">Sens!$M$8852*1000/(Sens!$M$8835*Sens!$M$8836)</f>
        <v>11.1471865950263</v>
      </c>
      <c r="N8853" s="36" t="n">
        <f aca="false">Sens!$N$8852*1000/(Sens!$N$8835*Sens!$N$8836)</f>
        <v>9.67085565405685</v>
      </c>
      <c r="O8853" s="36" t="n">
        <f aca="false">Sens!$O$8852*1000/(Sens!$O$8835*Sens!$O$8836)</f>
        <v>9.67085565405685</v>
      </c>
    </row>
    <row r="8854" customFormat="false" ht="17.15" hidden="false" customHeight="false" outlineLevel="0" collapsed="false">
      <c r="A8854" s="0" t="s">
        <v>619</v>
      </c>
      <c r="B8854" s="0" t="s">
        <v>86</v>
      </c>
      <c r="C8854" s="38" t="n">
        <f aca="false">Sens!$C$8835/ext_sh*(ox_open+rent_mw)*Sens!$C$8836/1000</f>
        <v>0.642569210675032</v>
      </c>
      <c r="D8854" s="38" t="n">
        <f aca="false">Sens!$D$8835/ext_sh*(ox_open+rent_mw)*Sens!$D$8836/1000</f>
        <v>2.40963454003137</v>
      </c>
      <c r="E8854" s="38" t="n">
        <f aca="false">Sens!$E$8835/ext_sh*(ox_open+rent_mw)*Sens!$E$8836/1000</f>
        <v>2.35608710580845</v>
      </c>
      <c r="F8854" s="38" t="n">
        <f aca="false">((mw_open*ox_open+Sens!$F$8850*Sens!$F$8848)/ext_sh+Sens!$F$8835/ext_sh*rent_mw)*Sens!$F$8836/1000</f>
        <v>4.05421991106232</v>
      </c>
      <c r="G8854" s="38" t="n">
        <f aca="false">Sens!$E$8854+Sens!$F$8854</f>
        <v>6.41030701687077</v>
      </c>
      <c r="H8854" s="38" t="n">
        <f aca="false">((mw_open*ox_open+Sens!$H$8850*Sens!$H$8848)/ext_sh+Sens!$H$8835/ext_sh*rent_mw)*Sens!$H$8836/1000</f>
        <v>15.8108975546616</v>
      </c>
      <c r="I8854" s="38" t="n">
        <f aca="false">((mw_open*ox_open+Sens!$I$8850*Sens!$I$8848)/ext_sh+Sens!$I$8835/ext_sh*rent_mw)*Sens!$I$8836/1000</f>
        <v>26.1871623400817</v>
      </c>
      <c r="J8854" s="38" t="n">
        <f aca="false">((mw_open*ox_open+Sens!$J$8850*Sens!$J$8848)/ext_sh+Sens!$J$8835/ext_sh*rent_mw)*Sens!$J$8836/1000</f>
        <v>36.5826128954935</v>
      </c>
      <c r="K8854" s="38" t="n">
        <f aca="false">((mw_open*ox_open+Sens!$K$8850*Sens!$K$8848)/ext_sh+Sens!$K$8835/ext_sh*rent_mw)*Sens!$K$8836/1000</f>
        <v>45.5256266941655</v>
      </c>
      <c r="L8854" s="38" t="n">
        <f aca="false">((mw_open*ox_open+Sens!$L$8850*Sens!$L$8848)/ext_sh+Sens!$L$8835/ext_sh*rent_mw)*Sens!$L$8836/1000</f>
        <v>51.568818942134</v>
      </c>
      <c r="M8854" s="38" t="n">
        <f aca="false">((mw_open*ox_open+Sens!$M$8850*Sens!$M$8848)/ext_sh+Sens!$M$8835/ext_sh*rent_mw)*Sens!$M$8836/1000</f>
        <v>54.7091842856355</v>
      </c>
      <c r="N8854" s="38" t="n">
        <f aca="false">Sens!$N$8835/ext_sh*(ox_open+rent_mw)*Sens!$N$8836/1000</f>
        <v>0.84337208901098</v>
      </c>
      <c r="O8854" s="38" t="n">
        <f aca="false">Sens!$O$8835/ext_sh*(ox_open+rent_mw)*Sens!$O$8836/1000</f>
        <v>1.56626245102039</v>
      </c>
    </row>
    <row r="8855" customFormat="false" ht="17.15" hidden="false" customHeight="false" outlineLevel="0" collapsed="false">
      <c r="A8855" s="0" t="s">
        <v>620</v>
      </c>
      <c r="B8855" s="0" t="s">
        <v>86</v>
      </c>
      <c r="C8855" s="38" t="n">
        <f aca="false">Q!$D$7</f>
        <v>107.556</v>
      </c>
      <c r="D8855" s="38" t="n">
        <f aca="false">Q!$E$7</f>
        <v>128.725</v>
      </c>
      <c r="E8855" s="38" t="n">
        <f aca="false">Q!$P$7</f>
        <v>79.819</v>
      </c>
      <c r="N8855" s="38" t="n">
        <f aca="false">Q!$N$7</f>
        <v>60.14</v>
      </c>
      <c r="O8855" s="38" t="n">
        <f aca="false">Q!$O$7</f>
        <v>68.585</v>
      </c>
    </row>
    <row r="8856" customFormat="false" ht="17.15" hidden="false" customHeight="false" outlineLevel="0" collapsed="false">
      <c r="A8856" s="1" t="s">
        <v>621</v>
      </c>
      <c r="B8856" s="8" t="s">
        <v>86</v>
      </c>
      <c r="C8856" s="38" t="n">
        <f aca="false">Sens!$C$8855-Sens!$C$8852</f>
        <v>105.234994643026</v>
      </c>
      <c r="D8856" s="38" t="n">
        <f aca="false">Sens!$D$8855-Sens!$D$8852</f>
        <v>120.021229911349</v>
      </c>
      <c r="E8856" s="38" t="n">
        <f aca="false">Sens!$E$8855-Sens!$E$8852</f>
        <v>71.30864702443</v>
      </c>
      <c r="F8856" s="38" t="n">
        <f aca="false">Sens!$O$8856*(1+Sens!$F$8857)</f>
        <v>71.7692997942464</v>
      </c>
      <c r="G8856" s="38" t="n">
        <f aca="false">Sens!$E$8856+Sens!$F$8856</f>
        <v>143.077946818676</v>
      </c>
      <c r="H8856" s="38" t="n">
        <f aca="false">Sens!$G$8856*(1+Sens!$H$8857)</f>
        <v>161.017077079203</v>
      </c>
      <c r="I8856" s="38" t="n">
        <f aca="false">Sens!$H$8856*(1+Sens!$I$8857)</f>
        <v>178.769759521457</v>
      </c>
      <c r="J8856" s="38" t="n">
        <f aca="false">Sens!$I$8856*(1+Sens!$J$8857)</f>
        <v>195.775538045907</v>
      </c>
      <c r="K8856" s="38" t="n">
        <f aca="false">Sens!$J$8856*(1+Sens!$K$8857)</f>
        <v>211.43758108958</v>
      </c>
      <c r="L8856" s="38" t="n">
        <f aca="false">Sens!$K$8856*(1+Sens!$L$8857)</f>
        <v>228.352587576746</v>
      </c>
      <c r="M8856" s="38" t="n">
        <f aca="false">Sens!$L$8856*(1+Sens!$M$8857)</f>
        <v>246.620794582886</v>
      </c>
      <c r="N8856" s="38" t="n">
        <f aca="false">Sens!$N$8855-Sens!$N$8852</f>
        <v>57.0936804689721</v>
      </c>
      <c r="O8856" s="38" t="n">
        <f aca="false">Sens!$O$8855-Sens!$O$8852</f>
        <v>62.9275494423768</v>
      </c>
      <c r="P8856" s="5" t="s">
        <v>622</v>
      </c>
    </row>
    <row r="8857" customFormat="false" ht="17.15" hidden="false" customHeight="false" outlineLevel="0" collapsed="false">
      <c r="A8857" s="0" t="s">
        <v>623</v>
      </c>
      <c r="B8857" s="0" t="s">
        <v>52</v>
      </c>
      <c r="D8857" s="13" t="n">
        <f aca="false">Sens!$D$8856/Sens!$C$8856-1</f>
        <v>0.140506827776062</v>
      </c>
      <c r="E8857" s="13" t="n">
        <f aca="false">Sens!$E$8856/Sens!$N$8856-1</f>
        <v>0.248976181579029</v>
      </c>
      <c r="F8857" s="13" t="n">
        <f aca="false">Sens!$D$8857</f>
        <v>0.140506827776062</v>
      </c>
      <c r="G8857" s="13" t="n">
        <f aca="false">Sens!$G$8856/Sens!$D$8856-1</f>
        <v>0.19210532106993</v>
      </c>
      <c r="H8857" s="13" t="n">
        <f aca="false">Sens!$F$8857+(g_awso_lt-Sens!$F$8857)*1/4</f>
        <v>0.125380120832046</v>
      </c>
      <c r="I8857" s="13" t="n">
        <f aca="false">Sens!$F$8857+(g_awso_lt-Sens!$F$8857)*2/4</f>
        <v>0.110253413888031</v>
      </c>
      <c r="J8857" s="13" t="n">
        <f aca="false">Sens!$F$8857+(g_awso_lt-Sens!$F$8857)*3/4</f>
        <v>0.0951267069440154</v>
      </c>
      <c r="K8857" s="13" t="n">
        <f aca="false">Sens!$F$8857+(g_awso_lt-Sens!$F$8857)*4/4</f>
        <v>0.08</v>
      </c>
      <c r="L8857" s="13" t="n">
        <f aca="false">g_awso_lt</f>
        <v>0.08</v>
      </c>
      <c r="M8857" s="13" t="n">
        <f aca="false">g_awso_lt</f>
        <v>0.08</v>
      </c>
      <c r="P8857" s="5" t="s">
        <v>624</v>
      </c>
    </row>
    <row r="8858" customFormat="false" ht="17.15" hidden="false" customHeight="false" outlineLevel="0" collapsed="false">
      <c r="A8858" s="1" t="s">
        <v>625</v>
      </c>
    </row>
    <row r="8859" customFormat="false" ht="17.15" hidden="false" customHeight="false" outlineLevel="0" collapsed="false">
      <c r="A8859" s="0" t="s">
        <v>626</v>
      </c>
      <c r="B8859" s="0" t="s">
        <v>86</v>
      </c>
      <c r="F8859" s="38" t="n">
        <f aca="false">cx_rt*Sens!$F$8824+cx_awso*Sens!$F$8856</f>
        <v>34.9734495387866</v>
      </c>
    </row>
    <row r="8860" customFormat="false" ht="17.15" hidden="false" customHeight="false" outlineLevel="0" collapsed="false">
      <c r="A8860" s="0" t="s">
        <v>627</v>
      </c>
      <c r="B8860" s="0" t="s">
        <v>52</v>
      </c>
      <c r="C8860" s="13" t="n">
        <f aca="false">tk_cx_h100/(tk_cx_h100+tk_fac*(1-colo_sh))</f>
        <v>0.730756458006641</v>
      </c>
      <c r="D8860" s="13" t="n">
        <f aca="false">tk_cx_h100/(tk_cx_h100+tk_fac*(1-colo_sh))</f>
        <v>0.730756458006641</v>
      </c>
      <c r="E8860" s="13" t="n">
        <f aca="false">Sens!$F$8860</f>
        <v>0.760792334328868</v>
      </c>
      <c r="F8860" s="13" t="n">
        <f aca="false">Sens!$F$8843/(Sens!$F$8843+tk_fac*(1-colo_sh))</f>
        <v>0.760792334328868</v>
      </c>
      <c r="G8860" s="13" t="n">
        <f aca="false">Sens!$G$8843/(Sens!$G$8843+tk_fac*(1-colo_sh))</f>
        <v>0.760792334328868</v>
      </c>
      <c r="H8860" s="13" t="n">
        <f aca="false">Sens!$H$8843/(Sens!$H$8843+tk_fac*(1-colo_sh))</f>
        <v>0.768110668862996</v>
      </c>
      <c r="I8860" s="13" t="n">
        <f aca="false">Sens!$I$8843/(Sens!$I$8843+tk_fac*(1-colo_sh))</f>
        <v>0.77499450139483</v>
      </c>
      <c r="J8860" s="13" t="n">
        <f aca="false">Sens!$J$8843/(Sens!$J$8843+tk_fac*(1-colo_sh))</f>
        <v>0.77499450139483</v>
      </c>
      <c r="K8860" s="13" t="n">
        <f aca="false">Sens!$K$8843/(Sens!$K$8843+tk_fac*(1-colo_sh))</f>
        <v>0.77499450139483</v>
      </c>
      <c r="L8860" s="13" t="n">
        <f aca="false">Sens!$L$8843/(Sens!$L$8843+tk_fac*(1-colo_sh))</f>
        <v>0.77499450139483</v>
      </c>
      <c r="M8860" s="13" t="n">
        <f aca="false">Sens!$M$8843/(Sens!$M$8843+tk_fac*(1-colo_sh))</f>
        <v>0.77499450139483</v>
      </c>
    </row>
    <row r="8861" customFormat="false" ht="17.15" hidden="false" customHeight="false" outlineLevel="0" collapsed="false">
      <c r="A8861" s="1" t="s">
        <v>628</v>
      </c>
      <c r="B8861" s="8" t="s">
        <v>86</v>
      </c>
      <c r="C8861" s="38" t="n">
        <f aca="false">Q!$D$46-cx_rt*Q!$D$16-cx_awso*Sens!$C$8856</f>
        <v>25.2781053077374</v>
      </c>
      <c r="D8861" s="38" t="n">
        <f aca="false">Q!$E$46-cx_rt*Q!$E$16-cx_awso*Sens!$D$8856</f>
        <v>69.5686316310026</v>
      </c>
      <c r="E8861" s="38" t="n">
        <f aca="false">Q!$P$46-cx_rt*Q!$P$16-cx_awso*Sens!$E$8856</f>
        <v>64.1899206485108</v>
      </c>
      <c r="F8861" s="38" t="n">
        <f aca="false">MAX(Sens!$F$8838*(Sens!$F$8843+tk_fac*(1-colo_sh))/1000,capex_g26-Q!$P$46-Sens!$F$8859)</f>
        <v>96.2481299895</v>
      </c>
      <c r="G8861" s="38" t="n">
        <f aca="false">Sens!$E$8861+Sens!$F$8861</f>
        <v>160.438050638011</v>
      </c>
      <c r="H8861" s="38" t="n">
        <f aca="false">Sens!$H$8838*(Sens!$H$8843+tk_fac*(1-colo_sh))/1000+Sens!$H$8862</f>
        <v>198.57136494475</v>
      </c>
      <c r="I8861" s="38" t="n">
        <f aca="false">Sens!$I$8838*(Sens!$I$8843+tk_fac*(1-colo_sh))/1000+Sens!$I$8862</f>
        <v>204.6464699105</v>
      </c>
      <c r="J8861" s="38" t="n">
        <f aca="false">Sens!$J$8838*(Sens!$J$8843+tk_fac*(1-colo_sh))/1000+Sens!$J$8862</f>
        <v>209.8832381105</v>
      </c>
      <c r="K8861" s="38" t="n">
        <f aca="false">Sens!$K$8838*(Sens!$K$8843+tk_fac*(1-colo_sh))/1000+Sens!$K$8862</f>
        <v>158.016341586823</v>
      </c>
      <c r="L8861" s="38" t="n">
        <f aca="false">Sens!$L$8838*(Sens!$L$8843+tk_fac*(1-colo_sh))/1000+Sens!$L$8862</f>
        <v>137.570054263147</v>
      </c>
      <c r="M8861" s="38" t="n">
        <f aca="false">Sens!$M$8838*(Sens!$M$8843+tk_fac*(1-colo_sh))/1000+Sens!$M$8862</f>
        <v>140.56485059472</v>
      </c>
      <c r="P8861" s="5" t="s">
        <v>629</v>
      </c>
      <c r="R8861" s="38" t="n">
        <f aca="false">Q!$C$46-cx_rt*Q!$C$16-cx_awso*(Q!$C$7-mw_ye23/2*rpm_open/1000)</f>
        <v>1.50429979529945</v>
      </c>
      <c r="S8861" s="38" t="n">
        <f aca="false">Sens!$C$8861</f>
        <v>25.2781053077374</v>
      </c>
      <c r="T8861" s="38" t="n">
        <f aca="false">Sens!$D$8861</f>
        <v>69.5686316310026</v>
      </c>
      <c r="U8861" s="38" t="n">
        <f aca="false">Sens!$G$8861</f>
        <v>160.438050638011</v>
      </c>
      <c r="V8861" s="38" t="n">
        <f aca="false">Sens!$H$8861</f>
        <v>198.57136494475</v>
      </c>
      <c r="W8861" s="38" t="n">
        <f aca="false">Sens!$I$8861</f>
        <v>204.6464699105</v>
      </c>
      <c r="X8861" s="38" t="n">
        <f aca="false">Sens!$J$8861</f>
        <v>209.8832381105</v>
      </c>
      <c r="Y8861" s="38" t="n">
        <f aca="false">Sens!$K$8861</f>
        <v>158.016341586823</v>
      </c>
      <c r="Z8861" s="38" t="n">
        <f aca="false">Sens!$L$8861</f>
        <v>137.570054263147</v>
      </c>
      <c r="AA8861" s="38" t="n">
        <f aca="false">Sens!$M$8861</f>
        <v>140.56485059472</v>
      </c>
    </row>
    <row r="8862" customFormat="false" ht="17.15" hidden="false" customHeight="false" outlineLevel="0" collapsed="false">
      <c r="A8862" s="0" t="s">
        <v>630</v>
      </c>
      <c r="B8862" s="0" t="s">
        <v>86</v>
      </c>
      <c r="H8862" s="38" t="n">
        <f aca="false">SUMPRODUCT(--(Sens!$R$8831:$AA$8831=2027-tk_life),Sens!$R$8838:$AA$8838)*Sens!$H$8843/1000</f>
        <v>0</v>
      </c>
      <c r="I8862" s="38" t="n">
        <f aca="false">SUMPRODUCT(--(Sens!$R$8831:$AA$8831=2028-tk_life),Sens!$R$8838:$AA$8838)*Sens!$I$8843/1000</f>
        <v>0</v>
      </c>
      <c r="J8862" s="38" t="n">
        <f aca="false">SUMPRODUCT(--(Sens!$R$8831:$AA$8831=2029-tk_life),Sens!$R$8838:$AA$8838)*Sens!$J$8843/1000</f>
        <v>5.2367682</v>
      </c>
      <c r="K8862" s="38" t="n">
        <f aca="false">SUMPRODUCT(--(Sens!$R$8831:$AA$8831=2030-tk_life),Sens!$R$8838:$AA$8838)*Sens!$K$8843/1000</f>
        <v>10.4735364</v>
      </c>
      <c r="L8862" s="38" t="n">
        <f aca="false">SUMPRODUCT(--(Sens!$R$8831:$AA$8831=2031-tk_life),Sens!$R$8838:$AA$8838)*Sens!$L$8843/1000</f>
        <v>47.1309138</v>
      </c>
      <c r="M8862" s="38" t="n">
        <f aca="false">SUMPRODUCT(--(Sens!$R$8831:$AA$8831=2032-tk_life),Sens!$R$8838:$AA$8838)*Sens!$M$8843/1000</f>
        <v>107.22937485525</v>
      </c>
    </row>
    <row r="8863" customFormat="false" ht="17.15" hidden="false" customHeight="false" outlineLevel="0" collapsed="false">
      <c r="A8863" s="0" t="s">
        <v>631</v>
      </c>
      <c r="B8863" s="0" t="s">
        <v>86</v>
      </c>
      <c r="C8863" s="38" t="n">
        <f aca="false">MIN(Sens!$C$8861,Sens!$C$8838*(tk_cx_h100+tk_fac*(1-colo_sh))/1000)</f>
        <v>11.2938642</v>
      </c>
      <c r="D8863" s="38" t="n">
        <f aca="false">MIN(Sens!$D$8861,Sens!$D$8838*(tk_cx_h100+tk_fac*(1-colo_sh))/1000)</f>
        <v>50.8223889</v>
      </c>
      <c r="E8863" s="38" t="n">
        <f aca="false">MIN(Sens!$E$8861,Sens!$E$8838*(Sens!$F$8843+tk_fac*(1-colo_sh))/1000)</f>
        <v>33.8985792</v>
      </c>
      <c r="F8863" s="38" t="n">
        <f aca="false">Sens!$F$8861</f>
        <v>96.2481299895</v>
      </c>
      <c r="G8863" s="38" t="n">
        <f aca="false">Sens!$E$8863+Sens!$F$8863</f>
        <v>130.1467091895</v>
      </c>
      <c r="H8863" s="38" t="n">
        <f aca="false">Sens!$H$8861</f>
        <v>198.57136494475</v>
      </c>
      <c r="I8863" s="38" t="n">
        <f aca="false">Sens!$I$8861</f>
        <v>204.6464699105</v>
      </c>
      <c r="J8863" s="38" t="n">
        <f aca="false">Sens!$J$8861</f>
        <v>209.8832381105</v>
      </c>
      <c r="K8863" s="38" t="n">
        <f aca="false">Sens!$K$8861</f>
        <v>158.016341586823</v>
      </c>
      <c r="L8863" s="38" t="n">
        <f aca="false">Sens!$L$8861</f>
        <v>137.570054263147</v>
      </c>
      <c r="M8863" s="38" t="n">
        <f aca="false">Sens!$M$8861</f>
        <v>140.56485059472</v>
      </c>
      <c r="P8863" s="5" t="s">
        <v>632</v>
      </c>
      <c r="R8863" s="38" t="n">
        <f aca="false">MIN(Sens!$R$8861,Sens!$R$8838*(tk_cx_h100+tk_fac*(1-colo_sh))/1000)</f>
        <v>1.50429979529945</v>
      </c>
      <c r="S8863" s="38" t="n">
        <f aca="false">Sens!$C$8863</f>
        <v>11.2938642</v>
      </c>
      <c r="T8863" s="38" t="n">
        <f aca="false">Sens!$D$8863</f>
        <v>50.8223889</v>
      </c>
      <c r="U8863" s="38" t="n">
        <f aca="false">Sens!$G$8863</f>
        <v>130.1467091895</v>
      </c>
      <c r="V8863" s="38" t="n">
        <f aca="false">Sens!$H$8863</f>
        <v>198.57136494475</v>
      </c>
      <c r="W8863" s="38" t="n">
        <f aca="false">Sens!$I$8863</f>
        <v>204.6464699105</v>
      </c>
      <c r="X8863" s="38" t="n">
        <f aca="false">Sens!$J$8863</f>
        <v>209.8832381105</v>
      </c>
      <c r="Y8863" s="38" t="n">
        <f aca="false">Sens!$K$8863</f>
        <v>158.016341586823</v>
      </c>
      <c r="Z8863" s="38" t="n">
        <f aca="false">Sens!$L$8863</f>
        <v>137.570054263147</v>
      </c>
      <c r="AA8863" s="38" t="n">
        <f aca="false">Sens!$M$8863</f>
        <v>140.56485059472</v>
      </c>
    </row>
    <row r="8864" customFormat="false" ht="17.15" hidden="false" customHeight="false" outlineLevel="0" collapsed="false">
      <c r="A8864" s="5" t="s">
        <v>633</v>
      </c>
      <c r="B8864" s="0" t="s">
        <v>86</v>
      </c>
      <c r="C8864" s="38" t="n">
        <f aca="false">Sens!$C$8861-Sens!$C$8863</f>
        <v>13.9842411077374</v>
      </c>
      <c r="D8864" s="38" t="n">
        <f aca="false">Sens!$D$8861-Sens!$D$8863</f>
        <v>18.7462427310026</v>
      </c>
      <c r="E8864" s="38" t="n">
        <f aca="false">Sens!$E$8861-Sens!$E$8863</f>
        <v>30.2913414485108</v>
      </c>
      <c r="F8864" s="38" t="n">
        <f aca="false">Sens!$F$8861-Sens!$F$8863</f>
        <v>0</v>
      </c>
      <c r="G8864" s="38" t="n">
        <f aca="false">Sens!$G$8861-Sens!$G$8863</f>
        <v>30.2913414485108</v>
      </c>
      <c r="H8864" s="38" t="n">
        <f aca="false">Sens!$H$8861-Sens!$H$8863</f>
        <v>0</v>
      </c>
      <c r="I8864" s="38" t="n">
        <f aca="false">Sens!$I$8861-Sens!$I$8863</f>
        <v>0</v>
      </c>
      <c r="J8864" s="38" t="n">
        <f aca="false">Sens!$J$8861-Sens!$J$8863</f>
        <v>0</v>
      </c>
      <c r="K8864" s="38" t="n">
        <f aca="false">Sens!$K$8861-Sens!$K$8863</f>
        <v>0</v>
      </c>
      <c r="L8864" s="38" t="n">
        <f aca="false">Sens!$L$8861-Sens!$L$8863</f>
        <v>0</v>
      </c>
      <c r="M8864" s="38" t="n">
        <f aca="false">Sens!$M$8861-Sens!$M$8863</f>
        <v>0</v>
      </c>
    </row>
    <row r="8865" customFormat="false" ht="17.15" hidden="false" customHeight="false" outlineLevel="0" collapsed="false">
      <c r="A8865" s="5" t="s">
        <v>634</v>
      </c>
      <c r="B8865" s="0" t="s">
        <v>86</v>
      </c>
      <c r="C8865" s="38" t="n">
        <f aca="false">Sens!$C$8863*Sens!$C$8860</f>
        <v>8.2530642</v>
      </c>
      <c r="D8865" s="38" t="n">
        <f aca="false">Sens!$D$8863*Sens!$D$8860</f>
        <v>37.1387889</v>
      </c>
      <c r="E8865" s="38" t="n">
        <f aca="false">Sens!$E$8863*Sens!$E$8860</f>
        <v>25.7897792</v>
      </c>
      <c r="F8865" s="38" t="n">
        <f aca="false">Sens!$F$8863*Sens!$F$8860</f>
        <v>73.2248394895</v>
      </c>
      <c r="G8865" s="38" t="n">
        <f aca="false">Sens!$E$8865+Sens!$F$8865</f>
        <v>99.0146186895</v>
      </c>
      <c r="H8865" s="38" t="n">
        <f aca="false">(Sens!$H$8863-Sens!$H$8862)*Sens!$H$8860+Sens!$H$8862</f>
        <v>152.52478394475</v>
      </c>
      <c r="I8865" s="38" t="n">
        <f aca="false">(Sens!$I$8863-Sens!$I$8862)*Sens!$I$8860+Sens!$I$8862</f>
        <v>158.5998889105</v>
      </c>
      <c r="J8865" s="38" t="n">
        <f aca="false">(Sens!$J$8863-Sens!$J$8862)*Sens!$J$8860+Sens!$J$8862</f>
        <v>163.8366571105</v>
      </c>
      <c r="K8865" s="38" t="n">
        <f aca="false">(Sens!$K$8863-Sens!$K$8862)*Sens!$K$8860+Sens!$K$8862</f>
        <v>124.818399140157</v>
      </c>
      <c r="L8865" s="38" t="n">
        <f aca="false">(Sens!$L$8863-Sens!$L$8862)*Sens!$L$8860+Sens!$L$8862</f>
        <v>117.220750369813</v>
      </c>
      <c r="M8865" s="38" t="n">
        <f aca="false">(Sens!$M$8863-Sens!$M$8862)*Sens!$M$8860+Sens!$M$8862</f>
        <v>133.06418525472</v>
      </c>
      <c r="R8865" s="38" t="n">
        <f aca="false">Sens!$R$8863*Sens!$C$8860</f>
        <v>1.09927679019314</v>
      </c>
      <c r="S8865" s="38" t="n">
        <f aca="false">Sens!$C$8865</f>
        <v>8.2530642</v>
      </c>
      <c r="T8865" s="38" t="n">
        <f aca="false">Sens!$D$8865</f>
        <v>37.1387889</v>
      </c>
      <c r="U8865" s="38" t="n">
        <f aca="false">Sens!$G$8865</f>
        <v>99.0146186895</v>
      </c>
      <c r="V8865" s="38" t="n">
        <f aca="false">Sens!$H$8865</f>
        <v>152.52478394475</v>
      </c>
      <c r="W8865" s="38" t="n">
        <f aca="false">Sens!$I$8865</f>
        <v>158.5998889105</v>
      </c>
      <c r="X8865" s="38" t="n">
        <f aca="false">Sens!$J$8865</f>
        <v>163.8366571105</v>
      </c>
      <c r="Y8865" s="38" t="n">
        <f aca="false">Sens!$K$8865</f>
        <v>124.818399140157</v>
      </c>
      <c r="Z8865" s="38" t="n">
        <f aca="false">Sens!$L$8865</f>
        <v>117.220750369813</v>
      </c>
      <c r="AA8865" s="38" t="n">
        <f aca="false">Sens!$M$8865</f>
        <v>133.06418525472</v>
      </c>
    </row>
    <row r="8866" customFormat="false" ht="15" hidden="false" customHeight="false" outlineLevel="0" collapsed="false">
      <c r="A8866" s="5" t="s">
        <v>635</v>
      </c>
      <c r="B8866" s="0" t="s">
        <v>86</v>
      </c>
      <c r="C8866" s="38" t="n">
        <f aca="false">Sens!$C$8863-Sens!$C$8865</f>
        <v>3.0408</v>
      </c>
      <c r="D8866" s="38" t="n">
        <f aca="false">Sens!$D$8863-Sens!$D$8865</f>
        <v>13.6836</v>
      </c>
      <c r="E8866" s="38" t="n">
        <f aca="false">Sens!$E$8863-Sens!$E$8865</f>
        <v>8.1088</v>
      </c>
      <c r="F8866" s="38" t="n">
        <f aca="false">Sens!$F$8863-Sens!$F$8865</f>
        <v>23.0232905</v>
      </c>
      <c r="G8866" s="38" t="n">
        <f aca="false">Sens!$G$8863-Sens!$G$8865</f>
        <v>31.1320905</v>
      </c>
      <c r="H8866" s="38" t="n">
        <f aca="false">Sens!$H$8863-Sens!$H$8865</f>
        <v>46.046581</v>
      </c>
      <c r="I8866" s="38" t="n">
        <f aca="false">Sens!$I$8863-Sens!$I$8865</f>
        <v>46.046581</v>
      </c>
      <c r="J8866" s="38" t="n">
        <f aca="false">Sens!$J$8863-Sens!$J$8865</f>
        <v>46.046581</v>
      </c>
      <c r="K8866" s="38" t="n">
        <f aca="false">Sens!$K$8863-Sens!$K$8865</f>
        <v>33.1979424466667</v>
      </c>
      <c r="L8866" s="38" t="n">
        <f aca="false">Sens!$L$8863-Sens!$L$8865</f>
        <v>20.3493038933333</v>
      </c>
      <c r="M8866" s="38" t="n">
        <f aca="false">Sens!$M$8863-Sens!$M$8865</f>
        <v>7.50066534000001</v>
      </c>
      <c r="R8866" s="38" t="n">
        <f aca="false">Sens!$R$8863-Sens!$R$8865</f>
        <v>0.405023005106309</v>
      </c>
      <c r="S8866" s="38" t="n">
        <f aca="false">Sens!$S$8863-Sens!$S$8865</f>
        <v>3.0408</v>
      </c>
      <c r="T8866" s="38" t="n">
        <f aca="false">Sens!$T$8863-Sens!$T$8865</f>
        <v>13.6836</v>
      </c>
      <c r="U8866" s="38" t="n">
        <f aca="false">Sens!$U$8863-Sens!$U$8865</f>
        <v>31.1320905</v>
      </c>
      <c r="V8866" s="38" t="n">
        <f aca="false">Sens!$V$8863-Sens!$V$8865</f>
        <v>46.046581</v>
      </c>
      <c r="W8866" s="38" t="n">
        <f aca="false">Sens!$W$8863-Sens!$W$8865</f>
        <v>46.046581</v>
      </c>
      <c r="X8866" s="38" t="n">
        <f aca="false">Sens!$X$8863-Sens!$X$8865</f>
        <v>46.046581</v>
      </c>
      <c r="Y8866" s="38" t="n">
        <f aca="false">Sens!$Y$8863-Sens!$Y$8865</f>
        <v>33.1979424466667</v>
      </c>
      <c r="Z8866" s="38" t="n">
        <f aca="false">Sens!$Z$8863-Sens!$Z$8865</f>
        <v>20.3493038933333</v>
      </c>
      <c r="AA8866" s="38" t="n">
        <f aca="false">Sens!$AA$8863-Sens!$AA$8865</f>
        <v>7.50066534000001</v>
      </c>
    </row>
    <row r="8867" customFormat="false" ht="17.15" hidden="false" customHeight="false" outlineLevel="0" collapsed="false">
      <c r="A8867" s="0" t="s">
        <v>636</v>
      </c>
      <c r="B8867" s="0" t="s">
        <v>52</v>
      </c>
      <c r="C8867" s="13" t="n">
        <f aca="false">Sens!$C$8861/Sens!$C$8983</f>
        <v>0.325505489553393</v>
      </c>
      <c r="D8867" s="13" t="n">
        <f aca="false">Sens!$D$8861/Sens!$D$8983</f>
        <v>0.54214956071542</v>
      </c>
      <c r="E8867" s="13" t="n">
        <f aca="false">Sens!$E$8861/Sens!$E$8983</f>
        <v>0.666492790452817</v>
      </c>
      <c r="F8867" s="13" t="n">
        <f aca="false">Sens!$F$8861/Sens!$F$8983</f>
        <v>0.733477910687338</v>
      </c>
      <c r="G8867" s="13" t="n">
        <f aca="false">Sens!$G$8861/Sens!$G$8983</f>
        <v>0.705124321514523</v>
      </c>
      <c r="H8867" s="13" t="n">
        <f aca="false">Sens!$H$8861/Sens!$H$8983</f>
        <v>0.726376041178204</v>
      </c>
      <c r="I8867" s="13" t="n">
        <f aca="false">Sens!$I$8861/Sens!$I$8983</f>
        <v>0.713099092661699</v>
      </c>
      <c r="J8867" s="13" t="n">
        <f aca="false">Sens!$J$8861/Sens!$J$8983</f>
        <v>0.701208348786245</v>
      </c>
      <c r="K8867" s="13" t="n">
        <f aca="false">Sens!$K$8861/Sens!$K$8983</f>
        <v>0.622515721629545</v>
      </c>
      <c r="L8867" s="13" t="n">
        <f aca="false">Sens!$L$8861/Sens!$L$8983</f>
        <v>0.572606741433048</v>
      </c>
      <c r="M8867" s="13" t="n">
        <f aca="false">Sens!$M$8861/Sens!$M$8983</f>
        <v>0.560855994905929</v>
      </c>
    </row>
    <row r="8868" customFormat="false" ht="17.15" hidden="false" customHeight="false" outlineLevel="0" collapsed="false">
      <c r="A8868" s="0" t="s">
        <v>637</v>
      </c>
      <c r="B8868" s="0" t="s">
        <v>86</v>
      </c>
      <c r="C8868" s="38" t="n">
        <f aca="false">Sens!$S$8868</f>
        <v>0.183212798365523</v>
      </c>
      <c r="D8868" s="38" t="n">
        <f aca="false">Sens!$T$8868</f>
        <v>1.55872349836552</v>
      </c>
      <c r="E8868" s="38" t="n">
        <f aca="false">Sens!$G$8868/2</f>
        <v>3.87426082418276</v>
      </c>
      <c r="F8868" s="38" t="n">
        <f aca="false">Sens!$G$8868/2</f>
        <v>3.87426082418276</v>
      </c>
      <c r="G8868" s="38" t="n">
        <f aca="false">Sens!$U$8868</f>
        <v>7.74852164836552</v>
      </c>
      <c r="H8868" s="38" t="n">
        <f aca="false">Sens!$V$8868</f>
        <v>24.2509580966155</v>
      </c>
      <c r="I8868" s="38" t="n">
        <f aca="false">Sens!$W$8868</f>
        <v>49.6717554207405</v>
      </c>
      <c r="J8868" s="38" t="n">
        <f aca="false">Sens!$X$8868</f>
        <v>76.1050702391572</v>
      </c>
      <c r="K8868" s="38" t="n">
        <f aca="false">Sens!$Y$8868</f>
        <v>103.227966959208</v>
      </c>
      <c r="L8868" s="38" t="n">
        <f aca="false">Sens!$Z$8868</f>
        <v>122.655522782568</v>
      </c>
      <c r="M8868" s="38" t="n">
        <f aca="false">Sens!$AA$8868</f>
        <v>136.00251636087</v>
      </c>
      <c r="N8868" s="38" t="n">
        <f aca="false">Sens!$D$8868/2</f>
        <v>0.779361749182762</v>
      </c>
      <c r="O8868" s="38" t="n">
        <f aca="false">Sens!$D$8868/2</f>
        <v>0.779361749182762</v>
      </c>
      <c r="R8868" s="38" t="n">
        <f aca="false">SUMPRODUCT(--(Sens!$R$8831:$AA$8831&lt;Sens!R$8831),--(Sens!$R$8831:$AA$8831&gt;=Sens!R$8831-tk_life),Sens!$R$8865:$AA$8865)/tk_life</f>
        <v>0</v>
      </c>
      <c r="S8868" s="38" t="n">
        <f aca="false">SUMPRODUCT(--(Sens!$R$8831:$AA$8831&lt;Sens!S$8831),--(Sens!$R$8831:$AA$8831&gt;=Sens!S$8831-tk_life),Sens!$R$8865:$AA$8865)/tk_life</f>
        <v>0.183212798365523</v>
      </c>
      <c r="T8868" s="38" t="n">
        <f aca="false">SUMPRODUCT(--(Sens!$R$8831:$AA$8831&lt;Sens!T$8831),--(Sens!$R$8831:$AA$8831&gt;=Sens!T$8831-tk_life),Sens!$R$8865:$AA$8865)/tk_life</f>
        <v>1.55872349836552</v>
      </c>
      <c r="U8868" s="38" t="n">
        <f aca="false">SUMPRODUCT(--(Sens!$R$8831:$AA$8831&lt;Sens!U$8831),--(Sens!$R$8831:$AA$8831&gt;=Sens!U$8831-tk_life),Sens!$R$8865:$AA$8865)/tk_life</f>
        <v>7.74852164836552</v>
      </c>
      <c r="V8868" s="38" t="n">
        <f aca="false">SUMPRODUCT(--(Sens!$R$8831:$AA$8831&lt;Sens!V$8831),--(Sens!$R$8831:$AA$8831&gt;=Sens!V$8831-tk_life),Sens!$R$8865:$AA$8865)/tk_life</f>
        <v>24.2509580966155</v>
      </c>
      <c r="W8868" s="38" t="n">
        <f aca="false">SUMPRODUCT(--(Sens!$R$8831:$AA$8831&lt;Sens!W$8831),--(Sens!$R$8831:$AA$8831&gt;=Sens!W$8831-tk_life),Sens!$R$8865:$AA$8865)/tk_life</f>
        <v>49.6717554207405</v>
      </c>
      <c r="X8868" s="38" t="n">
        <f aca="false">SUMPRODUCT(--(Sens!$R$8831:$AA$8831&lt;Sens!X$8831),--(Sens!$R$8831:$AA$8831&gt;=Sens!X$8831-tk_life),Sens!$R$8865:$AA$8865)/tk_life</f>
        <v>76.1050702391572</v>
      </c>
      <c r="Y8868" s="38" t="n">
        <f aca="false">SUMPRODUCT(--(Sens!$R$8831:$AA$8831&lt;Sens!Y$8831),--(Sens!$R$8831:$AA$8831&gt;=Sens!Y$8831-tk_life),Sens!$R$8865:$AA$8865)/tk_life</f>
        <v>103.227966959208</v>
      </c>
      <c r="Z8868" s="38" t="n">
        <f aca="false">SUMPRODUCT(--(Sens!$R$8831:$AA$8831&lt;Sens!Z$8831),--(Sens!$R$8831:$AA$8831&gt;=Sens!Z$8831-tk_life),Sens!$R$8865:$AA$8865)/tk_life</f>
        <v>122.655522782568</v>
      </c>
      <c r="AA8868" s="38" t="n">
        <f aca="false">SUMPRODUCT(--(Sens!$R$8831:$AA$8831&lt;Sens!AA$8831),--(Sens!$R$8831:$AA$8831&gt;=Sens!AA$8831-tk_life),Sens!$R$8865:$AA$8865)/tk_life</f>
        <v>136.00251636087</v>
      </c>
    </row>
    <row r="8869" customFormat="false" ht="17.15" hidden="false" customHeight="false" outlineLevel="0" collapsed="false">
      <c r="A8869" s="0" t="s">
        <v>638</v>
      </c>
      <c r="B8869" s="0" t="s">
        <v>86</v>
      </c>
      <c r="C8869" s="38" t="n">
        <f aca="false">Sens!$S$8869</f>
        <v>0.0202511502553155</v>
      </c>
      <c r="D8869" s="38" t="n">
        <f aca="false">Sens!$T$8869</f>
        <v>0.172291150255315</v>
      </c>
      <c r="E8869" s="38" t="n">
        <f aca="false">Sens!$G$8869/2</f>
        <v>0.428235575127658</v>
      </c>
      <c r="F8869" s="38" t="n">
        <f aca="false">Sens!$G$8869/2</f>
        <v>0.428235575127658</v>
      </c>
      <c r="G8869" s="38" t="n">
        <f aca="false">Sens!$U$8869</f>
        <v>0.856471150255315</v>
      </c>
      <c r="H8869" s="38" t="n">
        <f aca="false">Sens!$V$8869</f>
        <v>2.41307567525532</v>
      </c>
      <c r="I8869" s="38" t="n">
        <f aca="false">Sens!$W$8869</f>
        <v>4.71540472525532</v>
      </c>
      <c r="J8869" s="38" t="n">
        <f aca="false">Sens!$X$8869</f>
        <v>7.01773377525532</v>
      </c>
      <c r="K8869" s="38" t="n">
        <f aca="false">Sens!$Y$8869</f>
        <v>9.32006282525532</v>
      </c>
      <c r="L8869" s="38" t="n">
        <f aca="false">Sens!$Z$8869</f>
        <v>10.9799599475887</v>
      </c>
      <c r="M8869" s="38" t="n">
        <f aca="false">Sens!$AA$8869</f>
        <v>11.9974251422553</v>
      </c>
      <c r="N8869" s="38" t="n">
        <f aca="false">Sens!$D$8869/2</f>
        <v>0.0861455751276577</v>
      </c>
      <c r="O8869" s="38" t="n">
        <f aca="false">Sens!$D$8869/2</f>
        <v>0.0861455751276577</v>
      </c>
      <c r="R8869" s="38" t="n">
        <f aca="false">SUMPRODUCT(--(Sens!$R$8831:$AA$8831&lt;Sens!R$8831),Sens!$R$8866:$AA$8866)/fac_life</f>
        <v>0</v>
      </c>
      <c r="S8869" s="38" t="n">
        <f aca="false">SUMPRODUCT(--(Sens!$R$8831:$AA$8831&lt;Sens!S$8831),Sens!$R$8866:$AA$8866)/fac_life</f>
        <v>0.0202511502553155</v>
      </c>
      <c r="T8869" s="38" t="n">
        <f aca="false">SUMPRODUCT(--(Sens!$R$8831:$AA$8831&lt;Sens!T$8831),Sens!$R$8866:$AA$8866)/fac_life</f>
        <v>0.172291150255315</v>
      </c>
      <c r="U8869" s="38" t="n">
        <f aca="false">SUMPRODUCT(--(Sens!$R$8831:$AA$8831&lt;Sens!U$8831),Sens!$R$8866:$AA$8866)/fac_life</f>
        <v>0.856471150255315</v>
      </c>
      <c r="V8869" s="38" t="n">
        <f aca="false">SUMPRODUCT(--(Sens!$R$8831:$AA$8831&lt;Sens!V$8831),Sens!$R$8866:$AA$8866)/fac_life</f>
        <v>2.41307567525532</v>
      </c>
      <c r="W8869" s="38" t="n">
        <f aca="false">SUMPRODUCT(--(Sens!$R$8831:$AA$8831&lt;Sens!W$8831),Sens!$R$8866:$AA$8866)/fac_life</f>
        <v>4.71540472525532</v>
      </c>
      <c r="X8869" s="38" t="n">
        <f aca="false">SUMPRODUCT(--(Sens!$R$8831:$AA$8831&lt;Sens!X$8831),Sens!$R$8866:$AA$8866)/fac_life</f>
        <v>7.01773377525532</v>
      </c>
      <c r="Y8869" s="38" t="n">
        <f aca="false">SUMPRODUCT(--(Sens!$R$8831:$AA$8831&lt;Sens!Y$8831),Sens!$R$8866:$AA$8866)/fac_life</f>
        <v>9.32006282525532</v>
      </c>
      <c r="Z8869" s="38" t="n">
        <f aca="false">SUMPRODUCT(--(Sens!$R$8831:$AA$8831&lt;Sens!Z$8831),Sens!$R$8866:$AA$8866)/fac_life</f>
        <v>10.9799599475887</v>
      </c>
      <c r="AA8869" s="38" t="n">
        <f aca="false">SUMPRODUCT(--(Sens!$R$8831:$AA$8831&lt;Sens!AA$8831),Sens!$R$8866:$AA$8866)/fac_life</f>
        <v>11.9974251422553</v>
      </c>
    </row>
    <row r="8870" customFormat="false" ht="17.15" hidden="false" customHeight="false" outlineLevel="0" collapsed="false">
      <c r="A8870" s="1" t="s">
        <v>639</v>
      </c>
      <c r="B8870" s="8" t="s">
        <v>86</v>
      </c>
      <c r="C8870" s="38" t="n">
        <f aca="false">Sens!$C$8868+Sens!$C$8869</f>
        <v>0.203463948620839</v>
      </c>
      <c r="D8870" s="38" t="n">
        <f aca="false">Sens!$D$8868+Sens!$D$8869</f>
        <v>1.73101464862084</v>
      </c>
      <c r="E8870" s="38" t="n">
        <f aca="false">Sens!$E$8868+Sens!$E$8869</f>
        <v>4.30249639931042</v>
      </c>
      <c r="F8870" s="38" t="n">
        <f aca="false">Sens!$F$8868+Sens!$F$8869</f>
        <v>4.30249639931042</v>
      </c>
      <c r="G8870" s="38" t="n">
        <f aca="false">Sens!$G$8868+Sens!$G$8869</f>
        <v>8.60499279862084</v>
      </c>
      <c r="H8870" s="38" t="n">
        <f aca="false">Sens!$H$8868+Sens!$H$8869</f>
        <v>26.6640337718708</v>
      </c>
      <c r="I8870" s="38" t="n">
        <f aca="false">Sens!$I$8868+Sens!$I$8869</f>
        <v>54.3871601459959</v>
      </c>
      <c r="J8870" s="38" t="n">
        <f aca="false">Sens!$J$8868+Sens!$J$8869</f>
        <v>83.1228040144125</v>
      </c>
      <c r="K8870" s="38" t="n">
        <f aca="false">Sens!$K$8868+Sens!$K$8869</f>
        <v>112.548029784464</v>
      </c>
      <c r="L8870" s="38" t="n">
        <f aca="false">Sens!$L$8868+Sens!$L$8869</f>
        <v>133.635482730156</v>
      </c>
      <c r="M8870" s="38" t="n">
        <f aca="false">Sens!$M$8868+Sens!$M$8869</f>
        <v>147.999941503125</v>
      </c>
      <c r="N8870" s="38" t="n">
        <f aca="false">Sens!$N$8868+Sens!$N$8869</f>
        <v>0.865507324310419</v>
      </c>
      <c r="O8870" s="38" t="n">
        <f aca="false">Sens!$O$8868+Sens!$O$8869</f>
        <v>0.865507324310419</v>
      </c>
      <c r="R8870" s="38" t="n">
        <f aca="false">Sens!$R$8868+Sens!$R$8869</f>
        <v>0</v>
      </c>
      <c r="S8870" s="38" t="n">
        <f aca="false">Sens!$S$8868+Sens!$S$8869</f>
        <v>0.203463948620839</v>
      </c>
      <c r="T8870" s="38" t="n">
        <f aca="false">Sens!$T$8868+Sens!$T$8869</f>
        <v>1.73101464862084</v>
      </c>
      <c r="U8870" s="38" t="n">
        <f aca="false">Sens!$U$8868+Sens!$U$8869</f>
        <v>8.60499279862084</v>
      </c>
      <c r="V8870" s="38" t="n">
        <f aca="false">Sens!$V$8868+Sens!$V$8869</f>
        <v>26.6640337718708</v>
      </c>
      <c r="W8870" s="38" t="n">
        <f aca="false">Sens!$W$8868+Sens!$W$8869</f>
        <v>54.3871601459959</v>
      </c>
      <c r="X8870" s="38" t="n">
        <f aca="false">Sens!$X$8868+Sens!$X$8869</f>
        <v>83.1228040144125</v>
      </c>
      <c r="Y8870" s="38" t="n">
        <f aca="false">Sens!$Y$8868+Sens!$Y$8869</f>
        <v>112.548029784464</v>
      </c>
      <c r="Z8870" s="38" t="n">
        <f aca="false">Sens!$Z$8868+Sens!$Z$8869</f>
        <v>133.635482730156</v>
      </c>
      <c r="AA8870" s="38" t="n">
        <f aca="false">Sens!$AA$8868+Sens!$AA$8869</f>
        <v>147.999941503125</v>
      </c>
    </row>
    <row r="8871" customFormat="false" ht="17.15" hidden="false" customHeight="false" outlineLevel="0" collapsed="false">
      <c r="A8871" s="0" t="s">
        <v>640</v>
      </c>
      <c r="B8871" s="0" t="s">
        <v>86</v>
      </c>
      <c r="C8871" s="38" t="n">
        <f aca="false">Sens!$S$8871</f>
        <v>12.5947000466786</v>
      </c>
      <c r="D8871" s="38" t="n">
        <f aca="false">Sens!$T$8871</f>
        <v>61.6860742980578</v>
      </c>
      <c r="G8871" s="38" t="n">
        <f aca="false">Sens!$U$8871</f>
        <v>183.227790688937</v>
      </c>
      <c r="H8871" s="38" t="n">
        <f aca="false">Sens!$V$8871</f>
        <v>355.135121861816</v>
      </c>
      <c r="I8871" s="38" t="n">
        <f aca="false">Sens!$W$8871</f>
        <v>505.39443162632</v>
      </c>
      <c r="J8871" s="38" t="n">
        <f aca="false">Sens!$X$8871</f>
        <v>632.154865722408</v>
      </c>
      <c r="K8871" s="38" t="n">
        <f aca="false">Sens!$Y$8871</f>
        <v>677.623177524768</v>
      </c>
      <c r="L8871" s="38" t="n">
        <f aca="false">Sens!$Z$8871</f>
        <v>681.557749057758</v>
      </c>
      <c r="M8871" s="38" t="n">
        <f aca="false">Sens!$AA$8871</f>
        <v>674.122658149352</v>
      </c>
      <c r="R8871" s="38" t="n">
        <f aca="false">SUM(Sens!$R$8863:$R$8863)-SUM(Sens!$R$8870:$R$8870)</f>
        <v>1.50429979529945</v>
      </c>
      <c r="S8871" s="38" t="n">
        <f aca="false">SUM(Sens!$R$8863:$S$8863)-SUM(Sens!$R$8870:$S$8870)</f>
        <v>12.5947000466786</v>
      </c>
      <c r="T8871" s="38" t="n">
        <f aca="false">SUM(Sens!$R$8863:$T$8863)-SUM(Sens!$R$8870:$T$8870)</f>
        <v>61.6860742980578</v>
      </c>
      <c r="U8871" s="38" t="n">
        <f aca="false">SUM(Sens!$R$8863:$U$8863)-SUM(Sens!$R$8870:$U$8870)</f>
        <v>183.227790688937</v>
      </c>
      <c r="V8871" s="38" t="n">
        <f aca="false">SUM(Sens!$R$8863:$V$8863)-SUM(Sens!$R$8870:$V$8870)</f>
        <v>355.135121861816</v>
      </c>
      <c r="W8871" s="38" t="n">
        <f aca="false">SUM(Sens!$R$8863:$W$8863)-SUM(Sens!$R$8870:$W$8870)</f>
        <v>505.39443162632</v>
      </c>
      <c r="X8871" s="38" t="n">
        <f aca="false">SUM(Sens!$R$8863:$X$8863)-SUM(Sens!$R$8870:$X$8870)</f>
        <v>632.154865722408</v>
      </c>
      <c r="Y8871" s="38" t="n">
        <f aca="false">SUM(Sens!$R$8863:$Y$8863)-SUM(Sens!$R$8870:$Y$8870)</f>
        <v>677.623177524768</v>
      </c>
      <c r="Z8871" s="38" t="n">
        <f aca="false">SUM(Sens!$R$8863:$Z$8863)-SUM(Sens!$R$8870:$Z$8870)</f>
        <v>681.557749057758</v>
      </c>
      <c r="AA8871" s="38" t="n">
        <f aca="false">SUM(Sens!$R$8863:$AA$8863)-SUM(Sens!$R$8870:$AA$8870)</f>
        <v>674.122658149352</v>
      </c>
    </row>
    <row r="8872" customFormat="false" ht="17.15" hidden="false" customHeight="false" outlineLevel="0" collapsed="false">
      <c r="A8872" s="1" t="s">
        <v>641</v>
      </c>
    </row>
    <row r="8873" customFormat="false" ht="17.15" hidden="false" customHeight="false" outlineLevel="0" collapsed="false">
      <c r="A8873" s="0" t="s">
        <v>642</v>
      </c>
      <c r="B8873" s="0" t="s">
        <v>86</v>
      </c>
      <c r="C8873" s="38" t="n">
        <f aca="false">Sens!$C$8852-ext_sh*Sens!$C$8854</f>
        <v>1.80694998843362</v>
      </c>
      <c r="D8873" s="38" t="n">
        <f aca="false">Sens!$D$8852-ext_sh*Sens!$D$8854</f>
        <v>6.77606245662607</v>
      </c>
      <c r="E8873" s="38" t="n">
        <f aca="false">Sens!$E$8852-ext_sh*Sens!$E$8854</f>
        <v>6.62548329092326</v>
      </c>
      <c r="F8873" s="38" t="n">
        <f aca="false">Sens!$F$8852-ext_sh*Sens!$F$8854</f>
        <v>11.7200577158706</v>
      </c>
      <c r="G8873" s="38" t="n">
        <f aca="false">Sens!$G$8852-ext_sh*Sens!$G$8854</f>
        <v>18.3455410067939</v>
      </c>
      <c r="H8873" s="38" t="n">
        <f aca="false">Sens!$H$8852-ext_sh*Sens!$H$8854</f>
        <v>47.5171727060453</v>
      </c>
      <c r="I8873" s="38" t="n">
        <f aca="false">Sens!$I$8852-ext_sh*Sens!$I$8854</f>
        <v>80.5539692643667</v>
      </c>
      <c r="J8873" s="38" t="n">
        <f aca="false">Sens!$J$8852-ext_sh*Sens!$J$8854</f>
        <v>113.759316834883</v>
      </c>
      <c r="K8873" s="38" t="n">
        <f aca="false">Sens!$K$8852-ext_sh*Sens!$K$8854</f>
        <v>142.313600225088</v>
      </c>
      <c r="L8873" s="38" t="n">
        <f aca="false">Sens!$L$8852-ext_sh*Sens!$L$8854</f>
        <v>161.610137806934</v>
      </c>
      <c r="M8873" s="38" t="n">
        <f aca="false">Sens!$M$8852-ext_sh*Sens!$M$8854</f>
        <v>171.622526917459</v>
      </c>
      <c r="N8873" s="38" t="n">
        <f aca="false">Sens!$N$8852-ext_sh*Sens!$N$8854</f>
        <v>2.37162185981912</v>
      </c>
      <c r="O8873" s="38" t="n">
        <f aca="false">Sens!$O$8852-ext_sh*Sens!$O$8854</f>
        <v>4.40444059680694</v>
      </c>
    </row>
    <row r="8874" customFormat="false" ht="17.15" hidden="false" customHeight="false" outlineLevel="0" collapsed="false">
      <c r="A8874" s="1" t="s">
        <v>643</v>
      </c>
      <c r="B8874" s="8" t="s">
        <v>86</v>
      </c>
      <c r="C8874" s="38" t="n">
        <f aca="false">Sens!$C$8873-ext_sh*Sens!$C$8870</f>
        <v>1.64417882953695</v>
      </c>
      <c r="D8874" s="38" t="n">
        <f aca="false">Sens!$D$8873-ext_sh*Sens!$D$8870</f>
        <v>5.39125073772939</v>
      </c>
      <c r="E8874" s="38" t="n">
        <f aca="false">Sens!$E$8873-ext_sh*Sens!$E$8870</f>
        <v>3.18348617147493</v>
      </c>
      <c r="F8874" s="38" t="n">
        <f aca="false">Sens!$F$8873-ext_sh*Sens!$F$8870</f>
        <v>8.27806059642226</v>
      </c>
      <c r="G8874" s="38" t="n">
        <f aca="false">Sens!$G$8873-ext_sh*Sens!$G$8870</f>
        <v>11.4615467678972</v>
      </c>
      <c r="H8874" s="38" t="n">
        <f aca="false">Sens!$H$8873-ext_sh*Sens!$H$8870</f>
        <v>26.1859456885487</v>
      </c>
      <c r="I8874" s="38" t="n">
        <f aca="false">Sens!$I$8873-ext_sh*Sens!$I$8870</f>
        <v>37.04424114757</v>
      </c>
      <c r="J8874" s="38" t="n">
        <f aca="false">Sens!$J$8873-ext_sh*Sens!$J$8870</f>
        <v>47.2610736233534</v>
      </c>
      <c r="K8874" s="38" t="n">
        <f aca="false">Sens!$K$8873-ext_sh*Sens!$K$8870</f>
        <v>52.2751763975167</v>
      </c>
      <c r="L8874" s="38" t="n">
        <f aca="false">Sens!$L$8873-ext_sh*Sens!$L$8870</f>
        <v>54.701751622809</v>
      </c>
      <c r="M8874" s="38" t="n">
        <f aca="false">Sens!$M$8873-ext_sh*Sens!$M$8870</f>
        <v>53.2225737149584</v>
      </c>
      <c r="N8874" s="38" t="n">
        <f aca="false">Sens!$N$8873-ext_sh*Sens!$N$8870</f>
        <v>1.67921600037079</v>
      </c>
      <c r="O8874" s="38" t="n">
        <f aca="false">Sens!$O$8873-ext_sh*Sens!$O$8870</f>
        <v>3.71203473735861</v>
      </c>
    </row>
    <row r="8875" customFormat="false" ht="17.15" hidden="false" customHeight="false" outlineLevel="0" collapsed="false">
      <c r="A8875" s="0" t="s">
        <v>644</v>
      </c>
      <c r="B8875" s="0" t="s">
        <v>52</v>
      </c>
      <c r="C8875" s="13" t="n">
        <f aca="false">Sens!$C$8874/Sens!$C$8852</f>
        <v>0.708390794789371</v>
      </c>
      <c r="D8875" s="13" t="n">
        <f aca="false">Sens!$D$8874/Sens!$D$8852</f>
        <v>0.619415573115729</v>
      </c>
      <c r="E8875" s="13" t="n">
        <f aca="false">Sens!$E$8874/Sens!$E$8852</f>
        <v>0.374072166056273</v>
      </c>
      <c r="F8875" s="13" t="n">
        <f aca="false">Sens!$F$8874/Sens!$F$8852</f>
        <v>0.553219320710057</v>
      </c>
      <c r="G8875" s="13" t="n">
        <f aca="false">Sens!$G$8874/Sens!$G$8852</f>
        <v>0.488270041527512</v>
      </c>
      <c r="H8875" s="13" t="n">
        <f aca="false">Sens!$H$8874/Sens!$H$8852</f>
        <v>0.435229086816882</v>
      </c>
      <c r="I8875" s="13" t="n">
        <f aca="false">Sens!$I$8874/Sens!$I$8852</f>
        <v>0.364954592421095</v>
      </c>
      <c r="J8875" s="13" t="n">
        <f aca="false">Sens!$J$8874/Sens!$J$8852</f>
        <v>0.330438308582232</v>
      </c>
      <c r="K8875" s="13" t="n">
        <f aca="false">Sens!$K$8874/Sens!$K$8852</f>
        <v>0.292474552619137</v>
      </c>
      <c r="L8875" s="13" t="n">
        <f aca="false">Sens!$L$8874/Sens!$L$8852</f>
        <v>0.269645821564974</v>
      </c>
      <c r="M8875" s="13" t="n">
        <f aca="false">Sens!$M$8874/Sens!$M$8852</f>
        <v>0.247098773220278</v>
      </c>
      <c r="N8875" s="13" t="n">
        <f aca="false">Sens!$N$8874/Sens!$N$8852</f>
        <v>0.551227795793364</v>
      </c>
      <c r="O8875" s="13" t="n">
        <f aca="false">Sens!$O$8874/Sens!$O$8852</f>
        <v>0.656132068597002</v>
      </c>
    </row>
    <row r="8876" customFormat="false" ht="17.15" hidden="false" customHeight="false" outlineLevel="0" collapsed="false">
      <c r="A8876" s="5" t="s">
        <v>645</v>
      </c>
      <c r="B8876" s="0" t="s">
        <v>86</v>
      </c>
      <c r="C8876" s="39" t="n">
        <v>0</v>
      </c>
      <c r="D8876" s="39" t="n">
        <v>0</v>
      </c>
      <c r="E8876" s="39" t="n">
        <v>0</v>
      </c>
      <c r="F8876" s="38" t="n">
        <f aca="false">IF(internal_ai_reading=2,1,0)*(1-ext_sh)/ext_sh*(mw_open*he_open+Sens!$F$8850*Sens!$F$8847)*Sens!$F$8836/1000</f>
        <v>3.77122048175818</v>
      </c>
      <c r="G8876" s="38" t="n">
        <f aca="false">Sens!$E$8876+Sens!$F$8876</f>
        <v>3.77122048175818</v>
      </c>
      <c r="H8876" s="38" t="n">
        <f aca="false">IF(internal_ai_reading=2,1,0)*(1-ext_sh)/ext_sh*(mw_open*he_open+Sens!$H$8850*Sens!$H$8847)*Sens!$H$8836/1000</f>
        <v>15.1635543609893</v>
      </c>
      <c r="I8876" s="38" t="n">
        <f aca="false">IF(internal_ai_reading=2,1,0)*(1-ext_sh)/ext_sh*(mw_open*he_open+Sens!$I$8850*Sens!$I$8847)*Sens!$I$8836/1000</f>
        <v>25.5818843619889</v>
      </c>
      <c r="J8876" s="38" t="n">
        <f aca="false">IF(internal_ai_reading=2,1,0)*(1-ext_sh)/ext_sh*(mw_open*he_open+Sens!$J$8850*Sens!$J$8847)*Sens!$J$8836/1000</f>
        <v>36.0465624179122</v>
      </c>
      <c r="K8876" s="38" t="n">
        <f aca="false">IF(internal_ai_reading=2,1,0)*(1-ext_sh)/ext_sh*(mw_open*he_open+Sens!$K$8850*Sens!$K$8847)*Sens!$K$8836/1000</f>
        <v>45.0461919819152</v>
      </c>
      <c r="L8876" s="38" t="n">
        <f aca="false">IF(internal_ai_reading=2,1,0)*(1-ext_sh)/ext_sh*(mw_open*he_open+Sens!$L$8850*Sens!$L$8847)*Sens!$L$8836/1000</f>
        <v>51.1279288493339</v>
      </c>
      <c r="M8876" s="38" t="n">
        <f aca="false">IF(internal_ai_reading=2,1,0)*(1-ext_sh)/ext_sh*(mw_open*he_open+Sens!$M$8850*Sens!$M$8847)*Sens!$M$8836/1000</f>
        <v>54.2845128319481</v>
      </c>
      <c r="N8876" s="39" t="n">
        <v>0</v>
      </c>
      <c r="O8876" s="39" t="n">
        <v>0</v>
      </c>
      <c r="P8876" s="8" t="s">
        <v>646</v>
      </c>
    </row>
    <row r="8877" customFormat="false" ht="17.15" hidden="false" customHeight="false" outlineLevel="0" collapsed="false">
      <c r="A8877" s="5" t="s">
        <v>647</v>
      </c>
      <c r="B8877" s="0" t="s">
        <v>86</v>
      </c>
      <c r="C8877" s="38" t="n">
        <f aca="false">(1-ext_sh)*(Sens!$C$8854+Sens!$C$8870)</f>
        <v>0.169206631859174</v>
      </c>
      <c r="D8877" s="38" t="n">
        <f aca="false">(1-ext_sh)*(Sens!$D$8854+Sens!$D$8870)</f>
        <v>0.828129837730442</v>
      </c>
      <c r="E8877" s="38" t="n">
        <f aca="false">(1-ext_sh)*(Sens!$E$8854+Sens!$E$8870)</f>
        <v>1.33171670102377</v>
      </c>
      <c r="F8877" s="38" t="n">
        <f aca="false">(1-ext_sh)*(Sens!$F$8854+Sens!$F$8870)</f>
        <v>1.67134326207455</v>
      </c>
      <c r="G8877" s="38" t="n">
        <f aca="false">(1-ext_sh)*(Sens!$G$8854+Sens!$G$8870)</f>
        <v>3.00305996309832</v>
      </c>
      <c r="H8877" s="38" t="n">
        <f aca="false">(1-ext_sh)*(Sens!$H$8854+Sens!$H$8870)</f>
        <v>8.49498626530648</v>
      </c>
      <c r="I8877" s="38" t="n">
        <f aca="false">(1-ext_sh)*(Sens!$I$8854+Sens!$I$8870)</f>
        <v>16.1148644972155</v>
      </c>
      <c r="J8877" s="38" t="n">
        <f aca="false">(1-ext_sh)*(Sens!$J$8854+Sens!$J$8870)</f>
        <v>23.9410833819812</v>
      </c>
      <c r="K8877" s="38" t="n">
        <f aca="false">(1-ext_sh)*(Sens!$K$8854+Sens!$K$8870)</f>
        <v>31.6147312957258</v>
      </c>
      <c r="L8877" s="38" t="n">
        <f aca="false">(1-ext_sh)*(Sens!$L$8854+Sens!$L$8870)</f>
        <v>37.0408603344581</v>
      </c>
      <c r="M8877" s="38" t="n">
        <f aca="false">(1-ext_sh)*(Sens!$M$8854+Sens!$M$8870)</f>
        <v>40.5418251577522</v>
      </c>
      <c r="N8877" s="38" t="n">
        <f aca="false">(1-ext_sh)*(Sens!$N$8854+Sens!$N$8870)</f>
        <v>0.34177588266428</v>
      </c>
      <c r="O8877" s="38" t="n">
        <f aca="false">(1-ext_sh)*(Sens!$O$8854+Sens!$O$8870)</f>
        <v>0.486353955066162</v>
      </c>
    </row>
    <row r="8878" customFormat="false" ht="17.15" hidden="false" customHeight="false" outlineLevel="0" collapsed="false">
      <c r="A8878" s="0" t="s">
        <v>648</v>
      </c>
      <c r="B8878" s="0" t="s">
        <v>86</v>
      </c>
      <c r="C8878" s="38" t="n">
        <f aca="false">Q!$D$24</f>
        <v>39.834</v>
      </c>
      <c r="D8878" s="38" t="n">
        <f aca="false">Q!$E$24</f>
        <v>45.606</v>
      </c>
      <c r="E8878" s="38" t="n">
        <f aca="false">Q!$P$24</f>
        <v>30.782</v>
      </c>
      <c r="N8878" s="38" t="n">
        <f aca="false">Q!$N$24</f>
        <v>21.707</v>
      </c>
      <c r="O8878" s="38" t="n">
        <f aca="false">Q!$O$24</f>
        <v>23.899</v>
      </c>
    </row>
    <row r="8879" customFormat="false" ht="17.15" hidden="false" customHeight="false" outlineLevel="0" collapsed="false">
      <c r="A8879" s="0" t="s">
        <v>649</v>
      </c>
      <c r="B8879" s="0" t="s">
        <v>86</v>
      </c>
      <c r="C8879" s="38" t="n">
        <f aca="false">Sens!$C$8878-Sens!$C$8874</f>
        <v>38.1898211704631</v>
      </c>
      <c r="D8879" s="38" t="n">
        <f aca="false">Sens!$D$8878-Sens!$D$8874</f>
        <v>40.2147492622706</v>
      </c>
      <c r="E8879" s="38" t="n">
        <f aca="false">Sens!$E$8878-Sens!$E$8874</f>
        <v>27.5985138285251</v>
      </c>
      <c r="F8879" s="38" t="n">
        <f aca="false">Sens!$F$8856*Sens!$F$8880</f>
        <v>25.5484769754606</v>
      </c>
      <c r="G8879" s="38" t="n">
        <f aca="false">Sens!$E$8879+Sens!$F$8879</f>
        <v>53.1469908039857</v>
      </c>
      <c r="H8879" s="38" t="n">
        <f aca="false">Sens!$H$8856*Sens!$H$8880</f>
        <v>57.3189525076539</v>
      </c>
      <c r="I8879" s="38" t="n">
        <f aca="false">Sens!$I$8856*Sens!$I$8880</f>
        <v>63.6385627021087</v>
      </c>
      <c r="J8879" s="38" t="n">
        <f aca="false">Sens!$J$8856*Sens!$J$8880</f>
        <v>69.6922896066105</v>
      </c>
      <c r="K8879" s="38" t="n">
        <f aca="false">Sens!$K$8856*Sens!$K$8880</f>
        <v>75.2676727751394</v>
      </c>
      <c r="L8879" s="38" t="n">
        <f aca="false">Sens!$L$8856*Sens!$L$8880</f>
        <v>81.2890865971505</v>
      </c>
      <c r="M8879" s="38" t="n">
        <f aca="false">Sens!$M$8856*Sens!$M$8880</f>
        <v>87.7922135249226</v>
      </c>
      <c r="N8879" s="38" t="n">
        <f aca="false">Sens!$N$8878-Sens!$N$8874</f>
        <v>20.0277839996292</v>
      </c>
      <c r="O8879" s="38" t="n">
        <f aca="false">Sens!$O$8878-Sens!$O$8874</f>
        <v>20.1869652626414</v>
      </c>
      <c r="P8879" s="5" t="s">
        <v>650</v>
      </c>
    </row>
    <row r="8880" customFormat="false" ht="17.15" hidden="false" customHeight="false" outlineLevel="0" collapsed="false">
      <c r="A8880" s="0" t="s">
        <v>651</v>
      </c>
      <c r="B8880" s="0" t="s">
        <v>52</v>
      </c>
      <c r="C8880" s="13" t="n">
        <f aca="false">Sens!$C$8879/Sens!$C$8856</f>
        <v>0.362900395443635</v>
      </c>
      <c r="D8880" s="13" t="n">
        <f aca="false">Sens!$D$8879/Sens!$D$8856</f>
        <v>0.335063632425483</v>
      </c>
      <c r="E8880" s="13" t="n">
        <f aca="false">Sens!$E$8879/Sens!$E$8856</f>
        <v>0.387028992698038</v>
      </c>
      <c r="F8880" s="13" t="n">
        <f aca="false">(Sens!$O$8879+Sens!$E$8879)/(Sens!$O$8856+Sens!$E$8856)</f>
        <v>0.355980580118587</v>
      </c>
      <c r="G8880" s="13" t="n">
        <f aca="false">Sens!$G$8879/Sens!$G$8856</f>
        <v>0.371454804780916</v>
      </c>
      <c r="H8880" s="13" t="n">
        <f aca="false">Sens!$F$8880</f>
        <v>0.355980580118587</v>
      </c>
      <c r="I8880" s="13" t="n">
        <f aca="false">Sens!$F$8880</f>
        <v>0.355980580118587</v>
      </c>
      <c r="J8880" s="13" t="n">
        <f aca="false">Sens!$F$8880</f>
        <v>0.355980580118587</v>
      </c>
      <c r="K8880" s="13" t="n">
        <f aca="false">Sens!$F$8880</f>
        <v>0.355980580118587</v>
      </c>
      <c r="L8880" s="13" t="n">
        <f aca="false">Sens!$F$8880</f>
        <v>0.355980580118587</v>
      </c>
      <c r="M8880" s="13" t="n">
        <f aca="false">Sens!$F$8880</f>
        <v>0.355980580118587</v>
      </c>
      <c r="N8880" s="13" t="n">
        <f aca="false">Sens!$N$8879/Sens!$N$8856</f>
        <v>0.35078810535806</v>
      </c>
      <c r="O8880" s="13" t="n">
        <f aca="false">Sens!$O$8879/Sens!$O$8856</f>
        <v>0.320796939361619</v>
      </c>
      <c r="P8880" s="8" t="s">
        <v>652</v>
      </c>
    </row>
    <row r="8881" customFormat="false" ht="17.15" hidden="false" customHeight="false" outlineLevel="0" collapsed="false">
      <c r="A8881" s="0" t="s">
        <v>653</v>
      </c>
      <c r="B8881" s="0" t="s">
        <v>52</v>
      </c>
      <c r="D8881" s="13" t="n">
        <f aca="false">(Q!$E$31-ext_sh*Sens!$D$8870)/Sens!$D$8856</f>
        <v>0.167180325480118</v>
      </c>
    </row>
    <row r="8882" customFormat="false" ht="17.15" hidden="false" customHeight="false" outlineLevel="0" collapsed="false">
      <c r="A8882" s="0" t="s">
        <v>654</v>
      </c>
      <c r="B8882" s="0" t="s">
        <v>86</v>
      </c>
      <c r="C8882" s="38" t="n">
        <f aca="false">Q!$D$31</f>
        <v>13.32</v>
      </c>
      <c r="D8882" s="38" t="n">
        <f aca="false">Q!$E$31</f>
        <v>21.45</v>
      </c>
      <c r="E8882" s="38" t="n">
        <f aca="false">Q!$P$31</f>
        <v>15.353</v>
      </c>
      <c r="F8882" s="38" t="n">
        <f aca="false">ext_sh*Sens!$F$8870+Sens!$D$8881*Sens!$F$8856</f>
        <v>15.4404120185306</v>
      </c>
      <c r="G8882" s="38" t="n">
        <f aca="false">Sens!$E$8882+Sens!$F$8882</f>
        <v>30.7934120185306</v>
      </c>
      <c r="H8882" s="38" t="n">
        <f aca="false">ext_sh*Sens!$H$8870+Sens!$D$8881*Sens!$H$8856</f>
        <v>48.250114371455</v>
      </c>
      <c r="I8882" s="38" t="n">
        <f aca="false">ext_sh*Sens!$I$8870+Sens!$D$8881*Sens!$I$8856</f>
        <v>73.3965146995963</v>
      </c>
      <c r="J8882" s="38" t="n">
        <f aca="false">ext_sh*Sens!$J$8870+Sens!$D$8881*Sens!$J$8856</f>
        <v>99.22806138309</v>
      </c>
      <c r="K8882" s="38" t="n">
        <f aca="false">ext_sh*Sens!$K$8870+Sens!$D$8881*Sens!$K$8856</f>
        <v>125.386627452856</v>
      </c>
      <c r="L8882" s="38" t="n">
        <f aca="false">ext_sh*Sens!$L$8870+Sens!$D$8881*Sens!$L$8856</f>
        <v>145.084446099433</v>
      </c>
      <c r="M8882" s="38" t="n">
        <f aca="false">ext_sh*Sens!$M$8870+Sens!$D$8881*Sens!$M$8856</f>
        <v>159.630097911032</v>
      </c>
      <c r="N8882" s="38" t="n">
        <f aca="false">Q!$N$31</f>
        <v>9.234</v>
      </c>
      <c r="O8882" s="38" t="n">
        <f aca="false">Q!$O$31</f>
        <v>12.216</v>
      </c>
    </row>
    <row r="8883" customFormat="false" ht="17.15" hidden="false" customHeight="false" outlineLevel="0" collapsed="false">
      <c r="A8883" s="1" t="s">
        <v>655</v>
      </c>
    </row>
    <row r="8884" customFormat="false" ht="17.15" hidden="false" customHeight="false" outlineLevel="0" collapsed="false">
      <c r="A8884" s="15" t="s">
        <v>656</v>
      </c>
      <c r="B8884" s="14" t="s">
        <v>52</v>
      </c>
      <c r="C8884" s="14"/>
      <c r="D8884" s="14"/>
      <c r="E8884" s="14"/>
      <c r="F8884" s="14"/>
      <c r="G8884" s="17" t="n">
        <f aca="false">Sens!$G$8874*(1-tax)/(ext_sh*(Sens!$D$8871+Sens!$G$8871)/2)</f>
        <v>0.0966870495301478</v>
      </c>
      <c r="H8884" s="17" t="n">
        <f aca="false">Sens!$H$8874*(1-tax)/(ext_sh*(Sens!$G$8871+Sens!$H$8871)/2)</f>
        <v>0.100492020334136</v>
      </c>
      <c r="I8884" s="17" t="n">
        <f aca="false">Sens!$I$8874*(1-tax)/(ext_sh*(Sens!$H$8871+Sens!$I$8871)/2)</f>
        <v>0.0889392292218236</v>
      </c>
      <c r="J8884" s="17" t="n">
        <f aca="false">Sens!$J$8874*(1-tax)/(ext_sh*(Sens!$I$8871+Sens!$J$8871)/2)</f>
        <v>0.0858364613777012</v>
      </c>
      <c r="K8884" s="17" t="n">
        <f aca="false">Sens!$K$8874*(1-tax)/(ext_sh*(Sens!$J$8871+Sens!$K$8871)/2)</f>
        <v>0.0824586556311099</v>
      </c>
      <c r="L8884" s="17" t="n">
        <f aca="false">Sens!$L$8874*(1-tax)/(ext_sh*(Sens!$K$8871+Sens!$L$8871)/2)</f>
        <v>0.083150030062017</v>
      </c>
      <c r="M8884" s="17" t="n">
        <f aca="false">Sens!$M$8874*(1-tax)/(ext_sh*(Sens!$L$8871+Sens!$M$8871)/2)</f>
        <v>0.0811104855858095</v>
      </c>
      <c r="N8884" s="14"/>
      <c r="O8884" s="14"/>
      <c r="P8884" s="8" t="s">
        <v>657</v>
      </c>
    </row>
    <row r="8885" customFormat="false" ht="17.15" hidden="false" customHeight="false" outlineLevel="0" collapsed="false">
      <c r="A8885" s="5" t="s">
        <v>658</v>
      </c>
      <c r="B8885" s="0" t="s">
        <v>57</v>
      </c>
      <c r="H8885" s="36" t="n">
        <f aca="false">Sens!$H$8852*1000/(mw_open*he_open+Sens!$H$8850*Sens!$H$8847)</f>
        <v>0.991949006767191</v>
      </c>
      <c r="I8885" s="36" t="n">
        <f aca="false">Sens!$I$8852*1000/(mw_open*he_open+Sens!$I$8850*Sens!$I$8847)</f>
        <v>0.991949006767191</v>
      </c>
      <c r="J8885" s="36" t="n">
        <f aca="false">Sens!$J$8852*1000/(mw_open*he_open+Sens!$J$8850*Sens!$J$8847)</f>
        <v>0.991949006767191</v>
      </c>
      <c r="K8885" s="36" t="n">
        <f aca="false">Sens!$K$8852*1000/(mw_open*he_open+Sens!$K$8850*Sens!$K$8847)</f>
        <v>0.991949006767191</v>
      </c>
      <c r="L8885" s="36" t="n">
        <f aca="false">Sens!$L$8852*1000/(mw_open*he_open+Sens!$L$8850*Sens!$L$8847)</f>
        <v>0.991949006767191</v>
      </c>
      <c r="M8885" s="36" t="n">
        <f aca="false">Sens!$M$8852*1000/(mw_open*he_open+Sens!$M$8850*Sens!$M$8847)</f>
        <v>0.991949006767191</v>
      </c>
    </row>
    <row r="8886" customFormat="false" ht="17.15" hidden="false" customHeight="false" outlineLevel="0" collapsed="false">
      <c r="A8886" s="5" t="s">
        <v>659</v>
      </c>
      <c r="B8886" s="0" t="s">
        <v>57</v>
      </c>
      <c r="H8886" s="36" t="n">
        <f aca="false">Sens!$H$8885*(Sens!$H$8852+(wacc-0.01)*ext_sh*(Sens!$G$8871+Sens!$H$8871)/2/(1-tax)-Sens!$H$8874)/Sens!$H$8852</f>
        <v>1.00400133234511</v>
      </c>
      <c r="I8886" s="36" t="n">
        <f aca="false">Sens!$I$8885*(Sens!$I$8852+(wacc-0.01)*ext_sh*(Sens!$H$8871+Sens!$I$8871)/2/(1-tax)-Sens!$I$8874)/Sens!$I$8852</f>
        <v>1.05039229226163</v>
      </c>
      <c r="J8886" s="36" t="n">
        <f aca="false">Sens!$J$8885*(Sens!$J$8852+(wacc-0.01)*ext_sh*(Sens!$I$8871+Sens!$J$8871)/2/(1-tax)-Sens!$J$8874)/Sens!$J$8852</f>
        <v>1.05862601187152</v>
      </c>
      <c r="K8886" s="36" t="n">
        <f aca="false">Sens!$K$8885*(Sens!$K$8852+(wacc-0.01)*ext_sh*(Sens!$J$8871+Sens!$K$8871)/2/(1-tax)-Sens!$K$8874)/Sens!$K$8852</f>
        <v>1.06526744484297</v>
      </c>
      <c r="L8886" s="36" t="n">
        <f aca="false">Sens!$L$8885*(Sens!$L$8852+(wacc-0.01)*ext_sh*(Sens!$K$8871+Sens!$L$8871)/2/(1-tax)-Sens!$L$8874)/Sens!$L$8852</f>
        <v>1.05675862801405</v>
      </c>
      <c r="M8886" s="36" t="n">
        <f aca="false">Sens!$M$8885*(Sens!$M$8852+(wacc-0.01)*ext_sh*(Sens!$L$8871+Sens!$M$8871)/2/(1-tax)-Sens!$M$8874)/Sens!$M$8852</f>
        <v>1.05899615170191</v>
      </c>
    </row>
    <row r="8887" customFormat="false" ht="17.15" hidden="false" customHeight="false" outlineLevel="0" collapsed="false">
      <c r="A8887" s="5" t="s">
        <v>660</v>
      </c>
      <c r="B8887" s="0" t="s">
        <v>52</v>
      </c>
      <c r="C8887" s="13" t="n">
        <f aca="false">Sens!$C$8853/tk_pq</f>
        <v>0.195316432429398</v>
      </c>
      <c r="D8887" s="13" t="n">
        <f aca="false">Sens!$D$8853/tk_pq</f>
        <v>0.195316432429398</v>
      </c>
      <c r="E8887" s="13" t="n">
        <f aca="false">Sens!$E$8853/tk_pq</f>
        <v>0.195316432429398</v>
      </c>
      <c r="F8887" s="13" t="n">
        <f aca="false">Sens!$F$8853/tk_pq</f>
        <v>0.202241827274866</v>
      </c>
      <c r="G8887" s="13" t="n">
        <f aca="false">Sens!$G$8853/tk_pq</f>
        <v>0.199675016194063</v>
      </c>
      <c r="H8887" s="13" t="n">
        <f aca="false">Sens!$H$8853/tk_pq</f>
        <v>0.212647947710325</v>
      </c>
      <c r="I8887" s="13" t="n">
        <f aca="false">Sens!$I$8853/tk_pq</f>
        <v>0.219285125475351</v>
      </c>
      <c r="J8887" s="13" t="n">
        <f aca="false">Sens!$J$8853/tk_pq</f>
        <v>0.222492493217189</v>
      </c>
      <c r="K8887" s="13" t="n">
        <f aca="false">Sens!$K$8853/tk_pq</f>
        <v>0.224068966220005</v>
      </c>
      <c r="L8887" s="13" t="n">
        <f aca="false">Sens!$L$8853/tk_pq</f>
        <v>0.224830053471997</v>
      </c>
      <c r="M8887" s="13" t="n">
        <f aca="false">Sens!$M$8853/tk_pq</f>
        <v>0.22513299704272</v>
      </c>
      <c r="N8887" s="13" t="n">
        <f aca="false">Sens!$N$8853/tk_pq</f>
        <v>0.195316432429398</v>
      </c>
      <c r="O8887" s="13" t="n">
        <f aca="false">Sens!$O$8853/tk_pq</f>
        <v>0.195316432429398</v>
      </c>
      <c r="P8887" s="5" t="s">
        <v>661</v>
      </c>
    </row>
    <row r="8890" customFormat="false" ht="17.15" hidden="false" customHeight="false" outlineLevel="0" collapsed="false">
      <c r="A8890" s="1" t="s">
        <v>690</v>
      </c>
    </row>
    <row r="8891" customFormat="false" ht="17.15" hidden="false" customHeight="false" outlineLevel="0" collapsed="false">
      <c r="A8891" s="0" t="s">
        <v>691</v>
      </c>
      <c r="B8891" s="0" t="s">
        <v>86</v>
      </c>
      <c r="C8891" s="38" t="n">
        <f aca="false">Sens!$C$8852</f>
        <v>2.32100535697364</v>
      </c>
      <c r="D8891" s="38" t="n">
        <f aca="false">Sens!$D$8852</f>
        <v>8.70377008865116</v>
      </c>
      <c r="E8891" s="38" t="n">
        <f aca="false">Sens!$E$8852</f>
        <v>8.51035297557002</v>
      </c>
      <c r="F8891" s="38" t="n">
        <f aca="false">Sens!$F$8852</f>
        <v>14.9634336447205</v>
      </c>
      <c r="G8891" s="38" t="n">
        <f aca="false">Sens!$G$8852</f>
        <v>23.4737866202905</v>
      </c>
      <c r="H8891" s="38" t="n">
        <f aca="false">Sens!$H$8852</f>
        <v>60.1658907497746</v>
      </c>
      <c r="I8891" s="38" t="n">
        <f aca="false">Sens!$I$8852</f>
        <v>101.503699136432</v>
      </c>
      <c r="J8891" s="38" t="n">
        <f aca="false">Sens!$J$8852</f>
        <v>143.025407151278</v>
      </c>
      <c r="K8891" s="38" t="n">
        <f aca="false">Sens!$K$8852</f>
        <v>178.73410158042</v>
      </c>
      <c r="L8891" s="38" t="n">
        <f aca="false">Sens!$L$8852</f>
        <v>202.865192960641</v>
      </c>
      <c r="M8891" s="38" t="n">
        <f aca="false">Sens!$M$8852</f>
        <v>215.389874345967</v>
      </c>
      <c r="N8891" s="38" t="n">
        <f aca="false">Sens!$N$8852</f>
        <v>3.04631953102791</v>
      </c>
      <c r="O8891" s="38" t="n">
        <f aca="false">Sens!$O$8852</f>
        <v>5.65745055762326</v>
      </c>
      <c r="P8891" s="8" t="s">
        <v>692</v>
      </c>
    </row>
    <row r="8892" customFormat="false" ht="17.15" hidden="false" customHeight="false" outlineLevel="0" collapsed="false">
      <c r="A8892" s="0" t="s">
        <v>693</v>
      </c>
      <c r="B8892" s="0" t="s">
        <v>86</v>
      </c>
      <c r="C8892" s="38" t="n">
        <f aca="false">Sens!$C$8856</f>
        <v>105.234994643026</v>
      </c>
      <c r="D8892" s="38" t="n">
        <f aca="false">Sens!$D$8856</f>
        <v>120.021229911349</v>
      </c>
      <c r="E8892" s="38" t="n">
        <f aca="false">Sens!$E$8856</f>
        <v>71.30864702443</v>
      </c>
      <c r="F8892" s="38" t="n">
        <f aca="false">Sens!$F$8856</f>
        <v>71.7692997942464</v>
      </c>
      <c r="G8892" s="38" t="n">
        <f aca="false">Sens!$G$8856</f>
        <v>143.077946818676</v>
      </c>
      <c r="H8892" s="38" t="n">
        <f aca="false">Sens!$H$8856</f>
        <v>161.017077079203</v>
      </c>
      <c r="I8892" s="38" t="n">
        <f aca="false">Sens!$I$8856</f>
        <v>178.769759521457</v>
      </c>
      <c r="J8892" s="38" t="n">
        <f aca="false">Sens!$J$8856</f>
        <v>195.775538045907</v>
      </c>
      <c r="K8892" s="38" t="n">
        <f aca="false">Sens!$K$8856</f>
        <v>211.43758108958</v>
      </c>
      <c r="L8892" s="38" t="n">
        <f aca="false">Sens!$L$8856</f>
        <v>228.352587576746</v>
      </c>
      <c r="M8892" s="38" t="n">
        <f aca="false">Sens!$M$8856</f>
        <v>246.620794582886</v>
      </c>
      <c r="N8892" s="38" t="n">
        <f aca="false">Sens!$N$8856</f>
        <v>57.0936804689721</v>
      </c>
      <c r="O8892" s="38" t="n">
        <f aca="false">Sens!$O$8856</f>
        <v>62.9275494423768</v>
      </c>
      <c r="P8892" s="8" t="s">
        <v>692</v>
      </c>
    </row>
    <row r="8893" customFormat="false" ht="17.15" hidden="false" customHeight="false" outlineLevel="0" collapsed="false">
      <c r="A8893" s="1" t="s">
        <v>516</v>
      </c>
      <c r="B8893" s="8" t="s">
        <v>86</v>
      </c>
      <c r="C8893" s="38" t="n">
        <f aca="false">Q!$D$7</f>
        <v>107.556</v>
      </c>
      <c r="D8893" s="38" t="n">
        <f aca="false">Q!$E$7</f>
        <v>128.725</v>
      </c>
      <c r="E8893" s="38" t="n">
        <f aca="false">Q!$P$7</f>
        <v>79.819</v>
      </c>
      <c r="F8893" s="38" t="n">
        <f aca="false">Sens!$F$8891+Sens!$F$8892</f>
        <v>86.7327334389669</v>
      </c>
      <c r="G8893" s="38" t="n">
        <f aca="false">Sens!$G$8891+Sens!$G$8892</f>
        <v>166.551733438967</v>
      </c>
      <c r="H8893" s="38" t="n">
        <f aca="false">Sens!$H$8891+Sens!$H$8892</f>
        <v>221.182967828978</v>
      </c>
      <c r="I8893" s="38" t="n">
        <f aca="false">Sens!$I$8891+Sens!$I$8892</f>
        <v>280.27345865789</v>
      </c>
      <c r="J8893" s="38" t="n">
        <f aca="false">Sens!$J$8891+Sens!$J$8892</f>
        <v>338.800945197185</v>
      </c>
      <c r="K8893" s="38" t="n">
        <f aca="false">Sens!$K$8891+Sens!$K$8892</f>
        <v>390.17168267</v>
      </c>
      <c r="L8893" s="38" t="n">
        <f aca="false">Sens!$L$8891+Sens!$L$8892</f>
        <v>431.217780537388</v>
      </c>
      <c r="M8893" s="38" t="n">
        <f aca="false">Sens!$M$8891+Sens!$M$8892</f>
        <v>462.010668928853</v>
      </c>
      <c r="N8893" s="38" t="n">
        <f aca="false">Q!$N$7</f>
        <v>60.14</v>
      </c>
      <c r="O8893" s="38" t="n">
        <f aca="false">Q!$O$7</f>
        <v>68.585</v>
      </c>
      <c r="P8893" s="5" t="s">
        <v>694</v>
      </c>
    </row>
    <row r="8894" customFormat="false" ht="15" hidden="false" customHeight="false" outlineLevel="0" collapsed="false">
      <c r="A8894" s="3" t="s">
        <v>695</v>
      </c>
      <c r="B8894" s="8" t="s">
        <v>86</v>
      </c>
      <c r="C8894" s="38" t="n">
        <f aca="false">Q!$D$8</f>
        <v>637.959</v>
      </c>
      <c r="D8894" s="38" t="n">
        <f aca="false">Q!$E$8</f>
        <v>716.924</v>
      </c>
      <c r="E8894" s="38" t="n">
        <f aca="false">Q!$P$8</f>
        <v>382.125</v>
      </c>
      <c r="F8894" s="38" t="n">
        <f aca="false">Sens!$F$8824+Sens!$F$8893</f>
        <v>435.780975084504</v>
      </c>
      <c r="G8894" s="38" t="n">
        <f aca="false">Sens!$G$8824+Sens!$G$8893</f>
        <v>817.905975084504</v>
      </c>
      <c r="H8894" s="38" t="n">
        <f aca="false">Sens!$H$8824+Sens!$H$8893</f>
        <v>942.279857350364</v>
      </c>
      <c r="I8894" s="38" t="n">
        <f aca="false">Sens!$I$8824+Sens!$I$8893</f>
        <v>1068.80284981042</v>
      </c>
      <c r="J8894" s="38" t="n">
        <f aca="false">Sens!$J$8824+Sens!$J$8893</f>
        <v>1189.90935093863</v>
      </c>
      <c r="K8894" s="38" t="n">
        <f aca="false">Sens!$K$8824+Sens!$K$8893</f>
        <v>1296.34813810109</v>
      </c>
      <c r="L8894" s="38" t="n">
        <f aca="false">Sens!$L$8824+Sens!$L$8893</f>
        <v>1396.31088701298</v>
      </c>
      <c r="M8894" s="38" t="n">
        <f aca="false">Sens!$M$8824+Sens!$M$8893</f>
        <v>1490.15857687574</v>
      </c>
      <c r="N8894" s="38" t="n">
        <f aca="false">Q!$N$8</f>
        <v>323.369</v>
      </c>
      <c r="O8894" s="38" t="n">
        <f aca="false">Q!$O$8</f>
        <v>393.555</v>
      </c>
    </row>
    <row r="8895" customFormat="false" ht="17.15" hidden="false" customHeight="false" outlineLevel="0" collapsed="false">
      <c r="A8895" s="24" t="s">
        <v>703</v>
      </c>
      <c r="B8895" s="25" t="s">
        <v>86</v>
      </c>
      <c r="C8895" s="41" t="n">
        <f aca="false">Sens!$C$8824-(Sens!$C$8826+Sens!$C$8827)</f>
        <v>0</v>
      </c>
      <c r="D8895" s="41" t="n">
        <f aca="false">Sens!$D$8824-(Sens!$D$8826+Sens!$D$8827)</f>
        <v>0</v>
      </c>
      <c r="E8895" s="41" t="n">
        <f aca="false">Sens!$E$8824-(Sens!$E$8826+Sens!$E$8827)</f>
        <v>0</v>
      </c>
      <c r="F8895" s="41" t="n">
        <f aca="false">Sens!$F$8824-(Sens!$F$8826+Sens!$F$8827)</f>
        <v>0</v>
      </c>
      <c r="G8895" s="41" t="n">
        <f aca="false">Sens!$G$8824-(Sens!$G$8826+Sens!$G$8827)</f>
        <v>0</v>
      </c>
      <c r="H8895" s="41" t="n">
        <f aca="false">Sens!$H$8824-(Sens!$H$8826+Sens!$H$8827)</f>
        <v>0</v>
      </c>
      <c r="I8895" s="41" t="n">
        <f aca="false">Sens!$I$8824-(Sens!$I$8826+Sens!$I$8827)</f>
        <v>0</v>
      </c>
      <c r="J8895" s="41" t="n">
        <f aca="false">Sens!$J$8824-(Sens!$J$8826+Sens!$J$8827)</f>
        <v>0</v>
      </c>
      <c r="K8895" s="41" t="n">
        <f aca="false">Sens!$K$8824-(Sens!$K$8826+Sens!$K$8827)</f>
        <v>0</v>
      </c>
      <c r="L8895" s="41" t="n">
        <f aca="false">Sens!$L$8824-(Sens!$L$8826+Sens!$L$8827)</f>
        <v>0</v>
      </c>
      <c r="M8895" s="41" t="n">
        <f aca="false">Sens!$M$8824-(Sens!$M$8826+Sens!$M$8827)</f>
        <v>0</v>
      </c>
      <c r="N8895" s="41" t="n">
        <f aca="false">Sens!$N$8824-(Sens!$N$8826+Sens!$N$8827)</f>
        <v>0</v>
      </c>
      <c r="O8895" s="41" t="n">
        <f aca="false">Sens!$O$8824-(Sens!$O$8826+Sens!$O$8827)</f>
        <v>0</v>
      </c>
    </row>
    <row r="8896" customFormat="false" ht="17.15" hidden="false" customHeight="false" outlineLevel="0" collapsed="false">
      <c r="A8896" s="24" t="s">
        <v>704</v>
      </c>
      <c r="B8896" s="25" t="s">
        <v>86</v>
      </c>
      <c r="C8896" s="41" t="n">
        <f aca="false">Sens!$C$8891+Sens!$C$8892-Sens!$C$8893</f>
        <v>0</v>
      </c>
      <c r="D8896" s="41" t="n">
        <f aca="false">Sens!$D$8891+Sens!$D$8892-Sens!$D$8893</f>
        <v>0</v>
      </c>
      <c r="E8896" s="41" t="n">
        <f aca="false">Sens!$E$8891+Sens!$E$8892-Sens!$E$8893</f>
        <v>0</v>
      </c>
      <c r="F8896" s="41" t="n">
        <f aca="false">Sens!$F$8891+Sens!$F$8892-Sens!$F$8893</f>
        <v>0</v>
      </c>
      <c r="G8896" s="41" t="n">
        <f aca="false">Sens!$G$8891+Sens!$G$8892-Sens!$G$8893</f>
        <v>0</v>
      </c>
      <c r="H8896" s="41" t="n">
        <f aca="false">Sens!$H$8891+Sens!$H$8892-Sens!$H$8893</f>
        <v>0</v>
      </c>
      <c r="I8896" s="41" t="n">
        <f aca="false">Sens!$I$8891+Sens!$I$8892-Sens!$I$8893</f>
        <v>0</v>
      </c>
      <c r="J8896" s="41" t="n">
        <f aca="false">Sens!$J$8891+Sens!$J$8892-Sens!$J$8893</f>
        <v>0</v>
      </c>
      <c r="K8896" s="41" t="n">
        <f aca="false">Sens!$K$8891+Sens!$K$8892-Sens!$K$8893</f>
        <v>0</v>
      </c>
      <c r="L8896" s="41" t="n">
        <f aca="false">Sens!$L$8891+Sens!$L$8892-Sens!$L$8893</f>
        <v>0</v>
      </c>
      <c r="M8896" s="41" t="n">
        <f aca="false">Sens!$M$8891+Sens!$M$8892-Sens!$M$8893</f>
        <v>0</v>
      </c>
      <c r="N8896" s="41" t="n">
        <f aca="false">Sens!$N$8891+Sens!$N$8892-Sens!$N$8893</f>
        <v>0</v>
      </c>
      <c r="O8896" s="41" t="n">
        <f aca="false">Sens!$O$8891+Sens!$O$8892-Sens!$O$8893</f>
        <v>0</v>
      </c>
    </row>
    <row r="8897" customFormat="false" ht="17.15" hidden="false" customHeight="false" outlineLevel="0" collapsed="false">
      <c r="A8897" s="24" t="s">
        <v>705</v>
      </c>
      <c r="B8897" s="25" t="s">
        <v>86</v>
      </c>
      <c r="C8897" s="41" t="n">
        <f aca="false">Sens!$C$8826+Sens!$C$8827+Sens!$C$8893-Sens!$C$8894</f>
        <v>0</v>
      </c>
      <c r="D8897" s="41" t="n">
        <f aca="false">Sens!$D$8826+Sens!$D$8827+Sens!$D$8893-Sens!$D$8894</f>
        <v>0</v>
      </c>
      <c r="E8897" s="41" t="n">
        <f aca="false">Sens!$E$8826+Sens!$E$8827+Sens!$E$8893-Sens!$E$8894</f>
        <v>0</v>
      </c>
      <c r="F8897" s="41" t="n">
        <f aca="false">Sens!$F$8826+Sens!$F$8827+Sens!$F$8893-Sens!$F$8894</f>
        <v>0</v>
      </c>
      <c r="G8897" s="41" t="n">
        <f aca="false">Sens!$G$8826+Sens!$G$8827+Sens!$G$8893-Sens!$G$8894</f>
        <v>0</v>
      </c>
      <c r="H8897" s="41" t="n">
        <f aca="false">Sens!$H$8826+Sens!$H$8827+Sens!$H$8893-Sens!$H$8894</f>
        <v>0</v>
      </c>
      <c r="I8897" s="41" t="n">
        <f aca="false">Sens!$I$8826+Sens!$I$8827+Sens!$I$8893-Sens!$I$8894</f>
        <v>0</v>
      </c>
      <c r="J8897" s="41" t="n">
        <f aca="false">Sens!$J$8826+Sens!$J$8827+Sens!$J$8893-Sens!$J$8894</f>
        <v>0</v>
      </c>
      <c r="K8897" s="41" t="n">
        <f aca="false">Sens!$K$8826+Sens!$K$8827+Sens!$K$8893-Sens!$K$8894</f>
        <v>0</v>
      </c>
      <c r="L8897" s="41" t="n">
        <f aca="false">Sens!$L$8826+Sens!$L$8827+Sens!$L$8893-Sens!$L$8894</f>
        <v>0</v>
      </c>
      <c r="M8897" s="41" t="n">
        <f aca="false">Sens!$M$8826+Sens!$M$8827+Sens!$M$8893-Sens!$M$8894</f>
        <v>0</v>
      </c>
      <c r="N8897" s="41" t="n">
        <f aca="false">Sens!$N$8826+Sens!$N$8827+Sens!$N$8893-Sens!$N$8894</f>
        <v>0</v>
      </c>
      <c r="O8897" s="41" t="n">
        <f aca="false">Sens!$O$8826+Sens!$O$8827+Sens!$O$8893-Sens!$O$8894</f>
        <v>0</v>
      </c>
    </row>
    <row r="8898" customFormat="false" ht="15" hidden="false" customHeight="false" outlineLevel="0" collapsed="false">
      <c r="A8898" s="5" t="s">
        <v>699</v>
      </c>
      <c r="B8898" s="0" t="s">
        <v>52</v>
      </c>
      <c r="G8898" s="13" t="n">
        <f aca="false">Sens!$G$8894/Sens!$D$8894-1</f>
        <v>0.140854504918937</v>
      </c>
      <c r="H8898" s="13" t="n">
        <f aca="false">Sens!$H$8894/Sens!$G$8894-1</f>
        <v>0.152063789793209</v>
      </c>
      <c r="I8898" s="13" t="n">
        <f aca="false">Sens!$I$8894/Sens!$H$8894-1</f>
        <v>0.134273264437417</v>
      </c>
      <c r="J8898" s="13" t="n">
        <f aca="false">Sens!$J$8894/Sens!$I$8894-1</f>
        <v>0.113310421234083</v>
      </c>
      <c r="K8898" s="13" t="n">
        <f aca="false">Sens!$K$8894/Sens!$J$8894-1</f>
        <v>0.0894511729641407</v>
      </c>
      <c r="L8898" s="13" t="n">
        <f aca="false">Sens!$L$8894/Sens!$K$8894-1</f>
        <v>0.077111036745358</v>
      </c>
      <c r="M8898" s="13" t="n">
        <f aca="false">Sens!$M$8894/Sens!$L$8894-1</f>
        <v>0.067211171047677</v>
      </c>
    </row>
    <row r="8899" customFormat="false" ht="17.15" hidden="false" customHeight="false" outlineLevel="0" collapsed="false">
      <c r="A8899" s="0" t="s">
        <v>700</v>
      </c>
      <c r="B8899" s="0" t="s">
        <v>52</v>
      </c>
      <c r="C8899" s="13" t="n">
        <f aca="false">Sens!$C$8893/Sens!$C$8894</f>
        <v>0.168593906504964</v>
      </c>
      <c r="D8899" s="13" t="n">
        <f aca="false">Sens!$D$8893/Sens!$D$8894</f>
        <v>0.179551807444025</v>
      </c>
      <c r="E8899" s="13" t="n">
        <f aca="false">Sens!$E$8893/Sens!$E$8894</f>
        <v>0.208881910369643</v>
      </c>
      <c r="F8899" s="13" t="n">
        <f aca="false">Sens!$F$8893/Sens!$F$8894</f>
        <v>0.199028269699356</v>
      </c>
      <c r="G8899" s="13" t="n">
        <f aca="false">Sens!$G$8893/Sens!$G$8894</f>
        <v>0.203631882529968</v>
      </c>
      <c r="H8899" s="13" t="n">
        <f aca="false">Sens!$H$8893/Sens!$H$8894</f>
        <v>0.234731715958496</v>
      </c>
      <c r="I8899" s="13" t="n">
        <f aca="false">Sens!$I$8893/Sens!$I$8894</f>
        <v>0.262231204480418</v>
      </c>
      <c r="J8899" s="13" t="n">
        <f aca="false">Sens!$J$8893/Sens!$J$8894</f>
        <v>0.284728366013706</v>
      </c>
      <c r="K8899" s="13" t="n">
        <f aca="false">Sens!$K$8893/Sens!$K$8894</f>
        <v>0.300977547004873</v>
      </c>
      <c r="L8899" s="13" t="n">
        <f aca="false">Sens!$L$8893/Sens!$L$8894</f>
        <v>0.308826483090639</v>
      </c>
      <c r="M8899" s="13" t="n">
        <f aca="false">Sens!$M$8893/Sens!$M$8894</f>
        <v>0.310041277551482</v>
      </c>
      <c r="N8899" s="13" t="n">
        <f aca="false">Sens!$N$8893/Sens!$N$8894</f>
        <v>0.185979484737251</v>
      </c>
      <c r="O8899" s="13" t="n">
        <f aca="false">Sens!$O$8893/Sens!$O$8894</f>
        <v>0.174270432341096</v>
      </c>
    </row>
    <row r="8900" customFormat="false" ht="17.15" hidden="false" customHeight="false" outlineLevel="0" collapsed="false">
      <c r="A8900" s="0" t="s">
        <v>701</v>
      </c>
      <c r="B8900" s="0" t="s">
        <v>52</v>
      </c>
      <c r="C8900" s="13" t="n">
        <f aca="false">Sens!$C$8891/Sens!$C$8893</f>
        <v>0.0215795060896058</v>
      </c>
      <c r="D8900" s="13" t="n">
        <f aca="false">Sens!$D$8891/Sens!$D$8893</f>
        <v>0.0676152269462122</v>
      </c>
      <c r="E8900" s="13" t="n">
        <f aca="false">Sens!$E$8891/Sens!$E$8893</f>
        <v>0.106620641395783</v>
      </c>
      <c r="F8900" s="13" t="n">
        <f aca="false">Sens!$F$8891/Sens!$F$8893</f>
        <v>0.172523487401099</v>
      </c>
      <c r="G8900" s="13" t="n">
        <f aca="false">Sens!$G$8891/Sens!$G$8893</f>
        <v>0.140939911795589</v>
      </c>
      <c r="H8900" s="13" t="n">
        <f aca="false">Sens!$H$8891/Sens!$H$8893</f>
        <v>0.272018642937714</v>
      </c>
      <c r="I8900" s="13" t="n">
        <f aca="false">Sens!$I$8891/Sens!$I$8893</f>
        <v>0.362159512436497</v>
      </c>
      <c r="J8900" s="13" t="n">
        <f aca="false">Sens!$J$8891/Sens!$J$8893</f>
        <v>0.422151735934609</v>
      </c>
      <c r="K8900" s="13" t="n">
        <f aca="false">Sens!$K$8891/Sens!$K$8893</f>
        <v>0.458090911050534</v>
      </c>
      <c r="L8900" s="13" t="n">
        <f aca="false">Sens!$L$8891/Sens!$L$8893</f>
        <v>0.470447189602963</v>
      </c>
      <c r="M8900" s="13" t="n">
        <f aca="false">Sens!$M$8891/Sens!$M$8893</f>
        <v>0.466201083289563</v>
      </c>
      <c r="N8900" s="13" t="n">
        <f aca="false">Sens!$N$8891/Sens!$N$8893</f>
        <v>0.0506537999838362</v>
      </c>
      <c r="O8900" s="13" t="n">
        <f aca="false">Sens!$O$8891/Sens!$O$8893</f>
        <v>0.0824881615167056</v>
      </c>
    </row>
    <row r="8903" customFormat="false" ht="19.4" hidden="false" customHeight="false" outlineLevel="0" collapsed="false">
      <c r="A8903" s="31" t="s">
        <v>1317</v>
      </c>
    </row>
    <row r="8904" customFormat="false" ht="17.15" hidden="false" customHeight="false" outlineLevel="0" collapsed="false">
      <c r="A8904" s="6" t="s">
        <v>16</v>
      </c>
      <c r="B8904" s="6" t="s">
        <v>17</v>
      </c>
      <c r="C8904" s="20" t="s">
        <v>497</v>
      </c>
      <c r="D8904" s="20" t="s">
        <v>498</v>
      </c>
      <c r="E8904" s="20" t="s">
        <v>580</v>
      </c>
      <c r="F8904" s="20" t="s">
        <v>581</v>
      </c>
      <c r="G8904" s="20" t="s">
        <v>582</v>
      </c>
      <c r="H8904" s="20" t="s">
        <v>583</v>
      </c>
      <c r="I8904" s="20" t="s">
        <v>584</v>
      </c>
      <c r="J8904" s="20" t="s">
        <v>585</v>
      </c>
      <c r="K8904" s="20" t="s">
        <v>586</v>
      </c>
      <c r="L8904" s="20" t="s">
        <v>587</v>
      </c>
      <c r="M8904" s="20" t="s">
        <v>588</v>
      </c>
      <c r="N8904" s="20" t="s">
        <v>589</v>
      </c>
      <c r="O8904" s="20" t="s">
        <v>590</v>
      </c>
      <c r="P8904" s="6" t="s">
        <v>23</v>
      </c>
      <c r="R8904" s="20" t="n">
        <v>2023</v>
      </c>
      <c r="S8904" s="20" t="n">
        <v>2024</v>
      </c>
      <c r="T8904" s="20" t="n">
        <v>2025</v>
      </c>
      <c r="U8904" s="20" t="n">
        <v>2026</v>
      </c>
      <c r="V8904" s="20" t="n">
        <v>2027</v>
      </c>
      <c r="W8904" s="20" t="n">
        <v>2028</v>
      </c>
      <c r="X8904" s="20" t="n">
        <v>2029</v>
      </c>
      <c r="Y8904" s="20" t="n">
        <v>2030</v>
      </c>
      <c r="Z8904" s="20" t="n">
        <v>2031</v>
      </c>
      <c r="AA8904" s="20" t="n">
        <v>2032</v>
      </c>
    </row>
    <row r="8905" customFormat="false" ht="17.15" hidden="false" customHeight="false" outlineLevel="0" collapsed="false">
      <c r="A8905" s="1" t="s">
        <v>716</v>
      </c>
    </row>
    <row r="8906" customFormat="false" ht="15" hidden="false" customHeight="false" outlineLevel="0" collapsed="false">
      <c r="A8906" s="0" t="s">
        <v>519</v>
      </c>
      <c r="B8906" s="0" t="s">
        <v>86</v>
      </c>
      <c r="C8906" s="38" t="n">
        <f aca="false">Sens!$C$8811</f>
        <v>247.029</v>
      </c>
      <c r="D8906" s="38" t="n">
        <f aca="false">Sens!$D$8811</f>
        <v>269.287</v>
      </c>
      <c r="E8906" s="38" t="n">
        <f aca="false">Sens!$E$8811</f>
        <v>134.686</v>
      </c>
      <c r="F8906" s="38" t="n">
        <f aca="false">Sens!$F$8811</f>
        <v>158.293876822267</v>
      </c>
      <c r="G8906" s="38" t="n">
        <f aca="false">Sens!$G$8811</f>
        <v>292.979876822267</v>
      </c>
      <c r="H8906" s="38" t="n">
        <f aca="false">Sens!$H$8811</f>
        <v>318.184543087396</v>
      </c>
      <c r="I8906" s="38" t="n">
        <f aca="false">Sens!$I$8811</f>
        <v>341.736278761793</v>
      </c>
      <c r="J8906" s="38" t="n">
        <f aca="false">Sens!$J$8811</f>
        <v>362.927192787048</v>
      </c>
      <c r="K8906" s="38" t="n">
        <f aca="false">Sens!$K$8811</f>
        <v>381.0735524264</v>
      </c>
      <c r="L8906" s="38" t="n">
        <f aca="false">Sens!$L$8811</f>
        <v>400.12723004772</v>
      </c>
      <c r="M8906" s="38" t="n">
        <f aca="false">Sens!$M$8811</f>
        <v>420.133591550106</v>
      </c>
      <c r="N8906" s="38" t="n">
        <f aca="false">Sens!$N$8811</f>
        <v>118.892</v>
      </c>
      <c r="O8906" s="38" t="n">
        <f aca="false">Sens!$O$8811</f>
        <v>150.395</v>
      </c>
    </row>
    <row r="8907" customFormat="false" ht="15" hidden="false" customHeight="false" outlineLevel="0" collapsed="false">
      <c r="A8907" s="0" t="s">
        <v>520</v>
      </c>
      <c r="B8907" s="0" t="s">
        <v>86</v>
      </c>
      <c r="C8907" s="38" t="n">
        <f aca="false">Sens!$C$8813</f>
        <v>21.215</v>
      </c>
      <c r="D8907" s="38" t="n">
        <f aca="false">Sens!$D$8813</f>
        <v>22.561</v>
      </c>
      <c r="E8907" s="38" t="n">
        <f aca="false">Sens!$E$8813</f>
        <v>11.579</v>
      </c>
      <c r="F8907" s="38" t="n">
        <f aca="false">Sens!$F$8813</f>
        <v>11.5938724610325</v>
      </c>
      <c r="G8907" s="38" t="n">
        <f aca="false">Sens!$G$8813</f>
        <v>23.1728724610325</v>
      </c>
      <c r="H8907" s="38" t="n">
        <f aca="false">Sens!$H$8813</f>
        <v>24.353392759506</v>
      </c>
      <c r="I8907" s="38" t="n">
        <f aca="false">Sens!$I$8813</f>
        <v>25.4240338872015</v>
      </c>
      <c r="J8907" s="38" t="n">
        <f aca="false">Sens!$J$8813</f>
        <v>26.3642491017174</v>
      </c>
      <c r="K8907" s="38" t="n">
        <f aca="false">Sens!$K$8813</f>
        <v>27.155176574769</v>
      </c>
      <c r="L8907" s="38" t="n">
        <f aca="false">Sens!$L$8813</f>
        <v>27.969831872012</v>
      </c>
      <c r="M8907" s="38" t="n">
        <f aca="false">Sens!$M$8813</f>
        <v>28.8089268281724</v>
      </c>
      <c r="N8907" s="38" t="n">
        <f aca="false">Sens!$N$8813</f>
        <v>11.128</v>
      </c>
      <c r="O8907" s="38" t="n">
        <f aca="false">Sens!$O$8813</f>
        <v>11.433</v>
      </c>
    </row>
    <row r="8908" customFormat="false" ht="15" hidden="false" customHeight="false" outlineLevel="0" collapsed="false">
      <c r="A8908" s="0" t="s">
        <v>521</v>
      </c>
      <c r="B8908" s="0" t="s">
        <v>86</v>
      </c>
      <c r="C8908" s="38" t="n">
        <f aca="false">Sens!$C$8815</f>
        <v>156.146</v>
      </c>
      <c r="D8908" s="38" t="n">
        <f aca="false">Sens!$D$8815</f>
        <v>172.162</v>
      </c>
      <c r="E8908" s="38" t="n">
        <f aca="false">Sens!$E$8815</f>
        <v>88.358</v>
      </c>
      <c r="F8908" s="38" t="n">
        <f aca="false">Sens!$F$8815</f>
        <v>102.004388260171</v>
      </c>
      <c r="G8908" s="38" t="n">
        <f aca="false">Sens!$G$8815</f>
        <v>190.362388260171</v>
      </c>
      <c r="H8908" s="38" t="n">
        <f aca="false">Sens!$H$8815</f>
        <v>210.343106588311</v>
      </c>
      <c r="I8908" s="38" t="n">
        <f aca="false">Sens!$I$8815</f>
        <v>229.969728494648</v>
      </c>
      <c r="J8908" s="38" t="n">
        <f aca="false">Sens!$J$8815</f>
        <v>248.747636972598</v>
      </c>
      <c r="K8908" s="38" t="n">
        <f aca="false">Sens!$K$8815</f>
        <v>266.15997156068</v>
      </c>
      <c r="L8908" s="38" t="n">
        <f aca="false">Sens!$L$8815</f>
        <v>284.791169569927</v>
      </c>
      <c r="M8908" s="38" t="n">
        <f aca="false">Sens!$M$8815</f>
        <v>304.726551439822</v>
      </c>
      <c r="N8908" s="38" t="n">
        <f aca="false">Sens!$N$8815</f>
        <v>76.86</v>
      </c>
      <c r="O8908" s="38" t="n">
        <f aca="false">Sens!$O$8815</f>
        <v>95.302</v>
      </c>
    </row>
    <row r="8909" customFormat="false" ht="15" hidden="false" customHeight="false" outlineLevel="0" collapsed="false">
      <c r="A8909" s="0" t="s">
        <v>522</v>
      </c>
      <c r="B8909" s="0" t="s">
        <v>86</v>
      </c>
      <c r="C8909" s="38" t="n">
        <f aca="false">Sens!$C$8817</f>
        <v>56.214</v>
      </c>
      <c r="D8909" s="38" t="n">
        <f aca="false">Sens!$D$8817</f>
        <v>68.635</v>
      </c>
      <c r="E8909" s="38" t="n">
        <f aca="false">Sens!$E$8817</f>
        <v>37.052</v>
      </c>
      <c r="F8909" s="38" t="n">
        <f aca="false">Sens!$F$8817</f>
        <v>46.1572219944148</v>
      </c>
      <c r="G8909" s="38" t="n">
        <f aca="false">Sens!$G$8817</f>
        <v>83.2092219944148</v>
      </c>
      <c r="H8909" s="38" t="n">
        <f aca="false">Sens!$H$8817</f>
        <v>99.8969223878976</v>
      </c>
      <c r="I8909" s="38" t="n">
        <f aca="false">Sens!$I$8817</f>
        <v>116.583111095496</v>
      </c>
      <c r="J8909" s="38" t="n">
        <f aca="false">Sens!$J$8817</f>
        <v>132.148941941952</v>
      </c>
      <c r="K8909" s="38" t="n">
        <f aca="false">Sens!$K$8817</f>
        <v>145.363836136147</v>
      </c>
      <c r="L8909" s="38" t="n">
        <f aca="false">Sens!$L$8817</f>
        <v>159.900219749762</v>
      </c>
      <c r="M8909" s="38" t="n">
        <f aca="false">Sens!$M$8817</f>
        <v>175.890241724738</v>
      </c>
      <c r="N8909" s="38" t="n">
        <f aca="false">Sens!$N$8817</f>
        <v>29.615</v>
      </c>
      <c r="O8909" s="38" t="n">
        <f aca="false">Sens!$O$8817</f>
        <v>39.02</v>
      </c>
    </row>
    <row r="8910" customFormat="false" ht="15" hidden="false" customHeight="false" outlineLevel="0" collapsed="false">
      <c r="A8910" s="0" t="s">
        <v>523</v>
      </c>
      <c r="B8910" s="0" t="s">
        <v>86</v>
      </c>
      <c r="C8910" s="38" t="n">
        <f aca="false">Sens!$C$8819</f>
        <v>44.374</v>
      </c>
      <c r="D8910" s="38" t="n">
        <f aca="false">Sens!$D$8819</f>
        <v>49.619</v>
      </c>
      <c r="E8910" s="38" t="n">
        <f aca="false">Sens!$E$8819</f>
        <v>27.157</v>
      </c>
      <c r="F8910" s="38" t="n">
        <f aca="false">Sens!$F$8819</f>
        <v>27.7764165988154</v>
      </c>
      <c r="G8910" s="38" t="n">
        <f aca="false">Sens!$G$8819</f>
        <v>54.9334165988154</v>
      </c>
      <c r="H8910" s="38" t="n">
        <f aca="false">Sens!$H$8819</f>
        <v>61.1564112561829</v>
      </c>
      <c r="I8910" s="38" t="n">
        <f aca="false">Sens!$I$8819</f>
        <v>67.2020282103945</v>
      </c>
      <c r="J8910" s="38" t="n">
        <f aca="false">Sens!$J$8819</f>
        <v>72.8757274028885</v>
      </c>
      <c r="K8910" s="38" t="n">
        <f aca="false">Sens!$K$8819</f>
        <v>77.9770283210907</v>
      </c>
      <c r="L8910" s="38" t="n">
        <f aca="false">Sens!$L$8819</f>
        <v>83.4354203035671</v>
      </c>
      <c r="M8910" s="38" t="n">
        <f aca="false">Sens!$M$8819</f>
        <v>89.2758997248168</v>
      </c>
      <c r="N8910" s="38" t="n">
        <f aca="false">Sens!$N$8819</f>
        <v>23.923</v>
      </c>
      <c r="O8910" s="38" t="n">
        <f aca="false">Sens!$O$8819</f>
        <v>25.696</v>
      </c>
    </row>
    <row r="8911" customFormat="false" ht="15" hidden="false" customHeight="false" outlineLevel="0" collapsed="false">
      <c r="A8911" s="0" t="s">
        <v>524</v>
      </c>
      <c r="B8911" s="0" t="s">
        <v>86</v>
      </c>
      <c r="C8911" s="38" t="n">
        <f aca="false">Sens!$C$8821</f>
        <v>5.425</v>
      </c>
      <c r="D8911" s="38" t="n">
        <f aca="false">Sens!$D$8821</f>
        <v>5.935</v>
      </c>
      <c r="E8911" s="38" t="n">
        <f aca="false">Sens!$E$8821</f>
        <v>3.474</v>
      </c>
      <c r="F8911" s="38" t="n">
        <f aca="false">Sens!$F$8821</f>
        <v>3.22246550883619</v>
      </c>
      <c r="G8911" s="38" t="n">
        <f aca="false">Sens!$G$8821</f>
        <v>6.69646550883619</v>
      </c>
      <c r="H8911" s="38" t="n">
        <f aca="false">Sens!$H$8821</f>
        <v>7.16251344209196</v>
      </c>
      <c r="I8911" s="38" t="n">
        <f aca="false">Sens!$I$8821</f>
        <v>7.61421070299826</v>
      </c>
      <c r="J8911" s="38" t="n">
        <f aca="false">Sens!$J$8821</f>
        <v>8.04465753523932</v>
      </c>
      <c r="K8911" s="38" t="n">
        <f aca="false">Sens!$K$8821</f>
        <v>8.44689041200128</v>
      </c>
      <c r="L8911" s="38" t="n">
        <f aca="false">Sens!$L$8821</f>
        <v>8.86923493260135</v>
      </c>
      <c r="M8911" s="38" t="n">
        <f aca="false">Sens!$M$8821</f>
        <v>9.31269667923142</v>
      </c>
      <c r="N8911" s="38" t="n">
        <f aca="false">Sens!$N$8821</f>
        <v>2.811</v>
      </c>
      <c r="O8911" s="38" t="n">
        <f aca="false">Sens!$O$8821</f>
        <v>3.124</v>
      </c>
    </row>
    <row r="8912" customFormat="false" ht="17.15" hidden="false" customHeight="false" outlineLevel="0" collapsed="false">
      <c r="A8912" s="0" t="s">
        <v>717</v>
      </c>
      <c r="B8912" s="0" t="s">
        <v>86</v>
      </c>
      <c r="C8912" s="38" t="n">
        <f aca="false">Sens!$C$8893</f>
        <v>107.556</v>
      </c>
      <c r="D8912" s="38" t="n">
        <f aca="false">Sens!$D$8893</f>
        <v>128.725</v>
      </c>
      <c r="E8912" s="38" t="n">
        <f aca="false">Sens!$E$8893</f>
        <v>79.819</v>
      </c>
      <c r="F8912" s="38" t="n">
        <f aca="false">Sens!$F$8893</f>
        <v>86.7327334389669</v>
      </c>
      <c r="G8912" s="38" t="n">
        <f aca="false">Sens!$G$8893</f>
        <v>166.551733438967</v>
      </c>
      <c r="H8912" s="38" t="n">
        <f aca="false">Sens!$H$8893</f>
        <v>221.182967828978</v>
      </c>
      <c r="I8912" s="38" t="n">
        <f aca="false">Sens!$I$8893</f>
        <v>280.27345865789</v>
      </c>
      <c r="J8912" s="38" t="n">
        <f aca="false">Sens!$J$8893</f>
        <v>338.800945197185</v>
      </c>
      <c r="K8912" s="38" t="n">
        <f aca="false">Sens!$K$8893</f>
        <v>390.17168267</v>
      </c>
      <c r="L8912" s="38" t="n">
        <f aca="false">Sens!$L$8893</f>
        <v>431.217780537388</v>
      </c>
      <c r="M8912" s="38" t="n">
        <f aca="false">Sens!$M$8893</f>
        <v>462.010668928853</v>
      </c>
      <c r="N8912" s="38" t="n">
        <f aca="false">Sens!$N$8893</f>
        <v>60.14</v>
      </c>
      <c r="O8912" s="38" t="n">
        <f aca="false">Sens!$O$8893</f>
        <v>68.585</v>
      </c>
    </row>
    <row r="8913" customFormat="false" ht="15" hidden="false" customHeight="false" outlineLevel="0" collapsed="false">
      <c r="A8913" s="1" t="s">
        <v>512</v>
      </c>
      <c r="B8913" s="8" t="s">
        <v>86</v>
      </c>
      <c r="C8913" s="38" t="n">
        <f aca="false">Sens!$C$8826</f>
        <v>387.497</v>
      </c>
      <c r="D8913" s="38" t="n">
        <f aca="false">Sens!$D$8826</f>
        <v>426.305</v>
      </c>
      <c r="E8913" s="38" t="n">
        <f aca="false">Sens!$E$8826</f>
        <v>220.32</v>
      </c>
      <c r="F8913" s="38" t="n">
        <f aca="false">Sens!$F$8826</f>
        <v>250.639773480586</v>
      </c>
      <c r="G8913" s="38" t="n">
        <f aca="false">Sens!$G$8826</f>
        <v>470.959773480586</v>
      </c>
      <c r="H8913" s="38" t="n">
        <f aca="false">Sens!$H$8826</f>
        <v>521.386990416437</v>
      </c>
      <c r="I8913" s="38" t="n">
        <f aca="false">Sens!$I$8826</f>
        <v>570.143862887555</v>
      </c>
      <c r="J8913" s="38" t="n">
        <f aca="false">Sens!$J$8826</f>
        <v>615.391435791933</v>
      </c>
      <c r="K8913" s="38" t="n">
        <f aca="false">Sens!$K$8826</f>
        <v>655.208227561543</v>
      </c>
      <c r="L8913" s="38" t="n">
        <f aca="false">Sens!$L$8826</f>
        <v>697.807739249767</v>
      </c>
      <c r="M8913" s="38" t="n">
        <f aca="false">Sens!$M$8826</f>
        <v>743.399328463592</v>
      </c>
      <c r="N8913" s="38" t="n">
        <f aca="false">Sens!$N$8826</f>
        <v>192.955</v>
      </c>
      <c r="O8913" s="38" t="n">
        <f aca="false">Sens!$O$8826</f>
        <v>233.35</v>
      </c>
    </row>
    <row r="8914" customFormat="false" ht="15" hidden="false" customHeight="false" outlineLevel="0" collapsed="false">
      <c r="A8914" s="1" t="s">
        <v>515</v>
      </c>
      <c r="B8914" s="8" t="s">
        <v>86</v>
      </c>
      <c r="C8914" s="38" t="n">
        <f aca="false">Sens!$C$8827</f>
        <v>142.906</v>
      </c>
      <c r="D8914" s="38" t="n">
        <f aca="false">Sens!$D$8827</f>
        <v>161.894</v>
      </c>
      <c r="E8914" s="38" t="n">
        <f aca="false">Sens!$E$8827</f>
        <v>81.986</v>
      </c>
      <c r="F8914" s="38" t="n">
        <f aca="false">Sens!$F$8827</f>
        <v>98.408468164951</v>
      </c>
      <c r="G8914" s="38" t="n">
        <f aca="false">Sens!$G$8827</f>
        <v>180.394468164951</v>
      </c>
      <c r="H8914" s="38" t="n">
        <f aca="false">Sens!$H$8827</f>
        <v>199.709899104949</v>
      </c>
      <c r="I8914" s="38" t="n">
        <f aca="false">Sens!$I$8827</f>
        <v>218.385528264976</v>
      </c>
      <c r="J8914" s="38" t="n">
        <f aca="false">Sens!$J$8827</f>
        <v>235.71696994951</v>
      </c>
      <c r="K8914" s="38" t="n">
        <f aca="false">Sens!$K$8827</f>
        <v>250.968227869545</v>
      </c>
      <c r="L8914" s="38" t="n">
        <f aca="false">Sens!$L$8827</f>
        <v>267.285367225822</v>
      </c>
      <c r="M8914" s="38" t="n">
        <f aca="false">Sens!$M$8827</f>
        <v>284.748579483295</v>
      </c>
      <c r="N8914" s="38" t="n">
        <f aca="false">Sens!$N$8827</f>
        <v>70.274</v>
      </c>
      <c r="O8914" s="38" t="n">
        <f aca="false">Sens!$O$8827</f>
        <v>91.62</v>
      </c>
    </row>
    <row r="8915" customFormat="false" ht="15" hidden="false" customHeight="false" outlineLevel="0" collapsed="false">
      <c r="A8915" s="1" t="s">
        <v>516</v>
      </c>
      <c r="B8915" s="8" t="s">
        <v>86</v>
      </c>
      <c r="C8915" s="38" t="n">
        <f aca="false">Sens!$C$8893</f>
        <v>107.556</v>
      </c>
      <c r="D8915" s="38" t="n">
        <f aca="false">Sens!$D$8893</f>
        <v>128.725</v>
      </c>
      <c r="E8915" s="38" t="n">
        <f aca="false">Sens!$E$8893</f>
        <v>79.819</v>
      </c>
      <c r="F8915" s="38" t="n">
        <f aca="false">Sens!$F$8893</f>
        <v>86.7327334389669</v>
      </c>
      <c r="G8915" s="38" t="n">
        <f aca="false">Sens!$G$8893</f>
        <v>166.551733438967</v>
      </c>
      <c r="H8915" s="38" t="n">
        <f aca="false">Sens!$H$8893</f>
        <v>221.182967828978</v>
      </c>
      <c r="I8915" s="38" t="n">
        <f aca="false">Sens!$I$8893</f>
        <v>280.27345865789</v>
      </c>
      <c r="J8915" s="38" t="n">
        <f aca="false">Sens!$J$8893</f>
        <v>338.800945197185</v>
      </c>
      <c r="K8915" s="38" t="n">
        <f aca="false">Sens!$K$8893</f>
        <v>390.17168267</v>
      </c>
      <c r="L8915" s="38" t="n">
        <f aca="false">Sens!$L$8893</f>
        <v>431.217780537388</v>
      </c>
      <c r="M8915" s="38" t="n">
        <f aca="false">Sens!$M$8893</f>
        <v>462.010668928853</v>
      </c>
      <c r="N8915" s="38" t="n">
        <f aca="false">Sens!$N$8893</f>
        <v>60.14</v>
      </c>
      <c r="O8915" s="38" t="n">
        <f aca="false">Sens!$O$8893</f>
        <v>68.585</v>
      </c>
    </row>
    <row r="8916" customFormat="false" ht="17.15" hidden="false" customHeight="false" outlineLevel="0" collapsed="false">
      <c r="A8916" s="0" t="s">
        <v>691</v>
      </c>
      <c r="B8916" s="0" t="s">
        <v>86</v>
      </c>
      <c r="C8916" s="38" t="n">
        <f aca="false">Sens!$C$8891</f>
        <v>2.32100535697364</v>
      </c>
      <c r="D8916" s="38" t="n">
        <f aca="false">Sens!$D$8891</f>
        <v>8.70377008865116</v>
      </c>
      <c r="E8916" s="38" t="n">
        <f aca="false">Sens!$E$8891</f>
        <v>8.51035297557002</v>
      </c>
      <c r="F8916" s="38" t="n">
        <f aca="false">Sens!$F$8891</f>
        <v>14.9634336447205</v>
      </c>
      <c r="G8916" s="38" t="n">
        <f aca="false">Sens!$G$8891</f>
        <v>23.4737866202905</v>
      </c>
      <c r="H8916" s="38" t="n">
        <f aca="false">Sens!$H$8891</f>
        <v>60.1658907497746</v>
      </c>
      <c r="I8916" s="38" t="n">
        <f aca="false">Sens!$I$8891</f>
        <v>101.503699136432</v>
      </c>
      <c r="J8916" s="38" t="n">
        <f aca="false">Sens!$J$8891</f>
        <v>143.025407151278</v>
      </c>
      <c r="K8916" s="38" t="n">
        <f aca="false">Sens!$K$8891</f>
        <v>178.73410158042</v>
      </c>
      <c r="L8916" s="38" t="n">
        <f aca="false">Sens!$L$8891</f>
        <v>202.865192960641</v>
      </c>
      <c r="M8916" s="38" t="n">
        <f aca="false">Sens!$M$8891</f>
        <v>215.389874345967</v>
      </c>
      <c r="N8916" s="38" t="n">
        <f aca="false">Sens!$N$8891</f>
        <v>3.04631953102791</v>
      </c>
      <c r="O8916" s="38" t="n">
        <f aca="false">Sens!$O$8891</f>
        <v>5.65745055762326</v>
      </c>
    </row>
    <row r="8917" customFormat="false" ht="17.15" hidden="false" customHeight="false" outlineLevel="0" collapsed="false">
      <c r="A8917" s="0" t="s">
        <v>693</v>
      </c>
      <c r="B8917" s="0" t="s">
        <v>86</v>
      </c>
      <c r="C8917" s="38" t="n">
        <f aca="false">Sens!$C$8892</f>
        <v>105.234994643026</v>
      </c>
      <c r="D8917" s="38" t="n">
        <f aca="false">Sens!$D$8892</f>
        <v>120.021229911349</v>
      </c>
      <c r="E8917" s="38" t="n">
        <f aca="false">Sens!$E$8892</f>
        <v>71.30864702443</v>
      </c>
      <c r="F8917" s="38" t="n">
        <f aca="false">Sens!$F$8892</f>
        <v>71.7692997942464</v>
      </c>
      <c r="G8917" s="38" t="n">
        <f aca="false">Sens!$G$8892</f>
        <v>143.077946818676</v>
      </c>
      <c r="H8917" s="38" t="n">
        <f aca="false">Sens!$H$8892</f>
        <v>161.017077079203</v>
      </c>
      <c r="I8917" s="38" t="n">
        <f aca="false">Sens!$I$8892</f>
        <v>178.769759521457</v>
      </c>
      <c r="J8917" s="38" t="n">
        <f aca="false">Sens!$J$8892</f>
        <v>195.775538045907</v>
      </c>
      <c r="K8917" s="38" t="n">
        <f aca="false">Sens!$K$8892</f>
        <v>211.43758108958</v>
      </c>
      <c r="L8917" s="38" t="n">
        <f aca="false">Sens!$L$8892</f>
        <v>228.352587576746</v>
      </c>
      <c r="M8917" s="38" t="n">
        <f aca="false">Sens!$M$8892</f>
        <v>246.620794582886</v>
      </c>
      <c r="N8917" s="38" t="n">
        <f aca="false">Sens!$N$8892</f>
        <v>57.0936804689721</v>
      </c>
      <c r="O8917" s="38" t="n">
        <f aca="false">Sens!$O$8892</f>
        <v>62.9275494423768</v>
      </c>
    </row>
    <row r="8918" customFormat="false" ht="15" hidden="false" customHeight="false" outlineLevel="0" collapsed="false">
      <c r="A8918" s="3" t="s">
        <v>517</v>
      </c>
      <c r="B8918" s="8" t="s">
        <v>86</v>
      </c>
      <c r="C8918" s="38" t="n">
        <f aca="false">Sens!$C$8894</f>
        <v>637.959</v>
      </c>
      <c r="D8918" s="38" t="n">
        <f aca="false">Sens!$D$8894</f>
        <v>716.924</v>
      </c>
      <c r="E8918" s="38" t="n">
        <f aca="false">Sens!$E$8894</f>
        <v>382.125</v>
      </c>
      <c r="F8918" s="38" t="n">
        <f aca="false">Sens!$F$8894</f>
        <v>435.780975084504</v>
      </c>
      <c r="G8918" s="38" t="n">
        <f aca="false">Sens!$G$8894</f>
        <v>817.905975084504</v>
      </c>
      <c r="H8918" s="38" t="n">
        <f aca="false">Sens!$H$8894</f>
        <v>942.279857350364</v>
      </c>
      <c r="I8918" s="38" t="n">
        <f aca="false">Sens!$I$8894</f>
        <v>1068.80284981042</v>
      </c>
      <c r="J8918" s="38" t="n">
        <f aca="false">Sens!$J$8894</f>
        <v>1189.90935093863</v>
      </c>
      <c r="K8918" s="38" t="n">
        <f aca="false">Sens!$K$8894</f>
        <v>1296.34813810109</v>
      </c>
      <c r="L8918" s="38" t="n">
        <f aca="false">Sens!$L$8894</f>
        <v>1396.31088701298</v>
      </c>
      <c r="M8918" s="38" t="n">
        <f aca="false">Sens!$M$8894</f>
        <v>1490.15857687574</v>
      </c>
      <c r="N8918" s="38" t="n">
        <f aca="false">Sens!$N$8894</f>
        <v>323.369</v>
      </c>
      <c r="O8918" s="38" t="n">
        <f aca="false">Sens!$O$8894</f>
        <v>393.555</v>
      </c>
    </row>
    <row r="8919" customFormat="false" ht="17.15" hidden="false" customHeight="false" outlineLevel="0" collapsed="false">
      <c r="A8919" s="24" t="s">
        <v>703</v>
      </c>
      <c r="B8919" s="25" t="s">
        <v>86</v>
      </c>
      <c r="C8919" s="41" t="n">
        <f aca="false">Sens!$C$8906+Sens!$C$8907+Sens!$C$8908+Sens!$C$8909+Sens!$C$8910+Sens!$C$8911-(Sens!$C$8913+Sens!$C$8914)</f>
        <v>0</v>
      </c>
      <c r="D8919" s="41" t="n">
        <f aca="false">Sens!$D$8906+Sens!$D$8907+Sens!$D$8908+Sens!$D$8909+Sens!$D$8910+Sens!$D$8911-(Sens!$D$8913+Sens!$D$8914)</f>
        <v>0</v>
      </c>
      <c r="E8919" s="41" t="n">
        <f aca="false">Sens!$E$8906+Sens!$E$8907+Sens!$E$8908+Sens!$E$8909+Sens!$E$8910+Sens!$E$8911-(Sens!$E$8913+Sens!$E$8914)</f>
        <v>0</v>
      </c>
      <c r="F8919" s="41" t="n">
        <f aca="false">Sens!$F$8906+Sens!$F$8907+Sens!$F$8908+Sens!$F$8909+Sens!$F$8910+Sens!$F$8911-(Sens!$F$8913+Sens!$F$8914)</f>
        <v>0</v>
      </c>
      <c r="G8919" s="41" t="n">
        <f aca="false">Sens!$G$8906+Sens!$G$8907+Sens!$G$8908+Sens!$G$8909+Sens!$G$8910+Sens!$G$8911-(Sens!$G$8913+Sens!$G$8914)</f>
        <v>0</v>
      </c>
      <c r="H8919" s="41" t="n">
        <f aca="false">Sens!$H$8906+Sens!$H$8907+Sens!$H$8908+Sens!$H$8909+Sens!$H$8910+Sens!$H$8911-(Sens!$H$8913+Sens!$H$8914)</f>
        <v>0</v>
      </c>
      <c r="I8919" s="41" t="n">
        <f aca="false">Sens!$I$8906+Sens!$I$8907+Sens!$I$8908+Sens!$I$8909+Sens!$I$8910+Sens!$I$8911-(Sens!$I$8913+Sens!$I$8914)</f>
        <v>0</v>
      </c>
      <c r="J8919" s="41" t="n">
        <f aca="false">Sens!$J$8906+Sens!$J$8907+Sens!$J$8908+Sens!$J$8909+Sens!$J$8910+Sens!$J$8911-(Sens!$J$8913+Sens!$J$8914)</f>
        <v>0</v>
      </c>
      <c r="K8919" s="41" t="n">
        <f aca="false">Sens!$K$8906+Sens!$K$8907+Sens!$K$8908+Sens!$K$8909+Sens!$K$8910+Sens!$K$8911-(Sens!$K$8913+Sens!$K$8914)</f>
        <v>0</v>
      </c>
      <c r="L8919" s="41" t="n">
        <f aca="false">Sens!$L$8906+Sens!$L$8907+Sens!$L$8908+Sens!$L$8909+Sens!$L$8910+Sens!$L$8911-(Sens!$L$8913+Sens!$L$8914)</f>
        <v>0</v>
      </c>
      <c r="M8919" s="41" t="n">
        <f aca="false">Sens!$M$8906+Sens!$M$8907+Sens!$M$8908+Sens!$M$8909+Sens!$M$8910+Sens!$M$8911-(Sens!$M$8913+Sens!$M$8914)</f>
        <v>0</v>
      </c>
      <c r="N8919" s="41" t="n">
        <f aca="false">Sens!$N$8906+Sens!$N$8907+Sens!$N$8908+Sens!$N$8909+Sens!$N$8910+Sens!$N$8911-(Sens!$N$8913+Sens!$N$8914)</f>
        <v>0</v>
      </c>
      <c r="O8919" s="41" t="n">
        <f aca="false">Sens!$O$8906+Sens!$O$8907+Sens!$O$8908+Sens!$O$8909+Sens!$O$8910+Sens!$O$8911-(Sens!$O$8913+Sens!$O$8914)</f>
        <v>0</v>
      </c>
    </row>
    <row r="8920" customFormat="false" ht="17.15" hidden="false" customHeight="false" outlineLevel="0" collapsed="false">
      <c r="A8920" s="24" t="s">
        <v>704</v>
      </c>
      <c r="B8920" s="25" t="s">
        <v>86</v>
      </c>
      <c r="C8920" s="41" t="n">
        <f aca="false">Sens!$C$8916+Sens!$C$8917-Sens!$C$8915</f>
        <v>0</v>
      </c>
      <c r="D8920" s="41" t="n">
        <f aca="false">Sens!$D$8916+Sens!$D$8917-Sens!$D$8915</f>
        <v>0</v>
      </c>
      <c r="E8920" s="41" t="n">
        <f aca="false">Sens!$E$8916+Sens!$E$8917-Sens!$E$8915</f>
        <v>0</v>
      </c>
      <c r="F8920" s="41" t="n">
        <f aca="false">Sens!$F$8916+Sens!$F$8917-Sens!$F$8915</f>
        <v>0</v>
      </c>
      <c r="G8920" s="41" t="n">
        <f aca="false">Sens!$G$8916+Sens!$G$8917-Sens!$G$8915</f>
        <v>0</v>
      </c>
      <c r="H8920" s="41" t="n">
        <f aca="false">Sens!$H$8916+Sens!$H$8917-Sens!$H$8915</f>
        <v>0</v>
      </c>
      <c r="I8920" s="41" t="n">
        <f aca="false">Sens!$I$8916+Sens!$I$8917-Sens!$I$8915</f>
        <v>0</v>
      </c>
      <c r="J8920" s="41" t="n">
        <f aca="false">Sens!$J$8916+Sens!$J$8917-Sens!$J$8915</f>
        <v>0</v>
      </c>
      <c r="K8920" s="41" t="n">
        <f aca="false">Sens!$K$8916+Sens!$K$8917-Sens!$K$8915</f>
        <v>0</v>
      </c>
      <c r="L8920" s="41" t="n">
        <f aca="false">Sens!$L$8916+Sens!$L$8917-Sens!$L$8915</f>
        <v>0</v>
      </c>
      <c r="M8920" s="41" t="n">
        <f aca="false">Sens!$M$8916+Sens!$M$8917-Sens!$M$8915</f>
        <v>0</v>
      </c>
      <c r="N8920" s="41" t="n">
        <f aca="false">Sens!$N$8916+Sens!$N$8917-Sens!$N$8915</f>
        <v>0</v>
      </c>
      <c r="O8920" s="41" t="n">
        <f aca="false">Sens!$O$8916+Sens!$O$8917-Sens!$O$8915</f>
        <v>0</v>
      </c>
    </row>
    <row r="8921" customFormat="false" ht="17.15" hidden="false" customHeight="false" outlineLevel="0" collapsed="false">
      <c r="A8921" s="24" t="s">
        <v>763</v>
      </c>
      <c r="B8921" s="25" t="s">
        <v>86</v>
      </c>
      <c r="C8921" s="41" t="n">
        <f aca="false">Sens!$C$8906+Sens!$C$8907+Sens!$C$8908+Sens!$C$8909+Sens!$C$8910+Sens!$C$8911+Sens!$C$8912-Sens!$C$8918</f>
        <v>0</v>
      </c>
      <c r="D8921" s="41" t="n">
        <f aca="false">Sens!$D$8906+Sens!$D$8907+Sens!$D$8908+Sens!$D$8909+Sens!$D$8910+Sens!$D$8911+Sens!$D$8912-Sens!$D$8918</f>
        <v>0</v>
      </c>
      <c r="E8921" s="41" t="n">
        <f aca="false">Sens!$E$8906+Sens!$E$8907+Sens!$E$8908+Sens!$E$8909+Sens!$E$8910+Sens!$E$8911+Sens!$E$8912-Sens!$E$8918</f>
        <v>0</v>
      </c>
      <c r="F8921" s="41" t="n">
        <f aca="false">Sens!$F$8906+Sens!$F$8907+Sens!$F$8908+Sens!$F$8909+Sens!$F$8910+Sens!$F$8911+Sens!$F$8912-Sens!$F$8918</f>
        <v>0</v>
      </c>
      <c r="G8921" s="41" t="n">
        <f aca="false">Sens!$G$8906+Sens!$G$8907+Sens!$G$8908+Sens!$G$8909+Sens!$G$8910+Sens!$G$8911+Sens!$G$8912-Sens!$G$8918</f>
        <v>0</v>
      </c>
      <c r="H8921" s="41" t="n">
        <f aca="false">Sens!$H$8906+Sens!$H$8907+Sens!$H$8908+Sens!$H$8909+Sens!$H$8910+Sens!$H$8911+Sens!$H$8912-Sens!$H$8918</f>
        <v>0</v>
      </c>
      <c r="I8921" s="41" t="n">
        <f aca="false">Sens!$I$8906+Sens!$I$8907+Sens!$I$8908+Sens!$I$8909+Sens!$I$8910+Sens!$I$8911+Sens!$I$8912-Sens!$I$8918</f>
        <v>0</v>
      </c>
      <c r="J8921" s="41" t="n">
        <f aca="false">Sens!$J$8906+Sens!$J$8907+Sens!$J$8908+Sens!$J$8909+Sens!$J$8910+Sens!$J$8911+Sens!$J$8912-Sens!$J$8918</f>
        <v>0</v>
      </c>
      <c r="K8921" s="41" t="n">
        <f aca="false">Sens!$K$8906+Sens!$K$8907+Sens!$K$8908+Sens!$K$8909+Sens!$K$8910+Sens!$K$8911+Sens!$K$8912-Sens!$K$8918</f>
        <v>0</v>
      </c>
      <c r="L8921" s="41" t="n">
        <f aca="false">Sens!$L$8906+Sens!$L$8907+Sens!$L$8908+Sens!$L$8909+Sens!$L$8910+Sens!$L$8911+Sens!$L$8912-Sens!$L$8918</f>
        <v>0</v>
      </c>
      <c r="M8921" s="41" t="n">
        <f aca="false">Sens!$M$8906+Sens!$M$8907+Sens!$M$8908+Sens!$M$8909+Sens!$M$8910+Sens!$M$8911+Sens!$M$8912-Sens!$M$8918</f>
        <v>0</v>
      </c>
      <c r="N8921" s="41" t="n">
        <f aca="false">Sens!$N$8906+Sens!$N$8907+Sens!$N$8908+Sens!$N$8909+Sens!$N$8910+Sens!$N$8911+Sens!$N$8912-Sens!$N$8918</f>
        <v>0</v>
      </c>
      <c r="O8921" s="41" t="n">
        <f aca="false">Sens!$O$8906+Sens!$O$8907+Sens!$O$8908+Sens!$O$8909+Sens!$O$8910+Sens!$O$8911+Sens!$O$8912-Sens!$O$8918</f>
        <v>0</v>
      </c>
    </row>
    <row r="8922" customFormat="false" ht="17.15" hidden="false" customHeight="false" outlineLevel="0" collapsed="false">
      <c r="A8922" s="24" t="s">
        <v>705</v>
      </c>
      <c r="B8922" s="25" t="s">
        <v>86</v>
      </c>
      <c r="C8922" s="41" t="n">
        <f aca="false">Sens!$C$8913+Sens!$C$8914+Sens!$C$8915-Sens!$C$8918</f>
        <v>0</v>
      </c>
      <c r="D8922" s="41" t="n">
        <f aca="false">Sens!$D$8913+Sens!$D$8914+Sens!$D$8915-Sens!$D$8918</f>
        <v>0</v>
      </c>
      <c r="E8922" s="41" t="n">
        <f aca="false">Sens!$E$8913+Sens!$E$8914+Sens!$E$8915-Sens!$E$8918</f>
        <v>0</v>
      </c>
      <c r="F8922" s="41" t="n">
        <f aca="false">Sens!$F$8913+Sens!$F$8914+Sens!$F$8915-Sens!$F$8918</f>
        <v>0</v>
      </c>
      <c r="G8922" s="41" t="n">
        <f aca="false">Sens!$G$8913+Sens!$G$8914+Sens!$G$8915-Sens!$G$8918</f>
        <v>0</v>
      </c>
      <c r="H8922" s="41" t="n">
        <f aca="false">Sens!$H$8913+Sens!$H$8914+Sens!$H$8915-Sens!$H$8918</f>
        <v>0</v>
      </c>
      <c r="I8922" s="41" t="n">
        <f aca="false">Sens!$I$8913+Sens!$I$8914+Sens!$I$8915-Sens!$I$8918</f>
        <v>0</v>
      </c>
      <c r="J8922" s="41" t="n">
        <f aca="false">Sens!$J$8913+Sens!$J$8914+Sens!$J$8915-Sens!$J$8918</f>
        <v>0</v>
      </c>
      <c r="K8922" s="41" t="n">
        <f aca="false">Sens!$K$8913+Sens!$K$8914+Sens!$K$8915-Sens!$K$8918</f>
        <v>0</v>
      </c>
      <c r="L8922" s="41" t="n">
        <f aca="false">Sens!$L$8913+Sens!$L$8914+Sens!$L$8915-Sens!$L$8918</f>
        <v>0</v>
      </c>
      <c r="M8922" s="41" t="n">
        <f aca="false">Sens!$M$8913+Sens!$M$8914+Sens!$M$8915-Sens!$M$8918</f>
        <v>0</v>
      </c>
      <c r="N8922" s="41" t="n">
        <f aca="false">Sens!$N$8913+Sens!$N$8914+Sens!$N$8915-Sens!$N$8918</f>
        <v>0</v>
      </c>
      <c r="O8922" s="41" t="n">
        <f aca="false">Sens!$O$8913+Sens!$O$8914+Sens!$O$8915-Sens!$O$8918</f>
        <v>0</v>
      </c>
    </row>
    <row r="8923" customFormat="false" ht="17.15" hidden="false" customHeight="false" outlineLevel="0" collapsed="false">
      <c r="A8923" s="1" t="s">
        <v>719</v>
      </c>
    </row>
    <row r="8924" customFormat="false" ht="17.15" hidden="false" customHeight="false" outlineLevel="0" collapsed="false">
      <c r="A8924" s="0" t="s">
        <v>720</v>
      </c>
      <c r="B8924" s="0" t="s">
        <v>86</v>
      </c>
      <c r="C8924" s="38" t="n">
        <f aca="false">Sens!$C$8828*m_ad</f>
        <v>20.5341564414228</v>
      </c>
      <c r="D8924" s="38" t="n">
        <f aca="false">Sens!$D$8828*m_ad</f>
        <v>24.8720617299587</v>
      </c>
      <c r="E8924" s="38" t="n">
        <f aca="false">Sens!$E$8828*m_ad</f>
        <v>13.5017112462207</v>
      </c>
      <c r="F8924" s="38" t="n">
        <f aca="false">Sens!$F$8828*m_ad</f>
        <v>16.5719724165257</v>
      </c>
      <c r="G8924" s="38" t="n">
        <f aca="false">Sens!$G$8828*m_ad</f>
        <v>30.0820919220415</v>
      </c>
      <c r="H8924" s="38" t="n">
        <f aca="false">Sens!$H$8828*m_ad</f>
        <v>36.1150883276314</v>
      </c>
      <c r="I8924" s="38" t="n">
        <f aca="false">Sens!$I$8828*m_ad</f>
        <v>42.1475382231996</v>
      </c>
      <c r="J8924" s="38" t="n">
        <f aca="false">Sens!$J$8828*m_ad</f>
        <v>47.7749523864693</v>
      </c>
      <c r="K8924" s="38" t="n">
        <f aca="false">Sens!$K$8828*m_ad</f>
        <v>52.5524476251162</v>
      </c>
      <c r="L8924" s="38" t="n">
        <f aca="false">Sens!$L$8828*m_ad</f>
        <v>57.8076923876279</v>
      </c>
      <c r="M8924" s="38" t="n">
        <f aca="false">Sens!$M$8828*m_ad</f>
        <v>63.5884616263907</v>
      </c>
      <c r="N8924" s="38" t="n">
        <f aca="false">Sens!$N$8828*m_ad</f>
        <v>10.8543555706248</v>
      </c>
      <c r="O8924" s="38" t="n">
        <f aca="false">Sens!$O$8828*m_ad</f>
        <v>14.0094731821399</v>
      </c>
    </row>
    <row r="8925" customFormat="false" ht="17.15" hidden="false" customHeight="false" outlineLevel="0" collapsed="false">
      <c r="A8925" s="0" t="s">
        <v>721</v>
      </c>
      <c r="B8925" s="0" t="s">
        <v>86</v>
      </c>
      <c r="C8925" s="38" t="n">
        <f aca="false">Sens!$C$8826-Sens!$C$8828</f>
        <v>346.428687117154</v>
      </c>
      <c r="D8925" s="38" t="n">
        <f aca="false">Sens!$D$8826-Sens!$D$8828</f>
        <v>376.560876540083</v>
      </c>
      <c r="E8925" s="38" t="n">
        <f aca="false">Sens!$E$8826-Sens!$E$8828</f>
        <v>193.316577507559</v>
      </c>
      <c r="F8925" s="38" t="n">
        <f aca="false">Sens!$F$8826-Sens!$F$8828</f>
        <v>217.495828647535</v>
      </c>
      <c r="G8925" s="38" t="n">
        <f aca="false">Sens!$G$8826-Sens!$G$8828</f>
        <v>410.795589636503</v>
      </c>
      <c r="H8925" s="38" t="n">
        <f aca="false">Sens!$H$8826-Sens!$H$8828</f>
        <v>449.156813761174</v>
      </c>
      <c r="I8925" s="38" t="n">
        <f aca="false">Sens!$I$8826-Sens!$I$8828</f>
        <v>485.848786441156</v>
      </c>
      <c r="J8925" s="38" t="n">
        <f aca="false">Sens!$J$8826-Sens!$J$8828</f>
        <v>519.841531018994</v>
      </c>
      <c r="K8925" s="38" t="n">
        <f aca="false">Sens!$K$8826-Sens!$K$8828</f>
        <v>550.103332311311</v>
      </c>
      <c r="L8925" s="38" t="n">
        <f aca="false">Sens!$L$8826-Sens!$L$8828</f>
        <v>582.192354474511</v>
      </c>
      <c r="M8925" s="38" t="n">
        <f aca="false">Sens!$M$8826-Sens!$M$8828</f>
        <v>616.22240521081</v>
      </c>
      <c r="N8925" s="38" t="n">
        <f aca="false">Sens!$N$8826-Sens!$N$8828</f>
        <v>171.24628885875</v>
      </c>
      <c r="O8925" s="38" t="n">
        <f aca="false">Sens!$O$8826-Sens!$O$8828</f>
        <v>205.33105363572</v>
      </c>
    </row>
    <row r="8926" customFormat="false" ht="17.15" hidden="false" customHeight="false" outlineLevel="0" collapsed="false">
      <c r="A8926" s="0" t="s">
        <v>722</v>
      </c>
      <c r="B8926" s="0" t="s">
        <v>86</v>
      </c>
      <c r="C8926" s="38" t="n">
        <f aca="false">Sens!$C$8877*Sens!$C$8825</f>
        <v>0.123617442257179</v>
      </c>
      <c r="D8926" s="38" t="n">
        <f aca="false">Sens!$D$8877*Sens!$D$8825</f>
        <v>0.600198046024689</v>
      </c>
      <c r="E8926" s="38" t="n">
        <f aca="false">Sens!$E$8877*Sens!$E$8825</f>
        <v>0.970552432202993</v>
      </c>
      <c r="F8926" s="38" t="n">
        <f aca="false">Sens!$F$8877*Sens!$F$8825</f>
        <v>1.20013524388435</v>
      </c>
      <c r="G8926" s="38" t="n">
        <f aca="false">Sens!$G$8877*Sens!$G$8825</f>
        <v>2.17135369594947</v>
      </c>
      <c r="H8926" s="38" t="n">
        <f aca="false">Sens!$H$8877*Sens!$H$8825</f>
        <v>6.14227489656333</v>
      </c>
      <c r="I8926" s="38" t="n">
        <f aca="false">Sens!$I$8877*Sens!$I$8825</f>
        <v>11.6518054969681</v>
      </c>
      <c r="J8926" s="38" t="n">
        <f aca="false">Sens!$J$8877*Sens!$J$8825</f>
        <v>17.3105301010592</v>
      </c>
      <c r="K8926" s="38" t="n">
        <f aca="false">Sens!$K$8877*Sens!$K$8825</f>
        <v>22.8589387121659</v>
      </c>
      <c r="L8926" s="38" t="n">
        <f aca="false">Sens!$L$8877*Sens!$L$8825</f>
        <v>26.7822853944593</v>
      </c>
      <c r="M8926" s="38" t="n">
        <f aca="false">Sens!$M$8877*Sens!$M$8825</f>
        <v>29.3136477388215</v>
      </c>
      <c r="N8926" s="38" t="n">
        <f aca="false">Sens!$N$8877*Sens!$N$8825</f>
        <v>0.25053229484398</v>
      </c>
      <c r="O8926" s="38" t="n">
        <f aca="false">Sens!$O$8877*Sens!$O$8825</f>
        <v>0.349234376756897</v>
      </c>
    </row>
    <row r="8927" customFormat="false" ht="17.15" hidden="false" customHeight="false" outlineLevel="0" collapsed="false">
      <c r="A8927" s="0" t="s">
        <v>723</v>
      </c>
      <c r="B8927" s="0" t="s">
        <v>52</v>
      </c>
      <c r="C8927" s="28" t="n">
        <f aca="false">(Sens!$C$8928-Sens!$C$8924+Sens!$C$8926)/Sens!$C$8925</f>
        <v>0.0131526665379575</v>
      </c>
      <c r="D8927" s="28" t="n">
        <f aca="false">(Sens!$D$8928-Sens!$D$8924+Sens!$D$8926)/Sens!$D$8925</f>
        <v>0.0141999252954702</v>
      </c>
      <c r="E8927" s="28" t="n">
        <f aca="false">(Sens!$E$8928-Sens!$E$8924+Sens!$E$8926)/Sens!$E$8925</f>
        <v>0.0251341154940129</v>
      </c>
      <c r="F8927" s="28" t="n">
        <f aca="false">Sens!$O$8927+(Sens!$E$8927-Sens!$N$8927)</f>
        <v>0.0217171685713677</v>
      </c>
      <c r="G8927" s="28" t="n">
        <f aca="false">(Sens!$G$8928-Sens!$G$8924+Sens!$G$8926)/Sens!$G$8925</f>
        <v>0.0233071940458981</v>
      </c>
      <c r="H8927" s="28" t="n">
        <f aca="false">Sens!$G$8927+step_na</f>
        <v>0.0263071940458981</v>
      </c>
      <c r="I8927" s="28" t="n">
        <f aca="false">Sens!$H$8927+step_na</f>
        <v>0.0293071940458981</v>
      </c>
      <c r="J8927" s="28" t="n">
        <f aca="false">Sens!$I$8927+step_na</f>
        <v>0.0323071940458981</v>
      </c>
      <c r="K8927" s="28" t="n">
        <f aca="false">Sens!$J$8927+step_na</f>
        <v>0.0353071940458981</v>
      </c>
      <c r="L8927" s="28" t="n">
        <f aca="false">Sens!$K$8927</f>
        <v>0.0353071940458981</v>
      </c>
      <c r="M8927" s="28" t="n">
        <f aca="false">Sens!$L$8927</f>
        <v>0.0353071940458981</v>
      </c>
      <c r="N8927" s="28" t="n">
        <f aca="false">(Sens!$N$8928-Sens!$N$8924+Sens!$N$8926)/Sens!$N$8925</f>
        <v>0.0160831323269779</v>
      </c>
      <c r="O8927" s="28" t="n">
        <f aca="false">(Sens!$O$8928-Sens!$O$8924+Sens!$O$8926)/Sens!$O$8925</f>
        <v>0.0126661854043327</v>
      </c>
      <c r="P8927" s="8" t="s">
        <v>724</v>
      </c>
    </row>
    <row r="8928" customFormat="false" ht="17.15" hidden="false" customHeight="false" outlineLevel="0" collapsed="false">
      <c r="A8928" s="1" t="s">
        <v>725</v>
      </c>
      <c r="B8928" s="8" t="s">
        <v>86</v>
      </c>
      <c r="C8928" s="38" t="n">
        <f aca="false">Q!$D$22</f>
        <v>24.967</v>
      </c>
      <c r="D8928" s="38" t="n">
        <f aca="false">Q!$E$22</f>
        <v>29.619</v>
      </c>
      <c r="E8928" s="38" t="n">
        <f aca="false">Q!$P$22</f>
        <v>17.39</v>
      </c>
      <c r="F8928" s="38" t="n">
        <f aca="false">Sens!$F$8924+Sens!$F$8925*Sens!$F$8927-Sens!$F$8926</f>
        <v>20.0952307469491</v>
      </c>
      <c r="G8928" s="38" t="n">
        <f aca="false">Sens!$E$8928+Sens!$F$8928</f>
        <v>37.4852307469491</v>
      </c>
      <c r="H8928" s="38" t="n">
        <f aca="false">Sens!$H$8924+Sens!$H$8925*Sens!$H$8927-Sens!$H$8926</f>
        <v>41.7888688877206</v>
      </c>
      <c r="I8928" s="38" t="n">
        <f aca="false">Sens!$I$8924+Sens!$I$8925*Sens!$I$8927-Sens!$I$8926</f>
        <v>44.7345973874265</v>
      </c>
      <c r="J8928" s="38" t="n">
        <f aca="false">Sens!$J$8924+Sens!$J$8925*Sens!$J$8927-Sens!$J$8926</f>
        <v>47.2590435011574</v>
      </c>
      <c r="K8928" s="38" t="n">
        <f aca="false">Sens!$K$8924+Sens!$K$8925*Sens!$K$8927-Sens!$K$8926</f>
        <v>49.1161140121609</v>
      </c>
      <c r="L8928" s="38" t="n">
        <f aca="false">Sens!$L$8924+Sens!$L$8925*Sens!$L$8927-Sens!$L$8926</f>
        <v>51.5809854246384</v>
      </c>
      <c r="M8928" s="38" t="n">
        <f aca="false">Sens!$M$8924+Sens!$M$8925*Sens!$M$8927-Sens!$M$8926</f>
        <v>56.0318979237773</v>
      </c>
      <c r="N8928" s="38" t="n">
        <f aca="false">Q!$N$22</f>
        <v>13.358</v>
      </c>
      <c r="O8928" s="38" t="n">
        <f aca="false">Q!$O$22</f>
        <v>16.261</v>
      </c>
    </row>
    <row r="8929" customFormat="false" ht="17.15" hidden="false" customHeight="false" outlineLevel="0" collapsed="false">
      <c r="A8929" s="0" t="s">
        <v>726</v>
      </c>
      <c r="B8929" s="0" t="s">
        <v>86</v>
      </c>
      <c r="C8929" s="38" t="n">
        <f aca="false">Sens!$C$8829*m_ad</f>
        <v>7.57284355857716</v>
      </c>
      <c r="D8929" s="38" t="n">
        <f aca="false">Sens!$D$8829*m_ad</f>
        <v>9.44543827004127</v>
      </c>
      <c r="E8929" s="38" t="n">
        <f aca="false">Sens!$E$8829*m_ad</f>
        <v>5.02428875377928</v>
      </c>
      <c r="F8929" s="38" t="n">
        <f aca="false">Sens!$F$8829*m_ad</f>
        <v>6.50663858068173</v>
      </c>
      <c r="G8929" s="38" t="n">
        <f aca="false">Sens!$G$8829*m_ad</f>
        <v>11.5225190751659</v>
      </c>
      <c r="H8929" s="38" t="n">
        <f aca="false">Sens!$H$8829*m_ad</f>
        <v>13.8333728663174</v>
      </c>
      <c r="I8929" s="38" t="n">
        <f aca="false">Sens!$I$8829*m_ad</f>
        <v>16.1440173245485</v>
      </c>
      <c r="J8929" s="38" t="n">
        <f aca="false">Sens!$J$8829*m_ad</f>
        <v>18.2995185845066</v>
      </c>
      <c r="K8929" s="38" t="n">
        <f aca="false">Sens!$K$8829*m_ad</f>
        <v>20.1294704429572</v>
      </c>
      <c r="L8929" s="38" t="n">
        <f aca="false">Sens!$L$8829*m_ad</f>
        <v>22.142417487253</v>
      </c>
      <c r="M8929" s="38" t="n">
        <f aca="false">Sens!$M$8829*m_ad</f>
        <v>24.3566592359783</v>
      </c>
      <c r="N8929" s="38" t="n">
        <f aca="false">Sens!$N$8829*m_ad</f>
        <v>3.95314442937518</v>
      </c>
      <c r="O8929" s="38" t="n">
        <f aca="false">Sens!$O$8829*m_ad</f>
        <v>5.50052681786011</v>
      </c>
    </row>
    <row r="8930" customFormat="false" ht="17.15" hidden="false" customHeight="false" outlineLevel="0" collapsed="false">
      <c r="A8930" s="0" t="s">
        <v>727</v>
      </c>
      <c r="B8930" s="0" t="s">
        <v>86</v>
      </c>
      <c r="C8930" s="38" t="n">
        <f aca="false">Sens!$C$8827-Sens!$C$8829</f>
        <v>127.760312882846</v>
      </c>
      <c r="D8930" s="38" t="n">
        <f aca="false">Sens!$D$8827-Sens!$D$8829</f>
        <v>143.003123459917</v>
      </c>
      <c r="E8930" s="38" t="n">
        <f aca="false">Sens!$E$8827-Sens!$E$8829</f>
        <v>71.9374224924414</v>
      </c>
      <c r="F8930" s="38" t="n">
        <f aca="false">Sens!$F$8827-Sens!$F$8829</f>
        <v>85.3951910035875</v>
      </c>
      <c r="G8930" s="38" t="n">
        <f aca="false">Sens!$G$8827-Sens!$G$8829</f>
        <v>157.349430014619</v>
      </c>
      <c r="H8930" s="38" t="n">
        <f aca="false">Sens!$H$8827-Sens!$H$8829</f>
        <v>172.043153372315</v>
      </c>
      <c r="I8930" s="38" t="n">
        <f aca="false">Sens!$I$8827-Sens!$I$8829</f>
        <v>186.097493615879</v>
      </c>
      <c r="J8930" s="38" t="n">
        <f aca="false">Sens!$J$8827-Sens!$J$8829</f>
        <v>199.117932780497</v>
      </c>
      <c r="K8930" s="38" t="n">
        <f aca="false">Sens!$K$8827-Sens!$K$8829</f>
        <v>210.70928698363</v>
      </c>
      <c r="L8930" s="38" t="n">
        <f aca="false">Sens!$L$8827-Sens!$L$8829</f>
        <v>223.000532251316</v>
      </c>
      <c r="M8930" s="38" t="n">
        <f aca="false">Sens!$M$8827-Sens!$M$8829</f>
        <v>236.035261011339</v>
      </c>
      <c r="N8930" s="38" t="n">
        <f aca="false">Sens!$N$8827-Sens!$N$8829</f>
        <v>62.3677111412496</v>
      </c>
      <c r="O8930" s="38" t="n">
        <f aca="false">Sens!$O$8827-Sens!$O$8829</f>
        <v>80.6189463642798</v>
      </c>
    </row>
    <row r="8931" customFormat="false" ht="17.15" hidden="false" customHeight="false" outlineLevel="0" collapsed="false">
      <c r="A8931" s="0" t="s">
        <v>728</v>
      </c>
      <c r="B8931" s="0" t="s">
        <v>86</v>
      </c>
      <c r="C8931" s="38" t="n">
        <f aca="false">Sens!$C$8877*(1-Sens!$C$8825)</f>
        <v>0.0455891896019953</v>
      </c>
      <c r="D8931" s="38" t="n">
        <f aca="false">Sens!$D$8877*(1-Sens!$D$8825)</f>
        <v>0.227931791705753</v>
      </c>
      <c r="E8931" s="38" t="n">
        <f aca="false">Sens!$E$8877*(1-Sens!$E$8825)</f>
        <v>0.361164268820781</v>
      </c>
      <c r="F8931" s="38" t="n">
        <f aca="false">Sens!$F$8877*(1-Sens!$F$8825)</f>
        <v>0.471208018190203</v>
      </c>
      <c r="G8931" s="38" t="n">
        <f aca="false">Sens!$G$8877*(1-Sens!$G$8825)</f>
        <v>0.83170626714885</v>
      </c>
      <c r="H8931" s="38" t="n">
        <f aca="false">Sens!$H$8877*(1-Sens!$H$8825)</f>
        <v>2.35271136874315</v>
      </c>
      <c r="I8931" s="38" t="n">
        <f aca="false">Sens!$I$8877*(1-Sens!$I$8825)</f>
        <v>4.46305900024741</v>
      </c>
      <c r="J8931" s="38" t="n">
        <f aca="false">Sens!$J$8877*(1-Sens!$J$8825)</f>
        <v>6.63055328092195</v>
      </c>
      <c r="K8931" s="38" t="n">
        <f aca="false">Sens!$K$8877*(1-Sens!$K$8825)</f>
        <v>8.75579258355993</v>
      </c>
      <c r="L8931" s="38" t="n">
        <f aca="false">Sens!$L$8877*(1-Sens!$L$8825)</f>
        <v>10.2585749399988</v>
      </c>
      <c r="M8931" s="38" t="n">
        <f aca="false">Sens!$M$8877*(1-Sens!$M$8825)</f>
        <v>11.2281774189307</v>
      </c>
      <c r="N8931" s="38" t="n">
        <f aca="false">Sens!$N$8877*(1-Sens!$N$8825)</f>
        <v>0.0912435878202994</v>
      </c>
      <c r="O8931" s="38" t="n">
        <f aca="false">Sens!$O$8877*(1-Sens!$O$8825)</f>
        <v>0.137119578309265</v>
      </c>
    </row>
    <row r="8932" customFormat="false" ht="17.15" hidden="false" customHeight="false" outlineLevel="0" collapsed="false">
      <c r="A8932" s="0" t="s">
        <v>729</v>
      </c>
      <c r="B8932" s="0" t="s">
        <v>52</v>
      </c>
      <c r="C8932" s="28" t="n">
        <f aca="false">(Sens!$C$8933-Sens!$C$8929+Sens!$C$8931)/Sens!$C$8930</f>
        <v>-0.0292364215826579</v>
      </c>
      <c r="D8932" s="28" t="n">
        <f aca="false">(Sens!$D$8933-Sens!$D$8929+Sens!$D$8931)/Sens!$D$8930</f>
        <v>-0.0312406216748665</v>
      </c>
      <c r="E8932" s="28" t="n">
        <f aca="false">(Sens!$E$8933-Sens!$E$8929+Sens!$E$8931)/Sens!$E$8930</f>
        <v>-0.0211590078184749</v>
      </c>
      <c r="F8932" s="28" t="n">
        <f aca="false">Sens!$O$8932+(Sens!$E$8932-Sens!$N$8932)</f>
        <v>-0.0382539955245511</v>
      </c>
      <c r="G8932" s="28" t="n">
        <f aca="false">(Sens!$G$8933-Sens!$G$8929+Sens!$G$8931)/Sens!$G$8930</f>
        <v>-0.030385172031133</v>
      </c>
      <c r="H8932" s="28" t="n">
        <f aca="false">Sens!$G$8932+step_in</f>
        <v>-0.030385172031133</v>
      </c>
      <c r="I8932" s="28" t="n">
        <f aca="false">Sens!$H$8932+step_in</f>
        <v>-0.030385172031133</v>
      </c>
      <c r="J8932" s="28" t="n">
        <f aca="false">Sens!$I$8932+step_in</f>
        <v>-0.030385172031133</v>
      </c>
      <c r="K8932" s="28" t="n">
        <f aca="false">Sens!$J$8932+step_in</f>
        <v>-0.030385172031133</v>
      </c>
      <c r="L8932" s="28" t="n">
        <f aca="false">Sens!$K$8932</f>
        <v>-0.030385172031133</v>
      </c>
      <c r="M8932" s="28" t="n">
        <f aca="false">Sens!$L$8932</f>
        <v>-0.030385172031133</v>
      </c>
      <c r="N8932" s="28" t="n">
        <f aca="false">(Sens!$N$8933-Sens!$N$8929+Sens!$N$8931)/Sens!$N$8930</f>
        <v>-0.0216602600421776</v>
      </c>
      <c r="O8932" s="28" t="n">
        <f aca="false">(Sens!$O$8933-Sens!$O$8929+Sens!$O$8931)/Sens!$O$8930</f>
        <v>-0.0387552477482538</v>
      </c>
      <c r="P8932" s="8" t="s">
        <v>724</v>
      </c>
    </row>
    <row r="8933" customFormat="false" ht="17.15" hidden="false" customHeight="false" outlineLevel="0" collapsed="false">
      <c r="A8933" s="1" t="s">
        <v>730</v>
      </c>
      <c r="B8933" s="8" t="s">
        <v>86</v>
      </c>
      <c r="C8933" s="38" t="n">
        <f aca="false">Q!$D$23</f>
        <v>3.792</v>
      </c>
      <c r="D8933" s="38" t="n">
        <f aca="false">Q!$E$23</f>
        <v>4.75</v>
      </c>
      <c r="E8933" s="38" t="n">
        <f aca="false">Q!$P$23</f>
        <v>3.141</v>
      </c>
      <c r="F8933" s="38" t="n">
        <f aca="false">Sens!$F$8929+Sens!$F$8930*Sens!$F$8932-Sens!$F$8931</f>
        <v>2.7687233080221</v>
      </c>
      <c r="G8933" s="38" t="n">
        <f aca="false">Sens!$E$8933+Sens!$F$8933</f>
        <v>5.9097233080221</v>
      </c>
      <c r="H8933" s="38" t="n">
        <f aca="false">Sens!$H$8929+Sens!$H$8930*Sens!$H$8932-Sens!$H$8931</f>
        <v>6.25310068557783</v>
      </c>
      <c r="I8933" s="38" t="n">
        <f aca="false">Sens!$I$8929+Sens!$I$8930*Sens!$I$8932-Sens!$I$8931</f>
        <v>6.02635396621997</v>
      </c>
      <c r="J8933" s="38" t="n">
        <f aca="false">Sens!$J$8929+Sens!$J$8930*Sens!$J$8932-Sens!$J$8931</f>
        <v>5.61873266156566</v>
      </c>
      <c r="K8933" s="38" t="n">
        <f aca="false">Sens!$K$8929+Sens!$K$8930*Sens!$K$8932-Sens!$K$8931</f>
        <v>4.97123992584234</v>
      </c>
      <c r="L8933" s="38" t="n">
        <f aca="false">Sens!$L$8929+Sens!$L$8930*Sens!$L$8932-Sens!$L$8931</f>
        <v>5.10793301176375</v>
      </c>
      <c r="M8933" s="38" t="n">
        <f aca="false">Sens!$M$8929+Sens!$M$8930*Sens!$M$8932-Sens!$M$8931</f>
        <v>5.95650980580469</v>
      </c>
      <c r="N8933" s="38" t="n">
        <f aca="false">Q!$N$23</f>
        <v>2.511</v>
      </c>
      <c r="O8933" s="38" t="n">
        <f aca="false">Q!$O$23</f>
        <v>2.239</v>
      </c>
    </row>
    <row r="8934" customFormat="false" ht="17.15" hidden="false" customHeight="false" outlineLevel="0" collapsed="false">
      <c r="A8934" s="0" t="s">
        <v>731</v>
      </c>
      <c r="B8934" s="0" t="s">
        <v>86</v>
      </c>
      <c r="C8934" s="38" t="n">
        <f aca="false">Sens!$C$8874</f>
        <v>1.64417882953695</v>
      </c>
      <c r="D8934" s="38" t="n">
        <f aca="false">Sens!$D$8874</f>
        <v>5.39125073772939</v>
      </c>
      <c r="E8934" s="38" t="n">
        <f aca="false">Sens!$E$8874</f>
        <v>3.18348617147493</v>
      </c>
      <c r="F8934" s="38" t="n">
        <f aca="false">Sens!$F$8874</f>
        <v>8.27806059642226</v>
      </c>
      <c r="G8934" s="38" t="n">
        <f aca="false">Sens!$G$8874</f>
        <v>11.4615467678972</v>
      </c>
      <c r="H8934" s="38" t="n">
        <f aca="false">Sens!$H$8874</f>
        <v>26.1859456885487</v>
      </c>
      <c r="I8934" s="38" t="n">
        <f aca="false">Sens!$I$8874</f>
        <v>37.04424114757</v>
      </c>
      <c r="J8934" s="38" t="n">
        <f aca="false">Sens!$J$8874</f>
        <v>47.2610736233534</v>
      </c>
      <c r="K8934" s="38" t="n">
        <f aca="false">Sens!$K$8874</f>
        <v>52.2751763975167</v>
      </c>
      <c r="L8934" s="38" t="n">
        <f aca="false">Sens!$L$8874</f>
        <v>54.701751622809</v>
      </c>
      <c r="M8934" s="38" t="n">
        <f aca="false">Sens!$M$8874</f>
        <v>53.2225737149584</v>
      </c>
      <c r="N8934" s="38" t="n">
        <f aca="false">Sens!$N$8874</f>
        <v>1.67921600037079</v>
      </c>
      <c r="O8934" s="38" t="n">
        <f aca="false">Sens!$O$8874</f>
        <v>3.71203473735861</v>
      </c>
    </row>
    <row r="8935" customFormat="false" ht="17.15" hidden="false" customHeight="false" outlineLevel="0" collapsed="false">
      <c r="A8935" s="0" t="s">
        <v>649</v>
      </c>
      <c r="B8935" s="0" t="s">
        <v>86</v>
      </c>
      <c r="C8935" s="38" t="n">
        <f aca="false">Sens!$C$8879</f>
        <v>38.1898211704631</v>
      </c>
      <c r="D8935" s="38" t="n">
        <f aca="false">Sens!$D$8879</f>
        <v>40.2147492622706</v>
      </c>
      <c r="E8935" s="38" t="n">
        <f aca="false">Sens!$E$8879</f>
        <v>27.5985138285251</v>
      </c>
      <c r="F8935" s="38" t="n">
        <f aca="false">Sens!$F$8879</f>
        <v>25.5484769754606</v>
      </c>
      <c r="G8935" s="38" t="n">
        <f aca="false">Sens!$G$8879</f>
        <v>53.1469908039857</v>
      </c>
      <c r="H8935" s="38" t="n">
        <f aca="false">Sens!$H$8879</f>
        <v>57.3189525076539</v>
      </c>
      <c r="I8935" s="38" t="n">
        <f aca="false">Sens!$I$8879</f>
        <v>63.6385627021087</v>
      </c>
      <c r="J8935" s="38" t="n">
        <f aca="false">Sens!$J$8879</f>
        <v>69.6922896066105</v>
      </c>
      <c r="K8935" s="38" t="n">
        <f aca="false">Sens!$K$8879</f>
        <v>75.2676727751394</v>
      </c>
      <c r="L8935" s="38" t="n">
        <f aca="false">Sens!$L$8879</f>
        <v>81.2890865971505</v>
      </c>
      <c r="M8935" s="38" t="n">
        <f aca="false">Sens!$M$8879</f>
        <v>87.7922135249226</v>
      </c>
      <c r="N8935" s="38" t="n">
        <f aca="false">Sens!$N$8879</f>
        <v>20.0277839996292</v>
      </c>
      <c r="O8935" s="38" t="n">
        <f aca="false">Sens!$O$8879</f>
        <v>20.1869652626414</v>
      </c>
    </row>
    <row r="8936" customFormat="false" ht="17.15" hidden="false" customHeight="false" outlineLevel="0" collapsed="false">
      <c r="A8936" s="1" t="s">
        <v>732</v>
      </c>
      <c r="B8936" s="8" t="s">
        <v>86</v>
      </c>
      <c r="C8936" s="38" t="n">
        <f aca="false">Q!$D$24</f>
        <v>39.834</v>
      </c>
      <c r="D8936" s="38" t="n">
        <f aca="false">Q!$E$24</f>
        <v>45.606</v>
      </c>
      <c r="E8936" s="38" t="n">
        <f aca="false">Q!$P$24</f>
        <v>30.782</v>
      </c>
      <c r="F8936" s="38" t="n">
        <f aca="false">Sens!$F$8934+Sens!$F$8935</f>
        <v>33.8265375718829</v>
      </c>
      <c r="G8936" s="38" t="n">
        <f aca="false">Sens!$G$8934+Sens!$G$8935</f>
        <v>64.6085375718829</v>
      </c>
      <c r="H8936" s="38" t="n">
        <f aca="false">Sens!$H$8934+Sens!$H$8935</f>
        <v>83.5048981962026</v>
      </c>
      <c r="I8936" s="38" t="n">
        <f aca="false">Sens!$I$8934+Sens!$I$8935</f>
        <v>100.682803849679</v>
      </c>
      <c r="J8936" s="38" t="n">
        <f aca="false">Sens!$J$8934+Sens!$J$8935</f>
        <v>116.953363229964</v>
      </c>
      <c r="K8936" s="38" t="n">
        <f aca="false">Sens!$K$8934+Sens!$K$8935</f>
        <v>127.542849172656</v>
      </c>
      <c r="L8936" s="38" t="n">
        <f aca="false">Sens!$L$8934+Sens!$L$8935</f>
        <v>135.99083821996</v>
      </c>
      <c r="M8936" s="38" t="n">
        <f aca="false">Sens!$M$8934+Sens!$M$8935</f>
        <v>141.014787239881</v>
      </c>
      <c r="N8936" s="38" t="n">
        <f aca="false">Q!$N$24</f>
        <v>21.707</v>
      </c>
      <c r="O8936" s="38" t="n">
        <f aca="false">Q!$O$24</f>
        <v>23.899</v>
      </c>
    </row>
    <row r="8937" customFormat="false" ht="17.15" hidden="false" customHeight="false" outlineLevel="0" collapsed="false">
      <c r="A8937" s="5" t="s">
        <v>733</v>
      </c>
      <c r="B8937" s="0" t="s">
        <v>86</v>
      </c>
      <c r="C8937" s="38" t="n">
        <f aca="false">Q!$D$26</f>
        <v>0</v>
      </c>
      <c r="D8937" s="38" t="n">
        <f aca="false">Q!$E$26</f>
        <v>0</v>
      </c>
      <c r="E8937" s="38" t="n">
        <f aca="false">Q!$P$26</f>
        <v>0</v>
      </c>
      <c r="F8937" s="39" t="n">
        <v>0</v>
      </c>
      <c r="G8937" s="38" t="n">
        <f aca="false">Sens!$E$8937+Sens!$F$8937</f>
        <v>0</v>
      </c>
      <c r="H8937" s="39" t="n">
        <v>0</v>
      </c>
      <c r="I8937" s="39" t="n">
        <v>0</v>
      </c>
      <c r="J8937" s="39" t="n">
        <v>0</v>
      </c>
      <c r="K8937" s="39" t="n">
        <v>0</v>
      </c>
      <c r="L8937" s="39" t="n">
        <v>0</v>
      </c>
      <c r="M8937" s="39" t="n">
        <v>0</v>
      </c>
      <c r="N8937" s="38" t="n">
        <f aca="false">Q!$N$26</f>
        <v>0</v>
      </c>
      <c r="O8937" s="38" t="n">
        <f aca="false">Q!$O$26</f>
        <v>0</v>
      </c>
    </row>
    <row r="8938" customFormat="false" ht="15" hidden="false" customHeight="false" outlineLevel="0" collapsed="false">
      <c r="A8938" s="3" t="s">
        <v>534</v>
      </c>
      <c r="B8938" s="8" t="s">
        <v>86</v>
      </c>
      <c r="C8938" s="38" t="n">
        <f aca="false">Q!$D$25</f>
        <v>68.593</v>
      </c>
      <c r="D8938" s="38" t="n">
        <f aca="false">Q!$E$25</f>
        <v>79.975</v>
      </c>
      <c r="E8938" s="38" t="n">
        <f aca="false">Q!$P$25</f>
        <v>51.313</v>
      </c>
      <c r="F8938" s="38" t="n">
        <f aca="false">Sens!$F$8928+Sens!$F$8933+Sens!$F$8936+Sens!$F$8937</f>
        <v>56.6904916268541</v>
      </c>
      <c r="G8938" s="38" t="n">
        <f aca="false">Sens!$G$8928+Sens!$G$8933+Sens!$G$8936+Sens!$G$8937</f>
        <v>108.003491626854</v>
      </c>
      <c r="H8938" s="38" t="n">
        <f aca="false">Sens!$H$8928+Sens!$H$8933+Sens!$H$8936+Sens!$H$8937</f>
        <v>131.546867769501</v>
      </c>
      <c r="I8938" s="38" t="n">
        <f aca="false">Sens!$I$8928+Sens!$I$8933+Sens!$I$8936+Sens!$I$8937</f>
        <v>151.443755203325</v>
      </c>
      <c r="J8938" s="38" t="n">
        <f aca="false">Sens!$J$8928+Sens!$J$8933+Sens!$J$8936+Sens!$J$8937</f>
        <v>169.831139392687</v>
      </c>
      <c r="K8938" s="38" t="n">
        <f aca="false">Sens!$K$8928+Sens!$K$8933+Sens!$K$8936+Sens!$K$8937</f>
        <v>181.630203110659</v>
      </c>
      <c r="L8938" s="38" t="n">
        <f aca="false">Sens!$L$8928+Sens!$L$8933+Sens!$L$8936+Sens!$L$8937</f>
        <v>192.679756656362</v>
      </c>
      <c r="M8938" s="38" t="n">
        <f aca="false">Sens!$M$8928+Sens!$M$8933+Sens!$M$8936+Sens!$M$8937</f>
        <v>203.003194969463</v>
      </c>
      <c r="N8938" s="38" t="n">
        <f aca="false">Q!$N$25</f>
        <v>37.576</v>
      </c>
      <c r="O8938" s="38" t="n">
        <f aca="false">Q!$O$25</f>
        <v>42.399</v>
      </c>
    </row>
    <row r="8939" customFormat="false" ht="17.15" hidden="false" customHeight="false" outlineLevel="0" collapsed="false">
      <c r="A8939" s="24" t="s">
        <v>764</v>
      </c>
      <c r="B8939" s="25" t="s">
        <v>86</v>
      </c>
      <c r="C8939" s="41" t="n">
        <f aca="false">Sens!$C$8928+Sens!$C$8933+Sens!$C$8936+Sens!$C$8937-Sens!$C$8938</f>
        <v>0</v>
      </c>
      <c r="D8939" s="41" t="n">
        <f aca="false">Sens!$D$8928+Sens!$D$8933+Sens!$D$8936+Sens!$D$8937-Sens!$D$8938</f>
        <v>0</v>
      </c>
      <c r="E8939" s="41" t="n">
        <f aca="false">Sens!$E$8928+Sens!$E$8933+Sens!$E$8936+Sens!$E$8937-Sens!$E$8938</f>
        <v>0</v>
      </c>
      <c r="F8939" s="41" t="n">
        <f aca="false">Sens!$F$8928+Sens!$F$8933+Sens!$F$8936+Sens!$F$8937-Sens!$F$8938</f>
        <v>0</v>
      </c>
      <c r="G8939" s="41" t="n">
        <f aca="false">Sens!$G$8928+Sens!$G$8933+Sens!$G$8936+Sens!$G$8937-Sens!$G$8938</f>
        <v>0</v>
      </c>
      <c r="H8939" s="41" t="n">
        <f aca="false">Sens!$H$8928+Sens!$H$8933+Sens!$H$8936+Sens!$H$8937-Sens!$H$8938</f>
        <v>0</v>
      </c>
      <c r="I8939" s="41" t="n">
        <f aca="false">Sens!$I$8928+Sens!$I$8933+Sens!$I$8936+Sens!$I$8937-Sens!$I$8938</f>
        <v>0</v>
      </c>
      <c r="J8939" s="41" t="n">
        <f aca="false">Sens!$J$8928+Sens!$J$8933+Sens!$J$8936+Sens!$J$8937-Sens!$J$8938</f>
        <v>0</v>
      </c>
      <c r="K8939" s="41" t="n">
        <f aca="false">Sens!$K$8928+Sens!$K$8933+Sens!$K$8936+Sens!$K$8937-Sens!$K$8938</f>
        <v>0</v>
      </c>
      <c r="L8939" s="41" t="n">
        <f aca="false">Sens!$L$8928+Sens!$L$8933+Sens!$L$8936+Sens!$L$8937-Sens!$L$8938</f>
        <v>0</v>
      </c>
      <c r="M8939" s="41" t="n">
        <f aca="false">Sens!$M$8928+Sens!$M$8933+Sens!$M$8936+Sens!$M$8937-Sens!$M$8938</f>
        <v>0</v>
      </c>
      <c r="N8939" s="41" t="n">
        <f aca="false">Sens!$N$8928+Sens!$N$8933+Sens!$N$8936+Sens!$N$8937-Sens!$N$8938</f>
        <v>0</v>
      </c>
      <c r="O8939" s="41" t="n">
        <f aca="false">Sens!$O$8928+Sens!$O$8933+Sens!$O$8936+Sens!$O$8937-Sens!$O$8938</f>
        <v>0</v>
      </c>
    </row>
    <row r="8940" customFormat="false" ht="17.15" hidden="false" customHeight="false" outlineLevel="0" collapsed="false">
      <c r="A8940" s="5" t="s">
        <v>735</v>
      </c>
      <c r="B8940" s="0" t="s">
        <v>86</v>
      </c>
      <c r="C8940" s="38" t="n">
        <f aca="false">Sens!$C$8876</f>
        <v>0</v>
      </c>
      <c r="D8940" s="38" t="n">
        <f aca="false">Sens!$D$8876</f>
        <v>0</v>
      </c>
      <c r="E8940" s="38" t="n">
        <f aca="false">Sens!$E$8876</f>
        <v>0</v>
      </c>
      <c r="F8940" s="38" t="n">
        <f aca="false">Sens!$F$8876</f>
        <v>3.77122048175818</v>
      </c>
      <c r="G8940" s="38" t="n">
        <f aca="false">Sens!$G$8876</f>
        <v>3.77122048175818</v>
      </c>
      <c r="H8940" s="38" t="n">
        <f aca="false">Sens!$H$8876</f>
        <v>15.1635543609893</v>
      </c>
      <c r="I8940" s="38" t="n">
        <f aca="false">Sens!$I$8876</f>
        <v>25.5818843619889</v>
      </c>
      <c r="J8940" s="38" t="n">
        <f aca="false">Sens!$J$8876</f>
        <v>36.0465624179122</v>
      </c>
      <c r="K8940" s="38" t="n">
        <f aca="false">Sens!$K$8876</f>
        <v>45.0461919819152</v>
      </c>
      <c r="L8940" s="38" t="n">
        <f aca="false">Sens!$L$8876</f>
        <v>51.1279288493339</v>
      </c>
      <c r="M8940" s="38" t="n">
        <f aca="false">Sens!$M$8876</f>
        <v>54.2845128319481</v>
      </c>
      <c r="N8940" s="38" t="n">
        <f aca="false">Sens!$N$8876</f>
        <v>0</v>
      </c>
      <c r="O8940" s="38" t="n">
        <f aca="false">Sens!$O$8876</f>
        <v>0</v>
      </c>
      <c r="P8940" s="5" t="s">
        <v>736</v>
      </c>
    </row>
    <row r="8941" customFormat="false" ht="17.15" hidden="false" customHeight="false" outlineLevel="0" collapsed="false">
      <c r="A8941" s="5" t="s">
        <v>737</v>
      </c>
      <c r="B8941" s="0" t="s">
        <v>86</v>
      </c>
      <c r="C8941" s="38" t="n">
        <f aca="false">Sens!$C$8938+Sens!$C$8940</f>
        <v>68.593</v>
      </c>
      <c r="D8941" s="38" t="n">
        <f aca="false">Sens!$D$8938+Sens!$D$8940</f>
        <v>79.975</v>
      </c>
      <c r="E8941" s="38" t="n">
        <f aca="false">Sens!$E$8938+Sens!$E$8940</f>
        <v>51.313</v>
      </c>
      <c r="F8941" s="38" t="n">
        <f aca="false">Sens!$F$8938+Sens!$F$8940</f>
        <v>60.4617121086123</v>
      </c>
      <c r="G8941" s="38" t="n">
        <f aca="false">Sens!$G$8938+Sens!$G$8940</f>
        <v>111.774712108612</v>
      </c>
      <c r="H8941" s="38" t="n">
        <f aca="false">Sens!$H$8938+Sens!$H$8940</f>
        <v>146.71042213049</v>
      </c>
      <c r="I8941" s="38" t="n">
        <f aca="false">Sens!$I$8938+Sens!$I$8940</f>
        <v>177.025639565314</v>
      </c>
      <c r="J8941" s="38" t="n">
        <f aca="false">Sens!$J$8938+Sens!$J$8940</f>
        <v>205.877701810599</v>
      </c>
      <c r="K8941" s="38" t="n">
        <f aca="false">Sens!$K$8938+Sens!$K$8940</f>
        <v>226.676395092575</v>
      </c>
      <c r="L8941" s="38" t="n">
        <f aca="false">Sens!$L$8938+Sens!$L$8940</f>
        <v>243.807685505696</v>
      </c>
      <c r="M8941" s="38" t="n">
        <f aca="false">Sens!$M$8938+Sens!$M$8940</f>
        <v>257.287707801411</v>
      </c>
      <c r="N8941" s="38" t="n">
        <f aca="false">Sens!$N$8938+Sens!$N$8940</f>
        <v>37.576</v>
      </c>
      <c r="O8941" s="38" t="n">
        <f aca="false">Sens!$O$8938+Sens!$O$8940</f>
        <v>42.399</v>
      </c>
    </row>
    <row r="8942" customFormat="false" ht="17.15" hidden="false" customHeight="false" outlineLevel="0" collapsed="false">
      <c r="A8942" s="0" t="s">
        <v>738</v>
      </c>
      <c r="B8942" s="0" t="s">
        <v>52</v>
      </c>
      <c r="C8942" s="13" t="n">
        <f aca="false">Sens!$C$8928/Sens!$C$8913</f>
        <v>0.0644314665661928</v>
      </c>
      <c r="D8942" s="13" t="n">
        <f aca="false">Sens!$D$8928/Sens!$D$8913</f>
        <v>0.0694784250712518</v>
      </c>
      <c r="E8942" s="13" t="n">
        <f aca="false">Sens!$E$8928/Sens!$E$8913</f>
        <v>0.0789306463326071</v>
      </c>
      <c r="F8942" s="13" t="n">
        <f aca="false">Sens!$F$8928/Sens!$F$8913</f>
        <v>0.0801757457241943</v>
      </c>
      <c r="G8942" s="13" t="n">
        <f aca="false">Sens!$G$8928/Sens!$G$8913</f>
        <v>0.0795932749625682</v>
      </c>
      <c r="H8942" s="13" t="n">
        <f aca="false">Sens!$H$8928/Sens!$H$8913</f>
        <v>0.0801494276915951</v>
      </c>
      <c r="I8942" s="13" t="n">
        <f aca="false">Sens!$I$8928/Sens!$I$8913</f>
        <v>0.0784619467108939</v>
      </c>
      <c r="J8942" s="13" t="n">
        <f aca="false">Sens!$J$8928/Sens!$J$8913</f>
        <v>0.0767950945569155</v>
      </c>
      <c r="K8942" s="13" t="n">
        <f aca="false">Sens!$K$8928/Sens!$K$8913</f>
        <v>0.0749626026445883</v>
      </c>
      <c r="L8942" s="13" t="n">
        <f aca="false">Sens!$L$8928/Sens!$L$8913</f>
        <v>0.073918620449946</v>
      </c>
      <c r="M8942" s="13" t="n">
        <f aca="false">Sens!$M$8928/Sens!$M$8913</f>
        <v>0.0753725430981762</v>
      </c>
      <c r="N8942" s="13" t="n">
        <f aca="false">Sens!$N$8928/Sens!$N$8913</f>
        <v>0.069228576611127</v>
      </c>
      <c r="O8942" s="13" t="n">
        <f aca="false">Sens!$O$8928/Sens!$O$8913</f>
        <v>0.069685022498393</v>
      </c>
    </row>
    <row r="8943" customFormat="false" ht="17.15" hidden="false" customHeight="false" outlineLevel="0" collapsed="false">
      <c r="A8943" s="0" t="s">
        <v>739</v>
      </c>
      <c r="B8943" s="0" t="s">
        <v>52</v>
      </c>
      <c r="C8943" s="13" t="n">
        <f aca="false">Sens!$C$8933/Sens!$C$8914</f>
        <v>0.026534925055631</v>
      </c>
      <c r="D8943" s="13" t="n">
        <f aca="false">Sens!$D$8933/Sens!$D$8914</f>
        <v>0.0293401855535103</v>
      </c>
      <c r="E8943" s="13" t="n">
        <f aca="false">Sens!$E$8933/Sens!$E$8914</f>
        <v>0.03831141902276</v>
      </c>
      <c r="F8943" s="13" t="n">
        <f aca="false">Sens!$F$8933/Sens!$F$8914</f>
        <v>0.0281350107328284</v>
      </c>
      <c r="G8943" s="13" t="n">
        <f aca="false">Sens!$G$8933/Sens!$G$8914</f>
        <v>0.0327600029432073</v>
      </c>
      <c r="H8943" s="13" t="n">
        <f aca="false">Sens!$H$8933/Sens!$H$8914</f>
        <v>0.031310920057557</v>
      </c>
      <c r="I8943" s="13" t="n">
        <f aca="false">Sens!$I$8933/Sens!$I$8914</f>
        <v>0.0275950243319601</v>
      </c>
      <c r="J8943" s="13" t="n">
        <f aca="false">Sens!$J$8933/Sens!$J$8914</f>
        <v>0.0238367762099147</v>
      </c>
      <c r="K8943" s="13" t="n">
        <f aca="false">Sens!$K$8933/Sens!$K$8914</f>
        <v>0.0198082441273261</v>
      </c>
      <c r="L8943" s="13" t="n">
        <f aca="false">Sens!$L$8933/Sens!$L$8914</f>
        <v>0.019110410213546</v>
      </c>
      <c r="M8943" s="13" t="n">
        <f aca="false">Sens!$M$8933/Sens!$M$8914</f>
        <v>0.0209184882207784</v>
      </c>
      <c r="N8943" s="13" t="n">
        <f aca="false">Sens!$N$8933/Sens!$N$8914</f>
        <v>0.0357315650169337</v>
      </c>
      <c r="O8943" s="13" t="n">
        <f aca="false">Sens!$O$8933/Sens!$O$8914</f>
        <v>0.0244378956559703</v>
      </c>
    </row>
    <row r="8944" customFormat="false" ht="17.15" hidden="false" customHeight="false" outlineLevel="0" collapsed="false">
      <c r="A8944" s="14" t="s">
        <v>740</v>
      </c>
      <c r="B8944" s="14" t="s">
        <v>52</v>
      </c>
      <c r="C8944" s="17" t="n">
        <f aca="false">Sens!$C$8936/Sens!$C$8915</f>
        <v>0.370355907620217</v>
      </c>
      <c r="D8944" s="17" t="n">
        <f aca="false">Sens!$D$8936/Sens!$D$8915</f>
        <v>0.35429015342785</v>
      </c>
      <c r="E8944" s="17" t="n">
        <f aca="false">Sens!$E$8936/Sens!$E$8915</f>
        <v>0.385647527531039</v>
      </c>
      <c r="F8944" s="17" t="n">
        <f aca="false">Sens!$F$8936/Sens!$F$8915</f>
        <v>0.390008895496028</v>
      </c>
      <c r="G8944" s="17" t="n">
        <f aca="false">Sens!$G$8936/Sens!$G$8915</f>
        <v>0.387918733944362</v>
      </c>
      <c r="H8944" s="17" t="n">
        <f aca="false">Sens!$H$8936/Sens!$H$8915</f>
        <v>0.377537651365497</v>
      </c>
      <c r="I8944" s="17" t="n">
        <f aca="false">Sens!$I$8936/Sens!$I$8915</f>
        <v>0.359230604038662</v>
      </c>
      <c r="J8944" s="17" t="n">
        <f aca="false">Sens!$J$8936/Sens!$J$8915</f>
        <v>0.345197865849801</v>
      </c>
      <c r="K8944" s="17" t="n">
        <f aca="false">Sens!$K$8936/Sens!$K$8915</f>
        <v>0.326889046124164</v>
      </c>
      <c r="L8944" s="17" t="n">
        <f aca="false">Sens!$L$8936/Sens!$L$8915</f>
        <v>0.315364635591989</v>
      </c>
      <c r="M8944" s="17" t="n">
        <f aca="false">Sens!$M$8936/Sens!$M$8915</f>
        <v>0.30521976379207</v>
      </c>
      <c r="N8944" s="17" t="n">
        <f aca="false">Sens!$N$8936/Sens!$N$8915</f>
        <v>0.360941137346192</v>
      </c>
      <c r="O8944" s="17" t="n">
        <f aca="false">Sens!$O$8936/Sens!$O$8915</f>
        <v>0.348458117664212</v>
      </c>
    </row>
    <row r="8945" customFormat="false" ht="17.15" hidden="false" customHeight="false" outlineLevel="0" collapsed="false">
      <c r="A8945" s="0" t="s">
        <v>741</v>
      </c>
      <c r="B8945" s="0" t="s">
        <v>52</v>
      </c>
      <c r="C8945" s="13" t="n">
        <f aca="false">Sens!$C$8934/Sens!$C$8916</f>
        <v>0.708390794789371</v>
      </c>
      <c r="D8945" s="13" t="n">
        <f aca="false">Sens!$D$8934/Sens!$D$8916</f>
        <v>0.619415573115729</v>
      </c>
      <c r="E8945" s="13" t="n">
        <f aca="false">Sens!$E$8934/Sens!$E$8916</f>
        <v>0.374072166056273</v>
      </c>
      <c r="F8945" s="13" t="n">
        <f aca="false">Sens!$F$8934/Sens!$F$8916</f>
        <v>0.553219320710057</v>
      </c>
      <c r="G8945" s="13" t="n">
        <f aca="false">Sens!$G$8934/Sens!$G$8916</f>
        <v>0.488270041527512</v>
      </c>
      <c r="H8945" s="13" t="n">
        <f aca="false">Sens!$H$8934/Sens!$H$8916</f>
        <v>0.435229086816882</v>
      </c>
      <c r="I8945" s="13" t="n">
        <f aca="false">Sens!$I$8934/Sens!$I$8916</f>
        <v>0.364954592421095</v>
      </c>
      <c r="J8945" s="13" t="n">
        <f aca="false">Sens!$J$8934/Sens!$J$8916</f>
        <v>0.330438308582232</v>
      </c>
      <c r="K8945" s="13" t="n">
        <f aca="false">Sens!$K$8934/Sens!$K$8916</f>
        <v>0.292474552619137</v>
      </c>
      <c r="L8945" s="13" t="n">
        <f aca="false">Sens!$L$8934/Sens!$L$8916</f>
        <v>0.269645821564974</v>
      </c>
      <c r="M8945" s="13" t="n">
        <f aca="false">Sens!$M$8934/Sens!$M$8916</f>
        <v>0.247098773220278</v>
      </c>
      <c r="N8945" s="13" t="n">
        <f aca="false">Sens!$N$8934/Sens!$N$8916</f>
        <v>0.551227795793364</v>
      </c>
      <c r="O8945" s="13" t="n">
        <f aca="false">Sens!$O$8934/Sens!$O$8916</f>
        <v>0.656132068597002</v>
      </c>
    </row>
    <row r="8946" customFormat="false" ht="15" hidden="false" customHeight="false" outlineLevel="0" collapsed="false">
      <c r="A8946" s="5" t="s">
        <v>742</v>
      </c>
      <c r="B8946" s="0" t="s">
        <v>52</v>
      </c>
      <c r="C8946" s="13" t="n">
        <f aca="false">Sens!$C$8938/Sens!$C$8918</f>
        <v>0.107519448742004</v>
      </c>
      <c r="D8946" s="13" t="n">
        <f aca="false">Sens!$D$8938/Sens!$D$8918</f>
        <v>0.111552967957552</v>
      </c>
      <c r="E8946" s="13" t="n">
        <f aca="false">Sens!$E$8938/Sens!$E$8918</f>
        <v>0.13428328426562</v>
      </c>
      <c r="F8946" s="13" t="n">
        <f aca="false">Sens!$F$8938/Sens!$F$8918</f>
        <v>0.130089413875539</v>
      </c>
      <c r="G8946" s="13" t="n">
        <f aca="false">Sens!$G$8938/Sens!$G$8918</f>
        <v>0.132048786678316</v>
      </c>
      <c r="H8946" s="13" t="n">
        <f aca="false">Sens!$H$8938/Sens!$H$8918</f>
        <v>0.139604881440853</v>
      </c>
      <c r="I8946" s="13" t="n">
        <f aca="false">Sens!$I$8938/Sens!$I$8918</f>
        <v>0.141694752432769</v>
      </c>
      <c r="J8946" s="13" t="n">
        <f aca="false">Sens!$J$8938/Sens!$J$8918</f>
        <v>0.14272611544629</v>
      </c>
      <c r="K8946" s="13" t="n">
        <f aca="false">Sens!$K$8938/Sens!$K$8918</f>
        <v>0.140109124834872</v>
      </c>
      <c r="L8946" s="13" t="n">
        <f aca="false">Sens!$L$8938/Sens!$L$8918</f>
        <v>0.137992017715014</v>
      </c>
      <c r="M8946" s="13" t="n">
        <f aca="false">Sens!$M$8938/Sens!$M$8918</f>
        <v>0.136229256482943</v>
      </c>
      <c r="N8946" s="13" t="n">
        <f aca="false">Sens!$N$8938/Sens!$N$8918</f>
        <v>0.116201614873411</v>
      </c>
      <c r="O8946" s="13" t="n">
        <f aca="false">Sens!$O$8938/Sens!$O$8918</f>
        <v>0.107733353660861</v>
      </c>
    </row>
    <row r="8947" customFormat="false" ht="17.15" hidden="false" customHeight="false" outlineLevel="0" collapsed="false">
      <c r="A8947" s="1" t="s">
        <v>743</v>
      </c>
    </row>
    <row r="8948" customFormat="false" ht="17.15" hidden="false" customHeight="false" outlineLevel="0" collapsed="false">
      <c r="A8948" s="5" t="s">
        <v>744</v>
      </c>
      <c r="B8948" s="0" t="s">
        <v>52</v>
      </c>
      <c r="D8948" s="28" t="n">
        <f aca="false">(Q!$E$29+Q!$E$30-(1-ext_sh)*Sens!$D$8870)/Sens!$D$8824</f>
        <v>0.0341105596409988</v>
      </c>
    </row>
    <row r="8949" customFormat="false" ht="17.15" hidden="false" customHeight="false" outlineLevel="0" collapsed="false">
      <c r="A8949" s="0" t="s">
        <v>538</v>
      </c>
      <c r="B8949" s="0" t="s">
        <v>86</v>
      </c>
      <c r="C8949" s="38" t="n">
        <f aca="false">Q!$D$29</f>
        <v>14.285</v>
      </c>
      <c r="D8949" s="38" t="n">
        <f aca="false">Q!$E$29</f>
        <v>15.503</v>
      </c>
      <c r="E8949" s="38" t="n">
        <f aca="false">Q!$P$29</f>
        <v>8.78</v>
      </c>
      <c r="F8949" s="38" t="n">
        <f aca="false">(Sens!$D$8948*Sens!$F$8824+(1-ext_sh)*Sens!$F$8870)*Sens!$F$8825</f>
        <v>9.16735846116642</v>
      </c>
      <c r="G8949" s="38" t="n">
        <f aca="false">Sens!$E$8949+Sens!$F$8949</f>
        <v>17.9473584611664</v>
      </c>
      <c r="H8949" s="38" t="n">
        <f aca="false">(Sens!$D$8948*Sens!$H$8824+(1-ext_sh)*Sens!$H$8870)*Sens!$H$8825</f>
        <v>21.6406723110177</v>
      </c>
      <c r="I8949" s="38" t="n">
        <f aca="false">(Sens!$D$8948*Sens!$I$8824+(1-ext_sh)*Sens!$I$8870)*Sens!$I$8825</f>
        <v>27.3128215555087</v>
      </c>
      <c r="J8949" s="38" t="n">
        <f aca="false">(Sens!$D$8948*Sens!$J$8824+(1-ext_sh)*Sens!$J$8870)*Sens!$J$8825</f>
        <v>33.0116861885756</v>
      </c>
      <c r="K8949" s="38" t="n">
        <f aca="false">(Sens!$D$8948*Sens!$K$8824+(1-ext_sh)*Sens!$K$8870)*Sens!$K$8825</f>
        <v>38.6250238720245</v>
      </c>
      <c r="L8949" s="38" t="n">
        <f aca="false">(Sens!$D$8948*Sens!$L$8824+(1-ext_sh)*Sens!$L$8870)*Sens!$L$8825</f>
        <v>43.1275612533579</v>
      </c>
      <c r="M8949" s="38" t="n">
        <f aca="false">(Sens!$D$8948*Sens!$M$8824+(1-ext_sh)*Sens!$M$8870)*Sens!$M$8825</f>
        <v>46.7599518310413</v>
      </c>
      <c r="N8949" s="38" t="n">
        <f aca="false">Q!$N$29</f>
        <v>7.272</v>
      </c>
      <c r="O8949" s="38" t="n">
        <f aca="false">Q!$O$29</f>
        <v>8.231</v>
      </c>
    </row>
    <row r="8950" customFormat="false" ht="17.15" hidden="false" customHeight="false" outlineLevel="0" collapsed="false">
      <c r="A8950" s="0" t="s">
        <v>540</v>
      </c>
      <c r="B8950" s="0" t="s">
        <v>86</v>
      </c>
      <c r="C8950" s="38" t="n">
        <f aca="false">Q!$D$30</f>
        <v>4.462</v>
      </c>
      <c r="D8950" s="38" t="n">
        <f aca="false">Q!$E$30</f>
        <v>4.907</v>
      </c>
      <c r="E8950" s="38" t="n">
        <f aca="false">Q!$P$30</f>
        <v>2.57</v>
      </c>
      <c r="F8950" s="38" t="n">
        <f aca="false">(Sens!$D$8948*Sens!$F$8824+(1-ext_sh)*Sens!$F$8870)*(1-Sens!$F$8825)</f>
        <v>3.59937168293151</v>
      </c>
      <c r="G8950" s="38" t="n">
        <f aca="false">Sens!$E$8950+Sens!$F$8950</f>
        <v>6.16937168293151</v>
      </c>
      <c r="H8950" s="38" t="n">
        <f aca="false">(Sens!$D$8948*Sens!$H$8824+(1-ext_sh)*Sens!$H$8870)*(1-Sens!$H$8825)</f>
        <v>8.28915290031442</v>
      </c>
      <c r="I8950" s="38" t="n">
        <f aca="false">(Sens!$D$8948*Sens!$I$8824+(1-ext_sh)*Sens!$I$8870)*(1-Sens!$I$8825)</f>
        <v>10.4617892992793</v>
      </c>
      <c r="J8950" s="38" t="n">
        <f aca="false">(Sens!$D$8948*Sens!$J$8824+(1-ext_sh)*Sens!$J$8870)*(1-Sens!$J$8825)</f>
        <v>12.6446586493057</v>
      </c>
      <c r="K8950" s="38" t="n">
        <f aca="false">(Sens!$D$8948*Sens!$K$8824+(1-ext_sh)*Sens!$K$8870)*(1-Sens!$K$8825)</f>
        <v>14.7947681131192</v>
      </c>
      <c r="L8950" s="38" t="n">
        <f aca="false">(Sens!$D$8948*Sens!$L$8824+(1-ext_sh)*Sens!$L$8870)*(1-Sens!$L$8825)</f>
        <v>16.5194012602258</v>
      </c>
      <c r="M8950" s="38" t="n">
        <f aca="false">(Sens!$D$8948*Sens!$M$8824+(1-ext_sh)*Sens!$M$8870)*(1-Sens!$M$8825)</f>
        <v>17.9107370033741</v>
      </c>
      <c r="N8950" s="38" t="n">
        <f aca="false">Q!$N$30</f>
        <v>2.316</v>
      </c>
      <c r="O8950" s="38" t="n">
        <f aca="false">Q!$O$30</f>
        <v>2.591</v>
      </c>
    </row>
    <row r="8951" customFormat="false" ht="17.15" hidden="false" customHeight="false" outlineLevel="0" collapsed="false">
      <c r="A8951" s="0" t="s">
        <v>541</v>
      </c>
      <c r="B8951" s="0" t="s">
        <v>86</v>
      </c>
      <c r="C8951" s="38" t="n">
        <f aca="false">Sens!$C$8882</f>
        <v>13.32</v>
      </c>
      <c r="D8951" s="38" t="n">
        <f aca="false">Sens!$D$8882</f>
        <v>21.45</v>
      </c>
      <c r="E8951" s="38" t="n">
        <f aca="false">Sens!$E$8882</f>
        <v>15.353</v>
      </c>
      <c r="F8951" s="38" t="n">
        <f aca="false">Sens!$F$8882</f>
        <v>15.4404120185306</v>
      </c>
      <c r="G8951" s="38" t="n">
        <f aca="false">Sens!$G$8882</f>
        <v>30.7934120185306</v>
      </c>
      <c r="H8951" s="38" t="n">
        <f aca="false">Sens!$H$8882</f>
        <v>48.250114371455</v>
      </c>
      <c r="I8951" s="38" t="n">
        <f aca="false">Sens!$I$8882</f>
        <v>73.3965146995963</v>
      </c>
      <c r="J8951" s="38" t="n">
        <f aca="false">Sens!$J$8882</f>
        <v>99.22806138309</v>
      </c>
      <c r="K8951" s="38" t="n">
        <f aca="false">Sens!$K$8882</f>
        <v>125.386627452856</v>
      </c>
      <c r="L8951" s="38" t="n">
        <f aca="false">Sens!$L$8882</f>
        <v>145.084446099433</v>
      </c>
      <c r="M8951" s="38" t="n">
        <f aca="false">Sens!$M$8882</f>
        <v>159.630097911032</v>
      </c>
      <c r="N8951" s="38" t="n">
        <f aca="false">Sens!$N$8882</f>
        <v>9.234</v>
      </c>
      <c r="O8951" s="38" t="n">
        <f aca="false">Sens!$O$8882</f>
        <v>12.216</v>
      </c>
    </row>
    <row r="8952" customFormat="false" ht="17.15" hidden="false" customHeight="false" outlineLevel="0" collapsed="false">
      <c r="A8952" s="5" t="s">
        <v>745</v>
      </c>
      <c r="B8952" s="0" t="s">
        <v>86</v>
      </c>
      <c r="C8952" s="38" t="n">
        <f aca="false">Sens!$C$8949+Sens!$C$8950+Sens!$C$8951</f>
        <v>32.067</v>
      </c>
      <c r="D8952" s="38" t="n">
        <f aca="false">Sens!$D$8949+Sens!$D$8950+Sens!$D$8951</f>
        <v>41.86</v>
      </c>
      <c r="E8952" s="38" t="n">
        <f aca="false">Sens!$E$8949+Sens!$E$8950+Sens!$E$8951</f>
        <v>26.703</v>
      </c>
      <c r="F8952" s="38" t="n">
        <f aca="false">Sens!$F$8949+Sens!$F$8950+Sens!$F$8951</f>
        <v>28.2071421626285</v>
      </c>
      <c r="G8952" s="38" t="n">
        <f aca="false">Sens!$G$8949+Sens!$G$8950+Sens!$G$8951</f>
        <v>54.9101421626285</v>
      </c>
      <c r="H8952" s="38" t="n">
        <f aca="false">Sens!$H$8949+Sens!$H$8950+Sens!$H$8951</f>
        <v>78.1799395827871</v>
      </c>
      <c r="I8952" s="38" t="n">
        <f aca="false">Sens!$I$8949+Sens!$I$8950+Sens!$I$8951</f>
        <v>111.171125554384</v>
      </c>
      <c r="J8952" s="38" t="n">
        <f aca="false">Sens!$J$8949+Sens!$J$8950+Sens!$J$8951</f>
        <v>144.884406220971</v>
      </c>
      <c r="K8952" s="38" t="n">
        <f aca="false">Sens!$K$8949+Sens!$K$8950+Sens!$K$8951</f>
        <v>178.806419437999</v>
      </c>
      <c r="L8952" s="38" t="n">
        <f aca="false">Sens!$L$8949+Sens!$L$8950+Sens!$L$8951</f>
        <v>204.731408613016</v>
      </c>
      <c r="M8952" s="38" t="n">
        <f aca="false">Sens!$M$8949+Sens!$M$8950+Sens!$M$8951</f>
        <v>224.300786745448</v>
      </c>
      <c r="N8952" s="38" t="n">
        <f aca="false">Sens!$N$8949+Sens!$N$8950+Sens!$N$8951</f>
        <v>18.822</v>
      </c>
      <c r="O8952" s="38" t="n">
        <f aca="false">Sens!$O$8949+Sens!$O$8950+Sens!$O$8951</f>
        <v>23.038</v>
      </c>
    </row>
    <row r="8953" customFormat="false" ht="17.15" hidden="false" customHeight="false" outlineLevel="0" collapsed="false">
      <c r="A8953" s="0" t="s">
        <v>746</v>
      </c>
      <c r="B8953" s="0" t="s">
        <v>86</v>
      </c>
      <c r="C8953" s="38" t="n">
        <f aca="false">Sens!$C$8924+Sens!$C$8929</f>
        <v>28.107</v>
      </c>
      <c r="D8953" s="38" t="n">
        <f aca="false">Sens!$D$8924+Sens!$D$8929</f>
        <v>34.3175</v>
      </c>
      <c r="E8953" s="38" t="n">
        <f aca="false">Sens!$E$8924+Sens!$E$8929</f>
        <v>18.526</v>
      </c>
      <c r="F8953" s="38" t="n">
        <f aca="false">Sens!$F$8924+Sens!$F$8929</f>
        <v>23.0786109972074</v>
      </c>
      <c r="G8953" s="38" t="n">
        <f aca="false">Sens!$G$8924+Sens!$G$8929</f>
        <v>41.6046109972074</v>
      </c>
      <c r="H8953" s="38" t="n">
        <f aca="false">Sens!$H$8924+Sens!$H$8929</f>
        <v>49.9484611939488</v>
      </c>
      <c r="I8953" s="38" t="n">
        <f aca="false">Sens!$I$8924+Sens!$I$8929</f>
        <v>58.2915555477481</v>
      </c>
      <c r="J8953" s="38" t="n">
        <f aca="false">Sens!$J$8924+Sens!$J$8929</f>
        <v>66.0744709709759</v>
      </c>
      <c r="K8953" s="38" t="n">
        <f aca="false">Sens!$K$8924+Sens!$K$8929</f>
        <v>72.6819180680735</v>
      </c>
      <c r="L8953" s="38" t="n">
        <f aca="false">Sens!$L$8924+Sens!$L$8929</f>
        <v>79.9501098748808</v>
      </c>
      <c r="M8953" s="38" t="n">
        <f aca="false">Sens!$M$8924+Sens!$M$8929</f>
        <v>87.9451208623689</v>
      </c>
      <c r="N8953" s="38" t="n">
        <f aca="false">Sens!$N$8924+Sens!$N$8929</f>
        <v>14.8075</v>
      </c>
      <c r="O8953" s="38" t="n">
        <f aca="false">Sens!$O$8924+Sens!$O$8929</f>
        <v>19.51</v>
      </c>
    </row>
    <row r="8954" customFormat="false" ht="17.15" hidden="false" customHeight="false" outlineLevel="0" collapsed="false">
      <c r="A8954" s="0" t="s">
        <v>747</v>
      </c>
      <c r="B8954" s="0" t="s">
        <v>86</v>
      </c>
      <c r="C8954" s="38" t="n">
        <f aca="false">Sens!$C$8928+Sens!$C$8933+Sens!$C$8949+Sens!$C$8950-Sens!$C$8953</f>
        <v>19.399</v>
      </c>
      <c r="D8954" s="38" t="n">
        <f aca="false">Sens!$D$8928+Sens!$D$8933+Sens!$D$8949+Sens!$D$8950-Sens!$D$8953</f>
        <v>20.4615</v>
      </c>
      <c r="E8954" s="38" t="n">
        <f aca="false">Sens!$E$8928+Sens!$E$8933+Sens!$E$8949+Sens!$E$8950-Sens!$E$8953</f>
        <v>13.355</v>
      </c>
      <c r="F8954" s="38" t="n">
        <f aca="false">Sens!$F$8928+Sens!$F$8933+Sens!$F$8949+Sens!$F$8950-Sens!$F$8953</f>
        <v>12.5520732018618</v>
      </c>
      <c r="G8954" s="38" t="n">
        <f aca="false">Sens!$G$8928+Sens!$G$8933+Sens!$G$8949+Sens!$G$8950-Sens!$G$8953</f>
        <v>25.9070732018618</v>
      </c>
      <c r="H8954" s="38" t="n">
        <f aca="false">Sens!$H$8928+Sens!$H$8933+Sens!$H$8949+Sens!$H$8950-Sens!$H$8953</f>
        <v>28.0233335906818</v>
      </c>
      <c r="I8954" s="38" t="n">
        <f aca="false">Sens!$I$8928+Sens!$I$8933+Sens!$I$8949+Sens!$I$8950-Sens!$I$8953</f>
        <v>30.2440066606864</v>
      </c>
      <c r="J8954" s="38" t="n">
        <f aca="false">Sens!$J$8928+Sens!$J$8933+Sens!$J$8949+Sens!$J$8950-Sens!$J$8953</f>
        <v>32.4596500296286</v>
      </c>
      <c r="K8954" s="38" t="n">
        <f aca="false">Sens!$K$8928+Sens!$K$8933+Sens!$K$8949+Sens!$K$8950-Sens!$K$8953</f>
        <v>34.8252278550735</v>
      </c>
      <c r="L8954" s="38" t="n">
        <f aca="false">Sens!$L$8928+Sens!$L$8933+Sens!$L$8949+Sens!$L$8950-Sens!$L$8953</f>
        <v>36.385771075105</v>
      </c>
      <c r="M8954" s="38" t="n">
        <f aca="false">Sens!$M$8928+Sens!$M$8933+Sens!$M$8949+Sens!$M$8950-Sens!$M$8953</f>
        <v>38.7139757016285</v>
      </c>
      <c r="N8954" s="38" t="n">
        <f aca="false">Sens!$N$8928+Sens!$N$8933+Sens!$N$8949+Sens!$N$8950-Sens!$N$8953</f>
        <v>10.6495</v>
      </c>
      <c r="O8954" s="38" t="n">
        <f aca="false">Sens!$O$8928+Sens!$O$8933+Sens!$O$8949+Sens!$O$8950-Sens!$O$8953</f>
        <v>9.81200000000001</v>
      </c>
    </row>
    <row r="8955" customFormat="false" ht="17.15" hidden="false" customHeight="false" outlineLevel="0" collapsed="false">
      <c r="A8955" s="0" t="s">
        <v>748</v>
      </c>
      <c r="B8955" s="0" t="s">
        <v>86</v>
      </c>
      <c r="C8955" s="38" t="n">
        <f aca="false">Sens!$C$8935+Sens!$C$8951-ext_sh*Sens!$C$8870</f>
        <v>51.3470500115664</v>
      </c>
      <c r="D8955" s="38" t="n">
        <f aca="false">Sens!$D$8935+Sens!$D$8951-ext_sh*Sens!$D$8870</f>
        <v>60.2799375433739</v>
      </c>
      <c r="E8955" s="38" t="n">
        <f aca="false">Sens!$E$8935+Sens!$E$8951-ext_sh*Sens!$E$8870</f>
        <v>39.5095167090767</v>
      </c>
      <c r="F8955" s="38" t="n">
        <f aca="false">Sens!$F$8935+Sens!$F$8951-ext_sh*Sens!$F$8870</f>
        <v>37.5468918745429</v>
      </c>
      <c r="G8955" s="38" t="n">
        <f aca="false">Sens!$G$8935+Sens!$G$8951-ext_sh*Sens!$G$8870</f>
        <v>77.0564085836196</v>
      </c>
      <c r="H8955" s="38" t="n">
        <f aca="false">Sens!$H$8935+Sens!$H$8951-ext_sh*Sens!$H$8870</f>
        <v>84.2378398616123</v>
      </c>
      <c r="I8955" s="38" t="n">
        <f aca="false">Sens!$I$8935+Sens!$I$8951-ext_sh*Sens!$I$8870</f>
        <v>93.5253492849083</v>
      </c>
      <c r="J8955" s="38" t="n">
        <f aca="false">Sens!$J$8935+Sens!$J$8951-ext_sh*Sens!$J$8870</f>
        <v>102.42210777817</v>
      </c>
      <c r="K8955" s="38" t="n">
        <f aca="false">Sens!$K$8935+Sens!$K$8951-ext_sh*Sens!$K$8870</f>
        <v>110.615876400424</v>
      </c>
      <c r="L8955" s="38" t="n">
        <f aca="false">Sens!$L$8935+Sens!$L$8951-ext_sh*Sens!$L$8870</f>
        <v>119.465146512458</v>
      </c>
      <c r="M8955" s="38" t="n">
        <f aca="false">Sens!$M$8935+Sens!$M$8951-ext_sh*Sens!$M$8870</f>
        <v>129.022358233455</v>
      </c>
      <c r="N8955" s="38" t="n">
        <f aca="false">Sens!$N$8935+Sens!$N$8951-ext_sh*Sens!$N$8870</f>
        <v>28.5693781401809</v>
      </c>
      <c r="O8955" s="38" t="n">
        <f aca="false">Sens!$O$8935+Sens!$O$8951-ext_sh*Sens!$O$8870</f>
        <v>31.7105594031931</v>
      </c>
    </row>
    <row r="8956" customFormat="false" ht="17.15" hidden="false" customHeight="false" outlineLevel="0" collapsed="false">
      <c r="A8956" s="0" t="s">
        <v>749</v>
      </c>
      <c r="B8956" s="0" t="s">
        <v>86</v>
      </c>
      <c r="C8956" s="38" t="n">
        <f aca="false">Sens!$C$8873</f>
        <v>1.80694998843362</v>
      </c>
      <c r="D8956" s="38" t="n">
        <f aca="false">Sens!$D$8873</f>
        <v>6.77606245662607</v>
      </c>
      <c r="E8956" s="38" t="n">
        <f aca="false">Sens!$E$8873</f>
        <v>6.62548329092326</v>
      </c>
      <c r="F8956" s="38" t="n">
        <f aca="false">Sens!$F$8873</f>
        <v>11.7200577158706</v>
      </c>
      <c r="G8956" s="38" t="n">
        <f aca="false">Sens!$G$8873</f>
        <v>18.3455410067939</v>
      </c>
      <c r="H8956" s="38" t="n">
        <f aca="false">Sens!$H$8873</f>
        <v>47.5171727060453</v>
      </c>
      <c r="I8956" s="38" t="n">
        <f aca="false">Sens!$I$8873</f>
        <v>80.5539692643667</v>
      </c>
      <c r="J8956" s="38" t="n">
        <f aca="false">Sens!$J$8873</f>
        <v>113.759316834883</v>
      </c>
      <c r="K8956" s="38" t="n">
        <f aca="false">Sens!$K$8873</f>
        <v>142.313600225088</v>
      </c>
      <c r="L8956" s="38" t="n">
        <f aca="false">Sens!$L$8873</f>
        <v>161.610137806934</v>
      </c>
      <c r="M8956" s="38" t="n">
        <f aca="false">Sens!$M$8873</f>
        <v>171.622526917459</v>
      </c>
      <c r="N8956" s="38" t="n">
        <f aca="false">Sens!$N$8873</f>
        <v>2.37162185981912</v>
      </c>
      <c r="O8956" s="38" t="n">
        <f aca="false">Sens!$O$8873</f>
        <v>4.40444059680694</v>
      </c>
    </row>
    <row r="8957" customFormat="false" ht="17.15" hidden="false" customHeight="false" outlineLevel="0" collapsed="false">
      <c r="A8957" s="0" t="s">
        <v>750</v>
      </c>
      <c r="B8957" s="0" t="s">
        <v>86</v>
      </c>
      <c r="C8957" s="38" t="n">
        <f aca="false">Sens!$C$8938+Sens!$C$8952</f>
        <v>100.66</v>
      </c>
      <c r="D8957" s="38" t="n">
        <f aca="false">Sens!$D$8938+Sens!$D$8952</f>
        <v>121.835</v>
      </c>
      <c r="E8957" s="38" t="n">
        <f aca="false">Sens!$E$8938+Sens!$E$8952</f>
        <v>78.016</v>
      </c>
      <c r="F8957" s="38" t="n">
        <f aca="false">Sens!$F$8938+Sens!$F$8952</f>
        <v>84.8976337894826</v>
      </c>
      <c r="G8957" s="38" t="n">
        <f aca="false">Sens!$G$8938+Sens!$G$8952</f>
        <v>162.913633789483</v>
      </c>
      <c r="H8957" s="38" t="n">
        <f aca="false">Sens!$H$8938+Sens!$H$8952</f>
        <v>209.726807352288</v>
      </c>
      <c r="I8957" s="38" t="n">
        <f aca="false">Sens!$I$8938+Sens!$I$8952</f>
        <v>262.61488075771</v>
      </c>
      <c r="J8957" s="38" t="n">
        <f aca="false">Sens!$J$8938+Sens!$J$8952</f>
        <v>314.715545613658</v>
      </c>
      <c r="K8957" s="38" t="n">
        <f aca="false">Sens!$K$8938+Sens!$K$8952</f>
        <v>360.436622548659</v>
      </c>
      <c r="L8957" s="38" t="n">
        <f aca="false">Sens!$L$8938+Sens!$L$8952</f>
        <v>397.411165269378</v>
      </c>
      <c r="M8957" s="38" t="n">
        <f aca="false">Sens!$M$8938+Sens!$M$8952</f>
        <v>427.303981714911</v>
      </c>
      <c r="N8957" s="38" t="n">
        <f aca="false">Sens!$N$8938+Sens!$N$8952</f>
        <v>56.398</v>
      </c>
      <c r="O8957" s="38" t="n">
        <f aca="false">Sens!$O$8938+Sens!$O$8952</f>
        <v>65.437</v>
      </c>
    </row>
    <row r="8958" customFormat="false" ht="17.15" hidden="false" customHeight="false" outlineLevel="0" collapsed="false">
      <c r="A8958" s="1" t="s">
        <v>751</v>
      </c>
    </row>
    <row r="8959" customFormat="false" ht="15" hidden="false" customHeight="false" outlineLevel="0" collapsed="false">
      <c r="A8959" s="5" t="s">
        <v>544</v>
      </c>
      <c r="B8959" s="0" t="s">
        <v>86</v>
      </c>
      <c r="C8959" s="38" t="n">
        <f aca="false">Q!$D$34</f>
        <v>2.406</v>
      </c>
      <c r="D8959" s="38" t="n">
        <f aca="false">Q!$E$34</f>
        <v>2.274</v>
      </c>
      <c r="E8959" s="38" t="n">
        <f aca="false">Q!$P$34</f>
        <v>2.114</v>
      </c>
      <c r="F8959" s="38" t="n">
        <f aca="false">Sens!$F$8997</f>
        <v>3.24888962733561</v>
      </c>
      <c r="G8959" s="38" t="n">
        <f aca="false">Sens!$E$8959+Sens!$F$8959</f>
        <v>5.36288962733561</v>
      </c>
      <c r="H8959" s="38" t="n">
        <f aca="false">Sens!$H$8997</f>
        <v>7.42354172302123</v>
      </c>
      <c r="I8959" s="38" t="n">
        <f aca="false">Sens!$I$8997</f>
        <v>8.48968024898619</v>
      </c>
      <c r="J8959" s="38" t="n">
        <f aca="false">Sens!$J$8997</f>
        <v>9.63598826439483</v>
      </c>
      <c r="K8959" s="38" t="n">
        <f aca="false">Sens!$K$8997</f>
        <v>9.63598826439483</v>
      </c>
      <c r="L8959" s="38" t="n">
        <f aca="false">Sens!$L$8997</f>
        <v>9.63598826439483</v>
      </c>
      <c r="M8959" s="38" t="n">
        <f aca="false">Sens!$M$8997</f>
        <v>9.63598826439483</v>
      </c>
      <c r="N8959" s="38" t="n">
        <f aca="false">Q!$N$34</f>
        <v>1.057</v>
      </c>
      <c r="O8959" s="38" t="n">
        <f aca="false">Q!$O$34</f>
        <v>1.217</v>
      </c>
    </row>
    <row r="8960" customFormat="false" ht="15" hidden="false" customHeight="false" outlineLevel="0" collapsed="false">
      <c r="A8960" s="5" t="s">
        <v>752</v>
      </c>
      <c r="B8960" s="0" t="s">
        <v>86</v>
      </c>
      <c r="F8960" s="38" t="n">
        <f aca="false">Sens!$F$8998</f>
        <v>2.59</v>
      </c>
      <c r="H8960" s="38" t="n">
        <f aca="false">Sens!$H$8998</f>
        <v>3.76965165045626</v>
      </c>
      <c r="I8960" s="38" t="n">
        <f aca="false">Sens!$I$8998</f>
        <v>2.10589651022864</v>
      </c>
      <c r="J8960" s="38" t="n">
        <f aca="false">Sens!$J$8998</f>
        <v>2.10589651022864</v>
      </c>
      <c r="K8960" s="38" t="n">
        <f aca="false">Sens!$K$8998</f>
        <v>3.03184385018094</v>
      </c>
      <c r="L8960" s="38" t="n">
        <f aca="false">Sens!$L$8998</f>
        <v>7.91036779285643</v>
      </c>
      <c r="M8960" s="38" t="n">
        <f aca="false">Sens!$M$8998</f>
        <v>15.1625776545148</v>
      </c>
    </row>
    <row r="8961" customFormat="false" ht="17.15" hidden="false" customHeight="false" outlineLevel="0" collapsed="false">
      <c r="A8961" s="5" t="s">
        <v>753</v>
      </c>
      <c r="B8961" s="0" t="s">
        <v>86</v>
      </c>
      <c r="C8961" s="38" t="n">
        <f aca="false">Q!$D$39</f>
        <v>2.427</v>
      </c>
      <c r="D8961" s="38" t="n">
        <f aca="false">Q!$E$39</f>
        <v>19.61</v>
      </c>
      <c r="E8961" s="38" t="n">
        <f aca="false">Q!$P$39</f>
        <v>71.492</v>
      </c>
      <c r="F8961" s="39" t="n">
        <v>0</v>
      </c>
      <c r="G8961" s="38" t="n">
        <f aca="false">Sens!$E$8961+Sens!$F$8961</f>
        <v>71.492</v>
      </c>
      <c r="H8961" s="39" t="n">
        <v>0</v>
      </c>
      <c r="I8961" s="39" t="n">
        <v>0</v>
      </c>
      <c r="J8961" s="39" t="n">
        <v>0</v>
      </c>
      <c r="K8961" s="39" t="n">
        <v>0</v>
      </c>
      <c r="L8961" s="39" t="n">
        <v>0</v>
      </c>
      <c r="M8961" s="39" t="n">
        <v>0</v>
      </c>
      <c r="N8961" s="38" t="n">
        <f aca="false">Q!$N$39</f>
        <v>6.017</v>
      </c>
      <c r="O8961" s="38" t="n">
        <f aca="false">Q!$O$39</f>
        <v>13.593</v>
      </c>
      <c r="P8961" s="5" t="s">
        <v>754</v>
      </c>
    </row>
    <row r="8962" customFormat="false" ht="15" hidden="false" customHeight="false" outlineLevel="0" collapsed="false">
      <c r="A8962" s="5" t="s">
        <v>547</v>
      </c>
      <c r="B8962" s="0" t="s">
        <v>86</v>
      </c>
      <c r="C8962" s="38" t="n">
        <f aca="false">Q!$D$36</f>
        <v>68.614</v>
      </c>
      <c r="D8962" s="38" t="n">
        <f aca="false">Q!$E$36</f>
        <v>97.311</v>
      </c>
      <c r="E8962" s="38" t="n">
        <f aca="false">Q!$P$36</f>
        <v>120.691</v>
      </c>
      <c r="F8962" s="38" t="n">
        <f aca="false">Sens!$F$8938-Sens!$F$8959+Sens!$F$8960+Sens!$F$8961</f>
        <v>56.0316019995185</v>
      </c>
      <c r="G8962" s="38" t="n">
        <f aca="false">Sens!$E$8962+Sens!$F$8962</f>
        <v>176.722601999518</v>
      </c>
      <c r="H8962" s="38" t="n">
        <f aca="false">Sens!$H$8938-Sens!$H$8959+Sens!$H$8960+Sens!$H$8961</f>
        <v>127.892977696936</v>
      </c>
      <c r="I8962" s="38" t="n">
        <f aca="false">Sens!$I$8938-Sens!$I$8959+Sens!$I$8960+Sens!$I$8961</f>
        <v>145.059971464568</v>
      </c>
      <c r="J8962" s="38" t="n">
        <f aca="false">Sens!$J$8938-Sens!$J$8959+Sens!$J$8960+Sens!$J$8961</f>
        <v>162.301047638521</v>
      </c>
      <c r="K8962" s="38" t="n">
        <f aca="false">Sens!$K$8938-Sens!$K$8959+Sens!$K$8960+Sens!$K$8961</f>
        <v>175.026058696445</v>
      </c>
      <c r="L8962" s="38" t="n">
        <f aca="false">Sens!$L$8938-Sens!$L$8959+Sens!$L$8960+Sens!$L$8961</f>
        <v>190.954136184823</v>
      </c>
      <c r="M8962" s="38" t="n">
        <f aca="false">Sens!$M$8938-Sens!$M$8959+Sens!$M$8960+Sens!$M$8961</f>
        <v>208.529784359583</v>
      </c>
      <c r="N8962" s="38" t="n">
        <f aca="false">Q!$N$36</f>
        <v>42.536</v>
      </c>
      <c r="O8962" s="38" t="n">
        <f aca="false">Q!$O$36</f>
        <v>54.775</v>
      </c>
    </row>
    <row r="8963" customFormat="false" ht="15" hidden="false" customHeight="false" outlineLevel="0" collapsed="false">
      <c r="A8963" s="5" t="s">
        <v>548</v>
      </c>
      <c r="B8963" s="0" t="s">
        <v>86</v>
      </c>
      <c r="C8963" s="38" t="n">
        <f aca="false">Q!$D$37</f>
        <v>9.265</v>
      </c>
      <c r="D8963" s="38" t="n">
        <f aca="false">Q!$E$37</f>
        <v>19.087</v>
      </c>
      <c r="E8963" s="38" t="n">
        <f aca="false">Q!$P$37</f>
        <v>27.759</v>
      </c>
      <c r="F8963" s="38" t="n">
        <f aca="false">Sens!$F$8962*tax</f>
        <v>9.72621910890414</v>
      </c>
      <c r="G8963" s="38" t="n">
        <f aca="false">Sens!$E$8963+Sens!$F$8963</f>
        <v>37.4852191089041</v>
      </c>
      <c r="H8963" s="38" t="n">
        <f aca="false">Sens!$H$8962*tax</f>
        <v>22.2002419916761</v>
      </c>
      <c r="I8963" s="38" t="n">
        <f aca="false">Sens!$I$8962*tax</f>
        <v>25.1801664783365</v>
      </c>
      <c r="J8963" s="38" t="n">
        <f aca="false">Sens!$J$8962*tax</f>
        <v>28.1729505244292</v>
      </c>
      <c r="K8963" s="38" t="n">
        <f aca="false">Sens!$K$8962*tax</f>
        <v>30.3818155451664</v>
      </c>
      <c r="L8963" s="38" t="n">
        <f aca="false">Sens!$L$8962*tax</f>
        <v>33.1466833359695</v>
      </c>
      <c r="M8963" s="38" t="n">
        <f aca="false">Sens!$M$8962*tax</f>
        <v>36.1975439044428</v>
      </c>
      <c r="N8963" s="38" t="n">
        <f aca="false">Q!$N$37</f>
        <v>7.231</v>
      </c>
      <c r="O8963" s="38" t="n">
        <f aca="false">Q!$O$37</f>
        <v>11.856</v>
      </c>
    </row>
    <row r="8964" customFormat="false" ht="15" hidden="false" customHeight="false" outlineLevel="0" collapsed="false">
      <c r="A8964" s="3" t="s">
        <v>549</v>
      </c>
      <c r="B8964" s="8" t="s">
        <v>86</v>
      </c>
      <c r="C8964" s="38" t="n">
        <f aca="false">Q!$D$38</f>
        <v>59.248</v>
      </c>
      <c r="D8964" s="38" t="n">
        <f aca="false">Q!$E$38</f>
        <v>77.67</v>
      </c>
      <c r="E8964" s="38" t="n">
        <f aca="false">Q!$P$38</f>
        <v>92.902</v>
      </c>
      <c r="F8964" s="38" t="n">
        <f aca="false">Sens!$F$8962-Sens!$F$8963</f>
        <v>46.3053828906144</v>
      </c>
      <c r="G8964" s="38" t="n">
        <f aca="false">Sens!$E$8964+Sens!$F$8964</f>
        <v>139.207382890614</v>
      </c>
      <c r="H8964" s="38" t="n">
        <f aca="false">Sens!$H$8962-Sens!$H$8963</f>
        <v>105.69273570526</v>
      </c>
      <c r="I8964" s="38" t="n">
        <f aca="false">Sens!$I$8962-Sens!$I$8963</f>
        <v>119.879804986231</v>
      </c>
      <c r="J8964" s="38" t="n">
        <f aca="false">Sens!$J$8962-Sens!$J$8963</f>
        <v>134.128097114092</v>
      </c>
      <c r="K8964" s="38" t="n">
        <f aca="false">Sens!$K$8962-Sens!$K$8963</f>
        <v>144.644243151279</v>
      </c>
      <c r="L8964" s="38" t="n">
        <f aca="false">Sens!$L$8962-Sens!$L$8963</f>
        <v>157.807452848854</v>
      </c>
      <c r="M8964" s="38" t="n">
        <f aca="false">Sens!$M$8962-Sens!$M$8963</f>
        <v>172.33224045514</v>
      </c>
      <c r="N8964" s="38" t="n">
        <f aca="false">Q!$N$38</f>
        <v>35.291</v>
      </c>
      <c r="O8964" s="38" t="n">
        <f aca="false">Q!$O$38</f>
        <v>42.379</v>
      </c>
    </row>
    <row r="8965" customFormat="false" ht="17.15" hidden="false" customHeight="false" outlineLevel="0" collapsed="false">
      <c r="A8965" s="5" t="s">
        <v>552</v>
      </c>
      <c r="B8965" s="5" t="s">
        <v>33</v>
      </c>
      <c r="C8965" s="22" t="n">
        <f aca="false">Q!$D$41</f>
        <v>10.721</v>
      </c>
      <c r="D8965" s="22" t="n">
        <f aca="false">Q!$E$41</f>
        <v>10.827</v>
      </c>
      <c r="E8965" s="22" t="n">
        <f aca="false">(Q!$L$41+Q!$M$41)/2</f>
        <v>10.8885</v>
      </c>
      <c r="F8965" s="22" t="n">
        <f aca="false">Sens!$G$8965</f>
        <v>10.924806</v>
      </c>
      <c r="G8965" s="22" t="n">
        <f aca="false">Q!$M$41*(1+sh_g*0.25)</f>
        <v>10.924806</v>
      </c>
      <c r="H8965" s="22" t="n">
        <f aca="false">Sens!$G$8965*(1+sh_g)</f>
        <v>11.012204448</v>
      </c>
      <c r="I8965" s="22" t="n">
        <f aca="false">Sens!$H$8965*(1+sh_g)</f>
        <v>11.100302083584</v>
      </c>
      <c r="J8965" s="22" t="n">
        <f aca="false">Sens!$I$8965*(1+sh_g)</f>
        <v>11.1891045002527</v>
      </c>
      <c r="K8965" s="22" t="n">
        <f aca="false">Sens!$J$8965*(1+sh_g)</f>
        <v>11.2786173362547</v>
      </c>
      <c r="L8965" s="22" t="n">
        <f aca="false">Sens!$K$8965*(1+sh_g)</f>
        <v>11.3688462749447</v>
      </c>
      <c r="M8965" s="22" t="n">
        <f aca="false">Sens!$L$8965*(1+sh_g)</f>
        <v>11.4597970451443</v>
      </c>
      <c r="P8965" s="5" t="s">
        <v>755</v>
      </c>
    </row>
    <row r="8966" customFormat="false" ht="17.15" hidden="false" customHeight="false" outlineLevel="0" collapsed="false">
      <c r="A8966" s="5" t="s">
        <v>756</v>
      </c>
      <c r="B8966" s="0" t="s">
        <v>86</v>
      </c>
      <c r="C8966" s="38" t="n">
        <f aca="false">Sens!$C$8964+Sens!$C$8940*(1-tax)</f>
        <v>59.248</v>
      </c>
      <c r="D8966" s="38" t="n">
        <f aca="false">Sens!$D$8964+Sens!$D$8940*(1-tax)</f>
        <v>77.67</v>
      </c>
      <c r="E8966" s="38" t="n">
        <f aca="false">Sens!$E$8964+Sens!$E$8940*(1-tax)</f>
        <v>92.902</v>
      </c>
      <c r="F8966" s="38" t="n">
        <f aca="false">Sens!$F$8964+Sens!$F$8940*(1-tax)</f>
        <v>49.421977850263</v>
      </c>
      <c r="G8966" s="38" t="n">
        <f aca="false">Sens!$G$8964+Sens!$G$8940*(1-tax)</f>
        <v>142.323977850263</v>
      </c>
      <c r="H8966" s="38" t="n">
        <f aca="false">Sens!$H$8964+Sens!$H$8940*(1-tax)</f>
        <v>118.224131660605</v>
      </c>
      <c r="I8966" s="38" t="n">
        <f aca="false">Sens!$I$8964+Sens!$I$8940*(1-tax)</f>
        <v>141.02107006117</v>
      </c>
      <c r="J8966" s="38" t="n">
        <f aca="false">Sens!$J$8964+Sens!$J$8940*(1-tax)</f>
        <v>163.917534058375</v>
      </c>
      <c r="K8966" s="38" t="n">
        <f aca="false">Sens!$K$8964+Sens!$K$8940*(1-tax)</f>
        <v>181.871113221934</v>
      </c>
      <c r="L8966" s="38" t="n">
        <f aca="false">Sens!$L$8964+Sens!$L$8940*(1-tax)</f>
        <v>200.060364371763</v>
      </c>
      <c r="M8966" s="38" t="n">
        <f aca="false">Sens!$M$8964+Sens!$M$8940*(1-tax)</f>
        <v>217.193801824301</v>
      </c>
      <c r="N8966" s="38" t="n">
        <f aca="false">Sens!$N$8964+Sens!$N$8940*(1-tax)</f>
        <v>35.291</v>
      </c>
      <c r="O8966" s="38" t="n">
        <f aca="false">Sens!$O$8964+Sens!$O$8940*(1-tax)</f>
        <v>42.379</v>
      </c>
    </row>
    <row r="8967" customFormat="false" ht="17.15" hidden="false" customHeight="false" outlineLevel="0" collapsed="false">
      <c r="A8967" s="43" t="s">
        <v>757</v>
      </c>
      <c r="B8967" s="14" t="s">
        <v>27</v>
      </c>
      <c r="C8967" s="44" t="n">
        <f aca="false">Sens!$C$8966/Sens!$C$8965</f>
        <v>5.52635015390355</v>
      </c>
      <c r="D8967" s="44" t="n">
        <f aca="false">Sens!$D$8966/Sens!$D$8965</f>
        <v>7.1737323358271</v>
      </c>
      <c r="E8967" s="44" t="n">
        <f aca="false">Sens!$E$8966/Sens!$E$8965</f>
        <v>8.53212104513937</v>
      </c>
      <c r="F8967" s="14"/>
      <c r="G8967" s="44" t="n">
        <f aca="false">Sens!$G$8966/Sens!$G$8965</f>
        <v>13.0275977303636</v>
      </c>
      <c r="H8967" s="44" t="n">
        <f aca="false">Sens!$H$8966/Sens!$H$8965</f>
        <v>10.7357370832392</v>
      </c>
      <c r="I8967" s="44" t="n">
        <f aca="false">Sens!$I$8966/Sens!$I$8965</f>
        <v>12.7042551634449</v>
      </c>
      <c r="J8967" s="44" t="n">
        <f aca="false">Sens!$J$8966/Sens!$J$8965</f>
        <v>14.6497455676344</v>
      </c>
      <c r="K8967" s="44" t="n">
        <f aca="false">Sens!$K$8966/Sens!$K$8965</f>
        <v>16.1253022245303</v>
      </c>
      <c r="L8967" s="44" t="n">
        <f aca="false">Sens!$L$8966/Sens!$L$8965</f>
        <v>17.5972442175303</v>
      </c>
      <c r="M8967" s="44" t="n">
        <f aca="false">Sens!$M$8966/Sens!$M$8965</f>
        <v>18.9526743771025</v>
      </c>
      <c r="N8967" s="14"/>
      <c r="O8967" s="14"/>
    </row>
    <row r="8968" customFormat="false" ht="17.15" hidden="false" customHeight="false" outlineLevel="0" collapsed="false">
      <c r="A8968" s="0" t="s">
        <v>758</v>
      </c>
      <c r="B8968" s="0" t="s">
        <v>27</v>
      </c>
      <c r="C8968" s="30" t="n">
        <f aca="false">Sens!$C$8964/Sens!$C$8965</f>
        <v>5.52635015390355</v>
      </c>
      <c r="D8968" s="30" t="n">
        <f aca="false">Sens!$D$8964/Sens!$D$8965</f>
        <v>7.1737323358271</v>
      </c>
      <c r="E8968" s="30" t="n">
        <f aca="false">Sens!$E$8964/Sens!$E$8965</f>
        <v>8.53212104513937</v>
      </c>
      <c r="G8968" s="30" t="n">
        <f aca="false">Sens!$G$8964/Sens!$G$8965</f>
        <v>12.7423208147233</v>
      </c>
      <c r="H8968" s="30" t="n">
        <f aca="false">Sens!$H$8964/Sens!$H$8965</f>
        <v>9.59778182509639</v>
      </c>
      <c r="I8968" s="30" t="n">
        <f aca="false">Sens!$I$8964/Sens!$I$8965</f>
        <v>10.799688520506</v>
      </c>
      <c r="J8968" s="30" t="n">
        <f aca="false">Sens!$J$8964/Sens!$J$8965</f>
        <v>11.9873844337644</v>
      </c>
      <c r="K8968" s="30" t="n">
        <f aca="false">Sens!$K$8964/Sens!$K$8965</f>
        <v>12.8246432021703</v>
      </c>
      <c r="L8968" s="30" t="n">
        <f aca="false">Sens!$L$8964/Sens!$L$8965</f>
        <v>13.8806919393957</v>
      </c>
      <c r="M8968" s="30" t="n">
        <f aca="false">Sens!$M$8964/Sens!$M$8965</f>
        <v>15.0379836376038</v>
      </c>
    </row>
    <row r="8969" customFormat="false" ht="17.15" hidden="false" customHeight="false" outlineLevel="0" collapsed="false">
      <c r="A8969" s="0" t="s">
        <v>759</v>
      </c>
      <c r="B8969" s="0" t="s">
        <v>27</v>
      </c>
      <c r="C8969" s="30" t="n">
        <f aca="false">(Sens!$C$8964-Sens!$C$8961*(1-tax))/Sens!$C$8965</f>
        <v>5.33926775917445</v>
      </c>
      <c r="D8969" s="30" t="n">
        <f aca="false">(Sens!$D$8964-Sens!$D$8961*(1-tax))/Sens!$D$8965</f>
        <v>5.67691812755503</v>
      </c>
      <c r="E8969" s="30" t="n">
        <f aca="false">(Sens!$E$8964-Sens!$E$8961*(1-tax))/Sens!$E$8965</f>
        <v>3.10602057006846</v>
      </c>
      <c r="G8969" s="30" t="n">
        <f aca="false">(Sens!$G$8964-Sens!$G$8961*(1-tax))/Sens!$G$8965</f>
        <v>7.33425269682635</v>
      </c>
      <c r="H8969" s="30" t="n">
        <f aca="false">(Sens!$H$8964-Sens!$H$8961*(1-tax))/Sens!$H$8965</f>
        <v>9.59778182509639</v>
      </c>
      <c r="I8969" s="30" t="n">
        <f aca="false">(Sens!$I$8964-Sens!$I$8961*(1-tax))/Sens!$I$8965</f>
        <v>10.799688520506</v>
      </c>
      <c r="J8969" s="30" t="n">
        <f aca="false">(Sens!$J$8964-Sens!$J$8961*(1-tax))/Sens!$J$8965</f>
        <v>11.9873844337644</v>
      </c>
      <c r="K8969" s="30" t="n">
        <f aca="false">(Sens!$K$8964-Sens!$K$8961*(1-tax))/Sens!$K$8965</f>
        <v>12.8246432021703</v>
      </c>
      <c r="L8969" s="30" t="n">
        <f aca="false">(Sens!$L$8964-Sens!$L$8961*(1-tax))/Sens!$L$8965</f>
        <v>13.8806919393957</v>
      </c>
      <c r="M8969" s="30" t="n">
        <f aca="false">(Sens!$M$8964-Sens!$M$8961*(1-tax))/Sens!$M$8965</f>
        <v>15.0379836376038</v>
      </c>
      <c r="P8969" s="5" t="s">
        <v>760</v>
      </c>
    </row>
    <row r="8970" customFormat="false" ht="17.15" hidden="false" customHeight="false" outlineLevel="0" collapsed="false">
      <c r="A8970" s="0" t="s">
        <v>761</v>
      </c>
      <c r="B8970" s="0" t="s">
        <v>52</v>
      </c>
      <c r="H8970" s="13" t="n">
        <f aca="false">Sens!$H$8967/Sens!$G$8967-1</f>
        <v>-0.175923504437261</v>
      </c>
      <c r="I8970" s="13" t="n">
        <f aca="false">Sens!$I$8967/Sens!$H$8967-1</f>
        <v>0.183361241519136</v>
      </c>
      <c r="J8970" s="13" t="n">
        <f aca="false">Sens!$J$8967/Sens!$I$8967-1</f>
        <v>0.153136911936991</v>
      </c>
      <c r="K8970" s="13" t="n">
        <f aca="false">Sens!$K$8967/Sens!$J$8967-1</f>
        <v>0.100722340199257</v>
      </c>
      <c r="L8970" s="13" t="n">
        <f aca="false">Sens!$L$8967/Sens!$K$8967-1</f>
        <v>0.0912815135186056</v>
      </c>
      <c r="M8970" s="13" t="n">
        <f aca="false">Sens!$M$8967/Sens!$L$8967-1</f>
        <v>0.0770251377327536</v>
      </c>
    </row>
    <row r="8973" customFormat="false" ht="19.4" hidden="false" customHeight="false" outlineLevel="0" collapsed="false">
      <c r="A8973" s="31" t="s">
        <v>1318</v>
      </c>
    </row>
    <row r="8974" customFormat="false" ht="17.15" hidden="false" customHeight="false" outlineLevel="0" collapsed="false">
      <c r="A8974" s="6" t="s">
        <v>16</v>
      </c>
      <c r="B8974" s="6" t="s">
        <v>17</v>
      </c>
      <c r="C8974" s="20" t="s">
        <v>497</v>
      </c>
      <c r="D8974" s="20" t="s">
        <v>498</v>
      </c>
      <c r="E8974" s="20" t="s">
        <v>580</v>
      </c>
      <c r="F8974" s="20" t="s">
        <v>581</v>
      </c>
      <c r="G8974" s="20" t="s">
        <v>582</v>
      </c>
      <c r="H8974" s="20" t="s">
        <v>583</v>
      </c>
      <c r="I8974" s="20" t="s">
        <v>584</v>
      </c>
      <c r="J8974" s="20" t="s">
        <v>585</v>
      </c>
      <c r="K8974" s="20" t="s">
        <v>586</v>
      </c>
      <c r="L8974" s="20" t="s">
        <v>587</v>
      </c>
      <c r="M8974" s="20" t="s">
        <v>588</v>
      </c>
      <c r="N8974" s="20" t="s">
        <v>589</v>
      </c>
      <c r="O8974" s="20" t="s">
        <v>590</v>
      </c>
      <c r="P8974" s="6" t="s">
        <v>23</v>
      </c>
      <c r="R8974" s="20" t="n">
        <v>2023</v>
      </c>
      <c r="S8974" s="20" t="n">
        <v>2024</v>
      </c>
      <c r="T8974" s="20" t="n">
        <v>2025</v>
      </c>
      <c r="U8974" s="20" t="n">
        <v>2026</v>
      </c>
      <c r="V8974" s="20" t="n">
        <v>2027</v>
      </c>
      <c r="W8974" s="20" t="n">
        <v>2028</v>
      </c>
      <c r="X8974" s="20" t="n">
        <v>2029</v>
      </c>
      <c r="Y8974" s="20" t="n">
        <v>2030</v>
      </c>
      <c r="Z8974" s="20" t="n">
        <v>2031</v>
      </c>
      <c r="AA8974" s="20" t="n">
        <v>2032</v>
      </c>
    </row>
    <row r="8975" customFormat="false" ht="15" hidden="false" customHeight="false" outlineLevel="0" collapsed="false">
      <c r="A8975" s="5" t="s">
        <v>549</v>
      </c>
      <c r="B8975" s="0" t="s">
        <v>86</v>
      </c>
      <c r="C8975" s="38" t="n">
        <f aca="false">Sens!$C$8964</f>
        <v>59.248</v>
      </c>
      <c r="D8975" s="38" t="n">
        <f aca="false">Sens!$D$8964</f>
        <v>77.67</v>
      </c>
      <c r="E8975" s="38" t="n">
        <f aca="false">Sens!$E$8964</f>
        <v>92.902</v>
      </c>
      <c r="F8975" s="38" t="n">
        <f aca="false">Sens!$F$8964</f>
        <v>46.3053828906144</v>
      </c>
      <c r="G8975" s="38" t="n">
        <f aca="false">Sens!$G$8964</f>
        <v>139.207382890614</v>
      </c>
      <c r="H8975" s="38" t="n">
        <f aca="false">Sens!$H$8964</f>
        <v>105.69273570526</v>
      </c>
      <c r="I8975" s="38" t="n">
        <f aca="false">Sens!$I$8964</f>
        <v>119.879804986231</v>
      </c>
      <c r="J8975" s="38" t="n">
        <f aca="false">Sens!$J$8964</f>
        <v>134.128097114092</v>
      </c>
      <c r="K8975" s="38" t="n">
        <f aca="false">Sens!$K$8964</f>
        <v>144.644243151279</v>
      </c>
      <c r="L8975" s="38" t="n">
        <f aca="false">Sens!$L$8964</f>
        <v>157.807452848854</v>
      </c>
      <c r="M8975" s="38" t="n">
        <f aca="false">Sens!$M$8964</f>
        <v>172.33224045514</v>
      </c>
    </row>
    <row r="8976" customFormat="false" ht="17.15" hidden="false" customHeight="false" outlineLevel="0" collapsed="false">
      <c r="A8976" s="5" t="s">
        <v>784</v>
      </c>
      <c r="B8976" s="0" t="s">
        <v>86</v>
      </c>
      <c r="C8976" s="38" t="n">
        <f aca="false">Sens!$C$8952</f>
        <v>32.067</v>
      </c>
      <c r="D8976" s="38" t="n">
        <f aca="false">Sens!$D$8952</f>
        <v>41.86</v>
      </c>
      <c r="E8976" s="38" t="n">
        <f aca="false">Sens!$E$8952</f>
        <v>26.703</v>
      </c>
      <c r="F8976" s="38" t="n">
        <f aca="false">Sens!$F$8952</f>
        <v>28.2071421626285</v>
      </c>
      <c r="G8976" s="38" t="n">
        <f aca="false">Sens!$G$8952</f>
        <v>54.9101421626285</v>
      </c>
      <c r="H8976" s="38" t="n">
        <f aca="false">Sens!$H$8952</f>
        <v>78.1799395827871</v>
      </c>
      <c r="I8976" s="38" t="n">
        <f aca="false">Sens!$I$8952</f>
        <v>111.171125554384</v>
      </c>
      <c r="J8976" s="38" t="n">
        <f aca="false">Sens!$J$8952</f>
        <v>144.884406220971</v>
      </c>
      <c r="K8976" s="38" t="n">
        <f aca="false">Sens!$K$8952</f>
        <v>178.806419437999</v>
      </c>
      <c r="L8976" s="38" t="n">
        <f aca="false">Sens!$L$8952</f>
        <v>204.731408613016</v>
      </c>
      <c r="M8976" s="38" t="n">
        <f aca="false">Sens!$M$8952</f>
        <v>224.300786745448</v>
      </c>
    </row>
    <row r="8977" customFormat="false" ht="15" hidden="false" customHeight="false" outlineLevel="0" collapsed="false">
      <c r="A8977" s="5" t="s">
        <v>785</v>
      </c>
      <c r="B8977" s="0" t="s">
        <v>86</v>
      </c>
      <c r="C8977" s="38" t="n">
        <f aca="false">Q!$D$48</f>
        <v>22.011</v>
      </c>
      <c r="D8977" s="38" t="n">
        <f aca="false">Q!$E$48</f>
        <v>19.467</v>
      </c>
      <c r="E8977" s="38" t="n">
        <f aca="false">Q!$P$48</f>
        <v>10.07</v>
      </c>
      <c r="F8977" s="38" t="n">
        <f aca="false">sbc_r*Sens!$F$8894</f>
        <v>10.8507035798037</v>
      </c>
      <c r="G8977" s="38" t="n">
        <f aca="false">Sens!$E$8977+Sens!$F$8977</f>
        <v>20.9207035798037</v>
      </c>
      <c r="H8977" s="38" t="n">
        <f aca="false">sbc_r*Sens!$H$8894</f>
        <v>23.46224366345</v>
      </c>
      <c r="I8977" s="38" t="n">
        <f aca="false">sbc_r*Sens!$I$8894</f>
        <v>26.6125957111676</v>
      </c>
      <c r="J8977" s="38" t="n">
        <f aca="false">sbc_r*Sens!$J$8894</f>
        <v>29.6280801413323</v>
      </c>
      <c r="K8977" s="38" t="n">
        <f aca="false">sbc_r*Sens!$K$8894</f>
        <v>32.2783466626501</v>
      </c>
      <c r="L8977" s="38" t="n">
        <f aca="false">sbc_r*Sens!$L$8894</f>
        <v>34.7673634382331</v>
      </c>
      <c r="M8977" s="38" t="n">
        <f aca="false">sbc_r*Sens!$M$8894</f>
        <v>37.1041186491569</v>
      </c>
    </row>
    <row r="8978" customFormat="false" ht="17.15" hidden="false" customHeight="false" outlineLevel="0" collapsed="false">
      <c r="A8978" s="5" t="s">
        <v>786</v>
      </c>
      <c r="B8978" s="0" t="s">
        <v>86</v>
      </c>
      <c r="C8978" s="38" t="n">
        <f aca="false">Q!$D$44-Sens!$C$8975-Sens!$C$8976-Sens!$C$8977</f>
        <v>2.551</v>
      </c>
      <c r="D8978" s="38" t="n">
        <f aca="false">Q!$E$44-Sens!$D$8975-Sens!$D$8976-Sens!$D$8977</f>
        <v>0.51700000000001</v>
      </c>
      <c r="E8978" s="38" t="n">
        <f aca="false">Q!$P$44-Sens!$E$8975-Sens!$E$8976-Sens!$E$8977</f>
        <v>-58.256</v>
      </c>
      <c r="F8978" s="38" t="n">
        <f aca="false">oth_r*Sens!$F$8894</f>
        <v>5.22265251035878</v>
      </c>
      <c r="G8978" s="38" t="n">
        <f aca="false">Sens!$E$8978+Sens!$F$8978</f>
        <v>-53.0333474896412</v>
      </c>
      <c r="H8978" s="38" t="n">
        <f aca="false">oth_r*Sens!$H$8894</f>
        <v>11.2928295263397</v>
      </c>
      <c r="I8978" s="38" t="n">
        <f aca="false">oth_r*Sens!$I$8894</f>
        <v>12.8091546115766</v>
      </c>
      <c r="J8978" s="38" t="n">
        <f aca="false">oth_r*Sens!$J$8894</f>
        <v>14.2605653162668</v>
      </c>
      <c r="K8978" s="38" t="n">
        <f aca="false">oth_r*Sens!$K$8894</f>
        <v>15.5361896109386</v>
      </c>
      <c r="L8978" s="38" t="n">
        <f aca="false">oth_r*Sens!$L$8894</f>
        <v>16.7342012989106</v>
      </c>
      <c r="M8978" s="38" t="n">
        <f aca="false">oth_r*Sens!$M$8894</f>
        <v>17.8589265647579</v>
      </c>
      <c r="P8978" s="8" t="s">
        <v>787</v>
      </c>
    </row>
    <row r="8979" customFormat="false" ht="15" hidden="false" customHeight="false" outlineLevel="0" collapsed="false">
      <c r="A8979" s="3" t="s">
        <v>555</v>
      </c>
      <c r="B8979" s="8" t="s">
        <v>86</v>
      </c>
      <c r="C8979" s="38" t="n">
        <f aca="false">Q!$D$44</f>
        <v>115.877</v>
      </c>
      <c r="D8979" s="38" t="n">
        <f aca="false">Q!$E$44</f>
        <v>139.514</v>
      </c>
      <c r="E8979" s="38" t="n">
        <f aca="false">Q!$P$44</f>
        <v>71.419</v>
      </c>
      <c r="F8979" s="38" t="n">
        <f aca="false">Sens!$F$8975+Sens!$F$8976+Sens!$F$8977+Sens!$F$8978</f>
        <v>90.5858811434053</v>
      </c>
      <c r="G8979" s="38" t="n">
        <f aca="false">Sens!$E$8979+Sens!$F$8979</f>
        <v>162.004881143405</v>
      </c>
      <c r="H8979" s="38" t="n">
        <f aca="false">Sens!$H$8975+Sens!$H$8976+Sens!$H$8977+Sens!$H$8978</f>
        <v>218.627748477837</v>
      </c>
      <c r="I8979" s="38" t="n">
        <f aca="false">Sens!$I$8975+Sens!$I$8976+Sens!$I$8977+Sens!$I$8978</f>
        <v>270.47268086336</v>
      </c>
      <c r="J8979" s="38" t="n">
        <f aca="false">Sens!$J$8975+Sens!$J$8976+Sens!$J$8977+Sens!$J$8978</f>
        <v>322.901148792662</v>
      </c>
      <c r="K8979" s="38" t="n">
        <f aca="false">Sens!$K$8975+Sens!$K$8976+Sens!$K$8977+Sens!$K$8978</f>
        <v>371.265198862867</v>
      </c>
      <c r="L8979" s="38" t="n">
        <f aca="false">Sens!$L$8975+Sens!$L$8976+Sens!$L$8977+Sens!$L$8978</f>
        <v>414.040426199014</v>
      </c>
      <c r="M8979" s="38" t="n">
        <f aca="false">Sens!$M$8975+Sens!$M$8976+Sens!$M$8977+Sens!$M$8978</f>
        <v>451.596072414503</v>
      </c>
    </row>
    <row r="8980" customFormat="false" ht="17.15" hidden="false" customHeight="false" outlineLevel="0" collapsed="false">
      <c r="A8980" s="5" t="s">
        <v>788</v>
      </c>
      <c r="B8980" s="0" t="s">
        <v>86</v>
      </c>
      <c r="C8980" s="38" t="n">
        <f aca="false">Sens!$C$8861</f>
        <v>25.2781053077374</v>
      </c>
      <c r="D8980" s="38" t="n">
        <f aca="false">Sens!$D$8861</f>
        <v>69.5686316310026</v>
      </c>
      <c r="E8980" s="38" t="n">
        <f aca="false">Sens!$E$8861</f>
        <v>64.1899206485108</v>
      </c>
      <c r="F8980" s="38" t="n">
        <f aca="false">Sens!$F$8861</f>
        <v>96.2481299895</v>
      </c>
      <c r="G8980" s="38" t="n">
        <f aca="false">Sens!$G$8861</f>
        <v>160.438050638011</v>
      </c>
      <c r="H8980" s="38" t="n">
        <f aca="false">Sens!$H$8861</f>
        <v>198.57136494475</v>
      </c>
      <c r="I8980" s="38" t="n">
        <f aca="false">Sens!$I$8861</f>
        <v>204.6464699105</v>
      </c>
      <c r="J8980" s="38" t="n">
        <f aca="false">Sens!$J$8861</f>
        <v>209.8832381105</v>
      </c>
      <c r="K8980" s="38" t="n">
        <f aca="false">Sens!$K$8861</f>
        <v>158.016341586823</v>
      </c>
      <c r="L8980" s="38" t="n">
        <f aca="false">Sens!$L$8861</f>
        <v>137.570054263147</v>
      </c>
      <c r="M8980" s="38" t="n">
        <f aca="false">Sens!$M$8861</f>
        <v>140.56485059472</v>
      </c>
    </row>
    <row r="8981" customFormat="false" ht="17.15" hidden="false" customHeight="false" outlineLevel="0" collapsed="false">
      <c r="A8981" s="5" t="s">
        <v>789</v>
      </c>
      <c r="B8981" s="0" t="s">
        <v>86</v>
      </c>
      <c r="C8981" s="38" t="n">
        <f aca="false">cx_awso*Sens!$C$8892</f>
        <v>21.0469989286053</v>
      </c>
      <c r="D8981" s="38" t="n">
        <f aca="false">cx_awso*Sens!$D$8892</f>
        <v>24.0042459822698</v>
      </c>
      <c r="E8981" s="38" t="n">
        <f aca="false">cx_awso*Sens!$E$8892</f>
        <v>14.261729404886</v>
      </c>
      <c r="F8981" s="38" t="n">
        <f aca="false">cx_awso*Sens!$F$8892</f>
        <v>14.3538599588493</v>
      </c>
      <c r="G8981" s="38" t="n">
        <f aca="false">Sens!$E$8981+Sens!$F$8981</f>
        <v>28.6155893637353</v>
      </c>
      <c r="H8981" s="38" t="n">
        <f aca="false">cx_awso*Sens!$H$8892</f>
        <v>32.2034154158406</v>
      </c>
      <c r="I8981" s="38" t="n">
        <f aca="false">cx_awso*Sens!$I$8892</f>
        <v>35.7539519042915</v>
      </c>
      <c r="J8981" s="38" t="n">
        <f aca="false">cx_awso*Sens!$J$8892</f>
        <v>39.1551076091815</v>
      </c>
      <c r="K8981" s="38" t="n">
        <f aca="false">cx_awso*Sens!$K$8892</f>
        <v>42.287516217916</v>
      </c>
      <c r="L8981" s="38" t="n">
        <f aca="false">cx_awso*Sens!$L$8892</f>
        <v>45.6705175153492</v>
      </c>
      <c r="M8981" s="38" t="n">
        <f aca="false">cx_awso*Sens!$M$8892</f>
        <v>49.3241589165772</v>
      </c>
    </row>
    <row r="8982" customFormat="false" ht="17.15" hidden="false" customHeight="false" outlineLevel="0" collapsed="false">
      <c r="A8982" s="5" t="s">
        <v>790</v>
      </c>
      <c r="B8982" s="0" t="s">
        <v>86</v>
      </c>
      <c r="C8982" s="38" t="n">
        <f aca="false">Q!$D$46-Sens!$C$8980-Sens!$C$8981</f>
        <v>31.3328957636573</v>
      </c>
      <c r="D8982" s="38" t="n">
        <f aca="false">Q!$E$46-Sens!$D$8980-Sens!$D$8981</f>
        <v>34.7471223867276</v>
      </c>
      <c r="E8982" s="38" t="n">
        <f aca="false">Q!$P$46-Sens!$E$8980-Sens!$E$8981</f>
        <v>17.8583499466032</v>
      </c>
      <c r="F8982" s="38" t="n">
        <f aca="false">cx_rt*Sens!$F$8824</f>
        <v>20.6195895799373</v>
      </c>
      <c r="G8982" s="38" t="n">
        <f aca="false">Sens!$E$8982+Sens!$F$8982</f>
        <v>38.4779395265405</v>
      </c>
      <c r="H8982" s="38" t="n">
        <f aca="false">cx_rt*Sens!$H$8824</f>
        <v>42.5978994743075</v>
      </c>
      <c r="I8982" s="38" t="n">
        <f aca="false">cx_rt*Sens!$I$8824</f>
        <v>46.5813904136335</v>
      </c>
      <c r="J8982" s="38" t="n">
        <f aca="false">cx_rt*Sens!$J$8824</f>
        <v>50.2781676586844</v>
      </c>
      <c r="K8982" s="38" t="n">
        <f aca="false">cx_rt*Sens!$K$8824</f>
        <v>53.5312440191755</v>
      </c>
      <c r="L8982" s="38" t="n">
        <f aca="false">cx_rt*Sens!$L$8824</f>
        <v>57.0116717051447</v>
      </c>
      <c r="M8982" s="38" t="n">
        <f aca="false">cx_rt*Sens!$M$8824</f>
        <v>60.7365554669226</v>
      </c>
    </row>
    <row r="8983" customFormat="false" ht="15" hidden="false" customHeight="false" outlineLevel="0" collapsed="false">
      <c r="A8983" s="3" t="s">
        <v>791</v>
      </c>
      <c r="B8983" s="8" t="s">
        <v>86</v>
      </c>
      <c r="C8983" s="38" t="n">
        <f aca="false">Q!$D$46</f>
        <v>77.658</v>
      </c>
      <c r="D8983" s="38" t="n">
        <f aca="false">Q!$E$46</f>
        <v>128.32</v>
      </c>
      <c r="E8983" s="38" t="n">
        <f aca="false">Q!$P$46</f>
        <v>96.31</v>
      </c>
      <c r="F8983" s="38" t="n">
        <f aca="false">Sens!$F$8980+Sens!$F$8981+Sens!$F$8982</f>
        <v>131.221579528287</v>
      </c>
      <c r="G8983" s="38" t="n">
        <f aca="false">Sens!$E$8983+Sens!$F$8983</f>
        <v>227.531579528287</v>
      </c>
      <c r="H8983" s="38" t="n">
        <f aca="false">Sens!$H$8980+Sens!$H$8981+Sens!$H$8982</f>
        <v>273.372679834898</v>
      </c>
      <c r="I8983" s="38" t="n">
        <f aca="false">Sens!$I$8980+Sens!$I$8981+Sens!$I$8982</f>
        <v>286.981812228425</v>
      </c>
      <c r="J8983" s="38" t="n">
        <f aca="false">Sens!$J$8980+Sens!$J$8981+Sens!$J$8982</f>
        <v>299.316513378366</v>
      </c>
      <c r="K8983" s="38" t="n">
        <f aca="false">Sens!$K$8980+Sens!$K$8981+Sens!$K$8982</f>
        <v>253.835101823915</v>
      </c>
      <c r="L8983" s="38" t="n">
        <f aca="false">Sens!$L$8980+Sens!$L$8981+Sens!$L$8982</f>
        <v>240.252243483641</v>
      </c>
      <c r="M8983" s="38" t="n">
        <f aca="false">Sens!$M$8980+Sens!$M$8981+Sens!$M$8982</f>
        <v>250.62556497822</v>
      </c>
    </row>
    <row r="8984" customFormat="false" ht="17.15" hidden="false" customHeight="false" outlineLevel="0" collapsed="false">
      <c r="A8984" s="5" t="s">
        <v>563</v>
      </c>
      <c r="B8984" s="0" t="s">
        <v>86</v>
      </c>
      <c r="C8984" s="38" t="n">
        <f aca="false">Q!$D$50</f>
        <v>2.043</v>
      </c>
      <c r="D8984" s="38" t="n">
        <f aca="false">Q!$E$50</f>
        <v>1.557</v>
      </c>
      <c r="E8984" s="38" t="n">
        <f aca="false">lease_pr/2</f>
        <v>0.8</v>
      </c>
      <c r="F8984" s="38" t="n">
        <f aca="false">lease_pr/2</f>
        <v>0.8</v>
      </c>
      <c r="G8984" s="38" t="n">
        <f aca="false">Sens!$E$8984+Sens!$F$8984</f>
        <v>1.6</v>
      </c>
      <c r="H8984" s="38" t="n">
        <f aca="false">lease_pr</f>
        <v>1.6</v>
      </c>
      <c r="I8984" s="38" t="n">
        <f aca="false">lease_pr</f>
        <v>1.6</v>
      </c>
      <c r="J8984" s="38" t="n">
        <f aca="false">lease_pr</f>
        <v>1.6</v>
      </c>
      <c r="K8984" s="38" t="n">
        <f aca="false">lease_pr</f>
        <v>1.6</v>
      </c>
      <c r="L8984" s="38" t="n">
        <f aca="false">lease_pr</f>
        <v>1.6</v>
      </c>
      <c r="M8984" s="38" t="n">
        <f aca="false">lease_pr</f>
        <v>1.6</v>
      </c>
      <c r="P8984" s="8" t="s">
        <v>792</v>
      </c>
    </row>
    <row r="8985" customFormat="false" ht="15" hidden="false" customHeight="false" outlineLevel="0" collapsed="false">
      <c r="A8985" s="47" t="s">
        <v>793</v>
      </c>
      <c r="B8985" s="14" t="s">
        <v>86</v>
      </c>
      <c r="C8985" s="48" t="n">
        <f aca="false">Sens!$C$8979-Sens!$C$8983-Sens!$C$8984</f>
        <v>36.176</v>
      </c>
      <c r="D8985" s="48" t="n">
        <f aca="false">Sens!$D$8979-Sens!$D$8983-Sens!$D$8984</f>
        <v>9.63700000000002</v>
      </c>
      <c r="E8985" s="48" t="n">
        <f aca="false">Sens!$E$8979-Sens!$E$8983-Sens!$E$8984</f>
        <v>-25.691</v>
      </c>
      <c r="F8985" s="48" t="n">
        <f aca="false">Sens!$F$8979-Sens!$F$8983-Sens!$F$8984</f>
        <v>-41.4356983848813</v>
      </c>
      <c r="G8985" s="48" t="n">
        <f aca="false">Sens!$G$8979-Sens!$G$8983-Sens!$G$8984</f>
        <v>-67.1266983848813</v>
      </c>
      <c r="H8985" s="48" t="n">
        <f aca="false">Sens!$H$8979-Sens!$H$8983-Sens!$H$8984</f>
        <v>-56.3449313570613</v>
      </c>
      <c r="I8985" s="48" t="n">
        <f aca="false">Sens!$I$8979-Sens!$I$8983-Sens!$I$8984</f>
        <v>-18.1091313650653</v>
      </c>
      <c r="J8985" s="48" t="n">
        <f aca="false">Sens!$J$8979-Sens!$J$8983-Sens!$J$8984</f>
        <v>21.9846354142961</v>
      </c>
      <c r="K8985" s="48" t="n">
        <f aca="false">Sens!$K$8979-Sens!$K$8983-Sens!$K$8984</f>
        <v>115.830097038952</v>
      </c>
      <c r="L8985" s="48" t="n">
        <f aca="false">Sens!$L$8979-Sens!$L$8983-Sens!$L$8984</f>
        <v>172.188182715373</v>
      </c>
      <c r="M8985" s="48" t="n">
        <f aca="false">Sens!$M$8979-Sens!$M$8983-Sens!$M$8984</f>
        <v>199.370507436283</v>
      </c>
      <c r="N8985" s="14"/>
      <c r="O8985" s="14"/>
    </row>
    <row r="8986" customFormat="false" ht="17.15" hidden="false" customHeight="false" outlineLevel="0" collapsed="false">
      <c r="A8986" s="5" t="s">
        <v>794</v>
      </c>
      <c r="B8986" s="0" t="s">
        <v>86</v>
      </c>
      <c r="C8986" s="38" t="n">
        <f aca="false">dps*Sens!$C$8965</f>
        <v>0</v>
      </c>
      <c r="D8986" s="38" t="n">
        <f aca="false">dps*Sens!$D$8965</f>
        <v>0</v>
      </c>
      <c r="E8986" s="38" t="n">
        <f aca="false">dps*Sens!$E$8965</f>
        <v>0</v>
      </c>
      <c r="F8986" s="38" t="n">
        <f aca="false">0</f>
        <v>0</v>
      </c>
      <c r="G8986" s="38" t="n">
        <f aca="false">dps*Sens!$G$8965</f>
        <v>0</v>
      </c>
      <c r="H8986" s="38" t="n">
        <f aca="false">dps*Sens!$H$8965</f>
        <v>0</v>
      </c>
      <c r="I8986" s="38" t="n">
        <f aca="false">dps*Sens!$I$8965</f>
        <v>0</v>
      </c>
      <c r="J8986" s="38" t="n">
        <f aca="false">dps*Sens!$J$8965</f>
        <v>0</v>
      </c>
      <c r="K8986" s="38" t="n">
        <f aca="false">dps*Sens!$K$8965</f>
        <v>0</v>
      </c>
      <c r="L8986" s="38" t="n">
        <f aca="false">dps*Sens!$L$8965</f>
        <v>0</v>
      </c>
      <c r="M8986" s="38" t="n">
        <f aca="false">dps*Sens!$M$8965</f>
        <v>0</v>
      </c>
      <c r="P8986" s="8" t="s">
        <v>795</v>
      </c>
    </row>
    <row r="8987" customFormat="false" ht="17.15" hidden="false" customHeight="false" outlineLevel="0" collapsed="false">
      <c r="A8987" s="5" t="s">
        <v>796</v>
      </c>
      <c r="B8987" s="0" t="s">
        <v>86</v>
      </c>
      <c r="C8987" s="38" t="n">
        <f aca="false">0</f>
        <v>0</v>
      </c>
      <c r="D8987" s="38" t="n">
        <f aca="false">0</f>
        <v>0</v>
      </c>
      <c r="E8987" s="38" t="n">
        <f aca="false">0</f>
        <v>0</v>
      </c>
      <c r="F8987" s="38" t="n">
        <f aca="false">0</f>
        <v>0</v>
      </c>
      <c r="G8987" s="38" t="n">
        <f aca="false">0</f>
        <v>0</v>
      </c>
      <c r="H8987" s="38" t="n">
        <f aca="false">0</f>
        <v>0</v>
      </c>
      <c r="I8987" s="38" t="n">
        <f aca="false">0</f>
        <v>0</v>
      </c>
      <c r="J8987" s="38" t="n">
        <f aca="false">0</f>
        <v>0</v>
      </c>
      <c r="K8987" s="38" t="n">
        <f aca="false">0</f>
        <v>0</v>
      </c>
      <c r="L8987" s="38" t="n">
        <f aca="false">0</f>
        <v>0</v>
      </c>
      <c r="M8987" s="38" t="n">
        <f aca="false">0</f>
        <v>0</v>
      </c>
      <c r="P8987" s="8" t="s">
        <v>797</v>
      </c>
    </row>
    <row r="8988" customFormat="false" ht="15" hidden="false" customHeight="false" outlineLevel="0" collapsed="false">
      <c r="A8988" s="3" t="s">
        <v>798</v>
      </c>
      <c r="B8988" s="8" t="s">
        <v>86</v>
      </c>
      <c r="C8988" s="38" t="n">
        <f aca="false">Sens!$C$8985-Sens!$C$8986</f>
        <v>36.176</v>
      </c>
      <c r="D8988" s="38" t="n">
        <f aca="false">Sens!$D$8985-Sens!$D$8986</f>
        <v>9.63700000000002</v>
      </c>
      <c r="E8988" s="38" t="n">
        <f aca="false">Sens!$E$8985-Sens!$E$8986</f>
        <v>-25.691</v>
      </c>
      <c r="F8988" s="38" t="n">
        <f aca="false">Sens!$F$8985-Sens!$F$8986</f>
        <v>-41.4356983848813</v>
      </c>
      <c r="G8988" s="38" t="n">
        <f aca="false">Sens!$G$8985-Sens!$G$8986</f>
        <v>-67.1266983848813</v>
      </c>
      <c r="H8988" s="38" t="n">
        <f aca="false">Sens!$H$8985-Sens!$H$8986</f>
        <v>-56.3449313570613</v>
      </c>
      <c r="I8988" s="38" t="n">
        <f aca="false">Sens!$I$8985-Sens!$I$8986</f>
        <v>-18.1091313650653</v>
      </c>
      <c r="J8988" s="38" t="n">
        <f aca="false">Sens!$J$8985-Sens!$J$8986</f>
        <v>21.9846354142961</v>
      </c>
      <c r="K8988" s="38" t="n">
        <f aca="false">Sens!$K$8985-Sens!$K$8986</f>
        <v>115.830097038952</v>
      </c>
      <c r="L8988" s="38" t="n">
        <f aca="false">Sens!$L$8985-Sens!$L$8986</f>
        <v>172.188182715373</v>
      </c>
      <c r="M8988" s="38" t="n">
        <f aca="false">Sens!$M$8985-Sens!$M$8986</f>
        <v>199.370507436283</v>
      </c>
    </row>
    <row r="8989" customFormat="false" ht="17.15" hidden="false" customHeight="false" outlineLevel="0" collapsed="false">
      <c r="A8989" s="5" t="s">
        <v>799</v>
      </c>
      <c r="B8989" s="0" t="s">
        <v>86</v>
      </c>
      <c r="E8989" s="38" t="n">
        <f aca="false">Q!$P$53</f>
        <v>39.767</v>
      </c>
      <c r="F8989" s="38" t="n">
        <f aca="false">inv_2h26</f>
        <v>21.3</v>
      </c>
      <c r="G8989" s="38" t="n">
        <f aca="false">Sens!$E$8989+Sens!$F$8989</f>
        <v>61.067</v>
      </c>
      <c r="H8989" s="39" t="n">
        <v>0</v>
      </c>
      <c r="I8989" s="39" t="n">
        <v>0</v>
      </c>
      <c r="J8989" s="39" t="n">
        <v>0</v>
      </c>
      <c r="K8989" s="39" t="n">
        <v>0</v>
      </c>
      <c r="L8989" s="39" t="n">
        <v>0</v>
      </c>
      <c r="M8989" s="39" t="n">
        <v>0</v>
      </c>
    </row>
    <row r="8990" customFormat="false" ht="17.15" hidden="false" customHeight="false" outlineLevel="0" collapsed="false">
      <c r="A8990" s="5" t="s">
        <v>800</v>
      </c>
      <c r="B8990" s="0" t="s">
        <v>86</v>
      </c>
      <c r="F8990" s="38" t="n">
        <f aca="false">iss_2h26</f>
        <v>29.249999</v>
      </c>
      <c r="G8990" s="38" t="n">
        <f aca="false">Sens!$F$8990</f>
        <v>29.249999</v>
      </c>
      <c r="H8990" s="39" t="n">
        <v>0</v>
      </c>
      <c r="I8990" s="39" t="n">
        <v>0</v>
      </c>
      <c r="J8990" s="39" t="n">
        <v>0</v>
      </c>
      <c r="K8990" s="39" t="n">
        <v>0</v>
      </c>
      <c r="L8990" s="39" t="n">
        <v>0</v>
      </c>
      <c r="M8990" s="39" t="n">
        <v>0</v>
      </c>
    </row>
    <row r="8991" customFormat="false" ht="17.15" hidden="false" customHeight="false" outlineLevel="0" collapsed="false">
      <c r="A8991" s="5" t="s">
        <v>801</v>
      </c>
      <c r="B8991" s="0" t="s">
        <v>86</v>
      </c>
      <c r="F8991" s="38" t="n">
        <f aca="false">cash_q2</f>
        <v>122.988</v>
      </c>
      <c r="G8991" s="38" t="n">
        <f aca="false">cash_q2</f>
        <v>122.988</v>
      </c>
      <c r="H8991" s="38" t="n">
        <f aca="false">Sens!$G$8994</f>
        <v>89.5023006151187</v>
      </c>
      <c r="I8991" s="38" t="n">
        <f aca="false">Sens!$H$8994</f>
        <v>50</v>
      </c>
      <c r="J8991" s="38" t="n">
        <f aca="false">Sens!$I$8994</f>
        <v>50</v>
      </c>
      <c r="K8991" s="38" t="n">
        <f aca="false">Sens!$J$8994</f>
        <v>71.9846354142962</v>
      </c>
      <c r="L8991" s="38" t="n">
        <f aca="false">Sens!$K$8994</f>
        <v>187.814732453248</v>
      </c>
      <c r="M8991" s="38" t="n">
        <f aca="false">Sens!$L$8994</f>
        <v>360.002915168622</v>
      </c>
    </row>
    <row r="8992" customFormat="false" ht="15" hidden="false" customHeight="false" outlineLevel="0" collapsed="false">
      <c r="A8992" s="5" t="s">
        <v>802</v>
      </c>
      <c r="B8992" s="0" t="s">
        <v>86</v>
      </c>
      <c r="F8992" s="38" t="n">
        <f aca="false">Sens!$F$8991+Sens!$F$8988-Sens!$F$8987-Sens!$F$8989+Sens!$F$8990</f>
        <v>89.5023006151187</v>
      </c>
      <c r="H8992" s="38" t="n">
        <f aca="false">Sens!$H$8991+Sens!$H$8988-Sens!$H$8987-Sens!$H$8989+Sens!$H$8990</f>
        <v>33.1573692580575</v>
      </c>
      <c r="I8992" s="38" t="n">
        <f aca="false">Sens!$I$8991+Sens!$I$8988-Sens!$I$8987-Sens!$I$8989+Sens!$I$8990</f>
        <v>31.8908686349347</v>
      </c>
      <c r="J8992" s="38" t="n">
        <f aca="false">Sens!$J$8991+Sens!$J$8988-Sens!$J$8987-Sens!$J$8989+Sens!$J$8990</f>
        <v>71.9846354142962</v>
      </c>
      <c r="K8992" s="38" t="n">
        <f aca="false">Sens!$K$8991+Sens!$K$8988-Sens!$K$8987-Sens!$K$8989+Sens!$K$8990</f>
        <v>187.814732453248</v>
      </c>
      <c r="L8992" s="38" t="n">
        <f aca="false">Sens!$L$8991+Sens!$L$8988-Sens!$L$8987-Sens!$L$8989+Sens!$L$8990</f>
        <v>360.002915168622</v>
      </c>
      <c r="M8992" s="38" t="n">
        <f aca="false">Sens!$M$8991+Sens!$M$8988-Sens!$M$8987-Sens!$M$8989+Sens!$M$8990</f>
        <v>559.373422604905</v>
      </c>
    </row>
    <row r="8993" customFormat="false" ht="17.15" hidden="false" customHeight="false" outlineLevel="0" collapsed="false">
      <c r="A8993" s="5" t="s">
        <v>803</v>
      </c>
      <c r="B8993" s="0" t="s">
        <v>86</v>
      </c>
      <c r="F8993" s="38" t="n">
        <f aca="false">MAX(0,min_cash-Sens!$F$8992)</f>
        <v>0</v>
      </c>
      <c r="G8993" s="38" t="n">
        <f aca="false">Sens!$F$8993</f>
        <v>0</v>
      </c>
      <c r="H8993" s="38" t="n">
        <f aca="false">MAX(0,min_cash-Sens!$H$8992)</f>
        <v>16.8426307419426</v>
      </c>
      <c r="I8993" s="38" t="n">
        <f aca="false">MAX(0,min_cash-Sens!$I$8992)</f>
        <v>18.1091313650653</v>
      </c>
      <c r="J8993" s="38" t="n">
        <f aca="false">MAX(0,min_cash-Sens!$J$8992)</f>
        <v>0</v>
      </c>
      <c r="K8993" s="38" t="n">
        <f aca="false">MAX(0,min_cash-Sens!$K$8992)</f>
        <v>0</v>
      </c>
      <c r="L8993" s="38" t="n">
        <f aca="false">MAX(0,min_cash-Sens!$L$8992)</f>
        <v>0</v>
      </c>
      <c r="M8993" s="38" t="n">
        <f aca="false">MAX(0,min_cash-Sens!$M$8992)</f>
        <v>0</v>
      </c>
      <c r="P8993" s="5" t="s">
        <v>804</v>
      </c>
    </row>
    <row r="8994" customFormat="false" ht="15" hidden="false" customHeight="false" outlineLevel="0" collapsed="false">
      <c r="A8994" s="5" t="s">
        <v>805</v>
      </c>
      <c r="B8994" s="0" t="s">
        <v>86</v>
      </c>
      <c r="D8994" s="38" t="n">
        <f aca="false">Q!$E$61</f>
        <v>123.029</v>
      </c>
      <c r="E8994" s="38" t="n">
        <f aca="false">Q!$M$61</f>
        <v>122.988</v>
      </c>
      <c r="F8994" s="38" t="n">
        <f aca="false">Sens!$F$8992+Sens!$F$8993</f>
        <v>89.5023006151187</v>
      </c>
      <c r="G8994" s="38" t="n">
        <f aca="false">Sens!$F$8994</f>
        <v>89.5023006151187</v>
      </c>
      <c r="H8994" s="38" t="n">
        <f aca="false">Sens!$H$8992+Sens!$H$8993</f>
        <v>50</v>
      </c>
      <c r="I8994" s="38" t="n">
        <f aca="false">Sens!$I$8992+Sens!$I$8993</f>
        <v>50</v>
      </c>
      <c r="J8994" s="38" t="n">
        <f aca="false">Sens!$J$8992+Sens!$J$8993</f>
        <v>71.9846354142962</v>
      </c>
      <c r="K8994" s="38" t="n">
        <f aca="false">Sens!$K$8992+Sens!$K$8993</f>
        <v>187.814732453248</v>
      </c>
      <c r="L8994" s="38" t="n">
        <f aca="false">Sens!$L$8992+Sens!$L$8993</f>
        <v>360.002915168622</v>
      </c>
      <c r="M8994" s="38" t="n">
        <f aca="false">Sens!$M$8992+Sens!$M$8993</f>
        <v>559.373422604905</v>
      </c>
    </row>
    <row r="8995" customFormat="false" ht="15" hidden="false" customHeight="false" outlineLevel="0" collapsed="false">
      <c r="A8995" s="5" t="s">
        <v>806</v>
      </c>
      <c r="B8995" s="0" t="s">
        <v>86</v>
      </c>
      <c r="D8995" s="38" t="n">
        <f aca="false">Q!$E$62</f>
        <v>68.836</v>
      </c>
      <c r="E8995" s="38" t="n">
        <f aca="false">Q!$M$62</f>
        <v>132.995</v>
      </c>
      <c r="F8995" s="38" t="n">
        <f aca="false">debt_q2+Sens!$F$8990+Sens!$F$8993</f>
        <v>162.244999</v>
      </c>
      <c r="G8995" s="38" t="n">
        <f aca="false">Sens!$F$8995</f>
        <v>162.244999</v>
      </c>
      <c r="H8995" s="38" t="n">
        <f aca="false">Sens!$G$8995+Sens!$H$8993</f>
        <v>179.087629741943</v>
      </c>
      <c r="I8995" s="38" t="n">
        <f aca="false">Sens!$H$8995+Sens!$I$8993</f>
        <v>197.196761107008</v>
      </c>
      <c r="J8995" s="38" t="n">
        <f aca="false">Sens!$I$8995+Sens!$J$8993</f>
        <v>197.196761107008</v>
      </c>
      <c r="K8995" s="38" t="n">
        <f aca="false">Sens!$J$8995+Sens!$K$8993</f>
        <v>197.196761107008</v>
      </c>
      <c r="L8995" s="38" t="n">
        <f aca="false">Sens!$K$8995+Sens!$L$8993</f>
        <v>197.196761107008</v>
      </c>
      <c r="M8995" s="38" t="n">
        <f aca="false">Sens!$L$8995+Sens!$M$8993</f>
        <v>197.196761107008</v>
      </c>
    </row>
    <row r="8996" customFormat="false" ht="15" hidden="false" customHeight="false" outlineLevel="0" collapsed="false">
      <c r="A8996" s="5" t="s">
        <v>807</v>
      </c>
      <c r="B8996" s="0" t="s">
        <v>86</v>
      </c>
      <c r="D8996" s="38" t="n">
        <f aca="false">Sens!$D$8995-Sens!$D$8994</f>
        <v>-54.193</v>
      </c>
      <c r="E8996" s="38" t="n">
        <f aca="false">Sens!$E$8995-Sens!$E$8994</f>
        <v>10.007</v>
      </c>
      <c r="F8996" s="38" t="n">
        <f aca="false">Sens!$F$8995-Sens!$F$8994</f>
        <v>72.7426983848813</v>
      </c>
      <c r="G8996" s="38" t="n">
        <f aca="false">Sens!$G$8995-Sens!$G$8994</f>
        <v>72.7426983848813</v>
      </c>
      <c r="H8996" s="38" t="n">
        <f aca="false">Sens!$H$8995-Sens!$H$8994</f>
        <v>129.087629741943</v>
      </c>
      <c r="I8996" s="38" t="n">
        <f aca="false">Sens!$I$8995-Sens!$I$8994</f>
        <v>147.196761107008</v>
      </c>
      <c r="J8996" s="38" t="n">
        <f aca="false">Sens!$J$8995-Sens!$J$8994</f>
        <v>125.212125692712</v>
      </c>
      <c r="K8996" s="38" t="n">
        <f aca="false">Sens!$K$8995-Sens!$K$8994</f>
        <v>9.38202865375945</v>
      </c>
      <c r="L8996" s="38" t="n">
        <f aca="false">Sens!$L$8995-Sens!$L$8994</f>
        <v>-162.806154061614</v>
      </c>
      <c r="M8996" s="38" t="n">
        <f aca="false">Sens!$M$8995-Sens!$M$8994</f>
        <v>-362.176661497897</v>
      </c>
    </row>
    <row r="8997" customFormat="false" ht="17.15" hidden="false" customHeight="false" outlineLevel="0" collapsed="false">
      <c r="A8997" s="5" t="s">
        <v>808</v>
      </c>
      <c r="B8997" s="0" t="s">
        <v>86</v>
      </c>
      <c r="F8997" s="38" t="n">
        <f aca="false">debt_q2*kd_book*0.5+iss_2h26*kd_new*iss_t</f>
        <v>3.24888962733561</v>
      </c>
      <c r="H8997" s="38" t="n">
        <f aca="false">debt_q2*kd_book+(Sens!$G$8995-debt_q2)*kd_new</f>
        <v>7.42354172302123</v>
      </c>
      <c r="I8997" s="38" t="n">
        <f aca="false">debt_q2*kd_book+(Sens!$H$8995-debt_q2)*kd_new</f>
        <v>8.48968024898619</v>
      </c>
      <c r="J8997" s="38" t="n">
        <f aca="false">debt_q2*kd_book+(Sens!$I$8995-debt_q2)*kd_new</f>
        <v>9.63598826439483</v>
      </c>
      <c r="K8997" s="38" t="n">
        <f aca="false">debt_q2*kd_book+(Sens!$J$8995-debt_q2)*kd_new</f>
        <v>9.63598826439483</v>
      </c>
      <c r="L8997" s="38" t="n">
        <f aca="false">debt_q2*kd_book+(Sens!$K$8995-debt_q2)*kd_new</f>
        <v>9.63598826439483</v>
      </c>
      <c r="M8997" s="38" t="n">
        <f aca="false">debt_q2*kd_book+(Sens!$L$8995-debt_q2)*kd_new</f>
        <v>9.63598826439483</v>
      </c>
    </row>
    <row r="8998" customFormat="false" ht="17.15" hidden="false" customHeight="false" outlineLevel="0" collapsed="false">
      <c r="A8998" s="5" t="s">
        <v>809</v>
      </c>
      <c r="B8998" s="0" t="s">
        <v>86</v>
      </c>
      <c r="F8998" s="38" t="n">
        <f aca="false">cash_q2*y_cash*0.5</f>
        <v>2.59</v>
      </c>
      <c r="H8998" s="38" t="n">
        <f aca="false">Sens!$G$8994*y_cash</f>
        <v>3.76965165045626</v>
      </c>
      <c r="I8998" s="38" t="n">
        <f aca="false">Sens!$H$8994*y_cash</f>
        <v>2.10589651022864</v>
      </c>
      <c r="J8998" s="38" t="n">
        <f aca="false">Sens!$I$8994*y_cash</f>
        <v>2.10589651022864</v>
      </c>
      <c r="K8998" s="38" t="n">
        <f aca="false">Sens!$J$8994*y_cash</f>
        <v>3.03184385018094</v>
      </c>
      <c r="L8998" s="38" t="n">
        <f aca="false">Sens!$K$8994*y_cash</f>
        <v>7.91036779285643</v>
      </c>
      <c r="M8998" s="38" t="n">
        <f aca="false">Sens!$L$8994*y_cash</f>
        <v>15.1625776545148</v>
      </c>
    </row>
    <row r="8999" customFormat="false" ht="17.15" hidden="false" customHeight="false" outlineLevel="0" collapsed="false">
      <c r="A8999" s="47" t="s">
        <v>810</v>
      </c>
      <c r="B8999" s="14" t="s">
        <v>86</v>
      </c>
      <c r="C8999" s="14"/>
      <c r="D8999" s="14"/>
      <c r="E8999" s="14"/>
      <c r="F8999" s="14"/>
      <c r="G8999" s="48" t="n">
        <f aca="false">SUM(Sens!$G$8988:$K$8988)</f>
        <v>-3.76602865375946</v>
      </c>
      <c r="H8999" s="14"/>
      <c r="I8999" s="14"/>
      <c r="J8999" s="14"/>
      <c r="K8999" s="14"/>
      <c r="L8999" s="14"/>
      <c r="M8999" s="14"/>
      <c r="N8999" s="14"/>
      <c r="O8999" s="14"/>
    </row>
    <row r="9000" customFormat="false" ht="17.15" hidden="false" customHeight="false" outlineLevel="0" collapsed="false">
      <c r="A9000" s="0" t="s">
        <v>776</v>
      </c>
      <c r="B9000" s="0" t="s">
        <v>86</v>
      </c>
      <c r="G9000" s="38" t="n">
        <f aca="false">SUM(Sens!$G$8993:$K$8993)</f>
        <v>34.9517621070079</v>
      </c>
    </row>
    <row r="9001" customFormat="false" ht="17.15" hidden="false" customHeight="false" outlineLevel="0" collapsed="false">
      <c r="A9001" s="24" t="s">
        <v>813</v>
      </c>
      <c r="B9001" s="25" t="s">
        <v>86</v>
      </c>
      <c r="C9001" s="25"/>
      <c r="D9001" s="25"/>
      <c r="E9001" s="25"/>
      <c r="F9001" s="25"/>
      <c r="G9001" s="41" t="n">
        <f aca="false">Sens!$G$8999-(Sens!$G$8988+Sens!$H$8988+Sens!$I$8988+Sens!$J$8988+Sens!$K$8988)</f>
        <v>-2.8421709430404E-014</v>
      </c>
      <c r="H9001" s="25"/>
      <c r="I9001" s="25"/>
      <c r="J9001" s="25"/>
      <c r="K9001" s="25"/>
      <c r="L9001" s="25"/>
      <c r="M9001" s="25"/>
      <c r="N9001" s="25"/>
      <c r="O9001" s="25"/>
    </row>
    <row r="9004" customFormat="false" ht="19.4" hidden="false" customHeight="false" outlineLevel="0" collapsed="false">
      <c r="A9004" s="31" t="s">
        <v>1319</v>
      </c>
    </row>
    <row r="9005" customFormat="false" ht="17.15" hidden="false" customHeight="false" outlineLevel="0" collapsed="false">
      <c r="A9005" s="6" t="s">
        <v>16</v>
      </c>
      <c r="B9005" s="6" t="s">
        <v>17</v>
      </c>
      <c r="C9005" s="20" t="s">
        <v>497</v>
      </c>
      <c r="D9005" s="20" t="s">
        <v>498</v>
      </c>
      <c r="E9005" s="20" t="s">
        <v>580</v>
      </c>
      <c r="F9005" s="20" t="s">
        <v>581</v>
      </c>
      <c r="G9005" s="20" t="s">
        <v>582</v>
      </c>
      <c r="H9005" s="20" t="s">
        <v>583</v>
      </c>
      <c r="I9005" s="20" t="s">
        <v>584</v>
      </c>
      <c r="J9005" s="20" t="s">
        <v>585</v>
      </c>
      <c r="K9005" s="20" t="s">
        <v>586</v>
      </c>
      <c r="L9005" s="20" t="s">
        <v>587</v>
      </c>
      <c r="M9005" s="20" t="s">
        <v>588</v>
      </c>
      <c r="N9005" s="20" t="s">
        <v>589</v>
      </c>
      <c r="O9005" s="20" t="s">
        <v>590</v>
      </c>
      <c r="P9005" s="6" t="s">
        <v>23</v>
      </c>
      <c r="R9005" s="20" t="n">
        <v>2023</v>
      </c>
      <c r="S9005" s="20" t="n">
        <v>2024</v>
      </c>
      <c r="T9005" s="20" t="n">
        <v>2025</v>
      </c>
      <c r="U9005" s="20" t="n">
        <v>2026</v>
      </c>
      <c r="V9005" s="20" t="n">
        <v>2027</v>
      </c>
      <c r="W9005" s="20" t="n">
        <v>2028</v>
      </c>
      <c r="X9005" s="20" t="n">
        <v>2029</v>
      </c>
      <c r="Y9005" s="20" t="n">
        <v>2030</v>
      </c>
      <c r="Z9005" s="20" t="n">
        <v>2031</v>
      </c>
      <c r="AA9005" s="20" t="n">
        <v>2032</v>
      </c>
    </row>
    <row r="9006" customFormat="false" ht="17.15" hidden="false" customHeight="false" outlineLevel="0" collapsed="false">
      <c r="A9006" s="1" t="s">
        <v>915</v>
      </c>
    </row>
    <row r="9007" customFormat="false" ht="17.15" hidden="false" customHeight="false" outlineLevel="0" collapsed="false">
      <c r="A9007" s="0" t="s">
        <v>916</v>
      </c>
      <c r="B9007" s="0" t="s">
        <v>86</v>
      </c>
      <c r="H9007" s="38" t="n">
        <f aca="false">Sens!$H$8941*(1-tax)</f>
        <v>121.243762954598</v>
      </c>
      <c r="I9007" s="38" t="n">
        <f aca="false">Sens!$I$8941*(1-tax)</f>
        <v>146.296727721585</v>
      </c>
      <c r="J9007" s="38" t="n">
        <f aca="false">Sens!$J$8941*(1-tax)</f>
        <v>170.140518399982</v>
      </c>
      <c r="K9007" s="38" t="n">
        <f aca="false">Sens!$K$8941*(1-tax)</f>
        <v>187.328880354269</v>
      </c>
      <c r="L9007" s="38" t="n">
        <f aca="false">Sens!$L$8941*(1-tax)</f>
        <v>201.486443830621</v>
      </c>
      <c r="M9007" s="38" t="n">
        <f aca="false">Sens!$M$8941*(1-tax)</f>
        <v>212.626542837294</v>
      </c>
    </row>
    <row r="9008" customFormat="false" ht="15" hidden="false" customHeight="false" outlineLevel="0" collapsed="false">
      <c r="A9008" s="5" t="s">
        <v>917</v>
      </c>
      <c r="B9008" s="0" t="s">
        <v>86</v>
      </c>
      <c r="H9008" s="38" t="n">
        <f aca="false">Sens!$H$8952</f>
        <v>78.1799395827871</v>
      </c>
      <c r="I9008" s="38" t="n">
        <f aca="false">Sens!$I$8952</f>
        <v>111.171125554384</v>
      </c>
      <c r="J9008" s="38" t="n">
        <f aca="false">Sens!$J$8952</f>
        <v>144.884406220971</v>
      </c>
      <c r="K9008" s="38" t="n">
        <f aca="false">Sens!$K$8952</f>
        <v>178.806419437999</v>
      </c>
      <c r="L9008" s="38" t="n">
        <f aca="false">Sens!$L$8952</f>
        <v>204.731408613016</v>
      </c>
      <c r="M9008" s="38" t="n">
        <f aca="false">Sens!$M$8952</f>
        <v>224.300786745448</v>
      </c>
    </row>
    <row r="9009" customFormat="false" ht="15" hidden="false" customHeight="false" outlineLevel="0" collapsed="false">
      <c r="A9009" s="5" t="s">
        <v>918</v>
      </c>
      <c r="B9009" s="0" t="s">
        <v>86</v>
      </c>
      <c r="H9009" s="38" t="n">
        <f aca="false">Sens!$H$8983</f>
        <v>273.372679834898</v>
      </c>
      <c r="I9009" s="38" t="n">
        <f aca="false">Sens!$I$8983</f>
        <v>286.981812228425</v>
      </c>
      <c r="J9009" s="38" t="n">
        <f aca="false">Sens!$J$8983</f>
        <v>299.316513378366</v>
      </c>
      <c r="K9009" s="38" t="n">
        <f aca="false">Sens!$K$8983</f>
        <v>253.835101823915</v>
      </c>
      <c r="L9009" s="38" t="n">
        <f aca="false">Sens!$L$8983</f>
        <v>240.252243483641</v>
      </c>
      <c r="M9009" s="38" t="n">
        <f aca="false">Sens!$M$8983</f>
        <v>250.62556497822</v>
      </c>
    </row>
    <row r="9010" customFormat="false" ht="15" hidden="false" customHeight="false" outlineLevel="0" collapsed="false">
      <c r="A9010" s="5" t="s">
        <v>919</v>
      </c>
      <c r="B9010" s="0" t="s">
        <v>86</v>
      </c>
      <c r="H9010" s="38" t="n">
        <f aca="false">Sens!$H$8984</f>
        <v>1.6</v>
      </c>
      <c r="I9010" s="38" t="n">
        <f aca="false">Sens!$I$8984</f>
        <v>1.6</v>
      </c>
      <c r="J9010" s="38" t="n">
        <f aca="false">Sens!$J$8984</f>
        <v>1.6</v>
      </c>
      <c r="K9010" s="38" t="n">
        <f aca="false">Sens!$K$8984</f>
        <v>1.6</v>
      </c>
      <c r="L9010" s="38" t="n">
        <f aca="false">Sens!$L$8984</f>
        <v>1.6</v>
      </c>
      <c r="M9010" s="38" t="n">
        <f aca="false">Sens!$M$8984</f>
        <v>1.6</v>
      </c>
    </row>
    <row r="9011" customFormat="false" ht="15" hidden="false" customHeight="false" outlineLevel="0" collapsed="false">
      <c r="A9011" s="5" t="s">
        <v>920</v>
      </c>
      <c r="B9011" s="0" t="s">
        <v>86</v>
      </c>
      <c r="H9011" s="38" t="n">
        <f aca="false">Sens!$H$8978</f>
        <v>11.2928295263397</v>
      </c>
      <c r="I9011" s="38" t="n">
        <f aca="false">Sens!$I$8978</f>
        <v>12.8091546115766</v>
      </c>
      <c r="J9011" s="38" t="n">
        <f aca="false">Sens!$J$8978</f>
        <v>14.2605653162668</v>
      </c>
      <c r="K9011" s="38" t="n">
        <f aca="false">Sens!$K$8978</f>
        <v>15.5361896109386</v>
      </c>
      <c r="L9011" s="38" t="n">
        <f aca="false">Sens!$L$8978</f>
        <v>16.7342012989106</v>
      </c>
      <c r="M9011" s="38" t="n">
        <f aca="false">Sens!$M$8978</f>
        <v>17.8589265647579</v>
      </c>
    </row>
    <row r="9012" customFormat="false" ht="17.15" hidden="false" customHeight="false" outlineLevel="0" collapsed="false">
      <c r="A9012" s="1" t="s">
        <v>921</v>
      </c>
      <c r="B9012" s="8" t="s">
        <v>86</v>
      </c>
      <c r="H9012" s="38" t="n">
        <f aca="false">Sens!$H$9007+Sens!$H$9008-Sens!$H$9009+Sens!$H$9011</f>
        <v>-62.6561477711731</v>
      </c>
      <c r="I9012" s="38" t="n">
        <f aca="false">Sens!$I$9007+Sens!$I$9008-Sens!$I$9009+Sens!$I$9011</f>
        <v>-16.7048043408794</v>
      </c>
      <c r="J9012" s="38" t="n">
        <f aca="false">Sens!$J$9007+Sens!$J$9008-Sens!$J$9009+Sens!$J$9011</f>
        <v>29.9689765588539</v>
      </c>
      <c r="K9012" s="38" t="n">
        <f aca="false">Sens!$K$9007+Sens!$K$9008-Sens!$K$9009+Sens!$K$9011</f>
        <v>127.836387579293</v>
      </c>
      <c r="L9012" s="38" t="n">
        <f aca="false">Sens!$L$9007+Sens!$L$9008-Sens!$L$9009+Sens!$L$9011</f>
        <v>182.699810258908</v>
      </c>
      <c r="M9012" s="38" t="n">
        <f aca="false">Sens!$M$9007+Sens!$M$9008-Sens!$M$9009+Sens!$M$9011</f>
        <v>204.16069116928</v>
      </c>
    </row>
    <row r="9013" customFormat="false" ht="15" hidden="false" customHeight="false" outlineLevel="0" collapsed="false">
      <c r="A9013" s="5" t="s">
        <v>922</v>
      </c>
      <c r="B9013" s="0" t="s">
        <v>57</v>
      </c>
      <c r="H9013" s="40" t="n">
        <f aca="false">1/(1+(wacc-0.01))^(2027-2026-0.5)</f>
        <v>0.952036717208703</v>
      </c>
      <c r="I9013" s="40" t="n">
        <f aca="false">1/(1+(wacc-0.01))^(2028-2026-0.5)</f>
        <v>0.862901242709724</v>
      </c>
      <c r="J9013" s="40" t="n">
        <f aca="false">1/(1+(wacc-0.01))^(2029-2026-0.5)</f>
        <v>0.782111174086951</v>
      </c>
      <c r="K9013" s="40" t="n">
        <f aca="false">1/(1+(wacc-0.01))^(2030-2026-0.5)</f>
        <v>0.708885163626357</v>
      </c>
      <c r="L9013" s="40" t="n">
        <f aca="false">1/(1+(wacc-0.01))^(2031-2026-0.5)</f>
        <v>0.642515018144594</v>
      </c>
      <c r="M9013" s="40" t="n">
        <f aca="false">1/(1+(wacc-0.01))^(2032-2026-0.5)</f>
        <v>0.582358849816389</v>
      </c>
    </row>
    <row r="9014" customFormat="false" ht="15" hidden="false" customHeight="false" outlineLevel="0" collapsed="false">
      <c r="A9014" s="5" t="s">
        <v>923</v>
      </c>
      <c r="B9014" s="0" t="s">
        <v>86</v>
      </c>
      <c r="H9014" s="38" t="n">
        <f aca="false">Sens!$H$9012*Sens!$H$9013</f>
        <v>-59.650953237011</v>
      </c>
      <c r="I9014" s="38" t="n">
        <f aca="false">Sens!$I$9012*Sens!$I$9013</f>
        <v>-14.4145964249676</v>
      </c>
      <c r="J9014" s="38" t="n">
        <f aca="false">Sens!$J$9012*Sens!$J$9013</f>
        <v>23.4390714426295</v>
      </c>
      <c r="K9014" s="38" t="n">
        <f aca="false">Sens!$K$9012*Sens!$K$9013</f>
        <v>90.6213185265492</v>
      </c>
      <c r="L9014" s="38" t="n">
        <f aca="false">Sens!$L$9012*Sens!$L$9013</f>
        <v>117.387371903516</v>
      </c>
      <c r="M9014" s="38" t="n">
        <f aca="false">Sens!$M$9012*Sens!$M$9013</f>
        <v>118.894785287061</v>
      </c>
    </row>
    <row r="9015" customFormat="false" ht="15" hidden="false" customHeight="false" outlineLevel="0" collapsed="false">
      <c r="A9015" s="5" t="s">
        <v>924</v>
      </c>
      <c r="B9015" s="0" t="s">
        <v>86</v>
      </c>
      <c r="C9015" s="38" t="n">
        <f aca="false">SUM(Sens!$H$9014:$M$9014)</f>
        <v>276.276997497777</v>
      </c>
    </row>
    <row r="9016" customFormat="false" ht="17.15" hidden="false" customHeight="false" outlineLevel="0" collapsed="false">
      <c r="A9016" s="5" t="s">
        <v>925</v>
      </c>
      <c r="B9016" s="0" t="s">
        <v>86</v>
      </c>
      <c r="C9016" s="38" t="n">
        <f aca="false">Sens!$M$9007*(1+tg_hi)*(1-tg_hi/ronic)/((wacc-0.01)-tg_hi)</f>
        <v>2260.13022508842</v>
      </c>
    </row>
    <row r="9017" customFormat="false" ht="15" hidden="false" customHeight="false" outlineLevel="0" collapsed="false">
      <c r="A9017" s="5" t="s">
        <v>926</v>
      </c>
      <c r="B9017" s="0" t="s">
        <v>86</v>
      </c>
      <c r="C9017" s="38" t="n">
        <f aca="false">Sens!$C$9016/(1+(wacc-0.01))^6</f>
        <v>1253.07723751967</v>
      </c>
    </row>
    <row r="9018" customFormat="false" ht="17.15" hidden="false" customHeight="false" outlineLevel="0" collapsed="false">
      <c r="A9018" s="5" t="s">
        <v>927</v>
      </c>
      <c r="B9018" s="0" t="s">
        <v>86</v>
      </c>
      <c r="C9018" s="38" t="n">
        <f aca="false">Sens!$C$9015+Sens!$C$9017</f>
        <v>1529.35423501745</v>
      </c>
    </row>
    <row r="9019" customFormat="false" ht="17.15" hidden="false" customHeight="false" outlineLevel="0" collapsed="false">
      <c r="A9019" s="5" t="s">
        <v>928</v>
      </c>
      <c r="B9019" s="0" t="s">
        <v>52</v>
      </c>
      <c r="C9019" s="13" t="n">
        <f aca="false">Sens!$C$9017/Sens!$C$9018</f>
        <v>0.81935055255879</v>
      </c>
    </row>
    <row r="9020" customFormat="false" ht="17.15" hidden="false" customHeight="false" outlineLevel="0" collapsed="false">
      <c r="A9020" s="5" t="s">
        <v>929</v>
      </c>
      <c r="B9020" s="0" t="s">
        <v>86</v>
      </c>
      <c r="C9020" s="38" t="n">
        <f aca="false">Sens!$G$8996+fin_debt</f>
        <v>97.2636983848813</v>
      </c>
    </row>
    <row r="9021" customFormat="false" ht="17.15" hidden="false" customHeight="false" outlineLevel="0" collapsed="false">
      <c r="A9021" s="5" t="s">
        <v>930</v>
      </c>
      <c r="B9021" s="0" t="s">
        <v>86</v>
      </c>
      <c r="C9021" s="38" t="n">
        <f aca="false">(ant_val*ant_sh+oai_val*oai_sh)*(1-liq_disc)</f>
        <v>178.944</v>
      </c>
    </row>
    <row r="9022" customFormat="false" ht="15" hidden="false" customHeight="false" outlineLevel="0" collapsed="false">
      <c r="A9022" s="5" t="s">
        <v>931</v>
      </c>
      <c r="B9022" s="0" t="s">
        <v>86</v>
      </c>
      <c r="C9022" s="38" t="n">
        <f aca="false">Sens!$C$9018-Sens!$C$9020+Sens!$C$9021</f>
        <v>1611.03453663257</v>
      </c>
    </row>
    <row r="9023" customFormat="false" ht="17.15" hidden="false" customHeight="false" outlineLevel="0" collapsed="false">
      <c r="A9023" s="5" t="s">
        <v>932</v>
      </c>
      <c r="B9023" s="0" t="s">
        <v>27</v>
      </c>
      <c r="C9023" s="30" t="n">
        <f aca="false">Sens!$C$9022/sh_out</f>
        <v>149.359135718891</v>
      </c>
    </row>
    <row r="9024" customFormat="false" ht="17.15" hidden="false" customHeight="false" outlineLevel="0" collapsed="false">
      <c r="A9024" s="1" t="s">
        <v>933</v>
      </c>
      <c r="B9024" s="8" t="s">
        <v>27</v>
      </c>
      <c r="C9024" s="30" t="n">
        <f aca="false">Sens!$C$9023*(1+ke)^tp_yf-dps*tp_yf</f>
        <v>163.60334420285</v>
      </c>
    </row>
    <row r="9025" customFormat="false" ht="17.15" hidden="false" customHeight="false" outlineLevel="0" collapsed="false">
      <c r="A9025" s="3" t="s">
        <v>934</v>
      </c>
    </row>
    <row r="9026" customFormat="false" ht="17.15" hidden="false" customHeight="false" outlineLevel="0" collapsed="false">
      <c r="A9026" s="5" t="s">
        <v>935</v>
      </c>
      <c r="B9026" s="0" t="s">
        <v>86</v>
      </c>
      <c r="C9026" s="38" t="n">
        <f aca="false">(1-tp_yf)*(Sens!$H$8953+sbc_ab*Sens!$H$8977*Sens!$H$8817/Sens!$H$8894)+tp_yf*(Sens!$I$8953+sbc_ab*Sens!$I$8977*Sens!$I$8817/Sens!$I$8894)</f>
        <v>59.634664536349</v>
      </c>
    </row>
    <row r="9027" customFormat="false" ht="15" hidden="false" customHeight="false" outlineLevel="0" collapsed="false">
      <c r="A9027" s="5" t="s">
        <v>936</v>
      </c>
      <c r="B9027" s="0" t="s">
        <v>57</v>
      </c>
      <c r="C9027" s="30" t="n">
        <f aca="false">m_ads*m_x</f>
        <v>9.11</v>
      </c>
    </row>
    <row r="9028" customFormat="false" ht="17.15" hidden="false" customHeight="false" outlineLevel="0" collapsed="false">
      <c r="A9028" s="5" t="s">
        <v>937</v>
      </c>
      <c r="B9028" s="0" t="s">
        <v>86</v>
      </c>
      <c r="C9028" s="38" t="n">
        <f aca="false">Sens!$C$9026*Sens!$C$9027</f>
        <v>543.271793926139</v>
      </c>
    </row>
    <row r="9029" customFormat="false" ht="17.15" hidden="false" customHeight="false" outlineLevel="0" collapsed="false">
      <c r="A9029" s="5" t="s">
        <v>938</v>
      </c>
      <c r="B9029" s="0" t="s">
        <v>86</v>
      </c>
      <c r="C9029" s="38" t="n">
        <f aca="false">(1-tp_yf)*(Sens!$H$8954+sbc_ab*Sens!$H$8977*(Sens!$H$8824-Sens!$H$8817)/Sens!$H$8894+IF(internal_ai_reading=2,1,0)*(1-ext_sh)*Sens!$H$8854)+tp_yf*(Sens!$I$8954+sbc_ab*Sens!$I$8977*(Sens!$I$8824-Sens!$I$8817)/Sens!$I$8894+IF(internal_ai_reading=2,1,0)*(1-ext_sh)*Sens!$I$8854)</f>
        <v>51.2224827206816</v>
      </c>
    </row>
    <row r="9030" customFormat="false" ht="17.15" hidden="false" customHeight="false" outlineLevel="0" collapsed="false">
      <c r="A9030" s="5" t="s">
        <v>939</v>
      </c>
      <c r="B9030" s="0" t="s">
        <v>57</v>
      </c>
      <c r="C9030" s="30" t="n">
        <f aca="false">m_retail*m_x</f>
        <v>17.72</v>
      </c>
    </row>
    <row r="9031" customFormat="false" ht="17.15" hidden="false" customHeight="false" outlineLevel="0" collapsed="false">
      <c r="A9031" s="5" t="s">
        <v>940</v>
      </c>
      <c r="B9031" s="0" t="s">
        <v>86</v>
      </c>
      <c r="C9031" s="38" t="n">
        <f aca="false">Sens!$C$9029*Sens!$C$9030</f>
        <v>907.662393810478</v>
      </c>
    </row>
    <row r="9032" customFormat="false" ht="17.15" hidden="false" customHeight="false" outlineLevel="0" collapsed="false">
      <c r="A9032" s="0" t="s">
        <v>941</v>
      </c>
      <c r="B9032" s="0" t="s">
        <v>86</v>
      </c>
      <c r="C9032" s="38" t="n">
        <f aca="false">(1-tp_yf)*(Sens!$H$8955+sbc_ab*Sens!$H$8977*Sens!$H$8892/Sens!$H$8894)+tp_yf*(Sens!$I$8955+sbc_ab*Sens!$I$8977*Sens!$I$8892/Sens!$I$8894)</f>
        <v>96.2439586897193</v>
      </c>
    </row>
    <row r="9033" customFormat="false" ht="17.15" hidden="false" customHeight="false" outlineLevel="0" collapsed="false">
      <c r="A9033" s="0" t="s">
        <v>942</v>
      </c>
      <c r="B9033" s="0" t="s">
        <v>57</v>
      </c>
      <c r="C9033" s="30" t="n">
        <f aca="false">m_cloud*m_x</f>
        <v>13.82</v>
      </c>
    </row>
    <row r="9034" customFormat="false" ht="17.15" hidden="false" customHeight="false" outlineLevel="0" collapsed="false">
      <c r="A9034" s="0" t="s">
        <v>943</v>
      </c>
      <c r="B9034" s="0" t="s">
        <v>86</v>
      </c>
      <c r="C9034" s="38" t="n">
        <f aca="false">Sens!$C$9032*Sens!$C$9033</f>
        <v>1330.09150909192</v>
      </c>
    </row>
    <row r="9035" customFormat="false" ht="17.15" hidden="false" customHeight="false" outlineLevel="0" collapsed="false">
      <c r="A9035" s="0" t="s">
        <v>944</v>
      </c>
      <c r="B9035" s="0" t="s">
        <v>86</v>
      </c>
      <c r="H9035" s="38" t="n">
        <f aca="false">Sens!$H$8873-tax*Sens!$H$8874-ext_sh*Sens!$H$8861</f>
        <v>-115.885394236225</v>
      </c>
      <c r="I9035" s="38" t="n">
        <f aca="false">Sens!$I$8873-tax*Sens!$I$8874-ext_sh*Sens!$I$8861</f>
        <v>-89.5935137276694</v>
      </c>
      <c r="J9035" s="38" t="n">
        <f aca="false">Sens!$J$8873-tax*Sens!$J$8874-ext_sh*Sens!$J$8861</f>
        <v>-62.3510647460279</v>
      </c>
      <c r="K9035" s="38" t="n">
        <f aca="false">Sens!$K$8873-tax*Sens!$K$8874-ext_sh*Sens!$K$8861</f>
        <v>6.82636520663533</v>
      </c>
      <c r="L9035" s="38" t="n">
        <f aca="false">Sens!$L$8873-tax*Sens!$L$8874-ext_sh*Sens!$L$8861</f>
        <v>42.0587167356307</v>
      </c>
      <c r="M9035" s="38" t="n">
        <f aca="false">Sens!$M$8873-tax*Sens!$M$8874-ext_sh*Sens!$M$8861</f>
        <v>49.9320311778189</v>
      </c>
    </row>
    <row r="9036" customFormat="false" ht="17.15" hidden="false" customHeight="false" outlineLevel="0" collapsed="false">
      <c r="A9036" s="5" t="s">
        <v>945</v>
      </c>
      <c r="B9036" s="0" t="s">
        <v>86</v>
      </c>
      <c r="H9036" s="38" t="n">
        <f aca="false">Sens!$H$9035*Sens!$H$9013</f>
        <v>-110.327150301092</v>
      </c>
      <c r="I9036" s="38" t="n">
        <f aca="false">Sens!$I$9035*Sens!$I$9013</f>
        <v>-77.3103543343366</v>
      </c>
      <c r="J9036" s="38" t="n">
        <f aca="false">Sens!$J$9035*Sens!$J$9013</f>
        <v>-48.7654644540874</v>
      </c>
      <c r="K9036" s="38" t="n">
        <f aca="false">Sens!$K$9035*Sens!$K$9013</f>
        <v>4.83910901647896</v>
      </c>
      <c r="L9036" s="38" t="n">
        <f aca="false">Sens!$L$9035*Sens!$L$9013</f>
        <v>27.0233571465321</v>
      </c>
      <c r="M9036" s="38" t="n">
        <f aca="false">Sens!$M$9035*Sens!$M$9013</f>
        <v>29.0783602457107</v>
      </c>
    </row>
    <row r="9037" customFormat="false" ht="17.15" hidden="false" customHeight="false" outlineLevel="0" collapsed="false">
      <c r="A9037" s="5" t="s">
        <v>946</v>
      </c>
      <c r="B9037" s="0" t="s">
        <v>86</v>
      </c>
      <c r="C9037" s="38" t="n">
        <f aca="false">Sens!$M$8874*(1-tax)*(1+tg_hi)*(1-tg_hi/ronic)/((wacc-0.01)-tg_hi)</f>
        <v>467.530876379917</v>
      </c>
    </row>
    <row r="9038" customFormat="false" ht="17.15" hidden="false" customHeight="false" outlineLevel="0" collapsed="false">
      <c r="A9038" s="0" t="s">
        <v>947</v>
      </c>
      <c r="B9038" s="0" t="s">
        <v>86</v>
      </c>
      <c r="C9038" s="38" t="n">
        <f aca="false">(SUM(Sens!$I$9036:$M$9036)+Sens!$C$9037/(1+(wacc-0.01))^6)*(1+(wacc-0.01))^tp_yf</f>
        <v>210.408522870595</v>
      </c>
    </row>
    <row r="9039" customFormat="false" ht="17.15" hidden="false" customHeight="false" outlineLevel="0" collapsed="false">
      <c r="A9039" s="5" t="s">
        <v>948</v>
      </c>
      <c r="B9039" s="0" t="s">
        <v>86</v>
      </c>
      <c r="C9039" s="38" t="n">
        <f aca="false">(1-tp_yf)*(Sens!$H$8956)+tp_yf*(Sens!$I$8956)</f>
        <v>74.6707041238437</v>
      </c>
    </row>
    <row r="9040" customFormat="false" ht="17.15" hidden="false" customHeight="false" outlineLevel="0" collapsed="false">
      <c r="A9040" s="5" t="s">
        <v>949</v>
      </c>
      <c r="B9040" s="0" t="s">
        <v>86</v>
      </c>
      <c r="C9040" s="38" t="n">
        <f aca="false">Sens!$C$9039*m_ai</f>
        <v>448.024224743062</v>
      </c>
    </row>
    <row r="9041" customFormat="false" ht="17.15" hidden="false" customHeight="false" outlineLevel="0" collapsed="false">
      <c r="A9041" s="0" t="s">
        <v>950</v>
      </c>
      <c r="B9041" s="0" t="s">
        <v>86</v>
      </c>
      <c r="C9041" s="38" t="n">
        <f aca="false">IF(ai_leg=1,Sens!$C$9038,Sens!$C$9040)</f>
        <v>210.408522870595</v>
      </c>
    </row>
    <row r="9042" customFormat="false" ht="17.15" hidden="false" customHeight="false" outlineLevel="0" collapsed="false">
      <c r="A9042" s="5" t="s">
        <v>951</v>
      </c>
      <c r="B9042" s="0" t="s">
        <v>86</v>
      </c>
      <c r="C9042" s="38" t="n">
        <f aca="false">Sens!$C$9028+Sens!$C$9031+Sens!$C$9034+Sens!$C$9041</f>
        <v>2991.43421969913</v>
      </c>
    </row>
    <row r="9043" customFormat="false" ht="17.15" hidden="false" customHeight="false" outlineLevel="0" collapsed="false">
      <c r="A9043" s="5" t="s">
        <v>952</v>
      </c>
      <c r="B9043" s="0" t="s">
        <v>86</v>
      </c>
      <c r="C9043" s="38" t="n">
        <f aca="false">Sens!$H$8996+fin_debt</f>
        <v>153.608629741943</v>
      </c>
    </row>
    <row r="9044" customFormat="false" ht="15" hidden="false" customHeight="false" outlineLevel="0" collapsed="false">
      <c r="A9044" s="5" t="s">
        <v>953</v>
      </c>
      <c r="B9044" s="0" t="s">
        <v>86</v>
      </c>
      <c r="C9044" s="38" t="n">
        <f aca="false">Sens!$C$9042-Sens!$C$9043+Sens!$C$9021</f>
        <v>3016.76958995719</v>
      </c>
    </row>
    <row r="9045" customFormat="false" ht="15" hidden="false" customHeight="false" outlineLevel="0" collapsed="false">
      <c r="A9045" s="3" t="s">
        <v>954</v>
      </c>
      <c r="B9045" s="8" t="s">
        <v>27</v>
      </c>
      <c r="C9045" s="30" t="n">
        <f aca="false">Sens!$C$9044/sh_val</f>
        <v>273.498069951335</v>
      </c>
    </row>
    <row r="9046" customFormat="false" ht="17.15" hidden="false" customHeight="false" outlineLevel="0" collapsed="false">
      <c r="A9046" s="47" t="s">
        <v>955</v>
      </c>
      <c r="B9046" s="14" t="s">
        <v>27</v>
      </c>
      <c r="C9046" s="44" t="n">
        <f aca="false">w_dcf*Sens!$C$9024+(1-w_dcf)*Sens!$C$9045</f>
        <v>218.550707077092</v>
      </c>
      <c r="D9046" s="14"/>
      <c r="E9046" s="14"/>
      <c r="F9046" s="14"/>
      <c r="G9046" s="14"/>
      <c r="H9046" s="14"/>
      <c r="I9046" s="14"/>
      <c r="J9046" s="14"/>
      <c r="K9046" s="14"/>
      <c r="L9046" s="14"/>
      <c r="M9046" s="14"/>
      <c r="N9046" s="14"/>
      <c r="O9046" s="14"/>
    </row>
    <row r="9047" customFormat="false" ht="17.15" hidden="false" customHeight="false" outlineLevel="0" collapsed="false">
      <c r="A9047" s="5" t="s">
        <v>956</v>
      </c>
      <c r="B9047" s="0" t="s">
        <v>27</v>
      </c>
      <c r="C9047" s="30" t="n">
        <f aca="false">v022_wdcf*Sens!$C$9024+(1-v022_wdcf)*Sens!$C$9045</f>
        <v>224.045443364517</v>
      </c>
    </row>
    <row r="9048" customFormat="false" ht="17.15" hidden="false" customHeight="false" outlineLevel="0" collapsed="false">
      <c r="A9048" s="5" t="s">
        <v>957</v>
      </c>
      <c r="B9048" s="0" t="s">
        <v>27</v>
      </c>
      <c r="C9048" s="30" t="n">
        <f aca="false">(Sens!$C$9044-Sens!$C$9041+Sens!$C$9040)/sh_val</f>
        <v>295.040131389701</v>
      </c>
    </row>
    <row r="9051" customFormat="false" ht="19.4" hidden="false" customHeight="false" outlineLevel="0" collapsed="false">
      <c r="A9051" s="31" t="s">
        <v>1320</v>
      </c>
    </row>
    <row r="9052" customFormat="false" ht="17.15" hidden="false" customHeight="false" outlineLevel="0" collapsed="false">
      <c r="A9052" s="6" t="s">
        <v>16</v>
      </c>
      <c r="B9052" s="6" t="s">
        <v>17</v>
      </c>
      <c r="C9052" s="20" t="s">
        <v>497</v>
      </c>
      <c r="D9052" s="20" t="s">
        <v>498</v>
      </c>
      <c r="E9052" s="20" t="s">
        <v>580</v>
      </c>
      <c r="F9052" s="20" t="s">
        <v>581</v>
      </c>
      <c r="G9052" s="20" t="s">
        <v>582</v>
      </c>
      <c r="H9052" s="20" t="s">
        <v>583</v>
      </c>
      <c r="I9052" s="20" t="s">
        <v>584</v>
      </c>
      <c r="J9052" s="20" t="s">
        <v>585</v>
      </c>
      <c r="K9052" s="20" t="s">
        <v>586</v>
      </c>
      <c r="L9052" s="20" t="s">
        <v>587</v>
      </c>
      <c r="M9052" s="20" t="s">
        <v>588</v>
      </c>
      <c r="N9052" s="20" t="s">
        <v>589</v>
      </c>
      <c r="O9052" s="20" t="s">
        <v>590</v>
      </c>
      <c r="P9052" s="6" t="s">
        <v>23</v>
      </c>
      <c r="R9052" s="20" t="n">
        <v>2023</v>
      </c>
      <c r="S9052" s="20" t="n">
        <v>2024</v>
      </c>
      <c r="T9052" s="20" t="n">
        <v>2025</v>
      </c>
      <c r="U9052" s="20" t="n">
        <v>2026</v>
      </c>
      <c r="V9052" s="20" t="n">
        <v>2027</v>
      </c>
      <c r="W9052" s="20" t="n">
        <v>2028</v>
      </c>
      <c r="X9052" s="20" t="n">
        <v>2029</v>
      </c>
      <c r="Y9052" s="20" t="n">
        <v>2030</v>
      </c>
      <c r="Z9052" s="20" t="n">
        <v>2031</v>
      </c>
      <c r="AA9052" s="20" t="n">
        <v>2032</v>
      </c>
    </row>
    <row r="9053" customFormat="false" ht="17.15" hidden="false" customHeight="false" outlineLevel="0" collapsed="false">
      <c r="A9053" s="1" t="s">
        <v>666</v>
      </c>
    </row>
    <row r="9054" customFormat="false" ht="17.15" hidden="false" customHeight="false" outlineLevel="0" collapsed="false">
      <c r="A9054" s="0" t="s">
        <v>519</v>
      </c>
      <c r="B9054" s="0" t="s">
        <v>86</v>
      </c>
      <c r="C9054" s="38" t="n">
        <f aca="false">Q!$D$10</f>
        <v>247.029</v>
      </c>
      <c r="D9054" s="38" t="n">
        <f aca="false">Q!$E$10</f>
        <v>269.287</v>
      </c>
      <c r="E9054" s="38" t="n">
        <f aca="false">Q!$P$10</f>
        <v>134.686</v>
      </c>
      <c r="F9054" s="38" t="n">
        <f aca="false">Sens!$O$9054*(1+Sens!$F$9055)*Sens!$F$9066</f>
        <v>158.293876822267</v>
      </c>
      <c r="G9054" s="38" t="n">
        <f aca="false">Sens!$E$9054+Sens!$F$9054</f>
        <v>292.979876822267</v>
      </c>
      <c r="H9054" s="38" t="n">
        <f aca="false">Sens!$G$9054*(1+Sens!$H$9055)</f>
        <v>318.184543087396</v>
      </c>
      <c r="I9054" s="38" t="n">
        <f aca="false">Sens!$H$9054*(1+Sens!$I$9055)</f>
        <v>341.736278761793</v>
      </c>
      <c r="J9054" s="38" t="n">
        <f aca="false">Sens!$I$9054*(1+Sens!$J$9055)</f>
        <v>362.927192787048</v>
      </c>
      <c r="K9054" s="38" t="n">
        <f aca="false">Sens!$J$9054*(1+Sens!$K$9055)</f>
        <v>381.0735524264</v>
      </c>
      <c r="L9054" s="38" t="n">
        <f aca="false">Sens!$K$9054*(1+Sens!$L$9055)</f>
        <v>400.12723004772</v>
      </c>
      <c r="M9054" s="38" t="n">
        <f aca="false">Sens!$L$9054*(1+Sens!$M$9055)</f>
        <v>420.133591550106</v>
      </c>
      <c r="N9054" s="38" t="n">
        <f aca="false">Q!$N$10</f>
        <v>118.892</v>
      </c>
      <c r="O9054" s="38" t="n">
        <f aca="false">Q!$O$10</f>
        <v>150.395</v>
      </c>
      <c r="P9054" s="8" t="s">
        <v>667</v>
      </c>
    </row>
    <row r="9055" customFormat="false" ht="17.15" hidden="false" customHeight="false" outlineLevel="0" collapsed="false">
      <c r="A9055" s="0" t="s">
        <v>668</v>
      </c>
      <c r="B9055" s="0" t="s">
        <v>52</v>
      </c>
      <c r="E9055" s="13" t="n">
        <f aca="false">Sens!$E$9054/Sens!$N$9054-1</f>
        <v>0.132843252699929</v>
      </c>
      <c r="F9055" s="13" t="n">
        <f aca="false">Sens!$O$9054/(Q!$F$10+Q!$G$10)-1</f>
        <v>0.0980382135842941</v>
      </c>
      <c r="G9055" s="13" t="n">
        <f aca="false">Sens!$G$9054/Sens!$D$9054-1</f>
        <v>0.0879837378791657</v>
      </c>
      <c r="H9055" s="13" t="n">
        <f aca="false">Sens!$F$9055+(g_os-Sens!$F$9055)*1/4</f>
        <v>0.0860286601882206</v>
      </c>
      <c r="I9055" s="13" t="n">
        <f aca="false">Sens!$F$9055+(g_os-Sens!$F$9055)*2/4</f>
        <v>0.074019106792147</v>
      </c>
      <c r="J9055" s="13" t="n">
        <f aca="false">Sens!$F$9055+(g_os-Sens!$F$9055)*3/4</f>
        <v>0.0620095533960735</v>
      </c>
      <c r="K9055" s="13" t="n">
        <f aca="false">Sens!$F$9055+(g_os-Sens!$F$9055)*4/4</f>
        <v>0.05</v>
      </c>
      <c r="L9055" s="13" t="n">
        <f aca="false">g_os</f>
        <v>0.05</v>
      </c>
      <c r="M9055" s="13" t="n">
        <f aca="false">g_os</f>
        <v>0.05</v>
      </c>
      <c r="P9055" s="8" t="s">
        <v>669</v>
      </c>
    </row>
    <row r="9056" customFormat="false" ht="17.15" hidden="false" customHeight="false" outlineLevel="0" collapsed="false">
      <c r="A9056" s="0" t="s">
        <v>520</v>
      </c>
      <c r="B9056" s="0" t="s">
        <v>86</v>
      </c>
      <c r="C9056" s="38" t="n">
        <f aca="false">Q!$D$11</f>
        <v>21.215</v>
      </c>
      <c r="D9056" s="38" t="n">
        <f aca="false">Q!$E$11</f>
        <v>22.561</v>
      </c>
      <c r="E9056" s="38" t="n">
        <f aca="false">Q!$P$11</f>
        <v>11.579</v>
      </c>
      <c r="F9056" s="38" t="n">
        <f aca="false">Sens!$O$9056*(1+Sens!$F$9057)*Sens!$F$9066</f>
        <v>11.5938724610325</v>
      </c>
      <c r="G9056" s="38" t="n">
        <f aca="false">Sens!$E$9056+Sens!$F$9056</f>
        <v>23.1728724610325</v>
      </c>
      <c r="H9056" s="38" t="n">
        <f aca="false">Sens!$G$9056*(1+Sens!$H$9057)</f>
        <v>24.353392759506</v>
      </c>
      <c r="I9056" s="38" t="n">
        <f aca="false">Sens!$H$9056*(1+Sens!$I$9057)</f>
        <v>25.4240338872015</v>
      </c>
      <c r="J9056" s="38" t="n">
        <f aca="false">Sens!$I$9056*(1+Sens!$J$9057)</f>
        <v>26.3642491017174</v>
      </c>
      <c r="K9056" s="38" t="n">
        <f aca="false">Sens!$J$9056*(1+Sens!$K$9057)</f>
        <v>27.155176574769</v>
      </c>
      <c r="L9056" s="38" t="n">
        <f aca="false">Sens!$K$9056*(1+Sens!$L$9057)</f>
        <v>27.969831872012</v>
      </c>
      <c r="M9056" s="38" t="n">
        <f aca="false">Sens!$L$9056*(1+Sens!$M$9057)</f>
        <v>28.8089268281724</v>
      </c>
      <c r="N9056" s="38" t="n">
        <f aca="false">Q!$N$11</f>
        <v>11.128</v>
      </c>
      <c r="O9056" s="38" t="n">
        <f aca="false">Q!$O$11</f>
        <v>11.433</v>
      </c>
      <c r="P9056" s="8" t="s">
        <v>667</v>
      </c>
    </row>
    <row r="9057" customFormat="false" ht="17.15" hidden="false" customHeight="false" outlineLevel="0" collapsed="false">
      <c r="A9057" s="0" t="s">
        <v>670</v>
      </c>
      <c r="B9057" s="0" t="s">
        <v>52</v>
      </c>
      <c r="E9057" s="13" t="n">
        <f aca="false">Sens!$E$9056/Sens!$N$9056-1</f>
        <v>0.0405283968368082</v>
      </c>
      <c r="F9057" s="13" t="n">
        <f aca="false">Sens!$O$9056/(Q!$F$11+Q!$G$11)-1</f>
        <v>0.0579254187100955</v>
      </c>
      <c r="G9057" s="13" t="n">
        <f aca="false">Sens!$G$9056/Sens!$D$9056-1</f>
        <v>0.0271208040881397</v>
      </c>
      <c r="H9057" s="13" t="n">
        <f aca="false">Sens!$F$9057+(g_ps-Sens!$F$9057)*1/4</f>
        <v>0.0509440640325716</v>
      </c>
      <c r="I9057" s="13" t="n">
        <f aca="false">Sens!$F$9057+(g_ps-Sens!$F$9057)*2/4</f>
        <v>0.0439627093550477</v>
      </c>
      <c r="J9057" s="13" t="n">
        <f aca="false">Sens!$F$9057+(g_ps-Sens!$F$9057)*3/4</f>
        <v>0.0369813546775239</v>
      </c>
      <c r="K9057" s="13" t="n">
        <f aca="false">Sens!$F$9057+(g_ps-Sens!$F$9057)*4/4</f>
        <v>0.03</v>
      </c>
      <c r="L9057" s="13" t="n">
        <f aca="false">g_ps</f>
        <v>0.03</v>
      </c>
      <c r="M9057" s="13" t="n">
        <f aca="false">g_ps</f>
        <v>0.03</v>
      </c>
      <c r="P9057" s="8" t="s">
        <v>671</v>
      </c>
    </row>
    <row r="9058" customFormat="false" ht="17.15" hidden="false" customHeight="false" outlineLevel="0" collapsed="false">
      <c r="A9058" s="0" t="s">
        <v>521</v>
      </c>
      <c r="B9058" s="0" t="s">
        <v>86</v>
      </c>
      <c r="C9058" s="38" t="n">
        <f aca="false">Q!$D$12</f>
        <v>156.146</v>
      </c>
      <c r="D9058" s="38" t="n">
        <f aca="false">Q!$E$12</f>
        <v>172.162</v>
      </c>
      <c r="E9058" s="38" t="n">
        <f aca="false">Q!$P$12</f>
        <v>88.358</v>
      </c>
      <c r="F9058" s="38" t="n">
        <f aca="false">Sens!$O$9058*(1+Sens!$F$9059)*Sens!$F$9066</f>
        <v>102.004388260171</v>
      </c>
      <c r="G9058" s="38" t="n">
        <f aca="false">Sens!$E$9058+Sens!$F$9058</f>
        <v>190.362388260171</v>
      </c>
      <c r="H9058" s="38" t="n">
        <f aca="false">Sens!$G$9058*(1+Sens!$H$9059)</f>
        <v>210.343106588311</v>
      </c>
      <c r="I9058" s="38" t="n">
        <f aca="false">Sens!$H$9058*(1+Sens!$I$9059)</f>
        <v>229.969728494648</v>
      </c>
      <c r="J9058" s="38" t="n">
        <f aca="false">Sens!$I$9058*(1+Sens!$J$9059)</f>
        <v>248.747636972598</v>
      </c>
      <c r="K9058" s="38" t="n">
        <f aca="false">Sens!$J$9058*(1+Sens!$K$9059)</f>
        <v>266.15997156068</v>
      </c>
      <c r="L9058" s="38" t="n">
        <f aca="false">Sens!$K$9058*(1+Sens!$L$9059)</f>
        <v>284.791169569927</v>
      </c>
      <c r="M9058" s="38" t="n">
        <f aca="false">Sens!$L$9058*(1+Sens!$M$9059)</f>
        <v>304.726551439822</v>
      </c>
      <c r="N9058" s="38" t="n">
        <f aca="false">Q!$N$12</f>
        <v>76.86</v>
      </c>
      <c r="O9058" s="38" t="n">
        <f aca="false">Q!$O$12</f>
        <v>95.302</v>
      </c>
      <c r="P9058" s="8" t="s">
        <v>667</v>
      </c>
    </row>
    <row r="9059" customFormat="false" ht="17.15" hidden="false" customHeight="false" outlineLevel="0" collapsed="false">
      <c r="A9059" s="0" t="s">
        <v>672</v>
      </c>
      <c r="B9059" s="0" t="s">
        <v>52</v>
      </c>
      <c r="E9059" s="13" t="n">
        <f aca="false">Sens!$E$9058/Sens!$N$9058-1</f>
        <v>0.1495966692688</v>
      </c>
      <c r="F9059" s="13" t="n">
        <f aca="false">Sens!$O$9058/(Q!$F$12+Q!$G$12)-1</f>
        <v>0.11661530890813</v>
      </c>
      <c r="G9059" s="13" t="n">
        <f aca="false">Sens!$G$9058/Sens!$D$9058-1</f>
        <v>0.105716640490767</v>
      </c>
      <c r="H9059" s="13" t="n">
        <f aca="false">Sens!$F$9059+(g_sp-Sens!$F$9059)*1/4</f>
        <v>0.104961481681098</v>
      </c>
      <c r="I9059" s="13" t="n">
        <f aca="false">Sens!$F$9059+(g_sp-Sens!$F$9059)*2/4</f>
        <v>0.0933076544540651</v>
      </c>
      <c r="J9059" s="13" t="n">
        <f aca="false">Sens!$F$9059+(g_sp-Sens!$F$9059)*3/4</f>
        <v>0.0816538272270325</v>
      </c>
      <c r="K9059" s="13" t="n">
        <f aca="false">Sens!$F$9059+(g_sp-Sens!$F$9059)*4/4</f>
        <v>0.07</v>
      </c>
      <c r="L9059" s="13" t="n">
        <f aca="false">g_sp</f>
        <v>0.07</v>
      </c>
      <c r="M9059" s="13" t="n">
        <f aca="false">g_sp</f>
        <v>0.07</v>
      </c>
      <c r="P9059" s="8" t="s">
        <v>673</v>
      </c>
    </row>
    <row r="9060" customFormat="false" ht="17.15" hidden="false" customHeight="false" outlineLevel="0" collapsed="false">
      <c r="A9060" s="0" t="s">
        <v>522</v>
      </c>
      <c r="B9060" s="0" t="s">
        <v>86</v>
      </c>
      <c r="C9060" s="38" t="n">
        <f aca="false">Q!$D$13</f>
        <v>56.214</v>
      </c>
      <c r="D9060" s="38" t="n">
        <f aca="false">Q!$E$13</f>
        <v>68.635</v>
      </c>
      <c r="E9060" s="38" t="n">
        <f aca="false">Q!$P$13</f>
        <v>37.052</v>
      </c>
      <c r="F9060" s="38" t="n">
        <f aca="false">Sens!$O$9060*(1+Sens!$F$9061)*Sens!$F$9066</f>
        <v>46.1572219944148</v>
      </c>
      <c r="G9060" s="38" t="n">
        <f aca="false">Sens!$E$9060+Sens!$F$9060</f>
        <v>83.2092219944148</v>
      </c>
      <c r="H9060" s="38" t="n">
        <f aca="false">Sens!$G$9060*(1+Sens!$H$9061)</f>
        <v>99.8969223878976</v>
      </c>
      <c r="I9060" s="38" t="n">
        <f aca="false">Sens!$H$9060*(1+Sens!$I$9061)</f>
        <v>116.583111095496</v>
      </c>
      <c r="J9060" s="38" t="n">
        <f aca="false">Sens!$I$9060*(1+Sens!$J$9061)</f>
        <v>132.148941941952</v>
      </c>
      <c r="K9060" s="38" t="n">
        <f aca="false">Sens!$J$9060*(1+Sens!$K$9061)</f>
        <v>145.363836136147</v>
      </c>
      <c r="L9060" s="38" t="n">
        <f aca="false">Sens!$K$9060*(1+Sens!$L$9061)</f>
        <v>159.900219749762</v>
      </c>
      <c r="M9060" s="38" t="n">
        <f aca="false">Sens!$L$9060*(1+Sens!$M$9061)</f>
        <v>175.890241724738</v>
      </c>
      <c r="N9060" s="38" t="n">
        <f aca="false">Q!$N$13</f>
        <v>29.615</v>
      </c>
      <c r="O9060" s="38" t="n">
        <f aca="false">Q!$O$13</f>
        <v>39.02</v>
      </c>
      <c r="P9060" s="8" t="s">
        <v>667</v>
      </c>
    </row>
    <row r="9061" customFormat="false" ht="17.15" hidden="false" customHeight="false" outlineLevel="0" collapsed="false">
      <c r="A9061" s="0" t="s">
        <v>674</v>
      </c>
      <c r="B9061" s="0" t="s">
        <v>52</v>
      </c>
      <c r="E9061" s="13" t="n">
        <f aca="false">Sens!$E$9060/Sens!$N$9060-1</f>
        <v>0.25112274185379</v>
      </c>
      <c r="F9061" s="13" t="n">
        <f aca="false">Sens!$O$9060/(Q!$F$13+Q!$G$13)-1</f>
        <v>0.234068123596572</v>
      </c>
      <c r="G9061" s="13" t="n">
        <f aca="false">Sens!$G$9060/Sens!$D$9060-1</f>
        <v>0.212343876949294</v>
      </c>
      <c r="H9061" s="13" t="n">
        <f aca="false">Sens!$F$9061+(g_ad-Sens!$F$9061)*1/4</f>
        <v>0.200551092697429</v>
      </c>
      <c r="I9061" s="13" t="n">
        <f aca="false">Sens!$F$9061+(g_ad-Sens!$F$9061)*2/4</f>
        <v>0.167034061798286</v>
      </c>
      <c r="J9061" s="13" t="n">
        <f aca="false">Sens!$F$9061+(g_ad-Sens!$F$9061)*3/4</f>
        <v>0.133517030899143</v>
      </c>
      <c r="K9061" s="13" t="n">
        <f aca="false">Sens!$F$9061+(g_ad-Sens!$F$9061)*4/4</f>
        <v>0.1</v>
      </c>
      <c r="L9061" s="13" t="n">
        <f aca="false">g_ad</f>
        <v>0.1</v>
      </c>
      <c r="M9061" s="13" t="n">
        <f aca="false">g_ad</f>
        <v>0.1</v>
      </c>
      <c r="P9061" s="8" t="s">
        <v>675</v>
      </c>
    </row>
    <row r="9062" customFormat="false" ht="17.15" hidden="false" customHeight="false" outlineLevel="0" collapsed="false">
      <c r="A9062" s="0" t="s">
        <v>523</v>
      </c>
      <c r="B9062" s="0" t="s">
        <v>86</v>
      </c>
      <c r="C9062" s="38" t="n">
        <f aca="false">Q!$D$14</f>
        <v>44.374</v>
      </c>
      <c r="D9062" s="38" t="n">
        <f aca="false">Q!$E$14</f>
        <v>49.619</v>
      </c>
      <c r="E9062" s="38" t="n">
        <f aca="false">Q!$P$14</f>
        <v>27.157</v>
      </c>
      <c r="F9062" s="38" t="n">
        <f aca="false">Sens!$O$9062*(1+Sens!$F$9063)*Sens!$F$9066</f>
        <v>27.7764165988154</v>
      </c>
      <c r="G9062" s="38" t="n">
        <f aca="false">Sens!$E$9062+Sens!$F$9062</f>
        <v>54.9334165988154</v>
      </c>
      <c r="H9062" s="38" t="n">
        <f aca="false">Sens!$G$9062*(1+Sens!$H$9063)</f>
        <v>61.1564112561829</v>
      </c>
      <c r="I9062" s="38" t="n">
        <f aca="false">Sens!$H$9062*(1+Sens!$I$9063)</f>
        <v>67.2020282103945</v>
      </c>
      <c r="J9062" s="38" t="n">
        <f aca="false">Sens!$I$9062*(1+Sens!$J$9063)</f>
        <v>72.8757274028885</v>
      </c>
      <c r="K9062" s="38" t="n">
        <f aca="false">Sens!$J$9062*(1+Sens!$K$9063)</f>
        <v>77.9770283210907</v>
      </c>
      <c r="L9062" s="38" t="n">
        <f aca="false">Sens!$K$9062*(1+Sens!$L$9063)</f>
        <v>83.4354203035671</v>
      </c>
      <c r="M9062" s="38" t="n">
        <f aca="false">Sens!$L$9062*(1+Sens!$M$9063)</f>
        <v>89.2758997248168</v>
      </c>
      <c r="N9062" s="38" t="n">
        <f aca="false">Q!$N$14</f>
        <v>23.923</v>
      </c>
      <c r="O9062" s="38" t="n">
        <f aca="false">Q!$O$14</f>
        <v>25.696</v>
      </c>
      <c r="P9062" s="8" t="s">
        <v>667</v>
      </c>
    </row>
    <row r="9063" customFormat="false" ht="17.15" hidden="false" customHeight="false" outlineLevel="0" collapsed="false">
      <c r="A9063" s="0" t="s">
        <v>676</v>
      </c>
      <c r="B9063" s="0" t="s">
        <v>52</v>
      </c>
      <c r="E9063" s="13" t="n">
        <f aca="false">Sens!$E$9062/Sens!$N$9062-1</f>
        <v>0.135183714417088</v>
      </c>
      <c r="F9063" s="13" t="n">
        <f aca="false">Sens!$O$9062/(Q!$F$14+Q!$G$14)-1</f>
        <v>0.127709997366804</v>
      </c>
      <c r="G9063" s="13" t="n">
        <f aca="false">Sens!$G$9062/Sens!$D$9062-1</f>
        <v>0.107104468022641</v>
      </c>
      <c r="H9063" s="13" t="n">
        <f aca="false">Sens!$F$9063+(g_sub-Sens!$F$9063)*1/4</f>
        <v>0.113282498025103</v>
      </c>
      <c r="I9063" s="13" t="n">
        <f aca="false">Sens!$F$9063+(g_sub-Sens!$F$9063)*2/4</f>
        <v>0.0988549986834021</v>
      </c>
      <c r="J9063" s="13" t="n">
        <f aca="false">Sens!$F$9063+(g_sub-Sens!$F$9063)*3/4</f>
        <v>0.084427499341701</v>
      </c>
      <c r="K9063" s="13" t="n">
        <f aca="false">Sens!$F$9063+(g_sub-Sens!$F$9063)*4/4</f>
        <v>0.07</v>
      </c>
      <c r="L9063" s="13" t="n">
        <f aca="false">g_sub</f>
        <v>0.07</v>
      </c>
      <c r="M9063" s="13" t="n">
        <f aca="false">g_sub</f>
        <v>0.07</v>
      </c>
      <c r="P9063" s="8" t="s">
        <v>677</v>
      </c>
    </row>
    <row r="9064" customFormat="false" ht="17.15" hidden="false" customHeight="false" outlineLevel="0" collapsed="false">
      <c r="A9064" s="0" t="s">
        <v>524</v>
      </c>
      <c r="B9064" s="0" t="s">
        <v>86</v>
      </c>
      <c r="C9064" s="38" t="n">
        <f aca="false">Q!$D$15</f>
        <v>5.425</v>
      </c>
      <c r="D9064" s="38" t="n">
        <f aca="false">Q!$E$15</f>
        <v>5.935</v>
      </c>
      <c r="E9064" s="38" t="n">
        <f aca="false">Q!$P$15</f>
        <v>3.474</v>
      </c>
      <c r="F9064" s="38" t="n">
        <f aca="false">Sens!$O$9064*(1+Sens!$F$9065)*Sens!$F$9066</f>
        <v>3.22246550883619</v>
      </c>
      <c r="G9064" s="38" t="n">
        <f aca="false">Sens!$E$9064+Sens!$F$9064</f>
        <v>6.69646550883619</v>
      </c>
      <c r="H9064" s="38" t="n">
        <f aca="false">Sens!$G$9064*(1+Sens!$H$9065)</f>
        <v>7.16251344209196</v>
      </c>
      <c r="I9064" s="38" t="n">
        <f aca="false">Sens!$H$9064*(1+Sens!$I$9065)</f>
        <v>7.61421070299826</v>
      </c>
      <c r="J9064" s="38" t="n">
        <f aca="false">Sens!$I$9064*(1+Sens!$J$9065)</f>
        <v>8.04465753523932</v>
      </c>
      <c r="K9064" s="38" t="n">
        <f aca="false">Sens!$J$9064*(1+Sens!$K$9065)</f>
        <v>8.44689041200128</v>
      </c>
      <c r="L9064" s="38" t="n">
        <f aca="false">Sens!$K$9064*(1+Sens!$L$9065)</f>
        <v>8.86923493260135</v>
      </c>
      <c r="M9064" s="38" t="n">
        <f aca="false">Sens!$L$9064*(1+Sens!$M$9065)</f>
        <v>9.31269667923142</v>
      </c>
      <c r="N9064" s="38" t="n">
        <f aca="false">Q!$N$15</f>
        <v>2.811</v>
      </c>
      <c r="O9064" s="38" t="n">
        <f aca="false">Q!$O$15</f>
        <v>3.124</v>
      </c>
      <c r="P9064" s="8" t="s">
        <v>667</v>
      </c>
    </row>
    <row r="9065" customFormat="false" ht="17.15" hidden="false" customHeight="false" outlineLevel="0" collapsed="false">
      <c r="A9065" s="0" t="s">
        <v>678</v>
      </c>
      <c r="B9065" s="0" t="s">
        <v>52</v>
      </c>
      <c r="E9065" s="13" t="n">
        <f aca="false">Sens!$E$9064/Sens!$N$9064-1</f>
        <v>0.235859124866596</v>
      </c>
      <c r="F9065" s="13" t="n">
        <f aca="false">Sens!$O$9064/(Q!$F$15+Q!$G$15)-1</f>
        <v>0.0761281433000345</v>
      </c>
      <c r="G9065" s="13" t="n">
        <f aca="false">Sens!$G$9064/Sens!$D$9064-1</f>
        <v>0.128300843948811</v>
      </c>
      <c r="H9065" s="13" t="n">
        <f aca="false">Sens!$F$9065+(g_ot-Sens!$F$9065)*1/4</f>
        <v>0.0695961074750259</v>
      </c>
      <c r="I9065" s="13" t="n">
        <f aca="false">Sens!$F$9065+(g_ot-Sens!$F$9065)*2/4</f>
        <v>0.0630640716500172</v>
      </c>
      <c r="J9065" s="13" t="n">
        <f aca="false">Sens!$F$9065+(g_ot-Sens!$F$9065)*3/4</f>
        <v>0.0565320358250086</v>
      </c>
      <c r="K9065" s="13" t="n">
        <f aca="false">Sens!$F$9065+(g_ot-Sens!$F$9065)*4/4</f>
        <v>0.05</v>
      </c>
      <c r="L9065" s="13" t="n">
        <f aca="false">g_ot</f>
        <v>0.05</v>
      </c>
      <c r="M9065" s="13" t="n">
        <f aca="false">g_ot</f>
        <v>0.05</v>
      </c>
      <c r="P9065" s="8" t="s">
        <v>679</v>
      </c>
    </row>
    <row r="9066" customFormat="false" ht="17.15" hidden="false" customHeight="false" outlineLevel="0" collapsed="false">
      <c r="A9066" s="0" t="s">
        <v>680</v>
      </c>
      <c r="B9066" s="0" t="s">
        <v>57</v>
      </c>
      <c r="F9066" s="40" t="n">
        <f aca="false">(g26q3_mid*Q!$O$8/Q!$J$8-Thesis!$F$86-Thesis!$F$90)/(Sens!$O$9054*(1+Sens!$F$9055)+Sens!$O$9056*(1+Sens!$F$9057)+Sens!$O$9058*(1+Sens!$F$9059)+Sens!$O$9060*(1+Sens!$F$9061)+Sens!$O$9062*(1+Sens!$F$9063)+Sens!$O$9064*(1+Sens!$F$9065))</f>
        <v>0.958546670622329</v>
      </c>
      <c r="P9066" s="8" t="s">
        <v>681</v>
      </c>
    </row>
    <row r="9067" customFormat="false" ht="17.15" hidden="false" customHeight="false" outlineLevel="0" collapsed="false">
      <c r="A9067" s="3" t="s">
        <v>682</v>
      </c>
      <c r="B9067" s="8" t="s">
        <v>86</v>
      </c>
      <c r="C9067" s="38" t="n">
        <f aca="false">Sens!$C$9054+Sens!$C$9056+Sens!$C$9058+Sens!$C$9060+Sens!$C$9062+Sens!$C$9064</f>
        <v>530.403</v>
      </c>
      <c r="D9067" s="38" t="n">
        <f aca="false">Sens!$D$9054+Sens!$D$9056+Sens!$D$9058+Sens!$D$9060+Sens!$D$9062+Sens!$D$9064</f>
        <v>588.199</v>
      </c>
      <c r="E9067" s="38" t="n">
        <f aca="false">Sens!$E$9054+Sens!$E$9056+Sens!$E$9058+Sens!$E$9060+Sens!$E$9062+Sens!$E$9064</f>
        <v>302.306</v>
      </c>
      <c r="F9067" s="38" t="n">
        <f aca="false">Sens!$F$9054+Sens!$F$9056+Sens!$F$9058+Sens!$F$9060+Sens!$F$9062+Sens!$F$9064</f>
        <v>349.048241645537</v>
      </c>
      <c r="G9067" s="38" t="n">
        <f aca="false">Sens!$G$9054+Sens!$G$9056+Sens!$G$9058+Sens!$G$9060+Sens!$G$9062+Sens!$G$9064</f>
        <v>651.354241645537</v>
      </c>
      <c r="H9067" s="38" t="n">
        <f aca="false">Sens!$H$9054+Sens!$H$9056+Sens!$H$9058+Sens!$H$9060+Sens!$H$9062+Sens!$H$9064</f>
        <v>721.096889521386</v>
      </c>
      <c r="I9067" s="38" t="n">
        <f aca="false">Sens!$I$9054+Sens!$I$9056+Sens!$I$9058+Sens!$I$9060+Sens!$I$9062+Sens!$I$9064</f>
        <v>788.529391152531</v>
      </c>
      <c r="J9067" s="38" t="n">
        <f aca="false">Sens!$J$9054+Sens!$J$9056+Sens!$J$9058+Sens!$J$9060+Sens!$J$9062+Sens!$J$9064</f>
        <v>851.108405741443</v>
      </c>
      <c r="K9067" s="38" t="n">
        <f aca="false">Sens!$K$9054+Sens!$K$9056+Sens!$K$9058+Sens!$K$9060+Sens!$K$9062+Sens!$K$9064</f>
        <v>906.176455431088</v>
      </c>
      <c r="L9067" s="38" t="n">
        <f aca="false">Sens!$L$9054+Sens!$L$9056+Sens!$L$9058+Sens!$L$9060+Sens!$L$9062+Sens!$L$9064</f>
        <v>965.093106475589</v>
      </c>
      <c r="M9067" s="38" t="n">
        <f aca="false">Sens!$M$9054+Sens!$M$9056+Sens!$M$9058+Sens!$M$9060+Sens!$M$9062+Sens!$M$9064</f>
        <v>1028.14790794689</v>
      </c>
      <c r="N9067" s="38" t="n">
        <f aca="false">Sens!$N$9054+Sens!$N$9056+Sens!$N$9058+Sens!$N$9060+Sens!$N$9062+Sens!$N$9064</f>
        <v>263.229</v>
      </c>
      <c r="O9067" s="38" t="n">
        <f aca="false">Sens!$O$9054+Sens!$O$9056+Sens!$O$9058+Sens!$O$9060+Sens!$O$9062+Sens!$O$9064</f>
        <v>324.97</v>
      </c>
    </row>
    <row r="9068" customFormat="false" ht="17.15" hidden="false" customHeight="false" outlineLevel="0" collapsed="false">
      <c r="A9068" s="5" t="s">
        <v>683</v>
      </c>
      <c r="B9068" s="0" t="s">
        <v>52</v>
      </c>
      <c r="C9068" s="13" t="n">
        <f aca="false">Q!$D$5/(Q!$D$5+Q!$D$6)</f>
        <v>0.730570905519011</v>
      </c>
      <c r="D9068" s="13" t="n">
        <f aca="false">Q!$E$5/(Q!$E$5+Q!$E$6)</f>
        <v>0.724763217890544</v>
      </c>
      <c r="E9068" s="13" t="n">
        <f aca="false">Q!$P$5/(Q!$P$5+Q!$P$6)</f>
        <v>0.728797972914861</v>
      </c>
      <c r="F9068" s="13" t="n">
        <f aca="false">Sens!$O$9068</f>
        <v>0.718066283041511</v>
      </c>
      <c r="G9068" s="13" t="n">
        <f aca="false">Sens!$G$9069/Sens!$G$9067</f>
        <v>0.723047066202847</v>
      </c>
      <c r="H9068" s="13" t="n">
        <f aca="false">Sens!$G$9068</f>
        <v>0.723047066202847</v>
      </c>
      <c r="I9068" s="13" t="n">
        <f aca="false">Sens!$G$9068</f>
        <v>0.723047066202847</v>
      </c>
      <c r="J9068" s="13" t="n">
        <f aca="false">Sens!$G$9068</f>
        <v>0.723047066202847</v>
      </c>
      <c r="K9068" s="13" t="n">
        <f aca="false">Sens!$G$9068</f>
        <v>0.723047066202847</v>
      </c>
      <c r="L9068" s="13" t="n">
        <f aca="false">Sens!$G$9068</f>
        <v>0.723047066202847</v>
      </c>
      <c r="M9068" s="13" t="n">
        <f aca="false">Sens!$G$9068</f>
        <v>0.723047066202847</v>
      </c>
      <c r="N9068" s="13" t="n">
        <f aca="false">Q!$N$5/(Q!$N$5+Q!$N$6)</f>
        <v>0.733030935041352</v>
      </c>
      <c r="O9068" s="13" t="n">
        <f aca="false">Q!$O$5/(Q!$O$5+Q!$O$6)</f>
        <v>0.718066283041511</v>
      </c>
      <c r="P9068" s="8" t="s">
        <v>684</v>
      </c>
    </row>
    <row r="9069" customFormat="false" ht="17.15" hidden="false" customHeight="false" outlineLevel="0" collapsed="false">
      <c r="A9069" s="1" t="s">
        <v>512</v>
      </c>
      <c r="B9069" s="8" t="s">
        <v>86</v>
      </c>
      <c r="C9069" s="38" t="n">
        <f aca="false">Q!$D$5</f>
        <v>387.497</v>
      </c>
      <c r="D9069" s="38" t="n">
        <f aca="false">Q!$E$5</f>
        <v>426.305</v>
      </c>
      <c r="E9069" s="38" t="n">
        <f aca="false">Q!$P$5</f>
        <v>220.32</v>
      </c>
      <c r="F9069" s="38" t="n">
        <f aca="false">Sens!$F$9067*Sens!$F$9068</f>
        <v>250.639773480586</v>
      </c>
      <c r="G9069" s="38" t="n">
        <f aca="false">Sens!$E$9069+Sens!$F$9069</f>
        <v>470.959773480586</v>
      </c>
      <c r="H9069" s="38" t="n">
        <f aca="false">Sens!$H$9067*Sens!$H$9068</f>
        <v>521.386990416437</v>
      </c>
      <c r="I9069" s="38" t="n">
        <f aca="false">Sens!$I$9067*Sens!$I$9068</f>
        <v>570.143862887555</v>
      </c>
      <c r="J9069" s="38" t="n">
        <f aca="false">Sens!$J$9067*Sens!$J$9068</f>
        <v>615.391435791933</v>
      </c>
      <c r="K9069" s="38" t="n">
        <f aca="false">Sens!$K$9067*Sens!$K$9068</f>
        <v>655.208227561543</v>
      </c>
      <c r="L9069" s="38" t="n">
        <f aca="false">Sens!$L$9067*Sens!$L$9068</f>
        <v>697.807739249767</v>
      </c>
      <c r="M9069" s="38" t="n">
        <f aca="false">Sens!$M$9067*Sens!$M$9068</f>
        <v>743.399328463592</v>
      </c>
      <c r="N9069" s="38" t="n">
        <f aca="false">Q!$N$5</f>
        <v>192.955</v>
      </c>
      <c r="O9069" s="38" t="n">
        <f aca="false">Q!$O$5</f>
        <v>233.35</v>
      </c>
      <c r="P9069" s="5" t="s">
        <v>685</v>
      </c>
    </row>
    <row r="9070" customFormat="false" ht="17.15" hidden="false" customHeight="false" outlineLevel="0" collapsed="false">
      <c r="A9070" s="1" t="s">
        <v>515</v>
      </c>
      <c r="B9070" s="8" t="s">
        <v>86</v>
      </c>
      <c r="C9070" s="38" t="n">
        <f aca="false">Q!$D$6</f>
        <v>142.906</v>
      </c>
      <c r="D9070" s="38" t="n">
        <f aca="false">Q!$E$6</f>
        <v>161.894</v>
      </c>
      <c r="E9070" s="38" t="n">
        <f aca="false">Q!$P$6</f>
        <v>81.986</v>
      </c>
      <c r="F9070" s="38" t="n">
        <f aca="false">Sens!$F$9067*(1-Sens!$F$9068)</f>
        <v>98.408468164951</v>
      </c>
      <c r="G9070" s="38" t="n">
        <f aca="false">Sens!$E$9070+Sens!$F$9070</f>
        <v>180.394468164951</v>
      </c>
      <c r="H9070" s="38" t="n">
        <f aca="false">Sens!$H$9067*(1-Sens!$H$9068)</f>
        <v>199.709899104949</v>
      </c>
      <c r="I9070" s="38" t="n">
        <f aca="false">Sens!$I$9067*(1-Sens!$I$9068)</f>
        <v>218.385528264976</v>
      </c>
      <c r="J9070" s="38" t="n">
        <f aca="false">Sens!$J$9067*(1-Sens!$J$9068)</f>
        <v>235.71696994951</v>
      </c>
      <c r="K9070" s="38" t="n">
        <f aca="false">Sens!$K$9067*(1-Sens!$K$9068)</f>
        <v>250.968227869545</v>
      </c>
      <c r="L9070" s="38" t="n">
        <f aca="false">Sens!$L$9067*(1-Sens!$L$9068)</f>
        <v>267.285367225822</v>
      </c>
      <c r="M9070" s="38" t="n">
        <f aca="false">Sens!$M$9067*(1-Sens!$M$9068)</f>
        <v>284.748579483295</v>
      </c>
      <c r="N9070" s="38" t="n">
        <f aca="false">Q!$N$6</f>
        <v>70.274</v>
      </c>
      <c r="O9070" s="38" t="n">
        <f aca="false">Q!$O$6</f>
        <v>91.62</v>
      </c>
      <c r="P9070" s="5" t="s">
        <v>686</v>
      </c>
    </row>
    <row r="9071" customFormat="false" ht="17.15" hidden="false" customHeight="false" outlineLevel="0" collapsed="false">
      <c r="A9071" s="5" t="s">
        <v>687</v>
      </c>
      <c r="B9071" s="0" t="s">
        <v>86</v>
      </c>
      <c r="C9071" s="38" t="n">
        <f aca="false">Sens!$C$9060*Sens!$C$9068</f>
        <v>41.0683128828457</v>
      </c>
      <c r="D9071" s="38" t="n">
        <f aca="false">Sens!$D$9060*Sens!$D$9068</f>
        <v>49.7441234599175</v>
      </c>
      <c r="E9071" s="38" t="n">
        <f aca="false">Sens!$E$9060*Sens!$E$9068</f>
        <v>27.0034224924414</v>
      </c>
      <c r="F9071" s="38" t="n">
        <f aca="false">Sens!$F$9060*Sens!$F$9068</f>
        <v>33.1439448330513</v>
      </c>
      <c r="G9071" s="38" t="n">
        <f aca="false">Sens!$G$9060*Sens!$G$9068</f>
        <v>60.164183844083</v>
      </c>
      <c r="H9071" s="38" t="n">
        <f aca="false">Sens!$H$9060*Sens!$H$9068</f>
        <v>72.2301766552629</v>
      </c>
      <c r="I9071" s="38" t="n">
        <f aca="false">Sens!$I$9060*Sens!$I$9068</f>
        <v>84.2950764463991</v>
      </c>
      <c r="J9071" s="38" t="n">
        <f aca="false">Sens!$J$9060*Sens!$J$9068</f>
        <v>95.5499047729386</v>
      </c>
      <c r="K9071" s="38" t="n">
        <f aca="false">Sens!$K$9060*Sens!$K$9068</f>
        <v>105.104895250232</v>
      </c>
      <c r="L9071" s="38" t="n">
        <f aca="false">Sens!$L$9060*Sens!$L$9068</f>
        <v>115.615384775256</v>
      </c>
      <c r="M9071" s="38" t="n">
        <f aca="false">Sens!$M$9060*Sens!$M$9068</f>
        <v>127.176923252781</v>
      </c>
      <c r="N9071" s="38" t="n">
        <f aca="false">Sens!$N$9060*Sens!$N$9068</f>
        <v>21.7087111412496</v>
      </c>
      <c r="O9071" s="38" t="n">
        <f aca="false">Sens!$O$9060*Sens!$O$9068</f>
        <v>28.0189463642798</v>
      </c>
      <c r="P9071" s="5" t="s">
        <v>688</v>
      </c>
    </row>
    <row r="9072" customFormat="false" ht="15" hidden="false" customHeight="false" outlineLevel="0" collapsed="false">
      <c r="A9072" s="5" t="s">
        <v>689</v>
      </c>
      <c r="B9072" s="0" t="s">
        <v>86</v>
      </c>
      <c r="C9072" s="38" t="n">
        <f aca="false">Sens!$C$9060-Sens!$C$9071</f>
        <v>15.1456871171543</v>
      </c>
      <c r="D9072" s="38" t="n">
        <f aca="false">Sens!$D$9060-Sens!$D$9071</f>
        <v>18.8908765400825</v>
      </c>
      <c r="E9072" s="38" t="n">
        <f aca="false">Sens!$E$9060-Sens!$E$9071</f>
        <v>10.0485775075586</v>
      </c>
      <c r="F9072" s="38" t="n">
        <f aca="false">Sens!$F$9060-Sens!$F$9071</f>
        <v>13.0132771613635</v>
      </c>
      <c r="G9072" s="38" t="n">
        <f aca="false">Sens!$G$9060-Sens!$G$9071</f>
        <v>23.0450381503318</v>
      </c>
      <c r="H9072" s="38" t="n">
        <f aca="false">Sens!$H$9060-Sens!$H$9071</f>
        <v>27.6667457326347</v>
      </c>
      <c r="I9072" s="38" t="n">
        <f aca="false">Sens!$I$9060-Sens!$I$9071</f>
        <v>32.2880346490971</v>
      </c>
      <c r="J9072" s="38" t="n">
        <f aca="false">Sens!$J$9060-Sens!$J$9071</f>
        <v>36.5990371690132</v>
      </c>
      <c r="K9072" s="38" t="n">
        <f aca="false">Sens!$K$9060-Sens!$K$9071</f>
        <v>40.2589408859145</v>
      </c>
      <c r="L9072" s="38" t="n">
        <f aca="false">Sens!$L$9060-Sens!$L$9071</f>
        <v>44.2848349745059</v>
      </c>
      <c r="M9072" s="38" t="n">
        <f aca="false">Sens!$M$9060-Sens!$M$9071</f>
        <v>48.7133184719565</v>
      </c>
      <c r="N9072" s="38" t="n">
        <f aca="false">Sens!$N$9060-Sens!$N$9071</f>
        <v>7.90628885875037</v>
      </c>
      <c r="O9072" s="38" t="n">
        <f aca="false">Sens!$O$9060-Sens!$O$9071</f>
        <v>11.0010536357202</v>
      </c>
    </row>
    <row r="9073" customFormat="false" ht="19.4" hidden="false" customHeight="false" outlineLevel="0" collapsed="false">
      <c r="A9073" s="31" t="s">
        <v>1321</v>
      </c>
    </row>
    <row r="9074" customFormat="false" ht="17.15" hidden="false" customHeight="false" outlineLevel="0" collapsed="false">
      <c r="A9074" s="6" t="s">
        <v>16</v>
      </c>
      <c r="B9074" s="6" t="s">
        <v>17</v>
      </c>
      <c r="C9074" s="20" t="s">
        <v>497</v>
      </c>
      <c r="D9074" s="20" t="s">
        <v>498</v>
      </c>
      <c r="E9074" s="20" t="s">
        <v>580</v>
      </c>
      <c r="F9074" s="20" t="s">
        <v>581</v>
      </c>
      <c r="G9074" s="20" t="s">
        <v>582</v>
      </c>
      <c r="H9074" s="20" t="s">
        <v>583</v>
      </c>
      <c r="I9074" s="20" t="s">
        <v>584</v>
      </c>
      <c r="J9074" s="20" t="s">
        <v>585</v>
      </c>
      <c r="K9074" s="20" t="s">
        <v>586</v>
      </c>
      <c r="L9074" s="20" t="s">
        <v>587</v>
      </c>
      <c r="M9074" s="20" t="s">
        <v>588</v>
      </c>
      <c r="N9074" s="20" t="s">
        <v>589</v>
      </c>
      <c r="O9074" s="20" t="s">
        <v>590</v>
      </c>
      <c r="P9074" s="6" t="s">
        <v>23</v>
      </c>
      <c r="R9074" s="20" t="n">
        <v>2023</v>
      </c>
      <c r="S9074" s="20" t="n">
        <v>2024</v>
      </c>
      <c r="T9074" s="20" t="n">
        <v>2025</v>
      </c>
      <c r="U9074" s="20" t="n">
        <v>2026</v>
      </c>
      <c r="V9074" s="20" t="n">
        <v>2027</v>
      </c>
      <c r="W9074" s="20" t="n">
        <v>2028</v>
      </c>
      <c r="X9074" s="20" t="n">
        <v>2029</v>
      </c>
      <c r="Y9074" s="20" t="n">
        <v>2030</v>
      </c>
      <c r="Z9074" s="20" t="n">
        <v>2031</v>
      </c>
      <c r="AA9074" s="20" t="n">
        <v>2032</v>
      </c>
    </row>
    <row r="9075" customFormat="false" ht="17.15" hidden="false" customHeight="false" outlineLevel="0" collapsed="false">
      <c r="A9075" s="1" t="s">
        <v>591</v>
      </c>
    </row>
    <row r="9076" customFormat="false" ht="17.15" hidden="false" customHeight="false" outlineLevel="0" collapsed="false">
      <c r="A9076" s="5" t="s">
        <v>592</v>
      </c>
      <c r="B9076" s="0" t="s">
        <v>144</v>
      </c>
      <c r="H9076" s="32" t="n">
        <f aca="false">pace_B</f>
        <v>3634.3</v>
      </c>
      <c r="I9076" s="32" t="n">
        <f aca="false">pace_B</f>
        <v>3634.3</v>
      </c>
      <c r="J9076" s="32" t="n">
        <f aca="false">pace_B</f>
        <v>3634.3</v>
      </c>
      <c r="K9076" s="32" t="n">
        <f aca="false">pace_B+(Sens!$J$9077*tg_lo-pace_B)*1/3</f>
        <v>2521.53366666667</v>
      </c>
      <c r="L9076" s="32" t="n">
        <f aca="false">pace_B+(Sens!$J$9077*tg_lo-pace_B)*2/3</f>
        <v>1408.76733333333</v>
      </c>
      <c r="M9076" s="32" t="n">
        <f aca="false">pace_B+(Sens!$J$9077*tg_lo-pace_B)*3/3</f>
        <v>296.001</v>
      </c>
      <c r="P9076" s="5" t="s">
        <v>593</v>
      </c>
    </row>
    <row r="9077" customFormat="false" ht="17.15" hidden="false" customHeight="false" outlineLevel="0" collapsed="false">
      <c r="A9077" s="15" t="s">
        <v>594</v>
      </c>
      <c r="B9077" s="14" t="s">
        <v>129</v>
      </c>
      <c r="C9077" s="33" t="n">
        <f aca="false">mw_ye24</f>
        <v>360</v>
      </c>
      <c r="D9077" s="33" t="n">
        <f aca="false">mw_ye25</f>
        <v>1440</v>
      </c>
      <c r="E9077" s="33" t="n">
        <f aca="false">mw_open</f>
        <v>2080</v>
      </c>
      <c r="F9077" s="33" t="n">
        <f aca="false">Sens!$E$9077+pace_B*0.5</f>
        <v>3897.15</v>
      </c>
      <c r="G9077" s="33" t="n">
        <f aca="false">Sens!$F$9077</f>
        <v>3897.15</v>
      </c>
      <c r="H9077" s="33" t="n">
        <f aca="false">Sens!$G$9077+Sens!$H$9076</f>
        <v>7531.45</v>
      </c>
      <c r="I9077" s="33" t="n">
        <f aca="false">Sens!$H$9077+Sens!$I$9076</f>
        <v>11165.75</v>
      </c>
      <c r="J9077" s="33" t="n">
        <f aca="false">Sens!$I$9077+Sens!$J$9076</f>
        <v>14800.05</v>
      </c>
      <c r="K9077" s="33" t="n">
        <f aca="false">Sens!$J$9077+Sens!$K$9076</f>
        <v>17321.5836666667</v>
      </c>
      <c r="L9077" s="33" t="n">
        <f aca="false">Sens!$K$9077+Sens!$L$9076</f>
        <v>18730.351</v>
      </c>
      <c r="M9077" s="33" t="n">
        <f aca="false">Sens!$L$9077+Sens!$M$9076</f>
        <v>19026.352</v>
      </c>
      <c r="N9077" s="33" t="n">
        <f aca="false">(mw_ye24+mw_ye25)/2</f>
        <v>900</v>
      </c>
      <c r="O9077" s="33" t="n">
        <f aca="false">mw_ye25</f>
        <v>1440</v>
      </c>
      <c r="P9077" s="5" t="s">
        <v>595</v>
      </c>
    </row>
    <row r="9078" customFormat="false" ht="17.15" hidden="false" customHeight="false" outlineLevel="0" collapsed="false">
      <c r="A9078" s="5" t="s">
        <v>596</v>
      </c>
      <c r="B9078" s="0" t="s">
        <v>129</v>
      </c>
      <c r="C9078" s="32" t="n">
        <f aca="false">(mw_ye23+mw_ye24)/2</f>
        <v>240</v>
      </c>
      <c r="D9078" s="32" t="n">
        <f aca="false">(Sens!$C$9077+Sens!$D$9077)/2</f>
        <v>900</v>
      </c>
      <c r="E9078" s="32" t="n">
        <f aca="false">(Sens!$D$9077+Sens!$E$9077)/2</f>
        <v>1760</v>
      </c>
      <c r="F9078" s="32" t="n">
        <f aca="false">(Sens!$E$9077+Sens!$F$9077)/2</f>
        <v>2988.575</v>
      </c>
      <c r="G9078" s="32" t="n">
        <f aca="false">(Sens!$E$9078+Sens!$F$9078)/2</f>
        <v>2374.2875</v>
      </c>
      <c r="H9078" s="32" t="n">
        <f aca="false">(Sens!$G$9077+Sens!$H$9077)/2</f>
        <v>5714.3</v>
      </c>
      <c r="I9078" s="32" t="n">
        <f aca="false">(Sens!$H$9077+Sens!$I$9077)/2</f>
        <v>9348.6</v>
      </c>
      <c r="J9078" s="32" t="n">
        <f aca="false">(Sens!$I$9077+Sens!$J$9077)/2</f>
        <v>12982.9</v>
      </c>
      <c r="K9078" s="32" t="n">
        <f aca="false">(Sens!$J$9077+Sens!$K$9077)/2</f>
        <v>16060.8168333333</v>
      </c>
      <c r="L9078" s="32" t="n">
        <f aca="false">(Sens!$K$9077+Sens!$L$9077)/2</f>
        <v>18025.9673333333</v>
      </c>
      <c r="M9078" s="32" t="n">
        <f aca="false">(Sens!$L$9077+Sens!$M$9077)/2</f>
        <v>18878.3515</v>
      </c>
      <c r="N9078" s="32" t="n">
        <f aca="false">(Sens!$C$9077+Sens!$N$9077)/2</f>
        <v>630</v>
      </c>
      <c r="O9078" s="32" t="n">
        <f aca="false">(Sens!$N$9077+Sens!$O$9077)/2</f>
        <v>1170</v>
      </c>
    </row>
    <row r="9079" customFormat="false" ht="15" hidden="false" customHeight="false" outlineLevel="0" collapsed="false">
      <c r="A9079" s="5" t="s">
        <v>597</v>
      </c>
      <c r="B9079" s="5" t="s">
        <v>123</v>
      </c>
      <c r="C9079" s="34" t="n">
        <v>1</v>
      </c>
      <c r="D9079" s="34" t="n">
        <v>1</v>
      </c>
      <c r="E9079" s="34" t="n">
        <v>0.5</v>
      </c>
      <c r="F9079" s="34" t="n">
        <v>0.5</v>
      </c>
      <c r="G9079" s="34" t="n">
        <v>1</v>
      </c>
      <c r="H9079" s="34" t="n">
        <v>1</v>
      </c>
      <c r="I9079" s="34" t="n">
        <v>1</v>
      </c>
      <c r="J9079" s="34" t="n">
        <v>1</v>
      </c>
      <c r="K9079" s="34" t="n">
        <v>1</v>
      </c>
      <c r="L9079" s="34" t="n">
        <v>1</v>
      </c>
      <c r="M9079" s="34" t="n">
        <v>1</v>
      </c>
      <c r="N9079" s="34" t="n">
        <v>0.5</v>
      </c>
      <c r="O9079" s="34" t="n">
        <v>0.5</v>
      </c>
    </row>
    <row r="9080" customFormat="false" ht="17.15" hidden="false" customHeight="false" outlineLevel="0" collapsed="false">
      <c r="A9080" s="5" t="s">
        <v>598</v>
      </c>
      <c r="B9080" s="0" t="s">
        <v>129</v>
      </c>
      <c r="C9080" s="32" t="n">
        <f aca="false">Sens!$C$9077-mw_ye23</f>
        <v>240</v>
      </c>
      <c r="D9080" s="32" t="n">
        <f aca="false">Sens!$D$9077-Sens!$C$9077</f>
        <v>1080</v>
      </c>
      <c r="E9080" s="32" t="n">
        <f aca="false">Sens!$E$9077-Sens!$D$9077</f>
        <v>640</v>
      </c>
      <c r="F9080" s="32" t="n">
        <f aca="false">Sens!$F$9077-Sens!$E$9077</f>
        <v>1817.15</v>
      </c>
      <c r="G9080" s="32" t="n">
        <f aca="false">Sens!$E$9080+Sens!$F$9080</f>
        <v>2457.15</v>
      </c>
      <c r="H9080" s="32" t="n">
        <f aca="false">Sens!$H$9077-Sens!$G$9077</f>
        <v>3634.3</v>
      </c>
      <c r="I9080" s="32" t="n">
        <f aca="false">Sens!$I$9077-Sens!$H$9077</f>
        <v>3634.3</v>
      </c>
      <c r="J9080" s="32" t="n">
        <f aca="false">Sens!$J$9077-Sens!$I$9077</f>
        <v>3634.3</v>
      </c>
      <c r="K9080" s="32" t="n">
        <f aca="false">Sens!$K$9077-Sens!$J$9077</f>
        <v>2521.53366666667</v>
      </c>
      <c r="L9080" s="32" t="n">
        <f aca="false">Sens!$L$9077-Sens!$K$9077</f>
        <v>1408.76733333333</v>
      </c>
      <c r="M9080" s="32" t="n">
        <f aca="false">Sens!$M$9077-Sens!$L$9077</f>
        <v>296.001</v>
      </c>
      <c r="N9080" s="32" t="n">
        <f aca="false">Sens!$N$9077-Sens!$C$9077</f>
        <v>540</v>
      </c>
      <c r="O9080" s="32" t="n">
        <f aca="false">Sens!$O$9077-Sens!$N$9077</f>
        <v>540</v>
      </c>
    </row>
    <row r="9081" customFormat="false" ht="17.15" hidden="false" customHeight="false" outlineLevel="0" collapsed="false">
      <c r="A9081" s="5" t="s">
        <v>599</v>
      </c>
      <c r="B9081" s="0" t="s">
        <v>129</v>
      </c>
      <c r="C9081" s="32" t="n">
        <f aca="false">Sens!$C$9080/ext_sh</f>
        <v>300</v>
      </c>
      <c r="D9081" s="32" t="n">
        <f aca="false">Sens!$D$9080/ext_sh</f>
        <v>1350</v>
      </c>
      <c r="E9081" s="32" t="n">
        <f aca="false">Sens!$E$9080/ext_sh</f>
        <v>800</v>
      </c>
      <c r="F9081" s="32" t="n">
        <f aca="false">Sens!$F$9080/ext_sh</f>
        <v>2271.4375</v>
      </c>
      <c r="G9081" s="32" t="n">
        <f aca="false">Sens!$G$9080/ext_sh</f>
        <v>3071.4375</v>
      </c>
      <c r="H9081" s="32" t="n">
        <f aca="false">Sens!$H$9080/ext_sh</f>
        <v>4542.875</v>
      </c>
      <c r="I9081" s="32" t="n">
        <f aca="false">Sens!$I$9080/ext_sh</f>
        <v>4542.875</v>
      </c>
      <c r="J9081" s="32" t="n">
        <f aca="false">Sens!$J$9080/ext_sh</f>
        <v>4542.875</v>
      </c>
      <c r="K9081" s="32" t="n">
        <f aca="false">Sens!$K$9080/ext_sh</f>
        <v>3151.91708333333</v>
      </c>
      <c r="L9081" s="32" t="n">
        <f aca="false">Sens!$L$9080/ext_sh</f>
        <v>1760.95916666667</v>
      </c>
      <c r="M9081" s="32" t="n">
        <f aca="false">Sens!$M$9080/ext_sh</f>
        <v>370.00125</v>
      </c>
      <c r="N9081" s="32" t="n">
        <f aca="false">Sens!$N$9080/ext_sh</f>
        <v>675</v>
      </c>
      <c r="O9081" s="32" t="n">
        <f aca="false">Sens!$O$9080/ext_sh</f>
        <v>675</v>
      </c>
      <c r="P9081" s="8" t="s">
        <v>600</v>
      </c>
      <c r="R9081" s="32" t="n">
        <f aca="false">mw_ye23/ext_sh</f>
        <v>150</v>
      </c>
      <c r="S9081" s="32" t="n">
        <f aca="false">Sens!$C$9081</f>
        <v>300</v>
      </c>
      <c r="T9081" s="32" t="n">
        <f aca="false">Sens!$D$9081</f>
        <v>1350</v>
      </c>
      <c r="U9081" s="32" t="n">
        <f aca="false">Sens!$G$9081</f>
        <v>3071.4375</v>
      </c>
      <c r="V9081" s="32" t="n">
        <f aca="false">Sens!$H$9081</f>
        <v>4542.875</v>
      </c>
      <c r="W9081" s="32" t="n">
        <f aca="false">Sens!$I$9081</f>
        <v>4542.875</v>
      </c>
      <c r="X9081" s="32" t="n">
        <f aca="false">Sens!$J$9081</f>
        <v>4542.875</v>
      </c>
      <c r="Y9081" s="32" t="n">
        <f aca="false">Sens!$K$9081</f>
        <v>3151.91708333333</v>
      </c>
      <c r="Z9081" s="32" t="n">
        <f aca="false">Sens!$L$9081</f>
        <v>1760.95916666667</v>
      </c>
      <c r="AA9081" s="32" t="n">
        <f aca="false">Sens!$M$9081</f>
        <v>370.00125</v>
      </c>
    </row>
    <row r="9082" customFormat="false" ht="17.15" hidden="false" customHeight="false" outlineLevel="0" collapsed="false">
      <c r="A9082" s="1" t="s">
        <v>601</v>
      </c>
    </row>
    <row r="9083" customFormat="false" ht="17.15" hidden="false" customHeight="false" outlineLevel="0" collapsed="false">
      <c r="A9083" s="0" t="s">
        <v>602</v>
      </c>
      <c r="B9083" s="0" t="s">
        <v>52</v>
      </c>
      <c r="F9083" s="35" t="n">
        <f aca="false">na_vr26</f>
        <v>0</v>
      </c>
      <c r="G9083" s="35" t="n">
        <f aca="false">na_vr26</f>
        <v>0</v>
      </c>
      <c r="H9083" s="35" t="n">
        <f aca="false">na_vr27</f>
        <v>0.5</v>
      </c>
      <c r="I9083" s="35" t="n">
        <f aca="false">na_vr28</f>
        <v>1</v>
      </c>
      <c r="J9083" s="35" t="n">
        <f aca="false">na_vr28</f>
        <v>1</v>
      </c>
      <c r="K9083" s="35" t="n">
        <f aca="false">na_vr28</f>
        <v>1</v>
      </c>
      <c r="L9083" s="35" t="n">
        <f aca="false">na_vr28</f>
        <v>1</v>
      </c>
      <c r="M9083" s="35" t="n">
        <f aca="false">na_vr28</f>
        <v>1</v>
      </c>
    </row>
    <row r="9084" customFormat="false" ht="17.15" hidden="false" customHeight="false" outlineLevel="0" collapsed="false">
      <c r="A9084" s="5" t="s">
        <v>603</v>
      </c>
      <c r="B9084" s="0" t="s">
        <v>173</v>
      </c>
      <c r="F9084" s="36" t="n">
        <f aca="false">cust_sh*tk_he_gb300*cf_chip+(1-cust_sh)*((1-Sens!$F$9083)*tk_he_gb300+Sens!$F$9083*tk_he_vr200)</f>
        <v>10.8864110021101</v>
      </c>
      <c r="G9084" s="36" t="n">
        <f aca="false">cust_sh*tk_he_gb300*cf_chip+(1-cust_sh)*((1-Sens!$G$9083)*tk_he_gb300+Sens!$G$9083*tk_he_vr200)</f>
        <v>10.8864110021101</v>
      </c>
      <c r="H9084" s="36" t="n">
        <f aca="false">cust_sh*tk_he_gb300*cf_chip+(1-cust_sh)*((1-Sens!$H$9083)*tk_he_gb300+Sens!$H$9083*tk_he_vr200)</f>
        <v>11.2211760027286</v>
      </c>
      <c r="I9084" s="36" t="n">
        <f aca="false">cust_sh*tk_he_gb300*cf_chip+(1-cust_sh)*((1-Sens!$I$9083)*tk_he_gb300+Sens!$I$9083*tk_he_vr200)</f>
        <v>11.5559410033471</v>
      </c>
      <c r="J9084" s="36" t="n">
        <f aca="false">cust_sh*tk_he_gb300*cf_chip+(1-cust_sh)*((1-Sens!$J$9083)*tk_he_gb300+Sens!$J$9083*tk_he_vr200)</f>
        <v>11.5559410033471</v>
      </c>
      <c r="K9084" s="36" t="n">
        <f aca="false">cust_sh*tk_he_gb300*cf_chip+(1-cust_sh)*((1-Sens!$K$9083)*tk_he_gb300+Sens!$K$9083*tk_he_vr200)</f>
        <v>11.5559410033471</v>
      </c>
      <c r="L9084" s="36" t="n">
        <f aca="false">cust_sh*tk_he_gb300*cf_chip+(1-cust_sh)*((1-Sens!$L$9083)*tk_he_gb300+Sens!$L$9083*tk_he_vr200)</f>
        <v>11.5559410033471</v>
      </c>
      <c r="M9084" s="36" t="n">
        <f aca="false">cust_sh*tk_he_gb300*cf_chip+(1-cust_sh)*((1-Sens!$M$9083)*tk_he_gb300+Sens!$M$9083*tk_he_vr200)</f>
        <v>11.5559410033471</v>
      </c>
    </row>
    <row r="9085" customFormat="false" ht="17.15" hidden="false" customHeight="false" outlineLevel="0" collapsed="false">
      <c r="A9085" s="5" t="s">
        <v>604</v>
      </c>
      <c r="B9085" s="0" t="s">
        <v>173</v>
      </c>
      <c r="F9085" s="36" t="n">
        <f aca="false">cust_sh*tk_ox_gb300+(1-cust_sh)*((1-Sens!$F$9083)*tk_ox_gb300+Sens!$F$9083*tk_ox_vr200)</f>
        <v>1.98263481314457</v>
      </c>
      <c r="G9085" s="36" t="n">
        <f aca="false">cust_sh*tk_ox_gb300+(1-cust_sh)*((1-Sens!$G$9083)*tk_ox_gb300+Sens!$G$9083*tk_ox_vr200)</f>
        <v>1.98263481314457</v>
      </c>
      <c r="H9085" s="36" t="n">
        <f aca="false">cust_sh*tk_ox_gb300+(1-cust_sh)*((1-Sens!$H$9083)*tk_ox_gb300+Sens!$H$9083*tk_ox_vr200)</f>
        <v>2.01034999693694</v>
      </c>
      <c r="I9085" s="36" t="n">
        <f aca="false">cust_sh*tk_ox_gb300+(1-cust_sh)*((1-Sens!$I$9083)*tk_ox_gb300+Sens!$I$9083*tk_ox_vr200)</f>
        <v>2.0380651807293</v>
      </c>
      <c r="J9085" s="36" t="n">
        <f aca="false">cust_sh*tk_ox_gb300+(1-cust_sh)*((1-Sens!$J$9083)*tk_ox_gb300+Sens!$J$9083*tk_ox_vr200)</f>
        <v>2.0380651807293</v>
      </c>
      <c r="K9085" s="36" t="n">
        <f aca="false">cust_sh*tk_ox_gb300+(1-cust_sh)*((1-Sens!$K$9083)*tk_ox_gb300+Sens!$K$9083*tk_ox_vr200)</f>
        <v>2.0380651807293</v>
      </c>
      <c r="L9085" s="36" t="n">
        <f aca="false">cust_sh*tk_ox_gb300+(1-cust_sh)*((1-Sens!$L$9083)*tk_ox_gb300+Sens!$L$9083*tk_ox_vr200)</f>
        <v>2.0380651807293</v>
      </c>
      <c r="M9085" s="36" t="n">
        <f aca="false">cust_sh*tk_ox_gb300+(1-cust_sh)*((1-Sens!$M$9083)*tk_ox_gb300+Sens!$M$9083*tk_ox_vr200)</f>
        <v>2.0380651807293</v>
      </c>
    </row>
    <row r="9086" customFormat="false" ht="17.15" hidden="false" customHeight="false" outlineLevel="0" collapsed="false">
      <c r="A9086" s="5" t="s">
        <v>605</v>
      </c>
      <c r="B9086" s="0" t="s">
        <v>192</v>
      </c>
      <c r="F9086" s="36" t="n">
        <f aca="false">cust_sh*tk_cx_gb300*cf_cx+(1-cust_sh)*((1-Sens!$F$9083)*tk_cx_gb300+Sens!$F$9083*tk_cx_vr200)</f>
        <v>32.237224</v>
      </c>
      <c r="G9086" s="36" t="n">
        <f aca="false">cust_sh*tk_cx_gb300*cf_cx+(1-cust_sh)*((1-Sens!$G$9083)*tk_cx_gb300+Sens!$G$9083*tk_cx_vr200)</f>
        <v>32.237224</v>
      </c>
      <c r="H9086" s="36" t="n">
        <f aca="false">cust_sh*tk_cx_gb300*cf_cx+(1-cust_sh)*((1-Sens!$H$9083)*tk_cx_gb300+Sens!$H$9083*tk_cx_vr200)</f>
        <v>33.574506</v>
      </c>
      <c r="I9086" s="36" t="n">
        <f aca="false">cust_sh*tk_cx_gb300*cf_cx+(1-cust_sh)*((1-Sens!$I$9083)*tk_cx_gb300+Sens!$I$9083*tk_cx_vr200)</f>
        <v>34.911788</v>
      </c>
      <c r="J9086" s="36" t="n">
        <f aca="false">cust_sh*tk_cx_gb300*cf_cx+(1-cust_sh)*((1-Sens!$J$9083)*tk_cx_gb300+Sens!$J$9083*tk_cx_vr200)</f>
        <v>34.911788</v>
      </c>
      <c r="K9086" s="36" t="n">
        <f aca="false">cust_sh*tk_cx_gb300*cf_cx+(1-cust_sh)*((1-Sens!$K$9083)*tk_cx_gb300+Sens!$K$9083*tk_cx_vr200)</f>
        <v>34.911788</v>
      </c>
      <c r="L9086" s="36" t="n">
        <f aca="false">cust_sh*tk_cx_gb300*cf_cx+(1-cust_sh)*((1-Sens!$L$9083)*tk_cx_gb300+Sens!$L$9083*tk_cx_vr200)</f>
        <v>34.911788</v>
      </c>
      <c r="M9086" s="36" t="n">
        <f aca="false">cust_sh*tk_cx_gb300*cf_cx+(1-cust_sh)*((1-Sens!$M$9083)*tk_cx_gb300+Sens!$M$9083*tk_cx_vr200)</f>
        <v>34.911788</v>
      </c>
    </row>
    <row r="9087" customFormat="false" ht="17.15" hidden="false" customHeight="false" outlineLevel="0" collapsed="false">
      <c r="A9087" s="5" t="s">
        <v>606</v>
      </c>
      <c r="B9087" s="0" t="s">
        <v>129</v>
      </c>
      <c r="F9087" s="32" t="n">
        <f aca="false">Sens!$F$9077-mw_open</f>
        <v>1817.15</v>
      </c>
      <c r="G9087" s="32" t="n">
        <f aca="false">Sens!$F$9087</f>
        <v>1817.15</v>
      </c>
      <c r="H9087" s="32" t="n">
        <f aca="false">Sens!$H$9077-mw_open</f>
        <v>5451.45</v>
      </c>
      <c r="I9087" s="32" t="n">
        <f aca="false">Sens!$I$9077-mw_open</f>
        <v>9085.75</v>
      </c>
      <c r="J9087" s="32" t="n">
        <f aca="false">Sens!$J$9077-mw_open</f>
        <v>12720.05</v>
      </c>
      <c r="K9087" s="32" t="n">
        <f aca="false">Sens!$K$9077-mw_open</f>
        <v>15241.5836666667</v>
      </c>
      <c r="L9087" s="32" t="n">
        <f aca="false">Sens!$L$9077-mw_open</f>
        <v>16650.351</v>
      </c>
      <c r="M9087" s="32" t="n">
        <f aca="false">Sens!$M$9077-mw_open</f>
        <v>16946.352</v>
      </c>
    </row>
    <row r="9088" customFormat="false" ht="17.15" hidden="false" customHeight="false" outlineLevel="0" collapsed="false">
      <c r="A9088" s="0" t="s">
        <v>607</v>
      </c>
      <c r="B9088" s="0" t="s">
        <v>608</v>
      </c>
      <c r="F9088" s="32" t="n">
        <f aca="false">Sens!$F$9080*Sens!$F$9084</f>
        <v>19782.2417524844</v>
      </c>
      <c r="G9088" s="32" t="n">
        <f aca="false">Sens!$F$9088</f>
        <v>19782.2417524844</v>
      </c>
      <c r="H9088" s="32" t="n">
        <f aca="false">Sens!$G$9088+Sens!$H$9080*Sens!$H$9084</f>
        <v>60563.3616992009</v>
      </c>
      <c r="I9088" s="32" t="n">
        <f aca="false">Sens!$H$9088+Sens!$I$9080*Sens!$I$9084</f>
        <v>102561.118087665</v>
      </c>
      <c r="J9088" s="32" t="n">
        <f aca="false">Sens!$I$9088+Sens!$J$9080*Sens!$J$9084</f>
        <v>144558.87447613</v>
      </c>
      <c r="K9088" s="32" t="n">
        <f aca="false">Sens!$J$9088+Sens!$K$9080*Sens!$K$9084</f>
        <v>173697.568766083</v>
      </c>
      <c r="L9088" s="32" t="n">
        <f aca="false">Sens!$K$9088+Sens!$L$9080*Sens!$L$9084</f>
        <v>189977.200957526</v>
      </c>
      <c r="M9088" s="32" t="n">
        <f aca="false">Sens!$L$9088+Sens!$M$9080*Sens!$M$9084</f>
        <v>193397.771050458</v>
      </c>
    </row>
    <row r="9089" customFormat="false" ht="17.15" hidden="false" customHeight="false" outlineLevel="0" collapsed="false">
      <c r="A9089" s="0" t="s">
        <v>609</v>
      </c>
      <c r="B9089" s="0" t="s">
        <v>608</v>
      </c>
      <c r="F9089" s="32" t="n">
        <f aca="false">Sens!$F$9080*Sens!$F$9085</f>
        <v>3602.74485070566</v>
      </c>
      <c r="G9089" s="32" t="n">
        <f aca="false">Sens!$F$9089</f>
        <v>3602.74485070566</v>
      </c>
      <c r="H9089" s="32" t="n">
        <f aca="false">Sens!$G$9089+Sens!$H$9080*Sens!$H$9085</f>
        <v>10908.9598445736</v>
      </c>
      <c r="I9089" s="32" t="n">
        <f aca="false">Sens!$H$9089+Sens!$I$9080*Sens!$I$9085</f>
        <v>18315.9001308981</v>
      </c>
      <c r="J9089" s="32" t="n">
        <f aca="false">Sens!$I$9089+Sens!$J$9080*Sens!$J$9085</f>
        <v>25722.8404172225</v>
      </c>
      <c r="K9089" s="32" t="n">
        <f aca="false">Sens!$J$9089+Sens!$K$9080*Sens!$K$9085</f>
        <v>30861.8903852926</v>
      </c>
      <c r="L9089" s="32" t="n">
        <f aca="false">Sens!$K$9089+Sens!$L$9080*Sens!$L$9085</f>
        <v>33733.0500351081</v>
      </c>
      <c r="M9089" s="32" t="n">
        <f aca="false">Sens!$L$9089+Sens!$M$9080*Sens!$M$9085</f>
        <v>34336.3193666691</v>
      </c>
    </row>
    <row r="9090" customFormat="false" ht="17.15" hidden="false" customHeight="false" outlineLevel="0" collapsed="false">
      <c r="A9090" s="5" t="s">
        <v>610</v>
      </c>
      <c r="B9090" s="0" t="s">
        <v>173</v>
      </c>
      <c r="F9090" s="36" t="n">
        <f aca="false">IF(Sens!$F$9087&gt;0,Sens!$F$9088/Sens!$F$9087,Sens!$F$9084)</f>
        <v>10.8864110021101</v>
      </c>
      <c r="G9090" s="36" t="n">
        <f aca="false">IF(Sens!$G$9087&gt;0,Sens!$G$9088/Sens!$G$9087,Sens!$G$9084)</f>
        <v>10.8864110021101</v>
      </c>
      <c r="H9090" s="36" t="n">
        <f aca="false">IF(Sens!$H$9087&gt;0,Sens!$H$9088/Sens!$H$9087,Sens!$H$9084)</f>
        <v>11.1095876691891</v>
      </c>
      <c r="I9090" s="36" t="n">
        <f aca="false">IF(Sens!$I$9087&gt;0,Sens!$I$9088/Sens!$I$9087,Sens!$I$9084)</f>
        <v>11.2881290028523</v>
      </c>
      <c r="J9090" s="36" t="n">
        <f aca="false">IF(Sens!$J$9087&gt;0,Sens!$J$9088/Sens!$J$9087,Sens!$J$9084)</f>
        <v>11.3646467172794</v>
      </c>
      <c r="K9090" s="36" t="n">
        <f aca="false">IF(Sens!$K$9087&gt;0,Sens!$K$9088/Sens!$K$9087,Sens!$K$9084)</f>
        <v>11.3962940180527</v>
      </c>
      <c r="L9090" s="36" t="n">
        <f aca="false">IF(Sens!$L$9087&gt;0,Sens!$L$9088/Sens!$L$9087,Sens!$L$9084)</f>
        <v>11.4098015685991</v>
      </c>
      <c r="M9090" s="36" t="n">
        <f aca="false">IF(Sens!$M$9087&gt;0,Sens!$M$9088/Sens!$M$9087,Sens!$M$9084)</f>
        <v>11.4123541780825</v>
      </c>
    </row>
    <row r="9091" customFormat="false" ht="17.15" hidden="false" customHeight="false" outlineLevel="0" collapsed="false">
      <c r="A9091" s="5" t="s">
        <v>611</v>
      </c>
      <c r="B9091" s="0" t="s">
        <v>173</v>
      </c>
      <c r="F9091" s="36" t="n">
        <f aca="false">IF(Sens!$F$9087&gt;0,Sens!$F$9089/Sens!$F$9087,Sens!$F$9085)</f>
        <v>1.98263481314457</v>
      </c>
      <c r="G9091" s="36" t="n">
        <f aca="false">IF(Sens!$G$9087&gt;0,Sens!$G$9089/Sens!$G$9087,Sens!$G$9085)</f>
        <v>1.98263481314457</v>
      </c>
      <c r="H9091" s="36" t="n">
        <f aca="false">IF(Sens!$H$9087&gt;0,Sens!$H$9089/Sens!$H$9087,Sens!$H$9085)</f>
        <v>2.00111160233948</v>
      </c>
      <c r="I9091" s="36" t="n">
        <f aca="false">IF(Sens!$I$9087&gt;0,Sens!$I$9089/Sens!$I$9087,Sens!$I$9085)</f>
        <v>2.01589303369541</v>
      </c>
      <c r="J9091" s="36" t="n">
        <f aca="false">IF(Sens!$J$9087&gt;0,Sens!$J$9089/Sens!$J$9087,Sens!$J$9085)</f>
        <v>2.02222793284795</v>
      </c>
      <c r="K9091" s="36" t="n">
        <f aca="false">IF(Sens!$K$9087&gt;0,Sens!$K$9089/Sens!$K$9087,Sens!$K$9085)</f>
        <v>2.02484801187606</v>
      </c>
      <c r="L9091" s="36" t="n">
        <f aca="false">IF(Sens!$L$9087&gt;0,Sens!$L$9089/Sens!$L$9087,Sens!$L$9085)</f>
        <v>2.02596630155773</v>
      </c>
      <c r="M9091" s="36" t="n">
        <f aca="false">IF(Sens!$M$9087&gt;0,Sens!$M$9089/Sens!$M$9087,Sens!$M$9085)</f>
        <v>2.02617763201597</v>
      </c>
    </row>
    <row r="9092" customFormat="false" ht="17.15" hidden="false" customHeight="false" outlineLevel="0" collapsed="false">
      <c r="A9092" s="15" t="s">
        <v>612</v>
      </c>
      <c r="B9092" s="14" t="s">
        <v>173</v>
      </c>
      <c r="C9092" s="14"/>
      <c r="D9092" s="14"/>
      <c r="E9092" s="14"/>
      <c r="F9092" s="37" t="n">
        <f aca="false">Sens!$F$9090*k_B</f>
        <v>10.7987645808025</v>
      </c>
      <c r="G9092" s="37" t="n">
        <f aca="false">Sens!$G$9090*k_B</f>
        <v>10.7987645808025</v>
      </c>
      <c r="H9092" s="37" t="n">
        <f aca="false">Sens!$H$9090*k_B</f>
        <v>11.0201444540452</v>
      </c>
      <c r="I9092" s="37" t="n">
        <f aca="false">Sens!$I$9090*k_B</f>
        <v>11.1972483526393</v>
      </c>
      <c r="J9092" s="37" t="n">
        <f aca="false">Sens!$J$9090*k_B</f>
        <v>11.2731500234653</v>
      </c>
      <c r="K9092" s="37" t="n">
        <f aca="false">Sens!$K$9090*k_B</f>
        <v>11.3045425320343</v>
      </c>
      <c r="L9092" s="37" t="n">
        <f aca="false">Sens!$L$9090*k_B</f>
        <v>11.3179413333826</v>
      </c>
      <c r="M9092" s="37" t="n">
        <f aca="false">Sens!$M$9090*k_B</f>
        <v>11.3204733918244</v>
      </c>
      <c r="N9092" s="14"/>
      <c r="O9092" s="14"/>
      <c r="P9092" s="5" t="s">
        <v>613</v>
      </c>
    </row>
    <row r="9093" customFormat="false" ht="17.15" hidden="false" customHeight="false" outlineLevel="0" collapsed="false">
      <c r="A9093" s="5" t="s">
        <v>614</v>
      </c>
      <c r="B9093" s="0" t="s">
        <v>129</v>
      </c>
      <c r="F9093" s="32" t="n">
        <f aca="false">Sens!$F$9087/2</f>
        <v>908.575</v>
      </c>
      <c r="H9093" s="32" t="n">
        <f aca="false">(Sens!$G$9087+Sens!$H$9087)/2</f>
        <v>3634.3</v>
      </c>
      <c r="I9093" s="32" t="n">
        <f aca="false">(Sens!$H$9087+Sens!$I$9087)/2</f>
        <v>7268.6</v>
      </c>
      <c r="J9093" s="32" t="n">
        <f aca="false">(Sens!$I$9087+Sens!$J$9087)/2</f>
        <v>10902.9</v>
      </c>
      <c r="K9093" s="32" t="n">
        <f aca="false">(Sens!$J$9087+Sens!$K$9087)/2</f>
        <v>13980.8168333333</v>
      </c>
      <c r="L9093" s="32" t="n">
        <f aca="false">(Sens!$K$9087+Sens!$L$9087)/2</f>
        <v>15945.9673333333</v>
      </c>
      <c r="M9093" s="32" t="n">
        <f aca="false">(Sens!$L$9087+Sens!$M$9087)/2</f>
        <v>16798.3515</v>
      </c>
    </row>
    <row r="9094" customFormat="false" ht="17.15" hidden="false" customHeight="false" outlineLevel="0" collapsed="false">
      <c r="A9094" s="1" t="s">
        <v>615</v>
      </c>
    </row>
    <row r="9095" customFormat="false" ht="17.15" hidden="false" customHeight="false" outlineLevel="0" collapsed="false">
      <c r="A9095" s="1" t="s">
        <v>616</v>
      </c>
      <c r="B9095" s="8" t="s">
        <v>86</v>
      </c>
      <c r="C9095" s="38" t="n">
        <f aca="false">Sens!$C$9078*rpm_open*Sens!$C$9079/1000</f>
        <v>2.32100535697364</v>
      </c>
      <c r="D9095" s="38" t="n">
        <f aca="false">Sens!$D$9078*rpm_open*Sens!$D$9079/1000</f>
        <v>8.70377008865116</v>
      </c>
      <c r="E9095" s="38" t="n">
        <f aca="false">Sens!$E$9078*rpm_open*Sens!$E$9079/1000</f>
        <v>8.51035297557002</v>
      </c>
      <c r="F9095" s="38" t="n">
        <f aca="false">(mw_open*rpm_open+Sens!$F$9093*Sens!$F$9092)*Sens!$F$9079/1000</f>
        <v>14.9634336447205</v>
      </c>
      <c r="G9095" s="38" t="n">
        <f aca="false">Sens!$E$9095+Sens!$F$9095</f>
        <v>23.4737866202905</v>
      </c>
      <c r="H9095" s="38" t="n">
        <f aca="false">(mw_open*rpm_open+Sens!$H$9093*Sens!$H$9092)/1000</f>
        <v>60.1658907497746</v>
      </c>
      <c r="I9095" s="38" t="n">
        <f aca="false">(mw_open*rpm_open+Sens!$I$9093*Sens!$I$9092)/1000</f>
        <v>101.503699136432</v>
      </c>
      <c r="J9095" s="38" t="n">
        <f aca="false">(mw_open*rpm_open+Sens!$J$9093*Sens!$J$9092)/1000</f>
        <v>143.025407151278</v>
      </c>
      <c r="K9095" s="38" t="n">
        <f aca="false">(mw_open*rpm_open+Sens!$K$9093*Sens!$K$9092)/1000</f>
        <v>178.162118285436</v>
      </c>
      <c r="L9095" s="38" t="n">
        <f aca="false">(mw_open*rpm_open+Sens!$L$9093*Sens!$L$9092)/1000</f>
        <v>200.590902543141</v>
      </c>
      <c r="M9095" s="38" t="n">
        <f aca="false">(mw_open*rpm_open+Sens!$M$9093*Sens!$M$9092)/1000</f>
        <v>210.280670942702</v>
      </c>
      <c r="N9095" s="38" t="n">
        <f aca="false">Sens!$N$9078*rpm_open*Sens!$N$9079/1000</f>
        <v>3.04631953102791</v>
      </c>
      <c r="O9095" s="38" t="n">
        <f aca="false">Sens!$O$9078*rpm_open*Sens!$O$9079/1000</f>
        <v>5.65745055762326</v>
      </c>
      <c r="P9095" s="5" t="s">
        <v>617</v>
      </c>
    </row>
    <row r="9096" customFormat="false" ht="17.15" hidden="false" customHeight="false" outlineLevel="0" collapsed="false">
      <c r="A9096" s="5" t="s">
        <v>618</v>
      </c>
      <c r="B9096" s="0" t="s">
        <v>173</v>
      </c>
      <c r="C9096" s="36" t="n">
        <f aca="false">Sens!$C$9095*1000/(Sens!$C$9078*Sens!$C$9079)</f>
        <v>9.67085565405685</v>
      </c>
      <c r="D9096" s="36" t="n">
        <f aca="false">Sens!$D$9095*1000/(Sens!$D$9078*Sens!$D$9079)</f>
        <v>9.67085565405685</v>
      </c>
      <c r="E9096" s="36" t="n">
        <f aca="false">Sens!$E$9095*1000/(Sens!$E$9078*Sens!$E$9079)</f>
        <v>9.67085565405685</v>
      </c>
      <c r="F9096" s="36" t="n">
        <f aca="false">Sens!$F$9095*1000/(Sens!$F$9078*Sens!$F$9079)</f>
        <v>10.0137581588017</v>
      </c>
      <c r="G9096" s="36" t="n">
        <f aca="false">Sens!$G$9095*1000/(Sens!$G$9078*Sens!$G$9079)</f>
        <v>9.88666562928478</v>
      </c>
      <c r="H9096" s="36" t="n">
        <f aca="false">Sens!$H$9095*1000/(Sens!$H$9078*Sens!$H$9079)</f>
        <v>10.5290045586992</v>
      </c>
      <c r="I9096" s="36" t="n">
        <f aca="false">Sens!$I$9095*1000/(Sens!$I$9078*Sens!$I$9079)</f>
        <v>10.8576363451674</v>
      </c>
      <c r="J9096" s="36" t="n">
        <f aca="false">Sens!$J$9095*1000/(Sens!$J$9078*Sens!$J$9079)</f>
        <v>11.0164452588619</v>
      </c>
      <c r="K9096" s="36" t="n">
        <f aca="false">Sens!$K$9095*1000/(Sens!$K$9078*Sens!$K$9079)</f>
        <v>11.0929674458194</v>
      </c>
      <c r="L9096" s="36" t="n">
        <f aca="false">Sens!$L$9095*1000/(Sens!$L$9078*Sens!$L$9079)</f>
        <v>11.1278856126745</v>
      </c>
      <c r="M9096" s="36" t="n">
        <f aca="false">Sens!$M$9095*1000/(Sens!$M$9078*Sens!$M$9079)</f>
        <v>11.1387199747129</v>
      </c>
      <c r="N9096" s="36" t="n">
        <f aca="false">Sens!$N$9095*1000/(Sens!$N$9078*Sens!$N$9079)</f>
        <v>9.67085565405685</v>
      </c>
      <c r="O9096" s="36" t="n">
        <f aca="false">Sens!$O$9095*1000/(Sens!$O$9078*Sens!$O$9079)</f>
        <v>9.67085565405685</v>
      </c>
    </row>
    <row r="9097" customFormat="false" ht="17.15" hidden="false" customHeight="false" outlineLevel="0" collapsed="false">
      <c r="A9097" s="0" t="s">
        <v>619</v>
      </c>
      <c r="B9097" s="0" t="s">
        <v>86</v>
      </c>
      <c r="C9097" s="38" t="n">
        <f aca="false">Sens!$C$9078/ext_sh*(ox_open+rent_mw)*Sens!$C$9079/1000</f>
        <v>0.642569210675032</v>
      </c>
      <c r="D9097" s="38" t="n">
        <f aca="false">Sens!$D$9078/ext_sh*(ox_open+rent_mw)*Sens!$D$9079/1000</f>
        <v>2.40963454003137</v>
      </c>
      <c r="E9097" s="38" t="n">
        <f aca="false">Sens!$E$9078/ext_sh*(ox_open+rent_mw)*Sens!$E$9079/1000</f>
        <v>2.35608710580845</v>
      </c>
      <c r="F9097" s="38" t="n">
        <f aca="false">((mw_open*ox_open+Sens!$F$9093*Sens!$F$9091)/ext_sh+Sens!$F$9078/ext_sh*rent_mw)*Sens!$F$9079/1000</f>
        <v>4.05421991106232</v>
      </c>
      <c r="G9097" s="38" t="n">
        <f aca="false">Sens!$E$9097+Sens!$F$9097</f>
        <v>6.41030701687077</v>
      </c>
      <c r="H9097" s="38" t="n">
        <f aca="false">((mw_open*ox_open+Sens!$H$9093*Sens!$H$9091)/ext_sh+Sens!$H$9078/ext_sh*rent_mw)*Sens!$H$9079/1000</f>
        <v>15.8108975546616</v>
      </c>
      <c r="I9097" s="38" t="n">
        <f aca="false">((mw_open*ox_open+Sens!$I$9093*Sens!$I$9091)/ext_sh+Sens!$I$9078/ext_sh*rent_mw)*Sens!$I$9079/1000</f>
        <v>26.1871623400817</v>
      </c>
      <c r="J9097" s="38" t="n">
        <f aca="false">((mw_open*ox_open+Sens!$J$9093*Sens!$J$9091)/ext_sh+Sens!$J$9078/ext_sh*rent_mw)*Sens!$J$9079/1000</f>
        <v>36.5826128954935</v>
      </c>
      <c r="K9097" s="38" t="n">
        <f aca="false">((mw_open*ox_open+Sens!$K$9093*Sens!$K$9091)/ext_sh+Sens!$K$9078/ext_sh*rent_mw)*Sens!$K$9079/1000</f>
        <v>45.3836433528648</v>
      </c>
      <c r="L9097" s="38" t="n">
        <f aca="false">((mw_open*ox_open+Sens!$L$9093*Sens!$L$9091)/ext_sh+Sens!$L$9078/ext_sh*rent_mw)*Sens!$L$9079/1000</f>
        <v>51.0023088908591</v>
      </c>
      <c r="M9097" s="38" t="n">
        <f aca="false">((mw_open*ox_open+Sens!$M$9093*Sens!$M$9091)/ext_sh+Sens!$M$9078/ext_sh*rent_mw)*Sens!$M$9079/1000</f>
        <v>53.4353660768611</v>
      </c>
      <c r="N9097" s="38" t="n">
        <f aca="false">Sens!$N$9078/ext_sh*(ox_open+rent_mw)*Sens!$N$9079/1000</f>
        <v>0.84337208901098</v>
      </c>
      <c r="O9097" s="38" t="n">
        <f aca="false">Sens!$O$9078/ext_sh*(ox_open+rent_mw)*Sens!$O$9079/1000</f>
        <v>1.56626245102039</v>
      </c>
    </row>
    <row r="9098" customFormat="false" ht="17.15" hidden="false" customHeight="false" outlineLevel="0" collapsed="false">
      <c r="A9098" s="0" t="s">
        <v>620</v>
      </c>
      <c r="B9098" s="0" t="s">
        <v>86</v>
      </c>
      <c r="C9098" s="38" t="n">
        <f aca="false">Q!$D$7</f>
        <v>107.556</v>
      </c>
      <c r="D9098" s="38" t="n">
        <f aca="false">Q!$E$7</f>
        <v>128.725</v>
      </c>
      <c r="E9098" s="38" t="n">
        <f aca="false">Q!$P$7</f>
        <v>79.819</v>
      </c>
      <c r="N9098" s="38" t="n">
        <f aca="false">Q!$N$7</f>
        <v>60.14</v>
      </c>
      <c r="O9098" s="38" t="n">
        <f aca="false">Q!$O$7</f>
        <v>68.585</v>
      </c>
    </row>
    <row r="9099" customFormat="false" ht="17.15" hidden="false" customHeight="false" outlineLevel="0" collapsed="false">
      <c r="A9099" s="1" t="s">
        <v>621</v>
      </c>
      <c r="B9099" s="8" t="s">
        <v>86</v>
      </c>
      <c r="C9099" s="38" t="n">
        <f aca="false">Sens!$C$9098-Sens!$C$9095</f>
        <v>105.234994643026</v>
      </c>
      <c r="D9099" s="38" t="n">
        <f aca="false">Sens!$D$9098-Sens!$D$9095</f>
        <v>120.021229911349</v>
      </c>
      <c r="E9099" s="38" t="n">
        <f aca="false">Sens!$E$9098-Sens!$E$9095</f>
        <v>71.30864702443</v>
      </c>
      <c r="F9099" s="38" t="n">
        <f aca="false">Sens!$O$9099*(1+Sens!$F$9100)</f>
        <v>71.7692997942464</v>
      </c>
      <c r="G9099" s="38" t="n">
        <f aca="false">Sens!$E$9099+Sens!$F$9099</f>
        <v>143.077946818676</v>
      </c>
      <c r="H9099" s="38" t="n">
        <f aca="false">Sens!$G$9099*(1+Sens!$H$9100)</f>
        <v>161.017077079203</v>
      </c>
      <c r="I9099" s="38" t="n">
        <f aca="false">Sens!$H$9099*(1+Sens!$I$9100)</f>
        <v>178.769759521457</v>
      </c>
      <c r="J9099" s="38" t="n">
        <f aca="false">Sens!$I$9099*(1+Sens!$J$9100)</f>
        <v>195.775538045907</v>
      </c>
      <c r="K9099" s="38" t="n">
        <f aca="false">Sens!$J$9099*(1+Sens!$K$9100)</f>
        <v>211.43758108958</v>
      </c>
      <c r="L9099" s="38" t="n">
        <f aca="false">Sens!$K$9099*(1+Sens!$L$9100)</f>
        <v>228.352587576746</v>
      </c>
      <c r="M9099" s="38" t="n">
        <f aca="false">Sens!$L$9099*(1+Sens!$M$9100)</f>
        <v>246.620794582886</v>
      </c>
      <c r="N9099" s="38" t="n">
        <f aca="false">Sens!$N$9098-Sens!$N$9095</f>
        <v>57.0936804689721</v>
      </c>
      <c r="O9099" s="38" t="n">
        <f aca="false">Sens!$O$9098-Sens!$O$9095</f>
        <v>62.9275494423768</v>
      </c>
      <c r="P9099" s="5" t="s">
        <v>622</v>
      </c>
    </row>
    <row r="9100" customFormat="false" ht="17.15" hidden="false" customHeight="false" outlineLevel="0" collapsed="false">
      <c r="A9100" s="0" t="s">
        <v>623</v>
      </c>
      <c r="B9100" s="0" t="s">
        <v>52</v>
      </c>
      <c r="D9100" s="13" t="n">
        <f aca="false">Sens!$D$9099/Sens!$C$9099-1</f>
        <v>0.140506827776062</v>
      </c>
      <c r="E9100" s="13" t="n">
        <f aca="false">Sens!$E$9099/Sens!$N$9099-1</f>
        <v>0.248976181579029</v>
      </c>
      <c r="F9100" s="13" t="n">
        <f aca="false">Sens!$D$9100</f>
        <v>0.140506827776062</v>
      </c>
      <c r="G9100" s="13" t="n">
        <f aca="false">Sens!$G$9099/Sens!$D$9099-1</f>
        <v>0.19210532106993</v>
      </c>
      <c r="H9100" s="13" t="n">
        <f aca="false">Sens!$F$9100+(g_awso_lt-Sens!$F$9100)*1/4</f>
        <v>0.125380120832046</v>
      </c>
      <c r="I9100" s="13" t="n">
        <f aca="false">Sens!$F$9100+(g_awso_lt-Sens!$F$9100)*2/4</f>
        <v>0.110253413888031</v>
      </c>
      <c r="J9100" s="13" t="n">
        <f aca="false">Sens!$F$9100+(g_awso_lt-Sens!$F$9100)*3/4</f>
        <v>0.0951267069440154</v>
      </c>
      <c r="K9100" s="13" t="n">
        <f aca="false">Sens!$F$9100+(g_awso_lt-Sens!$F$9100)*4/4</f>
        <v>0.08</v>
      </c>
      <c r="L9100" s="13" t="n">
        <f aca="false">g_awso_lt</f>
        <v>0.08</v>
      </c>
      <c r="M9100" s="13" t="n">
        <f aca="false">g_awso_lt</f>
        <v>0.08</v>
      </c>
      <c r="P9100" s="5" t="s">
        <v>624</v>
      </c>
    </row>
    <row r="9101" customFormat="false" ht="17.15" hidden="false" customHeight="false" outlineLevel="0" collapsed="false">
      <c r="A9101" s="1" t="s">
        <v>625</v>
      </c>
    </row>
    <row r="9102" customFormat="false" ht="17.15" hidden="false" customHeight="false" outlineLevel="0" collapsed="false">
      <c r="A9102" s="0" t="s">
        <v>626</v>
      </c>
      <c r="B9102" s="0" t="s">
        <v>86</v>
      </c>
      <c r="F9102" s="38" t="n">
        <f aca="false">cx_rt*Sens!$F$9067+cx_awso*Sens!$F$9099</f>
        <v>34.9734495387866</v>
      </c>
    </row>
    <row r="9103" customFormat="false" ht="17.15" hidden="false" customHeight="false" outlineLevel="0" collapsed="false">
      <c r="A9103" s="0" t="s">
        <v>627</v>
      </c>
      <c r="B9103" s="0" t="s">
        <v>52</v>
      </c>
      <c r="C9103" s="13" t="n">
        <f aca="false">tk_cx_h100/(tk_cx_h100+tk_fac*(1-colo_sh))</f>
        <v>0.730756458006641</v>
      </c>
      <c r="D9103" s="13" t="n">
        <f aca="false">tk_cx_h100/(tk_cx_h100+tk_fac*(1-colo_sh))</f>
        <v>0.730756458006641</v>
      </c>
      <c r="E9103" s="13" t="n">
        <f aca="false">Sens!$F$9103</f>
        <v>0.760792334328868</v>
      </c>
      <c r="F9103" s="13" t="n">
        <f aca="false">Sens!$F$9086/(Sens!$F$9086+tk_fac*(1-colo_sh))</f>
        <v>0.760792334328868</v>
      </c>
      <c r="G9103" s="13" t="n">
        <f aca="false">Sens!$G$9086/(Sens!$G$9086+tk_fac*(1-colo_sh))</f>
        <v>0.760792334328868</v>
      </c>
      <c r="H9103" s="13" t="n">
        <f aca="false">Sens!$H$9086/(Sens!$H$9086+tk_fac*(1-colo_sh))</f>
        <v>0.768110668862996</v>
      </c>
      <c r="I9103" s="13" t="n">
        <f aca="false">Sens!$I$9086/(Sens!$I$9086+tk_fac*(1-colo_sh))</f>
        <v>0.77499450139483</v>
      </c>
      <c r="J9103" s="13" t="n">
        <f aca="false">Sens!$J$9086/(Sens!$J$9086+tk_fac*(1-colo_sh))</f>
        <v>0.77499450139483</v>
      </c>
      <c r="K9103" s="13" t="n">
        <f aca="false">Sens!$K$9086/(Sens!$K$9086+tk_fac*(1-colo_sh))</f>
        <v>0.77499450139483</v>
      </c>
      <c r="L9103" s="13" t="n">
        <f aca="false">Sens!$L$9086/(Sens!$L$9086+tk_fac*(1-colo_sh))</f>
        <v>0.77499450139483</v>
      </c>
      <c r="M9103" s="13" t="n">
        <f aca="false">Sens!$M$9086/(Sens!$M$9086+tk_fac*(1-colo_sh))</f>
        <v>0.77499450139483</v>
      </c>
    </row>
    <row r="9104" customFormat="false" ht="17.15" hidden="false" customHeight="false" outlineLevel="0" collapsed="false">
      <c r="A9104" s="1" t="s">
        <v>628</v>
      </c>
      <c r="B9104" s="8" t="s">
        <v>86</v>
      </c>
      <c r="C9104" s="38" t="n">
        <f aca="false">Q!$D$46-cx_rt*Q!$D$16-cx_awso*Sens!$C$9099</f>
        <v>25.2781053077374</v>
      </c>
      <c r="D9104" s="38" t="n">
        <f aca="false">Q!$E$46-cx_rt*Q!$E$16-cx_awso*Sens!$D$9099</f>
        <v>69.5686316310026</v>
      </c>
      <c r="E9104" s="38" t="n">
        <f aca="false">Q!$P$46-cx_rt*Q!$P$16-cx_awso*Sens!$E$9099</f>
        <v>64.1899206485108</v>
      </c>
      <c r="F9104" s="38" t="n">
        <f aca="false">MAX(Sens!$F$9081*(Sens!$F$9086+tk_fac*(1-colo_sh))/1000,capex_g26-Q!$P$46-Sens!$F$9102)</f>
        <v>96.2481299895</v>
      </c>
      <c r="G9104" s="38" t="n">
        <f aca="false">Sens!$E$9104+Sens!$F$9104</f>
        <v>160.438050638011</v>
      </c>
      <c r="H9104" s="38" t="n">
        <f aca="false">Sens!$H$9081*(Sens!$H$9086+tk_fac*(1-colo_sh))/1000+Sens!$H$9105</f>
        <v>198.57136494475</v>
      </c>
      <c r="I9104" s="38" t="n">
        <f aca="false">Sens!$I$9081*(Sens!$I$9086+tk_fac*(1-colo_sh))/1000+Sens!$I$9105</f>
        <v>204.6464699105</v>
      </c>
      <c r="J9104" s="38" t="n">
        <f aca="false">Sens!$J$9081*(Sens!$J$9086+tk_fac*(1-colo_sh))/1000+Sens!$J$9105</f>
        <v>209.8832381105</v>
      </c>
      <c r="K9104" s="38" t="n">
        <f aca="false">Sens!$K$9081*(Sens!$K$9086+tk_fac*(1-colo_sh))/1000+Sens!$K$9105</f>
        <v>152.460428963578</v>
      </c>
      <c r="L9104" s="38" t="n">
        <f aca="false">Sens!$L$9081*(Sens!$L$9086+tk_fac*(1-colo_sh))/1000+Sens!$L$9105</f>
        <v>126.458229016657</v>
      </c>
      <c r="M9104" s="38" t="n">
        <f aca="false">Sens!$M$9081*(Sens!$M$9086+tk_fac*(1-colo_sh))/1000+Sens!$M$9105</f>
        <v>123.897112724985</v>
      </c>
      <c r="P9104" s="5" t="s">
        <v>629</v>
      </c>
      <c r="R9104" s="38" t="n">
        <f aca="false">Q!$C$46-cx_rt*Q!$C$16-cx_awso*(Q!$C$7-mw_ye23/2*rpm_open/1000)</f>
        <v>1.50429979529945</v>
      </c>
      <c r="S9104" s="38" t="n">
        <f aca="false">Sens!$C$9104</f>
        <v>25.2781053077374</v>
      </c>
      <c r="T9104" s="38" t="n">
        <f aca="false">Sens!$D$9104</f>
        <v>69.5686316310026</v>
      </c>
      <c r="U9104" s="38" t="n">
        <f aca="false">Sens!$G$9104</f>
        <v>160.438050638011</v>
      </c>
      <c r="V9104" s="38" t="n">
        <f aca="false">Sens!$H$9104</f>
        <v>198.57136494475</v>
      </c>
      <c r="W9104" s="38" t="n">
        <f aca="false">Sens!$I$9104</f>
        <v>204.6464699105</v>
      </c>
      <c r="X9104" s="38" t="n">
        <f aca="false">Sens!$J$9104</f>
        <v>209.8832381105</v>
      </c>
      <c r="Y9104" s="38" t="n">
        <f aca="false">Sens!$K$9104</f>
        <v>152.460428963578</v>
      </c>
      <c r="Z9104" s="38" t="n">
        <f aca="false">Sens!$L$9104</f>
        <v>126.458229016657</v>
      </c>
      <c r="AA9104" s="38" t="n">
        <f aca="false">Sens!$M$9104</f>
        <v>123.897112724985</v>
      </c>
    </row>
    <row r="9105" customFormat="false" ht="17.15" hidden="false" customHeight="false" outlineLevel="0" collapsed="false">
      <c r="A9105" s="0" t="s">
        <v>630</v>
      </c>
      <c r="B9105" s="0" t="s">
        <v>86</v>
      </c>
      <c r="H9105" s="38" t="n">
        <f aca="false">SUMPRODUCT(--(Sens!$R$9074:$AA$9074=2027-tk_life),Sens!$R$9081:$AA$9081)*Sens!$H$9086/1000</f>
        <v>0</v>
      </c>
      <c r="I9105" s="38" t="n">
        <f aca="false">SUMPRODUCT(--(Sens!$R$9074:$AA$9074=2028-tk_life),Sens!$R$9081:$AA$9081)*Sens!$I$9086/1000</f>
        <v>0</v>
      </c>
      <c r="J9105" s="38" t="n">
        <f aca="false">SUMPRODUCT(--(Sens!$R$9074:$AA$9074=2029-tk_life),Sens!$R$9081:$AA$9081)*Sens!$J$9086/1000</f>
        <v>5.2367682</v>
      </c>
      <c r="K9105" s="38" t="n">
        <f aca="false">SUMPRODUCT(--(Sens!$R$9074:$AA$9074=2030-tk_life),Sens!$R$9081:$AA$9081)*Sens!$K$9086/1000</f>
        <v>10.4735364</v>
      </c>
      <c r="L9105" s="38" t="n">
        <f aca="false">SUMPRODUCT(--(Sens!$R$9074:$AA$9074=2031-tk_life),Sens!$R$9081:$AA$9081)*Sens!$L$9086/1000</f>
        <v>47.1309138</v>
      </c>
      <c r="M9105" s="38" t="n">
        <f aca="false">SUMPRODUCT(--(Sens!$R$9074:$AA$9074=2032-tk_life),Sens!$R$9081:$AA$9081)*Sens!$M$9086/1000</f>
        <v>107.22937485525</v>
      </c>
    </row>
    <row r="9106" customFormat="false" ht="17.15" hidden="false" customHeight="false" outlineLevel="0" collapsed="false">
      <c r="A9106" s="0" t="s">
        <v>631</v>
      </c>
      <c r="B9106" s="0" t="s">
        <v>86</v>
      </c>
      <c r="C9106" s="38" t="n">
        <f aca="false">MIN(Sens!$C$9104,Sens!$C$9081*(tk_cx_h100+tk_fac*(1-colo_sh))/1000)</f>
        <v>11.2938642</v>
      </c>
      <c r="D9106" s="38" t="n">
        <f aca="false">MIN(Sens!$D$9104,Sens!$D$9081*(tk_cx_h100+tk_fac*(1-colo_sh))/1000)</f>
        <v>50.8223889</v>
      </c>
      <c r="E9106" s="38" t="n">
        <f aca="false">MIN(Sens!$E$9104,Sens!$E$9081*(Sens!$F$9086+tk_fac*(1-colo_sh))/1000)</f>
        <v>33.8985792</v>
      </c>
      <c r="F9106" s="38" t="n">
        <f aca="false">Sens!$F$9104</f>
        <v>96.2481299895</v>
      </c>
      <c r="G9106" s="38" t="n">
        <f aca="false">Sens!$E$9106+Sens!$F$9106</f>
        <v>130.1467091895</v>
      </c>
      <c r="H9106" s="38" t="n">
        <f aca="false">Sens!$H$9104</f>
        <v>198.57136494475</v>
      </c>
      <c r="I9106" s="38" t="n">
        <f aca="false">Sens!$I$9104</f>
        <v>204.6464699105</v>
      </c>
      <c r="J9106" s="38" t="n">
        <f aca="false">Sens!$J$9104</f>
        <v>209.8832381105</v>
      </c>
      <c r="K9106" s="38" t="n">
        <f aca="false">Sens!$K$9104</f>
        <v>152.460428963578</v>
      </c>
      <c r="L9106" s="38" t="n">
        <f aca="false">Sens!$L$9104</f>
        <v>126.458229016657</v>
      </c>
      <c r="M9106" s="38" t="n">
        <f aca="false">Sens!$M$9104</f>
        <v>123.897112724985</v>
      </c>
      <c r="P9106" s="5" t="s">
        <v>632</v>
      </c>
      <c r="R9106" s="38" t="n">
        <f aca="false">MIN(Sens!$R$9104,Sens!$R$9081*(tk_cx_h100+tk_fac*(1-colo_sh))/1000)</f>
        <v>1.50429979529945</v>
      </c>
      <c r="S9106" s="38" t="n">
        <f aca="false">Sens!$C$9106</f>
        <v>11.2938642</v>
      </c>
      <c r="T9106" s="38" t="n">
        <f aca="false">Sens!$D$9106</f>
        <v>50.8223889</v>
      </c>
      <c r="U9106" s="38" t="n">
        <f aca="false">Sens!$G$9106</f>
        <v>130.1467091895</v>
      </c>
      <c r="V9106" s="38" t="n">
        <f aca="false">Sens!$H$9106</f>
        <v>198.57136494475</v>
      </c>
      <c r="W9106" s="38" t="n">
        <f aca="false">Sens!$I$9106</f>
        <v>204.6464699105</v>
      </c>
      <c r="X9106" s="38" t="n">
        <f aca="false">Sens!$J$9106</f>
        <v>209.8832381105</v>
      </c>
      <c r="Y9106" s="38" t="n">
        <f aca="false">Sens!$K$9106</f>
        <v>152.460428963578</v>
      </c>
      <c r="Z9106" s="38" t="n">
        <f aca="false">Sens!$L$9106</f>
        <v>126.458229016657</v>
      </c>
      <c r="AA9106" s="38" t="n">
        <f aca="false">Sens!$M$9106</f>
        <v>123.897112724985</v>
      </c>
    </row>
    <row r="9107" customFormat="false" ht="17.15" hidden="false" customHeight="false" outlineLevel="0" collapsed="false">
      <c r="A9107" s="5" t="s">
        <v>633</v>
      </c>
      <c r="B9107" s="0" t="s">
        <v>86</v>
      </c>
      <c r="C9107" s="38" t="n">
        <f aca="false">Sens!$C$9104-Sens!$C$9106</f>
        <v>13.9842411077374</v>
      </c>
      <c r="D9107" s="38" t="n">
        <f aca="false">Sens!$D$9104-Sens!$D$9106</f>
        <v>18.7462427310026</v>
      </c>
      <c r="E9107" s="38" t="n">
        <f aca="false">Sens!$E$9104-Sens!$E$9106</f>
        <v>30.2913414485108</v>
      </c>
      <c r="F9107" s="38" t="n">
        <f aca="false">Sens!$F$9104-Sens!$F$9106</f>
        <v>0</v>
      </c>
      <c r="G9107" s="38" t="n">
        <f aca="false">Sens!$G$9104-Sens!$G$9106</f>
        <v>30.2913414485108</v>
      </c>
      <c r="H9107" s="38" t="n">
        <f aca="false">Sens!$H$9104-Sens!$H$9106</f>
        <v>0</v>
      </c>
      <c r="I9107" s="38" t="n">
        <f aca="false">Sens!$I$9104-Sens!$I$9106</f>
        <v>0</v>
      </c>
      <c r="J9107" s="38" t="n">
        <f aca="false">Sens!$J$9104-Sens!$J$9106</f>
        <v>0</v>
      </c>
      <c r="K9107" s="38" t="n">
        <f aca="false">Sens!$K$9104-Sens!$K$9106</f>
        <v>0</v>
      </c>
      <c r="L9107" s="38" t="n">
        <f aca="false">Sens!$L$9104-Sens!$L$9106</f>
        <v>0</v>
      </c>
      <c r="M9107" s="38" t="n">
        <f aca="false">Sens!$M$9104-Sens!$M$9106</f>
        <v>0</v>
      </c>
    </row>
    <row r="9108" customFormat="false" ht="17.15" hidden="false" customHeight="false" outlineLevel="0" collapsed="false">
      <c r="A9108" s="5" t="s">
        <v>634</v>
      </c>
      <c r="B9108" s="0" t="s">
        <v>86</v>
      </c>
      <c r="C9108" s="38" t="n">
        <f aca="false">Sens!$C$9106*Sens!$C$9103</f>
        <v>8.2530642</v>
      </c>
      <c r="D9108" s="38" t="n">
        <f aca="false">Sens!$D$9106*Sens!$D$9103</f>
        <v>37.1387889</v>
      </c>
      <c r="E9108" s="38" t="n">
        <f aca="false">Sens!$E$9106*Sens!$E$9103</f>
        <v>25.7897792</v>
      </c>
      <c r="F9108" s="38" t="n">
        <f aca="false">Sens!$F$9106*Sens!$F$9103</f>
        <v>73.2248394895</v>
      </c>
      <c r="G9108" s="38" t="n">
        <f aca="false">Sens!$E$9108+Sens!$F$9108</f>
        <v>99.0146186895</v>
      </c>
      <c r="H9108" s="38" t="n">
        <f aca="false">(Sens!$H$9106-Sens!$H$9105)*Sens!$H$9103+Sens!$H$9105</f>
        <v>152.52478394475</v>
      </c>
      <c r="I9108" s="38" t="n">
        <f aca="false">(Sens!$I$9106-Sens!$I$9105)*Sens!$I$9103+Sens!$I$9105</f>
        <v>158.5998889105</v>
      </c>
      <c r="J9108" s="38" t="n">
        <f aca="false">(Sens!$J$9106-Sens!$J$9105)*Sens!$J$9103+Sens!$J$9105</f>
        <v>163.8366571105</v>
      </c>
      <c r="K9108" s="38" t="n">
        <f aca="false">(Sens!$K$9106-Sens!$K$9105)*Sens!$K$9103+Sens!$K$9105</f>
        <v>120.512597406912</v>
      </c>
      <c r="L9108" s="38" t="n">
        <f aca="false">(Sens!$L$9106-Sens!$L$9105)*Sens!$L$9103+Sens!$L$9105</f>
        <v>108.609146903323</v>
      </c>
      <c r="M9108" s="38" t="n">
        <f aca="false">(Sens!$M$9106-Sens!$M$9105)*Sens!$M$9103+Sens!$M$9105</f>
        <v>120.146780054985</v>
      </c>
      <c r="R9108" s="38" t="n">
        <f aca="false">Sens!$R$9106*Sens!$C$9103</f>
        <v>1.09927679019314</v>
      </c>
      <c r="S9108" s="38" t="n">
        <f aca="false">Sens!$C$9108</f>
        <v>8.2530642</v>
      </c>
      <c r="T9108" s="38" t="n">
        <f aca="false">Sens!$D$9108</f>
        <v>37.1387889</v>
      </c>
      <c r="U9108" s="38" t="n">
        <f aca="false">Sens!$G$9108</f>
        <v>99.0146186895</v>
      </c>
      <c r="V9108" s="38" t="n">
        <f aca="false">Sens!$H$9108</f>
        <v>152.52478394475</v>
      </c>
      <c r="W9108" s="38" t="n">
        <f aca="false">Sens!$I$9108</f>
        <v>158.5998889105</v>
      </c>
      <c r="X9108" s="38" t="n">
        <f aca="false">Sens!$J$9108</f>
        <v>163.8366571105</v>
      </c>
      <c r="Y9108" s="38" t="n">
        <f aca="false">Sens!$K$9108</f>
        <v>120.512597406912</v>
      </c>
      <c r="Z9108" s="38" t="n">
        <f aca="false">Sens!$L$9108</f>
        <v>108.609146903323</v>
      </c>
      <c r="AA9108" s="38" t="n">
        <f aca="false">Sens!$M$9108</f>
        <v>120.146780054985</v>
      </c>
    </row>
    <row r="9109" customFormat="false" ht="15" hidden="false" customHeight="false" outlineLevel="0" collapsed="false">
      <c r="A9109" s="5" t="s">
        <v>635</v>
      </c>
      <c r="B9109" s="0" t="s">
        <v>86</v>
      </c>
      <c r="C9109" s="38" t="n">
        <f aca="false">Sens!$C$9106-Sens!$C$9108</f>
        <v>3.0408</v>
      </c>
      <c r="D9109" s="38" t="n">
        <f aca="false">Sens!$D$9106-Sens!$D$9108</f>
        <v>13.6836</v>
      </c>
      <c r="E9109" s="38" t="n">
        <f aca="false">Sens!$E$9106-Sens!$E$9108</f>
        <v>8.1088</v>
      </c>
      <c r="F9109" s="38" t="n">
        <f aca="false">Sens!$F$9106-Sens!$F$9108</f>
        <v>23.0232905</v>
      </c>
      <c r="G9109" s="38" t="n">
        <f aca="false">Sens!$G$9106-Sens!$G$9108</f>
        <v>31.1320905</v>
      </c>
      <c r="H9109" s="38" t="n">
        <f aca="false">Sens!$H$9106-Sens!$H$9108</f>
        <v>46.046581</v>
      </c>
      <c r="I9109" s="38" t="n">
        <f aca="false">Sens!$I$9106-Sens!$I$9108</f>
        <v>46.046581</v>
      </c>
      <c r="J9109" s="38" t="n">
        <f aca="false">Sens!$J$9106-Sens!$J$9108</f>
        <v>46.046581</v>
      </c>
      <c r="K9109" s="38" t="n">
        <f aca="false">Sens!$K$9106-Sens!$K$9108</f>
        <v>31.9478315566667</v>
      </c>
      <c r="L9109" s="38" t="n">
        <f aca="false">Sens!$L$9106-Sens!$L$9108</f>
        <v>17.8490821133333</v>
      </c>
      <c r="M9109" s="38" t="n">
        <f aca="false">Sens!$M$9106-Sens!$M$9108</f>
        <v>3.75033267000001</v>
      </c>
      <c r="R9109" s="38" t="n">
        <f aca="false">Sens!$R$9106-Sens!$R$9108</f>
        <v>0.405023005106309</v>
      </c>
      <c r="S9109" s="38" t="n">
        <f aca="false">Sens!$S$9106-Sens!$S$9108</f>
        <v>3.0408</v>
      </c>
      <c r="T9109" s="38" t="n">
        <f aca="false">Sens!$T$9106-Sens!$T$9108</f>
        <v>13.6836</v>
      </c>
      <c r="U9109" s="38" t="n">
        <f aca="false">Sens!$U$9106-Sens!$U$9108</f>
        <v>31.1320905</v>
      </c>
      <c r="V9109" s="38" t="n">
        <f aca="false">Sens!$V$9106-Sens!$V$9108</f>
        <v>46.046581</v>
      </c>
      <c r="W9109" s="38" t="n">
        <f aca="false">Sens!$W$9106-Sens!$W$9108</f>
        <v>46.046581</v>
      </c>
      <c r="X9109" s="38" t="n">
        <f aca="false">Sens!$X$9106-Sens!$X$9108</f>
        <v>46.046581</v>
      </c>
      <c r="Y9109" s="38" t="n">
        <f aca="false">Sens!$Y$9106-Sens!$Y$9108</f>
        <v>31.9478315566667</v>
      </c>
      <c r="Z9109" s="38" t="n">
        <f aca="false">Sens!$Z$9106-Sens!$Z$9108</f>
        <v>17.8490821133333</v>
      </c>
      <c r="AA9109" s="38" t="n">
        <f aca="false">Sens!$AA$9106-Sens!$AA$9108</f>
        <v>3.75033267000001</v>
      </c>
    </row>
    <row r="9110" customFormat="false" ht="17.15" hidden="false" customHeight="false" outlineLevel="0" collapsed="false">
      <c r="A9110" s="0" t="s">
        <v>636</v>
      </c>
      <c r="B9110" s="0" t="s">
        <v>52</v>
      </c>
      <c r="C9110" s="13" t="n">
        <f aca="false">Sens!$C$9104/Sens!$C$9226</f>
        <v>0.325505489553393</v>
      </c>
      <c r="D9110" s="13" t="n">
        <f aca="false">Sens!$D$9104/Sens!$D$9226</f>
        <v>0.54214956071542</v>
      </c>
      <c r="E9110" s="13" t="n">
        <f aca="false">Sens!$E$9104/Sens!$E$9226</f>
        <v>0.666492790452817</v>
      </c>
      <c r="F9110" s="13" t="n">
        <f aca="false">Sens!$F$9104/Sens!$F$9226</f>
        <v>0.733477910687338</v>
      </c>
      <c r="G9110" s="13" t="n">
        <f aca="false">Sens!$G$9104/Sens!$G$9226</f>
        <v>0.705124321514523</v>
      </c>
      <c r="H9110" s="13" t="n">
        <f aca="false">Sens!$H$9104/Sens!$H$9226</f>
        <v>0.726376041178204</v>
      </c>
      <c r="I9110" s="13" t="n">
        <f aca="false">Sens!$I$9104/Sens!$I$9226</f>
        <v>0.713099092661699</v>
      </c>
      <c r="J9110" s="13" t="n">
        <f aca="false">Sens!$J$9104/Sens!$J$9226</f>
        <v>0.701208348786245</v>
      </c>
      <c r="K9110" s="13" t="n">
        <f aca="false">Sens!$K$9104/Sens!$K$9226</f>
        <v>0.614068498670476</v>
      </c>
      <c r="L9110" s="13" t="n">
        <f aca="false">Sens!$L$9104/Sens!$L$9226</f>
        <v>0.551880938289018</v>
      </c>
      <c r="M9110" s="13" t="n">
        <f aca="false">Sens!$M$9104/Sens!$M$9226</f>
        <v>0.529570283055906</v>
      </c>
    </row>
    <row r="9111" customFormat="false" ht="17.15" hidden="false" customHeight="false" outlineLevel="0" collapsed="false">
      <c r="A9111" s="0" t="s">
        <v>637</v>
      </c>
      <c r="B9111" s="0" t="s">
        <v>86</v>
      </c>
      <c r="C9111" s="38" t="n">
        <f aca="false">Sens!$S$9111</f>
        <v>0.183212798365523</v>
      </c>
      <c r="D9111" s="38" t="n">
        <f aca="false">Sens!$T$9111</f>
        <v>1.55872349836552</v>
      </c>
      <c r="E9111" s="38" t="n">
        <f aca="false">Sens!$G$9111/2</f>
        <v>3.87426082418276</v>
      </c>
      <c r="F9111" s="38" t="n">
        <f aca="false">Sens!$G$9111/2</f>
        <v>3.87426082418276</v>
      </c>
      <c r="G9111" s="38" t="n">
        <f aca="false">Sens!$U$9111</f>
        <v>7.74852164836552</v>
      </c>
      <c r="H9111" s="38" t="n">
        <f aca="false">Sens!$V$9111</f>
        <v>24.2509580966155</v>
      </c>
      <c r="I9111" s="38" t="n">
        <f aca="false">Sens!$W$9111</f>
        <v>49.6717554207405</v>
      </c>
      <c r="J9111" s="38" t="n">
        <f aca="false">Sens!$X$9111</f>
        <v>76.1050702391572</v>
      </c>
      <c r="K9111" s="38" t="n">
        <f aca="false">Sens!$Y$9111</f>
        <v>103.227966959208</v>
      </c>
      <c r="L9111" s="38" t="n">
        <f aca="false">Sens!$Z$9111</f>
        <v>121.93788916036</v>
      </c>
      <c r="M9111" s="38" t="n">
        <f aca="false">Sens!$AA$9111</f>
        <v>133.849615494248</v>
      </c>
      <c r="N9111" s="38" t="n">
        <f aca="false">Sens!$D$9111/2</f>
        <v>0.779361749182762</v>
      </c>
      <c r="O9111" s="38" t="n">
        <f aca="false">Sens!$D$9111/2</f>
        <v>0.779361749182762</v>
      </c>
      <c r="R9111" s="38" t="n">
        <f aca="false">SUMPRODUCT(--(Sens!$R$9074:$AA$9074&lt;Sens!R$9074),--(Sens!$R$9074:$AA$9074&gt;=Sens!R$9074-tk_life),Sens!$R$9108:$AA$9108)/tk_life</f>
        <v>0</v>
      </c>
      <c r="S9111" s="38" t="n">
        <f aca="false">SUMPRODUCT(--(Sens!$R$9074:$AA$9074&lt;Sens!S$9074),--(Sens!$R$9074:$AA$9074&gt;=Sens!S$9074-tk_life),Sens!$R$9108:$AA$9108)/tk_life</f>
        <v>0.183212798365523</v>
      </c>
      <c r="T9111" s="38" t="n">
        <f aca="false">SUMPRODUCT(--(Sens!$R$9074:$AA$9074&lt;Sens!T$9074),--(Sens!$R$9074:$AA$9074&gt;=Sens!T$9074-tk_life),Sens!$R$9108:$AA$9108)/tk_life</f>
        <v>1.55872349836552</v>
      </c>
      <c r="U9111" s="38" t="n">
        <f aca="false">SUMPRODUCT(--(Sens!$R$9074:$AA$9074&lt;Sens!U$9074),--(Sens!$R$9074:$AA$9074&gt;=Sens!U$9074-tk_life),Sens!$R$9108:$AA$9108)/tk_life</f>
        <v>7.74852164836552</v>
      </c>
      <c r="V9111" s="38" t="n">
        <f aca="false">SUMPRODUCT(--(Sens!$R$9074:$AA$9074&lt;Sens!V$9074),--(Sens!$R$9074:$AA$9074&gt;=Sens!V$9074-tk_life),Sens!$R$9108:$AA$9108)/tk_life</f>
        <v>24.2509580966155</v>
      </c>
      <c r="W9111" s="38" t="n">
        <f aca="false">SUMPRODUCT(--(Sens!$R$9074:$AA$9074&lt;Sens!W$9074),--(Sens!$R$9074:$AA$9074&gt;=Sens!W$9074-tk_life),Sens!$R$9108:$AA$9108)/tk_life</f>
        <v>49.6717554207405</v>
      </c>
      <c r="X9111" s="38" t="n">
        <f aca="false">SUMPRODUCT(--(Sens!$R$9074:$AA$9074&lt;Sens!X$9074),--(Sens!$R$9074:$AA$9074&gt;=Sens!X$9074-tk_life),Sens!$R$9108:$AA$9108)/tk_life</f>
        <v>76.1050702391572</v>
      </c>
      <c r="Y9111" s="38" t="n">
        <f aca="false">SUMPRODUCT(--(Sens!$R$9074:$AA$9074&lt;Sens!Y$9074),--(Sens!$R$9074:$AA$9074&gt;=Sens!Y$9074-tk_life),Sens!$R$9108:$AA$9108)/tk_life</f>
        <v>103.227966959208</v>
      </c>
      <c r="Z9111" s="38" t="n">
        <f aca="false">SUMPRODUCT(--(Sens!$R$9074:$AA$9074&lt;Sens!Z$9074),--(Sens!$R$9074:$AA$9074&gt;=Sens!Z$9074-tk_life),Sens!$R$9108:$AA$9108)/tk_life</f>
        <v>121.93788916036</v>
      </c>
      <c r="AA9111" s="38" t="n">
        <f aca="false">SUMPRODUCT(--(Sens!$R$9074:$AA$9074&lt;Sens!AA$9074),--(Sens!$R$9074:$AA$9074&gt;=Sens!AA$9074-tk_life),Sens!$R$9108:$AA$9108)/tk_life</f>
        <v>133.849615494248</v>
      </c>
    </row>
    <row r="9112" customFormat="false" ht="17.15" hidden="false" customHeight="false" outlineLevel="0" collapsed="false">
      <c r="A9112" s="0" t="s">
        <v>638</v>
      </c>
      <c r="B9112" s="0" t="s">
        <v>86</v>
      </c>
      <c r="C9112" s="38" t="n">
        <f aca="false">Sens!$S$9112</f>
        <v>0.0202511502553155</v>
      </c>
      <c r="D9112" s="38" t="n">
        <f aca="false">Sens!$T$9112</f>
        <v>0.172291150255315</v>
      </c>
      <c r="E9112" s="38" t="n">
        <f aca="false">Sens!$G$9112/2</f>
        <v>0.428235575127658</v>
      </c>
      <c r="F9112" s="38" t="n">
        <f aca="false">Sens!$G$9112/2</f>
        <v>0.428235575127658</v>
      </c>
      <c r="G9112" s="38" t="n">
        <f aca="false">Sens!$U$9112</f>
        <v>0.856471150255315</v>
      </c>
      <c r="H9112" s="38" t="n">
        <f aca="false">Sens!$V$9112</f>
        <v>2.41307567525532</v>
      </c>
      <c r="I9112" s="38" t="n">
        <f aca="false">Sens!$W$9112</f>
        <v>4.71540472525532</v>
      </c>
      <c r="J9112" s="38" t="n">
        <f aca="false">Sens!$X$9112</f>
        <v>7.01773377525532</v>
      </c>
      <c r="K9112" s="38" t="n">
        <f aca="false">Sens!$Y$9112</f>
        <v>9.32006282525532</v>
      </c>
      <c r="L9112" s="38" t="n">
        <f aca="false">Sens!$Z$9112</f>
        <v>10.9174544030887</v>
      </c>
      <c r="M9112" s="38" t="n">
        <f aca="false">Sens!$AA$9112</f>
        <v>11.8099085087553</v>
      </c>
      <c r="N9112" s="38" t="n">
        <f aca="false">Sens!$D$9112/2</f>
        <v>0.0861455751276577</v>
      </c>
      <c r="O9112" s="38" t="n">
        <f aca="false">Sens!$D$9112/2</f>
        <v>0.0861455751276577</v>
      </c>
      <c r="R9112" s="38" t="n">
        <f aca="false">SUMPRODUCT(--(Sens!$R$9074:$AA$9074&lt;Sens!R$9074),Sens!$R$9109:$AA$9109)/fac_life</f>
        <v>0</v>
      </c>
      <c r="S9112" s="38" t="n">
        <f aca="false">SUMPRODUCT(--(Sens!$R$9074:$AA$9074&lt;Sens!S$9074),Sens!$R$9109:$AA$9109)/fac_life</f>
        <v>0.0202511502553155</v>
      </c>
      <c r="T9112" s="38" t="n">
        <f aca="false">SUMPRODUCT(--(Sens!$R$9074:$AA$9074&lt;Sens!T$9074),Sens!$R$9109:$AA$9109)/fac_life</f>
        <v>0.172291150255315</v>
      </c>
      <c r="U9112" s="38" t="n">
        <f aca="false">SUMPRODUCT(--(Sens!$R$9074:$AA$9074&lt;Sens!U$9074),Sens!$R$9109:$AA$9109)/fac_life</f>
        <v>0.856471150255315</v>
      </c>
      <c r="V9112" s="38" t="n">
        <f aca="false">SUMPRODUCT(--(Sens!$R$9074:$AA$9074&lt;Sens!V$9074),Sens!$R$9109:$AA$9109)/fac_life</f>
        <v>2.41307567525532</v>
      </c>
      <c r="W9112" s="38" t="n">
        <f aca="false">SUMPRODUCT(--(Sens!$R$9074:$AA$9074&lt;Sens!W$9074),Sens!$R$9109:$AA$9109)/fac_life</f>
        <v>4.71540472525532</v>
      </c>
      <c r="X9112" s="38" t="n">
        <f aca="false">SUMPRODUCT(--(Sens!$R$9074:$AA$9074&lt;Sens!X$9074),Sens!$R$9109:$AA$9109)/fac_life</f>
        <v>7.01773377525532</v>
      </c>
      <c r="Y9112" s="38" t="n">
        <f aca="false">SUMPRODUCT(--(Sens!$R$9074:$AA$9074&lt;Sens!Y$9074),Sens!$R$9109:$AA$9109)/fac_life</f>
        <v>9.32006282525532</v>
      </c>
      <c r="Z9112" s="38" t="n">
        <f aca="false">SUMPRODUCT(--(Sens!$R$9074:$AA$9074&lt;Sens!Z$9074),Sens!$R$9109:$AA$9109)/fac_life</f>
        <v>10.9174544030887</v>
      </c>
      <c r="AA9112" s="38" t="n">
        <f aca="false">SUMPRODUCT(--(Sens!$R$9074:$AA$9074&lt;Sens!AA$9074),Sens!$R$9109:$AA$9109)/fac_life</f>
        <v>11.8099085087553</v>
      </c>
    </row>
    <row r="9113" customFormat="false" ht="17.15" hidden="false" customHeight="false" outlineLevel="0" collapsed="false">
      <c r="A9113" s="1" t="s">
        <v>639</v>
      </c>
      <c r="B9113" s="8" t="s">
        <v>86</v>
      </c>
      <c r="C9113" s="38" t="n">
        <f aca="false">Sens!$C$9111+Sens!$C$9112</f>
        <v>0.203463948620839</v>
      </c>
      <c r="D9113" s="38" t="n">
        <f aca="false">Sens!$D$9111+Sens!$D$9112</f>
        <v>1.73101464862084</v>
      </c>
      <c r="E9113" s="38" t="n">
        <f aca="false">Sens!$E$9111+Sens!$E$9112</f>
        <v>4.30249639931042</v>
      </c>
      <c r="F9113" s="38" t="n">
        <f aca="false">Sens!$F$9111+Sens!$F$9112</f>
        <v>4.30249639931042</v>
      </c>
      <c r="G9113" s="38" t="n">
        <f aca="false">Sens!$G$9111+Sens!$G$9112</f>
        <v>8.60499279862084</v>
      </c>
      <c r="H9113" s="38" t="n">
        <f aca="false">Sens!$H$9111+Sens!$H$9112</f>
        <v>26.6640337718708</v>
      </c>
      <c r="I9113" s="38" t="n">
        <f aca="false">Sens!$I$9111+Sens!$I$9112</f>
        <v>54.3871601459959</v>
      </c>
      <c r="J9113" s="38" t="n">
        <f aca="false">Sens!$J$9111+Sens!$J$9112</f>
        <v>83.1228040144125</v>
      </c>
      <c r="K9113" s="38" t="n">
        <f aca="false">Sens!$K$9111+Sens!$K$9112</f>
        <v>112.548029784464</v>
      </c>
      <c r="L9113" s="38" t="n">
        <f aca="false">Sens!$L$9111+Sens!$L$9112</f>
        <v>132.855343563449</v>
      </c>
      <c r="M9113" s="38" t="n">
        <f aca="false">Sens!$M$9111+Sens!$M$9112</f>
        <v>145.659524003003</v>
      </c>
      <c r="N9113" s="38" t="n">
        <f aca="false">Sens!$N$9111+Sens!$N$9112</f>
        <v>0.865507324310419</v>
      </c>
      <c r="O9113" s="38" t="n">
        <f aca="false">Sens!$O$9111+Sens!$O$9112</f>
        <v>0.865507324310419</v>
      </c>
      <c r="R9113" s="38" t="n">
        <f aca="false">Sens!$R$9111+Sens!$R$9112</f>
        <v>0</v>
      </c>
      <c r="S9113" s="38" t="n">
        <f aca="false">Sens!$S$9111+Sens!$S$9112</f>
        <v>0.203463948620839</v>
      </c>
      <c r="T9113" s="38" t="n">
        <f aca="false">Sens!$T$9111+Sens!$T$9112</f>
        <v>1.73101464862084</v>
      </c>
      <c r="U9113" s="38" t="n">
        <f aca="false">Sens!$U$9111+Sens!$U$9112</f>
        <v>8.60499279862084</v>
      </c>
      <c r="V9113" s="38" t="n">
        <f aca="false">Sens!$V$9111+Sens!$V$9112</f>
        <v>26.6640337718708</v>
      </c>
      <c r="W9113" s="38" t="n">
        <f aca="false">Sens!$W$9111+Sens!$W$9112</f>
        <v>54.3871601459959</v>
      </c>
      <c r="X9113" s="38" t="n">
        <f aca="false">Sens!$X$9111+Sens!$X$9112</f>
        <v>83.1228040144125</v>
      </c>
      <c r="Y9113" s="38" t="n">
        <f aca="false">Sens!$Y$9111+Sens!$Y$9112</f>
        <v>112.548029784464</v>
      </c>
      <c r="Z9113" s="38" t="n">
        <f aca="false">Sens!$Z$9111+Sens!$Z$9112</f>
        <v>132.855343563449</v>
      </c>
      <c r="AA9113" s="38" t="n">
        <f aca="false">Sens!$AA$9111+Sens!$AA$9112</f>
        <v>145.659524003003</v>
      </c>
    </row>
    <row r="9114" customFormat="false" ht="17.15" hidden="false" customHeight="false" outlineLevel="0" collapsed="false">
      <c r="A9114" s="0" t="s">
        <v>640</v>
      </c>
      <c r="B9114" s="0" t="s">
        <v>86</v>
      </c>
      <c r="C9114" s="38" t="n">
        <f aca="false">Sens!$S$9114</f>
        <v>12.5947000466786</v>
      </c>
      <c r="D9114" s="38" t="n">
        <f aca="false">Sens!$T$9114</f>
        <v>61.6860742980578</v>
      </c>
      <c r="G9114" s="38" t="n">
        <f aca="false">Sens!$U$9114</f>
        <v>183.227790688937</v>
      </c>
      <c r="H9114" s="38" t="n">
        <f aca="false">Sens!$V$9114</f>
        <v>355.135121861816</v>
      </c>
      <c r="I9114" s="38" t="n">
        <f aca="false">Sens!$W$9114</f>
        <v>505.39443162632</v>
      </c>
      <c r="J9114" s="38" t="n">
        <f aca="false">Sens!$X$9114</f>
        <v>632.154865722408</v>
      </c>
      <c r="K9114" s="38" t="n">
        <f aca="false">Sens!$Y$9114</f>
        <v>672.067264901522</v>
      </c>
      <c r="L9114" s="38" t="n">
        <f aca="false">Sens!$Z$9114</f>
        <v>665.67015035473</v>
      </c>
      <c r="M9114" s="38" t="n">
        <f aca="false">Sens!$AA$9114</f>
        <v>643.907739076712</v>
      </c>
      <c r="R9114" s="38" t="n">
        <f aca="false">SUM(Sens!$R$9106:$R$9106)-SUM(Sens!$R$9113:$R$9113)</f>
        <v>1.50429979529945</v>
      </c>
      <c r="S9114" s="38" t="n">
        <f aca="false">SUM(Sens!$R$9106:$S$9106)-SUM(Sens!$R$9113:$S$9113)</f>
        <v>12.5947000466786</v>
      </c>
      <c r="T9114" s="38" t="n">
        <f aca="false">SUM(Sens!$R$9106:$T$9106)-SUM(Sens!$R$9113:$T$9113)</f>
        <v>61.6860742980578</v>
      </c>
      <c r="U9114" s="38" t="n">
        <f aca="false">SUM(Sens!$R$9106:$U$9106)-SUM(Sens!$R$9113:$U$9113)</f>
        <v>183.227790688937</v>
      </c>
      <c r="V9114" s="38" t="n">
        <f aca="false">SUM(Sens!$R$9106:$V$9106)-SUM(Sens!$R$9113:$V$9113)</f>
        <v>355.135121861816</v>
      </c>
      <c r="W9114" s="38" t="n">
        <f aca="false">SUM(Sens!$R$9106:$W$9106)-SUM(Sens!$R$9113:$W$9113)</f>
        <v>505.39443162632</v>
      </c>
      <c r="X9114" s="38" t="n">
        <f aca="false">SUM(Sens!$R$9106:$X$9106)-SUM(Sens!$R$9113:$X$9113)</f>
        <v>632.154865722408</v>
      </c>
      <c r="Y9114" s="38" t="n">
        <f aca="false">SUM(Sens!$R$9106:$Y$9106)-SUM(Sens!$R$9113:$Y$9113)</f>
        <v>672.067264901522</v>
      </c>
      <c r="Z9114" s="38" t="n">
        <f aca="false">SUM(Sens!$R$9106:$Z$9106)-SUM(Sens!$R$9113:$Z$9113)</f>
        <v>665.67015035473</v>
      </c>
      <c r="AA9114" s="38" t="n">
        <f aca="false">SUM(Sens!$R$9106:$AA$9106)-SUM(Sens!$R$9113:$AA$9113)</f>
        <v>643.907739076712</v>
      </c>
    </row>
    <row r="9115" customFormat="false" ht="17.15" hidden="false" customHeight="false" outlineLevel="0" collapsed="false">
      <c r="A9115" s="1" t="s">
        <v>641</v>
      </c>
    </row>
    <row r="9116" customFormat="false" ht="17.15" hidden="false" customHeight="false" outlineLevel="0" collapsed="false">
      <c r="A9116" s="0" t="s">
        <v>642</v>
      </c>
      <c r="B9116" s="0" t="s">
        <v>86</v>
      </c>
      <c r="C9116" s="38" t="n">
        <f aca="false">Sens!$C$9095-ext_sh*Sens!$C$9097</f>
        <v>1.80694998843362</v>
      </c>
      <c r="D9116" s="38" t="n">
        <f aca="false">Sens!$D$9095-ext_sh*Sens!$D$9097</f>
        <v>6.77606245662607</v>
      </c>
      <c r="E9116" s="38" t="n">
        <f aca="false">Sens!$E$9095-ext_sh*Sens!$E$9097</f>
        <v>6.62548329092326</v>
      </c>
      <c r="F9116" s="38" t="n">
        <f aca="false">Sens!$F$9095-ext_sh*Sens!$F$9097</f>
        <v>11.7200577158706</v>
      </c>
      <c r="G9116" s="38" t="n">
        <f aca="false">Sens!$G$9095-ext_sh*Sens!$G$9097</f>
        <v>18.3455410067939</v>
      </c>
      <c r="H9116" s="38" t="n">
        <f aca="false">Sens!$H$9095-ext_sh*Sens!$H$9097</f>
        <v>47.5171727060453</v>
      </c>
      <c r="I9116" s="38" t="n">
        <f aca="false">Sens!$I$9095-ext_sh*Sens!$I$9097</f>
        <v>80.5539692643667</v>
      </c>
      <c r="J9116" s="38" t="n">
        <f aca="false">Sens!$J$9095-ext_sh*Sens!$J$9097</f>
        <v>113.759316834883</v>
      </c>
      <c r="K9116" s="38" t="n">
        <f aca="false">Sens!$K$9095-ext_sh*Sens!$K$9097</f>
        <v>141.855203603144</v>
      </c>
      <c r="L9116" s="38" t="n">
        <f aca="false">Sens!$L$9095-ext_sh*Sens!$L$9097</f>
        <v>159.789055430453</v>
      </c>
      <c r="M9116" s="38" t="n">
        <f aca="false">Sens!$M$9095-ext_sh*Sens!$M$9097</f>
        <v>167.532378081213</v>
      </c>
      <c r="N9116" s="38" t="n">
        <f aca="false">Sens!$N$9095-ext_sh*Sens!$N$9097</f>
        <v>2.37162185981912</v>
      </c>
      <c r="O9116" s="38" t="n">
        <f aca="false">Sens!$O$9095-ext_sh*Sens!$O$9097</f>
        <v>4.40444059680694</v>
      </c>
    </row>
    <row r="9117" customFormat="false" ht="17.15" hidden="false" customHeight="false" outlineLevel="0" collapsed="false">
      <c r="A9117" s="1" t="s">
        <v>643</v>
      </c>
      <c r="B9117" s="8" t="s">
        <v>86</v>
      </c>
      <c r="C9117" s="38" t="n">
        <f aca="false">Sens!$C$9116-ext_sh*Sens!$C$9113</f>
        <v>1.64417882953695</v>
      </c>
      <c r="D9117" s="38" t="n">
        <f aca="false">Sens!$D$9116-ext_sh*Sens!$D$9113</f>
        <v>5.39125073772939</v>
      </c>
      <c r="E9117" s="38" t="n">
        <f aca="false">Sens!$E$9116-ext_sh*Sens!$E$9113</f>
        <v>3.18348617147493</v>
      </c>
      <c r="F9117" s="38" t="n">
        <f aca="false">Sens!$F$9116-ext_sh*Sens!$F$9113</f>
        <v>8.27806059642226</v>
      </c>
      <c r="G9117" s="38" t="n">
        <f aca="false">Sens!$G$9116-ext_sh*Sens!$G$9113</f>
        <v>11.4615467678972</v>
      </c>
      <c r="H9117" s="38" t="n">
        <f aca="false">Sens!$H$9116-ext_sh*Sens!$H$9113</f>
        <v>26.1859456885487</v>
      </c>
      <c r="I9117" s="38" t="n">
        <f aca="false">Sens!$I$9116-ext_sh*Sens!$I$9113</f>
        <v>37.04424114757</v>
      </c>
      <c r="J9117" s="38" t="n">
        <f aca="false">Sens!$J$9116-ext_sh*Sens!$J$9113</f>
        <v>47.2610736233534</v>
      </c>
      <c r="K9117" s="38" t="n">
        <f aca="false">Sens!$K$9116-ext_sh*Sens!$K$9113</f>
        <v>51.8167797755728</v>
      </c>
      <c r="L9117" s="38" t="n">
        <f aca="false">Sens!$L$9116-ext_sh*Sens!$L$9113</f>
        <v>53.5047805796943</v>
      </c>
      <c r="M9117" s="38" t="n">
        <f aca="false">Sens!$M$9116-ext_sh*Sens!$M$9113</f>
        <v>51.0047588788104</v>
      </c>
      <c r="N9117" s="38" t="n">
        <f aca="false">Sens!$N$9116-ext_sh*Sens!$N$9113</f>
        <v>1.67921600037079</v>
      </c>
      <c r="O9117" s="38" t="n">
        <f aca="false">Sens!$O$9116-ext_sh*Sens!$O$9113</f>
        <v>3.71203473735861</v>
      </c>
    </row>
    <row r="9118" customFormat="false" ht="17.15" hidden="false" customHeight="false" outlineLevel="0" collapsed="false">
      <c r="A9118" s="0" t="s">
        <v>644</v>
      </c>
      <c r="B9118" s="0" t="s">
        <v>52</v>
      </c>
      <c r="C9118" s="13" t="n">
        <f aca="false">Sens!$C$9117/Sens!$C$9095</f>
        <v>0.708390794789371</v>
      </c>
      <c r="D9118" s="13" t="n">
        <f aca="false">Sens!$D$9117/Sens!$D$9095</f>
        <v>0.619415573115729</v>
      </c>
      <c r="E9118" s="13" t="n">
        <f aca="false">Sens!$E$9117/Sens!$E$9095</f>
        <v>0.374072166056273</v>
      </c>
      <c r="F9118" s="13" t="n">
        <f aca="false">Sens!$F$9117/Sens!$F$9095</f>
        <v>0.553219320710057</v>
      </c>
      <c r="G9118" s="13" t="n">
        <f aca="false">Sens!$G$9117/Sens!$G$9095</f>
        <v>0.488270041527512</v>
      </c>
      <c r="H9118" s="13" t="n">
        <f aca="false">Sens!$H$9117/Sens!$H$9095</f>
        <v>0.435229086816882</v>
      </c>
      <c r="I9118" s="13" t="n">
        <f aca="false">Sens!$I$9117/Sens!$I$9095</f>
        <v>0.364954592421095</v>
      </c>
      <c r="J9118" s="13" t="n">
        <f aca="false">Sens!$J$9117/Sens!$J$9095</f>
        <v>0.330438308582232</v>
      </c>
      <c r="K9118" s="13" t="n">
        <f aca="false">Sens!$K$9117/Sens!$K$9095</f>
        <v>0.290840613449356</v>
      </c>
      <c r="L9118" s="13" t="n">
        <f aca="false">Sens!$L$9117/Sens!$L$9095</f>
        <v>0.26673582850143</v>
      </c>
      <c r="M9118" s="13" t="n">
        <f aca="false">Sens!$M$9117/Sens!$M$9095</f>
        <v>0.242555621732387</v>
      </c>
      <c r="N9118" s="13" t="n">
        <f aca="false">Sens!$N$9117/Sens!$N$9095</f>
        <v>0.551227795793364</v>
      </c>
      <c r="O9118" s="13" t="n">
        <f aca="false">Sens!$O$9117/Sens!$O$9095</f>
        <v>0.656132068597002</v>
      </c>
    </row>
    <row r="9119" customFormat="false" ht="17.15" hidden="false" customHeight="false" outlineLevel="0" collapsed="false">
      <c r="A9119" s="5" t="s">
        <v>645</v>
      </c>
      <c r="B9119" s="0" t="s">
        <v>86</v>
      </c>
      <c r="C9119" s="39" t="n">
        <v>0</v>
      </c>
      <c r="D9119" s="39" t="n">
        <v>0</v>
      </c>
      <c r="E9119" s="39" t="n">
        <v>0</v>
      </c>
      <c r="F9119" s="38" t="n">
        <f aca="false">IF(internal_ai_reading=2,1,0)*(1-ext_sh)/ext_sh*(mw_open*he_open+Sens!$F$9093*Sens!$F$9090)*Sens!$F$9079/1000</f>
        <v>3.77122048175818</v>
      </c>
      <c r="G9119" s="38" t="n">
        <f aca="false">Sens!$E$9119+Sens!$F$9119</f>
        <v>3.77122048175818</v>
      </c>
      <c r="H9119" s="38" t="n">
        <f aca="false">IF(internal_ai_reading=2,1,0)*(1-ext_sh)/ext_sh*(mw_open*he_open+Sens!$H$9093*Sens!$H$9090)*Sens!$H$9079/1000</f>
        <v>15.1635543609893</v>
      </c>
      <c r="I9119" s="38" t="n">
        <f aca="false">IF(internal_ai_reading=2,1,0)*(1-ext_sh)/ext_sh*(mw_open*he_open+Sens!$I$9093*Sens!$I$9090)*Sens!$I$9079/1000</f>
        <v>25.5818843619889</v>
      </c>
      <c r="J9119" s="38" t="n">
        <f aca="false">IF(internal_ai_reading=2,1,0)*(1-ext_sh)/ext_sh*(mw_open*he_open+Sens!$J$9093*Sens!$J$9090)*Sens!$J$9079/1000</f>
        <v>36.0465624179122</v>
      </c>
      <c r="K9119" s="38" t="n">
        <f aca="false">IF(internal_ai_reading=2,1,0)*(1-ext_sh)/ext_sh*(mw_open*he_open+Sens!$K$9093*Sens!$K$9090)*Sens!$K$9079/1000</f>
        <v>44.9020355557576</v>
      </c>
      <c r="L9119" s="38" t="n">
        <f aca="false">IF(internal_ai_reading=2,1,0)*(1-ext_sh)/ext_sh*(mw_open*he_open+Sens!$L$9093*Sens!$L$9090)*Sens!$L$9079/1000</f>
        <v>50.55474151763</v>
      </c>
      <c r="M9119" s="38" t="n">
        <f aca="false">IF(internal_ai_reading=2,1,0)*(1-ext_sh)/ext_sh*(mw_open*he_open+Sens!$M$9093*Sens!$M$9090)*Sens!$M$9079/1000</f>
        <v>52.9968449759368</v>
      </c>
      <c r="N9119" s="39" t="n">
        <v>0</v>
      </c>
      <c r="O9119" s="39" t="n">
        <v>0</v>
      </c>
      <c r="P9119" s="8" t="s">
        <v>646</v>
      </c>
    </row>
    <row r="9120" customFormat="false" ht="17.15" hidden="false" customHeight="false" outlineLevel="0" collapsed="false">
      <c r="A9120" s="5" t="s">
        <v>647</v>
      </c>
      <c r="B9120" s="0" t="s">
        <v>86</v>
      </c>
      <c r="C9120" s="38" t="n">
        <f aca="false">(1-ext_sh)*(Sens!$C$9097+Sens!$C$9113)</f>
        <v>0.169206631859174</v>
      </c>
      <c r="D9120" s="38" t="n">
        <f aca="false">(1-ext_sh)*(Sens!$D$9097+Sens!$D$9113)</f>
        <v>0.828129837730442</v>
      </c>
      <c r="E9120" s="38" t="n">
        <f aca="false">(1-ext_sh)*(Sens!$E$9097+Sens!$E$9113)</f>
        <v>1.33171670102377</v>
      </c>
      <c r="F9120" s="38" t="n">
        <f aca="false">(1-ext_sh)*(Sens!$F$9097+Sens!$F$9113)</f>
        <v>1.67134326207455</v>
      </c>
      <c r="G9120" s="38" t="n">
        <f aca="false">(1-ext_sh)*(Sens!$G$9097+Sens!$G$9113)</f>
        <v>3.00305996309832</v>
      </c>
      <c r="H9120" s="38" t="n">
        <f aca="false">(1-ext_sh)*(Sens!$H$9097+Sens!$H$9113)</f>
        <v>8.49498626530648</v>
      </c>
      <c r="I9120" s="38" t="n">
        <f aca="false">(1-ext_sh)*(Sens!$I$9097+Sens!$I$9113)</f>
        <v>16.1148644972155</v>
      </c>
      <c r="J9120" s="38" t="n">
        <f aca="false">(1-ext_sh)*(Sens!$J$9097+Sens!$J$9113)</f>
        <v>23.9410833819812</v>
      </c>
      <c r="K9120" s="38" t="n">
        <f aca="false">(1-ext_sh)*(Sens!$K$9097+Sens!$K$9113)</f>
        <v>31.5863346274657</v>
      </c>
      <c r="L9120" s="38" t="n">
        <f aca="false">(1-ext_sh)*(Sens!$L$9097+Sens!$L$9113)</f>
        <v>36.7715304908616</v>
      </c>
      <c r="M9120" s="38" t="n">
        <f aca="false">(1-ext_sh)*(Sens!$M$9097+Sens!$M$9113)</f>
        <v>39.8189780159728</v>
      </c>
      <c r="N9120" s="38" t="n">
        <f aca="false">(1-ext_sh)*(Sens!$N$9097+Sens!$N$9113)</f>
        <v>0.34177588266428</v>
      </c>
      <c r="O9120" s="38" t="n">
        <f aca="false">(1-ext_sh)*(Sens!$O$9097+Sens!$O$9113)</f>
        <v>0.486353955066162</v>
      </c>
    </row>
    <row r="9121" customFormat="false" ht="17.15" hidden="false" customHeight="false" outlineLevel="0" collapsed="false">
      <c r="A9121" s="0" t="s">
        <v>648</v>
      </c>
      <c r="B9121" s="0" t="s">
        <v>86</v>
      </c>
      <c r="C9121" s="38" t="n">
        <f aca="false">Q!$D$24</f>
        <v>39.834</v>
      </c>
      <c r="D9121" s="38" t="n">
        <f aca="false">Q!$E$24</f>
        <v>45.606</v>
      </c>
      <c r="E9121" s="38" t="n">
        <f aca="false">Q!$P$24</f>
        <v>30.782</v>
      </c>
      <c r="N9121" s="38" t="n">
        <f aca="false">Q!$N$24</f>
        <v>21.707</v>
      </c>
      <c r="O9121" s="38" t="n">
        <f aca="false">Q!$O$24</f>
        <v>23.899</v>
      </c>
    </row>
    <row r="9122" customFormat="false" ht="17.15" hidden="false" customHeight="false" outlineLevel="0" collapsed="false">
      <c r="A9122" s="0" t="s">
        <v>649</v>
      </c>
      <c r="B9122" s="0" t="s">
        <v>86</v>
      </c>
      <c r="C9122" s="38" t="n">
        <f aca="false">Sens!$C$9121-Sens!$C$9117</f>
        <v>38.1898211704631</v>
      </c>
      <c r="D9122" s="38" t="n">
        <f aca="false">Sens!$D$9121-Sens!$D$9117</f>
        <v>40.2147492622706</v>
      </c>
      <c r="E9122" s="38" t="n">
        <f aca="false">Sens!$E$9121-Sens!$E$9117</f>
        <v>27.5985138285251</v>
      </c>
      <c r="F9122" s="38" t="n">
        <f aca="false">Sens!$F$9099*Sens!$F$9123</f>
        <v>25.5484769754606</v>
      </c>
      <c r="G9122" s="38" t="n">
        <f aca="false">Sens!$E$9122+Sens!$F$9122</f>
        <v>53.1469908039857</v>
      </c>
      <c r="H9122" s="38" t="n">
        <f aca="false">Sens!$H$9099*Sens!$H$9123</f>
        <v>57.3189525076539</v>
      </c>
      <c r="I9122" s="38" t="n">
        <f aca="false">Sens!$I$9099*Sens!$I$9123</f>
        <v>63.6385627021087</v>
      </c>
      <c r="J9122" s="38" t="n">
        <f aca="false">Sens!$J$9099*Sens!$J$9123</f>
        <v>69.6922896066105</v>
      </c>
      <c r="K9122" s="38" t="n">
        <f aca="false">Sens!$K$9099*Sens!$K$9123</f>
        <v>75.2676727751394</v>
      </c>
      <c r="L9122" s="38" t="n">
        <f aca="false">Sens!$L$9099*Sens!$L$9123</f>
        <v>81.2890865971505</v>
      </c>
      <c r="M9122" s="38" t="n">
        <f aca="false">Sens!$M$9099*Sens!$M$9123</f>
        <v>87.7922135249226</v>
      </c>
      <c r="N9122" s="38" t="n">
        <f aca="false">Sens!$N$9121-Sens!$N$9117</f>
        <v>20.0277839996292</v>
      </c>
      <c r="O9122" s="38" t="n">
        <f aca="false">Sens!$O$9121-Sens!$O$9117</f>
        <v>20.1869652626414</v>
      </c>
      <c r="P9122" s="5" t="s">
        <v>650</v>
      </c>
    </row>
    <row r="9123" customFormat="false" ht="17.15" hidden="false" customHeight="false" outlineLevel="0" collapsed="false">
      <c r="A9123" s="0" t="s">
        <v>651</v>
      </c>
      <c r="B9123" s="0" t="s">
        <v>52</v>
      </c>
      <c r="C9123" s="13" t="n">
        <f aca="false">Sens!$C$9122/Sens!$C$9099</f>
        <v>0.362900395443635</v>
      </c>
      <c r="D9123" s="13" t="n">
        <f aca="false">Sens!$D$9122/Sens!$D$9099</f>
        <v>0.335063632425483</v>
      </c>
      <c r="E9123" s="13" t="n">
        <f aca="false">Sens!$E$9122/Sens!$E$9099</f>
        <v>0.387028992698038</v>
      </c>
      <c r="F9123" s="13" t="n">
        <f aca="false">(Sens!$O$9122+Sens!$E$9122)/(Sens!$O$9099+Sens!$E$9099)</f>
        <v>0.355980580118587</v>
      </c>
      <c r="G9123" s="13" t="n">
        <f aca="false">Sens!$G$9122/Sens!$G$9099</f>
        <v>0.371454804780916</v>
      </c>
      <c r="H9123" s="13" t="n">
        <f aca="false">Sens!$F$9123</f>
        <v>0.355980580118587</v>
      </c>
      <c r="I9123" s="13" t="n">
        <f aca="false">Sens!$F$9123</f>
        <v>0.355980580118587</v>
      </c>
      <c r="J9123" s="13" t="n">
        <f aca="false">Sens!$F$9123</f>
        <v>0.355980580118587</v>
      </c>
      <c r="K9123" s="13" t="n">
        <f aca="false">Sens!$F$9123</f>
        <v>0.355980580118587</v>
      </c>
      <c r="L9123" s="13" t="n">
        <f aca="false">Sens!$F$9123</f>
        <v>0.355980580118587</v>
      </c>
      <c r="M9123" s="13" t="n">
        <f aca="false">Sens!$F$9123</f>
        <v>0.355980580118587</v>
      </c>
      <c r="N9123" s="13" t="n">
        <f aca="false">Sens!$N$9122/Sens!$N$9099</f>
        <v>0.35078810535806</v>
      </c>
      <c r="O9123" s="13" t="n">
        <f aca="false">Sens!$O$9122/Sens!$O$9099</f>
        <v>0.320796939361619</v>
      </c>
      <c r="P9123" s="8" t="s">
        <v>652</v>
      </c>
    </row>
    <row r="9124" customFormat="false" ht="17.15" hidden="false" customHeight="false" outlineLevel="0" collapsed="false">
      <c r="A9124" s="0" t="s">
        <v>653</v>
      </c>
      <c r="B9124" s="0" t="s">
        <v>52</v>
      </c>
      <c r="D9124" s="13" t="n">
        <f aca="false">(Q!$E$31-ext_sh*Sens!$D$9113)/Sens!$D$9099</f>
        <v>0.167180325480118</v>
      </c>
    </row>
    <row r="9125" customFormat="false" ht="17.15" hidden="false" customHeight="false" outlineLevel="0" collapsed="false">
      <c r="A9125" s="0" t="s">
        <v>654</v>
      </c>
      <c r="B9125" s="0" t="s">
        <v>86</v>
      </c>
      <c r="C9125" s="38" t="n">
        <f aca="false">Q!$D$31</f>
        <v>13.32</v>
      </c>
      <c r="D9125" s="38" t="n">
        <f aca="false">Q!$E$31</f>
        <v>21.45</v>
      </c>
      <c r="E9125" s="38" t="n">
        <f aca="false">Q!$P$31</f>
        <v>15.353</v>
      </c>
      <c r="F9125" s="38" t="n">
        <f aca="false">ext_sh*Sens!$F$9113+Sens!$D$9124*Sens!$F$9099</f>
        <v>15.4404120185306</v>
      </c>
      <c r="G9125" s="38" t="n">
        <f aca="false">Sens!$E$9125+Sens!$F$9125</f>
        <v>30.7934120185306</v>
      </c>
      <c r="H9125" s="38" t="n">
        <f aca="false">ext_sh*Sens!$H$9113+Sens!$D$9124*Sens!$H$9099</f>
        <v>48.250114371455</v>
      </c>
      <c r="I9125" s="38" t="n">
        <f aca="false">ext_sh*Sens!$I$9113+Sens!$D$9124*Sens!$I$9099</f>
        <v>73.3965146995963</v>
      </c>
      <c r="J9125" s="38" t="n">
        <f aca="false">ext_sh*Sens!$J$9113+Sens!$D$9124*Sens!$J$9099</f>
        <v>99.22806138309</v>
      </c>
      <c r="K9125" s="38" t="n">
        <f aca="false">ext_sh*Sens!$K$9113+Sens!$D$9124*Sens!$K$9099</f>
        <v>125.386627452856</v>
      </c>
      <c r="L9125" s="38" t="n">
        <f aca="false">ext_sh*Sens!$L$9113+Sens!$D$9124*Sens!$L$9099</f>
        <v>144.460334766067</v>
      </c>
      <c r="M9125" s="38" t="n">
        <f aca="false">ext_sh*Sens!$M$9113+Sens!$D$9124*Sens!$M$9099</f>
        <v>157.757763910934</v>
      </c>
      <c r="N9125" s="38" t="n">
        <f aca="false">Q!$N$31</f>
        <v>9.234</v>
      </c>
      <c r="O9125" s="38" t="n">
        <f aca="false">Q!$O$31</f>
        <v>12.216</v>
      </c>
    </row>
    <row r="9126" customFormat="false" ht="17.15" hidden="false" customHeight="false" outlineLevel="0" collapsed="false">
      <c r="A9126" s="1" t="s">
        <v>655</v>
      </c>
    </row>
    <row r="9127" customFormat="false" ht="17.15" hidden="false" customHeight="false" outlineLevel="0" collapsed="false">
      <c r="A9127" s="15" t="s">
        <v>656</v>
      </c>
      <c r="B9127" s="14" t="s">
        <v>52</v>
      </c>
      <c r="C9127" s="14"/>
      <c r="D9127" s="14"/>
      <c r="E9127" s="14"/>
      <c r="F9127" s="14"/>
      <c r="G9127" s="17" t="n">
        <f aca="false">Sens!$G$9117*(1-tax)/(ext_sh*(Sens!$D$9114+Sens!$G$9114)/2)</f>
        <v>0.0966870495301478</v>
      </c>
      <c r="H9127" s="17" t="n">
        <f aca="false">Sens!$H$9117*(1-tax)/(ext_sh*(Sens!$G$9114+Sens!$H$9114)/2)</f>
        <v>0.100492020334136</v>
      </c>
      <c r="I9127" s="17" t="n">
        <f aca="false">Sens!$I$9117*(1-tax)/(ext_sh*(Sens!$H$9114+Sens!$I$9114)/2)</f>
        <v>0.0889392292218236</v>
      </c>
      <c r="J9127" s="17" t="n">
        <f aca="false">Sens!$J$9117*(1-tax)/(ext_sh*(Sens!$I$9114+Sens!$J$9114)/2)</f>
        <v>0.0858364613777012</v>
      </c>
      <c r="K9127" s="17" t="n">
        <f aca="false">Sens!$K$9117*(1-tax)/(ext_sh*(Sens!$J$9114+Sens!$K$9114)/2)</f>
        <v>0.0820837715863597</v>
      </c>
      <c r="L9127" s="17" t="n">
        <f aca="false">Sens!$L$9117*(1-tax)/(ext_sh*(Sens!$K$9114+Sens!$L$9114)/2)</f>
        <v>0.0826342637698</v>
      </c>
      <c r="M9127" s="17" t="n">
        <f aca="false">Sens!$M$9117*(1-tax)/(ext_sh*(Sens!$L$9114+Sens!$M$9114)/2)</f>
        <v>0.0804670006526159</v>
      </c>
      <c r="N9127" s="14"/>
      <c r="O9127" s="14"/>
      <c r="P9127" s="8" t="s">
        <v>657</v>
      </c>
    </row>
    <row r="9128" customFormat="false" ht="17.15" hidden="false" customHeight="false" outlineLevel="0" collapsed="false">
      <c r="A9128" s="5" t="s">
        <v>658</v>
      </c>
      <c r="B9128" s="0" t="s">
        <v>57</v>
      </c>
      <c r="H9128" s="36" t="n">
        <f aca="false">Sens!$H$9095*1000/(mw_open*he_open+Sens!$H$9093*Sens!$H$9090)</f>
        <v>0.991949006767191</v>
      </c>
      <c r="I9128" s="36" t="n">
        <f aca="false">Sens!$I$9095*1000/(mw_open*he_open+Sens!$I$9093*Sens!$I$9090)</f>
        <v>0.991949006767191</v>
      </c>
      <c r="J9128" s="36" t="n">
        <f aca="false">Sens!$J$9095*1000/(mw_open*he_open+Sens!$J$9093*Sens!$J$9090)</f>
        <v>0.991949006767191</v>
      </c>
      <c r="K9128" s="36" t="n">
        <f aca="false">Sens!$K$9095*1000/(mw_open*he_open+Sens!$K$9093*Sens!$K$9090)</f>
        <v>0.991949006767191</v>
      </c>
      <c r="L9128" s="36" t="n">
        <f aca="false">Sens!$L$9095*1000/(mw_open*he_open+Sens!$L$9093*Sens!$L$9090)</f>
        <v>0.991949006767191</v>
      </c>
      <c r="M9128" s="36" t="n">
        <f aca="false">Sens!$M$9095*1000/(mw_open*he_open+Sens!$M$9093*Sens!$M$9090)</f>
        <v>0.991949006767191</v>
      </c>
    </row>
    <row r="9129" customFormat="false" ht="17.15" hidden="false" customHeight="false" outlineLevel="0" collapsed="false">
      <c r="A9129" s="5" t="s">
        <v>659</v>
      </c>
      <c r="B9129" s="0" t="s">
        <v>57</v>
      </c>
      <c r="H9129" s="36" t="n">
        <f aca="false">Sens!$H$9128*(Sens!$H$9095+wacc*ext_sh*(Sens!$G$9114+Sens!$H$9114)/2/(1-tax)-Sens!$H$9117)/Sens!$H$9095</f>
        <v>1.04696246089529</v>
      </c>
      <c r="I9129" s="36" t="n">
        <f aca="false">Sens!$I$9128*(Sens!$I$9095+wacc*ext_sh*(Sens!$H$9114+Sens!$I$9114)/2/(1-tax)-Sens!$I$9117)/Sens!$I$9095</f>
        <v>1.09109607940198</v>
      </c>
      <c r="J9129" s="36" t="n">
        <f aca="false">Sens!$J$9128*(Sens!$J$9095+wacc*ext_sh*(Sens!$I$9114+Sens!$J$9114)/2/(1-tax)-Sens!$J$9117)/Sens!$J$9095</f>
        <v>1.09681234280071</v>
      </c>
      <c r="K9129" s="36" t="n">
        <f aca="false">Sens!$K$9128*(Sens!$K$9095+wacc*ext_sh*(Sens!$J$9114+Sens!$K$9114)/2/(1-tax)-Sens!$K$9117)/Sens!$K$9095</f>
        <v>1.101655332211</v>
      </c>
      <c r="L9129" s="36" t="n">
        <f aca="false">Sens!$L$9128*(Sens!$L$9095+wacc*ext_sh*(Sens!$K$9114+Sens!$L$9114)/2/(1-tax)-Sens!$L$9117)/Sens!$L$9095</f>
        <v>1.09013000312741</v>
      </c>
      <c r="M9129" s="36" t="n">
        <f aca="false">Sens!$M$9128*(Sens!$M$9095+wacc*ext_sh*(Sens!$L$9114+Sens!$M$9114)/2/(1-tax)-Sens!$M$9117)/Sens!$M$9095</f>
        <v>1.090114611219</v>
      </c>
    </row>
    <row r="9130" customFormat="false" ht="17.15" hidden="false" customHeight="false" outlineLevel="0" collapsed="false">
      <c r="A9130" s="5" t="s">
        <v>660</v>
      </c>
      <c r="B9130" s="0" t="s">
        <v>52</v>
      </c>
      <c r="C9130" s="13" t="n">
        <f aca="false">Sens!$C$9096/tk_pq</f>
        <v>0.195316432429398</v>
      </c>
      <c r="D9130" s="13" t="n">
        <f aca="false">Sens!$D$9096/tk_pq</f>
        <v>0.195316432429398</v>
      </c>
      <c r="E9130" s="13" t="n">
        <f aca="false">Sens!$E$9096/tk_pq</f>
        <v>0.195316432429398</v>
      </c>
      <c r="F9130" s="13" t="n">
        <f aca="false">Sens!$F$9096/tk_pq</f>
        <v>0.202241827274866</v>
      </c>
      <c r="G9130" s="13" t="n">
        <f aca="false">Sens!$G$9096/tk_pq</f>
        <v>0.199675016194063</v>
      </c>
      <c r="H9130" s="13" t="n">
        <f aca="false">Sens!$H$9096/tk_pq</f>
        <v>0.212647947710325</v>
      </c>
      <c r="I9130" s="13" t="n">
        <f aca="false">Sens!$I$9096/tk_pq</f>
        <v>0.219285125475351</v>
      </c>
      <c r="J9130" s="13" t="n">
        <f aca="false">Sens!$J$9096/tk_pq</f>
        <v>0.222492493217189</v>
      </c>
      <c r="K9130" s="13" t="n">
        <f aca="false">Sens!$K$9096/tk_pq</f>
        <v>0.224037965623446</v>
      </c>
      <c r="L9130" s="13" t="n">
        <f aca="false">Sens!$L$9096/tk_pq</f>
        <v>0.224743186755999</v>
      </c>
      <c r="M9130" s="13" t="n">
        <f aca="false">Sens!$M$9096/tk_pq</f>
        <v>0.224962001824354</v>
      </c>
      <c r="N9130" s="13" t="n">
        <f aca="false">Sens!$N$9096/tk_pq</f>
        <v>0.195316432429398</v>
      </c>
      <c r="O9130" s="13" t="n">
        <f aca="false">Sens!$O$9096/tk_pq</f>
        <v>0.195316432429398</v>
      </c>
      <c r="P9130" s="5" t="s">
        <v>661</v>
      </c>
    </row>
    <row r="9133" customFormat="false" ht="17.15" hidden="false" customHeight="false" outlineLevel="0" collapsed="false">
      <c r="A9133" s="1" t="s">
        <v>690</v>
      </c>
    </row>
    <row r="9134" customFormat="false" ht="17.15" hidden="false" customHeight="false" outlineLevel="0" collapsed="false">
      <c r="A9134" s="0" t="s">
        <v>691</v>
      </c>
      <c r="B9134" s="0" t="s">
        <v>86</v>
      </c>
      <c r="C9134" s="38" t="n">
        <f aca="false">Sens!$C$9095</f>
        <v>2.32100535697364</v>
      </c>
      <c r="D9134" s="38" t="n">
        <f aca="false">Sens!$D$9095</f>
        <v>8.70377008865116</v>
      </c>
      <c r="E9134" s="38" t="n">
        <f aca="false">Sens!$E$9095</f>
        <v>8.51035297557002</v>
      </c>
      <c r="F9134" s="38" t="n">
        <f aca="false">Sens!$F$9095</f>
        <v>14.9634336447205</v>
      </c>
      <c r="G9134" s="38" t="n">
        <f aca="false">Sens!$G$9095</f>
        <v>23.4737866202905</v>
      </c>
      <c r="H9134" s="38" t="n">
        <f aca="false">Sens!$H$9095</f>
        <v>60.1658907497746</v>
      </c>
      <c r="I9134" s="38" t="n">
        <f aca="false">Sens!$I$9095</f>
        <v>101.503699136432</v>
      </c>
      <c r="J9134" s="38" t="n">
        <f aca="false">Sens!$J$9095</f>
        <v>143.025407151278</v>
      </c>
      <c r="K9134" s="38" t="n">
        <f aca="false">Sens!$K$9095</f>
        <v>178.162118285436</v>
      </c>
      <c r="L9134" s="38" t="n">
        <f aca="false">Sens!$L$9095</f>
        <v>200.590902543141</v>
      </c>
      <c r="M9134" s="38" t="n">
        <f aca="false">Sens!$M$9095</f>
        <v>210.280670942702</v>
      </c>
      <c r="N9134" s="38" t="n">
        <f aca="false">Sens!$N$9095</f>
        <v>3.04631953102791</v>
      </c>
      <c r="O9134" s="38" t="n">
        <f aca="false">Sens!$O$9095</f>
        <v>5.65745055762326</v>
      </c>
      <c r="P9134" s="8" t="s">
        <v>692</v>
      </c>
    </row>
    <row r="9135" customFormat="false" ht="17.15" hidden="false" customHeight="false" outlineLevel="0" collapsed="false">
      <c r="A9135" s="0" t="s">
        <v>693</v>
      </c>
      <c r="B9135" s="0" t="s">
        <v>86</v>
      </c>
      <c r="C9135" s="38" t="n">
        <f aca="false">Sens!$C$9099</f>
        <v>105.234994643026</v>
      </c>
      <c r="D9135" s="38" t="n">
        <f aca="false">Sens!$D$9099</f>
        <v>120.021229911349</v>
      </c>
      <c r="E9135" s="38" t="n">
        <f aca="false">Sens!$E$9099</f>
        <v>71.30864702443</v>
      </c>
      <c r="F9135" s="38" t="n">
        <f aca="false">Sens!$F$9099</f>
        <v>71.7692997942464</v>
      </c>
      <c r="G9135" s="38" t="n">
        <f aca="false">Sens!$G$9099</f>
        <v>143.077946818676</v>
      </c>
      <c r="H9135" s="38" t="n">
        <f aca="false">Sens!$H$9099</f>
        <v>161.017077079203</v>
      </c>
      <c r="I9135" s="38" t="n">
        <f aca="false">Sens!$I$9099</f>
        <v>178.769759521457</v>
      </c>
      <c r="J9135" s="38" t="n">
        <f aca="false">Sens!$J$9099</f>
        <v>195.775538045907</v>
      </c>
      <c r="K9135" s="38" t="n">
        <f aca="false">Sens!$K$9099</f>
        <v>211.43758108958</v>
      </c>
      <c r="L9135" s="38" t="n">
        <f aca="false">Sens!$L$9099</f>
        <v>228.352587576746</v>
      </c>
      <c r="M9135" s="38" t="n">
        <f aca="false">Sens!$M$9099</f>
        <v>246.620794582886</v>
      </c>
      <c r="N9135" s="38" t="n">
        <f aca="false">Sens!$N$9099</f>
        <v>57.0936804689721</v>
      </c>
      <c r="O9135" s="38" t="n">
        <f aca="false">Sens!$O$9099</f>
        <v>62.9275494423768</v>
      </c>
      <c r="P9135" s="8" t="s">
        <v>692</v>
      </c>
    </row>
    <row r="9136" customFormat="false" ht="17.15" hidden="false" customHeight="false" outlineLevel="0" collapsed="false">
      <c r="A9136" s="1" t="s">
        <v>516</v>
      </c>
      <c r="B9136" s="8" t="s">
        <v>86</v>
      </c>
      <c r="C9136" s="38" t="n">
        <f aca="false">Q!$D$7</f>
        <v>107.556</v>
      </c>
      <c r="D9136" s="38" t="n">
        <f aca="false">Q!$E$7</f>
        <v>128.725</v>
      </c>
      <c r="E9136" s="38" t="n">
        <f aca="false">Q!$P$7</f>
        <v>79.819</v>
      </c>
      <c r="F9136" s="38" t="n">
        <f aca="false">Sens!$F$9134+Sens!$F$9135</f>
        <v>86.7327334389669</v>
      </c>
      <c r="G9136" s="38" t="n">
        <f aca="false">Sens!$G$9134+Sens!$G$9135</f>
        <v>166.551733438967</v>
      </c>
      <c r="H9136" s="38" t="n">
        <f aca="false">Sens!$H$9134+Sens!$H$9135</f>
        <v>221.182967828978</v>
      </c>
      <c r="I9136" s="38" t="n">
        <f aca="false">Sens!$I$9134+Sens!$I$9135</f>
        <v>280.27345865789</v>
      </c>
      <c r="J9136" s="38" t="n">
        <f aca="false">Sens!$J$9134+Sens!$J$9135</f>
        <v>338.800945197185</v>
      </c>
      <c r="K9136" s="38" t="n">
        <f aca="false">Sens!$K$9134+Sens!$K$9135</f>
        <v>389.599699375015</v>
      </c>
      <c r="L9136" s="38" t="n">
        <f aca="false">Sens!$L$9134+Sens!$L$9135</f>
        <v>428.943490119887</v>
      </c>
      <c r="M9136" s="38" t="n">
        <f aca="false">Sens!$M$9134+Sens!$M$9135</f>
        <v>456.901465525587</v>
      </c>
      <c r="N9136" s="38" t="n">
        <f aca="false">Q!$N$7</f>
        <v>60.14</v>
      </c>
      <c r="O9136" s="38" t="n">
        <f aca="false">Q!$O$7</f>
        <v>68.585</v>
      </c>
      <c r="P9136" s="5" t="s">
        <v>694</v>
      </c>
    </row>
    <row r="9137" customFormat="false" ht="15" hidden="false" customHeight="false" outlineLevel="0" collapsed="false">
      <c r="A9137" s="3" t="s">
        <v>695</v>
      </c>
      <c r="B9137" s="8" t="s">
        <v>86</v>
      </c>
      <c r="C9137" s="38" t="n">
        <f aca="false">Q!$D$8</f>
        <v>637.959</v>
      </c>
      <c r="D9137" s="38" t="n">
        <f aca="false">Q!$E$8</f>
        <v>716.924</v>
      </c>
      <c r="E9137" s="38" t="n">
        <f aca="false">Q!$P$8</f>
        <v>382.125</v>
      </c>
      <c r="F9137" s="38" t="n">
        <f aca="false">Sens!$F$9067+Sens!$F$9136</f>
        <v>435.780975084504</v>
      </c>
      <c r="G9137" s="38" t="n">
        <f aca="false">Sens!$G$9067+Sens!$G$9136</f>
        <v>817.905975084504</v>
      </c>
      <c r="H9137" s="38" t="n">
        <f aca="false">Sens!$H$9067+Sens!$H$9136</f>
        <v>942.279857350364</v>
      </c>
      <c r="I9137" s="38" t="n">
        <f aca="false">Sens!$I$9067+Sens!$I$9136</f>
        <v>1068.80284981042</v>
      </c>
      <c r="J9137" s="38" t="n">
        <f aca="false">Sens!$J$9067+Sens!$J$9136</f>
        <v>1189.90935093863</v>
      </c>
      <c r="K9137" s="38" t="n">
        <f aca="false">Sens!$K$9067+Sens!$K$9136</f>
        <v>1295.7761548061</v>
      </c>
      <c r="L9137" s="38" t="n">
        <f aca="false">Sens!$L$9067+Sens!$L$9136</f>
        <v>1394.03659659548</v>
      </c>
      <c r="M9137" s="38" t="n">
        <f aca="false">Sens!$M$9067+Sens!$M$9136</f>
        <v>1485.04937347247</v>
      </c>
      <c r="N9137" s="38" t="n">
        <f aca="false">Q!$N$8</f>
        <v>323.369</v>
      </c>
      <c r="O9137" s="38" t="n">
        <f aca="false">Q!$O$8</f>
        <v>393.555</v>
      </c>
    </row>
    <row r="9138" customFormat="false" ht="17.15" hidden="false" customHeight="false" outlineLevel="0" collapsed="false">
      <c r="A9138" s="24" t="s">
        <v>703</v>
      </c>
      <c r="B9138" s="25" t="s">
        <v>86</v>
      </c>
      <c r="C9138" s="41" t="n">
        <f aca="false">Sens!$C$9067-(Sens!$C$9069+Sens!$C$9070)</f>
        <v>0</v>
      </c>
      <c r="D9138" s="41" t="n">
        <f aca="false">Sens!$D$9067-(Sens!$D$9069+Sens!$D$9070)</f>
        <v>0</v>
      </c>
      <c r="E9138" s="41" t="n">
        <f aca="false">Sens!$E$9067-(Sens!$E$9069+Sens!$E$9070)</f>
        <v>0</v>
      </c>
      <c r="F9138" s="41" t="n">
        <f aca="false">Sens!$F$9067-(Sens!$F$9069+Sens!$F$9070)</f>
        <v>0</v>
      </c>
      <c r="G9138" s="41" t="n">
        <f aca="false">Sens!$G$9067-(Sens!$G$9069+Sens!$G$9070)</f>
        <v>0</v>
      </c>
      <c r="H9138" s="41" t="n">
        <f aca="false">Sens!$H$9067-(Sens!$H$9069+Sens!$H$9070)</f>
        <v>0</v>
      </c>
      <c r="I9138" s="41" t="n">
        <f aca="false">Sens!$I$9067-(Sens!$I$9069+Sens!$I$9070)</f>
        <v>0</v>
      </c>
      <c r="J9138" s="41" t="n">
        <f aca="false">Sens!$J$9067-(Sens!$J$9069+Sens!$J$9070)</f>
        <v>0</v>
      </c>
      <c r="K9138" s="41" t="n">
        <f aca="false">Sens!$K$9067-(Sens!$K$9069+Sens!$K$9070)</f>
        <v>0</v>
      </c>
      <c r="L9138" s="41" t="n">
        <f aca="false">Sens!$L$9067-(Sens!$L$9069+Sens!$L$9070)</f>
        <v>0</v>
      </c>
      <c r="M9138" s="41" t="n">
        <f aca="false">Sens!$M$9067-(Sens!$M$9069+Sens!$M$9070)</f>
        <v>0</v>
      </c>
      <c r="N9138" s="41" t="n">
        <f aca="false">Sens!$N$9067-(Sens!$N$9069+Sens!$N$9070)</f>
        <v>0</v>
      </c>
      <c r="O9138" s="41" t="n">
        <f aca="false">Sens!$O$9067-(Sens!$O$9069+Sens!$O$9070)</f>
        <v>0</v>
      </c>
    </row>
    <row r="9139" customFormat="false" ht="17.15" hidden="false" customHeight="false" outlineLevel="0" collapsed="false">
      <c r="A9139" s="24" t="s">
        <v>704</v>
      </c>
      <c r="B9139" s="25" t="s">
        <v>86</v>
      </c>
      <c r="C9139" s="41" t="n">
        <f aca="false">Sens!$C$9134+Sens!$C$9135-Sens!$C$9136</f>
        <v>0</v>
      </c>
      <c r="D9139" s="41" t="n">
        <f aca="false">Sens!$D$9134+Sens!$D$9135-Sens!$D$9136</f>
        <v>0</v>
      </c>
      <c r="E9139" s="41" t="n">
        <f aca="false">Sens!$E$9134+Sens!$E$9135-Sens!$E$9136</f>
        <v>0</v>
      </c>
      <c r="F9139" s="41" t="n">
        <f aca="false">Sens!$F$9134+Sens!$F$9135-Sens!$F$9136</f>
        <v>0</v>
      </c>
      <c r="G9139" s="41" t="n">
        <f aca="false">Sens!$G$9134+Sens!$G$9135-Sens!$G$9136</f>
        <v>0</v>
      </c>
      <c r="H9139" s="41" t="n">
        <f aca="false">Sens!$H$9134+Sens!$H$9135-Sens!$H$9136</f>
        <v>0</v>
      </c>
      <c r="I9139" s="41" t="n">
        <f aca="false">Sens!$I$9134+Sens!$I$9135-Sens!$I$9136</f>
        <v>0</v>
      </c>
      <c r="J9139" s="41" t="n">
        <f aca="false">Sens!$J$9134+Sens!$J$9135-Sens!$J$9136</f>
        <v>0</v>
      </c>
      <c r="K9139" s="41" t="n">
        <f aca="false">Sens!$K$9134+Sens!$K$9135-Sens!$K$9136</f>
        <v>0</v>
      </c>
      <c r="L9139" s="41" t="n">
        <f aca="false">Sens!$L$9134+Sens!$L$9135-Sens!$L$9136</f>
        <v>0</v>
      </c>
      <c r="M9139" s="41" t="n">
        <f aca="false">Sens!$M$9134+Sens!$M$9135-Sens!$M$9136</f>
        <v>0</v>
      </c>
      <c r="N9139" s="41" t="n">
        <f aca="false">Sens!$N$9134+Sens!$N$9135-Sens!$N$9136</f>
        <v>0</v>
      </c>
      <c r="O9139" s="41" t="n">
        <f aca="false">Sens!$O$9134+Sens!$O$9135-Sens!$O$9136</f>
        <v>0</v>
      </c>
    </row>
    <row r="9140" customFormat="false" ht="17.15" hidden="false" customHeight="false" outlineLevel="0" collapsed="false">
      <c r="A9140" s="24" t="s">
        <v>705</v>
      </c>
      <c r="B9140" s="25" t="s">
        <v>86</v>
      </c>
      <c r="C9140" s="41" t="n">
        <f aca="false">Sens!$C$9069+Sens!$C$9070+Sens!$C$9136-Sens!$C$9137</f>
        <v>0</v>
      </c>
      <c r="D9140" s="41" t="n">
        <f aca="false">Sens!$D$9069+Sens!$D$9070+Sens!$D$9136-Sens!$D$9137</f>
        <v>0</v>
      </c>
      <c r="E9140" s="41" t="n">
        <f aca="false">Sens!$E$9069+Sens!$E$9070+Sens!$E$9136-Sens!$E$9137</f>
        <v>0</v>
      </c>
      <c r="F9140" s="41" t="n">
        <f aca="false">Sens!$F$9069+Sens!$F$9070+Sens!$F$9136-Sens!$F$9137</f>
        <v>0</v>
      </c>
      <c r="G9140" s="41" t="n">
        <f aca="false">Sens!$G$9069+Sens!$G$9070+Sens!$G$9136-Sens!$G$9137</f>
        <v>0</v>
      </c>
      <c r="H9140" s="41" t="n">
        <f aca="false">Sens!$H$9069+Sens!$H$9070+Sens!$H$9136-Sens!$H$9137</f>
        <v>0</v>
      </c>
      <c r="I9140" s="41" t="n">
        <f aca="false">Sens!$I$9069+Sens!$I$9070+Sens!$I$9136-Sens!$I$9137</f>
        <v>0</v>
      </c>
      <c r="J9140" s="41" t="n">
        <f aca="false">Sens!$J$9069+Sens!$J$9070+Sens!$J$9136-Sens!$J$9137</f>
        <v>0</v>
      </c>
      <c r="K9140" s="41" t="n">
        <f aca="false">Sens!$K$9069+Sens!$K$9070+Sens!$K$9136-Sens!$K$9137</f>
        <v>0</v>
      </c>
      <c r="L9140" s="41" t="n">
        <f aca="false">Sens!$L$9069+Sens!$L$9070+Sens!$L$9136-Sens!$L$9137</f>
        <v>0</v>
      </c>
      <c r="M9140" s="41" t="n">
        <f aca="false">Sens!$M$9069+Sens!$M$9070+Sens!$M$9136-Sens!$M$9137</f>
        <v>0</v>
      </c>
      <c r="N9140" s="41" t="n">
        <f aca="false">Sens!$N$9069+Sens!$N$9070+Sens!$N$9136-Sens!$N$9137</f>
        <v>0</v>
      </c>
      <c r="O9140" s="41" t="n">
        <f aca="false">Sens!$O$9069+Sens!$O$9070+Sens!$O$9136-Sens!$O$9137</f>
        <v>0</v>
      </c>
    </row>
    <row r="9141" customFormat="false" ht="15" hidden="false" customHeight="false" outlineLevel="0" collapsed="false">
      <c r="A9141" s="5" t="s">
        <v>699</v>
      </c>
      <c r="B9141" s="0" t="s">
        <v>52</v>
      </c>
      <c r="G9141" s="13" t="n">
        <f aca="false">Sens!$G$9137/Sens!$D$9137-1</f>
        <v>0.140854504918937</v>
      </c>
      <c r="H9141" s="13" t="n">
        <f aca="false">Sens!$H$9137/Sens!$G$9137-1</f>
        <v>0.152063789793209</v>
      </c>
      <c r="I9141" s="13" t="n">
        <f aca="false">Sens!$I$9137/Sens!$H$9137-1</f>
        <v>0.134273264437417</v>
      </c>
      <c r="J9141" s="13" t="n">
        <f aca="false">Sens!$J$9137/Sens!$I$9137-1</f>
        <v>0.113310421234083</v>
      </c>
      <c r="K9141" s="13" t="n">
        <f aca="false">Sens!$K$9137/Sens!$J$9137-1</f>
        <v>0.0889704781158034</v>
      </c>
      <c r="L9141" s="13" t="n">
        <f aca="false">Sens!$L$9137/Sens!$K$9137-1</f>
        <v>0.0758313397147494</v>
      </c>
      <c r="M9141" s="13" t="n">
        <f aca="false">Sens!$M$9137/Sens!$L$9137-1</f>
        <v>0.0652872220853238</v>
      </c>
    </row>
    <row r="9142" customFormat="false" ht="17.15" hidden="false" customHeight="false" outlineLevel="0" collapsed="false">
      <c r="A9142" s="0" t="s">
        <v>700</v>
      </c>
      <c r="B9142" s="0" t="s">
        <v>52</v>
      </c>
      <c r="C9142" s="13" t="n">
        <f aca="false">Sens!$C$9136/Sens!$C$9137</f>
        <v>0.168593906504964</v>
      </c>
      <c r="D9142" s="13" t="n">
        <f aca="false">Sens!$D$9136/Sens!$D$9137</f>
        <v>0.179551807444025</v>
      </c>
      <c r="E9142" s="13" t="n">
        <f aca="false">Sens!$E$9136/Sens!$E$9137</f>
        <v>0.208881910369643</v>
      </c>
      <c r="F9142" s="13" t="n">
        <f aca="false">Sens!$F$9136/Sens!$F$9137</f>
        <v>0.199028269699356</v>
      </c>
      <c r="G9142" s="13" t="n">
        <f aca="false">Sens!$G$9136/Sens!$G$9137</f>
        <v>0.203631882529968</v>
      </c>
      <c r="H9142" s="13" t="n">
        <f aca="false">Sens!$H$9136/Sens!$H$9137</f>
        <v>0.234731715958496</v>
      </c>
      <c r="I9142" s="13" t="n">
        <f aca="false">Sens!$I$9136/Sens!$I$9137</f>
        <v>0.262231204480418</v>
      </c>
      <c r="J9142" s="13" t="n">
        <f aca="false">Sens!$J$9136/Sens!$J$9137</f>
        <v>0.284728366013706</v>
      </c>
      <c r="K9142" s="13" t="n">
        <f aca="false">Sens!$K$9136/Sens!$K$9137</f>
        <v>0.300668983550877</v>
      </c>
      <c r="L9142" s="13" t="n">
        <f aca="false">Sens!$L$9136/Sens!$L$9137</f>
        <v>0.307698873306092</v>
      </c>
      <c r="M9142" s="13" t="n">
        <f aca="false">Sens!$M$9136/Sens!$M$9137</f>
        <v>0.30766752519293</v>
      </c>
      <c r="N9142" s="13" t="n">
        <f aca="false">Sens!$N$9136/Sens!$N$9137</f>
        <v>0.185979484737251</v>
      </c>
      <c r="O9142" s="13" t="n">
        <f aca="false">Sens!$O$9136/Sens!$O$9137</f>
        <v>0.174270432341096</v>
      </c>
    </row>
    <row r="9143" customFormat="false" ht="17.15" hidden="false" customHeight="false" outlineLevel="0" collapsed="false">
      <c r="A9143" s="0" t="s">
        <v>701</v>
      </c>
      <c r="B9143" s="0" t="s">
        <v>52</v>
      </c>
      <c r="C9143" s="13" t="n">
        <f aca="false">Sens!$C$9134/Sens!$C$9136</f>
        <v>0.0215795060896058</v>
      </c>
      <c r="D9143" s="13" t="n">
        <f aca="false">Sens!$D$9134/Sens!$D$9136</f>
        <v>0.0676152269462122</v>
      </c>
      <c r="E9143" s="13" t="n">
        <f aca="false">Sens!$E$9134/Sens!$E$9136</f>
        <v>0.106620641395783</v>
      </c>
      <c r="F9143" s="13" t="n">
        <f aca="false">Sens!$F$9134/Sens!$F$9136</f>
        <v>0.172523487401099</v>
      </c>
      <c r="G9143" s="13" t="n">
        <f aca="false">Sens!$G$9134/Sens!$G$9136</f>
        <v>0.140939911795589</v>
      </c>
      <c r="H9143" s="13" t="n">
        <f aca="false">Sens!$H$9134/Sens!$H$9136</f>
        <v>0.272018642937714</v>
      </c>
      <c r="I9143" s="13" t="n">
        <f aca="false">Sens!$I$9134/Sens!$I$9136</f>
        <v>0.362159512436497</v>
      </c>
      <c r="J9143" s="13" t="n">
        <f aca="false">Sens!$J$9134/Sens!$J$9136</f>
        <v>0.422151735934609</v>
      </c>
      <c r="K9143" s="13" t="n">
        <f aca="false">Sens!$K$9134/Sens!$K$9136</f>
        <v>0.45729531765871</v>
      </c>
      <c r="L9143" s="13" t="n">
        <f aca="false">Sens!$L$9134/Sens!$L$9136</f>
        <v>0.467639461055993</v>
      </c>
      <c r="M9143" s="13" t="n">
        <f aca="false">Sens!$M$9134/Sens!$M$9136</f>
        <v>0.460231990503268</v>
      </c>
      <c r="N9143" s="13" t="n">
        <f aca="false">Sens!$N$9134/Sens!$N$9136</f>
        <v>0.0506537999838362</v>
      </c>
      <c r="O9143" s="13" t="n">
        <f aca="false">Sens!$O$9134/Sens!$O$9136</f>
        <v>0.0824881615167056</v>
      </c>
    </row>
    <row r="9146" customFormat="false" ht="19.4" hidden="false" customHeight="false" outlineLevel="0" collapsed="false">
      <c r="A9146" s="31" t="s">
        <v>1322</v>
      </c>
    </row>
    <row r="9147" customFormat="false" ht="17.15" hidden="false" customHeight="false" outlineLevel="0" collapsed="false">
      <c r="A9147" s="6" t="s">
        <v>16</v>
      </c>
      <c r="B9147" s="6" t="s">
        <v>17</v>
      </c>
      <c r="C9147" s="20" t="s">
        <v>497</v>
      </c>
      <c r="D9147" s="20" t="s">
        <v>498</v>
      </c>
      <c r="E9147" s="20" t="s">
        <v>580</v>
      </c>
      <c r="F9147" s="20" t="s">
        <v>581</v>
      </c>
      <c r="G9147" s="20" t="s">
        <v>582</v>
      </c>
      <c r="H9147" s="20" t="s">
        <v>583</v>
      </c>
      <c r="I9147" s="20" t="s">
        <v>584</v>
      </c>
      <c r="J9147" s="20" t="s">
        <v>585</v>
      </c>
      <c r="K9147" s="20" t="s">
        <v>586</v>
      </c>
      <c r="L9147" s="20" t="s">
        <v>587</v>
      </c>
      <c r="M9147" s="20" t="s">
        <v>588</v>
      </c>
      <c r="N9147" s="20" t="s">
        <v>589</v>
      </c>
      <c r="O9147" s="20" t="s">
        <v>590</v>
      </c>
      <c r="P9147" s="6" t="s">
        <v>23</v>
      </c>
      <c r="R9147" s="20" t="n">
        <v>2023</v>
      </c>
      <c r="S9147" s="20" t="n">
        <v>2024</v>
      </c>
      <c r="T9147" s="20" t="n">
        <v>2025</v>
      </c>
      <c r="U9147" s="20" t="n">
        <v>2026</v>
      </c>
      <c r="V9147" s="20" t="n">
        <v>2027</v>
      </c>
      <c r="W9147" s="20" t="n">
        <v>2028</v>
      </c>
      <c r="X9147" s="20" t="n">
        <v>2029</v>
      </c>
      <c r="Y9147" s="20" t="n">
        <v>2030</v>
      </c>
      <c r="Z9147" s="20" t="n">
        <v>2031</v>
      </c>
      <c r="AA9147" s="20" t="n">
        <v>2032</v>
      </c>
    </row>
    <row r="9148" customFormat="false" ht="17.15" hidden="false" customHeight="false" outlineLevel="0" collapsed="false">
      <c r="A9148" s="1" t="s">
        <v>716</v>
      </c>
    </row>
    <row r="9149" customFormat="false" ht="15" hidden="false" customHeight="false" outlineLevel="0" collapsed="false">
      <c r="A9149" s="0" t="s">
        <v>519</v>
      </c>
      <c r="B9149" s="0" t="s">
        <v>86</v>
      </c>
      <c r="C9149" s="38" t="n">
        <f aca="false">Sens!$C$9054</f>
        <v>247.029</v>
      </c>
      <c r="D9149" s="38" t="n">
        <f aca="false">Sens!$D$9054</f>
        <v>269.287</v>
      </c>
      <c r="E9149" s="38" t="n">
        <f aca="false">Sens!$E$9054</f>
        <v>134.686</v>
      </c>
      <c r="F9149" s="38" t="n">
        <f aca="false">Sens!$F$9054</f>
        <v>158.293876822267</v>
      </c>
      <c r="G9149" s="38" t="n">
        <f aca="false">Sens!$G$9054</f>
        <v>292.979876822267</v>
      </c>
      <c r="H9149" s="38" t="n">
        <f aca="false">Sens!$H$9054</f>
        <v>318.184543087396</v>
      </c>
      <c r="I9149" s="38" t="n">
        <f aca="false">Sens!$I$9054</f>
        <v>341.736278761793</v>
      </c>
      <c r="J9149" s="38" t="n">
        <f aca="false">Sens!$J$9054</f>
        <v>362.927192787048</v>
      </c>
      <c r="K9149" s="38" t="n">
        <f aca="false">Sens!$K$9054</f>
        <v>381.0735524264</v>
      </c>
      <c r="L9149" s="38" t="n">
        <f aca="false">Sens!$L$9054</f>
        <v>400.12723004772</v>
      </c>
      <c r="M9149" s="38" t="n">
        <f aca="false">Sens!$M$9054</f>
        <v>420.133591550106</v>
      </c>
      <c r="N9149" s="38" t="n">
        <f aca="false">Sens!$N$9054</f>
        <v>118.892</v>
      </c>
      <c r="O9149" s="38" t="n">
        <f aca="false">Sens!$O$9054</f>
        <v>150.395</v>
      </c>
    </row>
    <row r="9150" customFormat="false" ht="15" hidden="false" customHeight="false" outlineLevel="0" collapsed="false">
      <c r="A9150" s="0" t="s">
        <v>520</v>
      </c>
      <c r="B9150" s="0" t="s">
        <v>86</v>
      </c>
      <c r="C9150" s="38" t="n">
        <f aca="false">Sens!$C$9056</f>
        <v>21.215</v>
      </c>
      <c r="D9150" s="38" t="n">
        <f aca="false">Sens!$D$9056</f>
        <v>22.561</v>
      </c>
      <c r="E9150" s="38" t="n">
        <f aca="false">Sens!$E$9056</f>
        <v>11.579</v>
      </c>
      <c r="F9150" s="38" t="n">
        <f aca="false">Sens!$F$9056</f>
        <v>11.5938724610325</v>
      </c>
      <c r="G9150" s="38" t="n">
        <f aca="false">Sens!$G$9056</f>
        <v>23.1728724610325</v>
      </c>
      <c r="H9150" s="38" t="n">
        <f aca="false">Sens!$H$9056</f>
        <v>24.353392759506</v>
      </c>
      <c r="I9150" s="38" t="n">
        <f aca="false">Sens!$I$9056</f>
        <v>25.4240338872015</v>
      </c>
      <c r="J9150" s="38" t="n">
        <f aca="false">Sens!$J$9056</f>
        <v>26.3642491017174</v>
      </c>
      <c r="K9150" s="38" t="n">
        <f aca="false">Sens!$K$9056</f>
        <v>27.155176574769</v>
      </c>
      <c r="L9150" s="38" t="n">
        <f aca="false">Sens!$L$9056</f>
        <v>27.969831872012</v>
      </c>
      <c r="M9150" s="38" t="n">
        <f aca="false">Sens!$M$9056</f>
        <v>28.8089268281724</v>
      </c>
      <c r="N9150" s="38" t="n">
        <f aca="false">Sens!$N$9056</f>
        <v>11.128</v>
      </c>
      <c r="O9150" s="38" t="n">
        <f aca="false">Sens!$O$9056</f>
        <v>11.433</v>
      </c>
    </row>
    <row r="9151" customFormat="false" ht="15" hidden="false" customHeight="false" outlineLevel="0" collapsed="false">
      <c r="A9151" s="0" t="s">
        <v>521</v>
      </c>
      <c r="B9151" s="0" t="s">
        <v>86</v>
      </c>
      <c r="C9151" s="38" t="n">
        <f aca="false">Sens!$C$9058</f>
        <v>156.146</v>
      </c>
      <c r="D9151" s="38" t="n">
        <f aca="false">Sens!$D$9058</f>
        <v>172.162</v>
      </c>
      <c r="E9151" s="38" t="n">
        <f aca="false">Sens!$E$9058</f>
        <v>88.358</v>
      </c>
      <c r="F9151" s="38" t="n">
        <f aca="false">Sens!$F$9058</f>
        <v>102.004388260171</v>
      </c>
      <c r="G9151" s="38" t="n">
        <f aca="false">Sens!$G$9058</f>
        <v>190.362388260171</v>
      </c>
      <c r="H9151" s="38" t="n">
        <f aca="false">Sens!$H$9058</f>
        <v>210.343106588311</v>
      </c>
      <c r="I9151" s="38" t="n">
        <f aca="false">Sens!$I$9058</f>
        <v>229.969728494648</v>
      </c>
      <c r="J9151" s="38" t="n">
        <f aca="false">Sens!$J$9058</f>
        <v>248.747636972598</v>
      </c>
      <c r="K9151" s="38" t="n">
        <f aca="false">Sens!$K$9058</f>
        <v>266.15997156068</v>
      </c>
      <c r="L9151" s="38" t="n">
        <f aca="false">Sens!$L$9058</f>
        <v>284.791169569927</v>
      </c>
      <c r="M9151" s="38" t="n">
        <f aca="false">Sens!$M$9058</f>
        <v>304.726551439822</v>
      </c>
      <c r="N9151" s="38" t="n">
        <f aca="false">Sens!$N$9058</f>
        <v>76.86</v>
      </c>
      <c r="O9151" s="38" t="n">
        <f aca="false">Sens!$O$9058</f>
        <v>95.302</v>
      </c>
    </row>
    <row r="9152" customFormat="false" ht="15" hidden="false" customHeight="false" outlineLevel="0" collapsed="false">
      <c r="A9152" s="0" t="s">
        <v>522</v>
      </c>
      <c r="B9152" s="0" t="s">
        <v>86</v>
      </c>
      <c r="C9152" s="38" t="n">
        <f aca="false">Sens!$C$9060</f>
        <v>56.214</v>
      </c>
      <c r="D9152" s="38" t="n">
        <f aca="false">Sens!$D$9060</f>
        <v>68.635</v>
      </c>
      <c r="E9152" s="38" t="n">
        <f aca="false">Sens!$E$9060</f>
        <v>37.052</v>
      </c>
      <c r="F9152" s="38" t="n">
        <f aca="false">Sens!$F$9060</f>
        <v>46.1572219944148</v>
      </c>
      <c r="G9152" s="38" t="n">
        <f aca="false">Sens!$G$9060</f>
        <v>83.2092219944148</v>
      </c>
      <c r="H9152" s="38" t="n">
        <f aca="false">Sens!$H$9060</f>
        <v>99.8969223878976</v>
      </c>
      <c r="I9152" s="38" t="n">
        <f aca="false">Sens!$I$9060</f>
        <v>116.583111095496</v>
      </c>
      <c r="J9152" s="38" t="n">
        <f aca="false">Sens!$J$9060</f>
        <v>132.148941941952</v>
      </c>
      <c r="K9152" s="38" t="n">
        <f aca="false">Sens!$K$9060</f>
        <v>145.363836136147</v>
      </c>
      <c r="L9152" s="38" t="n">
        <f aca="false">Sens!$L$9060</f>
        <v>159.900219749762</v>
      </c>
      <c r="M9152" s="38" t="n">
        <f aca="false">Sens!$M$9060</f>
        <v>175.890241724738</v>
      </c>
      <c r="N9152" s="38" t="n">
        <f aca="false">Sens!$N$9060</f>
        <v>29.615</v>
      </c>
      <c r="O9152" s="38" t="n">
        <f aca="false">Sens!$O$9060</f>
        <v>39.02</v>
      </c>
    </row>
    <row r="9153" customFormat="false" ht="15" hidden="false" customHeight="false" outlineLevel="0" collapsed="false">
      <c r="A9153" s="0" t="s">
        <v>523</v>
      </c>
      <c r="B9153" s="0" t="s">
        <v>86</v>
      </c>
      <c r="C9153" s="38" t="n">
        <f aca="false">Sens!$C$9062</f>
        <v>44.374</v>
      </c>
      <c r="D9153" s="38" t="n">
        <f aca="false">Sens!$D$9062</f>
        <v>49.619</v>
      </c>
      <c r="E9153" s="38" t="n">
        <f aca="false">Sens!$E$9062</f>
        <v>27.157</v>
      </c>
      <c r="F9153" s="38" t="n">
        <f aca="false">Sens!$F$9062</f>
        <v>27.7764165988154</v>
      </c>
      <c r="G9153" s="38" t="n">
        <f aca="false">Sens!$G$9062</f>
        <v>54.9334165988154</v>
      </c>
      <c r="H9153" s="38" t="n">
        <f aca="false">Sens!$H$9062</f>
        <v>61.1564112561829</v>
      </c>
      <c r="I9153" s="38" t="n">
        <f aca="false">Sens!$I$9062</f>
        <v>67.2020282103945</v>
      </c>
      <c r="J9153" s="38" t="n">
        <f aca="false">Sens!$J$9062</f>
        <v>72.8757274028885</v>
      </c>
      <c r="K9153" s="38" t="n">
        <f aca="false">Sens!$K$9062</f>
        <v>77.9770283210907</v>
      </c>
      <c r="L9153" s="38" t="n">
        <f aca="false">Sens!$L$9062</f>
        <v>83.4354203035671</v>
      </c>
      <c r="M9153" s="38" t="n">
        <f aca="false">Sens!$M$9062</f>
        <v>89.2758997248168</v>
      </c>
      <c r="N9153" s="38" t="n">
        <f aca="false">Sens!$N$9062</f>
        <v>23.923</v>
      </c>
      <c r="O9153" s="38" t="n">
        <f aca="false">Sens!$O$9062</f>
        <v>25.696</v>
      </c>
    </row>
    <row r="9154" customFormat="false" ht="15" hidden="false" customHeight="false" outlineLevel="0" collapsed="false">
      <c r="A9154" s="0" t="s">
        <v>524</v>
      </c>
      <c r="B9154" s="0" t="s">
        <v>86</v>
      </c>
      <c r="C9154" s="38" t="n">
        <f aca="false">Sens!$C$9064</f>
        <v>5.425</v>
      </c>
      <c r="D9154" s="38" t="n">
        <f aca="false">Sens!$D$9064</f>
        <v>5.935</v>
      </c>
      <c r="E9154" s="38" t="n">
        <f aca="false">Sens!$E$9064</f>
        <v>3.474</v>
      </c>
      <c r="F9154" s="38" t="n">
        <f aca="false">Sens!$F$9064</f>
        <v>3.22246550883619</v>
      </c>
      <c r="G9154" s="38" t="n">
        <f aca="false">Sens!$G$9064</f>
        <v>6.69646550883619</v>
      </c>
      <c r="H9154" s="38" t="n">
        <f aca="false">Sens!$H$9064</f>
        <v>7.16251344209196</v>
      </c>
      <c r="I9154" s="38" t="n">
        <f aca="false">Sens!$I$9064</f>
        <v>7.61421070299826</v>
      </c>
      <c r="J9154" s="38" t="n">
        <f aca="false">Sens!$J$9064</f>
        <v>8.04465753523932</v>
      </c>
      <c r="K9154" s="38" t="n">
        <f aca="false">Sens!$K$9064</f>
        <v>8.44689041200128</v>
      </c>
      <c r="L9154" s="38" t="n">
        <f aca="false">Sens!$L$9064</f>
        <v>8.86923493260135</v>
      </c>
      <c r="M9154" s="38" t="n">
        <f aca="false">Sens!$M$9064</f>
        <v>9.31269667923142</v>
      </c>
      <c r="N9154" s="38" t="n">
        <f aca="false">Sens!$N$9064</f>
        <v>2.811</v>
      </c>
      <c r="O9154" s="38" t="n">
        <f aca="false">Sens!$O$9064</f>
        <v>3.124</v>
      </c>
    </row>
    <row r="9155" customFormat="false" ht="17.15" hidden="false" customHeight="false" outlineLevel="0" collapsed="false">
      <c r="A9155" s="0" t="s">
        <v>717</v>
      </c>
      <c r="B9155" s="0" t="s">
        <v>86</v>
      </c>
      <c r="C9155" s="38" t="n">
        <f aca="false">Sens!$C$9136</f>
        <v>107.556</v>
      </c>
      <c r="D9155" s="38" t="n">
        <f aca="false">Sens!$D$9136</f>
        <v>128.725</v>
      </c>
      <c r="E9155" s="38" t="n">
        <f aca="false">Sens!$E$9136</f>
        <v>79.819</v>
      </c>
      <c r="F9155" s="38" t="n">
        <f aca="false">Sens!$F$9136</f>
        <v>86.7327334389669</v>
      </c>
      <c r="G9155" s="38" t="n">
        <f aca="false">Sens!$G$9136</f>
        <v>166.551733438967</v>
      </c>
      <c r="H9155" s="38" t="n">
        <f aca="false">Sens!$H$9136</f>
        <v>221.182967828978</v>
      </c>
      <c r="I9155" s="38" t="n">
        <f aca="false">Sens!$I$9136</f>
        <v>280.27345865789</v>
      </c>
      <c r="J9155" s="38" t="n">
        <f aca="false">Sens!$J$9136</f>
        <v>338.800945197185</v>
      </c>
      <c r="K9155" s="38" t="n">
        <f aca="false">Sens!$K$9136</f>
        <v>389.599699375015</v>
      </c>
      <c r="L9155" s="38" t="n">
        <f aca="false">Sens!$L$9136</f>
        <v>428.943490119887</v>
      </c>
      <c r="M9155" s="38" t="n">
        <f aca="false">Sens!$M$9136</f>
        <v>456.901465525587</v>
      </c>
      <c r="N9155" s="38" t="n">
        <f aca="false">Sens!$N$9136</f>
        <v>60.14</v>
      </c>
      <c r="O9155" s="38" t="n">
        <f aca="false">Sens!$O$9136</f>
        <v>68.585</v>
      </c>
    </row>
    <row r="9156" customFormat="false" ht="15" hidden="false" customHeight="false" outlineLevel="0" collapsed="false">
      <c r="A9156" s="1" t="s">
        <v>512</v>
      </c>
      <c r="B9156" s="8" t="s">
        <v>86</v>
      </c>
      <c r="C9156" s="38" t="n">
        <f aca="false">Sens!$C$9069</f>
        <v>387.497</v>
      </c>
      <c r="D9156" s="38" t="n">
        <f aca="false">Sens!$D$9069</f>
        <v>426.305</v>
      </c>
      <c r="E9156" s="38" t="n">
        <f aca="false">Sens!$E$9069</f>
        <v>220.32</v>
      </c>
      <c r="F9156" s="38" t="n">
        <f aca="false">Sens!$F$9069</f>
        <v>250.639773480586</v>
      </c>
      <c r="G9156" s="38" t="n">
        <f aca="false">Sens!$G$9069</f>
        <v>470.959773480586</v>
      </c>
      <c r="H9156" s="38" t="n">
        <f aca="false">Sens!$H$9069</f>
        <v>521.386990416437</v>
      </c>
      <c r="I9156" s="38" t="n">
        <f aca="false">Sens!$I$9069</f>
        <v>570.143862887555</v>
      </c>
      <c r="J9156" s="38" t="n">
        <f aca="false">Sens!$J$9069</f>
        <v>615.391435791933</v>
      </c>
      <c r="K9156" s="38" t="n">
        <f aca="false">Sens!$K$9069</f>
        <v>655.208227561543</v>
      </c>
      <c r="L9156" s="38" t="n">
        <f aca="false">Sens!$L$9069</f>
        <v>697.807739249767</v>
      </c>
      <c r="M9156" s="38" t="n">
        <f aca="false">Sens!$M$9069</f>
        <v>743.399328463592</v>
      </c>
      <c r="N9156" s="38" t="n">
        <f aca="false">Sens!$N$9069</f>
        <v>192.955</v>
      </c>
      <c r="O9156" s="38" t="n">
        <f aca="false">Sens!$O$9069</f>
        <v>233.35</v>
      </c>
    </row>
    <row r="9157" customFormat="false" ht="15" hidden="false" customHeight="false" outlineLevel="0" collapsed="false">
      <c r="A9157" s="1" t="s">
        <v>515</v>
      </c>
      <c r="B9157" s="8" t="s">
        <v>86</v>
      </c>
      <c r="C9157" s="38" t="n">
        <f aca="false">Sens!$C$9070</f>
        <v>142.906</v>
      </c>
      <c r="D9157" s="38" t="n">
        <f aca="false">Sens!$D$9070</f>
        <v>161.894</v>
      </c>
      <c r="E9157" s="38" t="n">
        <f aca="false">Sens!$E$9070</f>
        <v>81.986</v>
      </c>
      <c r="F9157" s="38" t="n">
        <f aca="false">Sens!$F$9070</f>
        <v>98.408468164951</v>
      </c>
      <c r="G9157" s="38" t="n">
        <f aca="false">Sens!$G$9070</f>
        <v>180.394468164951</v>
      </c>
      <c r="H9157" s="38" t="n">
        <f aca="false">Sens!$H$9070</f>
        <v>199.709899104949</v>
      </c>
      <c r="I9157" s="38" t="n">
        <f aca="false">Sens!$I$9070</f>
        <v>218.385528264976</v>
      </c>
      <c r="J9157" s="38" t="n">
        <f aca="false">Sens!$J$9070</f>
        <v>235.71696994951</v>
      </c>
      <c r="K9157" s="38" t="n">
        <f aca="false">Sens!$K$9070</f>
        <v>250.968227869545</v>
      </c>
      <c r="L9157" s="38" t="n">
        <f aca="false">Sens!$L$9070</f>
        <v>267.285367225822</v>
      </c>
      <c r="M9157" s="38" t="n">
        <f aca="false">Sens!$M$9070</f>
        <v>284.748579483295</v>
      </c>
      <c r="N9157" s="38" t="n">
        <f aca="false">Sens!$N$9070</f>
        <v>70.274</v>
      </c>
      <c r="O9157" s="38" t="n">
        <f aca="false">Sens!$O$9070</f>
        <v>91.62</v>
      </c>
    </row>
    <row r="9158" customFormat="false" ht="15" hidden="false" customHeight="false" outlineLevel="0" collapsed="false">
      <c r="A9158" s="1" t="s">
        <v>516</v>
      </c>
      <c r="B9158" s="8" t="s">
        <v>86</v>
      </c>
      <c r="C9158" s="38" t="n">
        <f aca="false">Sens!$C$9136</f>
        <v>107.556</v>
      </c>
      <c r="D9158" s="38" t="n">
        <f aca="false">Sens!$D$9136</f>
        <v>128.725</v>
      </c>
      <c r="E9158" s="38" t="n">
        <f aca="false">Sens!$E$9136</f>
        <v>79.819</v>
      </c>
      <c r="F9158" s="38" t="n">
        <f aca="false">Sens!$F$9136</f>
        <v>86.7327334389669</v>
      </c>
      <c r="G9158" s="38" t="n">
        <f aca="false">Sens!$G$9136</f>
        <v>166.551733438967</v>
      </c>
      <c r="H9158" s="38" t="n">
        <f aca="false">Sens!$H$9136</f>
        <v>221.182967828978</v>
      </c>
      <c r="I9158" s="38" t="n">
        <f aca="false">Sens!$I$9136</f>
        <v>280.27345865789</v>
      </c>
      <c r="J9158" s="38" t="n">
        <f aca="false">Sens!$J$9136</f>
        <v>338.800945197185</v>
      </c>
      <c r="K9158" s="38" t="n">
        <f aca="false">Sens!$K$9136</f>
        <v>389.599699375015</v>
      </c>
      <c r="L9158" s="38" t="n">
        <f aca="false">Sens!$L$9136</f>
        <v>428.943490119887</v>
      </c>
      <c r="M9158" s="38" t="n">
        <f aca="false">Sens!$M$9136</f>
        <v>456.901465525587</v>
      </c>
      <c r="N9158" s="38" t="n">
        <f aca="false">Sens!$N$9136</f>
        <v>60.14</v>
      </c>
      <c r="O9158" s="38" t="n">
        <f aca="false">Sens!$O$9136</f>
        <v>68.585</v>
      </c>
    </row>
    <row r="9159" customFormat="false" ht="17.15" hidden="false" customHeight="false" outlineLevel="0" collapsed="false">
      <c r="A9159" s="0" t="s">
        <v>691</v>
      </c>
      <c r="B9159" s="0" t="s">
        <v>86</v>
      </c>
      <c r="C9159" s="38" t="n">
        <f aca="false">Sens!$C$9134</f>
        <v>2.32100535697364</v>
      </c>
      <c r="D9159" s="38" t="n">
        <f aca="false">Sens!$D$9134</f>
        <v>8.70377008865116</v>
      </c>
      <c r="E9159" s="38" t="n">
        <f aca="false">Sens!$E$9134</f>
        <v>8.51035297557002</v>
      </c>
      <c r="F9159" s="38" t="n">
        <f aca="false">Sens!$F$9134</f>
        <v>14.9634336447205</v>
      </c>
      <c r="G9159" s="38" t="n">
        <f aca="false">Sens!$G$9134</f>
        <v>23.4737866202905</v>
      </c>
      <c r="H9159" s="38" t="n">
        <f aca="false">Sens!$H$9134</f>
        <v>60.1658907497746</v>
      </c>
      <c r="I9159" s="38" t="n">
        <f aca="false">Sens!$I$9134</f>
        <v>101.503699136432</v>
      </c>
      <c r="J9159" s="38" t="n">
        <f aca="false">Sens!$J$9134</f>
        <v>143.025407151278</v>
      </c>
      <c r="K9159" s="38" t="n">
        <f aca="false">Sens!$K$9134</f>
        <v>178.162118285436</v>
      </c>
      <c r="L9159" s="38" t="n">
        <f aca="false">Sens!$L$9134</f>
        <v>200.590902543141</v>
      </c>
      <c r="M9159" s="38" t="n">
        <f aca="false">Sens!$M$9134</f>
        <v>210.280670942702</v>
      </c>
      <c r="N9159" s="38" t="n">
        <f aca="false">Sens!$N$9134</f>
        <v>3.04631953102791</v>
      </c>
      <c r="O9159" s="38" t="n">
        <f aca="false">Sens!$O$9134</f>
        <v>5.65745055762326</v>
      </c>
    </row>
    <row r="9160" customFormat="false" ht="17.15" hidden="false" customHeight="false" outlineLevel="0" collapsed="false">
      <c r="A9160" s="0" t="s">
        <v>693</v>
      </c>
      <c r="B9160" s="0" t="s">
        <v>86</v>
      </c>
      <c r="C9160" s="38" t="n">
        <f aca="false">Sens!$C$9135</f>
        <v>105.234994643026</v>
      </c>
      <c r="D9160" s="38" t="n">
        <f aca="false">Sens!$D$9135</f>
        <v>120.021229911349</v>
      </c>
      <c r="E9160" s="38" t="n">
        <f aca="false">Sens!$E$9135</f>
        <v>71.30864702443</v>
      </c>
      <c r="F9160" s="38" t="n">
        <f aca="false">Sens!$F$9135</f>
        <v>71.7692997942464</v>
      </c>
      <c r="G9160" s="38" t="n">
        <f aca="false">Sens!$G$9135</f>
        <v>143.077946818676</v>
      </c>
      <c r="H9160" s="38" t="n">
        <f aca="false">Sens!$H$9135</f>
        <v>161.017077079203</v>
      </c>
      <c r="I9160" s="38" t="n">
        <f aca="false">Sens!$I$9135</f>
        <v>178.769759521457</v>
      </c>
      <c r="J9160" s="38" t="n">
        <f aca="false">Sens!$J$9135</f>
        <v>195.775538045907</v>
      </c>
      <c r="K9160" s="38" t="n">
        <f aca="false">Sens!$K$9135</f>
        <v>211.43758108958</v>
      </c>
      <c r="L9160" s="38" t="n">
        <f aca="false">Sens!$L$9135</f>
        <v>228.352587576746</v>
      </c>
      <c r="M9160" s="38" t="n">
        <f aca="false">Sens!$M$9135</f>
        <v>246.620794582886</v>
      </c>
      <c r="N9160" s="38" t="n">
        <f aca="false">Sens!$N$9135</f>
        <v>57.0936804689721</v>
      </c>
      <c r="O9160" s="38" t="n">
        <f aca="false">Sens!$O$9135</f>
        <v>62.9275494423768</v>
      </c>
    </row>
    <row r="9161" customFormat="false" ht="15" hidden="false" customHeight="false" outlineLevel="0" collapsed="false">
      <c r="A9161" s="3" t="s">
        <v>517</v>
      </c>
      <c r="B9161" s="8" t="s">
        <v>86</v>
      </c>
      <c r="C9161" s="38" t="n">
        <f aca="false">Sens!$C$9137</f>
        <v>637.959</v>
      </c>
      <c r="D9161" s="38" t="n">
        <f aca="false">Sens!$D$9137</f>
        <v>716.924</v>
      </c>
      <c r="E9161" s="38" t="n">
        <f aca="false">Sens!$E$9137</f>
        <v>382.125</v>
      </c>
      <c r="F9161" s="38" t="n">
        <f aca="false">Sens!$F$9137</f>
        <v>435.780975084504</v>
      </c>
      <c r="G9161" s="38" t="n">
        <f aca="false">Sens!$G$9137</f>
        <v>817.905975084504</v>
      </c>
      <c r="H9161" s="38" t="n">
        <f aca="false">Sens!$H$9137</f>
        <v>942.279857350364</v>
      </c>
      <c r="I9161" s="38" t="n">
        <f aca="false">Sens!$I$9137</f>
        <v>1068.80284981042</v>
      </c>
      <c r="J9161" s="38" t="n">
        <f aca="false">Sens!$J$9137</f>
        <v>1189.90935093863</v>
      </c>
      <c r="K9161" s="38" t="n">
        <f aca="false">Sens!$K$9137</f>
        <v>1295.7761548061</v>
      </c>
      <c r="L9161" s="38" t="n">
        <f aca="false">Sens!$L$9137</f>
        <v>1394.03659659548</v>
      </c>
      <c r="M9161" s="38" t="n">
        <f aca="false">Sens!$M$9137</f>
        <v>1485.04937347247</v>
      </c>
      <c r="N9161" s="38" t="n">
        <f aca="false">Sens!$N$9137</f>
        <v>323.369</v>
      </c>
      <c r="O9161" s="38" t="n">
        <f aca="false">Sens!$O$9137</f>
        <v>393.555</v>
      </c>
    </row>
    <row r="9162" customFormat="false" ht="17.15" hidden="false" customHeight="false" outlineLevel="0" collapsed="false">
      <c r="A9162" s="24" t="s">
        <v>703</v>
      </c>
      <c r="B9162" s="25" t="s">
        <v>86</v>
      </c>
      <c r="C9162" s="41" t="n">
        <f aca="false">Sens!$C$9149+Sens!$C$9150+Sens!$C$9151+Sens!$C$9152+Sens!$C$9153+Sens!$C$9154-(Sens!$C$9156+Sens!$C$9157)</f>
        <v>0</v>
      </c>
      <c r="D9162" s="41" t="n">
        <f aca="false">Sens!$D$9149+Sens!$D$9150+Sens!$D$9151+Sens!$D$9152+Sens!$D$9153+Sens!$D$9154-(Sens!$D$9156+Sens!$D$9157)</f>
        <v>0</v>
      </c>
      <c r="E9162" s="41" t="n">
        <f aca="false">Sens!$E$9149+Sens!$E$9150+Sens!$E$9151+Sens!$E$9152+Sens!$E$9153+Sens!$E$9154-(Sens!$E$9156+Sens!$E$9157)</f>
        <v>0</v>
      </c>
      <c r="F9162" s="41" t="n">
        <f aca="false">Sens!$F$9149+Sens!$F$9150+Sens!$F$9151+Sens!$F$9152+Sens!$F$9153+Sens!$F$9154-(Sens!$F$9156+Sens!$F$9157)</f>
        <v>0</v>
      </c>
      <c r="G9162" s="41" t="n">
        <f aca="false">Sens!$G$9149+Sens!$G$9150+Sens!$G$9151+Sens!$G$9152+Sens!$G$9153+Sens!$G$9154-(Sens!$G$9156+Sens!$G$9157)</f>
        <v>0</v>
      </c>
      <c r="H9162" s="41" t="n">
        <f aca="false">Sens!$H$9149+Sens!$H$9150+Sens!$H$9151+Sens!$H$9152+Sens!$H$9153+Sens!$H$9154-(Sens!$H$9156+Sens!$H$9157)</f>
        <v>0</v>
      </c>
      <c r="I9162" s="41" t="n">
        <f aca="false">Sens!$I$9149+Sens!$I$9150+Sens!$I$9151+Sens!$I$9152+Sens!$I$9153+Sens!$I$9154-(Sens!$I$9156+Sens!$I$9157)</f>
        <v>0</v>
      </c>
      <c r="J9162" s="41" t="n">
        <f aca="false">Sens!$J$9149+Sens!$J$9150+Sens!$J$9151+Sens!$J$9152+Sens!$J$9153+Sens!$J$9154-(Sens!$J$9156+Sens!$J$9157)</f>
        <v>0</v>
      </c>
      <c r="K9162" s="41" t="n">
        <f aca="false">Sens!$K$9149+Sens!$K$9150+Sens!$K$9151+Sens!$K$9152+Sens!$K$9153+Sens!$K$9154-(Sens!$K$9156+Sens!$K$9157)</f>
        <v>0</v>
      </c>
      <c r="L9162" s="41" t="n">
        <f aca="false">Sens!$L$9149+Sens!$L$9150+Sens!$L$9151+Sens!$L$9152+Sens!$L$9153+Sens!$L$9154-(Sens!$L$9156+Sens!$L$9157)</f>
        <v>0</v>
      </c>
      <c r="M9162" s="41" t="n">
        <f aca="false">Sens!$M$9149+Sens!$M$9150+Sens!$M$9151+Sens!$M$9152+Sens!$M$9153+Sens!$M$9154-(Sens!$M$9156+Sens!$M$9157)</f>
        <v>0</v>
      </c>
      <c r="N9162" s="41" t="n">
        <f aca="false">Sens!$N$9149+Sens!$N$9150+Sens!$N$9151+Sens!$N$9152+Sens!$N$9153+Sens!$N$9154-(Sens!$N$9156+Sens!$N$9157)</f>
        <v>0</v>
      </c>
      <c r="O9162" s="41" t="n">
        <f aca="false">Sens!$O$9149+Sens!$O$9150+Sens!$O$9151+Sens!$O$9152+Sens!$O$9153+Sens!$O$9154-(Sens!$O$9156+Sens!$O$9157)</f>
        <v>0</v>
      </c>
    </row>
    <row r="9163" customFormat="false" ht="17.15" hidden="false" customHeight="false" outlineLevel="0" collapsed="false">
      <c r="A9163" s="24" t="s">
        <v>704</v>
      </c>
      <c r="B9163" s="25" t="s">
        <v>86</v>
      </c>
      <c r="C9163" s="41" t="n">
        <f aca="false">Sens!$C$9159+Sens!$C$9160-Sens!$C$9158</f>
        <v>0</v>
      </c>
      <c r="D9163" s="41" t="n">
        <f aca="false">Sens!$D$9159+Sens!$D$9160-Sens!$D$9158</f>
        <v>0</v>
      </c>
      <c r="E9163" s="41" t="n">
        <f aca="false">Sens!$E$9159+Sens!$E$9160-Sens!$E$9158</f>
        <v>0</v>
      </c>
      <c r="F9163" s="41" t="n">
        <f aca="false">Sens!$F$9159+Sens!$F$9160-Sens!$F$9158</f>
        <v>0</v>
      </c>
      <c r="G9163" s="41" t="n">
        <f aca="false">Sens!$G$9159+Sens!$G$9160-Sens!$G$9158</f>
        <v>0</v>
      </c>
      <c r="H9163" s="41" t="n">
        <f aca="false">Sens!$H$9159+Sens!$H$9160-Sens!$H$9158</f>
        <v>0</v>
      </c>
      <c r="I9163" s="41" t="n">
        <f aca="false">Sens!$I$9159+Sens!$I$9160-Sens!$I$9158</f>
        <v>0</v>
      </c>
      <c r="J9163" s="41" t="n">
        <f aca="false">Sens!$J$9159+Sens!$J$9160-Sens!$J$9158</f>
        <v>0</v>
      </c>
      <c r="K9163" s="41" t="n">
        <f aca="false">Sens!$K$9159+Sens!$K$9160-Sens!$K$9158</f>
        <v>0</v>
      </c>
      <c r="L9163" s="41" t="n">
        <f aca="false">Sens!$L$9159+Sens!$L$9160-Sens!$L$9158</f>
        <v>0</v>
      </c>
      <c r="M9163" s="41" t="n">
        <f aca="false">Sens!$M$9159+Sens!$M$9160-Sens!$M$9158</f>
        <v>0</v>
      </c>
      <c r="N9163" s="41" t="n">
        <f aca="false">Sens!$N$9159+Sens!$N$9160-Sens!$N$9158</f>
        <v>0</v>
      </c>
      <c r="O9163" s="41" t="n">
        <f aca="false">Sens!$O$9159+Sens!$O$9160-Sens!$O$9158</f>
        <v>0</v>
      </c>
    </row>
    <row r="9164" customFormat="false" ht="17.15" hidden="false" customHeight="false" outlineLevel="0" collapsed="false">
      <c r="A9164" s="24" t="s">
        <v>763</v>
      </c>
      <c r="B9164" s="25" t="s">
        <v>86</v>
      </c>
      <c r="C9164" s="41" t="n">
        <f aca="false">Sens!$C$9149+Sens!$C$9150+Sens!$C$9151+Sens!$C$9152+Sens!$C$9153+Sens!$C$9154+Sens!$C$9155-Sens!$C$9161</f>
        <v>0</v>
      </c>
      <c r="D9164" s="41" t="n">
        <f aca="false">Sens!$D$9149+Sens!$D$9150+Sens!$D$9151+Sens!$D$9152+Sens!$D$9153+Sens!$D$9154+Sens!$D$9155-Sens!$D$9161</f>
        <v>0</v>
      </c>
      <c r="E9164" s="41" t="n">
        <f aca="false">Sens!$E$9149+Sens!$E$9150+Sens!$E$9151+Sens!$E$9152+Sens!$E$9153+Sens!$E$9154+Sens!$E$9155-Sens!$E$9161</f>
        <v>0</v>
      </c>
      <c r="F9164" s="41" t="n">
        <f aca="false">Sens!$F$9149+Sens!$F$9150+Sens!$F$9151+Sens!$F$9152+Sens!$F$9153+Sens!$F$9154+Sens!$F$9155-Sens!$F$9161</f>
        <v>0</v>
      </c>
      <c r="G9164" s="41" t="n">
        <f aca="false">Sens!$G$9149+Sens!$G$9150+Sens!$G$9151+Sens!$G$9152+Sens!$G$9153+Sens!$G$9154+Sens!$G$9155-Sens!$G$9161</f>
        <v>0</v>
      </c>
      <c r="H9164" s="41" t="n">
        <f aca="false">Sens!$H$9149+Sens!$H$9150+Sens!$H$9151+Sens!$H$9152+Sens!$H$9153+Sens!$H$9154+Sens!$H$9155-Sens!$H$9161</f>
        <v>0</v>
      </c>
      <c r="I9164" s="41" t="n">
        <f aca="false">Sens!$I$9149+Sens!$I$9150+Sens!$I$9151+Sens!$I$9152+Sens!$I$9153+Sens!$I$9154+Sens!$I$9155-Sens!$I$9161</f>
        <v>0</v>
      </c>
      <c r="J9164" s="41" t="n">
        <f aca="false">Sens!$J$9149+Sens!$J$9150+Sens!$J$9151+Sens!$J$9152+Sens!$J$9153+Sens!$J$9154+Sens!$J$9155-Sens!$J$9161</f>
        <v>0</v>
      </c>
      <c r="K9164" s="41" t="n">
        <f aca="false">Sens!$K$9149+Sens!$K$9150+Sens!$K$9151+Sens!$K$9152+Sens!$K$9153+Sens!$K$9154+Sens!$K$9155-Sens!$K$9161</f>
        <v>0</v>
      </c>
      <c r="L9164" s="41" t="n">
        <f aca="false">Sens!$L$9149+Sens!$L$9150+Sens!$L$9151+Sens!$L$9152+Sens!$L$9153+Sens!$L$9154+Sens!$L$9155-Sens!$L$9161</f>
        <v>0</v>
      </c>
      <c r="M9164" s="41" t="n">
        <f aca="false">Sens!$M$9149+Sens!$M$9150+Sens!$M$9151+Sens!$M$9152+Sens!$M$9153+Sens!$M$9154+Sens!$M$9155-Sens!$M$9161</f>
        <v>0</v>
      </c>
      <c r="N9164" s="41" t="n">
        <f aca="false">Sens!$N$9149+Sens!$N$9150+Sens!$N$9151+Sens!$N$9152+Sens!$N$9153+Sens!$N$9154+Sens!$N$9155-Sens!$N$9161</f>
        <v>0</v>
      </c>
      <c r="O9164" s="41" t="n">
        <f aca="false">Sens!$O$9149+Sens!$O$9150+Sens!$O$9151+Sens!$O$9152+Sens!$O$9153+Sens!$O$9154+Sens!$O$9155-Sens!$O$9161</f>
        <v>0</v>
      </c>
    </row>
    <row r="9165" customFormat="false" ht="17.15" hidden="false" customHeight="false" outlineLevel="0" collapsed="false">
      <c r="A9165" s="24" t="s">
        <v>705</v>
      </c>
      <c r="B9165" s="25" t="s">
        <v>86</v>
      </c>
      <c r="C9165" s="41" t="n">
        <f aca="false">Sens!$C$9156+Sens!$C$9157+Sens!$C$9158-Sens!$C$9161</f>
        <v>0</v>
      </c>
      <c r="D9165" s="41" t="n">
        <f aca="false">Sens!$D$9156+Sens!$D$9157+Sens!$D$9158-Sens!$D$9161</f>
        <v>0</v>
      </c>
      <c r="E9165" s="41" t="n">
        <f aca="false">Sens!$E$9156+Sens!$E$9157+Sens!$E$9158-Sens!$E$9161</f>
        <v>0</v>
      </c>
      <c r="F9165" s="41" t="n">
        <f aca="false">Sens!$F$9156+Sens!$F$9157+Sens!$F$9158-Sens!$F$9161</f>
        <v>0</v>
      </c>
      <c r="G9165" s="41" t="n">
        <f aca="false">Sens!$G$9156+Sens!$G$9157+Sens!$G$9158-Sens!$G$9161</f>
        <v>0</v>
      </c>
      <c r="H9165" s="41" t="n">
        <f aca="false">Sens!$H$9156+Sens!$H$9157+Sens!$H$9158-Sens!$H$9161</f>
        <v>0</v>
      </c>
      <c r="I9165" s="41" t="n">
        <f aca="false">Sens!$I$9156+Sens!$I$9157+Sens!$I$9158-Sens!$I$9161</f>
        <v>0</v>
      </c>
      <c r="J9165" s="41" t="n">
        <f aca="false">Sens!$J$9156+Sens!$J$9157+Sens!$J$9158-Sens!$J$9161</f>
        <v>0</v>
      </c>
      <c r="K9165" s="41" t="n">
        <f aca="false">Sens!$K$9156+Sens!$K$9157+Sens!$K$9158-Sens!$K$9161</f>
        <v>0</v>
      </c>
      <c r="L9165" s="41" t="n">
        <f aca="false">Sens!$L$9156+Sens!$L$9157+Sens!$L$9158-Sens!$L$9161</f>
        <v>0</v>
      </c>
      <c r="M9165" s="41" t="n">
        <f aca="false">Sens!$M$9156+Sens!$M$9157+Sens!$M$9158-Sens!$M$9161</f>
        <v>0</v>
      </c>
      <c r="N9165" s="41" t="n">
        <f aca="false">Sens!$N$9156+Sens!$N$9157+Sens!$N$9158-Sens!$N$9161</f>
        <v>0</v>
      </c>
      <c r="O9165" s="41" t="n">
        <f aca="false">Sens!$O$9156+Sens!$O$9157+Sens!$O$9158-Sens!$O$9161</f>
        <v>0</v>
      </c>
    </row>
    <row r="9166" customFormat="false" ht="17.15" hidden="false" customHeight="false" outlineLevel="0" collapsed="false">
      <c r="A9166" s="1" t="s">
        <v>719</v>
      </c>
    </row>
    <row r="9167" customFormat="false" ht="17.15" hidden="false" customHeight="false" outlineLevel="0" collapsed="false">
      <c r="A9167" s="0" t="s">
        <v>720</v>
      </c>
      <c r="B9167" s="0" t="s">
        <v>86</v>
      </c>
      <c r="C9167" s="38" t="n">
        <f aca="false">Sens!$C$9071*m_ad</f>
        <v>20.5341564414228</v>
      </c>
      <c r="D9167" s="38" t="n">
        <f aca="false">Sens!$D$9071*m_ad</f>
        <v>24.8720617299587</v>
      </c>
      <c r="E9167" s="38" t="n">
        <f aca="false">Sens!$E$9071*m_ad</f>
        <v>13.5017112462207</v>
      </c>
      <c r="F9167" s="38" t="n">
        <f aca="false">Sens!$F$9071*m_ad</f>
        <v>16.5719724165257</v>
      </c>
      <c r="G9167" s="38" t="n">
        <f aca="false">Sens!$G$9071*m_ad</f>
        <v>30.0820919220415</v>
      </c>
      <c r="H9167" s="38" t="n">
        <f aca="false">Sens!$H$9071*m_ad</f>
        <v>36.1150883276314</v>
      </c>
      <c r="I9167" s="38" t="n">
        <f aca="false">Sens!$I$9071*m_ad</f>
        <v>42.1475382231996</v>
      </c>
      <c r="J9167" s="38" t="n">
        <f aca="false">Sens!$J$9071*m_ad</f>
        <v>47.7749523864693</v>
      </c>
      <c r="K9167" s="38" t="n">
        <f aca="false">Sens!$K$9071*m_ad</f>
        <v>52.5524476251162</v>
      </c>
      <c r="L9167" s="38" t="n">
        <f aca="false">Sens!$L$9071*m_ad</f>
        <v>57.8076923876279</v>
      </c>
      <c r="M9167" s="38" t="n">
        <f aca="false">Sens!$M$9071*m_ad</f>
        <v>63.5884616263907</v>
      </c>
      <c r="N9167" s="38" t="n">
        <f aca="false">Sens!$N$9071*m_ad</f>
        <v>10.8543555706248</v>
      </c>
      <c r="O9167" s="38" t="n">
        <f aca="false">Sens!$O$9071*m_ad</f>
        <v>14.0094731821399</v>
      </c>
    </row>
    <row r="9168" customFormat="false" ht="17.15" hidden="false" customHeight="false" outlineLevel="0" collapsed="false">
      <c r="A9168" s="0" t="s">
        <v>721</v>
      </c>
      <c r="B9168" s="0" t="s">
        <v>86</v>
      </c>
      <c r="C9168" s="38" t="n">
        <f aca="false">Sens!$C$9069-Sens!$C$9071</f>
        <v>346.428687117154</v>
      </c>
      <c r="D9168" s="38" t="n">
        <f aca="false">Sens!$D$9069-Sens!$D$9071</f>
        <v>376.560876540083</v>
      </c>
      <c r="E9168" s="38" t="n">
        <f aca="false">Sens!$E$9069-Sens!$E$9071</f>
        <v>193.316577507559</v>
      </c>
      <c r="F9168" s="38" t="n">
        <f aca="false">Sens!$F$9069-Sens!$F$9071</f>
        <v>217.495828647535</v>
      </c>
      <c r="G9168" s="38" t="n">
        <f aca="false">Sens!$G$9069-Sens!$G$9071</f>
        <v>410.795589636503</v>
      </c>
      <c r="H9168" s="38" t="n">
        <f aca="false">Sens!$H$9069-Sens!$H$9071</f>
        <v>449.156813761174</v>
      </c>
      <c r="I9168" s="38" t="n">
        <f aca="false">Sens!$I$9069-Sens!$I$9071</f>
        <v>485.848786441156</v>
      </c>
      <c r="J9168" s="38" t="n">
        <f aca="false">Sens!$J$9069-Sens!$J$9071</f>
        <v>519.841531018994</v>
      </c>
      <c r="K9168" s="38" t="n">
        <f aca="false">Sens!$K$9069-Sens!$K$9071</f>
        <v>550.103332311311</v>
      </c>
      <c r="L9168" s="38" t="n">
        <f aca="false">Sens!$L$9069-Sens!$L$9071</f>
        <v>582.192354474511</v>
      </c>
      <c r="M9168" s="38" t="n">
        <f aca="false">Sens!$M$9069-Sens!$M$9071</f>
        <v>616.22240521081</v>
      </c>
      <c r="N9168" s="38" t="n">
        <f aca="false">Sens!$N$9069-Sens!$N$9071</f>
        <v>171.24628885875</v>
      </c>
      <c r="O9168" s="38" t="n">
        <f aca="false">Sens!$O$9069-Sens!$O$9071</f>
        <v>205.33105363572</v>
      </c>
    </row>
    <row r="9169" customFormat="false" ht="17.15" hidden="false" customHeight="false" outlineLevel="0" collapsed="false">
      <c r="A9169" s="0" t="s">
        <v>722</v>
      </c>
      <c r="B9169" s="0" t="s">
        <v>86</v>
      </c>
      <c r="C9169" s="38" t="n">
        <f aca="false">Sens!$C$9120*Sens!$C$9068</f>
        <v>0.123617442257179</v>
      </c>
      <c r="D9169" s="38" t="n">
        <f aca="false">Sens!$D$9120*Sens!$D$9068</f>
        <v>0.600198046024689</v>
      </c>
      <c r="E9169" s="38" t="n">
        <f aca="false">Sens!$E$9120*Sens!$E$9068</f>
        <v>0.970552432202993</v>
      </c>
      <c r="F9169" s="38" t="n">
        <f aca="false">Sens!$F$9120*Sens!$F$9068</f>
        <v>1.20013524388435</v>
      </c>
      <c r="G9169" s="38" t="n">
        <f aca="false">Sens!$G$9120*Sens!$G$9068</f>
        <v>2.17135369594947</v>
      </c>
      <c r="H9169" s="38" t="n">
        <f aca="false">Sens!$H$9120*Sens!$H$9068</f>
        <v>6.14227489656333</v>
      </c>
      <c r="I9169" s="38" t="n">
        <f aca="false">Sens!$I$9120*Sens!$I$9068</f>
        <v>11.6518054969681</v>
      </c>
      <c r="J9169" s="38" t="n">
        <f aca="false">Sens!$J$9120*Sens!$J$9068</f>
        <v>17.3105301010592</v>
      </c>
      <c r="K9169" s="38" t="n">
        <f aca="false">Sens!$K$9120*Sens!$K$9068</f>
        <v>22.8384065844905</v>
      </c>
      <c r="L9169" s="38" t="n">
        <f aca="false">Sens!$L$9120*Sens!$L$9068</f>
        <v>26.587547241206</v>
      </c>
      <c r="M9169" s="38" t="n">
        <f aca="false">Sens!$M$9120*Sens!$M$9068</f>
        <v>28.7909952336448</v>
      </c>
      <c r="N9169" s="38" t="n">
        <f aca="false">Sens!$N$9120*Sens!$N$9068</f>
        <v>0.25053229484398</v>
      </c>
      <c r="O9169" s="38" t="n">
        <f aca="false">Sens!$O$9120*Sens!$O$9068</f>
        <v>0.349234376756897</v>
      </c>
    </row>
    <row r="9170" customFormat="false" ht="17.15" hidden="false" customHeight="false" outlineLevel="0" collapsed="false">
      <c r="A9170" s="0" t="s">
        <v>723</v>
      </c>
      <c r="B9170" s="0" t="s">
        <v>52</v>
      </c>
      <c r="C9170" s="28" t="n">
        <f aca="false">(Sens!$C$9171-Sens!$C$9167+Sens!$C$9169)/Sens!$C$9168</f>
        <v>0.0131526665379575</v>
      </c>
      <c r="D9170" s="28" t="n">
        <f aca="false">(Sens!$D$9171-Sens!$D$9167+Sens!$D$9169)/Sens!$D$9168</f>
        <v>0.0141999252954702</v>
      </c>
      <c r="E9170" s="28" t="n">
        <f aca="false">(Sens!$E$9171-Sens!$E$9167+Sens!$E$9169)/Sens!$E$9168</f>
        <v>0.0251341154940129</v>
      </c>
      <c r="F9170" s="28" t="n">
        <f aca="false">Sens!$O$9170+(Sens!$E$9170-Sens!$N$9170)</f>
        <v>0.0217171685713677</v>
      </c>
      <c r="G9170" s="28" t="n">
        <f aca="false">(Sens!$G$9171-Sens!$G$9167+Sens!$G$9169)/Sens!$G$9168</f>
        <v>0.0233071940458981</v>
      </c>
      <c r="H9170" s="28" t="n">
        <f aca="false">Sens!$G$9170+step_na</f>
        <v>0.0263071940458981</v>
      </c>
      <c r="I9170" s="28" t="n">
        <f aca="false">Sens!$H$9170+step_na</f>
        <v>0.0293071940458981</v>
      </c>
      <c r="J9170" s="28" t="n">
        <f aca="false">Sens!$I$9170+step_na</f>
        <v>0.0323071940458981</v>
      </c>
      <c r="K9170" s="28" t="n">
        <f aca="false">Sens!$J$9170+step_na</f>
        <v>0.0353071940458981</v>
      </c>
      <c r="L9170" s="28" t="n">
        <f aca="false">Sens!$K$9170</f>
        <v>0.0353071940458981</v>
      </c>
      <c r="M9170" s="28" t="n">
        <f aca="false">Sens!$L$9170</f>
        <v>0.0353071940458981</v>
      </c>
      <c r="N9170" s="28" t="n">
        <f aca="false">(Sens!$N$9171-Sens!$N$9167+Sens!$N$9169)/Sens!$N$9168</f>
        <v>0.0160831323269779</v>
      </c>
      <c r="O9170" s="28" t="n">
        <f aca="false">(Sens!$O$9171-Sens!$O$9167+Sens!$O$9169)/Sens!$O$9168</f>
        <v>0.0126661854043327</v>
      </c>
      <c r="P9170" s="8" t="s">
        <v>724</v>
      </c>
    </row>
    <row r="9171" customFormat="false" ht="17.15" hidden="false" customHeight="false" outlineLevel="0" collapsed="false">
      <c r="A9171" s="1" t="s">
        <v>725</v>
      </c>
      <c r="B9171" s="8" t="s">
        <v>86</v>
      </c>
      <c r="C9171" s="38" t="n">
        <f aca="false">Q!$D$22</f>
        <v>24.967</v>
      </c>
      <c r="D9171" s="38" t="n">
        <f aca="false">Q!$E$22</f>
        <v>29.619</v>
      </c>
      <c r="E9171" s="38" t="n">
        <f aca="false">Q!$P$22</f>
        <v>17.39</v>
      </c>
      <c r="F9171" s="38" t="n">
        <f aca="false">Sens!$F$9167+Sens!$F$9168*Sens!$F$9170-Sens!$F$9169</f>
        <v>20.0952307469491</v>
      </c>
      <c r="G9171" s="38" t="n">
        <f aca="false">Sens!$E$9171+Sens!$F$9171</f>
        <v>37.4852307469491</v>
      </c>
      <c r="H9171" s="38" t="n">
        <f aca="false">Sens!$H$9167+Sens!$H$9168*Sens!$H$9170-Sens!$H$9169</f>
        <v>41.7888688877206</v>
      </c>
      <c r="I9171" s="38" t="n">
        <f aca="false">Sens!$I$9167+Sens!$I$9168*Sens!$I$9170-Sens!$I$9169</f>
        <v>44.7345973874265</v>
      </c>
      <c r="J9171" s="38" t="n">
        <f aca="false">Sens!$J$9167+Sens!$J$9168*Sens!$J$9170-Sens!$J$9169</f>
        <v>47.2590435011574</v>
      </c>
      <c r="K9171" s="38" t="n">
        <f aca="false">Sens!$K$9167+Sens!$K$9168*Sens!$K$9170-Sens!$K$9169</f>
        <v>49.1366461398364</v>
      </c>
      <c r="L9171" s="38" t="n">
        <f aca="false">Sens!$L$9167+Sens!$L$9168*Sens!$L$9170-Sens!$L$9169</f>
        <v>51.7757235778917</v>
      </c>
      <c r="M9171" s="38" t="n">
        <f aca="false">Sens!$M$9167+Sens!$M$9168*Sens!$M$9170-Sens!$M$9169</f>
        <v>56.554550428954</v>
      </c>
      <c r="N9171" s="38" t="n">
        <f aca="false">Q!$N$22</f>
        <v>13.358</v>
      </c>
      <c r="O9171" s="38" t="n">
        <f aca="false">Q!$O$22</f>
        <v>16.261</v>
      </c>
    </row>
    <row r="9172" customFormat="false" ht="17.15" hidden="false" customHeight="false" outlineLevel="0" collapsed="false">
      <c r="A9172" s="0" t="s">
        <v>726</v>
      </c>
      <c r="B9172" s="0" t="s">
        <v>86</v>
      </c>
      <c r="C9172" s="38" t="n">
        <f aca="false">Sens!$C$9072*m_ad</f>
        <v>7.57284355857716</v>
      </c>
      <c r="D9172" s="38" t="n">
        <f aca="false">Sens!$D$9072*m_ad</f>
        <v>9.44543827004127</v>
      </c>
      <c r="E9172" s="38" t="n">
        <f aca="false">Sens!$E$9072*m_ad</f>
        <v>5.02428875377928</v>
      </c>
      <c r="F9172" s="38" t="n">
        <f aca="false">Sens!$F$9072*m_ad</f>
        <v>6.50663858068173</v>
      </c>
      <c r="G9172" s="38" t="n">
        <f aca="false">Sens!$G$9072*m_ad</f>
        <v>11.5225190751659</v>
      </c>
      <c r="H9172" s="38" t="n">
        <f aca="false">Sens!$H$9072*m_ad</f>
        <v>13.8333728663174</v>
      </c>
      <c r="I9172" s="38" t="n">
        <f aca="false">Sens!$I$9072*m_ad</f>
        <v>16.1440173245485</v>
      </c>
      <c r="J9172" s="38" t="n">
        <f aca="false">Sens!$J$9072*m_ad</f>
        <v>18.2995185845066</v>
      </c>
      <c r="K9172" s="38" t="n">
        <f aca="false">Sens!$K$9072*m_ad</f>
        <v>20.1294704429572</v>
      </c>
      <c r="L9172" s="38" t="n">
        <f aca="false">Sens!$L$9072*m_ad</f>
        <v>22.142417487253</v>
      </c>
      <c r="M9172" s="38" t="n">
        <f aca="false">Sens!$M$9072*m_ad</f>
        <v>24.3566592359783</v>
      </c>
      <c r="N9172" s="38" t="n">
        <f aca="false">Sens!$N$9072*m_ad</f>
        <v>3.95314442937518</v>
      </c>
      <c r="O9172" s="38" t="n">
        <f aca="false">Sens!$O$9072*m_ad</f>
        <v>5.50052681786011</v>
      </c>
    </row>
    <row r="9173" customFormat="false" ht="17.15" hidden="false" customHeight="false" outlineLevel="0" collapsed="false">
      <c r="A9173" s="0" t="s">
        <v>727</v>
      </c>
      <c r="B9173" s="0" t="s">
        <v>86</v>
      </c>
      <c r="C9173" s="38" t="n">
        <f aca="false">Sens!$C$9070-Sens!$C$9072</f>
        <v>127.760312882846</v>
      </c>
      <c r="D9173" s="38" t="n">
        <f aca="false">Sens!$D$9070-Sens!$D$9072</f>
        <v>143.003123459917</v>
      </c>
      <c r="E9173" s="38" t="n">
        <f aca="false">Sens!$E$9070-Sens!$E$9072</f>
        <v>71.9374224924414</v>
      </c>
      <c r="F9173" s="38" t="n">
        <f aca="false">Sens!$F$9070-Sens!$F$9072</f>
        <v>85.3951910035875</v>
      </c>
      <c r="G9173" s="38" t="n">
        <f aca="false">Sens!$G$9070-Sens!$G$9072</f>
        <v>157.349430014619</v>
      </c>
      <c r="H9173" s="38" t="n">
        <f aca="false">Sens!$H$9070-Sens!$H$9072</f>
        <v>172.043153372315</v>
      </c>
      <c r="I9173" s="38" t="n">
        <f aca="false">Sens!$I$9070-Sens!$I$9072</f>
        <v>186.097493615879</v>
      </c>
      <c r="J9173" s="38" t="n">
        <f aca="false">Sens!$J$9070-Sens!$J$9072</f>
        <v>199.117932780497</v>
      </c>
      <c r="K9173" s="38" t="n">
        <f aca="false">Sens!$K$9070-Sens!$K$9072</f>
        <v>210.70928698363</v>
      </c>
      <c r="L9173" s="38" t="n">
        <f aca="false">Sens!$L$9070-Sens!$L$9072</f>
        <v>223.000532251316</v>
      </c>
      <c r="M9173" s="38" t="n">
        <f aca="false">Sens!$M$9070-Sens!$M$9072</f>
        <v>236.035261011339</v>
      </c>
      <c r="N9173" s="38" t="n">
        <f aca="false">Sens!$N$9070-Sens!$N$9072</f>
        <v>62.3677111412496</v>
      </c>
      <c r="O9173" s="38" t="n">
        <f aca="false">Sens!$O$9070-Sens!$O$9072</f>
        <v>80.6189463642798</v>
      </c>
    </row>
    <row r="9174" customFormat="false" ht="17.15" hidden="false" customHeight="false" outlineLevel="0" collapsed="false">
      <c r="A9174" s="0" t="s">
        <v>728</v>
      </c>
      <c r="B9174" s="0" t="s">
        <v>86</v>
      </c>
      <c r="C9174" s="38" t="n">
        <f aca="false">Sens!$C$9120*(1-Sens!$C$9068)</f>
        <v>0.0455891896019953</v>
      </c>
      <c r="D9174" s="38" t="n">
        <f aca="false">Sens!$D$9120*(1-Sens!$D$9068)</f>
        <v>0.227931791705753</v>
      </c>
      <c r="E9174" s="38" t="n">
        <f aca="false">Sens!$E$9120*(1-Sens!$E$9068)</f>
        <v>0.361164268820781</v>
      </c>
      <c r="F9174" s="38" t="n">
        <f aca="false">Sens!$F$9120*(1-Sens!$F$9068)</f>
        <v>0.471208018190203</v>
      </c>
      <c r="G9174" s="38" t="n">
        <f aca="false">Sens!$G$9120*(1-Sens!$G$9068)</f>
        <v>0.83170626714885</v>
      </c>
      <c r="H9174" s="38" t="n">
        <f aca="false">Sens!$H$9120*(1-Sens!$H$9068)</f>
        <v>2.35271136874315</v>
      </c>
      <c r="I9174" s="38" t="n">
        <f aca="false">Sens!$I$9120*(1-Sens!$I$9068)</f>
        <v>4.46305900024741</v>
      </c>
      <c r="J9174" s="38" t="n">
        <f aca="false">Sens!$J$9120*(1-Sens!$J$9068)</f>
        <v>6.63055328092195</v>
      </c>
      <c r="K9174" s="38" t="n">
        <f aca="false">Sens!$K$9120*(1-Sens!$K$9068)</f>
        <v>8.74792804297522</v>
      </c>
      <c r="L9174" s="38" t="n">
        <f aca="false">Sens!$L$9120*(1-Sens!$L$9068)</f>
        <v>10.1839832496556</v>
      </c>
      <c r="M9174" s="38" t="n">
        <f aca="false">Sens!$M$9120*(1-Sens!$M$9068)</f>
        <v>11.027982782328</v>
      </c>
      <c r="N9174" s="38" t="n">
        <f aca="false">Sens!$N$9120*(1-Sens!$N$9068)</f>
        <v>0.0912435878202994</v>
      </c>
      <c r="O9174" s="38" t="n">
        <f aca="false">Sens!$O$9120*(1-Sens!$O$9068)</f>
        <v>0.137119578309265</v>
      </c>
    </row>
    <row r="9175" customFormat="false" ht="17.15" hidden="false" customHeight="false" outlineLevel="0" collapsed="false">
      <c r="A9175" s="0" t="s">
        <v>729</v>
      </c>
      <c r="B9175" s="0" t="s">
        <v>52</v>
      </c>
      <c r="C9175" s="28" t="n">
        <f aca="false">(Sens!$C$9176-Sens!$C$9172+Sens!$C$9174)/Sens!$C$9173</f>
        <v>-0.0292364215826579</v>
      </c>
      <c r="D9175" s="28" t="n">
        <f aca="false">(Sens!$D$9176-Sens!$D$9172+Sens!$D$9174)/Sens!$D$9173</f>
        <v>-0.0312406216748665</v>
      </c>
      <c r="E9175" s="28" t="n">
        <f aca="false">(Sens!$E$9176-Sens!$E$9172+Sens!$E$9174)/Sens!$E$9173</f>
        <v>-0.0211590078184749</v>
      </c>
      <c r="F9175" s="28" t="n">
        <f aca="false">Sens!$O$9175+(Sens!$E$9175-Sens!$N$9175)</f>
        <v>-0.0382539955245511</v>
      </c>
      <c r="G9175" s="28" t="n">
        <f aca="false">(Sens!$G$9176-Sens!$G$9172+Sens!$G$9174)/Sens!$G$9173</f>
        <v>-0.030385172031133</v>
      </c>
      <c r="H9175" s="28" t="n">
        <f aca="false">Sens!$G$9175+step_in</f>
        <v>-0.030385172031133</v>
      </c>
      <c r="I9175" s="28" t="n">
        <f aca="false">Sens!$H$9175+step_in</f>
        <v>-0.030385172031133</v>
      </c>
      <c r="J9175" s="28" t="n">
        <f aca="false">Sens!$I$9175+step_in</f>
        <v>-0.030385172031133</v>
      </c>
      <c r="K9175" s="28" t="n">
        <f aca="false">Sens!$J$9175+step_in</f>
        <v>-0.030385172031133</v>
      </c>
      <c r="L9175" s="28" t="n">
        <f aca="false">Sens!$K$9175</f>
        <v>-0.030385172031133</v>
      </c>
      <c r="M9175" s="28" t="n">
        <f aca="false">Sens!$L$9175</f>
        <v>-0.030385172031133</v>
      </c>
      <c r="N9175" s="28" t="n">
        <f aca="false">(Sens!$N$9176-Sens!$N$9172+Sens!$N$9174)/Sens!$N$9173</f>
        <v>-0.0216602600421776</v>
      </c>
      <c r="O9175" s="28" t="n">
        <f aca="false">(Sens!$O$9176-Sens!$O$9172+Sens!$O$9174)/Sens!$O$9173</f>
        <v>-0.0387552477482538</v>
      </c>
      <c r="P9175" s="8" t="s">
        <v>724</v>
      </c>
    </row>
    <row r="9176" customFormat="false" ht="17.15" hidden="false" customHeight="false" outlineLevel="0" collapsed="false">
      <c r="A9176" s="1" t="s">
        <v>730</v>
      </c>
      <c r="B9176" s="8" t="s">
        <v>86</v>
      </c>
      <c r="C9176" s="38" t="n">
        <f aca="false">Q!$D$23</f>
        <v>3.792</v>
      </c>
      <c r="D9176" s="38" t="n">
        <f aca="false">Q!$E$23</f>
        <v>4.75</v>
      </c>
      <c r="E9176" s="38" t="n">
        <f aca="false">Q!$P$23</f>
        <v>3.141</v>
      </c>
      <c r="F9176" s="38" t="n">
        <f aca="false">Sens!$F$9172+Sens!$F$9173*Sens!$F$9175-Sens!$F$9174</f>
        <v>2.7687233080221</v>
      </c>
      <c r="G9176" s="38" t="n">
        <f aca="false">Sens!$E$9176+Sens!$F$9176</f>
        <v>5.9097233080221</v>
      </c>
      <c r="H9176" s="38" t="n">
        <f aca="false">Sens!$H$9172+Sens!$H$9173*Sens!$H$9175-Sens!$H$9174</f>
        <v>6.25310068557783</v>
      </c>
      <c r="I9176" s="38" t="n">
        <f aca="false">Sens!$I$9172+Sens!$I$9173*Sens!$I$9175-Sens!$I$9174</f>
        <v>6.02635396621997</v>
      </c>
      <c r="J9176" s="38" t="n">
        <f aca="false">Sens!$J$9172+Sens!$J$9173*Sens!$J$9175-Sens!$J$9174</f>
        <v>5.61873266156566</v>
      </c>
      <c r="K9176" s="38" t="n">
        <f aca="false">Sens!$K$9172+Sens!$K$9173*Sens!$K$9175-Sens!$K$9174</f>
        <v>4.97910446642705</v>
      </c>
      <c r="L9176" s="38" t="n">
        <f aca="false">Sens!$L$9172+Sens!$L$9173*Sens!$L$9175-Sens!$L$9174</f>
        <v>5.18252470210692</v>
      </c>
      <c r="M9176" s="38" t="n">
        <f aca="false">Sens!$M$9172+Sens!$M$9173*Sens!$M$9175-Sens!$M$9174</f>
        <v>6.15670444240737</v>
      </c>
      <c r="N9176" s="38" t="n">
        <f aca="false">Q!$N$23</f>
        <v>2.511</v>
      </c>
      <c r="O9176" s="38" t="n">
        <f aca="false">Q!$O$23</f>
        <v>2.239</v>
      </c>
    </row>
    <row r="9177" customFormat="false" ht="17.15" hidden="false" customHeight="false" outlineLevel="0" collapsed="false">
      <c r="A9177" s="0" t="s">
        <v>731</v>
      </c>
      <c r="B9177" s="0" t="s">
        <v>86</v>
      </c>
      <c r="C9177" s="38" t="n">
        <f aca="false">Sens!$C$9117</f>
        <v>1.64417882953695</v>
      </c>
      <c r="D9177" s="38" t="n">
        <f aca="false">Sens!$D$9117</f>
        <v>5.39125073772939</v>
      </c>
      <c r="E9177" s="38" t="n">
        <f aca="false">Sens!$E$9117</f>
        <v>3.18348617147493</v>
      </c>
      <c r="F9177" s="38" t="n">
        <f aca="false">Sens!$F$9117</f>
        <v>8.27806059642226</v>
      </c>
      <c r="G9177" s="38" t="n">
        <f aca="false">Sens!$G$9117</f>
        <v>11.4615467678972</v>
      </c>
      <c r="H9177" s="38" t="n">
        <f aca="false">Sens!$H$9117</f>
        <v>26.1859456885487</v>
      </c>
      <c r="I9177" s="38" t="n">
        <f aca="false">Sens!$I$9117</f>
        <v>37.04424114757</v>
      </c>
      <c r="J9177" s="38" t="n">
        <f aca="false">Sens!$J$9117</f>
        <v>47.2610736233534</v>
      </c>
      <c r="K9177" s="38" t="n">
        <f aca="false">Sens!$K$9117</f>
        <v>51.8167797755728</v>
      </c>
      <c r="L9177" s="38" t="n">
        <f aca="false">Sens!$L$9117</f>
        <v>53.5047805796943</v>
      </c>
      <c r="M9177" s="38" t="n">
        <f aca="false">Sens!$M$9117</f>
        <v>51.0047588788104</v>
      </c>
      <c r="N9177" s="38" t="n">
        <f aca="false">Sens!$N$9117</f>
        <v>1.67921600037079</v>
      </c>
      <c r="O9177" s="38" t="n">
        <f aca="false">Sens!$O$9117</f>
        <v>3.71203473735861</v>
      </c>
    </row>
    <row r="9178" customFormat="false" ht="17.15" hidden="false" customHeight="false" outlineLevel="0" collapsed="false">
      <c r="A9178" s="0" t="s">
        <v>649</v>
      </c>
      <c r="B9178" s="0" t="s">
        <v>86</v>
      </c>
      <c r="C9178" s="38" t="n">
        <f aca="false">Sens!$C$9122</f>
        <v>38.1898211704631</v>
      </c>
      <c r="D9178" s="38" t="n">
        <f aca="false">Sens!$D$9122</f>
        <v>40.2147492622706</v>
      </c>
      <c r="E9178" s="38" t="n">
        <f aca="false">Sens!$E$9122</f>
        <v>27.5985138285251</v>
      </c>
      <c r="F9178" s="38" t="n">
        <f aca="false">Sens!$F$9122</f>
        <v>25.5484769754606</v>
      </c>
      <c r="G9178" s="38" t="n">
        <f aca="false">Sens!$G$9122</f>
        <v>53.1469908039857</v>
      </c>
      <c r="H9178" s="38" t="n">
        <f aca="false">Sens!$H$9122</f>
        <v>57.3189525076539</v>
      </c>
      <c r="I9178" s="38" t="n">
        <f aca="false">Sens!$I$9122</f>
        <v>63.6385627021087</v>
      </c>
      <c r="J9178" s="38" t="n">
        <f aca="false">Sens!$J$9122</f>
        <v>69.6922896066105</v>
      </c>
      <c r="K9178" s="38" t="n">
        <f aca="false">Sens!$K$9122</f>
        <v>75.2676727751394</v>
      </c>
      <c r="L9178" s="38" t="n">
        <f aca="false">Sens!$L$9122</f>
        <v>81.2890865971505</v>
      </c>
      <c r="M9178" s="38" t="n">
        <f aca="false">Sens!$M$9122</f>
        <v>87.7922135249226</v>
      </c>
      <c r="N9178" s="38" t="n">
        <f aca="false">Sens!$N$9122</f>
        <v>20.0277839996292</v>
      </c>
      <c r="O9178" s="38" t="n">
        <f aca="false">Sens!$O$9122</f>
        <v>20.1869652626414</v>
      </c>
    </row>
    <row r="9179" customFormat="false" ht="17.15" hidden="false" customHeight="false" outlineLevel="0" collapsed="false">
      <c r="A9179" s="1" t="s">
        <v>732</v>
      </c>
      <c r="B9179" s="8" t="s">
        <v>86</v>
      </c>
      <c r="C9179" s="38" t="n">
        <f aca="false">Q!$D$24</f>
        <v>39.834</v>
      </c>
      <c r="D9179" s="38" t="n">
        <f aca="false">Q!$E$24</f>
        <v>45.606</v>
      </c>
      <c r="E9179" s="38" t="n">
        <f aca="false">Q!$P$24</f>
        <v>30.782</v>
      </c>
      <c r="F9179" s="38" t="n">
        <f aca="false">Sens!$F$9177+Sens!$F$9178</f>
        <v>33.8265375718829</v>
      </c>
      <c r="G9179" s="38" t="n">
        <f aca="false">Sens!$G$9177+Sens!$G$9178</f>
        <v>64.6085375718829</v>
      </c>
      <c r="H9179" s="38" t="n">
        <f aca="false">Sens!$H$9177+Sens!$H$9178</f>
        <v>83.5048981962026</v>
      </c>
      <c r="I9179" s="38" t="n">
        <f aca="false">Sens!$I$9177+Sens!$I$9178</f>
        <v>100.682803849679</v>
      </c>
      <c r="J9179" s="38" t="n">
        <f aca="false">Sens!$J$9177+Sens!$J$9178</f>
        <v>116.953363229964</v>
      </c>
      <c r="K9179" s="38" t="n">
        <f aca="false">Sens!$K$9177+Sens!$K$9178</f>
        <v>127.084452550712</v>
      </c>
      <c r="L9179" s="38" t="n">
        <f aca="false">Sens!$L$9177+Sens!$L$9178</f>
        <v>134.793867176845</v>
      </c>
      <c r="M9179" s="38" t="n">
        <f aca="false">Sens!$M$9177+Sens!$M$9178</f>
        <v>138.796972403733</v>
      </c>
      <c r="N9179" s="38" t="n">
        <f aca="false">Q!$N$24</f>
        <v>21.707</v>
      </c>
      <c r="O9179" s="38" t="n">
        <f aca="false">Q!$O$24</f>
        <v>23.899</v>
      </c>
    </row>
    <row r="9180" customFormat="false" ht="17.15" hidden="false" customHeight="false" outlineLevel="0" collapsed="false">
      <c r="A9180" s="5" t="s">
        <v>733</v>
      </c>
      <c r="B9180" s="0" t="s">
        <v>86</v>
      </c>
      <c r="C9180" s="38" t="n">
        <f aca="false">Q!$D$26</f>
        <v>0</v>
      </c>
      <c r="D9180" s="38" t="n">
        <f aca="false">Q!$E$26</f>
        <v>0</v>
      </c>
      <c r="E9180" s="38" t="n">
        <f aca="false">Q!$P$26</f>
        <v>0</v>
      </c>
      <c r="F9180" s="39" t="n">
        <v>0</v>
      </c>
      <c r="G9180" s="38" t="n">
        <f aca="false">Sens!$E$9180+Sens!$F$9180</f>
        <v>0</v>
      </c>
      <c r="H9180" s="39" t="n">
        <v>0</v>
      </c>
      <c r="I9180" s="39" t="n">
        <v>0</v>
      </c>
      <c r="J9180" s="39" t="n">
        <v>0</v>
      </c>
      <c r="K9180" s="39" t="n">
        <v>0</v>
      </c>
      <c r="L9180" s="39" t="n">
        <v>0</v>
      </c>
      <c r="M9180" s="39" t="n">
        <v>0</v>
      </c>
      <c r="N9180" s="38" t="n">
        <f aca="false">Q!$N$26</f>
        <v>0</v>
      </c>
      <c r="O9180" s="38" t="n">
        <f aca="false">Q!$O$26</f>
        <v>0</v>
      </c>
    </row>
    <row r="9181" customFormat="false" ht="15" hidden="false" customHeight="false" outlineLevel="0" collapsed="false">
      <c r="A9181" s="3" t="s">
        <v>534</v>
      </c>
      <c r="B9181" s="8" t="s">
        <v>86</v>
      </c>
      <c r="C9181" s="38" t="n">
        <f aca="false">Q!$D$25</f>
        <v>68.593</v>
      </c>
      <c r="D9181" s="38" t="n">
        <f aca="false">Q!$E$25</f>
        <v>79.975</v>
      </c>
      <c r="E9181" s="38" t="n">
        <f aca="false">Q!$P$25</f>
        <v>51.313</v>
      </c>
      <c r="F9181" s="38" t="n">
        <f aca="false">Sens!$F$9171+Sens!$F$9176+Sens!$F$9179+Sens!$F$9180</f>
        <v>56.6904916268541</v>
      </c>
      <c r="G9181" s="38" t="n">
        <f aca="false">Sens!$G$9171+Sens!$G$9176+Sens!$G$9179+Sens!$G$9180</f>
        <v>108.003491626854</v>
      </c>
      <c r="H9181" s="38" t="n">
        <f aca="false">Sens!$H$9171+Sens!$H$9176+Sens!$H$9179+Sens!$H$9180</f>
        <v>131.546867769501</v>
      </c>
      <c r="I9181" s="38" t="n">
        <f aca="false">Sens!$I$9171+Sens!$I$9176+Sens!$I$9179+Sens!$I$9180</f>
        <v>151.443755203325</v>
      </c>
      <c r="J9181" s="38" t="n">
        <f aca="false">Sens!$J$9171+Sens!$J$9176+Sens!$J$9179+Sens!$J$9180</f>
        <v>169.831139392687</v>
      </c>
      <c r="K9181" s="38" t="n">
        <f aca="false">Sens!$K$9171+Sens!$K$9176+Sens!$K$9179+Sens!$K$9180</f>
        <v>181.200203156976</v>
      </c>
      <c r="L9181" s="38" t="n">
        <f aca="false">Sens!$L$9171+Sens!$L$9176+Sens!$L$9179+Sens!$L$9180</f>
        <v>191.752115456843</v>
      </c>
      <c r="M9181" s="38" t="n">
        <f aca="false">Sens!$M$9171+Sens!$M$9176+Sens!$M$9179+Sens!$M$9180</f>
        <v>201.508227275094</v>
      </c>
      <c r="N9181" s="38" t="n">
        <f aca="false">Q!$N$25</f>
        <v>37.576</v>
      </c>
      <c r="O9181" s="38" t="n">
        <f aca="false">Q!$O$25</f>
        <v>42.399</v>
      </c>
    </row>
    <row r="9182" customFormat="false" ht="17.15" hidden="false" customHeight="false" outlineLevel="0" collapsed="false">
      <c r="A9182" s="24" t="s">
        <v>764</v>
      </c>
      <c r="B9182" s="25" t="s">
        <v>86</v>
      </c>
      <c r="C9182" s="41" t="n">
        <f aca="false">Sens!$C$9171+Sens!$C$9176+Sens!$C$9179+Sens!$C$9180-Sens!$C$9181</f>
        <v>0</v>
      </c>
      <c r="D9182" s="41" t="n">
        <f aca="false">Sens!$D$9171+Sens!$D$9176+Sens!$D$9179+Sens!$D$9180-Sens!$D$9181</f>
        <v>0</v>
      </c>
      <c r="E9182" s="41" t="n">
        <f aca="false">Sens!$E$9171+Sens!$E$9176+Sens!$E$9179+Sens!$E$9180-Sens!$E$9181</f>
        <v>0</v>
      </c>
      <c r="F9182" s="41" t="n">
        <f aca="false">Sens!$F$9171+Sens!$F$9176+Sens!$F$9179+Sens!$F$9180-Sens!$F$9181</f>
        <v>0</v>
      </c>
      <c r="G9182" s="41" t="n">
        <f aca="false">Sens!$G$9171+Sens!$G$9176+Sens!$G$9179+Sens!$G$9180-Sens!$G$9181</f>
        <v>0</v>
      </c>
      <c r="H9182" s="41" t="n">
        <f aca="false">Sens!$H$9171+Sens!$H$9176+Sens!$H$9179+Sens!$H$9180-Sens!$H$9181</f>
        <v>0</v>
      </c>
      <c r="I9182" s="41" t="n">
        <f aca="false">Sens!$I$9171+Sens!$I$9176+Sens!$I$9179+Sens!$I$9180-Sens!$I$9181</f>
        <v>0</v>
      </c>
      <c r="J9182" s="41" t="n">
        <f aca="false">Sens!$J$9171+Sens!$J$9176+Sens!$J$9179+Sens!$J$9180-Sens!$J$9181</f>
        <v>0</v>
      </c>
      <c r="K9182" s="41" t="n">
        <f aca="false">Sens!$K$9171+Sens!$K$9176+Sens!$K$9179+Sens!$K$9180-Sens!$K$9181</f>
        <v>0</v>
      </c>
      <c r="L9182" s="41" t="n">
        <f aca="false">Sens!$L$9171+Sens!$L$9176+Sens!$L$9179+Sens!$L$9180-Sens!$L$9181</f>
        <v>0</v>
      </c>
      <c r="M9182" s="41" t="n">
        <f aca="false">Sens!$M$9171+Sens!$M$9176+Sens!$M$9179+Sens!$M$9180-Sens!$M$9181</f>
        <v>0</v>
      </c>
      <c r="N9182" s="41" t="n">
        <f aca="false">Sens!$N$9171+Sens!$N$9176+Sens!$N$9179+Sens!$N$9180-Sens!$N$9181</f>
        <v>0</v>
      </c>
      <c r="O9182" s="41" t="n">
        <f aca="false">Sens!$O$9171+Sens!$O$9176+Sens!$O$9179+Sens!$O$9180-Sens!$O$9181</f>
        <v>0</v>
      </c>
    </row>
    <row r="9183" customFormat="false" ht="17.15" hidden="false" customHeight="false" outlineLevel="0" collapsed="false">
      <c r="A9183" s="5" t="s">
        <v>735</v>
      </c>
      <c r="B9183" s="0" t="s">
        <v>86</v>
      </c>
      <c r="C9183" s="38" t="n">
        <f aca="false">Sens!$C$9119</f>
        <v>0</v>
      </c>
      <c r="D9183" s="38" t="n">
        <f aca="false">Sens!$D$9119</f>
        <v>0</v>
      </c>
      <c r="E9183" s="38" t="n">
        <f aca="false">Sens!$E$9119</f>
        <v>0</v>
      </c>
      <c r="F9183" s="38" t="n">
        <f aca="false">Sens!$F$9119</f>
        <v>3.77122048175818</v>
      </c>
      <c r="G9183" s="38" t="n">
        <f aca="false">Sens!$G$9119</f>
        <v>3.77122048175818</v>
      </c>
      <c r="H9183" s="38" t="n">
        <f aca="false">Sens!$H$9119</f>
        <v>15.1635543609893</v>
      </c>
      <c r="I9183" s="38" t="n">
        <f aca="false">Sens!$I$9119</f>
        <v>25.5818843619889</v>
      </c>
      <c r="J9183" s="38" t="n">
        <f aca="false">Sens!$J$9119</f>
        <v>36.0465624179122</v>
      </c>
      <c r="K9183" s="38" t="n">
        <f aca="false">Sens!$K$9119</f>
        <v>44.9020355557576</v>
      </c>
      <c r="L9183" s="38" t="n">
        <f aca="false">Sens!$L$9119</f>
        <v>50.55474151763</v>
      </c>
      <c r="M9183" s="38" t="n">
        <f aca="false">Sens!$M$9119</f>
        <v>52.9968449759368</v>
      </c>
      <c r="N9183" s="38" t="n">
        <f aca="false">Sens!$N$9119</f>
        <v>0</v>
      </c>
      <c r="O9183" s="38" t="n">
        <f aca="false">Sens!$O$9119</f>
        <v>0</v>
      </c>
      <c r="P9183" s="5" t="s">
        <v>736</v>
      </c>
    </row>
    <row r="9184" customFormat="false" ht="17.15" hidden="false" customHeight="false" outlineLevel="0" collapsed="false">
      <c r="A9184" s="5" t="s">
        <v>737</v>
      </c>
      <c r="B9184" s="0" t="s">
        <v>86</v>
      </c>
      <c r="C9184" s="38" t="n">
        <f aca="false">Sens!$C$9181+Sens!$C$9183</f>
        <v>68.593</v>
      </c>
      <c r="D9184" s="38" t="n">
        <f aca="false">Sens!$D$9181+Sens!$D$9183</f>
        <v>79.975</v>
      </c>
      <c r="E9184" s="38" t="n">
        <f aca="false">Sens!$E$9181+Sens!$E$9183</f>
        <v>51.313</v>
      </c>
      <c r="F9184" s="38" t="n">
        <f aca="false">Sens!$F$9181+Sens!$F$9183</f>
        <v>60.4617121086123</v>
      </c>
      <c r="G9184" s="38" t="n">
        <f aca="false">Sens!$G$9181+Sens!$G$9183</f>
        <v>111.774712108612</v>
      </c>
      <c r="H9184" s="38" t="n">
        <f aca="false">Sens!$H$9181+Sens!$H$9183</f>
        <v>146.71042213049</v>
      </c>
      <c r="I9184" s="38" t="n">
        <f aca="false">Sens!$I$9181+Sens!$I$9183</f>
        <v>177.025639565314</v>
      </c>
      <c r="J9184" s="38" t="n">
        <f aca="false">Sens!$J$9181+Sens!$J$9183</f>
        <v>205.877701810599</v>
      </c>
      <c r="K9184" s="38" t="n">
        <f aca="false">Sens!$K$9181+Sens!$K$9183</f>
        <v>226.102238712733</v>
      </c>
      <c r="L9184" s="38" t="n">
        <f aca="false">Sens!$L$9181+Sens!$L$9183</f>
        <v>242.306856974473</v>
      </c>
      <c r="M9184" s="38" t="n">
        <f aca="false">Sens!$M$9181+Sens!$M$9183</f>
        <v>254.505072251031</v>
      </c>
      <c r="N9184" s="38" t="n">
        <f aca="false">Sens!$N$9181+Sens!$N$9183</f>
        <v>37.576</v>
      </c>
      <c r="O9184" s="38" t="n">
        <f aca="false">Sens!$O$9181+Sens!$O$9183</f>
        <v>42.399</v>
      </c>
    </row>
    <row r="9185" customFormat="false" ht="17.15" hidden="false" customHeight="false" outlineLevel="0" collapsed="false">
      <c r="A9185" s="0" t="s">
        <v>738</v>
      </c>
      <c r="B9185" s="0" t="s">
        <v>52</v>
      </c>
      <c r="C9185" s="13" t="n">
        <f aca="false">Sens!$C$9171/Sens!$C$9156</f>
        <v>0.0644314665661928</v>
      </c>
      <c r="D9185" s="13" t="n">
        <f aca="false">Sens!$D$9171/Sens!$D$9156</f>
        <v>0.0694784250712518</v>
      </c>
      <c r="E9185" s="13" t="n">
        <f aca="false">Sens!$E$9171/Sens!$E$9156</f>
        <v>0.0789306463326071</v>
      </c>
      <c r="F9185" s="13" t="n">
        <f aca="false">Sens!$F$9171/Sens!$F$9156</f>
        <v>0.0801757457241943</v>
      </c>
      <c r="G9185" s="13" t="n">
        <f aca="false">Sens!$G$9171/Sens!$G$9156</f>
        <v>0.0795932749625682</v>
      </c>
      <c r="H9185" s="13" t="n">
        <f aca="false">Sens!$H$9171/Sens!$H$9156</f>
        <v>0.0801494276915951</v>
      </c>
      <c r="I9185" s="13" t="n">
        <f aca="false">Sens!$I$9171/Sens!$I$9156</f>
        <v>0.0784619467108939</v>
      </c>
      <c r="J9185" s="13" t="n">
        <f aca="false">Sens!$J$9171/Sens!$J$9156</f>
        <v>0.0767950945569155</v>
      </c>
      <c r="K9185" s="13" t="n">
        <f aca="false">Sens!$K$9171/Sens!$K$9156</f>
        <v>0.0749939394422836</v>
      </c>
      <c r="L9185" s="13" t="n">
        <f aca="false">Sens!$L$9171/Sens!$L$9156</f>
        <v>0.0741976918077138</v>
      </c>
      <c r="M9185" s="13" t="n">
        <f aca="false">Sens!$M$9171/Sens!$M$9156</f>
        <v>0.0760756006409599</v>
      </c>
      <c r="N9185" s="13" t="n">
        <f aca="false">Sens!$N$9171/Sens!$N$9156</f>
        <v>0.069228576611127</v>
      </c>
      <c r="O9185" s="13" t="n">
        <f aca="false">Sens!$O$9171/Sens!$O$9156</f>
        <v>0.069685022498393</v>
      </c>
    </row>
    <row r="9186" customFormat="false" ht="17.15" hidden="false" customHeight="false" outlineLevel="0" collapsed="false">
      <c r="A9186" s="0" t="s">
        <v>739</v>
      </c>
      <c r="B9186" s="0" t="s">
        <v>52</v>
      </c>
      <c r="C9186" s="13" t="n">
        <f aca="false">Sens!$C$9176/Sens!$C$9157</f>
        <v>0.026534925055631</v>
      </c>
      <c r="D9186" s="13" t="n">
        <f aca="false">Sens!$D$9176/Sens!$D$9157</f>
        <v>0.0293401855535103</v>
      </c>
      <c r="E9186" s="13" t="n">
        <f aca="false">Sens!$E$9176/Sens!$E$9157</f>
        <v>0.03831141902276</v>
      </c>
      <c r="F9186" s="13" t="n">
        <f aca="false">Sens!$F$9176/Sens!$F$9157</f>
        <v>0.0281350107328284</v>
      </c>
      <c r="G9186" s="13" t="n">
        <f aca="false">Sens!$G$9176/Sens!$G$9157</f>
        <v>0.0327600029432073</v>
      </c>
      <c r="H9186" s="13" t="n">
        <f aca="false">Sens!$H$9176/Sens!$H$9157</f>
        <v>0.031310920057557</v>
      </c>
      <c r="I9186" s="13" t="n">
        <f aca="false">Sens!$I$9176/Sens!$I$9157</f>
        <v>0.0275950243319601</v>
      </c>
      <c r="J9186" s="13" t="n">
        <f aca="false">Sens!$J$9176/Sens!$J$9157</f>
        <v>0.0238367762099147</v>
      </c>
      <c r="K9186" s="13" t="n">
        <f aca="false">Sens!$K$9176/Sens!$K$9157</f>
        <v>0.0198395809250214</v>
      </c>
      <c r="L9186" s="13" t="n">
        <f aca="false">Sens!$L$9176/Sens!$L$9157</f>
        <v>0.0193894815713138</v>
      </c>
      <c r="M9186" s="13" t="n">
        <f aca="false">Sens!$M$9176/Sens!$M$9157</f>
        <v>0.0216215457635621</v>
      </c>
      <c r="N9186" s="13" t="n">
        <f aca="false">Sens!$N$9176/Sens!$N$9157</f>
        <v>0.0357315650169337</v>
      </c>
      <c r="O9186" s="13" t="n">
        <f aca="false">Sens!$O$9176/Sens!$O$9157</f>
        <v>0.0244378956559703</v>
      </c>
    </row>
    <row r="9187" customFormat="false" ht="17.15" hidden="false" customHeight="false" outlineLevel="0" collapsed="false">
      <c r="A9187" s="14" t="s">
        <v>740</v>
      </c>
      <c r="B9187" s="14" t="s">
        <v>52</v>
      </c>
      <c r="C9187" s="17" t="n">
        <f aca="false">Sens!$C$9179/Sens!$C$9158</f>
        <v>0.370355907620217</v>
      </c>
      <c r="D9187" s="17" t="n">
        <f aca="false">Sens!$D$9179/Sens!$D$9158</f>
        <v>0.35429015342785</v>
      </c>
      <c r="E9187" s="17" t="n">
        <f aca="false">Sens!$E$9179/Sens!$E$9158</f>
        <v>0.385647527531039</v>
      </c>
      <c r="F9187" s="17" t="n">
        <f aca="false">Sens!$F$9179/Sens!$F$9158</f>
        <v>0.390008895496028</v>
      </c>
      <c r="G9187" s="17" t="n">
        <f aca="false">Sens!$G$9179/Sens!$G$9158</f>
        <v>0.387918733944362</v>
      </c>
      <c r="H9187" s="17" t="n">
        <f aca="false">Sens!$H$9179/Sens!$H$9158</f>
        <v>0.377537651365497</v>
      </c>
      <c r="I9187" s="17" t="n">
        <f aca="false">Sens!$I$9179/Sens!$I$9158</f>
        <v>0.359230604038662</v>
      </c>
      <c r="J9187" s="17" t="n">
        <f aca="false">Sens!$J$9179/Sens!$J$9158</f>
        <v>0.345197865849801</v>
      </c>
      <c r="K9187" s="17" t="n">
        <f aca="false">Sens!$K$9179/Sens!$K$9158</f>
        <v>0.326192378368303</v>
      </c>
      <c r="L9187" s="17" t="n">
        <f aca="false">Sens!$L$9179/Sens!$L$9158</f>
        <v>0.314246212570264</v>
      </c>
      <c r="M9187" s="17" t="n">
        <f aca="false">Sens!$M$9179/Sens!$M$9158</f>
        <v>0.303778785747756</v>
      </c>
      <c r="N9187" s="17" t="n">
        <f aca="false">Sens!$N$9179/Sens!$N$9158</f>
        <v>0.360941137346192</v>
      </c>
      <c r="O9187" s="17" t="n">
        <f aca="false">Sens!$O$9179/Sens!$O$9158</f>
        <v>0.348458117664212</v>
      </c>
    </row>
    <row r="9188" customFormat="false" ht="17.15" hidden="false" customHeight="false" outlineLevel="0" collapsed="false">
      <c r="A9188" s="0" t="s">
        <v>741</v>
      </c>
      <c r="B9188" s="0" t="s">
        <v>52</v>
      </c>
      <c r="C9188" s="13" t="n">
        <f aca="false">Sens!$C$9177/Sens!$C$9159</f>
        <v>0.708390794789371</v>
      </c>
      <c r="D9188" s="13" t="n">
        <f aca="false">Sens!$D$9177/Sens!$D$9159</f>
        <v>0.619415573115729</v>
      </c>
      <c r="E9188" s="13" t="n">
        <f aca="false">Sens!$E$9177/Sens!$E$9159</f>
        <v>0.374072166056273</v>
      </c>
      <c r="F9188" s="13" t="n">
        <f aca="false">Sens!$F$9177/Sens!$F$9159</f>
        <v>0.553219320710057</v>
      </c>
      <c r="G9188" s="13" t="n">
        <f aca="false">Sens!$G$9177/Sens!$G$9159</f>
        <v>0.488270041527512</v>
      </c>
      <c r="H9188" s="13" t="n">
        <f aca="false">Sens!$H$9177/Sens!$H$9159</f>
        <v>0.435229086816882</v>
      </c>
      <c r="I9188" s="13" t="n">
        <f aca="false">Sens!$I$9177/Sens!$I$9159</f>
        <v>0.364954592421095</v>
      </c>
      <c r="J9188" s="13" t="n">
        <f aca="false">Sens!$J$9177/Sens!$J$9159</f>
        <v>0.330438308582232</v>
      </c>
      <c r="K9188" s="13" t="n">
        <f aca="false">Sens!$K$9177/Sens!$K$9159</f>
        <v>0.290840613449356</v>
      </c>
      <c r="L9188" s="13" t="n">
        <f aca="false">Sens!$L$9177/Sens!$L$9159</f>
        <v>0.26673582850143</v>
      </c>
      <c r="M9188" s="13" t="n">
        <f aca="false">Sens!$M$9177/Sens!$M$9159</f>
        <v>0.242555621732387</v>
      </c>
      <c r="N9188" s="13" t="n">
        <f aca="false">Sens!$N$9177/Sens!$N$9159</f>
        <v>0.551227795793364</v>
      </c>
      <c r="O9188" s="13" t="n">
        <f aca="false">Sens!$O$9177/Sens!$O$9159</f>
        <v>0.656132068597002</v>
      </c>
    </row>
    <row r="9189" customFormat="false" ht="15" hidden="false" customHeight="false" outlineLevel="0" collapsed="false">
      <c r="A9189" s="5" t="s">
        <v>742</v>
      </c>
      <c r="B9189" s="0" t="s">
        <v>52</v>
      </c>
      <c r="C9189" s="13" t="n">
        <f aca="false">Sens!$C$9181/Sens!$C$9161</f>
        <v>0.107519448742004</v>
      </c>
      <c r="D9189" s="13" t="n">
        <f aca="false">Sens!$D$9181/Sens!$D$9161</f>
        <v>0.111552967957552</v>
      </c>
      <c r="E9189" s="13" t="n">
        <f aca="false">Sens!$E$9181/Sens!$E$9161</f>
        <v>0.13428328426562</v>
      </c>
      <c r="F9189" s="13" t="n">
        <f aca="false">Sens!$F$9181/Sens!$F$9161</f>
        <v>0.130089413875539</v>
      </c>
      <c r="G9189" s="13" t="n">
        <f aca="false">Sens!$G$9181/Sens!$G$9161</f>
        <v>0.132048786678316</v>
      </c>
      <c r="H9189" s="13" t="n">
        <f aca="false">Sens!$H$9181/Sens!$H$9161</f>
        <v>0.139604881440853</v>
      </c>
      <c r="I9189" s="13" t="n">
        <f aca="false">Sens!$I$9181/Sens!$I$9161</f>
        <v>0.141694752432769</v>
      </c>
      <c r="J9189" s="13" t="n">
        <f aca="false">Sens!$J$9181/Sens!$J$9161</f>
        <v>0.14272611544629</v>
      </c>
      <c r="K9189" s="13" t="n">
        <f aca="false">Sens!$K$9181/Sens!$K$9161</f>
        <v>0.139839124593314</v>
      </c>
      <c r="L9189" s="13" t="n">
        <f aca="false">Sens!$L$9181/Sens!$L$9161</f>
        <v>0.137551708416509</v>
      </c>
      <c r="M9189" s="13" t="n">
        <f aca="false">Sens!$M$9181/Sens!$M$9161</f>
        <v>0.135691264462076</v>
      </c>
      <c r="N9189" s="13" t="n">
        <f aca="false">Sens!$N$9181/Sens!$N$9161</f>
        <v>0.116201614873411</v>
      </c>
      <c r="O9189" s="13" t="n">
        <f aca="false">Sens!$O$9181/Sens!$O$9161</f>
        <v>0.107733353660861</v>
      </c>
    </row>
    <row r="9190" customFormat="false" ht="17.15" hidden="false" customHeight="false" outlineLevel="0" collapsed="false">
      <c r="A9190" s="1" t="s">
        <v>743</v>
      </c>
    </row>
    <row r="9191" customFormat="false" ht="17.15" hidden="false" customHeight="false" outlineLevel="0" collapsed="false">
      <c r="A9191" s="5" t="s">
        <v>744</v>
      </c>
      <c r="B9191" s="0" t="s">
        <v>52</v>
      </c>
      <c r="D9191" s="28" t="n">
        <f aca="false">(Q!$E$29+Q!$E$30-(1-ext_sh)*Sens!$D$9113)/Sens!$D$9067</f>
        <v>0.0341105596409988</v>
      </c>
    </row>
    <row r="9192" customFormat="false" ht="17.15" hidden="false" customHeight="false" outlineLevel="0" collapsed="false">
      <c r="A9192" s="0" t="s">
        <v>538</v>
      </c>
      <c r="B9192" s="0" t="s">
        <v>86</v>
      </c>
      <c r="C9192" s="38" t="n">
        <f aca="false">Q!$D$29</f>
        <v>14.285</v>
      </c>
      <c r="D9192" s="38" t="n">
        <f aca="false">Q!$E$29</f>
        <v>15.503</v>
      </c>
      <c r="E9192" s="38" t="n">
        <f aca="false">Q!$P$29</f>
        <v>8.78</v>
      </c>
      <c r="F9192" s="38" t="n">
        <f aca="false">(Sens!$D$9191*Sens!$F$9067+(1-ext_sh)*Sens!$F$9113)*Sens!$F$9068</f>
        <v>9.16735846116642</v>
      </c>
      <c r="G9192" s="38" t="n">
        <f aca="false">Sens!$E$9192+Sens!$F$9192</f>
        <v>17.9473584611664</v>
      </c>
      <c r="H9192" s="38" t="n">
        <f aca="false">(Sens!$D$9191*Sens!$H$9067+(1-ext_sh)*Sens!$H$9113)*Sens!$H$9068</f>
        <v>21.6406723110177</v>
      </c>
      <c r="I9192" s="38" t="n">
        <f aca="false">(Sens!$D$9191*Sens!$I$9067+(1-ext_sh)*Sens!$I$9113)*Sens!$I$9068</f>
        <v>27.3128215555087</v>
      </c>
      <c r="J9192" s="38" t="n">
        <f aca="false">(Sens!$D$9191*Sens!$J$9067+(1-ext_sh)*Sens!$J$9113)*Sens!$J$9068</f>
        <v>33.0116861885756</v>
      </c>
      <c r="K9192" s="38" t="n">
        <f aca="false">(Sens!$D$9191*Sens!$K$9067+(1-ext_sh)*Sens!$K$9113)*Sens!$K$9068</f>
        <v>38.6250238720245</v>
      </c>
      <c r="L9192" s="38" t="n">
        <f aca="false">(Sens!$D$9191*Sens!$L$9067+(1-ext_sh)*Sens!$L$9113)*Sens!$L$9068</f>
        <v>43.0147457862143</v>
      </c>
      <c r="M9192" s="38" t="n">
        <f aca="false">(Sens!$D$9191*Sens!$M$9067+(1-ext_sh)*Sens!$M$9113)*Sens!$M$9068</f>
        <v>46.4215054296107</v>
      </c>
      <c r="N9192" s="38" t="n">
        <f aca="false">Q!$N$29</f>
        <v>7.272</v>
      </c>
      <c r="O9192" s="38" t="n">
        <f aca="false">Q!$O$29</f>
        <v>8.231</v>
      </c>
    </row>
    <row r="9193" customFormat="false" ht="17.15" hidden="false" customHeight="false" outlineLevel="0" collapsed="false">
      <c r="A9193" s="0" t="s">
        <v>540</v>
      </c>
      <c r="B9193" s="0" t="s">
        <v>86</v>
      </c>
      <c r="C9193" s="38" t="n">
        <f aca="false">Q!$D$30</f>
        <v>4.462</v>
      </c>
      <c r="D9193" s="38" t="n">
        <f aca="false">Q!$E$30</f>
        <v>4.907</v>
      </c>
      <c r="E9193" s="38" t="n">
        <f aca="false">Q!$P$30</f>
        <v>2.57</v>
      </c>
      <c r="F9193" s="38" t="n">
        <f aca="false">(Sens!$D$9191*Sens!$F$9067+(1-ext_sh)*Sens!$F$9113)*(1-Sens!$F$9068)</f>
        <v>3.59937168293151</v>
      </c>
      <c r="G9193" s="38" t="n">
        <f aca="false">Sens!$E$9193+Sens!$F$9193</f>
        <v>6.16937168293151</v>
      </c>
      <c r="H9193" s="38" t="n">
        <f aca="false">(Sens!$D$9191*Sens!$H$9067+(1-ext_sh)*Sens!$H$9113)*(1-Sens!$H$9068)</f>
        <v>8.28915290031442</v>
      </c>
      <c r="I9193" s="38" t="n">
        <f aca="false">(Sens!$D$9191*Sens!$I$9067+(1-ext_sh)*Sens!$I$9113)*(1-Sens!$I$9068)</f>
        <v>10.4617892992793</v>
      </c>
      <c r="J9193" s="38" t="n">
        <f aca="false">(Sens!$D$9191*Sens!$J$9067+(1-ext_sh)*Sens!$J$9113)*(1-Sens!$J$9068)</f>
        <v>12.6446586493057</v>
      </c>
      <c r="K9193" s="38" t="n">
        <f aca="false">(Sens!$D$9191*Sens!$K$9067+(1-ext_sh)*Sens!$K$9113)*(1-Sens!$K$9068)</f>
        <v>14.7947681131192</v>
      </c>
      <c r="L9193" s="38" t="n">
        <f aca="false">(Sens!$D$9191*Sens!$L$9067+(1-ext_sh)*Sens!$L$9113)*(1-Sens!$L$9068)</f>
        <v>16.4761888940278</v>
      </c>
      <c r="M9193" s="38" t="n">
        <f aca="false">(Sens!$D$9191*Sens!$M$9067+(1-ext_sh)*Sens!$M$9113)*(1-Sens!$M$9068)</f>
        <v>17.7810999047803</v>
      </c>
      <c r="N9193" s="38" t="n">
        <f aca="false">Q!$N$30</f>
        <v>2.316</v>
      </c>
      <c r="O9193" s="38" t="n">
        <f aca="false">Q!$O$30</f>
        <v>2.591</v>
      </c>
    </row>
    <row r="9194" customFormat="false" ht="17.15" hidden="false" customHeight="false" outlineLevel="0" collapsed="false">
      <c r="A9194" s="0" t="s">
        <v>541</v>
      </c>
      <c r="B9194" s="0" t="s">
        <v>86</v>
      </c>
      <c r="C9194" s="38" t="n">
        <f aca="false">Sens!$C$9125</f>
        <v>13.32</v>
      </c>
      <c r="D9194" s="38" t="n">
        <f aca="false">Sens!$D$9125</f>
        <v>21.45</v>
      </c>
      <c r="E9194" s="38" t="n">
        <f aca="false">Sens!$E$9125</f>
        <v>15.353</v>
      </c>
      <c r="F9194" s="38" t="n">
        <f aca="false">Sens!$F$9125</f>
        <v>15.4404120185306</v>
      </c>
      <c r="G9194" s="38" t="n">
        <f aca="false">Sens!$G$9125</f>
        <v>30.7934120185306</v>
      </c>
      <c r="H9194" s="38" t="n">
        <f aca="false">Sens!$H$9125</f>
        <v>48.250114371455</v>
      </c>
      <c r="I9194" s="38" t="n">
        <f aca="false">Sens!$I$9125</f>
        <v>73.3965146995963</v>
      </c>
      <c r="J9194" s="38" t="n">
        <f aca="false">Sens!$J$9125</f>
        <v>99.22806138309</v>
      </c>
      <c r="K9194" s="38" t="n">
        <f aca="false">Sens!$K$9125</f>
        <v>125.386627452856</v>
      </c>
      <c r="L9194" s="38" t="n">
        <f aca="false">Sens!$L$9125</f>
        <v>144.460334766067</v>
      </c>
      <c r="M9194" s="38" t="n">
        <f aca="false">Sens!$M$9125</f>
        <v>157.757763910934</v>
      </c>
      <c r="N9194" s="38" t="n">
        <f aca="false">Sens!$N$9125</f>
        <v>9.234</v>
      </c>
      <c r="O9194" s="38" t="n">
        <f aca="false">Sens!$O$9125</f>
        <v>12.216</v>
      </c>
    </row>
    <row r="9195" customFormat="false" ht="17.15" hidden="false" customHeight="false" outlineLevel="0" collapsed="false">
      <c r="A9195" s="5" t="s">
        <v>745</v>
      </c>
      <c r="B9195" s="0" t="s">
        <v>86</v>
      </c>
      <c r="C9195" s="38" t="n">
        <f aca="false">Sens!$C$9192+Sens!$C$9193+Sens!$C$9194</f>
        <v>32.067</v>
      </c>
      <c r="D9195" s="38" t="n">
        <f aca="false">Sens!$D$9192+Sens!$D$9193+Sens!$D$9194</f>
        <v>41.86</v>
      </c>
      <c r="E9195" s="38" t="n">
        <f aca="false">Sens!$E$9192+Sens!$E$9193+Sens!$E$9194</f>
        <v>26.703</v>
      </c>
      <c r="F9195" s="38" t="n">
        <f aca="false">Sens!$F$9192+Sens!$F$9193+Sens!$F$9194</f>
        <v>28.2071421626285</v>
      </c>
      <c r="G9195" s="38" t="n">
        <f aca="false">Sens!$G$9192+Sens!$G$9193+Sens!$G$9194</f>
        <v>54.9101421626285</v>
      </c>
      <c r="H9195" s="38" t="n">
        <f aca="false">Sens!$H$9192+Sens!$H$9193+Sens!$H$9194</f>
        <v>78.1799395827871</v>
      </c>
      <c r="I9195" s="38" t="n">
        <f aca="false">Sens!$I$9192+Sens!$I$9193+Sens!$I$9194</f>
        <v>111.171125554384</v>
      </c>
      <c r="J9195" s="38" t="n">
        <f aca="false">Sens!$J$9192+Sens!$J$9193+Sens!$J$9194</f>
        <v>144.884406220971</v>
      </c>
      <c r="K9195" s="38" t="n">
        <f aca="false">Sens!$K$9192+Sens!$K$9193+Sens!$K$9194</f>
        <v>178.806419437999</v>
      </c>
      <c r="L9195" s="38" t="n">
        <f aca="false">Sens!$L$9192+Sens!$L$9193+Sens!$L$9194</f>
        <v>203.951269446309</v>
      </c>
      <c r="M9195" s="38" t="n">
        <f aca="false">Sens!$M$9192+Sens!$M$9193+Sens!$M$9194</f>
        <v>221.960369245325</v>
      </c>
      <c r="N9195" s="38" t="n">
        <f aca="false">Sens!$N$9192+Sens!$N$9193+Sens!$N$9194</f>
        <v>18.822</v>
      </c>
      <c r="O9195" s="38" t="n">
        <f aca="false">Sens!$O$9192+Sens!$O$9193+Sens!$O$9194</f>
        <v>23.038</v>
      </c>
    </row>
    <row r="9196" customFormat="false" ht="17.15" hidden="false" customHeight="false" outlineLevel="0" collapsed="false">
      <c r="A9196" s="0" t="s">
        <v>746</v>
      </c>
      <c r="B9196" s="0" t="s">
        <v>86</v>
      </c>
      <c r="C9196" s="38" t="n">
        <f aca="false">Sens!$C$9167+Sens!$C$9172</f>
        <v>28.107</v>
      </c>
      <c r="D9196" s="38" t="n">
        <f aca="false">Sens!$D$9167+Sens!$D$9172</f>
        <v>34.3175</v>
      </c>
      <c r="E9196" s="38" t="n">
        <f aca="false">Sens!$E$9167+Sens!$E$9172</f>
        <v>18.526</v>
      </c>
      <c r="F9196" s="38" t="n">
        <f aca="false">Sens!$F$9167+Sens!$F$9172</f>
        <v>23.0786109972074</v>
      </c>
      <c r="G9196" s="38" t="n">
        <f aca="false">Sens!$G$9167+Sens!$G$9172</f>
        <v>41.6046109972074</v>
      </c>
      <c r="H9196" s="38" t="n">
        <f aca="false">Sens!$H$9167+Sens!$H$9172</f>
        <v>49.9484611939488</v>
      </c>
      <c r="I9196" s="38" t="n">
        <f aca="false">Sens!$I$9167+Sens!$I$9172</f>
        <v>58.2915555477481</v>
      </c>
      <c r="J9196" s="38" t="n">
        <f aca="false">Sens!$J$9167+Sens!$J$9172</f>
        <v>66.0744709709759</v>
      </c>
      <c r="K9196" s="38" t="n">
        <f aca="false">Sens!$K$9167+Sens!$K$9172</f>
        <v>72.6819180680735</v>
      </c>
      <c r="L9196" s="38" t="n">
        <f aca="false">Sens!$L$9167+Sens!$L$9172</f>
        <v>79.9501098748808</v>
      </c>
      <c r="M9196" s="38" t="n">
        <f aca="false">Sens!$M$9167+Sens!$M$9172</f>
        <v>87.9451208623689</v>
      </c>
      <c r="N9196" s="38" t="n">
        <f aca="false">Sens!$N$9167+Sens!$N$9172</f>
        <v>14.8075</v>
      </c>
      <c r="O9196" s="38" t="n">
        <f aca="false">Sens!$O$9167+Sens!$O$9172</f>
        <v>19.51</v>
      </c>
    </row>
    <row r="9197" customFormat="false" ht="17.15" hidden="false" customHeight="false" outlineLevel="0" collapsed="false">
      <c r="A9197" s="0" t="s">
        <v>747</v>
      </c>
      <c r="B9197" s="0" t="s">
        <v>86</v>
      </c>
      <c r="C9197" s="38" t="n">
        <f aca="false">Sens!$C$9171+Sens!$C$9176+Sens!$C$9192+Sens!$C$9193-Sens!$C$9196</f>
        <v>19.399</v>
      </c>
      <c r="D9197" s="38" t="n">
        <f aca="false">Sens!$D$9171+Sens!$D$9176+Sens!$D$9192+Sens!$D$9193-Sens!$D$9196</f>
        <v>20.4615</v>
      </c>
      <c r="E9197" s="38" t="n">
        <f aca="false">Sens!$E$9171+Sens!$E$9176+Sens!$E$9192+Sens!$E$9193-Sens!$E$9196</f>
        <v>13.355</v>
      </c>
      <c r="F9197" s="38" t="n">
        <f aca="false">Sens!$F$9171+Sens!$F$9176+Sens!$F$9192+Sens!$F$9193-Sens!$F$9196</f>
        <v>12.5520732018618</v>
      </c>
      <c r="G9197" s="38" t="n">
        <f aca="false">Sens!$G$9171+Sens!$G$9176+Sens!$G$9192+Sens!$G$9193-Sens!$G$9196</f>
        <v>25.9070732018618</v>
      </c>
      <c r="H9197" s="38" t="n">
        <f aca="false">Sens!$H$9171+Sens!$H$9176+Sens!$H$9192+Sens!$H$9193-Sens!$H$9196</f>
        <v>28.0233335906818</v>
      </c>
      <c r="I9197" s="38" t="n">
        <f aca="false">Sens!$I$9171+Sens!$I$9176+Sens!$I$9192+Sens!$I$9193-Sens!$I$9196</f>
        <v>30.2440066606864</v>
      </c>
      <c r="J9197" s="38" t="n">
        <f aca="false">Sens!$J$9171+Sens!$J$9176+Sens!$J$9192+Sens!$J$9193-Sens!$J$9196</f>
        <v>32.4596500296286</v>
      </c>
      <c r="K9197" s="38" t="n">
        <f aca="false">Sens!$K$9171+Sens!$K$9176+Sens!$K$9192+Sens!$K$9193-Sens!$K$9196</f>
        <v>34.8536245233336</v>
      </c>
      <c r="L9197" s="38" t="n">
        <f aca="false">Sens!$L$9171+Sens!$L$9176+Sens!$L$9192+Sens!$L$9193-Sens!$L$9196</f>
        <v>36.4990730853599</v>
      </c>
      <c r="M9197" s="38" t="n">
        <f aca="false">Sens!$M$9171+Sens!$M$9176+Sens!$M$9192+Sens!$M$9193-Sens!$M$9196</f>
        <v>38.9687393433834</v>
      </c>
      <c r="N9197" s="38" t="n">
        <f aca="false">Sens!$N$9171+Sens!$N$9176+Sens!$N$9192+Sens!$N$9193-Sens!$N$9196</f>
        <v>10.6495</v>
      </c>
      <c r="O9197" s="38" t="n">
        <f aca="false">Sens!$O$9171+Sens!$O$9176+Sens!$O$9192+Sens!$O$9193-Sens!$O$9196</f>
        <v>9.81200000000001</v>
      </c>
    </row>
    <row r="9198" customFormat="false" ht="17.15" hidden="false" customHeight="false" outlineLevel="0" collapsed="false">
      <c r="A9198" s="0" t="s">
        <v>748</v>
      </c>
      <c r="B9198" s="0" t="s">
        <v>86</v>
      </c>
      <c r="C9198" s="38" t="n">
        <f aca="false">Sens!$C$9178+Sens!$C$9194-ext_sh*Sens!$C$9113</f>
        <v>51.3470500115664</v>
      </c>
      <c r="D9198" s="38" t="n">
        <f aca="false">Sens!$D$9178+Sens!$D$9194-ext_sh*Sens!$D$9113</f>
        <v>60.2799375433739</v>
      </c>
      <c r="E9198" s="38" t="n">
        <f aca="false">Sens!$E$9178+Sens!$E$9194-ext_sh*Sens!$E$9113</f>
        <v>39.5095167090767</v>
      </c>
      <c r="F9198" s="38" t="n">
        <f aca="false">Sens!$F$9178+Sens!$F$9194-ext_sh*Sens!$F$9113</f>
        <v>37.5468918745429</v>
      </c>
      <c r="G9198" s="38" t="n">
        <f aca="false">Sens!$G$9178+Sens!$G$9194-ext_sh*Sens!$G$9113</f>
        <v>77.0564085836196</v>
      </c>
      <c r="H9198" s="38" t="n">
        <f aca="false">Sens!$H$9178+Sens!$H$9194-ext_sh*Sens!$H$9113</f>
        <v>84.2378398616123</v>
      </c>
      <c r="I9198" s="38" t="n">
        <f aca="false">Sens!$I$9178+Sens!$I$9194-ext_sh*Sens!$I$9113</f>
        <v>93.5253492849083</v>
      </c>
      <c r="J9198" s="38" t="n">
        <f aca="false">Sens!$J$9178+Sens!$J$9194-ext_sh*Sens!$J$9113</f>
        <v>102.42210777817</v>
      </c>
      <c r="K9198" s="38" t="n">
        <f aca="false">Sens!$K$9178+Sens!$K$9194-ext_sh*Sens!$K$9113</f>
        <v>110.615876400424</v>
      </c>
      <c r="L9198" s="38" t="n">
        <f aca="false">Sens!$L$9178+Sens!$L$9194-ext_sh*Sens!$L$9113</f>
        <v>119.465146512458</v>
      </c>
      <c r="M9198" s="38" t="n">
        <f aca="false">Sens!$M$9178+Sens!$M$9194-ext_sh*Sens!$M$9113</f>
        <v>129.022358233455</v>
      </c>
      <c r="N9198" s="38" t="n">
        <f aca="false">Sens!$N$9178+Sens!$N$9194-ext_sh*Sens!$N$9113</f>
        <v>28.5693781401809</v>
      </c>
      <c r="O9198" s="38" t="n">
        <f aca="false">Sens!$O$9178+Sens!$O$9194-ext_sh*Sens!$O$9113</f>
        <v>31.7105594031931</v>
      </c>
    </row>
    <row r="9199" customFormat="false" ht="17.15" hidden="false" customHeight="false" outlineLevel="0" collapsed="false">
      <c r="A9199" s="0" t="s">
        <v>749</v>
      </c>
      <c r="B9199" s="0" t="s">
        <v>86</v>
      </c>
      <c r="C9199" s="38" t="n">
        <f aca="false">Sens!$C$9116</f>
        <v>1.80694998843362</v>
      </c>
      <c r="D9199" s="38" t="n">
        <f aca="false">Sens!$D$9116</f>
        <v>6.77606245662607</v>
      </c>
      <c r="E9199" s="38" t="n">
        <f aca="false">Sens!$E$9116</f>
        <v>6.62548329092326</v>
      </c>
      <c r="F9199" s="38" t="n">
        <f aca="false">Sens!$F$9116</f>
        <v>11.7200577158706</v>
      </c>
      <c r="G9199" s="38" t="n">
        <f aca="false">Sens!$G$9116</f>
        <v>18.3455410067939</v>
      </c>
      <c r="H9199" s="38" t="n">
        <f aca="false">Sens!$H$9116</f>
        <v>47.5171727060453</v>
      </c>
      <c r="I9199" s="38" t="n">
        <f aca="false">Sens!$I$9116</f>
        <v>80.5539692643667</v>
      </c>
      <c r="J9199" s="38" t="n">
        <f aca="false">Sens!$J$9116</f>
        <v>113.759316834883</v>
      </c>
      <c r="K9199" s="38" t="n">
        <f aca="false">Sens!$K$9116</f>
        <v>141.855203603144</v>
      </c>
      <c r="L9199" s="38" t="n">
        <f aca="false">Sens!$L$9116</f>
        <v>159.789055430453</v>
      </c>
      <c r="M9199" s="38" t="n">
        <f aca="false">Sens!$M$9116</f>
        <v>167.532378081213</v>
      </c>
      <c r="N9199" s="38" t="n">
        <f aca="false">Sens!$N$9116</f>
        <v>2.37162185981912</v>
      </c>
      <c r="O9199" s="38" t="n">
        <f aca="false">Sens!$O$9116</f>
        <v>4.40444059680694</v>
      </c>
    </row>
    <row r="9200" customFormat="false" ht="17.15" hidden="false" customHeight="false" outlineLevel="0" collapsed="false">
      <c r="A9200" s="0" t="s">
        <v>750</v>
      </c>
      <c r="B9200" s="0" t="s">
        <v>86</v>
      </c>
      <c r="C9200" s="38" t="n">
        <f aca="false">Sens!$C$9181+Sens!$C$9195</f>
        <v>100.66</v>
      </c>
      <c r="D9200" s="38" t="n">
        <f aca="false">Sens!$D$9181+Sens!$D$9195</f>
        <v>121.835</v>
      </c>
      <c r="E9200" s="38" t="n">
        <f aca="false">Sens!$E$9181+Sens!$E$9195</f>
        <v>78.016</v>
      </c>
      <c r="F9200" s="38" t="n">
        <f aca="false">Sens!$F$9181+Sens!$F$9195</f>
        <v>84.8976337894826</v>
      </c>
      <c r="G9200" s="38" t="n">
        <f aca="false">Sens!$G$9181+Sens!$G$9195</f>
        <v>162.913633789483</v>
      </c>
      <c r="H9200" s="38" t="n">
        <f aca="false">Sens!$H$9181+Sens!$H$9195</f>
        <v>209.726807352288</v>
      </c>
      <c r="I9200" s="38" t="n">
        <f aca="false">Sens!$I$9181+Sens!$I$9195</f>
        <v>262.61488075771</v>
      </c>
      <c r="J9200" s="38" t="n">
        <f aca="false">Sens!$J$9181+Sens!$J$9195</f>
        <v>314.715545613658</v>
      </c>
      <c r="K9200" s="38" t="n">
        <f aca="false">Sens!$K$9181+Sens!$K$9195</f>
        <v>360.006622594975</v>
      </c>
      <c r="L9200" s="38" t="n">
        <f aca="false">Sens!$L$9181+Sens!$L$9195</f>
        <v>395.703384903152</v>
      </c>
      <c r="M9200" s="38" t="n">
        <f aca="false">Sens!$M$9181+Sens!$M$9195</f>
        <v>423.46859652042</v>
      </c>
      <c r="N9200" s="38" t="n">
        <f aca="false">Sens!$N$9181+Sens!$N$9195</f>
        <v>56.398</v>
      </c>
      <c r="O9200" s="38" t="n">
        <f aca="false">Sens!$O$9181+Sens!$O$9195</f>
        <v>65.437</v>
      </c>
    </row>
    <row r="9201" customFormat="false" ht="17.15" hidden="false" customHeight="false" outlineLevel="0" collapsed="false">
      <c r="A9201" s="1" t="s">
        <v>751</v>
      </c>
    </row>
    <row r="9202" customFormat="false" ht="15" hidden="false" customHeight="false" outlineLevel="0" collapsed="false">
      <c r="A9202" s="5" t="s">
        <v>544</v>
      </c>
      <c r="B9202" s="0" t="s">
        <v>86</v>
      </c>
      <c r="C9202" s="38" t="n">
        <f aca="false">Q!$D$34</f>
        <v>2.406</v>
      </c>
      <c r="D9202" s="38" t="n">
        <f aca="false">Q!$E$34</f>
        <v>2.274</v>
      </c>
      <c r="E9202" s="38" t="n">
        <f aca="false">Q!$P$34</f>
        <v>2.114</v>
      </c>
      <c r="F9202" s="38" t="n">
        <f aca="false">Sens!$F$9240</f>
        <v>3.24888962733561</v>
      </c>
      <c r="G9202" s="38" t="n">
        <f aca="false">Sens!$E$9202+Sens!$F$9202</f>
        <v>5.36288962733561</v>
      </c>
      <c r="H9202" s="38" t="n">
        <f aca="false">Sens!$H$9240</f>
        <v>7.42354172302123</v>
      </c>
      <c r="I9202" s="38" t="n">
        <f aca="false">Sens!$I$9240</f>
        <v>8.48968024898619</v>
      </c>
      <c r="J9202" s="38" t="n">
        <f aca="false">Sens!$J$9240</f>
        <v>9.63598826439483</v>
      </c>
      <c r="K9202" s="38" t="n">
        <f aca="false">Sens!$K$9240</f>
        <v>9.63598826439483</v>
      </c>
      <c r="L9202" s="38" t="n">
        <f aca="false">Sens!$L$9240</f>
        <v>9.63598826439483</v>
      </c>
      <c r="M9202" s="38" t="n">
        <f aca="false">Sens!$M$9240</f>
        <v>9.63598826439483</v>
      </c>
      <c r="N9202" s="38" t="n">
        <f aca="false">Q!$N$34</f>
        <v>1.057</v>
      </c>
      <c r="O9202" s="38" t="n">
        <f aca="false">Q!$O$34</f>
        <v>1.217</v>
      </c>
    </row>
    <row r="9203" customFormat="false" ht="15" hidden="false" customHeight="false" outlineLevel="0" collapsed="false">
      <c r="A9203" s="5" t="s">
        <v>752</v>
      </c>
      <c r="B9203" s="0" t="s">
        <v>86</v>
      </c>
      <c r="F9203" s="38" t="n">
        <f aca="false">Sens!$F$9241</f>
        <v>2.59</v>
      </c>
      <c r="H9203" s="38" t="n">
        <f aca="false">Sens!$H$9241</f>
        <v>3.76965165045626</v>
      </c>
      <c r="I9203" s="38" t="n">
        <f aca="false">Sens!$I$9241</f>
        <v>2.10589651022864</v>
      </c>
      <c r="J9203" s="38" t="n">
        <f aca="false">Sens!$J$9241</f>
        <v>2.10589651022864</v>
      </c>
      <c r="K9203" s="38" t="n">
        <f aca="false">Sens!$K$9241</f>
        <v>3.03184385018094</v>
      </c>
      <c r="L9203" s="38" t="n">
        <f aca="false">Sens!$L$9241</f>
        <v>8.12851579968782</v>
      </c>
      <c r="M9203" s="38" t="n">
        <f aca="false">Sens!$M$9241</f>
        <v>15.7876465675307</v>
      </c>
    </row>
    <row r="9204" customFormat="false" ht="17.15" hidden="false" customHeight="false" outlineLevel="0" collapsed="false">
      <c r="A9204" s="5" t="s">
        <v>753</v>
      </c>
      <c r="B9204" s="0" t="s">
        <v>86</v>
      </c>
      <c r="C9204" s="38" t="n">
        <f aca="false">Q!$D$39</f>
        <v>2.427</v>
      </c>
      <c r="D9204" s="38" t="n">
        <f aca="false">Q!$E$39</f>
        <v>19.61</v>
      </c>
      <c r="E9204" s="38" t="n">
        <f aca="false">Q!$P$39</f>
        <v>71.492</v>
      </c>
      <c r="F9204" s="39" t="n">
        <v>0</v>
      </c>
      <c r="G9204" s="38" t="n">
        <f aca="false">Sens!$E$9204+Sens!$F$9204</f>
        <v>71.492</v>
      </c>
      <c r="H9204" s="39" t="n">
        <v>0</v>
      </c>
      <c r="I9204" s="39" t="n">
        <v>0</v>
      </c>
      <c r="J9204" s="39" t="n">
        <v>0</v>
      </c>
      <c r="K9204" s="39" t="n">
        <v>0</v>
      </c>
      <c r="L9204" s="39" t="n">
        <v>0</v>
      </c>
      <c r="M9204" s="39" t="n">
        <v>0</v>
      </c>
      <c r="N9204" s="38" t="n">
        <f aca="false">Q!$N$39</f>
        <v>6.017</v>
      </c>
      <c r="O9204" s="38" t="n">
        <f aca="false">Q!$O$39</f>
        <v>13.593</v>
      </c>
      <c r="P9204" s="5" t="s">
        <v>754</v>
      </c>
    </row>
    <row r="9205" customFormat="false" ht="15" hidden="false" customHeight="false" outlineLevel="0" collapsed="false">
      <c r="A9205" s="5" t="s">
        <v>547</v>
      </c>
      <c r="B9205" s="0" t="s">
        <v>86</v>
      </c>
      <c r="C9205" s="38" t="n">
        <f aca="false">Q!$D$36</f>
        <v>68.614</v>
      </c>
      <c r="D9205" s="38" t="n">
        <f aca="false">Q!$E$36</f>
        <v>97.311</v>
      </c>
      <c r="E9205" s="38" t="n">
        <f aca="false">Q!$P$36</f>
        <v>120.691</v>
      </c>
      <c r="F9205" s="38" t="n">
        <f aca="false">Sens!$F$9181-Sens!$F$9202+Sens!$F$9203+Sens!$F$9204</f>
        <v>56.0316019995185</v>
      </c>
      <c r="G9205" s="38" t="n">
        <f aca="false">Sens!$E$9205+Sens!$F$9205</f>
        <v>176.722601999518</v>
      </c>
      <c r="H9205" s="38" t="n">
        <f aca="false">Sens!$H$9181-Sens!$H$9202+Sens!$H$9203+Sens!$H$9204</f>
        <v>127.892977696936</v>
      </c>
      <c r="I9205" s="38" t="n">
        <f aca="false">Sens!$I$9181-Sens!$I$9202+Sens!$I$9203+Sens!$I$9204</f>
        <v>145.059971464568</v>
      </c>
      <c r="J9205" s="38" t="n">
        <f aca="false">Sens!$J$9181-Sens!$J$9202+Sens!$J$9203+Sens!$J$9204</f>
        <v>162.301047638521</v>
      </c>
      <c r="K9205" s="38" t="n">
        <f aca="false">Sens!$K$9181-Sens!$K$9202+Sens!$K$9203+Sens!$K$9204</f>
        <v>174.596058742762</v>
      </c>
      <c r="L9205" s="38" t="n">
        <f aca="false">Sens!$L$9181-Sens!$L$9202+Sens!$L$9203+Sens!$L$9204</f>
        <v>190.244642992136</v>
      </c>
      <c r="M9205" s="38" t="n">
        <f aca="false">Sens!$M$9181-Sens!$M$9202+Sens!$M$9203+Sens!$M$9204</f>
        <v>207.65988557823</v>
      </c>
      <c r="N9205" s="38" t="n">
        <f aca="false">Q!$N$36</f>
        <v>42.536</v>
      </c>
      <c r="O9205" s="38" t="n">
        <f aca="false">Q!$O$36</f>
        <v>54.775</v>
      </c>
    </row>
    <row r="9206" customFormat="false" ht="15" hidden="false" customHeight="false" outlineLevel="0" collapsed="false">
      <c r="A9206" s="5" t="s">
        <v>548</v>
      </c>
      <c r="B9206" s="0" t="s">
        <v>86</v>
      </c>
      <c r="C9206" s="38" t="n">
        <f aca="false">Q!$D$37</f>
        <v>9.265</v>
      </c>
      <c r="D9206" s="38" t="n">
        <f aca="false">Q!$E$37</f>
        <v>19.087</v>
      </c>
      <c r="E9206" s="38" t="n">
        <f aca="false">Q!$P$37</f>
        <v>27.759</v>
      </c>
      <c r="F9206" s="38" t="n">
        <f aca="false">Sens!$F$9205*tax</f>
        <v>9.72621910890414</v>
      </c>
      <c r="G9206" s="38" t="n">
        <f aca="false">Sens!$E$9206+Sens!$F$9206</f>
        <v>37.4852191089041</v>
      </c>
      <c r="H9206" s="38" t="n">
        <f aca="false">Sens!$H$9205*tax</f>
        <v>22.2002419916761</v>
      </c>
      <c r="I9206" s="38" t="n">
        <f aca="false">Sens!$I$9205*tax</f>
        <v>25.1801664783365</v>
      </c>
      <c r="J9206" s="38" t="n">
        <f aca="false">Sens!$J$9205*tax</f>
        <v>28.1729505244292</v>
      </c>
      <c r="K9206" s="38" t="n">
        <f aca="false">Sens!$K$9205*tax</f>
        <v>30.3071742067591</v>
      </c>
      <c r="L9206" s="38" t="n">
        <f aca="false">Sens!$L$9205*tax</f>
        <v>33.0235262959761</v>
      </c>
      <c r="M9206" s="38" t="n">
        <f aca="false">Sens!$M$9205*tax</f>
        <v>36.0465429362735</v>
      </c>
      <c r="N9206" s="38" t="n">
        <f aca="false">Q!$N$37</f>
        <v>7.231</v>
      </c>
      <c r="O9206" s="38" t="n">
        <f aca="false">Q!$O$37</f>
        <v>11.856</v>
      </c>
    </row>
    <row r="9207" customFormat="false" ht="15" hidden="false" customHeight="false" outlineLevel="0" collapsed="false">
      <c r="A9207" s="3" t="s">
        <v>549</v>
      </c>
      <c r="B9207" s="8" t="s">
        <v>86</v>
      </c>
      <c r="C9207" s="38" t="n">
        <f aca="false">Q!$D$38</f>
        <v>59.248</v>
      </c>
      <c r="D9207" s="38" t="n">
        <f aca="false">Q!$E$38</f>
        <v>77.67</v>
      </c>
      <c r="E9207" s="38" t="n">
        <f aca="false">Q!$P$38</f>
        <v>92.902</v>
      </c>
      <c r="F9207" s="38" t="n">
        <f aca="false">Sens!$F$9205-Sens!$F$9206</f>
        <v>46.3053828906144</v>
      </c>
      <c r="G9207" s="38" t="n">
        <f aca="false">Sens!$E$9207+Sens!$F$9207</f>
        <v>139.207382890614</v>
      </c>
      <c r="H9207" s="38" t="n">
        <f aca="false">Sens!$H$9205-Sens!$H$9206</f>
        <v>105.69273570526</v>
      </c>
      <c r="I9207" s="38" t="n">
        <f aca="false">Sens!$I$9205-Sens!$I$9206</f>
        <v>119.879804986231</v>
      </c>
      <c r="J9207" s="38" t="n">
        <f aca="false">Sens!$J$9205-Sens!$J$9206</f>
        <v>134.128097114092</v>
      </c>
      <c r="K9207" s="38" t="n">
        <f aca="false">Sens!$K$9205-Sens!$K$9206</f>
        <v>144.288884536003</v>
      </c>
      <c r="L9207" s="38" t="n">
        <f aca="false">Sens!$L$9205-Sens!$L$9206</f>
        <v>157.22111669616</v>
      </c>
      <c r="M9207" s="38" t="n">
        <f aca="false">Sens!$M$9205-Sens!$M$9206</f>
        <v>171.613342641957</v>
      </c>
      <c r="N9207" s="38" t="n">
        <f aca="false">Q!$N$38</f>
        <v>35.291</v>
      </c>
      <c r="O9207" s="38" t="n">
        <f aca="false">Q!$O$38</f>
        <v>42.379</v>
      </c>
    </row>
    <row r="9208" customFormat="false" ht="17.15" hidden="false" customHeight="false" outlineLevel="0" collapsed="false">
      <c r="A9208" s="5" t="s">
        <v>552</v>
      </c>
      <c r="B9208" s="5" t="s">
        <v>33</v>
      </c>
      <c r="C9208" s="22" t="n">
        <f aca="false">Q!$D$41</f>
        <v>10.721</v>
      </c>
      <c r="D9208" s="22" t="n">
        <f aca="false">Q!$E$41</f>
        <v>10.827</v>
      </c>
      <c r="E9208" s="22" t="n">
        <f aca="false">(Q!$L$41+Q!$M$41)/2</f>
        <v>10.8885</v>
      </c>
      <c r="F9208" s="22" t="n">
        <f aca="false">Sens!$G$9208</f>
        <v>10.924806</v>
      </c>
      <c r="G9208" s="22" t="n">
        <f aca="false">Q!$M$41*(1+sh_g*0.25)</f>
        <v>10.924806</v>
      </c>
      <c r="H9208" s="22" t="n">
        <f aca="false">Sens!$G$9208*(1+sh_g)</f>
        <v>11.012204448</v>
      </c>
      <c r="I9208" s="22" t="n">
        <f aca="false">Sens!$H$9208*(1+sh_g)</f>
        <v>11.100302083584</v>
      </c>
      <c r="J9208" s="22" t="n">
        <f aca="false">Sens!$I$9208*(1+sh_g)</f>
        <v>11.1891045002527</v>
      </c>
      <c r="K9208" s="22" t="n">
        <f aca="false">Sens!$J$9208*(1+sh_g)</f>
        <v>11.2786173362547</v>
      </c>
      <c r="L9208" s="22" t="n">
        <f aca="false">Sens!$K$9208*(1+sh_g)</f>
        <v>11.3688462749447</v>
      </c>
      <c r="M9208" s="22" t="n">
        <f aca="false">Sens!$L$9208*(1+sh_g)</f>
        <v>11.4597970451443</v>
      </c>
      <c r="P9208" s="5" t="s">
        <v>755</v>
      </c>
    </row>
    <row r="9209" customFormat="false" ht="17.15" hidden="false" customHeight="false" outlineLevel="0" collapsed="false">
      <c r="A9209" s="5" t="s">
        <v>756</v>
      </c>
      <c r="B9209" s="0" t="s">
        <v>86</v>
      </c>
      <c r="C9209" s="38" t="n">
        <f aca="false">Sens!$C$9207+Sens!$C$9183*(1-tax)</f>
        <v>59.248</v>
      </c>
      <c r="D9209" s="38" t="n">
        <f aca="false">Sens!$D$9207+Sens!$D$9183*(1-tax)</f>
        <v>77.67</v>
      </c>
      <c r="E9209" s="38" t="n">
        <f aca="false">Sens!$E$9207+Sens!$E$9183*(1-tax)</f>
        <v>92.902</v>
      </c>
      <c r="F9209" s="38" t="n">
        <f aca="false">Sens!$F$9207+Sens!$F$9183*(1-tax)</f>
        <v>49.421977850263</v>
      </c>
      <c r="G9209" s="38" t="n">
        <f aca="false">Sens!$G$9207+Sens!$G$9183*(1-tax)</f>
        <v>142.323977850263</v>
      </c>
      <c r="H9209" s="38" t="n">
        <f aca="false">Sens!$H$9207+Sens!$H$9183*(1-tax)</f>
        <v>118.224131660605</v>
      </c>
      <c r="I9209" s="38" t="n">
        <f aca="false">Sens!$I$9207+Sens!$I$9183*(1-tax)</f>
        <v>141.02107006117</v>
      </c>
      <c r="J9209" s="38" t="n">
        <f aca="false">Sens!$J$9207+Sens!$J$9183*(1-tax)</f>
        <v>163.917534058375</v>
      </c>
      <c r="K9209" s="38" t="n">
        <f aca="false">Sens!$K$9207+Sens!$K$9183*(1-tax)</f>
        <v>181.396621505494</v>
      </c>
      <c r="L9209" s="38" t="n">
        <f aca="false">Sens!$L$9207+Sens!$L$9183*(1-tax)</f>
        <v>199.000337339004</v>
      </c>
      <c r="M9209" s="38" t="n">
        <f aca="false">Sens!$M$9207+Sens!$M$9183*(1-tax)</f>
        <v>215.410755370338</v>
      </c>
      <c r="N9209" s="38" t="n">
        <f aca="false">Sens!$N$9207+Sens!$N$9183*(1-tax)</f>
        <v>35.291</v>
      </c>
      <c r="O9209" s="38" t="n">
        <f aca="false">Sens!$O$9207+Sens!$O$9183*(1-tax)</f>
        <v>42.379</v>
      </c>
    </row>
    <row r="9210" customFormat="false" ht="17.15" hidden="false" customHeight="false" outlineLevel="0" collapsed="false">
      <c r="A9210" s="43" t="s">
        <v>757</v>
      </c>
      <c r="B9210" s="14" t="s">
        <v>27</v>
      </c>
      <c r="C9210" s="44" t="n">
        <f aca="false">Sens!$C$9209/Sens!$C$9208</f>
        <v>5.52635015390355</v>
      </c>
      <c r="D9210" s="44" t="n">
        <f aca="false">Sens!$D$9209/Sens!$D$9208</f>
        <v>7.1737323358271</v>
      </c>
      <c r="E9210" s="44" t="n">
        <f aca="false">Sens!$E$9209/Sens!$E$9208</f>
        <v>8.53212104513937</v>
      </c>
      <c r="F9210" s="14"/>
      <c r="G9210" s="44" t="n">
        <f aca="false">Sens!$G$9209/Sens!$G$9208</f>
        <v>13.0275977303636</v>
      </c>
      <c r="H9210" s="44" t="n">
        <f aca="false">Sens!$H$9209/Sens!$H$9208</f>
        <v>10.7357370832392</v>
      </c>
      <c r="I9210" s="44" t="n">
        <f aca="false">Sens!$I$9209/Sens!$I$9208</f>
        <v>12.7042551634449</v>
      </c>
      <c r="J9210" s="44" t="n">
        <f aca="false">Sens!$J$9209/Sens!$J$9208</f>
        <v>14.6497455676344</v>
      </c>
      <c r="K9210" s="44" t="n">
        <f aca="false">Sens!$K$9209/Sens!$K$9208</f>
        <v>16.083232199252</v>
      </c>
      <c r="L9210" s="44" t="n">
        <f aca="false">Sens!$L$9209/Sens!$L$9208</f>
        <v>17.504004586426</v>
      </c>
      <c r="M9210" s="44" t="n">
        <f aca="false">Sens!$M$9209/Sens!$M$9208</f>
        <v>18.7970829257932</v>
      </c>
      <c r="N9210" s="14"/>
      <c r="O9210" s="14"/>
    </row>
    <row r="9211" customFormat="false" ht="17.15" hidden="false" customHeight="false" outlineLevel="0" collapsed="false">
      <c r="A9211" s="0" t="s">
        <v>758</v>
      </c>
      <c r="B9211" s="0" t="s">
        <v>27</v>
      </c>
      <c r="C9211" s="30" t="n">
        <f aca="false">Sens!$C$9207/Sens!$C$9208</f>
        <v>5.52635015390355</v>
      </c>
      <c r="D9211" s="30" t="n">
        <f aca="false">Sens!$D$9207/Sens!$D$9208</f>
        <v>7.1737323358271</v>
      </c>
      <c r="E9211" s="30" t="n">
        <f aca="false">Sens!$E$9207/Sens!$E$9208</f>
        <v>8.53212104513937</v>
      </c>
      <c r="G9211" s="30" t="n">
        <f aca="false">Sens!$G$9207/Sens!$G$9208</f>
        <v>12.7423208147233</v>
      </c>
      <c r="H9211" s="30" t="n">
        <f aca="false">Sens!$H$9207/Sens!$H$9208</f>
        <v>9.59778182509639</v>
      </c>
      <c r="I9211" s="30" t="n">
        <f aca="false">Sens!$I$9207/Sens!$I$9208</f>
        <v>10.799688520506</v>
      </c>
      <c r="J9211" s="30" t="n">
        <f aca="false">Sens!$J$9207/Sens!$J$9208</f>
        <v>11.9873844337644</v>
      </c>
      <c r="K9211" s="30" t="n">
        <f aca="false">Sens!$K$9207/Sens!$K$9208</f>
        <v>12.7931359167751</v>
      </c>
      <c r="L9211" s="30" t="n">
        <f aca="false">Sens!$L$9207/Sens!$L$9208</f>
        <v>13.8291180031744</v>
      </c>
      <c r="M9211" s="30" t="n">
        <f aca="false">Sens!$M$9207/Sens!$M$9208</f>
        <v>14.975251478356</v>
      </c>
    </row>
    <row r="9212" customFormat="false" ht="17.15" hidden="false" customHeight="false" outlineLevel="0" collapsed="false">
      <c r="A9212" s="0" t="s">
        <v>759</v>
      </c>
      <c r="B9212" s="0" t="s">
        <v>27</v>
      </c>
      <c r="C9212" s="30" t="n">
        <f aca="false">(Sens!$C$9207-Sens!$C$9204*(1-tax))/Sens!$C$9208</f>
        <v>5.33926775917445</v>
      </c>
      <c r="D9212" s="30" t="n">
        <f aca="false">(Sens!$D$9207-Sens!$D$9204*(1-tax))/Sens!$D$9208</f>
        <v>5.67691812755503</v>
      </c>
      <c r="E9212" s="30" t="n">
        <f aca="false">(Sens!$E$9207-Sens!$E$9204*(1-tax))/Sens!$E$9208</f>
        <v>3.10602057006846</v>
      </c>
      <c r="G9212" s="30" t="n">
        <f aca="false">(Sens!$G$9207-Sens!$G$9204*(1-tax))/Sens!$G$9208</f>
        <v>7.33425269682635</v>
      </c>
      <c r="H9212" s="30" t="n">
        <f aca="false">(Sens!$H$9207-Sens!$H$9204*(1-tax))/Sens!$H$9208</f>
        <v>9.59778182509639</v>
      </c>
      <c r="I9212" s="30" t="n">
        <f aca="false">(Sens!$I$9207-Sens!$I$9204*(1-tax))/Sens!$I$9208</f>
        <v>10.799688520506</v>
      </c>
      <c r="J9212" s="30" t="n">
        <f aca="false">(Sens!$J$9207-Sens!$J$9204*(1-tax))/Sens!$J$9208</f>
        <v>11.9873844337644</v>
      </c>
      <c r="K9212" s="30" t="n">
        <f aca="false">(Sens!$K$9207-Sens!$K$9204*(1-tax))/Sens!$K$9208</f>
        <v>12.7931359167751</v>
      </c>
      <c r="L9212" s="30" t="n">
        <f aca="false">(Sens!$L$9207-Sens!$L$9204*(1-tax))/Sens!$L$9208</f>
        <v>13.8291180031744</v>
      </c>
      <c r="M9212" s="30" t="n">
        <f aca="false">(Sens!$M$9207-Sens!$M$9204*(1-tax))/Sens!$M$9208</f>
        <v>14.975251478356</v>
      </c>
      <c r="P9212" s="5" t="s">
        <v>760</v>
      </c>
    </row>
    <row r="9213" customFormat="false" ht="17.15" hidden="false" customHeight="false" outlineLevel="0" collapsed="false">
      <c r="A9213" s="0" t="s">
        <v>761</v>
      </c>
      <c r="B9213" s="0" t="s">
        <v>52</v>
      </c>
      <c r="H9213" s="13" t="n">
        <f aca="false">Sens!$H$9210/Sens!$G$9210-1</f>
        <v>-0.175923504437261</v>
      </c>
      <c r="I9213" s="13" t="n">
        <f aca="false">Sens!$I$9210/Sens!$H$9210-1</f>
        <v>0.183361241519136</v>
      </c>
      <c r="J9213" s="13" t="n">
        <f aca="false">Sens!$J$9210/Sens!$I$9210-1</f>
        <v>0.153136911936991</v>
      </c>
      <c r="K9213" s="13" t="n">
        <f aca="false">Sens!$K$9210/Sens!$J$9210-1</f>
        <v>0.0978506162444597</v>
      </c>
      <c r="L9213" s="13" t="n">
        <f aca="false">Sens!$L$9210/Sens!$K$9210-1</f>
        <v>0.088338734998803</v>
      </c>
      <c r="M9213" s="13" t="n">
        <f aca="false">Sens!$M$9210/Sens!$L$9210-1</f>
        <v>0.0738732861376219</v>
      </c>
    </row>
    <row r="9216" customFormat="false" ht="19.4" hidden="false" customHeight="false" outlineLevel="0" collapsed="false">
      <c r="A9216" s="31" t="s">
        <v>1323</v>
      </c>
    </row>
    <row r="9217" customFormat="false" ht="17.15" hidden="false" customHeight="false" outlineLevel="0" collapsed="false">
      <c r="A9217" s="6" t="s">
        <v>16</v>
      </c>
      <c r="B9217" s="6" t="s">
        <v>17</v>
      </c>
      <c r="C9217" s="20" t="s">
        <v>497</v>
      </c>
      <c r="D9217" s="20" t="s">
        <v>498</v>
      </c>
      <c r="E9217" s="20" t="s">
        <v>580</v>
      </c>
      <c r="F9217" s="20" t="s">
        <v>581</v>
      </c>
      <c r="G9217" s="20" t="s">
        <v>582</v>
      </c>
      <c r="H9217" s="20" t="s">
        <v>583</v>
      </c>
      <c r="I9217" s="20" t="s">
        <v>584</v>
      </c>
      <c r="J9217" s="20" t="s">
        <v>585</v>
      </c>
      <c r="K9217" s="20" t="s">
        <v>586</v>
      </c>
      <c r="L9217" s="20" t="s">
        <v>587</v>
      </c>
      <c r="M9217" s="20" t="s">
        <v>588</v>
      </c>
      <c r="N9217" s="20" t="s">
        <v>589</v>
      </c>
      <c r="O9217" s="20" t="s">
        <v>590</v>
      </c>
      <c r="P9217" s="6" t="s">
        <v>23</v>
      </c>
      <c r="R9217" s="20" t="n">
        <v>2023</v>
      </c>
      <c r="S9217" s="20" t="n">
        <v>2024</v>
      </c>
      <c r="T9217" s="20" t="n">
        <v>2025</v>
      </c>
      <c r="U9217" s="20" t="n">
        <v>2026</v>
      </c>
      <c r="V9217" s="20" t="n">
        <v>2027</v>
      </c>
      <c r="W9217" s="20" t="n">
        <v>2028</v>
      </c>
      <c r="X9217" s="20" t="n">
        <v>2029</v>
      </c>
      <c r="Y9217" s="20" t="n">
        <v>2030</v>
      </c>
      <c r="Z9217" s="20" t="n">
        <v>2031</v>
      </c>
      <c r="AA9217" s="20" t="n">
        <v>2032</v>
      </c>
    </row>
    <row r="9218" customFormat="false" ht="15" hidden="false" customHeight="false" outlineLevel="0" collapsed="false">
      <c r="A9218" s="5" t="s">
        <v>549</v>
      </c>
      <c r="B9218" s="0" t="s">
        <v>86</v>
      </c>
      <c r="C9218" s="38" t="n">
        <f aca="false">Sens!$C$9207</f>
        <v>59.248</v>
      </c>
      <c r="D9218" s="38" t="n">
        <f aca="false">Sens!$D$9207</f>
        <v>77.67</v>
      </c>
      <c r="E9218" s="38" t="n">
        <f aca="false">Sens!$E$9207</f>
        <v>92.902</v>
      </c>
      <c r="F9218" s="38" t="n">
        <f aca="false">Sens!$F$9207</f>
        <v>46.3053828906144</v>
      </c>
      <c r="G9218" s="38" t="n">
        <f aca="false">Sens!$G$9207</f>
        <v>139.207382890614</v>
      </c>
      <c r="H9218" s="38" t="n">
        <f aca="false">Sens!$H$9207</f>
        <v>105.69273570526</v>
      </c>
      <c r="I9218" s="38" t="n">
        <f aca="false">Sens!$I$9207</f>
        <v>119.879804986231</v>
      </c>
      <c r="J9218" s="38" t="n">
        <f aca="false">Sens!$J$9207</f>
        <v>134.128097114092</v>
      </c>
      <c r="K9218" s="38" t="n">
        <f aca="false">Sens!$K$9207</f>
        <v>144.288884536003</v>
      </c>
      <c r="L9218" s="38" t="n">
        <f aca="false">Sens!$L$9207</f>
        <v>157.22111669616</v>
      </c>
      <c r="M9218" s="38" t="n">
        <f aca="false">Sens!$M$9207</f>
        <v>171.613342641957</v>
      </c>
    </row>
    <row r="9219" customFormat="false" ht="17.15" hidden="false" customHeight="false" outlineLevel="0" collapsed="false">
      <c r="A9219" s="5" t="s">
        <v>784</v>
      </c>
      <c r="B9219" s="0" t="s">
        <v>86</v>
      </c>
      <c r="C9219" s="38" t="n">
        <f aca="false">Sens!$C$9195</f>
        <v>32.067</v>
      </c>
      <c r="D9219" s="38" t="n">
        <f aca="false">Sens!$D$9195</f>
        <v>41.86</v>
      </c>
      <c r="E9219" s="38" t="n">
        <f aca="false">Sens!$E$9195</f>
        <v>26.703</v>
      </c>
      <c r="F9219" s="38" t="n">
        <f aca="false">Sens!$F$9195</f>
        <v>28.2071421626285</v>
      </c>
      <c r="G9219" s="38" t="n">
        <f aca="false">Sens!$G$9195</f>
        <v>54.9101421626285</v>
      </c>
      <c r="H9219" s="38" t="n">
        <f aca="false">Sens!$H$9195</f>
        <v>78.1799395827871</v>
      </c>
      <c r="I9219" s="38" t="n">
        <f aca="false">Sens!$I$9195</f>
        <v>111.171125554384</v>
      </c>
      <c r="J9219" s="38" t="n">
        <f aca="false">Sens!$J$9195</f>
        <v>144.884406220971</v>
      </c>
      <c r="K9219" s="38" t="n">
        <f aca="false">Sens!$K$9195</f>
        <v>178.806419437999</v>
      </c>
      <c r="L9219" s="38" t="n">
        <f aca="false">Sens!$L$9195</f>
        <v>203.951269446309</v>
      </c>
      <c r="M9219" s="38" t="n">
        <f aca="false">Sens!$M$9195</f>
        <v>221.960369245325</v>
      </c>
    </row>
    <row r="9220" customFormat="false" ht="15" hidden="false" customHeight="false" outlineLevel="0" collapsed="false">
      <c r="A9220" s="5" t="s">
        <v>785</v>
      </c>
      <c r="B9220" s="0" t="s">
        <v>86</v>
      </c>
      <c r="C9220" s="38" t="n">
        <f aca="false">Q!$D$48</f>
        <v>22.011</v>
      </c>
      <c r="D9220" s="38" t="n">
        <f aca="false">Q!$E$48</f>
        <v>19.467</v>
      </c>
      <c r="E9220" s="38" t="n">
        <f aca="false">Q!$P$48</f>
        <v>10.07</v>
      </c>
      <c r="F9220" s="38" t="n">
        <f aca="false">sbc_r*Sens!$F$9137</f>
        <v>10.8507035798037</v>
      </c>
      <c r="G9220" s="38" t="n">
        <f aca="false">Sens!$E$9220+Sens!$F$9220</f>
        <v>20.9207035798037</v>
      </c>
      <c r="H9220" s="38" t="n">
        <f aca="false">sbc_r*Sens!$H$9137</f>
        <v>23.46224366345</v>
      </c>
      <c r="I9220" s="38" t="n">
        <f aca="false">sbc_r*Sens!$I$9137</f>
        <v>26.6125957111676</v>
      </c>
      <c r="J9220" s="38" t="n">
        <f aca="false">sbc_r*Sens!$J$9137</f>
        <v>29.6280801413323</v>
      </c>
      <c r="K9220" s="38" t="n">
        <f aca="false">sbc_r*Sens!$K$9137</f>
        <v>32.26410459716</v>
      </c>
      <c r="L9220" s="38" t="n">
        <f aca="false">sbc_r*Sens!$L$9137</f>
        <v>34.7107348734595</v>
      </c>
      <c r="M9220" s="38" t="n">
        <f aca="false">sbc_r*Sens!$M$9137</f>
        <v>36.9769023298878</v>
      </c>
    </row>
    <row r="9221" customFormat="false" ht="17.15" hidden="false" customHeight="false" outlineLevel="0" collapsed="false">
      <c r="A9221" s="5" t="s">
        <v>786</v>
      </c>
      <c r="B9221" s="0" t="s">
        <v>86</v>
      </c>
      <c r="C9221" s="38" t="n">
        <f aca="false">Q!$D$44-Sens!$C$9218-Sens!$C$9219-Sens!$C$9220</f>
        <v>2.551</v>
      </c>
      <c r="D9221" s="38" t="n">
        <f aca="false">Q!$E$44-Sens!$D$9218-Sens!$D$9219-Sens!$D$9220</f>
        <v>0.51700000000001</v>
      </c>
      <c r="E9221" s="38" t="n">
        <f aca="false">Q!$P$44-Sens!$E$9218-Sens!$E$9219-Sens!$E$9220</f>
        <v>-58.256</v>
      </c>
      <c r="F9221" s="38" t="n">
        <f aca="false">oth_r*Sens!$F$9137</f>
        <v>5.22265251035878</v>
      </c>
      <c r="G9221" s="38" t="n">
        <f aca="false">Sens!$E$9221+Sens!$F$9221</f>
        <v>-53.0333474896412</v>
      </c>
      <c r="H9221" s="38" t="n">
        <f aca="false">oth_r*Sens!$H$9137</f>
        <v>11.2928295263397</v>
      </c>
      <c r="I9221" s="38" t="n">
        <f aca="false">oth_r*Sens!$I$9137</f>
        <v>12.8091546115766</v>
      </c>
      <c r="J9221" s="38" t="n">
        <f aca="false">oth_r*Sens!$J$9137</f>
        <v>14.2605653162668</v>
      </c>
      <c r="K9221" s="38" t="n">
        <f aca="false">oth_r*Sens!$K$9137</f>
        <v>15.5293346306567</v>
      </c>
      <c r="L9221" s="38" t="n">
        <f aca="false">oth_r*Sens!$L$9137</f>
        <v>16.7069448805781</v>
      </c>
      <c r="M9221" s="38" t="n">
        <f aca="false">oth_r*Sens!$M$9137</f>
        <v>17.7976949013636</v>
      </c>
      <c r="P9221" s="8" t="s">
        <v>787</v>
      </c>
    </row>
    <row r="9222" customFormat="false" ht="15" hidden="false" customHeight="false" outlineLevel="0" collapsed="false">
      <c r="A9222" s="3" t="s">
        <v>555</v>
      </c>
      <c r="B9222" s="8" t="s">
        <v>86</v>
      </c>
      <c r="C9222" s="38" t="n">
        <f aca="false">Q!$D$44</f>
        <v>115.877</v>
      </c>
      <c r="D9222" s="38" t="n">
        <f aca="false">Q!$E$44</f>
        <v>139.514</v>
      </c>
      <c r="E9222" s="38" t="n">
        <f aca="false">Q!$P$44</f>
        <v>71.419</v>
      </c>
      <c r="F9222" s="38" t="n">
        <f aca="false">Sens!$F$9218+Sens!$F$9219+Sens!$F$9220+Sens!$F$9221</f>
        <v>90.5858811434053</v>
      </c>
      <c r="G9222" s="38" t="n">
        <f aca="false">Sens!$E$9222+Sens!$F$9222</f>
        <v>162.004881143405</v>
      </c>
      <c r="H9222" s="38" t="n">
        <f aca="false">Sens!$H$9218+Sens!$H$9219+Sens!$H$9220+Sens!$H$9221</f>
        <v>218.627748477837</v>
      </c>
      <c r="I9222" s="38" t="n">
        <f aca="false">Sens!$I$9218+Sens!$I$9219+Sens!$I$9220+Sens!$I$9221</f>
        <v>270.47268086336</v>
      </c>
      <c r="J9222" s="38" t="n">
        <f aca="false">Sens!$J$9218+Sens!$J$9219+Sens!$J$9220+Sens!$J$9221</f>
        <v>322.901148792662</v>
      </c>
      <c r="K9222" s="38" t="n">
        <f aca="false">Sens!$K$9218+Sens!$K$9219+Sens!$K$9220+Sens!$K$9221</f>
        <v>370.888743201819</v>
      </c>
      <c r="L9222" s="38" t="n">
        <f aca="false">Sens!$L$9218+Sens!$L$9219+Sens!$L$9220+Sens!$L$9221</f>
        <v>412.590065896507</v>
      </c>
      <c r="M9222" s="38" t="n">
        <f aca="false">Sens!$M$9218+Sens!$M$9219+Sens!$M$9220+Sens!$M$9221</f>
        <v>448.348309118534</v>
      </c>
    </row>
    <row r="9223" customFormat="false" ht="17.15" hidden="false" customHeight="false" outlineLevel="0" collapsed="false">
      <c r="A9223" s="5" t="s">
        <v>788</v>
      </c>
      <c r="B9223" s="0" t="s">
        <v>86</v>
      </c>
      <c r="C9223" s="38" t="n">
        <f aca="false">Sens!$C$9104</f>
        <v>25.2781053077374</v>
      </c>
      <c r="D9223" s="38" t="n">
        <f aca="false">Sens!$D$9104</f>
        <v>69.5686316310026</v>
      </c>
      <c r="E9223" s="38" t="n">
        <f aca="false">Sens!$E$9104</f>
        <v>64.1899206485108</v>
      </c>
      <c r="F9223" s="38" t="n">
        <f aca="false">Sens!$F$9104</f>
        <v>96.2481299895</v>
      </c>
      <c r="G9223" s="38" t="n">
        <f aca="false">Sens!$G$9104</f>
        <v>160.438050638011</v>
      </c>
      <c r="H9223" s="38" t="n">
        <f aca="false">Sens!$H$9104</f>
        <v>198.57136494475</v>
      </c>
      <c r="I9223" s="38" t="n">
        <f aca="false">Sens!$I$9104</f>
        <v>204.6464699105</v>
      </c>
      <c r="J9223" s="38" t="n">
        <f aca="false">Sens!$J$9104</f>
        <v>209.8832381105</v>
      </c>
      <c r="K9223" s="38" t="n">
        <f aca="false">Sens!$K$9104</f>
        <v>152.460428963578</v>
      </c>
      <c r="L9223" s="38" t="n">
        <f aca="false">Sens!$L$9104</f>
        <v>126.458229016657</v>
      </c>
      <c r="M9223" s="38" t="n">
        <f aca="false">Sens!$M$9104</f>
        <v>123.897112724985</v>
      </c>
    </row>
    <row r="9224" customFormat="false" ht="17.15" hidden="false" customHeight="false" outlineLevel="0" collapsed="false">
      <c r="A9224" s="5" t="s">
        <v>789</v>
      </c>
      <c r="B9224" s="0" t="s">
        <v>86</v>
      </c>
      <c r="C9224" s="38" t="n">
        <f aca="false">cx_awso*Sens!$C$9135</f>
        <v>21.0469989286053</v>
      </c>
      <c r="D9224" s="38" t="n">
        <f aca="false">cx_awso*Sens!$D$9135</f>
        <v>24.0042459822698</v>
      </c>
      <c r="E9224" s="38" t="n">
        <f aca="false">cx_awso*Sens!$E$9135</f>
        <v>14.261729404886</v>
      </c>
      <c r="F9224" s="38" t="n">
        <f aca="false">cx_awso*Sens!$F$9135</f>
        <v>14.3538599588493</v>
      </c>
      <c r="G9224" s="38" t="n">
        <f aca="false">Sens!$E$9224+Sens!$F$9224</f>
        <v>28.6155893637353</v>
      </c>
      <c r="H9224" s="38" t="n">
        <f aca="false">cx_awso*Sens!$H$9135</f>
        <v>32.2034154158406</v>
      </c>
      <c r="I9224" s="38" t="n">
        <f aca="false">cx_awso*Sens!$I$9135</f>
        <v>35.7539519042915</v>
      </c>
      <c r="J9224" s="38" t="n">
        <f aca="false">cx_awso*Sens!$J$9135</f>
        <v>39.1551076091815</v>
      </c>
      <c r="K9224" s="38" t="n">
        <f aca="false">cx_awso*Sens!$K$9135</f>
        <v>42.287516217916</v>
      </c>
      <c r="L9224" s="38" t="n">
        <f aca="false">cx_awso*Sens!$L$9135</f>
        <v>45.6705175153492</v>
      </c>
      <c r="M9224" s="38" t="n">
        <f aca="false">cx_awso*Sens!$M$9135</f>
        <v>49.3241589165772</v>
      </c>
    </row>
    <row r="9225" customFormat="false" ht="17.15" hidden="false" customHeight="false" outlineLevel="0" collapsed="false">
      <c r="A9225" s="5" t="s">
        <v>790</v>
      </c>
      <c r="B9225" s="0" t="s">
        <v>86</v>
      </c>
      <c r="C9225" s="38" t="n">
        <f aca="false">Q!$D$46-Sens!$C$9223-Sens!$C$9224</f>
        <v>31.3328957636573</v>
      </c>
      <c r="D9225" s="38" t="n">
        <f aca="false">Q!$E$46-Sens!$D$9223-Sens!$D$9224</f>
        <v>34.7471223867276</v>
      </c>
      <c r="E9225" s="38" t="n">
        <f aca="false">Q!$P$46-Sens!$E$9223-Sens!$E$9224</f>
        <v>17.8583499466032</v>
      </c>
      <c r="F9225" s="38" t="n">
        <f aca="false">cx_rt*Sens!$F$9067</f>
        <v>20.6195895799373</v>
      </c>
      <c r="G9225" s="38" t="n">
        <f aca="false">Sens!$E$9225+Sens!$F$9225</f>
        <v>38.4779395265405</v>
      </c>
      <c r="H9225" s="38" t="n">
        <f aca="false">cx_rt*Sens!$H$9067</f>
        <v>42.5978994743075</v>
      </c>
      <c r="I9225" s="38" t="n">
        <f aca="false">cx_rt*Sens!$I$9067</f>
        <v>46.5813904136335</v>
      </c>
      <c r="J9225" s="38" t="n">
        <f aca="false">cx_rt*Sens!$J$9067</f>
        <v>50.2781676586844</v>
      </c>
      <c r="K9225" s="38" t="n">
        <f aca="false">cx_rt*Sens!$K$9067</f>
        <v>53.5312440191755</v>
      </c>
      <c r="L9225" s="38" t="n">
        <f aca="false">cx_rt*Sens!$L$9067</f>
        <v>57.0116717051447</v>
      </c>
      <c r="M9225" s="38" t="n">
        <f aca="false">cx_rt*Sens!$M$9067</f>
        <v>60.7365554669226</v>
      </c>
    </row>
    <row r="9226" customFormat="false" ht="15" hidden="false" customHeight="false" outlineLevel="0" collapsed="false">
      <c r="A9226" s="3" t="s">
        <v>791</v>
      </c>
      <c r="B9226" s="8" t="s">
        <v>86</v>
      </c>
      <c r="C9226" s="38" t="n">
        <f aca="false">Q!$D$46</f>
        <v>77.658</v>
      </c>
      <c r="D9226" s="38" t="n">
        <f aca="false">Q!$E$46</f>
        <v>128.32</v>
      </c>
      <c r="E9226" s="38" t="n">
        <f aca="false">Q!$P$46</f>
        <v>96.31</v>
      </c>
      <c r="F9226" s="38" t="n">
        <f aca="false">Sens!$F$9223+Sens!$F$9224+Sens!$F$9225</f>
        <v>131.221579528287</v>
      </c>
      <c r="G9226" s="38" t="n">
        <f aca="false">Sens!$E$9226+Sens!$F$9226</f>
        <v>227.531579528287</v>
      </c>
      <c r="H9226" s="38" t="n">
        <f aca="false">Sens!$H$9223+Sens!$H$9224+Sens!$H$9225</f>
        <v>273.372679834898</v>
      </c>
      <c r="I9226" s="38" t="n">
        <f aca="false">Sens!$I$9223+Sens!$I$9224+Sens!$I$9225</f>
        <v>286.981812228425</v>
      </c>
      <c r="J9226" s="38" t="n">
        <f aca="false">Sens!$J$9223+Sens!$J$9224+Sens!$J$9225</f>
        <v>299.316513378366</v>
      </c>
      <c r="K9226" s="38" t="n">
        <f aca="false">Sens!$K$9223+Sens!$K$9224+Sens!$K$9225</f>
        <v>248.27918920067</v>
      </c>
      <c r="L9226" s="38" t="n">
        <f aca="false">Sens!$L$9223+Sens!$L$9224+Sens!$L$9225</f>
        <v>229.140418237151</v>
      </c>
      <c r="M9226" s="38" t="n">
        <f aca="false">Sens!$M$9223+Sens!$M$9224+Sens!$M$9225</f>
        <v>233.957827108485</v>
      </c>
    </row>
    <row r="9227" customFormat="false" ht="17.15" hidden="false" customHeight="false" outlineLevel="0" collapsed="false">
      <c r="A9227" s="5" t="s">
        <v>563</v>
      </c>
      <c r="B9227" s="0" t="s">
        <v>86</v>
      </c>
      <c r="C9227" s="38" t="n">
        <f aca="false">Q!$D$50</f>
        <v>2.043</v>
      </c>
      <c r="D9227" s="38" t="n">
        <f aca="false">Q!$E$50</f>
        <v>1.557</v>
      </c>
      <c r="E9227" s="38" t="n">
        <f aca="false">lease_pr/2</f>
        <v>0.8</v>
      </c>
      <c r="F9227" s="38" t="n">
        <f aca="false">lease_pr/2</f>
        <v>0.8</v>
      </c>
      <c r="G9227" s="38" t="n">
        <f aca="false">Sens!$E$9227+Sens!$F$9227</f>
        <v>1.6</v>
      </c>
      <c r="H9227" s="38" t="n">
        <f aca="false">lease_pr</f>
        <v>1.6</v>
      </c>
      <c r="I9227" s="38" t="n">
        <f aca="false">lease_pr</f>
        <v>1.6</v>
      </c>
      <c r="J9227" s="38" t="n">
        <f aca="false">lease_pr</f>
        <v>1.6</v>
      </c>
      <c r="K9227" s="38" t="n">
        <f aca="false">lease_pr</f>
        <v>1.6</v>
      </c>
      <c r="L9227" s="38" t="n">
        <f aca="false">lease_pr</f>
        <v>1.6</v>
      </c>
      <c r="M9227" s="38" t="n">
        <f aca="false">lease_pr</f>
        <v>1.6</v>
      </c>
      <c r="P9227" s="8" t="s">
        <v>792</v>
      </c>
    </row>
    <row r="9228" customFormat="false" ht="15" hidden="false" customHeight="false" outlineLevel="0" collapsed="false">
      <c r="A9228" s="47" t="s">
        <v>793</v>
      </c>
      <c r="B9228" s="14" t="s">
        <v>86</v>
      </c>
      <c r="C9228" s="48" t="n">
        <f aca="false">Sens!$C$9222-Sens!$C$9226-Sens!$C$9227</f>
        <v>36.176</v>
      </c>
      <c r="D9228" s="48" t="n">
        <f aca="false">Sens!$D$9222-Sens!$D$9226-Sens!$D$9227</f>
        <v>9.63700000000002</v>
      </c>
      <c r="E9228" s="48" t="n">
        <f aca="false">Sens!$E$9222-Sens!$E$9226-Sens!$E$9227</f>
        <v>-25.691</v>
      </c>
      <c r="F9228" s="48" t="n">
        <f aca="false">Sens!$F$9222-Sens!$F$9226-Sens!$F$9227</f>
        <v>-41.4356983848813</v>
      </c>
      <c r="G9228" s="48" t="n">
        <f aca="false">Sens!$G$9222-Sens!$G$9226-Sens!$G$9227</f>
        <v>-67.1266983848813</v>
      </c>
      <c r="H9228" s="48" t="n">
        <f aca="false">Sens!$H$9222-Sens!$H$9226-Sens!$H$9227</f>
        <v>-56.3449313570613</v>
      </c>
      <c r="I9228" s="48" t="n">
        <f aca="false">Sens!$I$9222-Sens!$I$9226-Sens!$I$9227</f>
        <v>-18.1091313650653</v>
      </c>
      <c r="J9228" s="48" t="n">
        <f aca="false">Sens!$J$9222-Sens!$J$9226-Sens!$J$9227</f>
        <v>21.9846354142961</v>
      </c>
      <c r="K9228" s="48" t="n">
        <f aca="false">Sens!$K$9222-Sens!$K$9226-Sens!$K$9227</f>
        <v>121.009554001149</v>
      </c>
      <c r="L9228" s="48" t="n">
        <f aca="false">Sens!$L$9222-Sens!$L$9226-Sens!$L$9227</f>
        <v>181.849647659356</v>
      </c>
      <c r="M9228" s="48" t="n">
        <f aca="false">Sens!$M$9222-Sens!$M$9226-Sens!$M$9227</f>
        <v>212.790482010049</v>
      </c>
      <c r="N9228" s="14"/>
      <c r="O9228" s="14"/>
    </row>
    <row r="9229" customFormat="false" ht="17.15" hidden="false" customHeight="false" outlineLevel="0" collapsed="false">
      <c r="A9229" s="5" t="s">
        <v>794</v>
      </c>
      <c r="B9229" s="0" t="s">
        <v>86</v>
      </c>
      <c r="C9229" s="38" t="n">
        <f aca="false">dps*Sens!$C$9208</f>
        <v>0</v>
      </c>
      <c r="D9229" s="38" t="n">
        <f aca="false">dps*Sens!$D$9208</f>
        <v>0</v>
      </c>
      <c r="E9229" s="38" t="n">
        <f aca="false">dps*Sens!$E$9208</f>
        <v>0</v>
      </c>
      <c r="F9229" s="38" t="n">
        <f aca="false">0</f>
        <v>0</v>
      </c>
      <c r="G9229" s="38" t="n">
        <f aca="false">dps*Sens!$G$9208</f>
        <v>0</v>
      </c>
      <c r="H9229" s="38" t="n">
        <f aca="false">dps*Sens!$H$9208</f>
        <v>0</v>
      </c>
      <c r="I9229" s="38" t="n">
        <f aca="false">dps*Sens!$I$9208</f>
        <v>0</v>
      </c>
      <c r="J9229" s="38" t="n">
        <f aca="false">dps*Sens!$J$9208</f>
        <v>0</v>
      </c>
      <c r="K9229" s="38" t="n">
        <f aca="false">dps*Sens!$K$9208</f>
        <v>0</v>
      </c>
      <c r="L9229" s="38" t="n">
        <f aca="false">dps*Sens!$L$9208</f>
        <v>0</v>
      </c>
      <c r="M9229" s="38" t="n">
        <f aca="false">dps*Sens!$M$9208</f>
        <v>0</v>
      </c>
      <c r="P9229" s="8" t="s">
        <v>795</v>
      </c>
    </row>
    <row r="9230" customFormat="false" ht="17.15" hidden="false" customHeight="false" outlineLevel="0" collapsed="false">
      <c r="A9230" s="5" t="s">
        <v>796</v>
      </c>
      <c r="B9230" s="0" t="s">
        <v>86</v>
      </c>
      <c r="C9230" s="38" t="n">
        <f aca="false">0</f>
        <v>0</v>
      </c>
      <c r="D9230" s="38" t="n">
        <f aca="false">0</f>
        <v>0</v>
      </c>
      <c r="E9230" s="38" t="n">
        <f aca="false">0</f>
        <v>0</v>
      </c>
      <c r="F9230" s="38" t="n">
        <f aca="false">0</f>
        <v>0</v>
      </c>
      <c r="G9230" s="38" t="n">
        <f aca="false">0</f>
        <v>0</v>
      </c>
      <c r="H9230" s="38" t="n">
        <f aca="false">0</f>
        <v>0</v>
      </c>
      <c r="I9230" s="38" t="n">
        <f aca="false">0</f>
        <v>0</v>
      </c>
      <c r="J9230" s="38" t="n">
        <f aca="false">0</f>
        <v>0</v>
      </c>
      <c r="K9230" s="38" t="n">
        <f aca="false">0</f>
        <v>0</v>
      </c>
      <c r="L9230" s="38" t="n">
        <f aca="false">0</f>
        <v>0</v>
      </c>
      <c r="M9230" s="38" t="n">
        <f aca="false">0</f>
        <v>0</v>
      </c>
      <c r="P9230" s="8" t="s">
        <v>797</v>
      </c>
    </row>
    <row r="9231" customFormat="false" ht="15" hidden="false" customHeight="false" outlineLevel="0" collapsed="false">
      <c r="A9231" s="3" t="s">
        <v>798</v>
      </c>
      <c r="B9231" s="8" t="s">
        <v>86</v>
      </c>
      <c r="C9231" s="38" t="n">
        <f aca="false">Sens!$C$9228-Sens!$C$9229</f>
        <v>36.176</v>
      </c>
      <c r="D9231" s="38" t="n">
        <f aca="false">Sens!$D$9228-Sens!$D$9229</f>
        <v>9.63700000000002</v>
      </c>
      <c r="E9231" s="38" t="n">
        <f aca="false">Sens!$E$9228-Sens!$E$9229</f>
        <v>-25.691</v>
      </c>
      <c r="F9231" s="38" t="n">
        <f aca="false">Sens!$F$9228-Sens!$F$9229</f>
        <v>-41.4356983848813</v>
      </c>
      <c r="G9231" s="38" t="n">
        <f aca="false">Sens!$G$9228-Sens!$G$9229</f>
        <v>-67.1266983848813</v>
      </c>
      <c r="H9231" s="38" t="n">
        <f aca="false">Sens!$H$9228-Sens!$H$9229</f>
        <v>-56.3449313570613</v>
      </c>
      <c r="I9231" s="38" t="n">
        <f aca="false">Sens!$I$9228-Sens!$I$9229</f>
        <v>-18.1091313650653</v>
      </c>
      <c r="J9231" s="38" t="n">
        <f aca="false">Sens!$J$9228-Sens!$J$9229</f>
        <v>21.9846354142961</v>
      </c>
      <c r="K9231" s="38" t="n">
        <f aca="false">Sens!$K$9228-Sens!$K$9229</f>
        <v>121.009554001149</v>
      </c>
      <c r="L9231" s="38" t="n">
        <f aca="false">Sens!$L$9228-Sens!$L$9229</f>
        <v>181.849647659356</v>
      </c>
      <c r="M9231" s="38" t="n">
        <f aca="false">Sens!$M$9228-Sens!$M$9229</f>
        <v>212.790482010049</v>
      </c>
    </row>
    <row r="9232" customFormat="false" ht="17.15" hidden="false" customHeight="false" outlineLevel="0" collapsed="false">
      <c r="A9232" s="5" t="s">
        <v>799</v>
      </c>
      <c r="B9232" s="0" t="s">
        <v>86</v>
      </c>
      <c r="E9232" s="38" t="n">
        <f aca="false">Q!$P$53</f>
        <v>39.767</v>
      </c>
      <c r="F9232" s="38" t="n">
        <f aca="false">inv_2h26</f>
        <v>21.3</v>
      </c>
      <c r="G9232" s="38" t="n">
        <f aca="false">Sens!$E$9232+Sens!$F$9232</f>
        <v>61.067</v>
      </c>
      <c r="H9232" s="39" t="n">
        <v>0</v>
      </c>
      <c r="I9232" s="39" t="n">
        <v>0</v>
      </c>
      <c r="J9232" s="39" t="n">
        <v>0</v>
      </c>
      <c r="K9232" s="39" t="n">
        <v>0</v>
      </c>
      <c r="L9232" s="39" t="n">
        <v>0</v>
      </c>
      <c r="M9232" s="39" t="n">
        <v>0</v>
      </c>
    </row>
    <row r="9233" customFormat="false" ht="17.15" hidden="false" customHeight="false" outlineLevel="0" collapsed="false">
      <c r="A9233" s="5" t="s">
        <v>800</v>
      </c>
      <c r="B9233" s="0" t="s">
        <v>86</v>
      </c>
      <c r="F9233" s="38" t="n">
        <f aca="false">iss_2h26</f>
        <v>29.249999</v>
      </c>
      <c r="G9233" s="38" t="n">
        <f aca="false">Sens!$F$9233</f>
        <v>29.249999</v>
      </c>
      <c r="H9233" s="39" t="n">
        <v>0</v>
      </c>
      <c r="I9233" s="39" t="n">
        <v>0</v>
      </c>
      <c r="J9233" s="39" t="n">
        <v>0</v>
      </c>
      <c r="K9233" s="39" t="n">
        <v>0</v>
      </c>
      <c r="L9233" s="39" t="n">
        <v>0</v>
      </c>
      <c r="M9233" s="39" t="n">
        <v>0</v>
      </c>
    </row>
    <row r="9234" customFormat="false" ht="17.15" hidden="false" customHeight="false" outlineLevel="0" collapsed="false">
      <c r="A9234" s="5" t="s">
        <v>801</v>
      </c>
      <c r="B9234" s="0" t="s">
        <v>86</v>
      </c>
      <c r="F9234" s="38" t="n">
        <f aca="false">cash_q2</f>
        <v>122.988</v>
      </c>
      <c r="G9234" s="38" t="n">
        <f aca="false">cash_q2</f>
        <v>122.988</v>
      </c>
      <c r="H9234" s="38" t="n">
        <f aca="false">Sens!$G$9237</f>
        <v>89.5023006151187</v>
      </c>
      <c r="I9234" s="38" t="n">
        <f aca="false">Sens!$H$9237</f>
        <v>50</v>
      </c>
      <c r="J9234" s="38" t="n">
        <f aca="false">Sens!$I$9237</f>
        <v>50</v>
      </c>
      <c r="K9234" s="38" t="n">
        <f aca="false">Sens!$J$9237</f>
        <v>71.9846354142962</v>
      </c>
      <c r="L9234" s="38" t="n">
        <f aca="false">Sens!$K$9237</f>
        <v>192.994189415445</v>
      </c>
      <c r="M9234" s="38" t="n">
        <f aca="false">Sens!$L$9237</f>
        <v>374.843837074801</v>
      </c>
    </row>
    <row r="9235" customFormat="false" ht="15" hidden="false" customHeight="false" outlineLevel="0" collapsed="false">
      <c r="A9235" s="5" t="s">
        <v>802</v>
      </c>
      <c r="B9235" s="0" t="s">
        <v>86</v>
      </c>
      <c r="F9235" s="38" t="n">
        <f aca="false">Sens!$F$9234+Sens!$F$9231-Sens!$F$9230-Sens!$F$9232+Sens!$F$9233</f>
        <v>89.5023006151187</v>
      </c>
      <c r="H9235" s="38" t="n">
        <f aca="false">Sens!$H$9234+Sens!$H$9231-Sens!$H$9230-Sens!$H$9232+Sens!$H$9233</f>
        <v>33.1573692580575</v>
      </c>
      <c r="I9235" s="38" t="n">
        <f aca="false">Sens!$I$9234+Sens!$I$9231-Sens!$I$9230-Sens!$I$9232+Sens!$I$9233</f>
        <v>31.8908686349347</v>
      </c>
      <c r="J9235" s="38" t="n">
        <f aca="false">Sens!$J$9234+Sens!$J$9231-Sens!$J$9230-Sens!$J$9232+Sens!$J$9233</f>
        <v>71.9846354142962</v>
      </c>
      <c r="K9235" s="38" t="n">
        <f aca="false">Sens!$K$9234+Sens!$K$9231-Sens!$K$9230-Sens!$K$9232+Sens!$K$9233</f>
        <v>192.994189415445</v>
      </c>
      <c r="L9235" s="38" t="n">
        <f aca="false">Sens!$L$9234+Sens!$L$9231-Sens!$L$9230-Sens!$L$9232+Sens!$L$9233</f>
        <v>374.843837074801</v>
      </c>
      <c r="M9235" s="38" t="n">
        <f aca="false">Sens!$M$9234+Sens!$M$9231-Sens!$M$9230-Sens!$M$9232+Sens!$M$9233</f>
        <v>587.63431908485</v>
      </c>
    </row>
    <row r="9236" customFormat="false" ht="17.15" hidden="false" customHeight="false" outlineLevel="0" collapsed="false">
      <c r="A9236" s="5" t="s">
        <v>803</v>
      </c>
      <c r="B9236" s="0" t="s">
        <v>86</v>
      </c>
      <c r="F9236" s="38" t="n">
        <f aca="false">MAX(0,min_cash-Sens!$F$9235)</f>
        <v>0</v>
      </c>
      <c r="G9236" s="38" t="n">
        <f aca="false">Sens!$F$9236</f>
        <v>0</v>
      </c>
      <c r="H9236" s="38" t="n">
        <f aca="false">MAX(0,min_cash-Sens!$H$9235)</f>
        <v>16.8426307419426</v>
      </c>
      <c r="I9236" s="38" t="n">
        <f aca="false">MAX(0,min_cash-Sens!$I$9235)</f>
        <v>18.1091313650653</v>
      </c>
      <c r="J9236" s="38" t="n">
        <f aca="false">MAX(0,min_cash-Sens!$J$9235)</f>
        <v>0</v>
      </c>
      <c r="K9236" s="38" t="n">
        <f aca="false">MAX(0,min_cash-Sens!$K$9235)</f>
        <v>0</v>
      </c>
      <c r="L9236" s="38" t="n">
        <f aca="false">MAX(0,min_cash-Sens!$L$9235)</f>
        <v>0</v>
      </c>
      <c r="M9236" s="38" t="n">
        <f aca="false">MAX(0,min_cash-Sens!$M$9235)</f>
        <v>0</v>
      </c>
      <c r="P9236" s="5" t="s">
        <v>804</v>
      </c>
    </row>
    <row r="9237" customFormat="false" ht="15" hidden="false" customHeight="false" outlineLevel="0" collapsed="false">
      <c r="A9237" s="5" t="s">
        <v>805</v>
      </c>
      <c r="B9237" s="0" t="s">
        <v>86</v>
      </c>
      <c r="D9237" s="38" t="n">
        <f aca="false">Q!$E$61</f>
        <v>123.029</v>
      </c>
      <c r="E9237" s="38" t="n">
        <f aca="false">Q!$M$61</f>
        <v>122.988</v>
      </c>
      <c r="F9237" s="38" t="n">
        <f aca="false">Sens!$F$9235+Sens!$F$9236</f>
        <v>89.5023006151187</v>
      </c>
      <c r="G9237" s="38" t="n">
        <f aca="false">Sens!$F$9237</f>
        <v>89.5023006151187</v>
      </c>
      <c r="H9237" s="38" t="n">
        <f aca="false">Sens!$H$9235+Sens!$H$9236</f>
        <v>50</v>
      </c>
      <c r="I9237" s="38" t="n">
        <f aca="false">Sens!$I$9235+Sens!$I$9236</f>
        <v>50</v>
      </c>
      <c r="J9237" s="38" t="n">
        <f aca="false">Sens!$J$9235+Sens!$J$9236</f>
        <v>71.9846354142962</v>
      </c>
      <c r="K9237" s="38" t="n">
        <f aca="false">Sens!$K$9235+Sens!$K$9236</f>
        <v>192.994189415445</v>
      </c>
      <c r="L9237" s="38" t="n">
        <f aca="false">Sens!$L$9235+Sens!$L$9236</f>
        <v>374.843837074801</v>
      </c>
      <c r="M9237" s="38" t="n">
        <f aca="false">Sens!$M$9235+Sens!$M$9236</f>
        <v>587.63431908485</v>
      </c>
    </row>
    <row r="9238" customFormat="false" ht="15" hidden="false" customHeight="false" outlineLevel="0" collapsed="false">
      <c r="A9238" s="5" t="s">
        <v>806</v>
      </c>
      <c r="B9238" s="0" t="s">
        <v>86</v>
      </c>
      <c r="D9238" s="38" t="n">
        <f aca="false">Q!$E$62</f>
        <v>68.836</v>
      </c>
      <c r="E9238" s="38" t="n">
        <f aca="false">Q!$M$62</f>
        <v>132.995</v>
      </c>
      <c r="F9238" s="38" t="n">
        <f aca="false">debt_q2+Sens!$F$9233+Sens!$F$9236</f>
        <v>162.244999</v>
      </c>
      <c r="G9238" s="38" t="n">
        <f aca="false">Sens!$F$9238</f>
        <v>162.244999</v>
      </c>
      <c r="H9238" s="38" t="n">
        <f aca="false">Sens!$G$9238+Sens!$H$9236</f>
        <v>179.087629741943</v>
      </c>
      <c r="I9238" s="38" t="n">
        <f aca="false">Sens!$H$9238+Sens!$I$9236</f>
        <v>197.196761107008</v>
      </c>
      <c r="J9238" s="38" t="n">
        <f aca="false">Sens!$I$9238+Sens!$J$9236</f>
        <v>197.196761107008</v>
      </c>
      <c r="K9238" s="38" t="n">
        <f aca="false">Sens!$J$9238+Sens!$K$9236</f>
        <v>197.196761107008</v>
      </c>
      <c r="L9238" s="38" t="n">
        <f aca="false">Sens!$K$9238+Sens!$L$9236</f>
        <v>197.196761107008</v>
      </c>
      <c r="M9238" s="38" t="n">
        <f aca="false">Sens!$L$9238+Sens!$M$9236</f>
        <v>197.196761107008</v>
      </c>
    </row>
    <row r="9239" customFormat="false" ht="15" hidden="false" customHeight="false" outlineLevel="0" collapsed="false">
      <c r="A9239" s="5" t="s">
        <v>807</v>
      </c>
      <c r="B9239" s="0" t="s">
        <v>86</v>
      </c>
      <c r="D9239" s="38" t="n">
        <f aca="false">Sens!$D$9238-Sens!$D$9237</f>
        <v>-54.193</v>
      </c>
      <c r="E9239" s="38" t="n">
        <f aca="false">Sens!$E$9238-Sens!$E$9237</f>
        <v>10.007</v>
      </c>
      <c r="F9239" s="38" t="n">
        <f aca="false">Sens!$F$9238-Sens!$F$9237</f>
        <v>72.7426983848813</v>
      </c>
      <c r="G9239" s="38" t="n">
        <f aca="false">Sens!$G$9238-Sens!$G$9237</f>
        <v>72.7426983848813</v>
      </c>
      <c r="H9239" s="38" t="n">
        <f aca="false">Sens!$H$9238-Sens!$H$9237</f>
        <v>129.087629741943</v>
      </c>
      <c r="I9239" s="38" t="n">
        <f aca="false">Sens!$I$9238-Sens!$I$9237</f>
        <v>147.196761107008</v>
      </c>
      <c r="J9239" s="38" t="n">
        <f aca="false">Sens!$J$9238-Sens!$J$9237</f>
        <v>125.212125692712</v>
      </c>
      <c r="K9239" s="38" t="n">
        <f aca="false">Sens!$K$9238-Sens!$K$9237</f>
        <v>4.2025716915629</v>
      </c>
      <c r="L9239" s="38" t="n">
        <f aca="false">Sens!$L$9238-Sens!$L$9237</f>
        <v>-177.647075967793</v>
      </c>
      <c r="M9239" s="38" t="n">
        <f aca="false">Sens!$M$9238-Sens!$M$9237</f>
        <v>-390.437557977842</v>
      </c>
    </row>
    <row r="9240" customFormat="false" ht="17.15" hidden="false" customHeight="false" outlineLevel="0" collapsed="false">
      <c r="A9240" s="5" t="s">
        <v>808</v>
      </c>
      <c r="B9240" s="0" t="s">
        <v>86</v>
      </c>
      <c r="F9240" s="38" t="n">
        <f aca="false">debt_q2*kd_book*0.5+iss_2h26*kd_new*iss_t</f>
        <v>3.24888962733561</v>
      </c>
      <c r="H9240" s="38" t="n">
        <f aca="false">debt_q2*kd_book+(Sens!$G$9238-debt_q2)*kd_new</f>
        <v>7.42354172302123</v>
      </c>
      <c r="I9240" s="38" t="n">
        <f aca="false">debt_q2*kd_book+(Sens!$H$9238-debt_q2)*kd_new</f>
        <v>8.48968024898619</v>
      </c>
      <c r="J9240" s="38" t="n">
        <f aca="false">debt_q2*kd_book+(Sens!$I$9238-debt_q2)*kd_new</f>
        <v>9.63598826439483</v>
      </c>
      <c r="K9240" s="38" t="n">
        <f aca="false">debt_q2*kd_book+(Sens!$J$9238-debt_q2)*kd_new</f>
        <v>9.63598826439483</v>
      </c>
      <c r="L9240" s="38" t="n">
        <f aca="false">debt_q2*kd_book+(Sens!$K$9238-debt_q2)*kd_new</f>
        <v>9.63598826439483</v>
      </c>
      <c r="M9240" s="38" t="n">
        <f aca="false">debt_q2*kd_book+(Sens!$L$9238-debt_q2)*kd_new</f>
        <v>9.63598826439483</v>
      </c>
    </row>
    <row r="9241" customFormat="false" ht="17.15" hidden="false" customHeight="false" outlineLevel="0" collapsed="false">
      <c r="A9241" s="5" t="s">
        <v>809</v>
      </c>
      <c r="B9241" s="0" t="s">
        <v>86</v>
      </c>
      <c r="F9241" s="38" t="n">
        <f aca="false">cash_q2*y_cash*0.5</f>
        <v>2.59</v>
      </c>
      <c r="H9241" s="38" t="n">
        <f aca="false">Sens!$G$9237*y_cash</f>
        <v>3.76965165045626</v>
      </c>
      <c r="I9241" s="38" t="n">
        <f aca="false">Sens!$H$9237*y_cash</f>
        <v>2.10589651022864</v>
      </c>
      <c r="J9241" s="38" t="n">
        <f aca="false">Sens!$I$9237*y_cash</f>
        <v>2.10589651022864</v>
      </c>
      <c r="K9241" s="38" t="n">
        <f aca="false">Sens!$J$9237*y_cash</f>
        <v>3.03184385018094</v>
      </c>
      <c r="L9241" s="38" t="n">
        <f aca="false">Sens!$K$9237*y_cash</f>
        <v>8.12851579968782</v>
      </c>
      <c r="M9241" s="38" t="n">
        <f aca="false">Sens!$L$9237*y_cash</f>
        <v>15.7876465675307</v>
      </c>
    </row>
    <row r="9242" customFormat="false" ht="17.15" hidden="false" customHeight="false" outlineLevel="0" collapsed="false">
      <c r="A9242" s="47" t="s">
        <v>810</v>
      </c>
      <c r="B9242" s="14" t="s">
        <v>86</v>
      </c>
      <c r="C9242" s="14"/>
      <c r="D9242" s="14"/>
      <c r="E9242" s="14"/>
      <c r="F9242" s="14"/>
      <c r="G9242" s="48" t="n">
        <f aca="false">SUM(Sens!$G$9231:$K$9231)</f>
        <v>1.41342830843709</v>
      </c>
      <c r="H9242" s="14"/>
      <c r="I9242" s="14"/>
      <c r="J9242" s="14"/>
      <c r="K9242" s="14"/>
      <c r="L9242" s="14"/>
      <c r="M9242" s="14"/>
      <c r="N9242" s="14"/>
      <c r="O9242" s="14"/>
    </row>
    <row r="9243" customFormat="false" ht="17.15" hidden="false" customHeight="false" outlineLevel="0" collapsed="false">
      <c r="A9243" s="0" t="s">
        <v>776</v>
      </c>
      <c r="B9243" s="0" t="s">
        <v>86</v>
      </c>
      <c r="G9243" s="38" t="n">
        <f aca="false">SUM(Sens!$G$9236:$K$9236)</f>
        <v>34.9517621070079</v>
      </c>
    </row>
    <row r="9244" customFormat="false" ht="17.15" hidden="false" customHeight="false" outlineLevel="0" collapsed="false">
      <c r="A9244" s="24" t="s">
        <v>813</v>
      </c>
      <c r="B9244" s="25" t="s">
        <v>86</v>
      </c>
      <c r="C9244" s="25"/>
      <c r="D9244" s="25"/>
      <c r="E9244" s="25"/>
      <c r="F9244" s="25"/>
      <c r="G9244" s="41" t="n">
        <f aca="false">Sens!$G$9242-(Sens!$G$9231+Sens!$H$9231+Sens!$I$9231+Sens!$J$9231+Sens!$K$9231)</f>
        <v>-2.8421709430404E-014</v>
      </c>
      <c r="H9244" s="25"/>
      <c r="I9244" s="25"/>
      <c r="J9244" s="25"/>
      <c r="K9244" s="25"/>
      <c r="L9244" s="25"/>
      <c r="M9244" s="25"/>
      <c r="N9244" s="25"/>
      <c r="O9244" s="25"/>
    </row>
    <row r="9247" customFormat="false" ht="19.4" hidden="false" customHeight="false" outlineLevel="0" collapsed="false">
      <c r="A9247" s="31" t="s">
        <v>1324</v>
      </c>
    </row>
    <row r="9248" customFormat="false" ht="17.15" hidden="false" customHeight="false" outlineLevel="0" collapsed="false">
      <c r="A9248" s="6" t="s">
        <v>16</v>
      </c>
      <c r="B9248" s="6" t="s">
        <v>17</v>
      </c>
      <c r="C9248" s="20" t="s">
        <v>497</v>
      </c>
      <c r="D9248" s="20" t="s">
        <v>498</v>
      </c>
      <c r="E9248" s="20" t="s">
        <v>580</v>
      </c>
      <c r="F9248" s="20" t="s">
        <v>581</v>
      </c>
      <c r="G9248" s="20" t="s">
        <v>582</v>
      </c>
      <c r="H9248" s="20" t="s">
        <v>583</v>
      </c>
      <c r="I9248" s="20" t="s">
        <v>584</v>
      </c>
      <c r="J9248" s="20" t="s">
        <v>585</v>
      </c>
      <c r="K9248" s="20" t="s">
        <v>586</v>
      </c>
      <c r="L9248" s="20" t="s">
        <v>587</v>
      </c>
      <c r="M9248" s="20" t="s">
        <v>588</v>
      </c>
      <c r="N9248" s="20" t="s">
        <v>589</v>
      </c>
      <c r="O9248" s="20" t="s">
        <v>590</v>
      </c>
      <c r="P9248" s="6" t="s">
        <v>23</v>
      </c>
      <c r="R9248" s="20" t="n">
        <v>2023</v>
      </c>
      <c r="S9248" s="20" t="n">
        <v>2024</v>
      </c>
      <c r="T9248" s="20" t="n">
        <v>2025</v>
      </c>
      <c r="U9248" s="20" t="n">
        <v>2026</v>
      </c>
      <c r="V9248" s="20" t="n">
        <v>2027</v>
      </c>
      <c r="W9248" s="20" t="n">
        <v>2028</v>
      </c>
      <c r="X9248" s="20" t="n">
        <v>2029</v>
      </c>
      <c r="Y9248" s="20" t="n">
        <v>2030</v>
      </c>
      <c r="Z9248" s="20" t="n">
        <v>2031</v>
      </c>
      <c r="AA9248" s="20" t="n">
        <v>2032</v>
      </c>
    </row>
    <row r="9249" customFormat="false" ht="17.15" hidden="false" customHeight="false" outlineLevel="0" collapsed="false">
      <c r="A9249" s="1" t="s">
        <v>915</v>
      </c>
    </row>
    <row r="9250" customFormat="false" ht="17.15" hidden="false" customHeight="false" outlineLevel="0" collapsed="false">
      <c r="A9250" s="0" t="s">
        <v>916</v>
      </c>
      <c r="B9250" s="0" t="s">
        <v>86</v>
      </c>
      <c r="H9250" s="38" t="n">
        <f aca="false">Sens!$H$9184*(1-tax)</f>
        <v>121.243762954598</v>
      </c>
      <c r="I9250" s="38" t="n">
        <f aca="false">Sens!$I$9184*(1-tax)</f>
        <v>146.296727721585</v>
      </c>
      <c r="J9250" s="38" t="n">
        <f aca="false">Sens!$J$9184*(1-tax)</f>
        <v>170.140518399982</v>
      </c>
      <c r="K9250" s="38" t="n">
        <f aca="false">Sens!$K$9184*(1-tax)</f>
        <v>186.854388637829</v>
      </c>
      <c r="L9250" s="38" t="n">
        <f aca="false">Sens!$L$9184*(1-tax)</f>
        <v>200.246135909531</v>
      </c>
      <c r="M9250" s="38" t="n">
        <f aca="false">Sens!$M$9184*(1-tax)</f>
        <v>210.326929761686</v>
      </c>
    </row>
    <row r="9251" customFormat="false" ht="15" hidden="false" customHeight="false" outlineLevel="0" collapsed="false">
      <c r="A9251" s="5" t="s">
        <v>917</v>
      </c>
      <c r="B9251" s="0" t="s">
        <v>86</v>
      </c>
      <c r="H9251" s="38" t="n">
        <f aca="false">Sens!$H$9195</f>
        <v>78.1799395827871</v>
      </c>
      <c r="I9251" s="38" t="n">
        <f aca="false">Sens!$I$9195</f>
        <v>111.171125554384</v>
      </c>
      <c r="J9251" s="38" t="n">
        <f aca="false">Sens!$J$9195</f>
        <v>144.884406220971</v>
      </c>
      <c r="K9251" s="38" t="n">
        <f aca="false">Sens!$K$9195</f>
        <v>178.806419437999</v>
      </c>
      <c r="L9251" s="38" t="n">
        <f aca="false">Sens!$L$9195</f>
        <v>203.951269446309</v>
      </c>
      <c r="M9251" s="38" t="n">
        <f aca="false">Sens!$M$9195</f>
        <v>221.960369245325</v>
      </c>
    </row>
    <row r="9252" customFormat="false" ht="15" hidden="false" customHeight="false" outlineLevel="0" collapsed="false">
      <c r="A9252" s="5" t="s">
        <v>918</v>
      </c>
      <c r="B9252" s="0" t="s">
        <v>86</v>
      </c>
      <c r="H9252" s="38" t="n">
        <f aca="false">Sens!$H$9226</f>
        <v>273.372679834898</v>
      </c>
      <c r="I9252" s="38" t="n">
        <f aca="false">Sens!$I$9226</f>
        <v>286.981812228425</v>
      </c>
      <c r="J9252" s="38" t="n">
        <f aca="false">Sens!$J$9226</f>
        <v>299.316513378366</v>
      </c>
      <c r="K9252" s="38" t="n">
        <f aca="false">Sens!$K$9226</f>
        <v>248.27918920067</v>
      </c>
      <c r="L9252" s="38" t="n">
        <f aca="false">Sens!$L$9226</f>
        <v>229.140418237151</v>
      </c>
      <c r="M9252" s="38" t="n">
        <f aca="false">Sens!$M$9226</f>
        <v>233.957827108485</v>
      </c>
    </row>
    <row r="9253" customFormat="false" ht="15" hidden="false" customHeight="false" outlineLevel="0" collapsed="false">
      <c r="A9253" s="5" t="s">
        <v>919</v>
      </c>
      <c r="B9253" s="0" t="s">
        <v>86</v>
      </c>
      <c r="H9253" s="38" t="n">
        <f aca="false">Sens!$H$9227</f>
        <v>1.6</v>
      </c>
      <c r="I9253" s="38" t="n">
        <f aca="false">Sens!$I$9227</f>
        <v>1.6</v>
      </c>
      <c r="J9253" s="38" t="n">
        <f aca="false">Sens!$J$9227</f>
        <v>1.6</v>
      </c>
      <c r="K9253" s="38" t="n">
        <f aca="false">Sens!$K$9227</f>
        <v>1.6</v>
      </c>
      <c r="L9253" s="38" t="n">
        <f aca="false">Sens!$L$9227</f>
        <v>1.6</v>
      </c>
      <c r="M9253" s="38" t="n">
        <f aca="false">Sens!$M$9227</f>
        <v>1.6</v>
      </c>
    </row>
    <row r="9254" customFormat="false" ht="15" hidden="false" customHeight="false" outlineLevel="0" collapsed="false">
      <c r="A9254" s="5" t="s">
        <v>920</v>
      </c>
      <c r="B9254" s="0" t="s">
        <v>86</v>
      </c>
      <c r="H9254" s="38" t="n">
        <f aca="false">Sens!$H$9221</f>
        <v>11.2928295263397</v>
      </c>
      <c r="I9254" s="38" t="n">
        <f aca="false">Sens!$I$9221</f>
        <v>12.8091546115766</v>
      </c>
      <c r="J9254" s="38" t="n">
        <f aca="false">Sens!$J$9221</f>
        <v>14.2605653162668</v>
      </c>
      <c r="K9254" s="38" t="n">
        <f aca="false">Sens!$K$9221</f>
        <v>15.5293346306567</v>
      </c>
      <c r="L9254" s="38" t="n">
        <f aca="false">Sens!$L$9221</f>
        <v>16.7069448805781</v>
      </c>
      <c r="M9254" s="38" t="n">
        <f aca="false">Sens!$M$9221</f>
        <v>17.7976949013636</v>
      </c>
    </row>
    <row r="9255" customFormat="false" ht="17.15" hidden="false" customHeight="false" outlineLevel="0" collapsed="false">
      <c r="A9255" s="1" t="s">
        <v>921</v>
      </c>
      <c r="B9255" s="8" t="s">
        <v>86</v>
      </c>
      <c r="H9255" s="38" t="n">
        <f aca="false">Sens!$H$9250+Sens!$H$9251-Sens!$H$9252+Sens!$H$9254</f>
        <v>-62.6561477711731</v>
      </c>
      <c r="I9255" s="38" t="n">
        <f aca="false">Sens!$I$9250+Sens!$I$9251-Sens!$I$9252+Sens!$I$9254</f>
        <v>-16.7048043408794</v>
      </c>
      <c r="J9255" s="38" t="n">
        <f aca="false">Sens!$J$9250+Sens!$J$9251-Sens!$J$9252+Sens!$J$9254</f>
        <v>29.9689765588539</v>
      </c>
      <c r="K9255" s="38" t="n">
        <f aca="false">Sens!$K$9250+Sens!$K$9251-Sens!$K$9252+Sens!$K$9254</f>
        <v>132.910953505815</v>
      </c>
      <c r="L9255" s="38" t="n">
        <f aca="false">Sens!$L$9250+Sens!$L$9251-Sens!$L$9252+Sens!$L$9254</f>
        <v>191.763931999267</v>
      </c>
      <c r="M9255" s="38" t="n">
        <f aca="false">Sens!$M$9250+Sens!$M$9251-Sens!$M$9252+Sens!$M$9254</f>
        <v>216.12716679989</v>
      </c>
    </row>
    <row r="9256" customFormat="false" ht="15" hidden="false" customHeight="false" outlineLevel="0" collapsed="false">
      <c r="A9256" s="5" t="s">
        <v>922</v>
      </c>
      <c r="B9256" s="0" t="s">
        <v>57</v>
      </c>
      <c r="H9256" s="40" t="n">
        <f aca="false">1/(1+wacc)^(2027-2026-0.5)</f>
        <v>0.947751320380232</v>
      </c>
      <c r="I9256" s="40" t="n">
        <f aca="false">1/(1+wacc)^(2028-2026-0.5)</f>
        <v>0.851301099754987</v>
      </c>
      <c r="J9256" s="40" t="n">
        <f aca="false">1/(1+wacc)^(2029-2026-0.5)</f>
        <v>0.764666370660713</v>
      </c>
      <c r="K9256" s="40" t="n">
        <f aca="false">1/(1+wacc)^(2030-2026-0.5)</f>
        <v>0.686848235703811</v>
      </c>
      <c r="L9256" s="40" t="n">
        <f aca="false">1/(1+wacc)^(2031-2026-0.5)</f>
        <v>0.616949452715975</v>
      </c>
      <c r="M9256" s="40" t="n">
        <f aca="false">1/(1+wacc)^(2032-2026-0.5)</f>
        <v>0.554164089562688</v>
      </c>
    </row>
    <row r="9257" customFormat="false" ht="15" hidden="false" customHeight="false" outlineLevel="0" collapsed="false">
      <c r="A9257" s="5" t="s">
        <v>923</v>
      </c>
      <c r="B9257" s="0" t="s">
        <v>86</v>
      </c>
      <c r="H9257" s="38" t="n">
        <f aca="false">Sens!$H$9255*Sens!$H$9256</f>
        <v>-59.3824467800682</v>
      </c>
      <c r="I9257" s="38" t="n">
        <f aca="false">Sens!$I$9255*Sens!$I$9256</f>
        <v>-14.2208183065825</v>
      </c>
      <c r="J9257" s="38" t="n">
        <f aca="false">Sens!$J$9255*Sens!$J$9256</f>
        <v>22.9162685376748</v>
      </c>
      <c r="K9257" s="38" t="n">
        <f aca="false">Sens!$K$9255*Sens!$K$9256</f>
        <v>91.2896539211806</v>
      </c>
      <c r="L9257" s="38" t="n">
        <f aca="false">Sens!$L$9255*Sens!$L$9256</f>
        <v>118.308652897611</v>
      </c>
      <c r="M9257" s="38" t="n">
        <f aca="false">Sens!$M$9255*Sens!$M$9256</f>
        <v>119.769914619424</v>
      </c>
    </row>
    <row r="9258" customFormat="false" ht="15" hidden="false" customHeight="false" outlineLevel="0" collapsed="false">
      <c r="A9258" s="5" t="s">
        <v>924</v>
      </c>
      <c r="B9258" s="0" t="s">
        <v>86</v>
      </c>
      <c r="C9258" s="38" t="n">
        <f aca="false">SUM(Sens!$H$9257:$M$9257)</f>
        <v>278.68122488924</v>
      </c>
    </row>
    <row r="9259" customFormat="false" ht="17.15" hidden="false" customHeight="false" outlineLevel="0" collapsed="false">
      <c r="A9259" s="5" t="s">
        <v>925</v>
      </c>
      <c r="B9259" s="0" t="s">
        <v>86</v>
      </c>
      <c r="C9259" s="38" t="n">
        <f aca="false">Sens!$M$9250*(1+tg_lo)*(1-tg_lo/ronic)/(wacc-tg_lo)</f>
        <v>1893.54235130381</v>
      </c>
    </row>
    <row r="9260" customFormat="false" ht="15" hidden="false" customHeight="false" outlineLevel="0" collapsed="false">
      <c r="A9260" s="5" t="s">
        <v>926</v>
      </c>
      <c r="B9260" s="0" t="s">
        <v>86</v>
      </c>
      <c r="C9260" s="38" t="n">
        <f aca="false">Sens!$C$9259/(1+wacc)^6</f>
        <v>994.506900379906</v>
      </c>
    </row>
    <row r="9261" customFormat="false" ht="17.15" hidden="false" customHeight="false" outlineLevel="0" collapsed="false">
      <c r="A9261" s="5" t="s">
        <v>927</v>
      </c>
      <c r="B9261" s="0" t="s">
        <v>86</v>
      </c>
      <c r="C9261" s="38" t="n">
        <f aca="false">Sens!$C$9258+Sens!$C$9260</f>
        <v>1273.18812526915</v>
      </c>
    </row>
    <row r="9262" customFormat="false" ht="17.15" hidden="false" customHeight="false" outlineLevel="0" collapsed="false">
      <c r="A9262" s="5" t="s">
        <v>928</v>
      </c>
      <c r="B9262" s="0" t="s">
        <v>52</v>
      </c>
      <c r="C9262" s="13" t="n">
        <f aca="false">Sens!$C$9260/Sens!$C$9261</f>
        <v>0.781115438199419</v>
      </c>
    </row>
    <row r="9263" customFormat="false" ht="17.15" hidden="false" customHeight="false" outlineLevel="0" collapsed="false">
      <c r="A9263" s="5" t="s">
        <v>929</v>
      </c>
      <c r="B9263" s="0" t="s">
        <v>86</v>
      </c>
      <c r="C9263" s="38" t="n">
        <f aca="false">Sens!$G$9239+fin_debt</f>
        <v>97.2636983848813</v>
      </c>
    </row>
    <row r="9264" customFormat="false" ht="17.15" hidden="false" customHeight="false" outlineLevel="0" collapsed="false">
      <c r="A9264" s="5" t="s">
        <v>930</v>
      </c>
      <c r="B9264" s="0" t="s">
        <v>86</v>
      </c>
      <c r="C9264" s="38" t="n">
        <f aca="false">(ant_val*ant_sh+oai_val*oai_sh)*(1-liq_disc)</f>
        <v>178.944</v>
      </c>
    </row>
    <row r="9265" customFormat="false" ht="15" hidden="false" customHeight="false" outlineLevel="0" collapsed="false">
      <c r="A9265" s="5" t="s">
        <v>931</v>
      </c>
      <c r="B9265" s="0" t="s">
        <v>86</v>
      </c>
      <c r="C9265" s="38" t="n">
        <f aca="false">Sens!$C$9261-Sens!$C$9263+Sens!$C$9264</f>
        <v>1354.86842688426</v>
      </c>
    </row>
    <row r="9266" customFormat="false" ht="17.15" hidden="false" customHeight="false" outlineLevel="0" collapsed="false">
      <c r="A9266" s="5" t="s">
        <v>932</v>
      </c>
      <c r="B9266" s="0" t="s">
        <v>27</v>
      </c>
      <c r="C9266" s="30" t="n">
        <f aca="false">Sens!$C$9265/sh_out</f>
        <v>125.60995599463</v>
      </c>
    </row>
    <row r="9267" customFormat="false" ht="17.15" hidden="false" customHeight="false" outlineLevel="0" collapsed="false">
      <c r="A9267" s="1" t="s">
        <v>933</v>
      </c>
      <c r="B9267" s="8" t="s">
        <v>27</v>
      </c>
      <c r="C9267" s="30" t="n">
        <f aca="false">Sens!$C$9266*(1+ke)^tp_yf-dps*tp_yf</f>
        <v>137.589232603568</v>
      </c>
    </row>
    <row r="9268" customFormat="false" ht="17.15" hidden="false" customHeight="false" outlineLevel="0" collapsed="false">
      <c r="A9268" s="3" t="s">
        <v>934</v>
      </c>
    </row>
    <row r="9269" customFormat="false" ht="17.15" hidden="false" customHeight="false" outlineLevel="0" collapsed="false">
      <c r="A9269" s="5" t="s">
        <v>935</v>
      </c>
      <c r="B9269" s="0" t="s">
        <v>86</v>
      </c>
      <c r="C9269" s="38" t="n">
        <f aca="false">(1-tp_yf)*(Sens!$H$9196+sbc_ab*Sens!$H$9220*Sens!$H$9060/Sens!$H$9137)+tp_yf*(Sens!$I$9196+sbc_ab*Sens!$I$9220*Sens!$I$9060/Sens!$I$9137)</f>
        <v>59.634664536349</v>
      </c>
    </row>
    <row r="9270" customFormat="false" ht="15" hidden="false" customHeight="false" outlineLevel="0" collapsed="false">
      <c r="A9270" s="5" t="s">
        <v>936</v>
      </c>
      <c r="B9270" s="0" t="s">
        <v>57</v>
      </c>
      <c r="C9270" s="30" t="n">
        <f aca="false">m_ads*m_x</f>
        <v>9.11</v>
      </c>
    </row>
    <row r="9271" customFormat="false" ht="17.15" hidden="false" customHeight="false" outlineLevel="0" collapsed="false">
      <c r="A9271" s="5" t="s">
        <v>937</v>
      </c>
      <c r="B9271" s="0" t="s">
        <v>86</v>
      </c>
      <c r="C9271" s="38" t="n">
        <f aca="false">Sens!$C$9269*Sens!$C$9270</f>
        <v>543.271793926139</v>
      </c>
    </row>
    <row r="9272" customFormat="false" ht="17.15" hidden="false" customHeight="false" outlineLevel="0" collapsed="false">
      <c r="A9272" s="5" t="s">
        <v>938</v>
      </c>
      <c r="B9272" s="0" t="s">
        <v>86</v>
      </c>
      <c r="C9272" s="38" t="n">
        <f aca="false">(1-tp_yf)*(Sens!$H$9197+sbc_ab*Sens!$H$9220*(Sens!$H$9067-Sens!$H$9060)/Sens!$H$9137+IF(internal_ai_reading=2,1,0)*(1-ext_sh)*Sens!$H$9097)+tp_yf*(Sens!$I$9197+sbc_ab*Sens!$I$9220*(Sens!$I$9067-Sens!$I$9060)/Sens!$I$9137+IF(internal_ai_reading=2,1,0)*(1-ext_sh)*Sens!$I$9097)</f>
        <v>51.2224827206816</v>
      </c>
    </row>
    <row r="9273" customFormat="false" ht="17.15" hidden="false" customHeight="false" outlineLevel="0" collapsed="false">
      <c r="A9273" s="5" t="s">
        <v>939</v>
      </c>
      <c r="B9273" s="0" t="s">
        <v>57</v>
      </c>
      <c r="C9273" s="30" t="n">
        <f aca="false">m_retail*m_x</f>
        <v>17.72</v>
      </c>
    </row>
    <row r="9274" customFormat="false" ht="17.15" hidden="false" customHeight="false" outlineLevel="0" collapsed="false">
      <c r="A9274" s="5" t="s">
        <v>940</v>
      </c>
      <c r="B9274" s="0" t="s">
        <v>86</v>
      </c>
      <c r="C9274" s="38" t="n">
        <f aca="false">Sens!$C$9272*Sens!$C$9273</f>
        <v>907.662393810478</v>
      </c>
    </row>
    <row r="9275" customFormat="false" ht="17.15" hidden="false" customHeight="false" outlineLevel="0" collapsed="false">
      <c r="A9275" s="0" t="s">
        <v>941</v>
      </c>
      <c r="B9275" s="0" t="s">
        <v>86</v>
      </c>
      <c r="C9275" s="38" t="n">
        <f aca="false">(1-tp_yf)*(Sens!$H$9198+sbc_ab*Sens!$H$9220*Sens!$H$9135/Sens!$H$9137)+tp_yf*(Sens!$I$9198+sbc_ab*Sens!$I$9220*Sens!$I$9135/Sens!$I$9137)</f>
        <v>96.2439586897193</v>
      </c>
    </row>
    <row r="9276" customFormat="false" ht="17.15" hidden="false" customHeight="false" outlineLevel="0" collapsed="false">
      <c r="A9276" s="0" t="s">
        <v>942</v>
      </c>
      <c r="B9276" s="0" t="s">
        <v>57</v>
      </c>
      <c r="C9276" s="30" t="n">
        <f aca="false">m_cloud*m_x</f>
        <v>13.82</v>
      </c>
    </row>
    <row r="9277" customFormat="false" ht="17.15" hidden="false" customHeight="false" outlineLevel="0" collapsed="false">
      <c r="A9277" s="0" t="s">
        <v>943</v>
      </c>
      <c r="B9277" s="0" t="s">
        <v>86</v>
      </c>
      <c r="C9277" s="38" t="n">
        <f aca="false">Sens!$C$9275*Sens!$C$9276</f>
        <v>1330.09150909192</v>
      </c>
    </row>
    <row r="9278" customFormat="false" ht="17.15" hidden="false" customHeight="false" outlineLevel="0" collapsed="false">
      <c r="A9278" s="0" t="s">
        <v>944</v>
      </c>
      <c r="B9278" s="0" t="s">
        <v>86</v>
      </c>
      <c r="H9278" s="38" t="n">
        <f aca="false">Sens!$H$9116-tax*Sens!$H$9117-ext_sh*Sens!$H$9104</f>
        <v>-115.885394236225</v>
      </c>
      <c r="I9278" s="38" t="n">
        <f aca="false">Sens!$I$9116-tax*Sens!$I$9117-ext_sh*Sens!$I$9104</f>
        <v>-89.5935137276694</v>
      </c>
      <c r="J9278" s="38" t="n">
        <f aca="false">Sens!$J$9116-tax*Sens!$J$9117-ext_sh*Sens!$J$9104</f>
        <v>-62.3510647460279</v>
      </c>
      <c r="K9278" s="38" t="n">
        <f aca="false">Sens!$K$9116-tax*Sens!$K$9117-ext_sh*Sens!$K$9104</f>
        <v>10.8922692439123</v>
      </c>
      <c r="L9278" s="38" t="n">
        <f aca="false">Sens!$L$9116-tax*Sens!$L$9117-ext_sh*Sens!$L$9104</f>
        <v>49.33487020824</v>
      </c>
      <c r="M9278" s="38" t="n">
        <f aca="false">Sens!$M$9116-tax*Sens!$M$9117-ext_sh*Sens!$M$9104</f>
        <v>59.5610509758268</v>
      </c>
    </row>
    <row r="9279" customFormat="false" ht="17.15" hidden="false" customHeight="false" outlineLevel="0" collapsed="false">
      <c r="A9279" s="5" t="s">
        <v>945</v>
      </c>
      <c r="B9279" s="0" t="s">
        <v>86</v>
      </c>
      <c r="H9279" s="38" t="n">
        <f aca="false">Sens!$H$9278*Sens!$H$9256</f>
        <v>-109.830535400166</v>
      </c>
      <c r="I9279" s="38" t="n">
        <f aca="false">Sens!$I$9278*Sens!$I$9256</f>
        <v>-76.2710567672785</v>
      </c>
      <c r="J9279" s="38" t="n">
        <f aca="false">Sens!$J$9278*Sens!$J$9256</f>
        <v>-47.6777623861763</v>
      </c>
      <c r="K9279" s="38" t="n">
        <f aca="false">Sens!$K$9278*Sens!$K$9256</f>
        <v>7.48133591299203</v>
      </c>
      <c r="L9279" s="38" t="n">
        <f aca="false">Sens!$L$9278*Sens!$L$9256</f>
        <v>30.4371211747874</v>
      </c>
      <c r="M9279" s="38" t="n">
        <f aca="false">Sens!$M$9278*Sens!$M$9256</f>
        <v>33.0065955874159</v>
      </c>
    </row>
    <row r="9280" customFormat="false" ht="17.15" hidden="false" customHeight="false" outlineLevel="0" collapsed="false">
      <c r="A9280" s="5" t="s">
        <v>946</v>
      </c>
      <c r="B9280" s="0" t="s">
        <v>86</v>
      </c>
      <c r="C9280" s="38" t="n">
        <f aca="false">Sens!$M$9117*(1-tax)*(1+tg_lo)*(1-tg_lo/ronic)/(wacc-tg_lo)</f>
        <v>379.480338842933</v>
      </c>
    </row>
    <row r="9281" customFormat="false" ht="17.15" hidden="false" customHeight="false" outlineLevel="0" collapsed="false">
      <c r="A9281" s="0" t="s">
        <v>947</v>
      </c>
      <c r="B9281" s="0" t="s">
        <v>86</v>
      </c>
      <c r="C9281" s="38" t="n">
        <f aca="false">(SUM(Sens!$I$9279:$M$9279)+Sens!$C$9280/(1+wacc)^6)*(1+wacc)^tp_yf</f>
        <v>159.773392239472</v>
      </c>
    </row>
    <row r="9282" customFormat="false" ht="17.15" hidden="false" customHeight="false" outlineLevel="0" collapsed="false">
      <c r="A9282" s="5" t="s">
        <v>948</v>
      </c>
      <c r="B9282" s="0" t="s">
        <v>86</v>
      </c>
      <c r="C9282" s="38" t="n">
        <f aca="false">(1-tp_yf)*(Sens!$H$9199)+tp_yf*(Sens!$I$9199)</f>
        <v>74.6707041238437</v>
      </c>
    </row>
    <row r="9283" customFormat="false" ht="17.15" hidden="false" customHeight="false" outlineLevel="0" collapsed="false">
      <c r="A9283" s="5" t="s">
        <v>949</v>
      </c>
      <c r="B9283" s="0" t="s">
        <v>86</v>
      </c>
      <c r="C9283" s="38" t="n">
        <f aca="false">Sens!$C$9282*m_ai</f>
        <v>448.024224743062</v>
      </c>
    </row>
    <row r="9284" customFormat="false" ht="17.15" hidden="false" customHeight="false" outlineLevel="0" collapsed="false">
      <c r="A9284" s="0" t="s">
        <v>950</v>
      </c>
      <c r="B9284" s="0" t="s">
        <v>86</v>
      </c>
      <c r="C9284" s="38" t="n">
        <f aca="false">IF(ai_leg=1,Sens!$C$9281,Sens!$C$9283)</f>
        <v>159.773392239472</v>
      </c>
    </row>
    <row r="9285" customFormat="false" ht="17.15" hidden="false" customHeight="false" outlineLevel="0" collapsed="false">
      <c r="A9285" s="5" t="s">
        <v>951</v>
      </c>
      <c r="B9285" s="0" t="s">
        <v>86</v>
      </c>
      <c r="C9285" s="38" t="n">
        <f aca="false">Sens!$C$9271+Sens!$C$9274+Sens!$C$9277+Sens!$C$9284</f>
        <v>2940.79908906801</v>
      </c>
    </row>
    <row r="9286" customFormat="false" ht="17.15" hidden="false" customHeight="false" outlineLevel="0" collapsed="false">
      <c r="A9286" s="5" t="s">
        <v>952</v>
      </c>
      <c r="B9286" s="0" t="s">
        <v>86</v>
      </c>
      <c r="C9286" s="38" t="n">
        <f aca="false">Sens!$H$9239+fin_debt</f>
        <v>153.608629741943</v>
      </c>
    </row>
    <row r="9287" customFormat="false" ht="15" hidden="false" customHeight="false" outlineLevel="0" collapsed="false">
      <c r="A9287" s="5" t="s">
        <v>953</v>
      </c>
      <c r="B9287" s="0" t="s">
        <v>86</v>
      </c>
      <c r="C9287" s="38" t="n">
        <f aca="false">Sens!$C$9285-Sens!$C$9286+Sens!$C$9264</f>
        <v>2966.13445932607</v>
      </c>
    </row>
    <row r="9288" customFormat="false" ht="15" hidden="false" customHeight="false" outlineLevel="0" collapsed="false">
      <c r="A9288" s="3" t="s">
        <v>954</v>
      </c>
      <c r="B9288" s="8" t="s">
        <v>27</v>
      </c>
      <c r="C9288" s="30" t="n">
        <f aca="false">Sens!$C$9287/sh_val</f>
        <v>268.907526959438</v>
      </c>
    </row>
    <row r="9289" customFormat="false" ht="17.15" hidden="false" customHeight="false" outlineLevel="0" collapsed="false">
      <c r="A9289" s="47" t="s">
        <v>955</v>
      </c>
      <c r="B9289" s="14" t="s">
        <v>27</v>
      </c>
      <c r="C9289" s="44" t="n">
        <f aca="false">w_dcf*Sens!$C$9267+(1-w_dcf)*Sens!$C$9288</f>
        <v>203.248379781503</v>
      </c>
      <c r="D9289" s="14"/>
      <c r="E9289" s="14"/>
      <c r="F9289" s="14"/>
      <c r="G9289" s="14"/>
      <c r="H9289" s="14"/>
      <c r="I9289" s="14"/>
      <c r="J9289" s="14"/>
      <c r="K9289" s="14"/>
      <c r="L9289" s="14"/>
      <c r="M9289" s="14"/>
      <c r="N9289" s="14"/>
      <c r="O9289" s="14"/>
    </row>
    <row r="9290" customFormat="false" ht="17.15" hidden="false" customHeight="false" outlineLevel="0" collapsed="false">
      <c r="A9290" s="5" t="s">
        <v>956</v>
      </c>
      <c r="B9290" s="0" t="s">
        <v>27</v>
      </c>
      <c r="C9290" s="30" t="n">
        <f aca="false">v022_wdcf*Sens!$C$9267+(1-v022_wdcf)*Sens!$C$9288</f>
        <v>209.814294499297</v>
      </c>
    </row>
    <row r="9291" customFormat="false" ht="17.15" hidden="false" customHeight="false" outlineLevel="0" collapsed="false">
      <c r="A9291" s="5" t="s">
        <v>957</v>
      </c>
      <c r="B9291" s="0" t="s">
        <v>27</v>
      </c>
      <c r="C9291" s="30" t="n">
        <f aca="false">(Sens!$C$9287-Sens!$C$9284+Sens!$C$9283)/sh_val</f>
        <v>295.040131389701</v>
      </c>
    </row>
    <row r="9294" customFormat="false" ht="19.4" hidden="false" customHeight="false" outlineLevel="0" collapsed="false">
      <c r="A9294" s="31" t="s">
        <v>1325</v>
      </c>
    </row>
    <row r="9295" customFormat="false" ht="17.15" hidden="false" customHeight="false" outlineLevel="0" collapsed="false">
      <c r="A9295" s="6" t="s">
        <v>16</v>
      </c>
      <c r="B9295" s="6" t="s">
        <v>17</v>
      </c>
      <c r="C9295" s="20" t="s">
        <v>497</v>
      </c>
      <c r="D9295" s="20" t="s">
        <v>498</v>
      </c>
      <c r="E9295" s="20" t="s">
        <v>580</v>
      </c>
      <c r="F9295" s="20" t="s">
        <v>581</v>
      </c>
      <c r="G9295" s="20" t="s">
        <v>582</v>
      </c>
      <c r="H9295" s="20" t="s">
        <v>583</v>
      </c>
      <c r="I9295" s="20" t="s">
        <v>584</v>
      </c>
      <c r="J9295" s="20" t="s">
        <v>585</v>
      </c>
      <c r="K9295" s="20" t="s">
        <v>586</v>
      </c>
      <c r="L9295" s="20" t="s">
        <v>587</v>
      </c>
      <c r="M9295" s="20" t="s">
        <v>588</v>
      </c>
      <c r="N9295" s="20" t="s">
        <v>589</v>
      </c>
      <c r="O9295" s="20" t="s">
        <v>590</v>
      </c>
      <c r="P9295" s="6" t="s">
        <v>23</v>
      </c>
      <c r="R9295" s="20" t="n">
        <v>2023</v>
      </c>
      <c r="S9295" s="20" t="n">
        <v>2024</v>
      </c>
      <c r="T9295" s="20" t="n">
        <v>2025</v>
      </c>
      <c r="U9295" s="20" t="n">
        <v>2026</v>
      </c>
      <c r="V9295" s="20" t="n">
        <v>2027</v>
      </c>
      <c r="W9295" s="20" t="n">
        <v>2028</v>
      </c>
      <c r="X9295" s="20" t="n">
        <v>2029</v>
      </c>
      <c r="Y9295" s="20" t="n">
        <v>2030</v>
      </c>
      <c r="Z9295" s="20" t="n">
        <v>2031</v>
      </c>
      <c r="AA9295" s="20" t="n">
        <v>2032</v>
      </c>
    </row>
    <row r="9296" customFormat="false" ht="17.15" hidden="false" customHeight="false" outlineLevel="0" collapsed="false">
      <c r="A9296" s="1" t="s">
        <v>666</v>
      </c>
    </row>
    <row r="9297" customFormat="false" ht="17.15" hidden="false" customHeight="false" outlineLevel="0" collapsed="false">
      <c r="A9297" s="0" t="s">
        <v>519</v>
      </c>
      <c r="B9297" s="0" t="s">
        <v>86</v>
      </c>
      <c r="C9297" s="38" t="n">
        <f aca="false">Q!$D$10</f>
        <v>247.029</v>
      </c>
      <c r="D9297" s="38" t="n">
        <f aca="false">Q!$E$10</f>
        <v>269.287</v>
      </c>
      <c r="E9297" s="38" t="n">
        <f aca="false">Q!$P$10</f>
        <v>134.686</v>
      </c>
      <c r="F9297" s="38" t="n">
        <f aca="false">Sens!$O$9297*(1+Sens!$F$9298)*Sens!$F$9309</f>
        <v>158.293876822267</v>
      </c>
      <c r="G9297" s="38" t="n">
        <f aca="false">Sens!$E$9297+Sens!$F$9297</f>
        <v>292.979876822267</v>
      </c>
      <c r="H9297" s="38" t="n">
        <f aca="false">Sens!$G$9297*(1+Sens!$H$9298)</f>
        <v>318.184543087396</v>
      </c>
      <c r="I9297" s="38" t="n">
        <f aca="false">Sens!$H$9297*(1+Sens!$I$9298)</f>
        <v>341.736278761793</v>
      </c>
      <c r="J9297" s="38" t="n">
        <f aca="false">Sens!$I$9297*(1+Sens!$J$9298)</f>
        <v>362.927192787048</v>
      </c>
      <c r="K9297" s="38" t="n">
        <f aca="false">Sens!$J$9297*(1+Sens!$K$9298)</f>
        <v>381.0735524264</v>
      </c>
      <c r="L9297" s="38" t="n">
        <f aca="false">Sens!$K$9297*(1+Sens!$L$9298)</f>
        <v>400.12723004772</v>
      </c>
      <c r="M9297" s="38" t="n">
        <f aca="false">Sens!$L$9297*(1+Sens!$M$9298)</f>
        <v>420.133591550106</v>
      </c>
      <c r="N9297" s="38" t="n">
        <f aca="false">Q!$N$10</f>
        <v>118.892</v>
      </c>
      <c r="O9297" s="38" t="n">
        <f aca="false">Q!$O$10</f>
        <v>150.395</v>
      </c>
      <c r="P9297" s="8" t="s">
        <v>667</v>
      </c>
    </row>
    <row r="9298" customFormat="false" ht="17.15" hidden="false" customHeight="false" outlineLevel="0" collapsed="false">
      <c r="A9298" s="0" t="s">
        <v>668</v>
      </c>
      <c r="B9298" s="0" t="s">
        <v>52</v>
      </c>
      <c r="E9298" s="13" t="n">
        <f aca="false">Sens!$E$9297/Sens!$N$9297-1</f>
        <v>0.132843252699929</v>
      </c>
      <c r="F9298" s="13" t="n">
        <f aca="false">Sens!$O$9297/(Q!$F$10+Q!$G$10)-1</f>
        <v>0.0980382135842941</v>
      </c>
      <c r="G9298" s="13" t="n">
        <f aca="false">Sens!$G$9297/Sens!$D$9297-1</f>
        <v>0.0879837378791657</v>
      </c>
      <c r="H9298" s="13" t="n">
        <f aca="false">Sens!$F$9298+(g_os-Sens!$F$9298)*1/4</f>
        <v>0.0860286601882206</v>
      </c>
      <c r="I9298" s="13" t="n">
        <f aca="false">Sens!$F$9298+(g_os-Sens!$F$9298)*2/4</f>
        <v>0.074019106792147</v>
      </c>
      <c r="J9298" s="13" t="n">
        <f aca="false">Sens!$F$9298+(g_os-Sens!$F$9298)*3/4</f>
        <v>0.0620095533960735</v>
      </c>
      <c r="K9298" s="13" t="n">
        <f aca="false">Sens!$F$9298+(g_os-Sens!$F$9298)*4/4</f>
        <v>0.05</v>
      </c>
      <c r="L9298" s="13" t="n">
        <f aca="false">g_os</f>
        <v>0.05</v>
      </c>
      <c r="M9298" s="13" t="n">
        <f aca="false">g_os</f>
        <v>0.05</v>
      </c>
      <c r="P9298" s="8" t="s">
        <v>669</v>
      </c>
    </row>
    <row r="9299" customFormat="false" ht="17.15" hidden="false" customHeight="false" outlineLevel="0" collapsed="false">
      <c r="A9299" s="0" t="s">
        <v>520</v>
      </c>
      <c r="B9299" s="0" t="s">
        <v>86</v>
      </c>
      <c r="C9299" s="38" t="n">
        <f aca="false">Q!$D$11</f>
        <v>21.215</v>
      </c>
      <c r="D9299" s="38" t="n">
        <f aca="false">Q!$E$11</f>
        <v>22.561</v>
      </c>
      <c r="E9299" s="38" t="n">
        <f aca="false">Q!$P$11</f>
        <v>11.579</v>
      </c>
      <c r="F9299" s="38" t="n">
        <f aca="false">Sens!$O$9299*(1+Sens!$F$9300)*Sens!$F$9309</f>
        <v>11.5938724610325</v>
      </c>
      <c r="G9299" s="38" t="n">
        <f aca="false">Sens!$E$9299+Sens!$F$9299</f>
        <v>23.1728724610325</v>
      </c>
      <c r="H9299" s="38" t="n">
        <f aca="false">Sens!$G$9299*(1+Sens!$H$9300)</f>
        <v>24.353392759506</v>
      </c>
      <c r="I9299" s="38" t="n">
        <f aca="false">Sens!$H$9299*(1+Sens!$I$9300)</f>
        <v>25.4240338872015</v>
      </c>
      <c r="J9299" s="38" t="n">
        <f aca="false">Sens!$I$9299*(1+Sens!$J$9300)</f>
        <v>26.3642491017174</v>
      </c>
      <c r="K9299" s="38" t="n">
        <f aca="false">Sens!$J$9299*(1+Sens!$K$9300)</f>
        <v>27.155176574769</v>
      </c>
      <c r="L9299" s="38" t="n">
        <f aca="false">Sens!$K$9299*(1+Sens!$L$9300)</f>
        <v>27.969831872012</v>
      </c>
      <c r="M9299" s="38" t="n">
        <f aca="false">Sens!$L$9299*(1+Sens!$M$9300)</f>
        <v>28.8089268281724</v>
      </c>
      <c r="N9299" s="38" t="n">
        <f aca="false">Q!$N$11</f>
        <v>11.128</v>
      </c>
      <c r="O9299" s="38" t="n">
        <f aca="false">Q!$O$11</f>
        <v>11.433</v>
      </c>
      <c r="P9299" s="8" t="s">
        <v>667</v>
      </c>
    </row>
    <row r="9300" customFormat="false" ht="17.15" hidden="false" customHeight="false" outlineLevel="0" collapsed="false">
      <c r="A9300" s="0" t="s">
        <v>670</v>
      </c>
      <c r="B9300" s="0" t="s">
        <v>52</v>
      </c>
      <c r="E9300" s="13" t="n">
        <f aca="false">Sens!$E$9299/Sens!$N$9299-1</f>
        <v>0.0405283968368082</v>
      </c>
      <c r="F9300" s="13" t="n">
        <f aca="false">Sens!$O$9299/(Q!$F$11+Q!$G$11)-1</f>
        <v>0.0579254187100955</v>
      </c>
      <c r="G9300" s="13" t="n">
        <f aca="false">Sens!$G$9299/Sens!$D$9299-1</f>
        <v>0.0271208040881397</v>
      </c>
      <c r="H9300" s="13" t="n">
        <f aca="false">Sens!$F$9300+(g_ps-Sens!$F$9300)*1/4</f>
        <v>0.0509440640325716</v>
      </c>
      <c r="I9300" s="13" t="n">
        <f aca="false">Sens!$F$9300+(g_ps-Sens!$F$9300)*2/4</f>
        <v>0.0439627093550477</v>
      </c>
      <c r="J9300" s="13" t="n">
        <f aca="false">Sens!$F$9300+(g_ps-Sens!$F$9300)*3/4</f>
        <v>0.0369813546775239</v>
      </c>
      <c r="K9300" s="13" t="n">
        <f aca="false">Sens!$F$9300+(g_ps-Sens!$F$9300)*4/4</f>
        <v>0.03</v>
      </c>
      <c r="L9300" s="13" t="n">
        <f aca="false">g_ps</f>
        <v>0.03</v>
      </c>
      <c r="M9300" s="13" t="n">
        <f aca="false">g_ps</f>
        <v>0.03</v>
      </c>
      <c r="P9300" s="8" t="s">
        <v>671</v>
      </c>
    </row>
    <row r="9301" customFormat="false" ht="17.15" hidden="false" customHeight="false" outlineLevel="0" collapsed="false">
      <c r="A9301" s="0" t="s">
        <v>521</v>
      </c>
      <c r="B9301" s="0" t="s">
        <v>86</v>
      </c>
      <c r="C9301" s="38" t="n">
        <f aca="false">Q!$D$12</f>
        <v>156.146</v>
      </c>
      <c r="D9301" s="38" t="n">
        <f aca="false">Q!$E$12</f>
        <v>172.162</v>
      </c>
      <c r="E9301" s="38" t="n">
        <f aca="false">Q!$P$12</f>
        <v>88.358</v>
      </c>
      <c r="F9301" s="38" t="n">
        <f aca="false">Sens!$O$9301*(1+Sens!$F$9302)*Sens!$F$9309</f>
        <v>102.004388260171</v>
      </c>
      <c r="G9301" s="38" t="n">
        <f aca="false">Sens!$E$9301+Sens!$F$9301</f>
        <v>190.362388260171</v>
      </c>
      <c r="H9301" s="38" t="n">
        <f aca="false">Sens!$G$9301*(1+Sens!$H$9302)</f>
        <v>210.343106588311</v>
      </c>
      <c r="I9301" s="38" t="n">
        <f aca="false">Sens!$H$9301*(1+Sens!$I$9302)</f>
        <v>229.969728494648</v>
      </c>
      <c r="J9301" s="38" t="n">
        <f aca="false">Sens!$I$9301*(1+Sens!$J$9302)</f>
        <v>248.747636972598</v>
      </c>
      <c r="K9301" s="38" t="n">
        <f aca="false">Sens!$J$9301*(1+Sens!$K$9302)</f>
        <v>266.15997156068</v>
      </c>
      <c r="L9301" s="38" t="n">
        <f aca="false">Sens!$K$9301*(1+Sens!$L$9302)</f>
        <v>284.791169569927</v>
      </c>
      <c r="M9301" s="38" t="n">
        <f aca="false">Sens!$L$9301*(1+Sens!$M$9302)</f>
        <v>304.726551439822</v>
      </c>
      <c r="N9301" s="38" t="n">
        <f aca="false">Q!$N$12</f>
        <v>76.86</v>
      </c>
      <c r="O9301" s="38" t="n">
        <f aca="false">Q!$O$12</f>
        <v>95.302</v>
      </c>
      <c r="P9301" s="8" t="s">
        <v>667</v>
      </c>
    </row>
    <row r="9302" customFormat="false" ht="17.15" hidden="false" customHeight="false" outlineLevel="0" collapsed="false">
      <c r="A9302" s="0" t="s">
        <v>672</v>
      </c>
      <c r="B9302" s="0" t="s">
        <v>52</v>
      </c>
      <c r="E9302" s="13" t="n">
        <f aca="false">Sens!$E$9301/Sens!$N$9301-1</f>
        <v>0.1495966692688</v>
      </c>
      <c r="F9302" s="13" t="n">
        <f aca="false">Sens!$O$9301/(Q!$F$12+Q!$G$12)-1</f>
        <v>0.11661530890813</v>
      </c>
      <c r="G9302" s="13" t="n">
        <f aca="false">Sens!$G$9301/Sens!$D$9301-1</f>
        <v>0.105716640490767</v>
      </c>
      <c r="H9302" s="13" t="n">
        <f aca="false">Sens!$F$9302+(g_sp-Sens!$F$9302)*1/4</f>
        <v>0.104961481681098</v>
      </c>
      <c r="I9302" s="13" t="n">
        <f aca="false">Sens!$F$9302+(g_sp-Sens!$F$9302)*2/4</f>
        <v>0.0933076544540651</v>
      </c>
      <c r="J9302" s="13" t="n">
        <f aca="false">Sens!$F$9302+(g_sp-Sens!$F$9302)*3/4</f>
        <v>0.0816538272270325</v>
      </c>
      <c r="K9302" s="13" t="n">
        <f aca="false">Sens!$F$9302+(g_sp-Sens!$F$9302)*4/4</f>
        <v>0.07</v>
      </c>
      <c r="L9302" s="13" t="n">
        <f aca="false">g_sp</f>
        <v>0.07</v>
      </c>
      <c r="M9302" s="13" t="n">
        <f aca="false">g_sp</f>
        <v>0.07</v>
      </c>
      <c r="P9302" s="8" t="s">
        <v>673</v>
      </c>
    </row>
    <row r="9303" customFormat="false" ht="17.15" hidden="false" customHeight="false" outlineLevel="0" collapsed="false">
      <c r="A9303" s="0" t="s">
        <v>522</v>
      </c>
      <c r="B9303" s="0" t="s">
        <v>86</v>
      </c>
      <c r="C9303" s="38" t="n">
        <f aca="false">Q!$D$13</f>
        <v>56.214</v>
      </c>
      <c r="D9303" s="38" t="n">
        <f aca="false">Q!$E$13</f>
        <v>68.635</v>
      </c>
      <c r="E9303" s="38" t="n">
        <f aca="false">Q!$P$13</f>
        <v>37.052</v>
      </c>
      <c r="F9303" s="38" t="n">
        <f aca="false">Sens!$O$9303*(1+Sens!$F$9304)*Sens!$F$9309</f>
        <v>46.1572219944148</v>
      </c>
      <c r="G9303" s="38" t="n">
        <f aca="false">Sens!$E$9303+Sens!$F$9303</f>
        <v>83.2092219944148</v>
      </c>
      <c r="H9303" s="38" t="n">
        <f aca="false">Sens!$G$9303*(1+Sens!$H$9304)</f>
        <v>99.8969223878976</v>
      </c>
      <c r="I9303" s="38" t="n">
        <f aca="false">Sens!$H$9303*(1+Sens!$I$9304)</f>
        <v>116.583111095496</v>
      </c>
      <c r="J9303" s="38" t="n">
        <f aca="false">Sens!$I$9303*(1+Sens!$J$9304)</f>
        <v>132.148941941952</v>
      </c>
      <c r="K9303" s="38" t="n">
        <f aca="false">Sens!$J$9303*(1+Sens!$K$9304)</f>
        <v>145.363836136147</v>
      </c>
      <c r="L9303" s="38" t="n">
        <f aca="false">Sens!$K$9303*(1+Sens!$L$9304)</f>
        <v>159.900219749762</v>
      </c>
      <c r="M9303" s="38" t="n">
        <f aca="false">Sens!$L$9303*(1+Sens!$M$9304)</f>
        <v>175.890241724738</v>
      </c>
      <c r="N9303" s="38" t="n">
        <f aca="false">Q!$N$13</f>
        <v>29.615</v>
      </c>
      <c r="O9303" s="38" t="n">
        <f aca="false">Q!$O$13</f>
        <v>39.02</v>
      </c>
      <c r="P9303" s="8" t="s">
        <v>667</v>
      </c>
    </row>
    <row r="9304" customFormat="false" ht="17.15" hidden="false" customHeight="false" outlineLevel="0" collapsed="false">
      <c r="A9304" s="0" t="s">
        <v>674</v>
      </c>
      <c r="B9304" s="0" t="s">
        <v>52</v>
      </c>
      <c r="E9304" s="13" t="n">
        <f aca="false">Sens!$E$9303/Sens!$N$9303-1</f>
        <v>0.25112274185379</v>
      </c>
      <c r="F9304" s="13" t="n">
        <f aca="false">Sens!$O$9303/(Q!$F$13+Q!$G$13)-1</f>
        <v>0.234068123596572</v>
      </c>
      <c r="G9304" s="13" t="n">
        <f aca="false">Sens!$G$9303/Sens!$D$9303-1</f>
        <v>0.212343876949294</v>
      </c>
      <c r="H9304" s="13" t="n">
        <f aca="false">Sens!$F$9304+(g_ad-Sens!$F$9304)*1/4</f>
        <v>0.200551092697429</v>
      </c>
      <c r="I9304" s="13" t="n">
        <f aca="false">Sens!$F$9304+(g_ad-Sens!$F$9304)*2/4</f>
        <v>0.167034061798286</v>
      </c>
      <c r="J9304" s="13" t="n">
        <f aca="false">Sens!$F$9304+(g_ad-Sens!$F$9304)*3/4</f>
        <v>0.133517030899143</v>
      </c>
      <c r="K9304" s="13" t="n">
        <f aca="false">Sens!$F$9304+(g_ad-Sens!$F$9304)*4/4</f>
        <v>0.1</v>
      </c>
      <c r="L9304" s="13" t="n">
        <f aca="false">g_ad</f>
        <v>0.1</v>
      </c>
      <c r="M9304" s="13" t="n">
        <f aca="false">g_ad</f>
        <v>0.1</v>
      </c>
      <c r="P9304" s="8" t="s">
        <v>675</v>
      </c>
    </row>
    <row r="9305" customFormat="false" ht="17.15" hidden="false" customHeight="false" outlineLevel="0" collapsed="false">
      <c r="A9305" s="0" t="s">
        <v>523</v>
      </c>
      <c r="B9305" s="0" t="s">
        <v>86</v>
      </c>
      <c r="C9305" s="38" t="n">
        <f aca="false">Q!$D$14</f>
        <v>44.374</v>
      </c>
      <c r="D9305" s="38" t="n">
        <f aca="false">Q!$E$14</f>
        <v>49.619</v>
      </c>
      <c r="E9305" s="38" t="n">
        <f aca="false">Q!$P$14</f>
        <v>27.157</v>
      </c>
      <c r="F9305" s="38" t="n">
        <f aca="false">Sens!$O$9305*(1+Sens!$F$9306)*Sens!$F$9309</f>
        <v>27.7764165988154</v>
      </c>
      <c r="G9305" s="38" t="n">
        <f aca="false">Sens!$E$9305+Sens!$F$9305</f>
        <v>54.9334165988154</v>
      </c>
      <c r="H9305" s="38" t="n">
        <f aca="false">Sens!$G$9305*(1+Sens!$H$9306)</f>
        <v>61.1564112561829</v>
      </c>
      <c r="I9305" s="38" t="n">
        <f aca="false">Sens!$H$9305*(1+Sens!$I$9306)</f>
        <v>67.2020282103945</v>
      </c>
      <c r="J9305" s="38" t="n">
        <f aca="false">Sens!$I$9305*(1+Sens!$J$9306)</f>
        <v>72.8757274028885</v>
      </c>
      <c r="K9305" s="38" t="n">
        <f aca="false">Sens!$J$9305*(1+Sens!$K$9306)</f>
        <v>77.9770283210907</v>
      </c>
      <c r="L9305" s="38" t="n">
        <f aca="false">Sens!$K$9305*(1+Sens!$L$9306)</f>
        <v>83.4354203035671</v>
      </c>
      <c r="M9305" s="38" t="n">
        <f aca="false">Sens!$L$9305*(1+Sens!$M$9306)</f>
        <v>89.2758997248168</v>
      </c>
      <c r="N9305" s="38" t="n">
        <f aca="false">Q!$N$14</f>
        <v>23.923</v>
      </c>
      <c r="O9305" s="38" t="n">
        <f aca="false">Q!$O$14</f>
        <v>25.696</v>
      </c>
      <c r="P9305" s="8" t="s">
        <v>667</v>
      </c>
    </row>
    <row r="9306" customFormat="false" ht="17.15" hidden="false" customHeight="false" outlineLevel="0" collapsed="false">
      <c r="A9306" s="0" t="s">
        <v>676</v>
      </c>
      <c r="B9306" s="0" t="s">
        <v>52</v>
      </c>
      <c r="E9306" s="13" t="n">
        <f aca="false">Sens!$E$9305/Sens!$N$9305-1</f>
        <v>0.135183714417088</v>
      </c>
      <c r="F9306" s="13" t="n">
        <f aca="false">Sens!$O$9305/(Q!$F$14+Q!$G$14)-1</f>
        <v>0.127709997366804</v>
      </c>
      <c r="G9306" s="13" t="n">
        <f aca="false">Sens!$G$9305/Sens!$D$9305-1</f>
        <v>0.107104468022641</v>
      </c>
      <c r="H9306" s="13" t="n">
        <f aca="false">Sens!$F$9306+(g_sub-Sens!$F$9306)*1/4</f>
        <v>0.113282498025103</v>
      </c>
      <c r="I9306" s="13" t="n">
        <f aca="false">Sens!$F$9306+(g_sub-Sens!$F$9306)*2/4</f>
        <v>0.0988549986834021</v>
      </c>
      <c r="J9306" s="13" t="n">
        <f aca="false">Sens!$F$9306+(g_sub-Sens!$F$9306)*3/4</f>
        <v>0.084427499341701</v>
      </c>
      <c r="K9306" s="13" t="n">
        <f aca="false">Sens!$F$9306+(g_sub-Sens!$F$9306)*4/4</f>
        <v>0.07</v>
      </c>
      <c r="L9306" s="13" t="n">
        <f aca="false">g_sub</f>
        <v>0.07</v>
      </c>
      <c r="M9306" s="13" t="n">
        <f aca="false">g_sub</f>
        <v>0.07</v>
      </c>
      <c r="P9306" s="8" t="s">
        <v>677</v>
      </c>
    </row>
    <row r="9307" customFormat="false" ht="17.15" hidden="false" customHeight="false" outlineLevel="0" collapsed="false">
      <c r="A9307" s="0" t="s">
        <v>524</v>
      </c>
      <c r="B9307" s="0" t="s">
        <v>86</v>
      </c>
      <c r="C9307" s="38" t="n">
        <f aca="false">Q!$D$15</f>
        <v>5.425</v>
      </c>
      <c r="D9307" s="38" t="n">
        <f aca="false">Q!$E$15</f>
        <v>5.935</v>
      </c>
      <c r="E9307" s="38" t="n">
        <f aca="false">Q!$P$15</f>
        <v>3.474</v>
      </c>
      <c r="F9307" s="38" t="n">
        <f aca="false">Sens!$O$9307*(1+Sens!$F$9308)*Sens!$F$9309</f>
        <v>3.22246550883619</v>
      </c>
      <c r="G9307" s="38" t="n">
        <f aca="false">Sens!$E$9307+Sens!$F$9307</f>
        <v>6.69646550883619</v>
      </c>
      <c r="H9307" s="38" t="n">
        <f aca="false">Sens!$G$9307*(1+Sens!$H$9308)</f>
        <v>7.16251344209196</v>
      </c>
      <c r="I9307" s="38" t="n">
        <f aca="false">Sens!$H$9307*(1+Sens!$I$9308)</f>
        <v>7.61421070299826</v>
      </c>
      <c r="J9307" s="38" t="n">
        <f aca="false">Sens!$I$9307*(1+Sens!$J$9308)</f>
        <v>8.04465753523932</v>
      </c>
      <c r="K9307" s="38" t="n">
        <f aca="false">Sens!$J$9307*(1+Sens!$K$9308)</f>
        <v>8.44689041200128</v>
      </c>
      <c r="L9307" s="38" t="n">
        <f aca="false">Sens!$K$9307*(1+Sens!$L$9308)</f>
        <v>8.86923493260135</v>
      </c>
      <c r="M9307" s="38" t="n">
        <f aca="false">Sens!$L$9307*(1+Sens!$M$9308)</f>
        <v>9.31269667923142</v>
      </c>
      <c r="N9307" s="38" t="n">
        <f aca="false">Q!$N$15</f>
        <v>2.811</v>
      </c>
      <c r="O9307" s="38" t="n">
        <f aca="false">Q!$O$15</f>
        <v>3.124</v>
      </c>
      <c r="P9307" s="8" t="s">
        <v>667</v>
      </c>
    </row>
    <row r="9308" customFormat="false" ht="17.15" hidden="false" customHeight="false" outlineLevel="0" collapsed="false">
      <c r="A9308" s="0" t="s">
        <v>678</v>
      </c>
      <c r="B9308" s="0" t="s">
        <v>52</v>
      </c>
      <c r="E9308" s="13" t="n">
        <f aca="false">Sens!$E$9307/Sens!$N$9307-1</f>
        <v>0.235859124866596</v>
      </c>
      <c r="F9308" s="13" t="n">
        <f aca="false">Sens!$O$9307/(Q!$F$15+Q!$G$15)-1</f>
        <v>0.0761281433000345</v>
      </c>
      <c r="G9308" s="13" t="n">
        <f aca="false">Sens!$G$9307/Sens!$D$9307-1</f>
        <v>0.128300843948811</v>
      </c>
      <c r="H9308" s="13" t="n">
        <f aca="false">Sens!$F$9308+(g_ot-Sens!$F$9308)*1/4</f>
        <v>0.0695961074750259</v>
      </c>
      <c r="I9308" s="13" t="n">
        <f aca="false">Sens!$F$9308+(g_ot-Sens!$F$9308)*2/4</f>
        <v>0.0630640716500172</v>
      </c>
      <c r="J9308" s="13" t="n">
        <f aca="false">Sens!$F$9308+(g_ot-Sens!$F$9308)*3/4</f>
        <v>0.0565320358250086</v>
      </c>
      <c r="K9308" s="13" t="n">
        <f aca="false">Sens!$F$9308+(g_ot-Sens!$F$9308)*4/4</f>
        <v>0.05</v>
      </c>
      <c r="L9308" s="13" t="n">
        <f aca="false">g_ot</f>
        <v>0.05</v>
      </c>
      <c r="M9308" s="13" t="n">
        <f aca="false">g_ot</f>
        <v>0.05</v>
      </c>
      <c r="P9308" s="8" t="s">
        <v>679</v>
      </c>
    </row>
    <row r="9309" customFormat="false" ht="17.15" hidden="false" customHeight="false" outlineLevel="0" collapsed="false">
      <c r="A9309" s="0" t="s">
        <v>680</v>
      </c>
      <c r="B9309" s="0" t="s">
        <v>57</v>
      </c>
      <c r="F9309" s="40" t="n">
        <f aca="false">(g26q3_mid*Q!$O$8/Q!$J$8-Thesis!$F$86-Thesis!$F$90)/(Sens!$O$9297*(1+Sens!$F$9298)+Sens!$O$9299*(1+Sens!$F$9300)+Sens!$O$9301*(1+Sens!$F$9302)+Sens!$O$9303*(1+Sens!$F$9304)+Sens!$O$9305*(1+Sens!$F$9306)+Sens!$O$9307*(1+Sens!$F$9308))</f>
        <v>0.958546670622329</v>
      </c>
      <c r="P9309" s="8" t="s">
        <v>681</v>
      </c>
    </row>
    <row r="9310" customFormat="false" ht="17.15" hidden="false" customHeight="false" outlineLevel="0" collapsed="false">
      <c r="A9310" s="3" t="s">
        <v>682</v>
      </c>
      <c r="B9310" s="8" t="s">
        <v>86</v>
      </c>
      <c r="C9310" s="38" t="n">
        <f aca="false">Sens!$C$9297+Sens!$C$9299+Sens!$C$9301+Sens!$C$9303+Sens!$C$9305+Sens!$C$9307</f>
        <v>530.403</v>
      </c>
      <c r="D9310" s="38" t="n">
        <f aca="false">Sens!$D$9297+Sens!$D$9299+Sens!$D$9301+Sens!$D$9303+Sens!$D$9305+Sens!$D$9307</f>
        <v>588.199</v>
      </c>
      <c r="E9310" s="38" t="n">
        <f aca="false">Sens!$E$9297+Sens!$E$9299+Sens!$E$9301+Sens!$E$9303+Sens!$E$9305+Sens!$E$9307</f>
        <v>302.306</v>
      </c>
      <c r="F9310" s="38" t="n">
        <f aca="false">Sens!$F$9297+Sens!$F$9299+Sens!$F$9301+Sens!$F$9303+Sens!$F$9305+Sens!$F$9307</f>
        <v>349.048241645537</v>
      </c>
      <c r="G9310" s="38" t="n">
        <f aca="false">Sens!$G$9297+Sens!$G$9299+Sens!$G$9301+Sens!$G$9303+Sens!$G$9305+Sens!$G$9307</f>
        <v>651.354241645537</v>
      </c>
      <c r="H9310" s="38" t="n">
        <f aca="false">Sens!$H$9297+Sens!$H$9299+Sens!$H$9301+Sens!$H$9303+Sens!$H$9305+Sens!$H$9307</f>
        <v>721.096889521386</v>
      </c>
      <c r="I9310" s="38" t="n">
        <f aca="false">Sens!$I$9297+Sens!$I$9299+Sens!$I$9301+Sens!$I$9303+Sens!$I$9305+Sens!$I$9307</f>
        <v>788.529391152531</v>
      </c>
      <c r="J9310" s="38" t="n">
        <f aca="false">Sens!$J$9297+Sens!$J$9299+Sens!$J$9301+Sens!$J$9303+Sens!$J$9305+Sens!$J$9307</f>
        <v>851.108405741443</v>
      </c>
      <c r="K9310" s="38" t="n">
        <f aca="false">Sens!$K$9297+Sens!$K$9299+Sens!$K$9301+Sens!$K$9303+Sens!$K$9305+Sens!$K$9307</f>
        <v>906.176455431088</v>
      </c>
      <c r="L9310" s="38" t="n">
        <f aca="false">Sens!$L$9297+Sens!$L$9299+Sens!$L$9301+Sens!$L$9303+Sens!$L$9305+Sens!$L$9307</f>
        <v>965.093106475589</v>
      </c>
      <c r="M9310" s="38" t="n">
        <f aca="false">Sens!$M$9297+Sens!$M$9299+Sens!$M$9301+Sens!$M$9303+Sens!$M$9305+Sens!$M$9307</f>
        <v>1028.14790794689</v>
      </c>
      <c r="N9310" s="38" t="n">
        <f aca="false">Sens!$N$9297+Sens!$N$9299+Sens!$N$9301+Sens!$N$9303+Sens!$N$9305+Sens!$N$9307</f>
        <v>263.229</v>
      </c>
      <c r="O9310" s="38" t="n">
        <f aca="false">Sens!$O$9297+Sens!$O$9299+Sens!$O$9301+Sens!$O$9303+Sens!$O$9305+Sens!$O$9307</f>
        <v>324.97</v>
      </c>
    </row>
    <row r="9311" customFormat="false" ht="17.15" hidden="false" customHeight="false" outlineLevel="0" collapsed="false">
      <c r="A9311" s="5" t="s">
        <v>683</v>
      </c>
      <c r="B9311" s="0" t="s">
        <v>52</v>
      </c>
      <c r="C9311" s="13" t="n">
        <f aca="false">Q!$D$5/(Q!$D$5+Q!$D$6)</f>
        <v>0.730570905519011</v>
      </c>
      <c r="D9311" s="13" t="n">
        <f aca="false">Q!$E$5/(Q!$E$5+Q!$E$6)</f>
        <v>0.724763217890544</v>
      </c>
      <c r="E9311" s="13" t="n">
        <f aca="false">Q!$P$5/(Q!$P$5+Q!$P$6)</f>
        <v>0.728797972914861</v>
      </c>
      <c r="F9311" s="13" t="n">
        <f aca="false">Sens!$O$9311</f>
        <v>0.718066283041511</v>
      </c>
      <c r="G9311" s="13" t="n">
        <f aca="false">Sens!$G$9312/Sens!$G$9310</f>
        <v>0.723047066202847</v>
      </c>
      <c r="H9311" s="13" t="n">
        <f aca="false">Sens!$G$9311</f>
        <v>0.723047066202847</v>
      </c>
      <c r="I9311" s="13" t="n">
        <f aca="false">Sens!$G$9311</f>
        <v>0.723047066202847</v>
      </c>
      <c r="J9311" s="13" t="n">
        <f aca="false">Sens!$G$9311</f>
        <v>0.723047066202847</v>
      </c>
      <c r="K9311" s="13" t="n">
        <f aca="false">Sens!$G$9311</f>
        <v>0.723047066202847</v>
      </c>
      <c r="L9311" s="13" t="n">
        <f aca="false">Sens!$G$9311</f>
        <v>0.723047066202847</v>
      </c>
      <c r="M9311" s="13" t="n">
        <f aca="false">Sens!$G$9311</f>
        <v>0.723047066202847</v>
      </c>
      <c r="N9311" s="13" t="n">
        <f aca="false">Q!$N$5/(Q!$N$5+Q!$N$6)</f>
        <v>0.733030935041352</v>
      </c>
      <c r="O9311" s="13" t="n">
        <f aca="false">Q!$O$5/(Q!$O$5+Q!$O$6)</f>
        <v>0.718066283041511</v>
      </c>
      <c r="P9311" s="8" t="s">
        <v>684</v>
      </c>
    </row>
    <row r="9312" customFormat="false" ht="17.15" hidden="false" customHeight="false" outlineLevel="0" collapsed="false">
      <c r="A9312" s="1" t="s">
        <v>512</v>
      </c>
      <c r="B9312" s="8" t="s">
        <v>86</v>
      </c>
      <c r="C9312" s="38" t="n">
        <f aca="false">Q!$D$5</f>
        <v>387.497</v>
      </c>
      <c r="D9312" s="38" t="n">
        <f aca="false">Q!$E$5</f>
        <v>426.305</v>
      </c>
      <c r="E9312" s="38" t="n">
        <f aca="false">Q!$P$5</f>
        <v>220.32</v>
      </c>
      <c r="F9312" s="38" t="n">
        <f aca="false">Sens!$F$9310*Sens!$F$9311</f>
        <v>250.639773480586</v>
      </c>
      <c r="G9312" s="38" t="n">
        <f aca="false">Sens!$E$9312+Sens!$F$9312</f>
        <v>470.959773480586</v>
      </c>
      <c r="H9312" s="38" t="n">
        <f aca="false">Sens!$H$9310*Sens!$H$9311</f>
        <v>521.386990416437</v>
      </c>
      <c r="I9312" s="38" t="n">
        <f aca="false">Sens!$I$9310*Sens!$I$9311</f>
        <v>570.143862887555</v>
      </c>
      <c r="J9312" s="38" t="n">
        <f aca="false">Sens!$J$9310*Sens!$J$9311</f>
        <v>615.391435791933</v>
      </c>
      <c r="K9312" s="38" t="n">
        <f aca="false">Sens!$K$9310*Sens!$K$9311</f>
        <v>655.208227561543</v>
      </c>
      <c r="L9312" s="38" t="n">
        <f aca="false">Sens!$L$9310*Sens!$L$9311</f>
        <v>697.807739249767</v>
      </c>
      <c r="M9312" s="38" t="n">
        <f aca="false">Sens!$M$9310*Sens!$M$9311</f>
        <v>743.399328463592</v>
      </c>
      <c r="N9312" s="38" t="n">
        <f aca="false">Q!$N$5</f>
        <v>192.955</v>
      </c>
      <c r="O9312" s="38" t="n">
        <f aca="false">Q!$O$5</f>
        <v>233.35</v>
      </c>
      <c r="P9312" s="5" t="s">
        <v>685</v>
      </c>
    </row>
    <row r="9313" customFormat="false" ht="17.15" hidden="false" customHeight="false" outlineLevel="0" collapsed="false">
      <c r="A9313" s="1" t="s">
        <v>515</v>
      </c>
      <c r="B9313" s="8" t="s">
        <v>86</v>
      </c>
      <c r="C9313" s="38" t="n">
        <f aca="false">Q!$D$6</f>
        <v>142.906</v>
      </c>
      <c r="D9313" s="38" t="n">
        <f aca="false">Q!$E$6</f>
        <v>161.894</v>
      </c>
      <c r="E9313" s="38" t="n">
        <f aca="false">Q!$P$6</f>
        <v>81.986</v>
      </c>
      <c r="F9313" s="38" t="n">
        <f aca="false">Sens!$F$9310*(1-Sens!$F$9311)</f>
        <v>98.408468164951</v>
      </c>
      <c r="G9313" s="38" t="n">
        <f aca="false">Sens!$E$9313+Sens!$F$9313</f>
        <v>180.394468164951</v>
      </c>
      <c r="H9313" s="38" t="n">
        <f aca="false">Sens!$H$9310*(1-Sens!$H$9311)</f>
        <v>199.709899104949</v>
      </c>
      <c r="I9313" s="38" t="n">
        <f aca="false">Sens!$I$9310*(1-Sens!$I$9311)</f>
        <v>218.385528264976</v>
      </c>
      <c r="J9313" s="38" t="n">
        <f aca="false">Sens!$J$9310*(1-Sens!$J$9311)</f>
        <v>235.71696994951</v>
      </c>
      <c r="K9313" s="38" t="n">
        <f aca="false">Sens!$K$9310*(1-Sens!$K$9311)</f>
        <v>250.968227869545</v>
      </c>
      <c r="L9313" s="38" t="n">
        <f aca="false">Sens!$L$9310*(1-Sens!$L$9311)</f>
        <v>267.285367225822</v>
      </c>
      <c r="M9313" s="38" t="n">
        <f aca="false">Sens!$M$9310*(1-Sens!$M$9311)</f>
        <v>284.748579483295</v>
      </c>
      <c r="N9313" s="38" t="n">
        <f aca="false">Q!$N$6</f>
        <v>70.274</v>
      </c>
      <c r="O9313" s="38" t="n">
        <f aca="false">Q!$O$6</f>
        <v>91.62</v>
      </c>
      <c r="P9313" s="5" t="s">
        <v>686</v>
      </c>
    </row>
    <row r="9314" customFormat="false" ht="17.15" hidden="false" customHeight="false" outlineLevel="0" collapsed="false">
      <c r="A9314" s="5" t="s">
        <v>687</v>
      </c>
      <c r="B9314" s="0" t="s">
        <v>86</v>
      </c>
      <c r="C9314" s="38" t="n">
        <f aca="false">Sens!$C$9303*Sens!$C$9311</f>
        <v>41.0683128828457</v>
      </c>
      <c r="D9314" s="38" t="n">
        <f aca="false">Sens!$D$9303*Sens!$D$9311</f>
        <v>49.7441234599175</v>
      </c>
      <c r="E9314" s="38" t="n">
        <f aca="false">Sens!$E$9303*Sens!$E$9311</f>
        <v>27.0034224924414</v>
      </c>
      <c r="F9314" s="38" t="n">
        <f aca="false">Sens!$F$9303*Sens!$F$9311</f>
        <v>33.1439448330513</v>
      </c>
      <c r="G9314" s="38" t="n">
        <f aca="false">Sens!$G$9303*Sens!$G$9311</f>
        <v>60.164183844083</v>
      </c>
      <c r="H9314" s="38" t="n">
        <f aca="false">Sens!$H$9303*Sens!$H$9311</f>
        <v>72.2301766552629</v>
      </c>
      <c r="I9314" s="38" t="n">
        <f aca="false">Sens!$I$9303*Sens!$I$9311</f>
        <v>84.2950764463991</v>
      </c>
      <c r="J9314" s="38" t="n">
        <f aca="false">Sens!$J$9303*Sens!$J$9311</f>
        <v>95.5499047729386</v>
      </c>
      <c r="K9314" s="38" t="n">
        <f aca="false">Sens!$K$9303*Sens!$K$9311</f>
        <v>105.104895250232</v>
      </c>
      <c r="L9314" s="38" t="n">
        <f aca="false">Sens!$L$9303*Sens!$L$9311</f>
        <v>115.615384775256</v>
      </c>
      <c r="M9314" s="38" t="n">
        <f aca="false">Sens!$M$9303*Sens!$M$9311</f>
        <v>127.176923252781</v>
      </c>
      <c r="N9314" s="38" t="n">
        <f aca="false">Sens!$N$9303*Sens!$N$9311</f>
        <v>21.7087111412496</v>
      </c>
      <c r="O9314" s="38" t="n">
        <f aca="false">Sens!$O$9303*Sens!$O$9311</f>
        <v>28.0189463642798</v>
      </c>
      <c r="P9314" s="5" t="s">
        <v>688</v>
      </c>
    </row>
    <row r="9315" customFormat="false" ht="15" hidden="false" customHeight="false" outlineLevel="0" collapsed="false">
      <c r="A9315" s="5" t="s">
        <v>689</v>
      </c>
      <c r="B9315" s="0" t="s">
        <v>86</v>
      </c>
      <c r="C9315" s="38" t="n">
        <f aca="false">Sens!$C$9303-Sens!$C$9314</f>
        <v>15.1456871171543</v>
      </c>
      <c r="D9315" s="38" t="n">
        <f aca="false">Sens!$D$9303-Sens!$D$9314</f>
        <v>18.8908765400825</v>
      </c>
      <c r="E9315" s="38" t="n">
        <f aca="false">Sens!$E$9303-Sens!$E$9314</f>
        <v>10.0485775075586</v>
      </c>
      <c r="F9315" s="38" t="n">
        <f aca="false">Sens!$F$9303-Sens!$F$9314</f>
        <v>13.0132771613635</v>
      </c>
      <c r="G9315" s="38" t="n">
        <f aca="false">Sens!$G$9303-Sens!$G$9314</f>
        <v>23.0450381503318</v>
      </c>
      <c r="H9315" s="38" t="n">
        <f aca="false">Sens!$H$9303-Sens!$H$9314</f>
        <v>27.6667457326347</v>
      </c>
      <c r="I9315" s="38" t="n">
        <f aca="false">Sens!$I$9303-Sens!$I$9314</f>
        <v>32.2880346490971</v>
      </c>
      <c r="J9315" s="38" t="n">
        <f aca="false">Sens!$J$9303-Sens!$J$9314</f>
        <v>36.5990371690132</v>
      </c>
      <c r="K9315" s="38" t="n">
        <f aca="false">Sens!$K$9303-Sens!$K$9314</f>
        <v>40.2589408859145</v>
      </c>
      <c r="L9315" s="38" t="n">
        <f aca="false">Sens!$L$9303-Sens!$L$9314</f>
        <v>44.2848349745059</v>
      </c>
      <c r="M9315" s="38" t="n">
        <f aca="false">Sens!$M$9303-Sens!$M$9314</f>
        <v>48.7133184719565</v>
      </c>
      <c r="N9315" s="38" t="n">
        <f aca="false">Sens!$N$9303-Sens!$N$9314</f>
        <v>7.90628885875037</v>
      </c>
      <c r="O9315" s="38" t="n">
        <f aca="false">Sens!$O$9303-Sens!$O$9314</f>
        <v>11.0010536357202</v>
      </c>
    </row>
    <row r="9316" customFormat="false" ht="19.4" hidden="false" customHeight="false" outlineLevel="0" collapsed="false">
      <c r="A9316" s="31" t="s">
        <v>1326</v>
      </c>
    </row>
    <row r="9317" customFormat="false" ht="17.15" hidden="false" customHeight="false" outlineLevel="0" collapsed="false">
      <c r="A9317" s="6" t="s">
        <v>16</v>
      </c>
      <c r="B9317" s="6" t="s">
        <v>17</v>
      </c>
      <c r="C9317" s="20" t="s">
        <v>497</v>
      </c>
      <c r="D9317" s="20" t="s">
        <v>498</v>
      </c>
      <c r="E9317" s="20" t="s">
        <v>580</v>
      </c>
      <c r="F9317" s="20" t="s">
        <v>581</v>
      </c>
      <c r="G9317" s="20" t="s">
        <v>582</v>
      </c>
      <c r="H9317" s="20" t="s">
        <v>583</v>
      </c>
      <c r="I9317" s="20" t="s">
        <v>584</v>
      </c>
      <c r="J9317" s="20" t="s">
        <v>585</v>
      </c>
      <c r="K9317" s="20" t="s">
        <v>586</v>
      </c>
      <c r="L9317" s="20" t="s">
        <v>587</v>
      </c>
      <c r="M9317" s="20" t="s">
        <v>588</v>
      </c>
      <c r="N9317" s="20" t="s">
        <v>589</v>
      </c>
      <c r="O9317" s="20" t="s">
        <v>590</v>
      </c>
      <c r="P9317" s="6" t="s">
        <v>23</v>
      </c>
      <c r="R9317" s="20" t="n">
        <v>2023</v>
      </c>
      <c r="S9317" s="20" t="n">
        <v>2024</v>
      </c>
      <c r="T9317" s="20" t="n">
        <v>2025</v>
      </c>
      <c r="U9317" s="20" t="n">
        <v>2026</v>
      </c>
      <c r="V9317" s="20" t="n">
        <v>2027</v>
      </c>
      <c r="W9317" s="20" t="n">
        <v>2028</v>
      </c>
      <c r="X9317" s="20" t="n">
        <v>2029</v>
      </c>
      <c r="Y9317" s="20" t="n">
        <v>2030</v>
      </c>
      <c r="Z9317" s="20" t="n">
        <v>2031</v>
      </c>
      <c r="AA9317" s="20" t="n">
        <v>2032</v>
      </c>
    </row>
    <row r="9318" customFormat="false" ht="17.15" hidden="false" customHeight="false" outlineLevel="0" collapsed="false">
      <c r="A9318" s="1" t="s">
        <v>591</v>
      </c>
    </row>
    <row r="9319" customFormat="false" ht="17.15" hidden="false" customHeight="false" outlineLevel="0" collapsed="false">
      <c r="A9319" s="5" t="s">
        <v>592</v>
      </c>
      <c r="B9319" s="0" t="s">
        <v>144</v>
      </c>
      <c r="H9319" s="32" t="n">
        <f aca="false">pace_B</f>
        <v>3634.3</v>
      </c>
      <c r="I9319" s="32" t="n">
        <f aca="false">pace_B</f>
        <v>3634.3</v>
      </c>
      <c r="J9319" s="32" t="n">
        <f aca="false">pace_B</f>
        <v>3634.3</v>
      </c>
      <c r="K9319" s="32" t="n">
        <f aca="false">pace_B+(Sens!$J$9320*tg-pace_B)*1/3</f>
        <v>2570.86716666667</v>
      </c>
      <c r="L9319" s="32" t="n">
        <f aca="false">pace_B+(Sens!$J$9320*tg-pace_B)*2/3</f>
        <v>1507.43433333333</v>
      </c>
      <c r="M9319" s="32" t="n">
        <f aca="false">pace_B+(Sens!$J$9320*tg-pace_B)*3/3</f>
        <v>444.0015</v>
      </c>
      <c r="P9319" s="5" t="s">
        <v>593</v>
      </c>
    </row>
    <row r="9320" customFormat="false" ht="17.15" hidden="false" customHeight="false" outlineLevel="0" collapsed="false">
      <c r="A9320" s="15" t="s">
        <v>594</v>
      </c>
      <c r="B9320" s="14" t="s">
        <v>129</v>
      </c>
      <c r="C9320" s="33" t="n">
        <f aca="false">mw_ye24</f>
        <v>360</v>
      </c>
      <c r="D9320" s="33" t="n">
        <f aca="false">mw_ye25</f>
        <v>1440</v>
      </c>
      <c r="E9320" s="33" t="n">
        <f aca="false">mw_open</f>
        <v>2080</v>
      </c>
      <c r="F9320" s="33" t="n">
        <f aca="false">Sens!$E$9320+pace_B*0.5</f>
        <v>3897.15</v>
      </c>
      <c r="G9320" s="33" t="n">
        <f aca="false">Sens!$F$9320</f>
        <v>3897.15</v>
      </c>
      <c r="H9320" s="33" t="n">
        <f aca="false">Sens!$G$9320+Sens!$H$9319</f>
        <v>7531.45</v>
      </c>
      <c r="I9320" s="33" t="n">
        <f aca="false">Sens!$H$9320+Sens!$I$9319</f>
        <v>11165.75</v>
      </c>
      <c r="J9320" s="33" t="n">
        <f aca="false">Sens!$I$9320+Sens!$J$9319</f>
        <v>14800.05</v>
      </c>
      <c r="K9320" s="33" t="n">
        <f aca="false">Sens!$J$9320+Sens!$K$9319</f>
        <v>17370.9171666667</v>
      </c>
      <c r="L9320" s="33" t="n">
        <f aca="false">Sens!$K$9320+Sens!$L$9319</f>
        <v>18878.3515</v>
      </c>
      <c r="M9320" s="33" t="n">
        <f aca="false">Sens!$L$9320+Sens!$M$9319</f>
        <v>19322.353</v>
      </c>
      <c r="N9320" s="33" t="n">
        <f aca="false">(mw_ye24+mw_ye25)/2</f>
        <v>900</v>
      </c>
      <c r="O9320" s="33" t="n">
        <f aca="false">mw_ye25</f>
        <v>1440</v>
      </c>
      <c r="P9320" s="5" t="s">
        <v>595</v>
      </c>
    </row>
    <row r="9321" customFormat="false" ht="17.15" hidden="false" customHeight="false" outlineLevel="0" collapsed="false">
      <c r="A9321" s="5" t="s">
        <v>596</v>
      </c>
      <c r="B9321" s="0" t="s">
        <v>129</v>
      </c>
      <c r="C9321" s="32" t="n">
        <f aca="false">(mw_ye23+mw_ye24)/2</f>
        <v>240</v>
      </c>
      <c r="D9321" s="32" t="n">
        <f aca="false">(Sens!$C$9320+Sens!$D$9320)/2</f>
        <v>900</v>
      </c>
      <c r="E9321" s="32" t="n">
        <f aca="false">(Sens!$D$9320+Sens!$E$9320)/2</f>
        <v>1760</v>
      </c>
      <c r="F9321" s="32" t="n">
        <f aca="false">(Sens!$E$9320+Sens!$F$9320)/2</f>
        <v>2988.575</v>
      </c>
      <c r="G9321" s="32" t="n">
        <f aca="false">(Sens!$E$9321+Sens!$F$9321)/2</f>
        <v>2374.2875</v>
      </c>
      <c r="H9321" s="32" t="n">
        <f aca="false">(Sens!$G$9320+Sens!$H$9320)/2</f>
        <v>5714.3</v>
      </c>
      <c r="I9321" s="32" t="n">
        <f aca="false">(Sens!$H$9320+Sens!$I$9320)/2</f>
        <v>9348.6</v>
      </c>
      <c r="J9321" s="32" t="n">
        <f aca="false">(Sens!$I$9320+Sens!$J$9320)/2</f>
        <v>12982.9</v>
      </c>
      <c r="K9321" s="32" t="n">
        <f aca="false">(Sens!$J$9320+Sens!$K$9320)/2</f>
        <v>16085.4835833333</v>
      </c>
      <c r="L9321" s="32" t="n">
        <f aca="false">(Sens!$K$9320+Sens!$L$9320)/2</f>
        <v>18124.6343333333</v>
      </c>
      <c r="M9321" s="32" t="n">
        <f aca="false">(Sens!$L$9320+Sens!$M$9320)/2</f>
        <v>19100.35225</v>
      </c>
      <c r="N9321" s="32" t="n">
        <f aca="false">(Sens!$C$9320+Sens!$N$9320)/2</f>
        <v>630</v>
      </c>
      <c r="O9321" s="32" t="n">
        <f aca="false">(Sens!$N$9320+Sens!$O$9320)/2</f>
        <v>1170</v>
      </c>
    </row>
    <row r="9322" customFormat="false" ht="15" hidden="false" customHeight="false" outlineLevel="0" collapsed="false">
      <c r="A9322" s="5" t="s">
        <v>597</v>
      </c>
      <c r="B9322" s="5" t="s">
        <v>123</v>
      </c>
      <c r="C9322" s="34" t="n">
        <v>1</v>
      </c>
      <c r="D9322" s="34" t="n">
        <v>1</v>
      </c>
      <c r="E9322" s="34" t="n">
        <v>0.5</v>
      </c>
      <c r="F9322" s="34" t="n">
        <v>0.5</v>
      </c>
      <c r="G9322" s="34" t="n">
        <v>1</v>
      </c>
      <c r="H9322" s="34" t="n">
        <v>1</v>
      </c>
      <c r="I9322" s="34" t="n">
        <v>1</v>
      </c>
      <c r="J9322" s="34" t="n">
        <v>1</v>
      </c>
      <c r="K9322" s="34" t="n">
        <v>1</v>
      </c>
      <c r="L9322" s="34" t="n">
        <v>1</v>
      </c>
      <c r="M9322" s="34" t="n">
        <v>1</v>
      </c>
      <c r="N9322" s="34" t="n">
        <v>0.5</v>
      </c>
      <c r="O9322" s="34" t="n">
        <v>0.5</v>
      </c>
    </row>
    <row r="9323" customFormat="false" ht="17.15" hidden="false" customHeight="false" outlineLevel="0" collapsed="false">
      <c r="A9323" s="5" t="s">
        <v>598</v>
      </c>
      <c r="B9323" s="0" t="s">
        <v>129</v>
      </c>
      <c r="C9323" s="32" t="n">
        <f aca="false">Sens!$C$9320-mw_ye23</f>
        <v>240</v>
      </c>
      <c r="D9323" s="32" t="n">
        <f aca="false">Sens!$D$9320-Sens!$C$9320</f>
        <v>1080</v>
      </c>
      <c r="E9323" s="32" t="n">
        <f aca="false">Sens!$E$9320-Sens!$D$9320</f>
        <v>640</v>
      </c>
      <c r="F9323" s="32" t="n">
        <f aca="false">Sens!$F$9320-Sens!$E$9320</f>
        <v>1817.15</v>
      </c>
      <c r="G9323" s="32" t="n">
        <f aca="false">Sens!$E$9323+Sens!$F$9323</f>
        <v>2457.15</v>
      </c>
      <c r="H9323" s="32" t="n">
        <f aca="false">Sens!$H$9320-Sens!$G$9320</f>
        <v>3634.3</v>
      </c>
      <c r="I9323" s="32" t="n">
        <f aca="false">Sens!$I$9320-Sens!$H$9320</f>
        <v>3634.3</v>
      </c>
      <c r="J9323" s="32" t="n">
        <f aca="false">Sens!$J$9320-Sens!$I$9320</f>
        <v>3634.3</v>
      </c>
      <c r="K9323" s="32" t="n">
        <f aca="false">Sens!$K$9320-Sens!$J$9320</f>
        <v>2570.86716666667</v>
      </c>
      <c r="L9323" s="32" t="n">
        <f aca="false">Sens!$L$9320-Sens!$K$9320</f>
        <v>1507.43433333333</v>
      </c>
      <c r="M9323" s="32" t="n">
        <f aca="false">Sens!$M$9320-Sens!$L$9320</f>
        <v>444.001499999999</v>
      </c>
      <c r="N9323" s="32" t="n">
        <f aca="false">Sens!$N$9320-Sens!$C$9320</f>
        <v>540</v>
      </c>
      <c r="O9323" s="32" t="n">
        <f aca="false">Sens!$O$9320-Sens!$N$9320</f>
        <v>540</v>
      </c>
    </row>
    <row r="9324" customFormat="false" ht="17.15" hidden="false" customHeight="false" outlineLevel="0" collapsed="false">
      <c r="A9324" s="5" t="s">
        <v>599</v>
      </c>
      <c r="B9324" s="0" t="s">
        <v>129</v>
      </c>
      <c r="C9324" s="32" t="n">
        <f aca="false">Sens!$C$9323/ext_sh</f>
        <v>300</v>
      </c>
      <c r="D9324" s="32" t="n">
        <f aca="false">Sens!$D$9323/ext_sh</f>
        <v>1350</v>
      </c>
      <c r="E9324" s="32" t="n">
        <f aca="false">Sens!$E$9323/ext_sh</f>
        <v>800</v>
      </c>
      <c r="F9324" s="32" t="n">
        <f aca="false">Sens!$F$9323/ext_sh</f>
        <v>2271.4375</v>
      </c>
      <c r="G9324" s="32" t="n">
        <f aca="false">Sens!$G$9323/ext_sh</f>
        <v>3071.4375</v>
      </c>
      <c r="H9324" s="32" t="n">
        <f aca="false">Sens!$H$9323/ext_sh</f>
        <v>4542.875</v>
      </c>
      <c r="I9324" s="32" t="n">
        <f aca="false">Sens!$I$9323/ext_sh</f>
        <v>4542.875</v>
      </c>
      <c r="J9324" s="32" t="n">
        <f aca="false">Sens!$J$9323/ext_sh</f>
        <v>4542.875</v>
      </c>
      <c r="K9324" s="32" t="n">
        <f aca="false">Sens!$K$9323/ext_sh</f>
        <v>3213.58395833333</v>
      </c>
      <c r="L9324" s="32" t="n">
        <f aca="false">Sens!$L$9323/ext_sh</f>
        <v>1884.29291666667</v>
      </c>
      <c r="M9324" s="32" t="n">
        <f aca="false">Sens!$M$9323/ext_sh</f>
        <v>555.001874999998</v>
      </c>
      <c r="N9324" s="32" t="n">
        <f aca="false">Sens!$N$9323/ext_sh</f>
        <v>675</v>
      </c>
      <c r="O9324" s="32" t="n">
        <f aca="false">Sens!$O$9323/ext_sh</f>
        <v>675</v>
      </c>
      <c r="P9324" s="8" t="s">
        <v>600</v>
      </c>
      <c r="R9324" s="32" t="n">
        <f aca="false">mw_ye23/ext_sh</f>
        <v>150</v>
      </c>
      <c r="S9324" s="32" t="n">
        <f aca="false">Sens!$C$9324</f>
        <v>300</v>
      </c>
      <c r="T9324" s="32" t="n">
        <f aca="false">Sens!$D$9324</f>
        <v>1350</v>
      </c>
      <c r="U9324" s="32" t="n">
        <f aca="false">Sens!$G$9324</f>
        <v>3071.4375</v>
      </c>
      <c r="V9324" s="32" t="n">
        <f aca="false">Sens!$H$9324</f>
        <v>4542.875</v>
      </c>
      <c r="W9324" s="32" t="n">
        <f aca="false">Sens!$I$9324</f>
        <v>4542.875</v>
      </c>
      <c r="X9324" s="32" t="n">
        <f aca="false">Sens!$J$9324</f>
        <v>4542.875</v>
      </c>
      <c r="Y9324" s="32" t="n">
        <f aca="false">Sens!$K$9324</f>
        <v>3213.58395833333</v>
      </c>
      <c r="Z9324" s="32" t="n">
        <f aca="false">Sens!$L$9324</f>
        <v>1884.29291666667</v>
      </c>
      <c r="AA9324" s="32" t="n">
        <f aca="false">Sens!$M$9324</f>
        <v>555.001874999998</v>
      </c>
    </row>
    <row r="9325" customFormat="false" ht="17.15" hidden="false" customHeight="false" outlineLevel="0" collapsed="false">
      <c r="A9325" s="1" t="s">
        <v>601</v>
      </c>
    </row>
    <row r="9326" customFormat="false" ht="17.15" hidden="false" customHeight="false" outlineLevel="0" collapsed="false">
      <c r="A9326" s="0" t="s">
        <v>602</v>
      </c>
      <c r="B9326" s="0" t="s">
        <v>52</v>
      </c>
      <c r="F9326" s="35" t="n">
        <f aca="false">na_vr26</f>
        <v>0</v>
      </c>
      <c r="G9326" s="35" t="n">
        <f aca="false">na_vr26</f>
        <v>0</v>
      </c>
      <c r="H9326" s="35" t="n">
        <f aca="false">na_vr27</f>
        <v>0.5</v>
      </c>
      <c r="I9326" s="35" t="n">
        <f aca="false">na_vr28</f>
        <v>1</v>
      </c>
      <c r="J9326" s="35" t="n">
        <f aca="false">na_vr28</f>
        <v>1</v>
      </c>
      <c r="K9326" s="35" t="n">
        <f aca="false">na_vr28</f>
        <v>1</v>
      </c>
      <c r="L9326" s="35" t="n">
        <f aca="false">na_vr28</f>
        <v>1</v>
      </c>
      <c r="M9326" s="35" t="n">
        <f aca="false">na_vr28</f>
        <v>1</v>
      </c>
    </row>
    <row r="9327" customFormat="false" ht="17.15" hidden="false" customHeight="false" outlineLevel="0" collapsed="false">
      <c r="A9327" s="5" t="s">
        <v>603</v>
      </c>
      <c r="B9327" s="0" t="s">
        <v>173</v>
      </c>
      <c r="F9327" s="36" t="n">
        <f aca="false">cust_sh*tk_he_gb300*cf_chip+(1-cust_sh)*((1-Sens!$F$9326)*tk_he_gb300+Sens!$F$9326*tk_he_vr200)</f>
        <v>10.8864110021101</v>
      </c>
      <c r="G9327" s="36" t="n">
        <f aca="false">cust_sh*tk_he_gb300*cf_chip+(1-cust_sh)*((1-Sens!$G$9326)*tk_he_gb300+Sens!$G$9326*tk_he_vr200)</f>
        <v>10.8864110021101</v>
      </c>
      <c r="H9327" s="36" t="n">
        <f aca="false">cust_sh*tk_he_gb300*cf_chip+(1-cust_sh)*((1-Sens!$H$9326)*tk_he_gb300+Sens!$H$9326*tk_he_vr200)</f>
        <v>11.2211760027286</v>
      </c>
      <c r="I9327" s="36" t="n">
        <f aca="false">cust_sh*tk_he_gb300*cf_chip+(1-cust_sh)*((1-Sens!$I$9326)*tk_he_gb300+Sens!$I$9326*tk_he_vr200)</f>
        <v>11.5559410033471</v>
      </c>
      <c r="J9327" s="36" t="n">
        <f aca="false">cust_sh*tk_he_gb300*cf_chip+(1-cust_sh)*((1-Sens!$J$9326)*tk_he_gb300+Sens!$J$9326*tk_he_vr200)</f>
        <v>11.5559410033471</v>
      </c>
      <c r="K9327" s="36" t="n">
        <f aca="false">cust_sh*tk_he_gb300*cf_chip+(1-cust_sh)*((1-Sens!$K$9326)*tk_he_gb300+Sens!$K$9326*tk_he_vr200)</f>
        <v>11.5559410033471</v>
      </c>
      <c r="L9327" s="36" t="n">
        <f aca="false">cust_sh*tk_he_gb300*cf_chip+(1-cust_sh)*((1-Sens!$L$9326)*tk_he_gb300+Sens!$L$9326*tk_he_vr200)</f>
        <v>11.5559410033471</v>
      </c>
      <c r="M9327" s="36" t="n">
        <f aca="false">cust_sh*tk_he_gb300*cf_chip+(1-cust_sh)*((1-Sens!$M$9326)*tk_he_gb300+Sens!$M$9326*tk_he_vr200)</f>
        <v>11.5559410033471</v>
      </c>
    </row>
    <row r="9328" customFormat="false" ht="17.15" hidden="false" customHeight="false" outlineLevel="0" collapsed="false">
      <c r="A9328" s="5" t="s">
        <v>604</v>
      </c>
      <c r="B9328" s="0" t="s">
        <v>173</v>
      </c>
      <c r="F9328" s="36" t="n">
        <f aca="false">cust_sh*tk_ox_gb300+(1-cust_sh)*((1-Sens!$F$9326)*tk_ox_gb300+Sens!$F$9326*tk_ox_vr200)</f>
        <v>1.98263481314457</v>
      </c>
      <c r="G9328" s="36" t="n">
        <f aca="false">cust_sh*tk_ox_gb300+(1-cust_sh)*((1-Sens!$G$9326)*tk_ox_gb300+Sens!$G$9326*tk_ox_vr200)</f>
        <v>1.98263481314457</v>
      </c>
      <c r="H9328" s="36" t="n">
        <f aca="false">cust_sh*tk_ox_gb300+(1-cust_sh)*((1-Sens!$H$9326)*tk_ox_gb300+Sens!$H$9326*tk_ox_vr200)</f>
        <v>2.01034999693694</v>
      </c>
      <c r="I9328" s="36" t="n">
        <f aca="false">cust_sh*tk_ox_gb300+(1-cust_sh)*((1-Sens!$I$9326)*tk_ox_gb300+Sens!$I$9326*tk_ox_vr200)</f>
        <v>2.0380651807293</v>
      </c>
      <c r="J9328" s="36" t="n">
        <f aca="false">cust_sh*tk_ox_gb300+(1-cust_sh)*((1-Sens!$J$9326)*tk_ox_gb300+Sens!$J$9326*tk_ox_vr200)</f>
        <v>2.0380651807293</v>
      </c>
      <c r="K9328" s="36" t="n">
        <f aca="false">cust_sh*tk_ox_gb300+(1-cust_sh)*((1-Sens!$K$9326)*tk_ox_gb300+Sens!$K$9326*tk_ox_vr200)</f>
        <v>2.0380651807293</v>
      </c>
      <c r="L9328" s="36" t="n">
        <f aca="false">cust_sh*tk_ox_gb300+(1-cust_sh)*((1-Sens!$L$9326)*tk_ox_gb300+Sens!$L$9326*tk_ox_vr200)</f>
        <v>2.0380651807293</v>
      </c>
      <c r="M9328" s="36" t="n">
        <f aca="false">cust_sh*tk_ox_gb300+(1-cust_sh)*((1-Sens!$M$9326)*tk_ox_gb300+Sens!$M$9326*tk_ox_vr200)</f>
        <v>2.0380651807293</v>
      </c>
    </row>
    <row r="9329" customFormat="false" ht="17.15" hidden="false" customHeight="false" outlineLevel="0" collapsed="false">
      <c r="A9329" s="5" t="s">
        <v>605</v>
      </c>
      <c r="B9329" s="0" t="s">
        <v>192</v>
      </c>
      <c r="F9329" s="36" t="n">
        <f aca="false">cust_sh*tk_cx_gb300*cf_cx+(1-cust_sh)*((1-Sens!$F$9326)*tk_cx_gb300+Sens!$F$9326*tk_cx_vr200)</f>
        <v>32.237224</v>
      </c>
      <c r="G9329" s="36" t="n">
        <f aca="false">cust_sh*tk_cx_gb300*cf_cx+(1-cust_sh)*((1-Sens!$G$9326)*tk_cx_gb300+Sens!$G$9326*tk_cx_vr200)</f>
        <v>32.237224</v>
      </c>
      <c r="H9329" s="36" t="n">
        <f aca="false">cust_sh*tk_cx_gb300*cf_cx+(1-cust_sh)*((1-Sens!$H$9326)*tk_cx_gb300+Sens!$H$9326*tk_cx_vr200)</f>
        <v>33.574506</v>
      </c>
      <c r="I9329" s="36" t="n">
        <f aca="false">cust_sh*tk_cx_gb300*cf_cx+(1-cust_sh)*((1-Sens!$I$9326)*tk_cx_gb300+Sens!$I$9326*tk_cx_vr200)</f>
        <v>34.911788</v>
      </c>
      <c r="J9329" s="36" t="n">
        <f aca="false">cust_sh*tk_cx_gb300*cf_cx+(1-cust_sh)*((1-Sens!$J$9326)*tk_cx_gb300+Sens!$J$9326*tk_cx_vr200)</f>
        <v>34.911788</v>
      </c>
      <c r="K9329" s="36" t="n">
        <f aca="false">cust_sh*tk_cx_gb300*cf_cx+(1-cust_sh)*((1-Sens!$K$9326)*tk_cx_gb300+Sens!$K$9326*tk_cx_vr200)</f>
        <v>34.911788</v>
      </c>
      <c r="L9329" s="36" t="n">
        <f aca="false">cust_sh*tk_cx_gb300*cf_cx+(1-cust_sh)*((1-Sens!$L$9326)*tk_cx_gb300+Sens!$L$9326*tk_cx_vr200)</f>
        <v>34.911788</v>
      </c>
      <c r="M9329" s="36" t="n">
        <f aca="false">cust_sh*tk_cx_gb300*cf_cx+(1-cust_sh)*((1-Sens!$M$9326)*tk_cx_gb300+Sens!$M$9326*tk_cx_vr200)</f>
        <v>34.911788</v>
      </c>
    </row>
    <row r="9330" customFormat="false" ht="17.15" hidden="false" customHeight="false" outlineLevel="0" collapsed="false">
      <c r="A9330" s="5" t="s">
        <v>606</v>
      </c>
      <c r="B9330" s="0" t="s">
        <v>129</v>
      </c>
      <c r="F9330" s="32" t="n">
        <f aca="false">Sens!$F$9320-mw_open</f>
        <v>1817.15</v>
      </c>
      <c r="G9330" s="32" t="n">
        <f aca="false">Sens!$F$9330</f>
        <v>1817.15</v>
      </c>
      <c r="H9330" s="32" t="n">
        <f aca="false">Sens!$H$9320-mw_open</f>
        <v>5451.45</v>
      </c>
      <c r="I9330" s="32" t="n">
        <f aca="false">Sens!$I$9320-mw_open</f>
        <v>9085.75</v>
      </c>
      <c r="J9330" s="32" t="n">
        <f aca="false">Sens!$J$9320-mw_open</f>
        <v>12720.05</v>
      </c>
      <c r="K9330" s="32" t="n">
        <f aca="false">Sens!$K$9320-mw_open</f>
        <v>15290.9171666667</v>
      </c>
      <c r="L9330" s="32" t="n">
        <f aca="false">Sens!$L$9320-mw_open</f>
        <v>16798.3515</v>
      </c>
      <c r="M9330" s="32" t="n">
        <f aca="false">Sens!$M$9320-mw_open</f>
        <v>17242.353</v>
      </c>
    </row>
    <row r="9331" customFormat="false" ht="17.15" hidden="false" customHeight="false" outlineLevel="0" collapsed="false">
      <c r="A9331" s="0" t="s">
        <v>607</v>
      </c>
      <c r="B9331" s="0" t="s">
        <v>608</v>
      </c>
      <c r="F9331" s="32" t="n">
        <f aca="false">Sens!$F$9323*Sens!$F$9327</f>
        <v>19782.2417524844</v>
      </c>
      <c r="G9331" s="32" t="n">
        <f aca="false">Sens!$F$9331</f>
        <v>19782.2417524844</v>
      </c>
      <c r="H9331" s="32" t="n">
        <f aca="false">Sens!$G$9331+Sens!$H$9323*Sens!$H$9327</f>
        <v>60563.3616992009</v>
      </c>
      <c r="I9331" s="32" t="n">
        <f aca="false">Sens!$H$9331+Sens!$I$9323*Sens!$I$9327</f>
        <v>102561.118087665</v>
      </c>
      <c r="J9331" s="32" t="n">
        <f aca="false">Sens!$I$9331+Sens!$J$9323*Sens!$J$9327</f>
        <v>144558.87447613</v>
      </c>
      <c r="K9331" s="32" t="n">
        <f aca="false">Sens!$J$9331+Sens!$K$9323*Sens!$K$9327</f>
        <v>174267.663781572</v>
      </c>
      <c r="L9331" s="32" t="n">
        <f aca="false">Sens!$K$9331+Sens!$L$9323*Sens!$L$9327</f>
        <v>191687.486003992</v>
      </c>
      <c r="M9331" s="32" t="n">
        <f aca="false">Sens!$L$9331+Sens!$M$9323*Sens!$M$9327</f>
        <v>196818.341143389</v>
      </c>
    </row>
    <row r="9332" customFormat="false" ht="17.15" hidden="false" customHeight="false" outlineLevel="0" collapsed="false">
      <c r="A9332" s="0" t="s">
        <v>609</v>
      </c>
      <c r="B9332" s="0" t="s">
        <v>608</v>
      </c>
      <c r="F9332" s="32" t="n">
        <f aca="false">Sens!$F$9323*Sens!$F$9328</f>
        <v>3602.74485070566</v>
      </c>
      <c r="G9332" s="32" t="n">
        <f aca="false">Sens!$F$9332</f>
        <v>3602.74485070566</v>
      </c>
      <c r="H9332" s="32" t="n">
        <f aca="false">Sens!$G$9332+Sens!$H$9323*Sens!$H$9328</f>
        <v>10908.9598445736</v>
      </c>
      <c r="I9332" s="32" t="n">
        <f aca="false">Sens!$H$9332+Sens!$I$9323*Sens!$I$9328</f>
        <v>18315.9001308981</v>
      </c>
      <c r="J9332" s="32" t="n">
        <f aca="false">Sens!$I$9332+Sens!$J$9323*Sens!$J$9328</f>
        <v>25722.8404172225</v>
      </c>
      <c r="K9332" s="32" t="n">
        <f aca="false">Sens!$J$9332+Sens!$K$9323*Sens!$K$9328</f>
        <v>30962.4352738861</v>
      </c>
      <c r="L9332" s="32" t="n">
        <f aca="false">Sens!$K$9332+Sens!$L$9323*Sens!$L$9328</f>
        <v>34034.6847008886</v>
      </c>
      <c r="M9332" s="32" t="n">
        <f aca="false">Sens!$L$9332+Sens!$M$9323*Sens!$M$9328</f>
        <v>34939.5886982302</v>
      </c>
    </row>
    <row r="9333" customFormat="false" ht="17.15" hidden="false" customHeight="false" outlineLevel="0" collapsed="false">
      <c r="A9333" s="5" t="s">
        <v>610</v>
      </c>
      <c r="B9333" s="0" t="s">
        <v>173</v>
      </c>
      <c r="F9333" s="36" t="n">
        <f aca="false">IF(Sens!$F$9330&gt;0,Sens!$F$9331/Sens!$F$9330,Sens!$F$9327)</f>
        <v>10.8864110021101</v>
      </c>
      <c r="G9333" s="36" t="n">
        <f aca="false">IF(Sens!$G$9330&gt;0,Sens!$G$9331/Sens!$G$9330,Sens!$G$9327)</f>
        <v>10.8864110021101</v>
      </c>
      <c r="H9333" s="36" t="n">
        <f aca="false">IF(Sens!$H$9330&gt;0,Sens!$H$9331/Sens!$H$9330,Sens!$H$9327)</f>
        <v>11.1095876691891</v>
      </c>
      <c r="I9333" s="36" t="n">
        <f aca="false">IF(Sens!$I$9330&gt;0,Sens!$I$9331/Sens!$I$9330,Sens!$I$9327)</f>
        <v>11.2881290028523</v>
      </c>
      <c r="J9333" s="36" t="n">
        <f aca="false">IF(Sens!$J$9330&gt;0,Sens!$J$9331/Sens!$J$9330,Sens!$J$9327)</f>
        <v>11.3646467172794</v>
      </c>
      <c r="K9333" s="36" t="n">
        <f aca="false">IF(Sens!$K$9330&gt;0,Sens!$K$9331/Sens!$K$9330,Sens!$K$9327)</f>
        <v>11.3968090914432</v>
      </c>
      <c r="L9333" s="36" t="n">
        <f aca="false">IF(Sens!$L$9330&gt;0,Sens!$L$9331/Sens!$L$9330,Sens!$L$9327)</f>
        <v>11.4110891181192</v>
      </c>
      <c r="M9333" s="36" t="n">
        <f aca="false">IF(Sens!$M$9330&gt;0,Sens!$M$9331/Sens!$M$9330,Sens!$M$9327)</f>
        <v>11.4148191458201</v>
      </c>
    </row>
    <row r="9334" customFormat="false" ht="17.15" hidden="false" customHeight="false" outlineLevel="0" collapsed="false">
      <c r="A9334" s="5" t="s">
        <v>611</v>
      </c>
      <c r="B9334" s="0" t="s">
        <v>173</v>
      </c>
      <c r="F9334" s="36" t="n">
        <f aca="false">IF(Sens!$F$9330&gt;0,Sens!$F$9332/Sens!$F$9330,Sens!$F$9328)</f>
        <v>1.98263481314457</v>
      </c>
      <c r="G9334" s="36" t="n">
        <f aca="false">IF(Sens!$G$9330&gt;0,Sens!$G$9332/Sens!$G$9330,Sens!$G$9328)</f>
        <v>1.98263481314457</v>
      </c>
      <c r="H9334" s="36" t="n">
        <f aca="false">IF(Sens!$H$9330&gt;0,Sens!$H$9332/Sens!$H$9330,Sens!$H$9328)</f>
        <v>2.00111160233948</v>
      </c>
      <c r="I9334" s="36" t="n">
        <f aca="false">IF(Sens!$I$9330&gt;0,Sens!$I$9332/Sens!$I$9330,Sens!$I$9328)</f>
        <v>2.01589303369541</v>
      </c>
      <c r="J9334" s="36" t="n">
        <f aca="false">IF(Sens!$J$9330&gt;0,Sens!$J$9332/Sens!$J$9330,Sens!$J$9328)</f>
        <v>2.02222793284795</v>
      </c>
      <c r="K9334" s="36" t="n">
        <f aca="false">IF(Sens!$K$9330&gt;0,Sens!$K$9332/Sens!$K$9330,Sens!$K$9328)</f>
        <v>2.02489065478573</v>
      </c>
      <c r="L9334" s="36" t="n">
        <f aca="false">IF(Sens!$L$9330&gt;0,Sens!$L$9332/Sens!$L$9330,Sens!$L$9328)</f>
        <v>2.0260728977417</v>
      </c>
      <c r="M9334" s="36" t="n">
        <f aca="false">IF(Sens!$M$9330&gt;0,Sens!$M$9332/Sens!$M$9330,Sens!$M$9328)</f>
        <v>2.02638170661685</v>
      </c>
    </row>
    <row r="9335" customFormat="false" ht="17.15" hidden="false" customHeight="false" outlineLevel="0" collapsed="false">
      <c r="A9335" s="15" t="s">
        <v>612</v>
      </c>
      <c r="B9335" s="14" t="s">
        <v>173</v>
      </c>
      <c r="C9335" s="14"/>
      <c r="D9335" s="14"/>
      <c r="E9335" s="14"/>
      <c r="F9335" s="37" t="n">
        <f aca="false">Sens!$F$9333*k_B</f>
        <v>10.7987645808025</v>
      </c>
      <c r="G9335" s="37" t="n">
        <f aca="false">Sens!$G$9333*k_B</f>
        <v>10.7987645808025</v>
      </c>
      <c r="H9335" s="37" t="n">
        <f aca="false">Sens!$H$9333*k_B</f>
        <v>11.0201444540452</v>
      </c>
      <c r="I9335" s="37" t="n">
        <f aca="false">Sens!$I$9333*k_B</f>
        <v>11.1972483526393</v>
      </c>
      <c r="J9335" s="37" t="n">
        <f aca="false">Sens!$J$9333*k_B</f>
        <v>11.2731500234653</v>
      </c>
      <c r="K9335" s="37" t="n">
        <f aca="false">Sens!$K$9333*k_B</f>
        <v>11.3050534585724</v>
      </c>
      <c r="L9335" s="37" t="n">
        <f aca="false">Sens!$L$9333*k_B</f>
        <v>11.3192185168503</v>
      </c>
      <c r="M9335" s="37" t="n">
        <f aca="false">Sens!$M$9333*k_B</f>
        <v>11.3229185141234</v>
      </c>
      <c r="N9335" s="14"/>
      <c r="O9335" s="14"/>
      <c r="P9335" s="5" t="s">
        <v>613</v>
      </c>
    </row>
    <row r="9336" customFormat="false" ht="17.15" hidden="false" customHeight="false" outlineLevel="0" collapsed="false">
      <c r="A9336" s="5" t="s">
        <v>614</v>
      </c>
      <c r="B9336" s="0" t="s">
        <v>129</v>
      </c>
      <c r="F9336" s="32" t="n">
        <f aca="false">Sens!$F$9330/2</f>
        <v>908.575</v>
      </c>
      <c r="H9336" s="32" t="n">
        <f aca="false">(Sens!$G$9330+Sens!$H$9330)/2</f>
        <v>3634.3</v>
      </c>
      <c r="I9336" s="32" t="n">
        <f aca="false">(Sens!$H$9330+Sens!$I$9330)/2</f>
        <v>7268.6</v>
      </c>
      <c r="J9336" s="32" t="n">
        <f aca="false">(Sens!$I$9330+Sens!$J$9330)/2</f>
        <v>10902.9</v>
      </c>
      <c r="K9336" s="32" t="n">
        <f aca="false">(Sens!$J$9330+Sens!$K$9330)/2</f>
        <v>14005.4835833333</v>
      </c>
      <c r="L9336" s="32" t="n">
        <f aca="false">(Sens!$K$9330+Sens!$L$9330)/2</f>
        <v>16044.6343333333</v>
      </c>
      <c r="M9336" s="32" t="n">
        <f aca="false">(Sens!$L$9330+Sens!$M$9330)/2</f>
        <v>17020.35225</v>
      </c>
    </row>
    <row r="9337" customFormat="false" ht="17.15" hidden="false" customHeight="false" outlineLevel="0" collapsed="false">
      <c r="A9337" s="1" t="s">
        <v>615</v>
      </c>
    </row>
    <row r="9338" customFormat="false" ht="17.15" hidden="false" customHeight="false" outlineLevel="0" collapsed="false">
      <c r="A9338" s="1" t="s">
        <v>616</v>
      </c>
      <c r="B9338" s="8" t="s">
        <v>86</v>
      </c>
      <c r="C9338" s="38" t="n">
        <f aca="false">Sens!$C$9321*rpm_open*Sens!$C$9322/1000</f>
        <v>2.32100535697364</v>
      </c>
      <c r="D9338" s="38" t="n">
        <f aca="false">Sens!$D$9321*rpm_open*Sens!$D$9322/1000</f>
        <v>8.70377008865116</v>
      </c>
      <c r="E9338" s="38" t="n">
        <f aca="false">Sens!$E$9321*rpm_open*Sens!$E$9322/1000</f>
        <v>8.51035297557002</v>
      </c>
      <c r="F9338" s="38" t="n">
        <f aca="false">(mw_open*rpm_open+Sens!$F$9336*Sens!$F$9335)*Sens!$F$9322/1000</f>
        <v>14.9634336447205</v>
      </c>
      <c r="G9338" s="38" t="n">
        <f aca="false">Sens!$E$9338+Sens!$F$9338</f>
        <v>23.4737866202905</v>
      </c>
      <c r="H9338" s="38" t="n">
        <f aca="false">(mw_open*rpm_open+Sens!$H$9336*Sens!$H$9335)/1000</f>
        <v>60.1658907497746</v>
      </c>
      <c r="I9338" s="38" t="n">
        <f aca="false">(mw_open*rpm_open+Sens!$I$9336*Sens!$I$9335)/1000</f>
        <v>101.503699136432</v>
      </c>
      <c r="J9338" s="38" t="n">
        <f aca="false">(mw_open*rpm_open+Sens!$J$9336*Sens!$J$9335)/1000</f>
        <v>143.025407151278</v>
      </c>
      <c r="K9338" s="38" t="n">
        <f aca="false">(mw_open*rpm_open+Sens!$K$9336*Sens!$K$9335)/1000</f>
        <v>178.44812038318</v>
      </c>
      <c r="L9338" s="38" t="n">
        <f aca="false">(mw_open*rpm_open+Sens!$L$9336*Sens!$L$9335)/1000</f>
        <v>201.728101802396</v>
      </c>
      <c r="M9338" s="38" t="n">
        <f aca="false">(mw_open*rpm_open+Sens!$M$9336*Sens!$M$9335)/1000</f>
        <v>212.835441368865</v>
      </c>
      <c r="N9338" s="38" t="n">
        <f aca="false">Sens!$N$9321*rpm_open*Sens!$N$9322/1000</f>
        <v>3.04631953102791</v>
      </c>
      <c r="O9338" s="38" t="n">
        <f aca="false">Sens!$O$9321*rpm_open*Sens!$O$9322/1000</f>
        <v>5.65745055762326</v>
      </c>
      <c r="P9338" s="5" t="s">
        <v>617</v>
      </c>
    </row>
    <row r="9339" customFormat="false" ht="17.15" hidden="false" customHeight="false" outlineLevel="0" collapsed="false">
      <c r="A9339" s="5" t="s">
        <v>618</v>
      </c>
      <c r="B9339" s="0" t="s">
        <v>173</v>
      </c>
      <c r="C9339" s="36" t="n">
        <f aca="false">Sens!$C$9338*1000/(Sens!$C$9321*Sens!$C$9322)</f>
        <v>9.67085565405685</v>
      </c>
      <c r="D9339" s="36" t="n">
        <f aca="false">Sens!$D$9338*1000/(Sens!$D$9321*Sens!$D$9322)</f>
        <v>9.67085565405685</v>
      </c>
      <c r="E9339" s="36" t="n">
        <f aca="false">Sens!$E$9338*1000/(Sens!$E$9321*Sens!$E$9322)</f>
        <v>9.67085565405685</v>
      </c>
      <c r="F9339" s="36" t="n">
        <f aca="false">Sens!$F$9338*1000/(Sens!$F$9321*Sens!$F$9322)</f>
        <v>10.0137581588017</v>
      </c>
      <c r="G9339" s="36" t="n">
        <f aca="false">Sens!$G$9338*1000/(Sens!$G$9321*Sens!$G$9322)</f>
        <v>9.88666562928478</v>
      </c>
      <c r="H9339" s="36" t="n">
        <f aca="false">Sens!$H$9338*1000/(Sens!$H$9321*Sens!$H$9322)</f>
        <v>10.5290045586992</v>
      </c>
      <c r="I9339" s="36" t="n">
        <f aca="false">Sens!$I$9338*1000/(Sens!$I$9321*Sens!$I$9322)</f>
        <v>10.8576363451674</v>
      </c>
      <c r="J9339" s="36" t="n">
        <f aca="false">Sens!$J$9338*1000/(Sens!$J$9321*Sens!$J$9322)</f>
        <v>11.0164452588619</v>
      </c>
      <c r="K9339" s="36" t="n">
        <f aca="false">Sens!$K$9338*1000/(Sens!$K$9321*Sens!$K$9322)</f>
        <v>11.0937367508227</v>
      </c>
      <c r="L9339" s="36" t="n">
        <f aca="false">Sens!$L$9338*1000/(Sens!$L$9321*Sens!$L$9322)</f>
        <v>11.1300508519168</v>
      </c>
      <c r="M9339" s="36" t="n">
        <f aca="false">Sens!$M$9338*1000/(Sens!$M$9321*Sens!$M$9322)</f>
        <v>11.1430113216297</v>
      </c>
      <c r="N9339" s="36" t="n">
        <f aca="false">Sens!$N$9338*1000/(Sens!$N$9321*Sens!$N$9322)</f>
        <v>9.67085565405685</v>
      </c>
      <c r="O9339" s="36" t="n">
        <f aca="false">Sens!$O$9338*1000/(Sens!$O$9321*Sens!$O$9322)</f>
        <v>9.67085565405685</v>
      </c>
    </row>
    <row r="9340" customFormat="false" ht="17.15" hidden="false" customHeight="false" outlineLevel="0" collapsed="false">
      <c r="A9340" s="0" t="s">
        <v>619</v>
      </c>
      <c r="B9340" s="0" t="s">
        <v>86</v>
      </c>
      <c r="C9340" s="38" t="n">
        <f aca="false">Sens!$C$9321/ext_sh*(ox_open+rent_mw)*Sens!$C$9322/1000</f>
        <v>0.642569210675032</v>
      </c>
      <c r="D9340" s="38" t="n">
        <f aca="false">Sens!$D$9321/ext_sh*(ox_open+rent_mw)*Sens!$D$9322/1000</f>
        <v>2.40963454003137</v>
      </c>
      <c r="E9340" s="38" t="n">
        <f aca="false">Sens!$E$9321/ext_sh*(ox_open+rent_mw)*Sens!$E$9322/1000</f>
        <v>2.35608710580845</v>
      </c>
      <c r="F9340" s="38" t="n">
        <f aca="false">((mw_open*ox_open+Sens!$F$9336*Sens!$F$9334)/ext_sh+Sens!$F$9321/ext_sh*rent_mw)*Sens!$F$9322/1000</f>
        <v>4.05421991106232</v>
      </c>
      <c r="G9340" s="38" t="n">
        <f aca="false">Sens!$E$9340+Sens!$F$9340</f>
        <v>6.41030701687077</v>
      </c>
      <c r="H9340" s="38" t="n">
        <f aca="false">((mw_open*ox_open+Sens!$H$9336*Sens!$H$9334)/ext_sh+Sens!$H$9321/ext_sh*rent_mw)*Sens!$H$9322/1000</f>
        <v>15.8108975546616</v>
      </c>
      <c r="I9340" s="38" t="n">
        <f aca="false">((mw_open*ox_open+Sens!$I$9336*Sens!$I$9334)/ext_sh+Sens!$I$9321/ext_sh*rent_mw)*Sens!$I$9322/1000</f>
        <v>26.1871623400817</v>
      </c>
      <c r="J9340" s="38" t="n">
        <f aca="false">((mw_open*ox_open+Sens!$J$9336*Sens!$J$9334)/ext_sh+Sens!$J$9321/ext_sh*rent_mw)*Sens!$J$9322/1000</f>
        <v>36.5826128954935</v>
      </c>
      <c r="K9340" s="38" t="n">
        <f aca="false">((mw_open*ox_open+Sens!$K$9336*Sens!$K$9334)/ext_sh+Sens!$K$9321/ext_sh*rent_mw)*Sens!$K$9322/1000</f>
        <v>45.4546361137628</v>
      </c>
      <c r="L9340" s="38" t="n">
        <f aca="false">((mw_open*ox_open+Sens!$L$9336*Sens!$L$9334)/ext_sh+Sens!$L$9321/ext_sh*rent_mw)*Sens!$L$9322/1000</f>
        <v>51.2855695554452</v>
      </c>
      <c r="M9340" s="38" t="n">
        <f aca="false">((mw_open*ox_open+Sens!$M$9336*Sens!$M$9334)/ext_sh+Sens!$M$9321/ext_sh*rent_mw)*Sens!$M$9322/1000</f>
        <v>54.0722927838398</v>
      </c>
      <c r="N9340" s="38" t="n">
        <f aca="false">Sens!$N$9321/ext_sh*(ox_open+rent_mw)*Sens!$N$9322/1000</f>
        <v>0.84337208901098</v>
      </c>
      <c r="O9340" s="38" t="n">
        <f aca="false">Sens!$O$9321/ext_sh*(ox_open+rent_mw)*Sens!$O$9322/1000</f>
        <v>1.56626245102039</v>
      </c>
    </row>
    <row r="9341" customFormat="false" ht="17.15" hidden="false" customHeight="false" outlineLevel="0" collapsed="false">
      <c r="A9341" s="0" t="s">
        <v>620</v>
      </c>
      <c r="B9341" s="0" t="s">
        <v>86</v>
      </c>
      <c r="C9341" s="38" t="n">
        <f aca="false">Q!$D$7</f>
        <v>107.556</v>
      </c>
      <c r="D9341" s="38" t="n">
        <f aca="false">Q!$E$7</f>
        <v>128.725</v>
      </c>
      <c r="E9341" s="38" t="n">
        <f aca="false">Q!$P$7</f>
        <v>79.819</v>
      </c>
      <c r="N9341" s="38" t="n">
        <f aca="false">Q!$N$7</f>
        <v>60.14</v>
      </c>
      <c r="O9341" s="38" t="n">
        <f aca="false">Q!$O$7</f>
        <v>68.585</v>
      </c>
    </row>
    <row r="9342" customFormat="false" ht="17.15" hidden="false" customHeight="false" outlineLevel="0" collapsed="false">
      <c r="A9342" s="1" t="s">
        <v>621</v>
      </c>
      <c r="B9342" s="8" t="s">
        <v>86</v>
      </c>
      <c r="C9342" s="38" t="n">
        <f aca="false">Sens!$C$9341-Sens!$C$9338</f>
        <v>105.234994643026</v>
      </c>
      <c r="D9342" s="38" t="n">
        <f aca="false">Sens!$D$9341-Sens!$D$9338</f>
        <v>120.021229911349</v>
      </c>
      <c r="E9342" s="38" t="n">
        <f aca="false">Sens!$E$9341-Sens!$E$9338</f>
        <v>71.30864702443</v>
      </c>
      <c r="F9342" s="38" t="n">
        <f aca="false">Sens!$O$9342*(1+Sens!$F$9343)</f>
        <v>71.7692997942464</v>
      </c>
      <c r="G9342" s="38" t="n">
        <f aca="false">Sens!$E$9342+Sens!$F$9342</f>
        <v>143.077946818676</v>
      </c>
      <c r="H9342" s="38" t="n">
        <f aca="false">Sens!$G$9342*(1+Sens!$H$9343)</f>
        <v>161.017077079203</v>
      </c>
      <c r="I9342" s="38" t="n">
        <f aca="false">Sens!$H$9342*(1+Sens!$I$9343)</f>
        <v>178.769759521457</v>
      </c>
      <c r="J9342" s="38" t="n">
        <f aca="false">Sens!$I$9342*(1+Sens!$J$9343)</f>
        <v>195.775538045907</v>
      </c>
      <c r="K9342" s="38" t="n">
        <f aca="false">Sens!$J$9342*(1+Sens!$K$9343)</f>
        <v>211.43758108958</v>
      </c>
      <c r="L9342" s="38" t="n">
        <f aca="false">Sens!$K$9342*(1+Sens!$L$9343)</f>
        <v>228.352587576746</v>
      </c>
      <c r="M9342" s="38" t="n">
        <f aca="false">Sens!$L$9342*(1+Sens!$M$9343)</f>
        <v>246.620794582886</v>
      </c>
      <c r="N9342" s="38" t="n">
        <f aca="false">Sens!$N$9341-Sens!$N$9338</f>
        <v>57.0936804689721</v>
      </c>
      <c r="O9342" s="38" t="n">
        <f aca="false">Sens!$O$9341-Sens!$O$9338</f>
        <v>62.9275494423768</v>
      </c>
      <c r="P9342" s="5" t="s">
        <v>622</v>
      </c>
    </row>
    <row r="9343" customFormat="false" ht="17.15" hidden="false" customHeight="false" outlineLevel="0" collapsed="false">
      <c r="A9343" s="0" t="s">
        <v>623</v>
      </c>
      <c r="B9343" s="0" t="s">
        <v>52</v>
      </c>
      <c r="D9343" s="13" t="n">
        <f aca="false">Sens!$D$9342/Sens!$C$9342-1</f>
        <v>0.140506827776062</v>
      </c>
      <c r="E9343" s="13" t="n">
        <f aca="false">Sens!$E$9342/Sens!$N$9342-1</f>
        <v>0.248976181579029</v>
      </c>
      <c r="F9343" s="13" t="n">
        <f aca="false">Sens!$D$9343</f>
        <v>0.140506827776062</v>
      </c>
      <c r="G9343" s="13" t="n">
        <f aca="false">Sens!$G$9342/Sens!$D$9342-1</f>
        <v>0.19210532106993</v>
      </c>
      <c r="H9343" s="13" t="n">
        <f aca="false">Sens!$F$9343+(g_awso_lt-Sens!$F$9343)*1/4</f>
        <v>0.125380120832046</v>
      </c>
      <c r="I9343" s="13" t="n">
        <f aca="false">Sens!$F$9343+(g_awso_lt-Sens!$F$9343)*2/4</f>
        <v>0.110253413888031</v>
      </c>
      <c r="J9343" s="13" t="n">
        <f aca="false">Sens!$F$9343+(g_awso_lt-Sens!$F$9343)*3/4</f>
        <v>0.0951267069440154</v>
      </c>
      <c r="K9343" s="13" t="n">
        <f aca="false">Sens!$F$9343+(g_awso_lt-Sens!$F$9343)*4/4</f>
        <v>0.08</v>
      </c>
      <c r="L9343" s="13" t="n">
        <f aca="false">g_awso_lt</f>
        <v>0.08</v>
      </c>
      <c r="M9343" s="13" t="n">
        <f aca="false">g_awso_lt</f>
        <v>0.08</v>
      </c>
      <c r="P9343" s="5" t="s">
        <v>624</v>
      </c>
    </row>
    <row r="9344" customFormat="false" ht="17.15" hidden="false" customHeight="false" outlineLevel="0" collapsed="false">
      <c r="A9344" s="1" t="s">
        <v>625</v>
      </c>
    </row>
    <row r="9345" customFormat="false" ht="17.15" hidden="false" customHeight="false" outlineLevel="0" collapsed="false">
      <c r="A9345" s="0" t="s">
        <v>626</v>
      </c>
      <c r="B9345" s="0" t="s">
        <v>86</v>
      </c>
      <c r="F9345" s="38" t="n">
        <f aca="false">cx_rt*Sens!$F$9310+cx_awso*Sens!$F$9342</f>
        <v>34.9734495387866</v>
      </c>
    </row>
    <row r="9346" customFormat="false" ht="17.15" hidden="false" customHeight="false" outlineLevel="0" collapsed="false">
      <c r="A9346" s="0" t="s">
        <v>627</v>
      </c>
      <c r="B9346" s="0" t="s">
        <v>52</v>
      </c>
      <c r="C9346" s="13" t="n">
        <f aca="false">tk_cx_h100/(tk_cx_h100+tk_fac*(1-colo_sh))</f>
        <v>0.730756458006641</v>
      </c>
      <c r="D9346" s="13" t="n">
        <f aca="false">tk_cx_h100/(tk_cx_h100+tk_fac*(1-colo_sh))</f>
        <v>0.730756458006641</v>
      </c>
      <c r="E9346" s="13" t="n">
        <f aca="false">Sens!$F$9346</f>
        <v>0.760792334328868</v>
      </c>
      <c r="F9346" s="13" t="n">
        <f aca="false">Sens!$F$9329/(Sens!$F$9329+tk_fac*(1-colo_sh))</f>
        <v>0.760792334328868</v>
      </c>
      <c r="G9346" s="13" t="n">
        <f aca="false">Sens!$G$9329/(Sens!$G$9329+tk_fac*(1-colo_sh))</f>
        <v>0.760792334328868</v>
      </c>
      <c r="H9346" s="13" t="n">
        <f aca="false">Sens!$H$9329/(Sens!$H$9329+tk_fac*(1-colo_sh))</f>
        <v>0.768110668862996</v>
      </c>
      <c r="I9346" s="13" t="n">
        <f aca="false">Sens!$I$9329/(Sens!$I$9329+tk_fac*(1-colo_sh))</f>
        <v>0.77499450139483</v>
      </c>
      <c r="J9346" s="13" t="n">
        <f aca="false">Sens!$J$9329/(Sens!$J$9329+tk_fac*(1-colo_sh))</f>
        <v>0.77499450139483</v>
      </c>
      <c r="K9346" s="13" t="n">
        <f aca="false">Sens!$K$9329/(Sens!$K$9329+tk_fac*(1-colo_sh))</f>
        <v>0.77499450139483</v>
      </c>
      <c r="L9346" s="13" t="n">
        <f aca="false">Sens!$L$9329/(Sens!$L$9329+tk_fac*(1-colo_sh))</f>
        <v>0.77499450139483</v>
      </c>
      <c r="M9346" s="13" t="n">
        <f aca="false">Sens!$M$9329/(Sens!$M$9329+tk_fac*(1-colo_sh))</f>
        <v>0.77499450139483</v>
      </c>
    </row>
    <row r="9347" customFormat="false" ht="17.15" hidden="false" customHeight="false" outlineLevel="0" collapsed="false">
      <c r="A9347" s="1" t="s">
        <v>628</v>
      </c>
      <c r="B9347" s="8" t="s">
        <v>86</v>
      </c>
      <c r="C9347" s="38" t="n">
        <f aca="false">Q!$D$46-cx_rt*Q!$D$16-cx_awso*Sens!$C$9342</f>
        <v>25.2781053077374</v>
      </c>
      <c r="D9347" s="38" t="n">
        <f aca="false">Q!$E$46-cx_rt*Q!$E$16-cx_awso*Sens!$D$9342</f>
        <v>69.5686316310026</v>
      </c>
      <c r="E9347" s="38" t="n">
        <f aca="false">Q!$P$46-cx_rt*Q!$P$16-cx_awso*Sens!$E$9342</f>
        <v>64.1899206485108</v>
      </c>
      <c r="F9347" s="38" t="n">
        <f aca="false">MAX(Sens!$F$9324*(Sens!$F$9329+tk_fac*(1-colo_sh))/1000,capex_g26-Q!$P$46-Sens!$F$9345)</f>
        <v>96.2481299895</v>
      </c>
      <c r="G9347" s="38" t="n">
        <f aca="false">Sens!$E$9347+Sens!$F$9347</f>
        <v>160.438050638011</v>
      </c>
      <c r="H9347" s="38" t="n">
        <f aca="false">Sens!$H$9324*(Sens!$H$9329+tk_fac*(1-colo_sh))/1000+Sens!$H$9348</f>
        <v>198.57136494475</v>
      </c>
      <c r="I9347" s="38" t="n">
        <f aca="false">Sens!$I$9324*(Sens!$I$9329+tk_fac*(1-colo_sh))/1000+Sens!$I$9348</f>
        <v>204.6464699105</v>
      </c>
      <c r="J9347" s="38" t="n">
        <f aca="false">Sens!$J$9324*(Sens!$J$9329+tk_fac*(1-colo_sh))/1000+Sens!$J$9348</f>
        <v>209.8832381105</v>
      </c>
      <c r="K9347" s="38" t="n">
        <f aca="false">Sens!$K$9324*(Sens!$K$9329+tk_fac*(1-colo_sh))/1000+Sens!$K$9348</f>
        <v>155.238385275201</v>
      </c>
      <c r="L9347" s="38" t="n">
        <f aca="false">Sens!$L$9324*(Sens!$L$9329+tk_fac*(1-colo_sh))/1000+Sens!$L$9348</f>
        <v>132.014141639902</v>
      </c>
      <c r="M9347" s="38" t="n">
        <f aca="false">Sens!$M$9324*(Sens!$M$9329+tk_fac*(1-colo_sh))/1000+Sens!$M$9348</f>
        <v>132.230981659852</v>
      </c>
      <c r="P9347" s="5" t="s">
        <v>629</v>
      </c>
      <c r="R9347" s="38" t="n">
        <f aca="false">Q!$C$46-cx_rt*Q!$C$16-cx_awso*(Q!$C$7-mw_ye23/2*rpm_open/1000)</f>
        <v>1.50429979529945</v>
      </c>
      <c r="S9347" s="38" t="n">
        <f aca="false">Sens!$C$9347</f>
        <v>25.2781053077374</v>
      </c>
      <c r="T9347" s="38" t="n">
        <f aca="false">Sens!$D$9347</f>
        <v>69.5686316310026</v>
      </c>
      <c r="U9347" s="38" t="n">
        <f aca="false">Sens!$G$9347</f>
        <v>160.438050638011</v>
      </c>
      <c r="V9347" s="38" t="n">
        <f aca="false">Sens!$H$9347</f>
        <v>198.57136494475</v>
      </c>
      <c r="W9347" s="38" t="n">
        <f aca="false">Sens!$I$9347</f>
        <v>204.6464699105</v>
      </c>
      <c r="X9347" s="38" t="n">
        <f aca="false">Sens!$J$9347</f>
        <v>209.8832381105</v>
      </c>
      <c r="Y9347" s="38" t="n">
        <f aca="false">Sens!$K$9347</f>
        <v>155.238385275201</v>
      </c>
      <c r="Z9347" s="38" t="n">
        <f aca="false">Sens!$L$9347</f>
        <v>132.014141639902</v>
      </c>
      <c r="AA9347" s="38" t="n">
        <f aca="false">Sens!$M$9347</f>
        <v>132.230981659852</v>
      </c>
    </row>
    <row r="9348" customFormat="false" ht="17.15" hidden="false" customHeight="false" outlineLevel="0" collapsed="false">
      <c r="A9348" s="0" t="s">
        <v>630</v>
      </c>
      <c r="B9348" s="0" t="s">
        <v>86</v>
      </c>
      <c r="H9348" s="38" t="n">
        <f aca="false">SUMPRODUCT(--(Sens!$R$9317:$AA$9317=2027-tk_life),Sens!$R$9324:$AA$9324)*Sens!$H$9329/1000</f>
        <v>0</v>
      </c>
      <c r="I9348" s="38" t="n">
        <f aca="false">SUMPRODUCT(--(Sens!$R$9317:$AA$9317=2028-tk_life),Sens!$R$9324:$AA$9324)*Sens!$I$9329/1000</f>
        <v>0</v>
      </c>
      <c r="J9348" s="38" t="n">
        <f aca="false">SUMPRODUCT(--(Sens!$R$9317:$AA$9317=2029-tk_life),Sens!$R$9324:$AA$9324)*Sens!$J$9329/1000</f>
        <v>5.2367682</v>
      </c>
      <c r="K9348" s="38" t="n">
        <f aca="false">SUMPRODUCT(--(Sens!$R$9317:$AA$9317=2030-tk_life),Sens!$R$9324:$AA$9324)*Sens!$K$9329/1000</f>
        <v>10.4735364</v>
      </c>
      <c r="L9348" s="38" t="n">
        <f aca="false">SUMPRODUCT(--(Sens!$R$9317:$AA$9317=2031-tk_life),Sens!$R$9324:$AA$9324)*Sens!$L$9329/1000</f>
        <v>47.1309138</v>
      </c>
      <c r="M9348" s="38" t="n">
        <f aca="false">SUMPRODUCT(--(Sens!$R$9317:$AA$9317=2032-tk_life),Sens!$R$9324:$AA$9324)*Sens!$M$9329/1000</f>
        <v>107.22937485525</v>
      </c>
    </row>
    <row r="9349" customFormat="false" ht="17.15" hidden="false" customHeight="false" outlineLevel="0" collapsed="false">
      <c r="A9349" s="0" t="s">
        <v>631</v>
      </c>
      <c r="B9349" s="0" t="s">
        <v>86</v>
      </c>
      <c r="C9349" s="38" t="n">
        <f aca="false">MIN(Sens!$C$9347,Sens!$C$9324*(tk_cx_h100+tk_fac*(1-colo_sh))/1000)</f>
        <v>11.2938642</v>
      </c>
      <c r="D9349" s="38" t="n">
        <f aca="false">MIN(Sens!$D$9347,Sens!$D$9324*(tk_cx_h100+tk_fac*(1-colo_sh))/1000)</f>
        <v>50.8223889</v>
      </c>
      <c r="E9349" s="38" t="n">
        <f aca="false">MIN(Sens!$E$9347,Sens!$E$9324*(Sens!$F$9329+tk_fac*(1-colo_sh))/1000)</f>
        <v>33.8985792</v>
      </c>
      <c r="F9349" s="38" t="n">
        <f aca="false">Sens!$F$9347</f>
        <v>96.2481299895</v>
      </c>
      <c r="G9349" s="38" t="n">
        <f aca="false">Sens!$E$9349+Sens!$F$9349</f>
        <v>130.1467091895</v>
      </c>
      <c r="H9349" s="38" t="n">
        <f aca="false">Sens!$H$9347</f>
        <v>198.57136494475</v>
      </c>
      <c r="I9349" s="38" t="n">
        <f aca="false">Sens!$I$9347</f>
        <v>204.6464699105</v>
      </c>
      <c r="J9349" s="38" t="n">
        <f aca="false">Sens!$J$9347</f>
        <v>209.8832381105</v>
      </c>
      <c r="K9349" s="38" t="n">
        <f aca="false">Sens!$K$9347</f>
        <v>155.238385275201</v>
      </c>
      <c r="L9349" s="38" t="n">
        <f aca="false">Sens!$L$9347</f>
        <v>132.014141639902</v>
      </c>
      <c r="M9349" s="38" t="n">
        <f aca="false">Sens!$M$9347</f>
        <v>132.230981659852</v>
      </c>
      <c r="P9349" s="5" t="s">
        <v>632</v>
      </c>
      <c r="R9349" s="38" t="n">
        <f aca="false">MIN(Sens!$R$9347,Sens!$R$9324*(tk_cx_h100+tk_fac*(1-colo_sh))/1000)</f>
        <v>1.50429979529945</v>
      </c>
      <c r="S9349" s="38" t="n">
        <f aca="false">Sens!$C$9349</f>
        <v>11.2938642</v>
      </c>
      <c r="T9349" s="38" t="n">
        <f aca="false">Sens!$D$9349</f>
        <v>50.8223889</v>
      </c>
      <c r="U9349" s="38" t="n">
        <f aca="false">Sens!$G$9349</f>
        <v>130.1467091895</v>
      </c>
      <c r="V9349" s="38" t="n">
        <f aca="false">Sens!$H$9349</f>
        <v>198.57136494475</v>
      </c>
      <c r="W9349" s="38" t="n">
        <f aca="false">Sens!$I$9349</f>
        <v>204.6464699105</v>
      </c>
      <c r="X9349" s="38" t="n">
        <f aca="false">Sens!$J$9349</f>
        <v>209.8832381105</v>
      </c>
      <c r="Y9349" s="38" t="n">
        <f aca="false">Sens!$K$9349</f>
        <v>155.238385275201</v>
      </c>
      <c r="Z9349" s="38" t="n">
        <f aca="false">Sens!$L$9349</f>
        <v>132.014141639902</v>
      </c>
      <c r="AA9349" s="38" t="n">
        <f aca="false">Sens!$M$9349</f>
        <v>132.230981659852</v>
      </c>
    </row>
    <row r="9350" customFormat="false" ht="17.15" hidden="false" customHeight="false" outlineLevel="0" collapsed="false">
      <c r="A9350" s="5" t="s">
        <v>633</v>
      </c>
      <c r="B9350" s="0" t="s">
        <v>86</v>
      </c>
      <c r="C9350" s="38" t="n">
        <f aca="false">Sens!$C$9347-Sens!$C$9349</f>
        <v>13.9842411077374</v>
      </c>
      <c r="D9350" s="38" t="n">
        <f aca="false">Sens!$D$9347-Sens!$D$9349</f>
        <v>18.7462427310026</v>
      </c>
      <c r="E9350" s="38" t="n">
        <f aca="false">Sens!$E$9347-Sens!$E$9349</f>
        <v>30.2913414485108</v>
      </c>
      <c r="F9350" s="38" t="n">
        <f aca="false">Sens!$F$9347-Sens!$F$9349</f>
        <v>0</v>
      </c>
      <c r="G9350" s="38" t="n">
        <f aca="false">Sens!$G$9347-Sens!$G$9349</f>
        <v>30.2913414485108</v>
      </c>
      <c r="H9350" s="38" t="n">
        <f aca="false">Sens!$H$9347-Sens!$H$9349</f>
        <v>0</v>
      </c>
      <c r="I9350" s="38" t="n">
        <f aca="false">Sens!$I$9347-Sens!$I$9349</f>
        <v>0</v>
      </c>
      <c r="J9350" s="38" t="n">
        <f aca="false">Sens!$J$9347-Sens!$J$9349</f>
        <v>0</v>
      </c>
      <c r="K9350" s="38" t="n">
        <f aca="false">Sens!$K$9347-Sens!$K$9349</f>
        <v>0</v>
      </c>
      <c r="L9350" s="38" t="n">
        <f aca="false">Sens!$L$9347-Sens!$L$9349</f>
        <v>0</v>
      </c>
      <c r="M9350" s="38" t="n">
        <f aca="false">Sens!$M$9347-Sens!$M$9349</f>
        <v>0</v>
      </c>
    </row>
    <row r="9351" customFormat="false" ht="17.15" hidden="false" customHeight="false" outlineLevel="0" collapsed="false">
      <c r="A9351" s="5" t="s">
        <v>634</v>
      </c>
      <c r="B9351" s="0" t="s">
        <v>86</v>
      </c>
      <c r="C9351" s="38" t="n">
        <f aca="false">Sens!$C$9349*Sens!$C$9346</f>
        <v>8.2530642</v>
      </c>
      <c r="D9351" s="38" t="n">
        <f aca="false">Sens!$D$9349*Sens!$D$9346</f>
        <v>37.1387889</v>
      </c>
      <c r="E9351" s="38" t="n">
        <f aca="false">Sens!$E$9349*Sens!$E$9346</f>
        <v>25.7897792</v>
      </c>
      <c r="F9351" s="38" t="n">
        <f aca="false">Sens!$F$9349*Sens!$F$9346</f>
        <v>73.2248394895</v>
      </c>
      <c r="G9351" s="38" t="n">
        <f aca="false">Sens!$E$9351+Sens!$F$9351</f>
        <v>99.0146186895</v>
      </c>
      <c r="H9351" s="38" t="n">
        <f aca="false">(Sens!$H$9349-Sens!$H$9348)*Sens!$H$9346+Sens!$H$9348</f>
        <v>152.52478394475</v>
      </c>
      <c r="I9351" s="38" t="n">
        <f aca="false">(Sens!$I$9349-Sens!$I$9348)*Sens!$I$9346+Sens!$I$9348</f>
        <v>158.5998889105</v>
      </c>
      <c r="J9351" s="38" t="n">
        <f aca="false">(Sens!$J$9349-Sens!$J$9348)*Sens!$J$9346+Sens!$J$9348</f>
        <v>163.8366571105</v>
      </c>
      <c r="K9351" s="38" t="n">
        <f aca="false">(Sens!$K$9349-Sens!$K$9348)*Sens!$K$9346+Sens!$K$9348</f>
        <v>122.665498273534</v>
      </c>
      <c r="L9351" s="38" t="n">
        <f aca="false">(Sens!$L$9349-Sens!$L$9348)*Sens!$L$9346+Sens!$L$9348</f>
        <v>112.914948636568</v>
      </c>
      <c r="M9351" s="38" t="n">
        <f aca="false">(Sens!$M$9349-Sens!$M$9348)*Sens!$M$9346+Sens!$M$9348</f>
        <v>126.605482654852</v>
      </c>
      <c r="R9351" s="38" t="n">
        <f aca="false">Sens!$R$9349*Sens!$C$9346</f>
        <v>1.09927679019314</v>
      </c>
      <c r="S9351" s="38" t="n">
        <f aca="false">Sens!$C$9351</f>
        <v>8.2530642</v>
      </c>
      <c r="T9351" s="38" t="n">
        <f aca="false">Sens!$D$9351</f>
        <v>37.1387889</v>
      </c>
      <c r="U9351" s="38" t="n">
        <f aca="false">Sens!$G$9351</f>
        <v>99.0146186895</v>
      </c>
      <c r="V9351" s="38" t="n">
        <f aca="false">Sens!$H$9351</f>
        <v>152.52478394475</v>
      </c>
      <c r="W9351" s="38" t="n">
        <f aca="false">Sens!$I$9351</f>
        <v>158.5998889105</v>
      </c>
      <c r="X9351" s="38" t="n">
        <f aca="false">Sens!$J$9351</f>
        <v>163.8366571105</v>
      </c>
      <c r="Y9351" s="38" t="n">
        <f aca="false">Sens!$K$9351</f>
        <v>122.665498273534</v>
      </c>
      <c r="Z9351" s="38" t="n">
        <f aca="false">Sens!$L$9351</f>
        <v>112.914948636568</v>
      </c>
      <c r="AA9351" s="38" t="n">
        <f aca="false">Sens!$M$9351</f>
        <v>126.605482654852</v>
      </c>
    </row>
    <row r="9352" customFormat="false" ht="15" hidden="false" customHeight="false" outlineLevel="0" collapsed="false">
      <c r="A9352" s="5" t="s">
        <v>635</v>
      </c>
      <c r="B9352" s="0" t="s">
        <v>86</v>
      </c>
      <c r="C9352" s="38" t="n">
        <f aca="false">Sens!$C$9349-Sens!$C$9351</f>
        <v>3.0408</v>
      </c>
      <c r="D9352" s="38" t="n">
        <f aca="false">Sens!$D$9349-Sens!$D$9351</f>
        <v>13.6836</v>
      </c>
      <c r="E9352" s="38" t="n">
        <f aca="false">Sens!$E$9349-Sens!$E$9351</f>
        <v>8.1088</v>
      </c>
      <c r="F9352" s="38" t="n">
        <f aca="false">Sens!$F$9349-Sens!$F$9351</f>
        <v>23.0232905</v>
      </c>
      <c r="G9352" s="38" t="n">
        <f aca="false">Sens!$G$9349-Sens!$G$9351</f>
        <v>31.1320905</v>
      </c>
      <c r="H9352" s="38" t="n">
        <f aca="false">Sens!$H$9349-Sens!$H$9351</f>
        <v>46.046581</v>
      </c>
      <c r="I9352" s="38" t="n">
        <f aca="false">Sens!$I$9349-Sens!$I$9351</f>
        <v>46.046581</v>
      </c>
      <c r="J9352" s="38" t="n">
        <f aca="false">Sens!$J$9349-Sens!$J$9351</f>
        <v>46.046581</v>
      </c>
      <c r="K9352" s="38" t="n">
        <f aca="false">Sens!$K$9349-Sens!$K$9351</f>
        <v>32.5728870016667</v>
      </c>
      <c r="L9352" s="38" t="n">
        <f aca="false">Sens!$L$9349-Sens!$L$9351</f>
        <v>19.0991930033334</v>
      </c>
      <c r="M9352" s="38" t="n">
        <f aca="false">Sens!$M$9349-Sens!$M$9351</f>
        <v>5.62549900499998</v>
      </c>
      <c r="R9352" s="38" t="n">
        <f aca="false">Sens!$R$9349-Sens!$R$9351</f>
        <v>0.405023005106309</v>
      </c>
      <c r="S9352" s="38" t="n">
        <f aca="false">Sens!$S$9349-Sens!$S$9351</f>
        <v>3.0408</v>
      </c>
      <c r="T9352" s="38" t="n">
        <f aca="false">Sens!$T$9349-Sens!$T$9351</f>
        <v>13.6836</v>
      </c>
      <c r="U9352" s="38" t="n">
        <f aca="false">Sens!$U$9349-Sens!$U$9351</f>
        <v>31.1320905</v>
      </c>
      <c r="V9352" s="38" t="n">
        <f aca="false">Sens!$V$9349-Sens!$V$9351</f>
        <v>46.046581</v>
      </c>
      <c r="W9352" s="38" t="n">
        <f aca="false">Sens!$W$9349-Sens!$W$9351</f>
        <v>46.046581</v>
      </c>
      <c r="X9352" s="38" t="n">
        <f aca="false">Sens!$X$9349-Sens!$X$9351</f>
        <v>46.046581</v>
      </c>
      <c r="Y9352" s="38" t="n">
        <f aca="false">Sens!$Y$9349-Sens!$Y$9351</f>
        <v>32.5728870016667</v>
      </c>
      <c r="Z9352" s="38" t="n">
        <f aca="false">Sens!$Z$9349-Sens!$Z$9351</f>
        <v>19.0991930033334</v>
      </c>
      <c r="AA9352" s="38" t="n">
        <f aca="false">Sens!$AA$9349-Sens!$AA$9351</f>
        <v>5.62549900499998</v>
      </c>
    </row>
    <row r="9353" customFormat="false" ht="17.15" hidden="false" customHeight="false" outlineLevel="0" collapsed="false">
      <c r="A9353" s="0" t="s">
        <v>636</v>
      </c>
      <c r="B9353" s="0" t="s">
        <v>52</v>
      </c>
      <c r="C9353" s="13" t="n">
        <f aca="false">Sens!$C$9347/Sens!$C$9469</f>
        <v>0.325505489553393</v>
      </c>
      <c r="D9353" s="13" t="n">
        <f aca="false">Sens!$D$9347/Sens!$D$9469</f>
        <v>0.54214956071542</v>
      </c>
      <c r="E9353" s="13" t="n">
        <f aca="false">Sens!$E$9347/Sens!$E$9469</f>
        <v>0.666492790452817</v>
      </c>
      <c r="F9353" s="13" t="n">
        <f aca="false">Sens!$F$9347/Sens!$F$9469</f>
        <v>0.733477910687338</v>
      </c>
      <c r="G9353" s="13" t="n">
        <f aca="false">Sens!$G$9347/Sens!$G$9469</f>
        <v>0.705124321514523</v>
      </c>
      <c r="H9353" s="13" t="n">
        <f aca="false">Sens!$H$9347/Sens!$H$9469</f>
        <v>0.726376041178204</v>
      </c>
      <c r="I9353" s="13" t="n">
        <f aca="false">Sens!$I$9347/Sens!$I$9469</f>
        <v>0.713099092661699</v>
      </c>
      <c r="J9353" s="13" t="n">
        <f aca="false">Sens!$J$9347/Sens!$J$9469</f>
        <v>0.701208348786245</v>
      </c>
      <c r="K9353" s="13" t="n">
        <f aca="false">Sens!$K$9347/Sens!$K$9469</f>
        <v>0.618338844562383</v>
      </c>
      <c r="L9353" s="13" t="n">
        <f aca="false">Sens!$L$9347/Sens!$L$9469</f>
        <v>0.562489158462506</v>
      </c>
      <c r="M9353" s="13" t="n">
        <f aca="false">Sens!$M$9347/Sens!$M$9469</f>
        <v>0.545751190895923</v>
      </c>
    </row>
    <row r="9354" customFormat="false" ht="17.15" hidden="false" customHeight="false" outlineLevel="0" collapsed="false">
      <c r="A9354" s="0" t="s">
        <v>637</v>
      </c>
      <c r="B9354" s="0" t="s">
        <v>86</v>
      </c>
      <c r="C9354" s="38" t="n">
        <f aca="false">Sens!$S$9354</f>
        <v>0.183212798365523</v>
      </c>
      <c r="D9354" s="38" t="n">
        <f aca="false">Sens!$T$9354</f>
        <v>1.55872349836552</v>
      </c>
      <c r="E9354" s="38" t="n">
        <f aca="false">Sens!$G$9354/2</f>
        <v>3.87426082418276</v>
      </c>
      <c r="F9354" s="38" t="n">
        <f aca="false">Sens!$G$9354/2</f>
        <v>3.87426082418276</v>
      </c>
      <c r="G9354" s="38" t="n">
        <f aca="false">Sens!$U$9354</f>
        <v>7.74852164836552</v>
      </c>
      <c r="H9354" s="38" t="n">
        <f aca="false">Sens!$V$9354</f>
        <v>24.2509580966155</v>
      </c>
      <c r="I9354" s="38" t="n">
        <f aca="false">Sens!$W$9354</f>
        <v>49.6717554207405</v>
      </c>
      <c r="J9354" s="38" t="n">
        <f aca="false">Sens!$X$9354</f>
        <v>76.1050702391572</v>
      </c>
      <c r="K9354" s="38" t="n">
        <f aca="false">Sens!$Y$9354</f>
        <v>103.227966959208</v>
      </c>
      <c r="L9354" s="38" t="n">
        <f aca="false">Sens!$Z$9354</f>
        <v>122.296705971464</v>
      </c>
      <c r="M9354" s="38" t="n">
        <f aca="false">Sens!$AA$9354</f>
        <v>134.926065927559</v>
      </c>
      <c r="N9354" s="38" t="n">
        <f aca="false">Sens!$D$9354/2</f>
        <v>0.779361749182762</v>
      </c>
      <c r="O9354" s="38" t="n">
        <f aca="false">Sens!$D$9354/2</f>
        <v>0.779361749182762</v>
      </c>
      <c r="R9354" s="38" t="n">
        <f aca="false">SUMPRODUCT(--(Sens!$R$9317:$AA$9317&lt;Sens!R$9317),--(Sens!$R$9317:$AA$9317&gt;=Sens!R$9317-tk_life),Sens!$R$9351:$AA$9351)/tk_life</f>
        <v>0</v>
      </c>
      <c r="S9354" s="38" t="n">
        <f aca="false">SUMPRODUCT(--(Sens!$R$9317:$AA$9317&lt;Sens!S$9317),--(Sens!$R$9317:$AA$9317&gt;=Sens!S$9317-tk_life),Sens!$R$9351:$AA$9351)/tk_life</f>
        <v>0.183212798365523</v>
      </c>
      <c r="T9354" s="38" t="n">
        <f aca="false">SUMPRODUCT(--(Sens!$R$9317:$AA$9317&lt;Sens!T$9317),--(Sens!$R$9317:$AA$9317&gt;=Sens!T$9317-tk_life),Sens!$R$9351:$AA$9351)/tk_life</f>
        <v>1.55872349836552</v>
      </c>
      <c r="U9354" s="38" t="n">
        <f aca="false">SUMPRODUCT(--(Sens!$R$9317:$AA$9317&lt;Sens!U$9317),--(Sens!$R$9317:$AA$9317&gt;=Sens!U$9317-tk_life),Sens!$R$9351:$AA$9351)/tk_life</f>
        <v>7.74852164836552</v>
      </c>
      <c r="V9354" s="38" t="n">
        <f aca="false">SUMPRODUCT(--(Sens!$R$9317:$AA$9317&lt;Sens!V$9317),--(Sens!$R$9317:$AA$9317&gt;=Sens!V$9317-tk_life),Sens!$R$9351:$AA$9351)/tk_life</f>
        <v>24.2509580966155</v>
      </c>
      <c r="W9354" s="38" t="n">
        <f aca="false">SUMPRODUCT(--(Sens!$R$9317:$AA$9317&lt;Sens!W$9317),--(Sens!$R$9317:$AA$9317&gt;=Sens!W$9317-tk_life),Sens!$R$9351:$AA$9351)/tk_life</f>
        <v>49.6717554207405</v>
      </c>
      <c r="X9354" s="38" t="n">
        <f aca="false">SUMPRODUCT(--(Sens!$R$9317:$AA$9317&lt;Sens!X$9317),--(Sens!$R$9317:$AA$9317&gt;=Sens!X$9317-tk_life),Sens!$R$9351:$AA$9351)/tk_life</f>
        <v>76.1050702391572</v>
      </c>
      <c r="Y9354" s="38" t="n">
        <f aca="false">SUMPRODUCT(--(Sens!$R$9317:$AA$9317&lt;Sens!Y$9317),--(Sens!$R$9317:$AA$9317&gt;=Sens!Y$9317-tk_life),Sens!$R$9351:$AA$9351)/tk_life</f>
        <v>103.227966959208</v>
      </c>
      <c r="Z9354" s="38" t="n">
        <f aca="false">SUMPRODUCT(--(Sens!$R$9317:$AA$9317&lt;Sens!Z$9317),--(Sens!$R$9317:$AA$9317&gt;=Sens!Z$9317-tk_life),Sens!$R$9351:$AA$9351)/tk_life</f>
        <v>122.296705971464</v>
      </c>
      <c r="AA9354" s="38" t="n">
        <f aca="false">SUMPRODUCT(--(Sens!$R$9317:$AA$9317&lt;Sens!AA$9317),--(Sens!$R$9317:$AA$9317&gt;=Sens!AA$9317-tk_life),Sens!$R$9351:$AA$9351)/tk_life</f>
        <v>134.926065927559</v>
      </c>
    </row>
    <row r="9355" customFormat="false" ht="17.15" hidden="false" customHeight="false" outlineLevel="0" collapsed="false">
      <c r="A9355" s="0" t="s">
        <v>638</v>
      </c>
      <c r="B9355" s="0" t="s">
        <v>86</v>
      </c>
      <c r="C9355" s="38" t="n">
        <f aca="false">Sens!$S$9355</f>
        <v>0.0202511502553155</v>
      </c>
      <c r="D9355" s="38" t="n">
        <f aca="false">Sens!$T$9355</f>
        <v>0.172291150255315</v>
      </c>
      <c r="E9355" s="38" t="n">
        <f aca="false">Sens!$G$9355/2</f>
        <v>0.428235575127658</v>
      </c>
      <c r="F9355" s="38" t="n">
        <f aca="false">Sens!$G$9355/2</f>
        <v>0.428235575127658</v>
      </c>
      <c r="G9355" s="38" t="n">
        <f aca="false">Sens!$U$9355</f>
        <v>0.856471150255315</v>
      </c>
      <c r="H9355" s="38" t="n">
        <f aca="false">Sens!$V$9355</f>
        <v>2.41307567525532</v>
      </c>
      <c r="I9355" s="38" t="n">
        <f aca="false">Sens!$W$9355</f>
        <v>4.71540472525532</v>
      </c>
      <c r="J9355" s="38" t="n">
        <f aca="false">Sens!$X$9355</f>
        <v>7.01773377525532</v>
      </c>
      <c r="K9355" s="38" t="n">
        <f aca="false">Sens!$Y$9355</f>
        <v>9.32006282525532</v>
      </c>
      <c r="L9355" s="38" t="n">
        <f aca="false">Sens!$Z$9355</f>
        <v>10.9487071753387</v>
      </c>
      <c r="M9355" s="38" t="n">
        <f aca="false">Sens!$AA$9355</f>
        <v>11.9036668255053</v>
      </c>
      <c r="N9355" s="38" t="n">
        <f aca="false">Sens!$D$9355/2</f>
        <v>0.0861455751276577</v>
      </c>
      <c r="O9355" s="38" t="n">
        <f aca="false">Sens!$D$9355/2</f>
        <v>0.0861455751276577</v>
      </c>
      <c r="R9355" s="38" t="n">
        <f aca="false">SUMPRODUCT(--(Sens!$R$9317:$AA$9317&lt;Sens!R$9317),Sens!$R$9352:$AA$9352)/fac_life</f>
        <v>0</v>
      </c>
      <c r="S9355" s="38" t="n">
        <f aca="false">SUMPRODUCT(--(Sens!$R$9317:$AA$9317&lt;Sens!S$9317),Sens!$R$9352:$AA$9352)/fac_life</f>
        <v>0.0202511502553155</v>
      </c>
      <c r="T9355" s="38" t="n">
        <f aca="false">SUMPRODUCT(--(Sens!$R$9317:$AA$9317&lt;Sens!T$9317),Sens!$R$9352:$AA$9352)/fac_life</f>
        <v>0.172291150255315</v>
      </c>
      <c r="U9355" s="38" t="n">
        <f aca="false">SUMPRODUCT(--(Sens!$R$9317:$AA$9317&lt;Sens!U$9317),Sens!$R$9352:$AA$9352)/fac_life</f>
        <v>0.856471150255315</v>
      </c>
      <c r="V9355" s="38" t="n">
        <f aca="false">SUMPRODUCT(--(Sens!$R$9317:$AA$9317&lt;Sens!V$9317),Sens!$R$9352:$AA$9352)/fac_life</f>
        <v>2.41307567525532</v>
      </c>
      <c r="W9355" s="38" t="n">
        <f aca="false">SUMPRODUCT(--(Sens!$R$9317:$AA$9317&lt;Sens!W$9317),Sens!$R$9352:$AA$9352)/fac_life</f>
        <v>4.71540472525532</v>
      </c>
      <c r="X9355" s="38" t="n">
        <f aca="false">SUMPRODUCT(--(Sens!$R$9317:$AA$9317&lt;Sens!X$9317),Sens!$R$9352:$AA$9352)/fac_life</f>
        <v>7.01773377525532</v>
      </c>
      <c r="Y9355" s="38" t="n">
        <f aca="false">SUMPRODUCT(--(Sens!$R$9317:$AA$9317&lt;Sens!Y$9317),Sens!$R$9352:$AA$9352)/fac_life</f>
        <v>9.32006282525532</v>
      </c>
      <c r="Z9355" s="38" t="n">
        <f aca="false">SUMPRODUCT(--(Sens!$R$9317:$AA$9317&lt;Sens!Z$9317),Sens!$R$9352:$AA$9352)/fac_life</f>
        <v>10.9487071753387</v>
      </c>
      <c r="AA9355" s="38" t="n">
        <f aca="false">SUMPRODUCT(--(Sens!$R$9317:$AA$9317&lt;Sens!AA$9317),Sens!$R$9352:$AA$9352)/fac_life</f>
        <v>11.9036668255053</v>
      </c>
    </row>
    <row r="9356" customFormat="false" ht="17.15" hidden="false" customHeight="false" outlineLevel="0" collapsed="false">
      <c r="A9356" s="1" t="s">
        <v>639</v>
      </c>
      <c r="B9356" s="8" t="s">
        <v>86</v>
      </c>
      <c r="C9356" s="38" t="n">
        <f aca="false">Sens!$C$9354+Sens!$C$9355</f>
        <v>0.203463948620839</v>
      </c>
      <c r="D9356" s="38" t="n">
        <f aca="false">Sens!$D$9354+Sens!$D$9355</f>
        <v>1.73101464862084</v>
      </c>
      <c r="E9356" s="38" t="n">
        <f aca="false">Sens!$E$9354+Sens!$E$9355</f>
        <v>4.30249639931042</v>
      </c>
      <c r="F9356" s="38" t="n">
        <f aca="false">Sens!$F$9354+Sens!$F$9355</f>
        <v>4.30249639931042</v>
      </c>
      <c r="G9356" s="38" t="n">
        <f aca="false">Sens!$G$9354+Sens!$G$9355</f>
        <v>8.60499279862084</v>
      </c>
      <c r="H9356" s="38" t="n">
        <f aca="false">Sens!$H$9354+Sens!$H$9355</f>
        <v>26.6640337718708</v>
      </c>
      <c r="I9356" s="38" t="n">
        <f aca="false">Sens!$I$9354+Sens!$I$9355</f>
        <v>54.3871601459959</v>
      </c>
      <c r="J9356" s="38" t="n">
        <f aca="false">Sens!$J$9354+Sens!$J$9355</f>
        <v>83.1228040144125</v>
      </c>
      <c r="K9356" s="38" t="n">
        <f aca="false">Sens!$K$9354+Sens!$K$9355</f>
        <v>112.548029784464</v>
      </c>
      <c r="L9356" s="38" t="n">
        <f aca="false">Sens!$L$9354+Sens!$L$9355</f>
        <v>133.245413146803</v>
      </c>
      <c r="M9356" s="38" t="n">
        <f aca="false">Sens!$M$9354+Sens!$M$9355</f>
        <v>146.829732753064</v>
      </c>
      <c r="N9356" s="38" t="n">
        <f aca="false">Sens!$N$9354+Sens!$N$9355</f>
        <v>0.865507324310419</v>
      </c>
      <c r="O9356" s="38" t="n">
        <f aca="false">Sens!$O$9354+Sens!$O$9355</f>
        <v>0.865507324310419</v>
      </c>
      <c r="R9356" s="38" t="n">
        <f aca="false">Sens!$R$9354+Sens!$R$9355</f>
        <v>0</v>
      </c>
      <c r="S9356" s="38" t="n">
        <f aca="false">Sens!$S$9354+Sens!$S$9355</f>
        <v>0.203463948620839</v>
      </c>
      <c r="T9356" s="38" t="n">
        <f aca="false">Sens!$T$9354+Sens!$T$9355</f>
        <v>1.73101464862084</v>
      </c>
      <c r="U9356" s="38" t="n">
        <f aca="false">Sens!$U$9354+Sens!$U$9355</f>
        <v>8.60499279862084</v>
      </c>
      <c r="V9356" s="38" t="n">
        <f aca="false">Sens!$V$9354+Sens!$V$9355</f>
        <v>26.6640337718708</v>
      </c>
      <c r="W9356" s="38" t="n">
        <f aca="false">Sens!$W$9354+Sens!$W$9355</f>
        <v>54.3871601459959</v>
      </c>
      <c r="X9356" s="38" t="n">
        <f aca="false">Sens!$X$9354+Sens!$X$9355</f>
        <v>83.1228040144125</v>
      </c>
      <c r="Y9356" s="38" t="n">
        <f aca="false">Sens!$Y$9354+Sens!$Y$9355</f>
        <v>112.548029784464</v>
      </c>
      <c r="Z9356" s="38" t="n">
        <f aca="false">Sens!$Z$9354+Sens!$Z$9355</f>
        <v>133.245413146803</v>
      </c>
      <c r="AA9356" s="38" t="n">
        <f aca="false">Sens!$AA$9354+Sens!$AA$9355</f>
        <v>146.829732753064</v>
      </c>
    </row>
    <row r="9357" customFormat="false" ht="17.15" hidden="false" customHeight="false" outlineLevel="0" collapsed="false">
      <c r="A9357" s="0" t="s">
        <v>640</v>
      </c>
      <c r="B9357" s="0" t="s">
        <v>86</v>
      </c>
      <c r="C9357" s="38" t="n">
        <f aca="false">Sens!$S$9357</f>
        <v>12.5947000466786</v>
      </c>
      <c r="D9357" s="38" t="n">
        <f aca="false">Sens!$T$9357</f>
        <v>61.6860742980578</v>
      </c>
      <c r="G9357" s="38" t="n">
        <f aca="false">Sens!$U$9357</f>
        <v>183.227790688937</v>
      </c>
      <c r="H9357" s="38" t="n">
        <f aca="false">Sens!$V$9357</f>
        <v>355.135121861816</v>
      </c>
      <c r="I9357" s="38" t="n">
        <f aca="false">Sens!$W$9357</f>
        <v>505.39443162632</v>
      </c>
      <c r="J9357" s="38" t="n">
        <f aca="false">Sens!$X$9357</f>
        <v>632.154865722408</v>
      </c>
      <c r="K9357" s="38" t="n">
        <f aca="false">Sens!$Y$9357</f>
        <v>674.845221213145</v>
      </c>
      <c r="L9357" s="38" t="n">
        <f aca="false">Sens!$Z$9357</f>
        <v>673.613949706244</v>
      </c>
      <c r="M9357" s="38" t="n">
        <f aca="false">Sens!$AA$9357</f>
        <v>659.015198613032</v>
      </c>
      <c r="R9357" s="38" t="n">
        <f aca="false">SUM(Sens!$R$9349:$R$9349)-SUM(Sens!$R$9356:$R$9356)</f>
        <v>1.50429979529945</v>
      </c>
      <c r="S9357" s="38" t="n">
        <f aca="false">SUM(Sens!$R$9349:$S$9349)-SUM(Sens!$R$9356:$S$9356)</f>
        <v>12.5947000466786</v>
      </c>
      <c r="T9357" s="38" t="n">
        <f aca="false">SUM(Sens!$R$9349:$T$9349)-SUM(Sens!$R$9356:$T$9356)</f>
        <v>61.6860742980578</v>
      </c>
      <c r="U9357" s="38" t="n">
        <f aca="false">SUM(Sens!$R$9349:$U$9349)-SUM(Sens!$R$9356:$U$9356)</f>
        <v>183.227790688937</v>
      </c>
      <c r="V9357" s="38" t="n">
        <f aca="false">SUM(Sens!$R$9349:$V$9349)-SUM(Sens!$R$9356:$V$9356)</f>
        <v>355.135121861816</v>
      </c>
      <c r="W9357" s="38" t="n">
        <f aca="false">SUM(Sens!$R$9349:$W$9349)-SUM(Sens!$R$9356:$W$9356)</f>
        <v>505.39443162632</v>
      </c>
      <c r="X9357" s="38" t="n">
        <f aca="false">SUM(Sens!$R$9349:$X$9349)-SUM(Sens!$R$9356:$X$9356)</f>
        <v>632.154865722408</v>
      </c>
      <c r="Y9357" s="38" t="n">
        <f aca="false">SUM(Sens!$R$9349:$Y$9349)-SUM(Sens!$R$9356:$Y$9356)</f>
        <v>674.845221213145</v>
      </c>
      <c r="Z9357" s="38" t="n">
        <f aca="false">SUM(Sens!$R$9349:$Z$9349)-SUM(Sens!$R$9356:$Z$9356)</f>
        <v>673.613949706244</v>
      </c>
      <c r="AA9357" s="38" t="n">
        <f aca="false">SUM(Sens!$R$9349:$AA$9349)-SUM(Sens!$R$9356:$AA$9356)</f>
        <v>659.015198613032</v>
      </c>
    </row>
    <row r="9358" customFormat="false" ht="17.15" hidden="false" customHeight="false" outlineLevel="0" collapsed="false">
      <c r="A9358" s="1" t="s">
        <v>641</v>
      </c>
    </row>
    <row r="9359" customFormat="false" ht="17.15" hidden="false" customHeight="false" outlineLevel="0" collapsed="false">
      <c r="A9359" s="0" t="s">
        <v>642</v>
      </c>
      <c r="B9359" s="0" t="s">
        <v>86</v>
      </c>
      <c r="C9359" s="38" t="n">
        <f aca="false">Sens!$C$9338-ext_sh*Sens!$C$9340</f>
        <v>1.80694998843362</v>
      </c>
      <c r="D9359" s="38" t="n">
        <f aca="false">Sens!$D$9338-ext_sh*Sens!$D$9340</f>
        <v>6.77606245662607</v>
      </c>
      <c r="E9359" s="38" t="n">
        <f aca="false">Sens!$E$9338-ext_sh*Sens!$E$9340</f>
        <v>6.62548329092326</v>
      </c>
      <c r="F9359" s="38" t="n">
        <f aca="false">Sens!$F$9338-ext_sh*Sens!$F$9340</f>
        <v>11.7200577158706</v>
      </c>
      <c r="G9359" s="38" t="n">
        <f aca="false">Sens!$G$9338-ext_sh*Sens!$G$9340</f>
        <v>18.3455410067939</v>
      </c>
      <c r="H9359" s="38" t="n">
        <f aca="false">Sens!$H$9338-ext_sh*Sens!$H$9340</f>
        <v>47.5171727060453</v>
      </c>
      <c r="I9359" s="38" t="n">
        <f aca="false">Sens!$I$9338-ext_sh*Sens!$I$9340</f>
        <v>80.5539692643667</v>
      </c>
      <c r="J9359" s="38" t="n">
        <f aca="false">Sens!$J$9338-ext_sh*Sens!$J$9340</f>
        <v>113.759316834883</v>
      </c>
      <c r="K9359" s="38" t="n">
        <f aca="false">Sens!$K$9338-ext_sh*Sens!$K$9340</f>
        <v>142.084411492169</v>
      </c>
      <c r="L9359" s="38" t="n">
        <f aca="false">Sens!$L$9338-ext_sh*Sens!$L$9340</f>
        <v>160.69964615804</v>
      </c>
      <c r="M9359" s="38" t="n">
        <f aca="false">Sens!$M$9338-ext_sh*Sens!$M$9340</f>
        <v>169.577607141793</v>
      </c>
      <c r="N9359" s="38" t="n">
        <f aca="false">Sens!$N$9338-ext_sh*Sens!$N$9340</f>
        <v>2.37162185981912</v>
      </c>
      <c r="O9359" s="38" t="n">
        <f aca="false">Sens!$O$9338-ext_sh*Sens!$O$9340</f>
        <v>4.40444059680694</v>
      </c>
    </row>
    <row r="9360" customFormat="false" ht="17.15" hidden="false" customHeight="false" outlineLevel="0" collapsed="false">
      <c r="A9360" s="1" t="s">
        <v>643</v>
      </c>
      <c r="B9360" s="8" t="s">
        <v>86</v>
      </c>
      <c r="C9360" s="38" t="n">
        <f aca="false">Sens!$C$9359-ext_sh*Sens!$C$9356</f>
        <v>1.64417882953695</v>
      </c>
      <c r="D9360" s="38" t="n">
        <f aca="false">Sens!$D$9359-ext_sh*Sens!$D$9356</f>
        <v>5.39125073772939</v>
      </c>
      <c r="E9360" s="38" t="n">
        <f aca="false">Sens!$E$9359-ext_sh*Sens!$E$9356</f>
        <v>3.18348617147493</v>
      </c>
      <c r="F9360" s="38" t="n">
        <f aca="false">Sens!$F$9359-ext_sh*Sens!$F$9356</f>
        <v>8.27806059642226</v>
      </c>
      <c r="G9360" s="38" t="n">
        <f aca="false">Sens!$G$9359-ext_sh*Sens!$G$9356</f>
        <v>11.4615467678972</v>
      </c>
      <c r="H9360" s="38" t="n">
        <f aca="false">Sens!$H$9359-ext_sh*Sens!$H$9356</f>
        <v>26.1859456885487</v>
      </c>
      <c r="I9360" s="38" t="n">
        <f aca="false">Sens!$I$9359-ext_sh*Sens!$I$9356</f>
        <v>37.04424114757</v>
      </c>
      <c r="J9360" s="38" t="n">
        <f aca="false">Sens!$J$9359-ext_sh*Sens!$J$9356</f>
        <v>47.2610736233534</v>
      </c>
      <c r="K9360" s="38" t="n">
        <f aca="false">Sens!$K$9359-ext_sh*Sens!$K$9356</f>
        <v>52.0459876645985</v>
      </c>
      <c r="L9360" s="38" t="n">
        <f aca="false">Sens!$L$9359-ext_sh*Sens!$L$9356</f>
        <v>54.1033156405981</v>
      </c>
      <c r="M9360" s="38" t="n">
        <f aca="false">Sens!$M$9359-ext_sh*Sens!$M$9356</f>
        <v>52.1138209393421</v>
      </c>
      <c r="N9360" s="38" t="n">
        <f aca="false">Sens!$N$9359-ext_sh*Sens!$N$9356</f>
        <v>1.67921600037079</v>
      </c>
      <c r="O9360" s="38" t="n">
        <f aca="false">Sens!$O$9359-ext_sh*Sens!$O$9356</f>
        <v>3.71203473735861</v>
      </c>
    </row>
    <row r="9361" customFormat="false" ht="17.15" hidden="false" customHeight="false" outlineLevel="0" collapsed="false">
      <c r="A9361" s="0" t="s">
        <v>644</v>
      </c>
      <c r="B9361" s="0" t="s">
        <v>52</v>
      </c>
      <c r="C9361" s="13" t="n">
        <f aca="false">Sens!$C$9360/Sens!$C$9338</f>
        <v>0.708390794789371</v>
      </c>
      <c r="D9361" s="13" t="n">
        <f aca="false">Sens!$D$9360/Sens!$D$9338</f>
        <v>0.619415573115729</v>
      </c>
      <c r="E9361" s="13" t="n">
        <f aca="false">Sens!$E$9360/Sens!$E$9338</f>
        <v>0.374072166056273</v>
      </c>
      <c r="F9361" s="13" t="n">
        <f aca="false">Sens!$F$9360/Sens!$F$9338</f>
        <v>0.553219320710057</v>
      </c>
      <c r="G9361" s="13" t="n">
        <f aca="false">Sens!$G$9360/Sens!$G$9338</f>
        <v>0.488270041527512</v>
      </c>
      <c r="H9361" s="13" t="n">
        <f aca="false">Sens!$H$9360/Sens!$H$9338</f>
        <v>0.435229086816882</v>
      </c>
      <c r="I9361" s="13" t="n">
        <f aca="false">Sens!$I$9360/Sens!$I$9338</f>
        <v>0.364954592421095</v>
      </c>
      <c r="J9361" s="13" t="n">
        <f aca="false">Sens!$J$9360/Sens!$J$9338</f>
        <v>0.330438308582232</v>
      </c>
      <c r="K9361" s="13" t="n">
        <f aca="false">Sens!$K$9360/Sens!$K$9338</f>
        <v>0.2916589289528</v>
      </c>
      <c r="L9361" s="13" t="n">
        <f aca="false">Sens!$L$9360/Sens!$L$9338</f>
        <v>0.268199200593258</v>
      </c>
      <c r="M9361" s="13" t="n">
        <f aca="false">Sens!$M$9360/Sens!$M$9338</f>
        <v>0.244854995033574</v>
      </c>
      <c r="N9361" s="13" t="n">
        <f aca="false">Sens!$N$9360/Sens!$N$9338</f>
        <v>0.551227795793364</v>
      </c>
      <c r="O9361" s="13" t="n">
        <f aca="false">Sens!$O$9360/Sens!$O$9338</f>
        <v>0.656132068597002</v>
      </c>
    </row>
    <row r="9362" customFormat="false" ht="17.15" hidden="false" customHeight="false" outlineLevel="0" collapsed="false">
      <c r="A9362" s="5" t="s">
        <v>645</v>
      </c>
      <c r="B9362" s="0" t="s">
        <v>86</v>
      </c>
      <c r="C9362" s="39" t="n">
        <v>0</v>
      </c>
      <c r="D9362" s="39" t="n">
        <v>0</v>
      </c>
      <c r="E9362" s="39" t="n">
        <v>0</v>
      </c>
      <c r="F9362" s="38" t="n">
        <f aca="false">IF(internal_ai_reading=2,1,0)*(1-ext_sh)/ext_sh*(mw_open*he_open+Sens!$F$9336*Sens!$F$9333)*Sens!$F$9322/1000</f>
        <v>3.77122048175818</v>
      </c>
      <c r="G9362" s="38" t="n">
        <f aca="false">Sens!$E$9362+Sens!$F$9362</f>
        <v>3.77122048175818</v>
      </c>
      <c r="H9362" s="38" t="n">
        <f aca="false">IF(internal_ai_reading=2,1,0)*(1-ext_sh)/ext_sh*(mw_open*he_open+Sens!$H$9336*Sens!$H$9333)*Sens!$H$9322/1000</f>
        <v>15.1635543609893</v>
      </c>
      <c r="I9362" s="38" t="n">
        <f aca="false">IF(internal_ai_reading=2,1,0)*(1-ext_sh)/ext_sh*(mw_open*he_open+Sens!$I$9336*Sens!$I$9333)*Sens!$I$9322/1000</f>
        <v>25.5818843619889</v>
      </c>
      <c r="J9362" s="38" t="n">
        <f aca="false">IF(internal_ai_reading=2,1,0)*(1-ext_sh)/ext_sh*(mw_open*he_open+Sens!$J$9336*Sens!$J$9333)*Sens!$J$9322/1000</f>
        <v>36.0465624179122</v>
      </c>
      <c r="K9362" s="38" t="n">
        <f aca="false">IF(internal_ai_reading=2,1,0)*(1-ext_sh)/ext_sh*(mw_open*he_open+Sens!$K$9336*Sens!$K$9333)*Sens!$K$9322/1000</f>
        <v>44.9741164026038</v>
      </c>
      <c r="L9362" s="38" t="n">
        <f aca="false">IF(internal_ai_reading=2,1,0)*(1-ext_sh)/ext_sh*(mw_open*he_open+Sens!$L$9336*Sens!$L$9333)*Sens!$L$9322/1000</f>
        <v>50.8413488057813</v>
      </c>
      <c r="M9362" s="38" t="n">
        <f aca="false">IF(internal_ai_reading=2,1,0)*(1-ext_sh)/ext_sh*(mw_open*he_open+Sens!$M$9336*Sens!$M$9333)*Sens!$M$9322/1000</f>
        <v>53.6407214274315</v>
      </c>
      <c r="N9362" s="39" t="n">
        <v>0</v>
      </c>
      <c r="O9362" s="39" t="n">
        <v>0</v>
      </c>
      <c r="P9362" s="8" t="s">
        <v>646</v>
      </c>
    </row>
    <row r="9363" customFormat="false" ht="17.15" hidden="false" customHeight="false" outlineLevel="0" collapsed="false">
      <c r="A9363" s="5" t="s">
        <v>647</v>
      </c>
      <c r="B9363" s="0" t="s">
        <v>86</v>
      </c>
      <c r="C9363" s="38" t="n">
        <f aca="false">(1-ext_sh)*(Sens!$C$9340+Sens!$C$9356)</f>
        <v>0.169206631859174</v>
      </c>
      <c r="D9363" s="38" t="n">
        <f aca="false">(1-ext_sh)*(Sens!$D$9340+Sens!$D$9356)</f>
        <v>0.828129837730442</v>
      </c>
      <c r="E9363" s="38" t="n">
        <f aca="false">(1-ext_sh)*(Sens!$E$9340+Sens!$E$9356)</f>
        <v>1.33171670102377</v>
      </c>
      <c r="F9363" s="38" t="n">
        <f aca="false">(1-ext_sh)*(Sens!$F$9340+Sens!$F$9356)</f>
        <v>1.67134326207455</v>
      </c>
      <c r="G9363" s="38" t="n">
        <f aca="false">(1-ext_sh)*(Sens!$G$9340+Sens!$G$9356)</f>
        <v>3.00305996309832</v>
      </c>
      <c r="H9363" s="38" t="n">
        <f aca="false">(1-ext_sh)*(Sens!$H$9340+Sens!$H$9356)</f>
        <v>8.49498626530648</v>
      </c>
      <c r="I9363" s="38" t="n">
        <f aca="false">(1-ext_sh)*(Sens!$I$9340+Sens!$I$9356)</f>
        <v>16.1148644972155</v>
      </c>
      <c r="J9363" s="38" t="n">
        <f aca="false">(1-ext_sh)*(Sens!$J$9340+Sens!$J$9356)</f>
        <v>23.9410833819812</v>
      </c>
      <c r="K9363" s="38" t="n">
        <f aca="false">(1-ext_sh)*(Sens!$K$9340+Sens!$K$9356)</f>
        <v>31.6005331796453</v>
      </c>
      <c r="L9363" s="38" t="n">
        <f aca="false">(1-ext_sh)*(Sens!$L$9340+Sens!$L$9356)</f>
        <v>36.9061965404496</v>
      </c>
      <c r="M9363" s="38" t="n">
        <f aca="false">(1-ext_sh)*(Sens!$M$9340+Sens!$M$9356)</f>
        <v>40.1804051073808</v>
      </c>
      <c r="N9363" s="38" t="n">
        <f aca="false">(1-ext_sh)*(Sens!$N$9340+Sens!$N$9356)</f>
        <v>0.34177588266428</v>
      </c>
      <c r="O9363" s="38" t="n">
        <f aca="false">(1-ext_sh)*(Sens!$O$9340+Sens!$O$9356)</f>
        <v>0.486353955066162</v>
      </c>
    </row>
    <row r="9364" customFormat="false" ht="17.15" hidden="false" customHeight="false" outlineLevel="0" collapsed="false">
      <c r="A9364" s="0" t="s">
        <v>648</v>
      </c>
      <c r="B9364" s="0" t="s">
        <v>86</v>
      </c>
      <c r="C9364" s="38" t="n">
        <f aca="false">Q!$D$24</f>
        <v>39.834</v>
      </c>
      <c r="D9364" s="38" t="n">
        <f aca="false">Q!$E$24</f>
        <v>45.606</v>
      </c>
      <c r="E9364" s="38" t="n">
        <f aca="false">Q!$P$24</f>
        <v>30.782</v>
      </c>
      <c r="N9364" s="38" t="n">
        <f aca="false">Q!$N$24</f>
        <v>21.707</v>
      </c>
      <c r="O9364" s="38" t="n">
        <f aca="false">Q!$O$24</f>
        <v>23.899</v>
      </c>
    </row>
    <row r="9365" customFormat="false" ht="17.15" hidden="false" customHeight="false" outlineLevel="0" collapsed="false">
      <c r="A9365" s="0" t="s">
        <v>649</v>
      </c>
      <c r="B9365" s="0" t="s">
        <v>86</v>
      </c>
      <c r="C9365" s="38" t="n">
        <f aca="false">Sens!$C$9364-Sens!$C$9360</f>
        <v>38.1898211704631</v>
      </c>
      <c r="D9365" s="38" t="n">
        <f aca="false">Sens!$D$9364-Sens!$D$9360</f>
        <v>40.2147492622706</v>
      </c>
      <c r="E9365" s="38" t="n">
        <f aca="false">Sens!$E$9364-Sens!$E$9360</f>
        <v>27.5985138285251</v>
      </c>
      <c r="F9365" s="38" t="n">
        <f aca="false">Sens!$F$9342*Sens!$F$9366</f>
        <v>25.5484769754606</v>
      </c>
      <c r="G9365" s="38" t="n">
        <f aca="false">Sens!$E$9365+Sens!$F$9365</f>
        <v>53.1469908039857</v>
      </c>
      <c r="H9365" s="38" t="n">
        <f aca="false">Sens!$H$9342*Sens!$H$9366</f>
        <v>57.3189525076539</v>
      </c>
      <c r="I9365" s="38" t="n">
        <f aca="false">Sens!$I$9342*Sens!$I$9366</f>
        <v>63.6385627021087</v>
      </c>
      <c r="J9365" s="38" t="n">
        <f aca="false">Sens!$J$9342*Sens!$J$9366</f>
        <v>69.6922896066105</v>
      </c>
      <c r="K9365" s="38" t="n">
        <f aca="false">Sens!$K$9342*Sens!$K$9366</f>
        <v>75.2676727751394</v>
      </c>
      <c r="L9365" s="38" t="n">
        <f aca="false">Sens!$L$9342*Sens!$L$9366</f>
        <v>81.2890865971505</v>
      </c>
      <c r="M9365" s="38" t="n">
        <f aca="false">Sens!$M$9342*Sens!$M$9366</f>
        <v>87.7922135249226</v>
      </c>
      <c r="N9365" s="38" t="n">
        <f aca="false">Sens!$N$9364-Sens!$N$9360</f>
        <v>20.0277839996292</v>
      </c>
      <c r="O9365" s="38" t="n">
        <f aca="false">Sens!$O$9364-Sens!$O$9360</f>
        <v>20.1869652626414</v>
      </c>
      <c r="P9365" s="5" t="s">
        <v>650</v>
      </c>
    </row>
    <row r="9366" customFormat="false" ht="17.15" hidden="false" customHeight="false" outlineLevel="0" collapsed="false">
      <c r="A9366" s="0" t="s">
        <v>651</v>
      </c>
      <c r="B9366" s="0" t="s">
        <v>52</v>
      </c>
      <c r="C9366" s="13" t="n">
        <f aca="false">Sens!$C$9365/Sens!$C$9342</f>
        <v>0.362900395443635</v>
      </c>
      <c r="D9366" s="13" t="n">
        <f aca="false">Sens!$D$9365/Sens!$D$9342</f>
        <v>0.335063632425483</v>
      </c>
      <c r="E9366" s="13" t="n">
        <f aca="false">Sens!$E$9365/Sens!$E$9342</f>
        <v>0.387028992698038</v>
      </c>
      <c r="F9366" s="13" t="n">
        <f aca="false">(Sens!$O$9365+Sens!$E$9365)/(Sens!$O$9342+Sens!$E$9342)</f>
        <v>0.355980580118587</v>
      </c>
      <c r="G9366" s="13" t="n">
        <f aca="false">Sens!$G$9365/Sens!$G$9342</f>
        <v>0.371454804780916</v>
      </c>
      <c r="H9366" s="13" t="n">
        <f aca="false">Sens!$F$9366</f>
        <v>0.355980580118587</v>
      </c>
      <c r="I9366" s="13" t="n">
        <f aca="false">Sens!$F$9366</f>
        <v>0.355980580118587</v>
      </c>
      <c r="J9366" s="13" t="n">
        <f aca="false">Sens!$F$9366</f>
        <v>0.355980580118587</v>
      </c>
      <c r="K9366" s="13" t="n">
        <f aca="false">Sens!$F$9366</f>
        <v>0.355980580118587</v>
      </c>
      <c r="L9366" s="13" t="n">
        <f aca="false">Sens!$F$9366</f>
        <v>0.355980580118587</v>
      </c>
      <c r="M9366" s="13" t="n">
        <f aca="false">Sens!$F$9366</f>
        <v>0.355980580118587</v>
      </c>
      <c r="N9366" s="13" t="n">
        <f aca="false">Sens!$N$9365/Sens!$N$9342</f>
        <v>0.35078810535806</v>
      </c>
      <c r="O9366" s="13" t="n">
        <f aca="false">Sens!$O$9365/Sens!$O$9342</f>
        <v>0.320796939361619</v>
      </c>
      <c r="P9366" s="8" t="s">
        <v>652</v>
      </c>
    </row>
    <row r="9367" customFormat="false" ht="17.15" hidden="false" customHeight="false" outlineLevel="0" collapsed="false">
      <c r="A9367" s="0" t="s">
        <v>653</v>
      </c>
      <c r="B9367" s="0" t="s">
        <v>52</v>
      </c>
      <c r="D9367" s="13" t="n">
        <f aca="false">(Q!$E$31-ext_sh*Sens!$D$9356)/Sens!$D$9342</f>
        <v>0.167180325480118</v>
      </c>
    </row>
    <row r="9368" customFormat="false" ht="17.15" hidden="false" customHeight="false" outlineLevel="0" collapsed="false">
      <c r="A9368" s="0" t="s">
        <v>654</v>
      </c>
      <c r="B9368" s="0" t="s">
        <v>86</v>
      </c>
      <c r="C9368" s="38" t="n">
        <f aca="false">Q!$D$31</f>
        <v>13.32</v>
      </c>
      <c r="D9368" s="38" t="n">
        <f aca="false">Q!$E$31</f>
        <v>21.45</v>
      </c>
      <c r="E9368" s="38" t="n">
        <f aca="false">Q!$P$31</f>
        <v>15.353</v>
      </c>
      <c r="F9368" s="38" t="n">
        <f aca="false">ext_sh*Sens!$F$9356+Sens!$D$9367*Sens!$F$9342</f>
        <v>15.4404120185306</v>
      </c>
      <c r="G9368" s="38" t="n">
        <f aca="false">Sens!$E$9368+Sens!$F$9368</f>
        <v>30.7934120185306</v>
      </c>
      <c r="H9368" s="38" t="n">
        <f aca="false">ext_sh*Sens!$H$9356+Sens!$D$9367*Sens!$H$9342</f>
        <v>48.250114371455</v>
      </c>
      <c r="I9368" s="38" t="n">
        <f aca="false">ext_sh*Sens!$I$9356+Sens!$D$9367*Sens!$I$9342</f>
        <v>73.3965146995963</v>
      </c>
      <c r="J9368" s="38" t="n">
        <f aca="false">ext_sh*Sens!$J$9356+Sens!$D$9367*Sens!$J$9342</f>
        <v>99.22806138309</v>
      </c>
      <c r="K9368" s="38" t="n">
        <f aca="false">ext_sh*Sens!$K$9356+Sens!$D$9367*Sens!$K$9342</f>
        <v>125.386627452856</v>
      </c>
      <c r="L9368" s="38" t="n">
        <f aca="false">ext_sh*Sens!$L$9356+Sens!$D$9367*Sens!$L$9342</f>
        <v>144.77239043275</v>
      </c>
      <c r="M9368" s="38" t="n">
        <f aca="false">ext_sh*Sens!$M$9356+Sens!$D$9367*Sens!$M$9342</f>
        <v>158.693930910983</v>
      </c>
      <c r="N9368" s="38" t="n">
        <f aca="false">Q!$N$31</f>
        <v>9.234</v>
      </c>
      <c r="O9368" s="38" t="n">
        <f aca="false">Q!$O$31</f>
        <v>12.216</v>
      </c>
    </row>
    <row r="9369" customFormat="false" ht="17.15" hidden="false" customHeight="false" outlineLevel="0" collapsed="false">
      <c r="A9369" s="1" t="s">
        <v>655</v>
      </c>
    </row>
    <row r="9370" customFormat="false" ht="17.15" hidden="false" customHeight="false" outlineLevel="0" collapsed="false">
      <c r="A9370" s="15" t="s">
        <v>656</v>
      </c>
      <c r="B9370" s="14" t="s">
        <v>52</v>
      </c>
      <c r="C9370" s="14"/>
      <c r="D9370" s="14"/>
      <c r="E9370" s="14"/>
      <c r="F9370" s="14"/>
      <c r="G9370" s="17" t="n">
        <f aca="false">Sens!$G$9360*(1-tax)/(ext_sh*(Sens!$D$9357+Sens!$G$9357)/2)</f>
        <v>0.0966870495301478</v>
      </c>
      <c r="H9370" s="17" t="n">
        <f aca="false">Sens!$H$9360*(1-tax)/(ext_sh*(Sens!$G$9357+Sens!$H$9357)/2)</f>
        <v>0.100492020334136</v>
      </c>
      <c r="I9370" s="17" t="n">
        <f aca="false">Sens!$I$9360*(1-tax)/(ext_sh*(Sens!$H$9357+Sens!$I$9357)/2)</f>
        <v>0.0889392292218236</v>
      </c>
      <c r="J9370" s="17" t="n">
        <f aca="false">Sens!$J$9360*(1-tax)/(ext_sh*(Sens!$I$9357+Sens!$J$9357)/2)</f>
        <v>0.0858364613777012</v>
      </c>
      <c r="K9370" s="17" t="n">
        <f aca="false">Sens!$K$9360*(1-tax)/(ext_sh*(Sens!$J$9357+Sens!$K$9357)/2)</f>
        <v>0.08227162714687</v>
      </c>
      <c r="L9370" s="17" t="n">
        <f aca="false">Sens!$L$9360*(1-tax)/(ext_sh*(Sens!$K$9357+Sens!$L$9357)/2)</f>
        <v>0.0828942732763872</v>
      </c>
      <c r="M9370" s="17" t="n">
        <f aca="false">Sens!$M$9360*(1-tax)/(ext_sh*(Sens!$L$9357+Sens!$M$9357)/2)</f>
        <v>0.0807945482347635</v>
      </c>
      <c r="N9370" s="14"/>
      <c r="O9370" s="14"/>
      <c r="P9370" s="8" t="s">
        <v>657</v>
      </c>
    </row>
    <row r="9371" customFormat="false" ht="17.15" hidden="false" customHeight="false" outlineLevel="0" collapsed="false">
      <c r="A9371" s="5" t="s">
        <v>658</v>
      </c>
      <c r="B9371" s="0" t="s">
        <v>57</v>
      </c>
      <c r="H9371" s="36" t="n">
        <f aca="false">Sens!$H$9338*1000/(mw_open*he_open+Sens!$H$9336*Sens!$H$9333)</f>
        <v>0.991949006767191</v>
      </c>
      <c r="I9371" s="36" t="n">
        <f aca="false">Sens!$I$9338*1000/(mw_open*he_open+Sens!$I$9336*Sens!$I$9333)</f>
        <v>0.991949006767191</v>
      </c>
      <c r="J9371" s="36" t="n">
        <f aca="false">Sens!$J$9338*1000/(mw_open*he_open+Sens!$J$9336*Sens!$J$9333)</f>
        <v>0.991949006767191</v>
      </c>
      <c r="K9371" s="36" t="n">
        <f aca="false">Sens!$K$9338*1000/(mw_open*he_open+Sens!$K$9336*Sens!$K$9333)</f>
        <v>0.991949006767191</v>
      </c>
      <c r="L9371" s="36" t="n">
        <f aca="false">Sens!$L$9338*1000/(mw_open*he_open+Sens!$L$9336*Sens!$L$9333)</f>
        <v>0.991949006767191</v>
      </c>
      <c r="M9371" s="36" t="n">
        <f aca="false">Sens!$M$9338*1000/(mw_open*he_open+Sens!$M$9336*Sens!$M$9333)</f>
        <v>0.991949006767191</v>
      </c>
    </row>
    <row r="9372" customFormat="false" ht="17.15" hidden="false" customHeight="false" outlineLevel="0" collapsed="false">
      <c r="A9372" s="5" t="s">
        <v>659</v>
      </c>
      <c r="B9372" s="0" t="s">
        <v>57</v>
      </c>
      <c r="H9372" s="36" t="n">
        <f aca="false">Sens!$H$9371*(Sens!$H$9338+wacc*ext_sh*(Sens!$G$9357+Sens!$H$9357)/2/(1-tax)-Sens!$H$9360)/Sens!$H$9338</f>
        <v>1.04696246089529</v>
      </c>
      <c r="I9372" s="36" t="n">
        <f aca="false">Sens!$I$9371*(Sens!$I$9338+wacc*ext_sh*(Sens!$H$9357+Sens!$I$9357)/2/(1-tax)-Sens!$I$9360)/Sens!$I$9338</f>
        <v>1.09109607940198</v>
      </c>
      <c r="J9372" s="36" t="n">
        <f aca="false">Sens!$J$9371*(Sens!$J$9338+wacc*ext_sh*(Sens!$I$9357+Sens!$J$9357)/2/(1-tax)-Sens!$J$9360)/Sens!$J$9338</f>
        <v>1.09681234280071</v>
      </c>
      <c r="K9372" s="36" t="n">
        <f aca="false">Sens!$K$9371*(Sens!$K$9338+wacc*ext_sh*(Sens!$J$9357+Sens!$K$9357)/2/(1-tax)-Sens!$K$9360)/Sens!$K$9338</f>
        <v>1.10105220068984</v>
      </c>
      <c r="L9372" s="36" t="n">
        <f aca="false">Sens!$L$9371*(Sens!$L$9338+wacc*ext_sh*(Sens!$K$9357+Sens!$L$9357)/2/(1-tax)-Sens!$L$9360)/Sens!$L$9338</f>
        <v>1.08952452639895</v>
      </c>
      <c r="M9372" s="36" t="n">
        <f aca="false">Sens!$M$9371*(Sens!$M$9338+wacc*ext_sh*(Sens!$L$9357+Sens!$M$9357)/2/(1-tax)-Sens!$M$9360)/Sens!$M$9338</f>
        <v>1.08965878549519</v>
      </c>
    </row>
    <row r="9373" customFormat="false" ht="17.15" hidden="false" customHeight="false" outlineLevel="0" collapsed="false">
      <c r="A9373" s="5" t="s">
        <v>660</v>
      </c>
      <c r="B9373" s="0" t="s">
        <v>52</v>
      </c>
      <c r="C9373" s="13" t="n">
        <f aca="false">Sens!$C$9339/tk_pq</f>
        <v>0.195316432429398</v>
      </c>
      <c r="D9373" s="13" t="n">
        <f aca="false">Sens!$D$9339/tk_pq</f>
        <v>0.195316432429398</v>
      </c>
      <c r="E9373" s="13" t="n">
        <f aca="false">Sens!$E$9339/tk_pq</f>
        <v>0.195316432429398</v>
      </c>
      <c r="F9373" s="13" t="n">
        <f aca="false">Sens!$F$9339/tk_pq</f>
        <v>0.202241827274866</v>
      </c>
      <c r="G9373" s="13" t="n">
        <f aca="false">Sens!$G$9339/tk_pq</f>
        <v>0.199675016194063</v>
      </c>
      <c r="H9373" s="13" t="n">
        <f aca="false">Sens!$H$9339/tk_pq</f>
        <v>0.212647947710325</v>
      </c>
      <c r="I9373" s="13" t="n">
        <f aca="false">Sens!$I$9339/tk_pq</f>
        <v>0.219285125475351</v>
      </c>
      <c r="J9373" s="13" t="n">
        <f aca="false">Sens!$J$9339/tk_pq</f>
        <v>0.222492493217189</v>
      </c>
      <c r="K9373" s="13" t="n">
        <f aca="false">Sens!$K$9339/tk_pq</f>
        <v>0.224053502812094</v>
      </c>
      <c r="L9373" s="13" t="n">
        <f aca="false">Sens!$L$9339/tk_pq</f>
        <v>0.224786916785614</v>
      </c>
      <c r="M9373" s="13" t="n">
        <f aca="false">Sens!$M$9339/tk_pq</f>
        <v>0.225048671566937</v>
      </c>
      <c r="N9373" s="13" t="n">
        <f aca="false">Sens!$N$9339/tk_pq</f>
        <v>0.195316432429398</v>
      </c>
      <c r="O9373" s="13" t="n">
        <f aca="false">Sens!$O$9339/tk_pq</f>
        <v>0.195316432429398</v>
      </c>
      <c r="P9373" s="5" t="s">
        <v>661</v>
      </c>
    </row>
    <row r="9376" customFormat="false" ht="17.15" hidden="false" customHeight="false" outlineLevel="0" collapsed="false">
      <c r="A9376" s="1" t="s">
        <v>690</v>
      </c>
    </row>
    <row r="9377" customFormat="false" ht="17.15" hidden="false" customHeight="false" outlineLevel="0" collapsed="false">
      <c r="A9377" s="0" t="s">
        <v>691</v>
      </c>
      <c r="B9377" s="0" t="s">
        <v>86</v>
      </c>
      <c r="C9377" s="38" t="n">
        <f aca="false">Sens!$C$9338</f>
        <v>2.32100535697364</v>
      </c>
      <c r="D9377" s="38" t="n">
        <f aca="false">Sens!$D$9338</f>
        <v>8.70377008865116</v>
      </c>
      <c r="E9377" s="38" t="n">
        <f aca="false">Sens!$E$9338</f>
        <v>8.51035297557002</v>
      </c>
      <c r="F9377" s="38" t="n">
        <f aca="false">Sens!$F$9338</f>
        <v>14.9634336447205</v>
      </c>
      <c r="G9377" s="38" t="n">
        <f aca="false">Sens!$G$9338</f>
        <v>23.4737866202905</v>
      </c>
      <c r="H9377" s="38" t="n">
        <f aca="false">Sens!$H$9338</f>
        <v>60.1658907497746</v>
      </c>
      <c r="I9377" s="38" t="n">
        <f aca="false">Sens!$I$9338</f>
        <v>101.503699136432</v>
      </c>
      <c r="J9377" s="38" t="n">
        <f aca="false">Sens!$J$9338</f>
        <v>143.025407151278</v>
      </c>
      <c r="K9377" s="38" t="n">
        <f aca="false">Sens!$K$9338</f>
        <v>178.44812038318</v>
      </c>
      <c r="L9377" s="38" t="n">
        <f aca="false">Sens!$L$9338</f>
        <v>201.728101802396</v>
      </c>
      <c r="M9377" s="38" t="n">
        <f aca="false">Sens!$M$9338</f>
        <v>212.835441368865</v>
      </c>
      <c r="N9377" s="38" t="n">
        <f aca="false">Sens!$N$9338</f>
        <v>3.04631953102791</v>
      </c>
      <c r="O9377" s="38" t="n">
        <f aca="false">Sens!$O$9338</f>
        <v>5.65745055762326</v>
      </c>
      <c r="P9377" s="8" t="s">
        <v>692</v>
      </c>
    </row>
    <row r="9378" customFormat="false" ht="17.15" hidden="false" customHeight="false" outlineLevel="0" collapsed="false">
      <c r="A9378" s="0" t="s">
        <v>693</v>
      </c>
      <c r="B9378" s="0" t="s">
        <v>86</v>
      </c>
      <c r="C9378" s="38" t="n">
        <f aca="false">Sens!$C$9342</f>
        <v>105.234994643026</v>
      </c>
      <c r="D9378" s="38" t="n">
        <f aca="false">Sens!$D$9342</f>
        <v>120.021229911349</v>
      </c>
      <c r="E9378" s="38" t="n">
        <f aca="false">Sens!$E$9342</f>
        <v>71.30864702443</v>
      </c>
      <c r="F9378" s="38" t="n">
        <f aca="false">Sens!$F$9342</f>
        <v>71.7692997942464</v>
      </c>
      <c r="G9378" s="38" t="n">
        <f aca="false">Sens!$G$9342</f>
        <v>143.077946818676</v>
      </c>
      <c r="H9378" s="38" t="n">
        <f aca="false">Sens!$H$9342</f>
        <v>161.017077079203</v>
      </c>
      <c r="I9378" s="38" t="n">
        <f aca="false">Sens!$I$9342</f>
        <v>178.769759521457</v>
      </c>
      <c r="J9378" s="38" t="n">
        <f aca="false">Sens!$J$9342</f>
        <v>195.775538045907</v>
      </c>
      <c r="K9378" s="38" t="n">
        <f aca="false">Sens!$K$9342</f>
        <v>211.43758108958</v>
      </c>
      <c r="L9378" s="38" t="n">
        <f aca="false">Sens!$L$9342</f>
        <v>228.352587576746</v>
      </c>
      <c r="M9378" s="38" t="n">
        <f aca="false">Sens!$M$9342</f>
        <v>246.620794582886</v>
      </c>
      <c r="N9378" s="38" t="n">
        <f aca="false">Sens!$N$9342</f>
        <v>57.0936804689721</v>
      </c>
      <c r="O9378" s="38" t="n">
        <f aca="false">Sens!$O$9342</f>
        <v>62.9275494423768</v>
      </c>
      <c r="P9378" s="8" t="s">
        <v>692</v>
      </c>
    </row>
    <row r="9379" customFormat="false" ht="17.15" hidden="false" customHeight="false" outlineLevel="0" collapsed="false">
      <c r="A9379" s="1" t="s">
        <v>516</v>
      </c>
      <c r="B9379" s="8" t="s">
        <v>86</v>
      </c>
      <c r="C9379" s="38" t="n">
        <f aca="false">Q!$D$7</f>
        <v>107.556</v>
      </c>
      <c r="D9379" s="38" t="n">
        <f aca="false">Q!$E$7</f>
        <v>128.725</v>
      </c>
      <c r="E9379" s="38" t="n">
        <f aca="false">Q!$P$7</f>
        <v>79.819</v>
      </c>
      <c r="F9379" s="38" t="n">
        <f aca="false">Sens!$F$9377+Sens!$F$9378</f>
        <v>86.7327334389669</v>
      </c>
      <c r="G9379" s="38" t="n">
        <f aca="false">Sens!$G$9377+Sens!$G$9378</f>
        <v>166.551733438967</v>
      </c>
      <c r="H9379" s="38" t="n">
        <f aca="false">Sens!$H$9377+Sens!$H$9378</f>
        <v>221.182967828978</v>
      </c>
      <c r="I9379" s="38" t="n">
        <f aca="false">Sens!$I$9377+Sens!$I$9378</f>
        <v>280.27345865789</v>
      </c>
      <c r="J9379" s="38" t="n">
        <f aca="false">Sens!$J$9377+Sens!$J$9378</f>
        <v>338.800945197185</v>
      </c>
      <c r="K9379" s="38" t="n">
        <f aca="false">Sens!$K$9377+Sens!$K$9378</f>
        <v>389.88570147276</v>
      </c>
      <c r="L9379" s="38" t="n">
        <f aca="false">Sens!$L$9377+Sens!$L$9378</f>
        <v>430.080689379143</v>
      </c>
      <c r="M9379" s="38" t="n">
        <f aca="false">Sens!$M$9377+Sens!$M$9378</f>
        <v>459.456235951751</v>
      </c>
      <c r="N9379" s="38" t="n">
        <f aca="false">Q!$N$7</f>
        <v>60.14</v>
      </c>
      <c r="O9379" s="38" t="n">
        <f aca="false">Q!$O$7</f>
        <v>68.585</v>
      </c>
      <c r="P9379" s="5" t="s">
        <v>694</v>
      </c>
    </row>
    <row r="9380" customFormat="false" ht="15" hidden="false" customHeight="false" outlineLevel="0" collapsed="false">
      <c r="A9380" s="3" t="s">
        <v>695</v>
      </c>
      <c r="B9380" s="8" t="s">
        <v>86</v>
      </c>
      <c r="C9380" s="38" t="n">
        <f aca="false">Q!$D$8</f>
        <v>637.959</v>
      </c>
      <c r="D9380" s="38" t="n">
        <f aca="false">Q!$E$8</f>
        <v>716.924</v>
      </c>
      <c r="E9380" s="38" t="n">
        <f aca="false">Q!$P$8</f>
        <v>382.125</v>
      </c>
      <c r="F9380" s="38" t="n">
        <f aca="false">Sens!$F$9310+Sens!$F$9379</f>
        <v>435.780975084504</v>
      </c>
      <c r="G9380" s="38" t="n">
        <f aca="false">Sens!$G$9310+Sens!$G$9379</f>
        <v>817.905975084504</v>
      </c>
      <c r="H9380" s="38" t="n">
        <f aca="false">Sens!$H$9310+Sens!$H$9379</f>
        <v>942.279857350364</v>
      </c>
      <c r="I9380" s="38" t="n">
        <f aca="false">Sens!$I$9310+Sens!$I$9379</f>
        <v>1068.80284981042</v>
      </c>
      <c r="J9380" s="38" t="n">
        <f aca="false">Sens!$J$9310+Sens!$J$9379</f>
        <v>1189.90935093863</v>
      </c>
      <c r="K9380" s="38" t="n">
        <f aca="false">Sens!$K$9310+Sens!$K$9379</f>
        <v>1296.06215690385</v>
      </c>
      <c r="L9380" s="38" t="n">
        <f aca="false">Sens!$L$9310+Sens!$L$9379</f>
        <v>1395.17379585473</v>
      </c>
      <c r="M9380" s="38" t="n">
        <f aca="false">Sens!$M$9310+Sens!$M$9379</f>
        <v>1487.60414389864</v>
      </c>
      <c r="N9380" s="38" t="n">
        <f aca="false">Q!$N$8</f>
        <v>323.369</v>
      </c>
      <c r="O9380" s="38" t="n">
        <f aca="false">Q!$O$8</f>
        <v>393.555</v>
      </c>
    </row>
    <row r="9381" customFormat="false" ht="17.15" hidden="false" customHeight="false" outlineLevel="0" collapsed="false">
      <c r="A9381" s="24" t="s">
        <v>703</v>
      </c>
      <c r="B9381" s="25" t="s">
        <v>86</v>
      </c>
      <c r="C9381" s="41" t="n">
        <f aca="false">Sens!$C$9310-(Sens!$C$9312+Sens!$C$9313)</f>
        <v>0</v>
      </c>
      <c r="D9381" s="41" t="n">
        <f aca="false">Sens!$D$9310-(Sens!$D$9312+Sens!$D$9313)</f>
        <v>0</v>
      </c>
      <c r="E9381" s="41" t="n">
        <f aca="false">Sens!$E$9310-(Sens!$E$9312+Sens!$E$9313)</f>
        <v>0</v>
      </c>
      <c r="F9381" s="41" t="n">
        <f aca="false">Sens!$F$9310-(Sens!$F$9312+Sens!$F$9313)</f>
        <v>0</v>
      </c>
      <c r="G9381" s="41" t="n">
        <f aca="false">Sens!$G$9310-(Sens!$G$9312+Sens!$G$9313)</f>
        <v>0</v>
      </c>
      <c r="H9381" s="41" t="n">
        <f aca="false">Sens!$H$9310-(Sens!$H$9312+Sens!$H$9313)</f>
        <v>0</v>
      </c>
      <c r="I9381" s="41" t="n">
        <f aca="false">Sens!$I$9310-(Sens!$I$9312+Sens!$I$9313)</f>
        <v>0</v>
      </c>
      <c r="J9381" s="41" t="n">
        <f aca="false">Sens!$J$9310-(Sens!$J$9312+Sens!$J$9313)</f>
        <v>0</v>
      </c>
      <c r="K9381" s="41" t="n">
        <f aca="false">Sens!$K$9310-(Sens!$K$9312+Sens!$K$9313)</f>
        <v>0</v>
      </c>
      <c r="L9381" s="41" t="n">
        <f aca="false">Sens!$L$9310-(Sens!$L$9312+Sens!$L$9313)</f>
        <v>0</v>
      </c>
      <c r="M9381" s="41" t="n">
        <f aca="false">Sens!$M$9310-(Sens!$M$9312+Sens!$M$9313)</f>
        <v>0</v>
      </c>
      <c r="N9381" s="41" t="n">
        <f aca="false">Sens!$N$9310-(Sens!$N$9312+Sens!$N$9313)</f>
        <v>0</v>
      </c>
      <c r="O9381" s="41" t="n">
        <f aca="false">Sens!$O$9310-(Sens!$O$9312+Sens!$O$9313)</f>
        <v>0</v>
      </c>
    </row>
    <row r="9382" customFormat="false" ht="17.15" hidden="false" customHeight="false" outlineLevel="0" collapsed="false">
      <c r="A9382" s="24" t="s">
        <v>704</v>
      </c>
      <c r="B9382" s="25" t="s">
        <v>86</v>
      </c>
      <c r="C9382" s="41" t="n">
        <f aca="false">Sens!$C$9377+Sens!$C$9378-Sens!$C$9379</f>
        <v>0</v>
      </c>
      <c r="D9382" s="41" t="n">
        <f aca="false">Sens!$D$9377+Sens!$D$9378-Sens!$D$9379</f>
        <v>0</v>
      </c>
      <c r="E9382" s="41" t="n">
        <f aca="false">Sens!$E$9377+Sens!$E$9378-Sens!$E$9379</f>
        <v>0</v>
      </c>
      <c r="F9382" s="41" t="n">
        <f aca="false">Sens!$F$9377+Sens!$F$9378-Sens!$F$9379</f>
        <v>0</v>
      </c>
      <c r="G9382" s="41" t="n">
        <f aca="false">Sens!$G$9377+Sens!$G$9378-Sens!$G$9379</f>
        <v>0</v>
      </c>
      <c r="H9382" s="41" t="n">
        <f aca="false">Sens!$H$9377+Sens!$H$9378-Sens!$H$9379</f>
        <v>0</v>
      </c>
      <c r="I9382" s="41" t="n">
        <f aca="false">Sens!$I$9377+Sens!$I$9378-Sens!$I$9379</f>
        <v>0</v>
      </c>
      <c r="J9382" s="41" t="n">
        <f aca="false">Sens!$J$9377+Sens!$J$9378-Sens!$J$9379</f>
        <v>0</v>
      </c>
      <c r="K9382" s="41" t="n">
        <f aca="false">Sens!$K$9377+Sens!$K$9378-Sens!$K$9379</f>
        <v>0</v>
      </c>
      <c r="L9382" s="41" t="n">
        <f aca="false">Sens!$L$9377+Sens!$L$9378-Sens!$L$9379</f>
        <v>0</v>
      </c>
      <c r="M9382" s="41" t="n">
        <f aca="false">Sens!$M$9377+Sens!$M$9378-Sens!$M$9379</f>
        <v>0</v>
      </c>
      <c r="N9382" s="41" t="n">
        <f aca="false">Sens!$N$9377+Sens!$N$9378-Sens!$N$9379</f>
        <v>0</v>
      </c>
      <c r="O9382" s="41" t="n">
        <f aca="false">Sens!$O$9377+Sens!$O$9378-Sens!$O$9379</f>
        <v>0</v>
      </c>
    </row>
    <row r="9383" customFormat="false" ht="17.15" hidden="false" customHeight="false" outlineLevel="0" collapsed="false">
      <c r="A9383" s="24" t="s">
        <v>705</v>
      </c>
      <c r="B9383" s="25" t="s">
        <v>86</v>
      </c>
      <c r="C9383" s="41" t="n">
        <f aca="false">Sens!$C$9312+Sens!$C$9313+Sens!$C$9379-Sens!$C$9380</f>
        <v>0</v>
      </c>
      <c r="D9383" s="41" t="n">
        <f aca="false">Sens!$D$9312+Sens!$D$9313+Sens!$D$9379-Sens!$D$9380</f>
        <v>0</v>
      </c>
      <c r="E9383" s="41" t="n">
        <f aca="false">Sens!$E$9312+Sens!$E$9313+Sens!$E$9379-Sens!$E$9380</f>
        <v>0</v>
      </c>
      <c r="F9383" s="41" t="n">
        <f aca="false">Sens!$F$9312+Sens!$F$9313+Sens!$F$9379-Sens!$F$9380</f>
        <v>0</v>
      </c>
      <c r="G9383" s="41" t="n">
        <f aca="false">Sens!$G$9312+Sens!$G$9313+Sens!$G$9379-Sens!$G$9380</f>
        <v>0</v>
      </c>
      <c r="H9383" s="41" t="n">
        <f aca="false">Sens!$H$9312+Sens!$H$9313+Sens!$H$9379-Sens!$H$9380</f>
        <v>0</v>
      </c>
      <c r="I9383" s="41" t="n">
        <f aca="false">Sens!$I$9312+Sens!$I$9313+Sens!$I$9379-Sens!$I$9380</f>
        <v>0</v>
      </c>
      <c r="J9383" s="41" t="n">
        <f aca="false">Sens!$J$9312+Sens!$J$9313+Sens!$J$9379-Sens!$J$9380</f>
        <v>0</v>
      </c>
      <c r="K9383" s="41" t="n">
        <f aca="false">Sens!$K$9312+Sens!$K$9313+Sens!$K$9379-Sens!$K$9380</f>
        <v>0</v>
      </c>
      <c r="L9383" s="41" t="n">
        <f aca="false">Sens!$L$9312+Sens!$L$9313+Sens!$L$9379-Sens!$L$9380</f>
        <v>0</v>
      </c>
      <c r="M9383" s="41" t="n">
        <f aca="false">Sens!$M$9312+Sens!$M$9313+Sens!$M$9379-Sens!$M$9380</f>
        <v>0</v>
      </c>
      <c r="N9383" s="41" t="n">
        <f aca="false">Sens!$N$9312+Sens!$N$9313+Sens!$N$9379-Sens!$N$9380</f>
        <v>0</v>
      </c>
      <c r="O9383" s="41" t="n">
        <f aca="false">Sens!$O$9312+Sens!$O$9313+Sens!$O$9379-Sens!$O$9380</f>
        <v>0</v>
      </c>
    </row>
    <row r="9384" customFormat="false" ht="15" hidden="false" customHeight="false" outlineLevel="0" collapsed="false">
      <c r="A9384" s="5" t="s">
        <v>699</v>
      </c>
      <c r="B9384" s="0" t="s">
        <v>52</v>
      </c>
      <c r="G9384" s="13" t="n">
        <f aca="false">Sens!$G$9380/Sens!$D$9380-1</f>
        <v>0.140854504918937</v>
      </c>
      <c r="H9384" s="13" t="n">
        <f aca="false">Sens!$H$9380/Sens!$G$9380-1</f>
        <v>0.152063789793209</v>
      </c>
      <c r="I9384" s="13" t="n">
        <f aca="false">Sens!$I$9380/Sens!$H$9380-1</f>
        <v>0.134273264437417</v>
      </c>
      <c r="J9384" s="13" t="n">
        <f aca="false">Sens!$J$9380/Sens!$I$9380-1</f>
        <v>0.113310421234083</v>
      </c>
      <c r="K9384" s="13" t="n">
        <f aca="false">Sens!$K$9380/Sens!$J$9380-1</f>
        <v>0.0892108343223652</v>
      </c>
      <c r="L9384" s="13" t="n">
        <f aca="false">Sens!$L$9380/Sens!$K$9380-1</f>
        <v>0.076471362444261</v>
      </c>
      <c r="M9384" s="13" t="n">
        <f aca="false">Sens!$M$9380/Sens!$L$9380-1</f>
        <v>0.066250060256672</v>
      </c>
    </row>
    <row r="9385" customFormat="false" ht="17.15" hidden="false" customHeight="false" outlineLevel="0" collapsed="false">
      <c r="A9385" s="0" t="s">
        <v>700</v>
      </c>
      <c r="B9385" s="0" t="s">
        <v>52</v>
      </c>
      <c r="C9385" s="13" t="n">
        <f aca="false">Sens!$C$9379/Sens!$C$9380</f>
        <v>0.168593906504964</v>
      </c>
      <c r="D9385" s="13" t="n">
        <f aca="false">Sens!$D$9379/Sens!$D$9380</f>
        <v>0.179551807444025</v>
      </c>
      <c r="E9385" s="13" t="n">
        <f aca="false">Sens!$E$9379/Sens!$E$9380</f>
        <v>0.208881910369643</v>
      </c>
      <c r="F9385" s="13" t="n">
        <f aca="false">Sens!$F$9379/Sens!$F$9380</f>
        <v>0.199028269699356</v>
      </c>
      <c r="G9385" s="13" t="n">
        <f aca="false">Sens!$G$9379/Sens!$G$9380</f>
        <v>0.203631882529968</v>
      </c>
      <c r="H9385" s="13" t="n">
        <f aca="false">Sens!$H$9379/Sens!$H$9380</f>
        <v>0.234731715958496</v>
      </c>
      <c r="I9385" s="13" t="n">
        <f aca="false">Sens!$I$9379/Sens!$I$9380</f>
        <v>0.262231204480418</v>
      </c>
      <c r="J9385" s="13" t="n">
        <f aca="false">Sens!$J$9379/Sens!$J$9380</f>
        <v>0.284728366013706</v>
      </c>
      <c r="K9385" s="13" t="n">
        <f aca="false">Sens!$K$9379/Sens!$K$9380</f>
        <v>0.300823304959505</v>
      </c>
      <c r="L9385" s="13" t="n">
        <f aca="false">Sens!$L$9379/Sens!$L$9380</f>
        <v>0.308263164529735</v>
      </c>
      <c r="M9385" s="13" t="n">
        <f aca="false">Sens!$M$9379/Sens!$M$9380</f>
        <v>0.308856517936036</v>
      </c>
      <c r="N9385" s="13" t="n">
        <f aca="false">Sens!$N$9379/Sens!$N$9380</f>
        <v>0.185979484737251</v>
      </c>
      <c r="O9385" s="13" t="n">
        <f aca="false">Sens!$O$9379/Sens!$O$9380</f>
        <v>0.174270432341096</v>
      </c>
    </row>
    <row r="9386" customFormat="false" ht="17.15" hidden="false" customHeight="false" outlineLevel="0" collapsed="false">
      <c r="A9386" s="0" t="s">
        <v>701</v>
      </c>
      <c r="B9386" s="0" t="s">
        <v>52</v>
      </c>
      <c r="C9386" s="13" t="n">
        <f aca="false">Sens!$C$9377/Sens!$C$9379</f>
        <v>0.0215795060896058</v>
      </c>
      <c r="D9386" s="13" t="n">
        <f aca="false">Sens!$D$9377/Sens!$D$9379</f>
        <v>0.0676152269462122</v>
      </c>
      <c r="E9386" s="13" t="n">
        <f aca="false">Sens!$E$9377/Sens!$E$9379</f>
        <v>0.106620641395783</v>
      </c>
      <c r="F9386" s="13" t="n">
        <f aca="false">Sens!$F$9377/Sens!$F$9379</f>
        <v>0.172523487401099</v>
      </c>
      <c r="G9386" s="13" t="n">
        <f aca="false">Sens!$G$9377/Sens!$G$9379</f>
        <v>0.140939911795589</v>
      </c>
      <c r="H9386" s="13" t="n">
        <f aca="false">Sens!$H$9377/Sens!$H$9379</f>
        <v>0.272018642937714</v>
      </c>
      <c r="I9386" s="13" t="n">
        <f aca="false">Sens!$I$9377/Sens!$I$9379</f>
        <v>0.362159512436497</v>
      </c>
      <c r="J9386" s="13" t="n">
        <f aca="false">Sens!$J$9377/Sens!$J$9379</f>
        <v>0.422151735934609</v>
      </c>
      <c r="K9386" s="13" t="n">
        <f aca="false">Sens!$K$9377/Sens!$K$9379</f>
        <v>0.45769342068485</v>
      </c>
      <c r="L9386" s="13" t="n">
        <f aca="false">Sens!$L$9377/Sens!$L$9379</f>
        <v>0.469047103913472</v>
      </c>
      <c r="M9386" s="13" t="n">
        <f aca="false">Sens!$M$9377/Sens!$M$9379</f>
        <v>0.463233328258093</v>
      </c>
      <c r="N9386" s="13" t="n">
        <f aca="false">Sens!$N$9377/Sens!$N$9379</f>
        <v>0.0506537999838362</v>
      </c>
      <c r="O9386" s="13" t="n">
        <f aca="false">Sens!$O$9377/Sens!$O$9379</f>
        <v>0.0824881615167056</v>
      </c>
    </row>
    <row r="9389" customFormat="false" ht="19.4" hidden="false" customHeight="false" outlineLevel="0" collapsed="false">
      <c r="A9389" s="31" t="s">
        <v>1327</v>
      </c>
    </row>
    <row r="9390" customFormat="false" ht="17.15" hidden="false" customHeight="false" outlineLevel="0" collapsed="false">
      <c r="A9390" s="6" t="s">
        <v>16</v>
      </c>
      <c r="B9390" s="6" t="s">
        <v>17</v>
      </c>
      <c r="C9390" s="20" t="s">
        <v>497</v>
      </c>
      <c r="D9390" s="20" t="s">
        <v>498</v>
      </c>
      <c r="E9390" s="20" t="s">
        <v>580</v>
      </c>
      <c r="F9390" s="20" t="s">
        <v>581</v>
      </c>
      <c r="G9390" s="20" t="s">
        <v>582</v>
      </c>
      <c r="H9390" s="20" t="s">
        <v>583</v>
      </c>
      <c r="I9390" s="20" t="s">
        <v>584</v>
      </c>
      <c r="J9390" s="20" t="s">
        <v>585</v>
      </c>
      <c r="K9390" s="20" t="s">
        <v>586</v>
      </c>
      <c r="L9390" s="20" t="s">
        <v>587</v>
      </c>
      <c r="M9390" s="20" t="s">
        <v>588</v>
      </c>
      <c r="N9390" s="20" t="s">
        <v>589</v>
      </c>
      <c r="O9390" s="20" t="s">
        <v>590</v>
      </c>
      <c r="P9390" s="6" t="s">
        <v>23</v>
      </c>
      <c r="R9390" s="20" t="n">
        <v>2023</v>
      </c>
      <c r="S9390" s="20" t="n">
        <v>2024</v>
      </c>
      <c r="T9390" s="20" t="n">
        <v>2025</v>
      </c>
      <c r="U9390" s="20" t="n">
        <v>2026</v>
      </c>
      <c r="V9390" s="20" t="n">
        <v>2027</v>
      </c>
      <c r="W9390" s="20" t="n">
        <v>2028</v>
      </c>
      <c r="X9390" s="20" t="n">
        <v>2029</v>
      </c>
      <c r="Y9390" s="20" t="n">
        <v>2030</v>
      </c>
      <c r="Z9390" s="20" t="n">
        <v>2031</v>
      </c>
      <c r="AA9390" s="20" t="n">
        <v>2032</v>
      </c>
    </row>
    <row r="9391" customFormat="false" ht="17.15" hidden="false" customHeight="false" outlineLevel="0" collapsed="false">
      <c r="A9391" s="1" t="s">
        <v>716</v>
      </c>
    </row>
    <row r="9392" customFormat="false" ht="15" hidden="false" customHeight="false" outlineLevel="0" collapsed="false">
      <c r="A9392" s="0" t="s">
        <v>519</v>
      </c>
      <c r="B9392" s="0" t="s">
        <v>86</v>
      </c>
      <c r="C9392" s="38" t="n">
        <f aca="false">Sens!$C$9297</f>
        <v>247.029</v>
      </c>
      <c r="D9392" s="38" t="n">
        <f aca="false">Sens!$D$9297</f>
        <v>269.287</v>
      </c>
      <c r="E9392" s="38" t="n">
        <f aca="false">Sens!$E$9297</f>
        <v>134.686</v>
      </c>
      <c r="F9392" s="38" t="n">
        <f aca="false">Sens!$F$9297</f>
        <v>158.293876822267</v>
      </c>
      <c r="G9392" s="38" t="n">
        <f aca="false">Sens!$G$9297</f>
        <v>292.979876822267</v>
      </c>
      <c r="H9392" s="38" t="n">
        <f aca="false">Sens!$H$9297</f>
        <v>318.184543087396</v>
      </c>
      <c r="I9392" s="38" t="n">
        <f aca="false">Sens!$I$9297</f>
        <v>341.736278761793</v>
      </c>
      <c r="J9392" s="38" t="n">
        <f aca="false">Sens!$J$9297</f>
        <v>362.927192787048</v>
      </c>
      <c r="K9392" s="38" t="n">
        <f aca="false">Sens!$K$9297</f>
        <v>381.0735524264</v>
      </c>
      <c r="L9392" s="38" t="n">
        <f aca="false">Sens!$L$9297</f>
        <v>400.12723004772</v>
      </c>
      <c r="M9392" s="38" t="n">
        <f aca="false">Sens!$M$9297</f>
        <v>420.133591550106</v>
      </c>
      <c r="N9392" s="38" t="n">
        <f aca="false">Sens!$N$9297</f>
        <v>118.892</v>
      </c>
      <c r="O9392" s="38" t="n">
        <f aca="false">Sens!$O$9297</f>
        <v>150.395</v>
      </c>
    </row>
    <row r="9393" customFormat="false" ht="15" hidden="false" customHeight="false" outlineLevel="0" collapsed="false">
      <c r="A9393" s="0" t="s">
        <v>520</v>
      </c>
      <c r="B9393" s="0" t="s">
        <v>86</v>
      </c>
      <c r="C9393" s="38" t="n">
        <f aca="false">Sens!$C$9299</f>
        <v>21.215</v>
      </c>
      <c r="D9393" s="38" t="n">
        <f aca="false">Sens!$D$9299</f>
        <v>22.561</v>
      </c>
      <c r="E9393" s="38" t="n">
        <f aca="false">Sens!$E$9299</f>
        <v>11.579</v>
      </c>
      <c r="F9393" s="38" t="n">
        <f aca="false">Sens!$F$9299</f>
        <v>11.5938724610325</v>
      </c>
      <c r="G9393" s="38" t="n">
        <f aca="false">Sens!$G$9299</f>
        <v>23.1728724610325</v>
      </c>
      <c r="H9393" s="38" t="n">
        <f aca="false">Sens!$H$9299</f>
        <v>24.353392759506</v>
      </c>
      <c r="I9393" s="38" t="n">
        <f aca="false">Sens!$I$9299</f>
        <v>25.4240338872015</v>
      </c>
      <c r="J9393" s="38" t="n">
        <f aca="false">Sens!$J$9299</f>
        <v>26.3642491017174</v>
      </c>
      <c r="K9393" s="38" t="n">
        <f aca="false">Sens!$K$9299</f>
        <v>27.155176574769</v>
      </c>
      <c r="L9393" s="38" t="n">
        <f aca="false">Sens!$L$9299</f>
        <v>27.969831872012</v>
      </c>
      <c r="M9393" s="38" t="n">
        <f aca="false">Sens!$M$9299</f>
        <v>28.8089268281724</v>
      </c>
      <c r="N9393" s="38" t="n">
        <f aca="false">Sens!$N$9299</f>
        <v>11.128</v>
      </c>
      <c r="O9393" s="38" t="n">
        <f aca="false">Sens!$O$9299</f>
        <v>11.433</v>
      </c>
    </row>
    <row r="9394" customFormat="false" ht="15" hidden="false" customHeight="false" outlineLevel="0" collapsed="false">
      <c r="A9394" s="0" t="s">
        <v>521</v>
      </c>
      <c r="B9394" s="0" t="s">
        <v>86</v>
      </c>
      <c r="C9394" s="38" t="n">
        <f aca="false">Sens!$C$9301</f>
        <v>156.146</v>
      </c>
      <c r="D9394" s="38" t="n">
        <f aca="false">Sens!$D$9301</f>
        <v>172.162</v>
      </c>
      <c r="E9394" s="38" t="n">
        <f aca="false">Sens!$E$9301</f>
        <v>88.358</v>
      </c>
      <c r="F9394" s="38" t="n">
        <f aca="false">Sens!$F$9301</f>
        <v>102.004388260171</v>
      </c>
      <c r="G9394" s="38" t="n">
        <f aca="false">Sens!$G$9301</f>
        <v>190.362388260171</v>
      </c>
      <c r="H9394" s="38" t="n">
        <f aca="false">Sens!$H$9301</f>
        <v>210.343106588311</v>
      </c>
      <c r="I9394" s="38" t="n">
        <f aca="false">Sens!$I$9301</f>
        <v>229.969728494648</v>
      </c>
      <c r="J9394" s="38" t="n">
        <f aca="false">Sens!$J$9301</f>
        <v>248.747636972598</v>
      </c>
      <c r="K9394" s="38" t="n">
        <f aca="false">Sens!$K$9301</f>
        <v>266.15997156068</v>
      </c>
      <c r="L9394" s="38" t="n">
        <f aca="false">Sens!$L$9301</f>
        <v>284.791169569927</v>
      </c>
      <c r="M9394" s="38" t="n">
        <f aca="false">Sens!$M$9301</f>
        <v>304.726551439822</v>
      </c>
      <c r="N9394" s="38" t="n">
        <f aca="false">Sens!$N$9301</f>
        <v>76.86</v>
      </c>
      <c r="O9394" s="38" t="n">
        <f aca="false">Sens!$O$9301</f>
        <v>95.302</v>
      </c>
    </row>
    <row r="9395" customFormat="false" ht="15" hidden="false" customHeight="false" outlineLevel="0" collapsed="false">
      <c r="A9395" s="0" t="s">
        <v>522</v>
      </c>
      <c r="B9395" s="0" t="s">
        <v>86</v>
      </c>
      <c r="C9395" s="38" t="n">
        <f aca="false">Sens!$C$9303</f>
        <v>56.214</v>
      </c>
      <c r="D9395" s="38" t="n">
        <f aca="false">Sens!$D$9303</f>
        <v>68.635</v>
      </c>
      <c r="E9395" s="38" t="n">
        <f aca="false">Sens!$E$9303</f>
        <v>37.052</v>
      </c>
      <c r="F9395" s="38" t="n">
        <f aca="false">Sens!$F$9303</f>
        <v>46.1572219944148</v>
      </c>
      <c r="G9395" s="38" t="n">
        <f aca="false">Sens!$G$9303</f>
        <v>83.2092219944148</v>
      </c>
      <c r="H9395" s="38" t="n">
        <f aca="false">Sens!$H$9303</f>
        <v>99.8969223878976</v>
      </c>
      <c r="I9395" s="38" t="n">
        <f aca="false">Sens!$I$9303</f>
        <v>116.583111095496</v>
      </c>
      <c r="J9395" s="38" t="n">
        <f aca="false">Sens!$J$9303</f>
        <v>132.148941941952</v>
      </c>
      <c r="K9395" s="38" t="n">
        <f aca="false">Sens!$K$9303</f>
        <v>145.363836136147</v>
      </c>
      <c r="L9395" s="38" t="n">
        <f aca="false">Sens!$L$9303</f>
        <v>159.900219749762</v>
      </c>
      <c r="M9395" s="38" t="n">
        <f aca="false">Sens!$M$9303</f>
        <v>175.890241724738</v>
      </c>
      <c r="N9395" s="38" t="n">
        <f aca="false">Sens!$N$9303</f>
        <v>29.615</v>
      </c>
      <c r="O9395" s="38" t="n">
        <f aca="false">Sens!$O$9303</f>
        <v>39.02</v>
      </c>
    </row>
    <row r="9396" customFormat="false" ht="15" hidden="false" customHeight="false" outlineLevel="0" collapsed="false">
      <c r="A9396" s="0" t="s">
        <v>523</v>
      </c>
      <c r="B9396" s="0" t="s">
        <v>86</v>
      </c>
      <c r="C9396" s="38" t="n">
        <f aca="false">Sens!$C$9305</f>
        <v>44.374</v>
      </c>
      <c r="D9396" s="38" t="n">
        <f aca="false">Sens!$D$9305</f>
        <v>49.619</v>
      </c>
      <c r="E9396" s="38" t="n">
        <f aca="false">Sens!$E$9305</f>
        <v>27.157</v>
      </c>
      <c r="F9396" s="38" t="n">
        <f aca="false">Sens!$F$9305</f>
        <v>27.7764165988154</v>
      </c>
      <c r="G9396" s="38" t="n">
        <f aca="false">Sens!$G$9305</f>
        <v>54.9334165988154</v>
      </c>
      <c r="H9396" s="38" t="n">
        <f aca="false">Sens!$H$9305</f>
        <v>61.1564112561829</v>
      </c>
      <c r="I9396" s="38" t="n">
        <f aca="false">Sens!$I$9305</f>
        <v>67.2020282103945</v>
      </c>
      <c r="J9396" s="38" t="n">
        <f aca="false">Sens!$J$9305</f>
        <v>72.8757274028885</v>
      </c>
      <c r="K9396" s="38" t="n">
        <f aca="false">Sens!$K$9305</f>
        <v>77.9770283210907</v>
      </c>
      <c r="L9396" s="38" t="n">
        <f aca="false">Sens!$L$9305</f>
        <v>83.4354203035671</v>
      </c>
      <c r="M9396" s="38" t="n">
        <f aca="false">Sens!$M$9305</f>
        <v>89.2758997248168</v>
      </c>
      <c r="N9396" s="38" t="n">
        <f aca="false">Sens!$N$9305</f>
        <v>23.923</v>
      </c>
      <c r="O9396" s="38" t="n">
        <f aca="false">Sens!$O$9305</f>
        <v>25.696</v>
      </c>
    </row>
    <row r="9397" customFormat="false" ht="15" hidden="false" customHeight="false" outlineLevel="0" collapsed="false">
      <c r="A9397" s="0" t="s">
        <v>524</v>
      </c>
      <c r="B9397" s="0" t="s">
        <v>86</v>
      </c>
      <c r="C9397" s="38" t="n">
        <f aca="false">Sens!$C$9307</f>
        <v>5.425</v>
      </c>
      <c r="D9397" s="38" t="n">
        <f aca="false">Sens!$D$9307</f>
        <v>5.935</v>
      </c>
      <c r="E9397" s="38" t="n">
        <f aca="false">Sens!$E$9307</f>
        <v>3.474</v>
      </c>
      <c r="F9397" s="38" t="n">
        <f aca="false">Sens!$F$9307</f>
        <v>3.22246550883619</v>
      </c>
      <c r="G9397" s="38" t="n">
        <f aca="false">Sens!$G$9307</f>
        <v>6.69646550883619</v>
      </c>
      <c r="H9397" s="38" t="n">
        <f aca="false">Sens!$H$9307</f>
        <v>7.16251344209196</v>
      </c>
      <c r="I9397" s="38" t="n">
        <f aca="false">Sens!$I$9307</f>
        <v>7.61421070299826</v>
      </c>
      <c r="J9397" s="38" t="n">
        <f aca="false">Sens!$J$9307</f>
        <v>8.04465753523932</v>
      </c>
      <c r="K9397" s="38" t="n">
        <f aca="false">Sens!$K$9307</f>
        <v>8.44689041200128</v>
      </c>
      <c r="L9397" s="38" t="n">
        <f aca="false">Sens!$L$9307</f>
        <v>8.86923493260135</v>
      </c>
      <c r="M9397" s="38" t="n">
        <f aca="false">Sens!$M$9307</f>
        <v>9.31269667923142</v>
      </c>
      <c r="N9397" s="38" t="n">
        <f aca="false">Sens!$N$9307</f>
        <v>2.811</v>
      </c>
      <c r="O9397" s="38" t="n">
        <f aca="false">Sens!$O$9307</f>
        <v>3.124</v>
      </c>
    </row>
    <row r="9398" customFormat="false" ht="17.15" hidden="false" customHeight="false" outlineLevel="0" collapsed="false">
      <c r="A9398" s="0" t="s">
        <v>717</v>
      </c>
      <c r="B9398" s="0" t="s">
        <v>86</v>
      </c>
      <c r="C9398" s="38" t="n">
        <f aca="false">Sens!$C$9379</f>
        <v>107.556</v>
      </c>
      <c r="D9398" s="38" t="n">
        <f aca="false">Sens!$D$9379</f>
        <v>128.725</v>
      </c>
      <c r="E9398" s="38" t="n">
        <f aca="false">Sens!$E$9379</f>
        <v>79.819</v>
      </c>
      <c r="F9398" s="38" t="n">
        <f aca="false">Sens!$F$9379</f>
        <v>86.7327334389669</v>
      </c>
      <c r="G9398" s="38" t="n">
        <f aca="false">Sens!$G$9379</f>
        <v>166.551733438967</v>
      </c>
      <c r="H9398" s="38" t="n">
        <f aca="false">Sens!$H$9379</f>
        <v>221.182967828978</v>
      </c>
      <c r="I9398" s="38" t="n">
        <f aca="false">Sens!$I$9379</f>
        <v>280.27345865789</v>
      </c>
      <c r="J9398" s="38" t="n">
        <f aca="false">Sens!$J$9379</f>
        <v>338.800945197185</v>
      </c>
      <c r="K9398" s="38" t="n">
        <f aca="false">Sens!$K$9379</f>
        <v>389.88570147276</v>
      </c>
      <c r="L9398" s="38" t="n">
        <f aca="false">Sens!$L$9379</f>
        <v>430.080689379143</v>
      </c>
      <c r="M9398" s="38" t="n">
        <f aca="false">Sens!$M$9379</f>
        <v>459.456235951751</v>
      </c>
      <c r="N9398" s="38" t="n">
        <f aca="false">Sens!$N$9379</f>
        <v>60.14</v>
      </c>
      <c r="O9398" s="38" t="n">
        <f aca="false">Sens!$O$9379</f>
        <v>68.585</v>
      </c>
    </row>
    <row r="9399" customFormat="false" ht="15" hidden="false" customHeight="false" outlineLevel="0" collapsed="false">
      <c r="A9399" s="1" t="s">
        <v>512</v>
      </c>
      <c r="B9399" s="8" t="s">
        <v>86</v>
      </c>
      <c r="C9399" s="38" t="n">
        <f aca="false">Sens!$C$9312</f>
        <v>387.497</v>
      </c>
      <c r="D9399" s="38" t="n">
        <f aca="false">Sens!$D$9312</f>
        <v>426.305</v>
      </c>
      <c r="E9399" s="38" t="n">
        <f aca="false">Sens!$E$9312</f>
        <v>220.32</v>
      </c>
      <c r="F9399" s="38" t="n">
        <f aca="false">Sens!$F$9312</f>
        <v>250.639773480586</v>
      </c>
      <c r="G9399" s="38" t="n">
        <f aca="false">Sens!$G$9312</f>
        <v>470.959773480586</v>
      </c>
      <c r="H9399" s="38" t="n">
        <f aca="false">Sens!$H$9312</f>
        <v>521.386990416437</v>
      </c>
      <c r="I9399" s="38" t="n">
        <f aca="false">Sens!$I$9312</f>
        <v>570.143862887555</v>
      </c>
      <c r="J9399" s="38" t="n">
        <f aca="false">Sens!$J$9312</f>
        <v>615.391435791933</v>
      </c>
      <c r="K9399" s="38" t="n">
        <f aca="false">Sens!$K$9312</f>
        <v>655.208227561543</v>
      </c>
      <c r="L9399" s="38" t="n">
        <f aca="false">Sens!$L$9312</f>
        <v>697.807739249767</v>
      </c>
      <c r="M9399" s="38" t="n">
        <f aca="false">Sens!$M$9312</f>
        <v>743.399328463592</v>
      </c>
      <c r="N9399" s="38" t="n">
        <f aca="false">Sens!$N$9312</f>
        <v>192.955</v>
      </c>
      <c r="O9399" s="38" t="n">
        <f aca="false">Sens!$O$9312</f>
        <v>233.35</v>
      </c>
    </row>
    <row r="9400" customFormat="false" ht="15" hidden="false" customHeight="false" outlineLevel="0" collapsed="false">
      <c r="A9400" s="1" t="s">
        <v>515</v>
      </c>
      <c r="B9400" s="8" t="s">
        <v>86</v>
      </c>
      <c r="C9400" s="38" t="n">
        <f aca="false">Sens!$C$9313</f>
        <v>142.906</v>
      </c>
      <c r="D9400" s="38" t="n">
        <f aca="false">Sens!$D$9313</f>
        <v>161.894</v>
      </c>
      <c r="E9400" s="38" t="n">
        <f aca="false">Sens!$E$9313</f>
        <v>81.986</v>
      </c>
      <c r="F9400" s="38" t="n">
        <f aca="false">Sens!$F$9313</f>
        <v>98.408468164951</v>
      </c>
      <c r="G9400" s="38" t="n">
        <f aca="false">Sens!$G$9313</f>
        <v>180.394468164951</v>
      </c>
      <c r="H9400" s="38" t="n">
        <f aca="false">Sens!$H$9313</f>
        <v>199.709899104949</v>
      </c>
      <c r="I9400" s="38" t="n">
        <f aca="false">Sens!$I$9313</f>
        <v>218.385528264976</v>
      </c>
      <c r="J9400" s="38" t="n">
        <f aca="false">Sens!$J$9313</f>
        <v>235.71696994951</v>
      </c>
      <c r="K9400" s="38" t="n">
        <f aca="false">Sens!$K$9313</f>
        <v>250.968227869545</v>
      </c>
      <c r="L9400" s="38" t="n">
        <f aca="false">Sens!$L$9313</f>
        <v>267.285367225822</v>
      </c>
      <c r="M9400" s="38" t="n">
        <f aca="false">Sens!$M$9313</f>
        <v>284.748579483295</v>
      </c>
      <c r="N9400" s="38" t="n">
        <f aca="false">Sens!$N$9313</f>
        <v>70.274</v>
      </c>
      <c r="O9400" s="38" t="n">
        <f aca="false">Sens!$O$9313</f>
        <v>91.62</v>
      </c>
    </row>
    <row r="9401" customFormat="false" ht="15" hidden="false" customHeight="false" outlineLevel="0" collapsed="false">
      <c r="A9401" s="1" t="s">
        <v>516</v>
      </c>
      <c r="B9401" s="8" t="s">
        <v>86</v>
      </c>
      <c r="C9401" s="38" t="n">
        <f aca="false">Sens!$C$9379</f>
        <v>107.556</v>
      </c>
      <c r="D9401" s="38" t="n">
        <f aca="false">Sens!$D$9379</f>
        <v>128.725</v>
      </c>
      <c r="E9401" s="38" t="n">
        <f aca="false">Sens!$E$9379</f>
        <v>79.819</v>
      </c>
      <c r="F9401" s="38" t="n">
        <f aca="false">Sens!$F$9379</f>
        <v>86.7327334389669</v>
      </c>
      <c r="G9401" s="38" t="n">
        <f aca="false">Sens!$G$9379</f>
        <v>166.551733438967</v>
      </c>
      <c r="H9401" s="38" t="n">
        <f aca="false">Sens!$H$9379</f>
        <v>221.182967828978</v>
      </c>
      <c r="I9401" s="38" t="n">
        <f aca="false">Sens!$I$9379</f>
        <v>280.27345865789</v>
      </c>
      <c r="J9401" s="38" t="n">
        <f aca="false">Sens!$J$9379</f>
        <v>338.800945197185</v>
      </c>
      <c r="K9401" s="38" t="n">
        <f aca="false">Sens!$K$9379</f>
        <v>389.88570147276</v>
      </c>
      <c r="L9401" s="38" t="n">
        <f aca="false">Sens!$L$9379</f>
        <v>430.080689379143</v>
      </c>
      <c r="M9401" s="38" t="n">
        <f aca="false">Sens!$M$9379</f>
        <v>459.456235951751</v>
      </c>
      <c r="N9401" s="38" t="n">
        <f aca="false">Sens!$N$9379</f>
        <v>60.14</v>
      </c>
      <c r="O9401" s="38" t="n">
        <f aca="false">Sens!$O$9379</f>
        <v>68.585</v>
      </c>
    </row>
    <row r="9402" customFormat="false" ht="17.15" hidden="false" customHeight="false" outlineLevel="0" collapsed="false">
      <c r="A9402" s="0" t="s">
        <v>691</v>
      </c>
      <c r="B9402" s="0" t="s">
        <v>86</v>
      </c>
      <c r="C9402" s="38" t="n">
        <f aca="false">Sens!$C$9377</f>
        <v>2.32100535697364</v>
      </c>
      <c r="D9402" s="38" t="n">
        <f aca="false">Sens!$D$9377</f>
        <v>8.70377008865116</v>
      </c>
      <c r="E9402" s="38" t="n">
        <f aca="false">Sens!$E$9377</f>
        <v>8.51035297557002</v>
      </c>
      <c r="F9402" s="38" t="n">
        <f aca="false">Sens!$F$9377</f>
        <v>14.9634336447205</v>
      </c>
      <c r="G9402" s="38" t="n">
        <f aca="false">Sens!$G$9377</f>
        <v>23.4737866202905</v>
      </c>
      <c r="H9402" s="38" t="n">
        <f aca="false">Sens!$H$9377</f>
        <v>60.1658907497746</v>
      </c>
      <c r="I9402" s="38" t="n">
        <f aca="false">Sens!$I$9377</f>
        <v>101.503699136432</v>
      </c>
      <c r="J9402" s="38" t="n">
        <f aca="false">Sens!$J$9377</f>
        <v>143.025407151278</v>
      </c>
      <c r="K9402" s="38" t="n">
        <f aca="false">Sens!$K$9377</f>
        <v>178.44812038318</v>
      </c>
      <c r="L9402" s="38" t="n">
        <f aca="false">Sens!$L$9377</f>
        <v>201.728101802396</v>
      </c>
      <c r="M9402" s="38" t="n">
        <f aca="false">Sens!$M$9377</f>
        <v>212.835441368865</v>
      </c>
      <c r="N9402" s="38" t="n">
        <f aca="false">Sens!$N$9377</f>
        <v>3.04631953102791</v>
      </c>
      <c r="O9402" s="38" t="n">
        <f aca="false">Sens!$O$9377</f>
        <v>5.65745055762326</v>
      </c>
    </row>
    <row r="9403" customFormat="false" ht="17.15" hidden="false" customHeight="false" outlineLevel="0" collapsed="false">
      <c r="A9403" s="0" t="s">
        <v>693</v>
      </c>
      <c r="B9403" s="0" t="s">
        <v>86</v>
      </c>
      <c r="C9403" s="38" t="n">
        <f aca="false">Sens!$C$9378</f>
        <v>105.234994643026</v>
      </c>
      <c r="D9403" s="38" t="n">
        <f aca="false">Sens!$D$9378</f>
        <v>120.021229911349</v>
      </c>
      <c r="E9403" s="38" t="n">
        <f aca="false">Sens!$E$9378</f>
        <v>71.30864702443</v>
      </c>
      <c r="F9403" s="38" t="n">
        <f aca="false">Sens!$F$9378</f>
        <v>71.7692997942464</v>
      </c>
      <c r="G9403" s="38" t="n">
        <f aca="false">Sens!$G$9378</f>
        <v>143.077946818676</v>
      </c>
      <c r="H9403" s="38" t="n">
        <f aca="false">Sens!$H$9378</f>
        <v>161.017077079203</v>
      </c>
      <c r="I9403" s="38" t="n">
        <f aca="false">Sens!$I$9378</f>
        <v>178.769759521457</v>
      </c>
      <c r="J9403" s="38" t="n">
        <f aca="false">Sens!$J$9378</f>
        <v>195.775538045907</v>
      </c>
      <c r="K9403" s="38" t="n">
        <f aca="false">Sens!$K$9378</f>
        <v>211.43758108958</v>
      </c>
      <c r="L9403" s="38" t="n">
        <f aca="false">Sens!$L$9378</f>
        <v>228.352587576746</v>
      </c>
      <c r="M9403" s="38" t="n">
        <f aca="false">Sens!$M$9378</f>
        <v>246.620794582886</v>
      </c>
      <c r="N9403" s="38" t="n">
        <f aca="false">Sens!$N$9378</f>
        <v>57.0936804689721</v>
      </c>
      <c r="O9403" s="38" t="n">
        <f aca="false">Sens!$O$9378</f>
        <v>62.9275494423768</v>
      </c>
    </row>
    <row r="9404" customFormat="false" ht="15" hidden="false" customHeight="false" outlineLevel="0" collapsed="false">
      <c r="A9404" s="3" t="s">
        <v>517</v>
      </c>
      <c r="B9404" s="8" t="s">
        <v>86</v>
      </c>
      <c r="C9404" s="38" t="n">
        <f aca="false">Sens!$C$9380</f>
        <v>637.959</v>
      </c>
      <c r="D9404" s="38" t="n">
        <f aca="false">Sens!$D$9380</f>
        <v>716.924</v>
      </c>
      <c r="E9404" s="38" t="n">
        <f aca="false">Sens!$E$9380</f>
        <v>382.125</v>
      </c>
      <c r="F9404" s="38" t="n">
        <f aca="false">Sens!$F$9380</f>
        <v>435.780975084504</v>
      </c>
      <c r="G9404" s="38" t="n">
        <f aca="false">Sens!$G$9380</f>
        <v>817.905975084504</v>
      </c>
      <c r="H9404" s="38" t="n">
        <f aca="false">Sens!$H$9380</f>
        <v>942.279857350364</v>
      </c>
      <c r="I9404" s="38" t="n">
        <f aca="false">Sens!$I$9380</f>
        <v>1068.80284981042</v>
      </c>
      <c r="J9404" s="38" t="n">
        <f aca="false">Sens!$J$9380</f>
        <v>1189.90935093863</v>
      </c>
      <c r="K9404" s="38" t="n">
        <f aca="false">Sens!$K$9380</f>
        <v>1296.06215690385</v>
      </c>
      <c r="L9404" s="38" t="n">
        <f aca="false">Sens!$L$9380</f>
        <v>1395.17379585473</v>
      </c>
      <c r="M9404" s="38" t="n">
        <f aca="false">Sens!$M$9380</f>
        <v>1487.60414389864</v>
      </c>
      <c r="N9404" s="38" t="n">
        <f aca="false">Sens!$N$9380</f>
        <v>323.369</v>
      </c>
      <c r="O9404" s="38" t="n">
        <f aca="false">Sens!$O$9380</f>
        <v>393.555</v>
      </c>
    </row>
    <row r="9405" customFormat="false" ht="17.15" hidden="false" customHeight="false" outlineLevel="0" collapsed="false">
      <c r="A9405" s="24" t="s">
        <v>703</v>
      </c>
      <c r="B9405" s="25" t="s">
        <v>86</v>
      </c>
      <c r="C9405" s="41" t="n">
        <f aca="false">Sens!$C$9392+Sens!$C$9393+Sens!$C$9394+Sens!$C$9395+Sens!$C$9396+Sens!$C$9397-(Sens!$C$9399+Sens!$C$9400)</f>
        <v>0</v>
      </c>
      <c r="D9405" s="41" t="n">
        <f aca="false">Sens!$D$9392+Sens!$D$9393+Sens!$D$9394+Sens!$D$9395+Sens!$D$9396+Sens!$D$9397-(Sens!$D$9399+Sens!$D$9400)</f>
        <v>0</v>
      </c>
      <c r="E9405" s="41" t="n">
        <f aca="false">Sens!$E$9392+Sens!$E$9393+Sens!$E$9394+Sens!$E$9395+Sens!$E$9396+Sens!$E$9397-(Sens!$E$9399+Sens!$E$9400)</f>
        <v>0</v>
      </c>
      <c r="F9405" s="41" t="n">
        <f aca="false">Sens!$F$9392+Sens!$F$9393+Sens!$F$9394+Sens!$F$9395+Sens!$F$9396+Sens!$F$9397-(Sens!$F$9399+Sens!$F$9400)</f>
        <v>0</v>
      </c>
      <c r="G9405" s="41" t="n">
        <f aca="false">Sens!$G$9392+Sens!$G$9393+Sens!$G$9394+Sens!$G$9395+Sens!$G$9396+Sens!$G$9397-(Sens!$G$9399+Sens!$G$9400)</f>
        <v>0</v>
      </c>
      <c r="H9405" s="41" t="n">
        <f aca="false">Sens!$H$9392+Sens!$H$9393+Sens!$H$9394+Sens!$H$9395+Sens!$H$9396+Sens!$H$9397-(Sens!$H$9399+Sens!$H$9400)</f>
        <v>0</v>
      </c>
      <c r="I9405" s="41" t="n">
        <f aca="false">Sens!$I$9392+Sens!$I$9393+Sens!$I$9394+Sens!$I$9395+Sens!$I$9396+Sens!$I$9397-(Sens!$I$9399+Sens!$I$9400)</f>
        <v>0</v>
      </c>
      <c r="J9405" s="41" t="n">
        <f aca="false">Sens!$J$9392+Sens!$J$9393+Sens!$J$9394+Sens!$J$9395+Sens!$J$9396+Sens!$J$9397-(Sens!$J$9399+Sens!$J$9400)</f>
        <v>0</v>
      </c>
      <c r="K9405" s="41" t="n">
        <f aca="false">Sens!$K$9392+Sens!$K$9393+Sens!$K$9394+Sens!$K$9395+Sens!$K$9396+Sens!$K$9397-(Sens!$K$9399+Sens!$K$9400)</f>
        <v>0</v>
      </c>
      <c r="L9405" s="41" t="n">
        <f aca="false">Sens!$L$9392+Sens!$L$9393+Sens!$L$9394+Sens!$L$9395+Sens!$L$9396+Sens!$L$9397-(Sens!$L$9399+Sens!$L$9400)</f>
        <v>0</v>
      </c>
      <c r="M9405" s="41" t="n">
        <f aca="false">Sens!$M$9392+Sens!$M$9393+Sens!$M$9394+Sens!$M$9395+Sens!$M$9396+Sens!$M$9397-(Sens!$M$9399+Sens!$M$9400)</f>
        <v>0</v>
      </c>
      <c r="N9405" s="41" t="n">
        <f aca="false">Sens!$N$9392+Sens!$N$9393+Sens!$N$9394+Sens!$N$9395+Sens!$N$9396+Sens!$N$9397-(Sens!$N$9399+Sens!$N$9400)</f>
        <v>0</v>
      </c>
      <c r="O9405" s="41" t="n">
        <f aca="false">Sens!$O$9392+Sens!$O$9393+Sens!$O$9394+Sens!$O$9395+Sens!$O$9396+Sens!$O$9397-(Sens!$O$9399+Sens!$O$9400)</f>
        <v>0</v>
      </c>
    </row>
    <row r="9406" customFormat="false" ht="17.15" hidden="false" customHeight="false" outlineLevel="0" collapsed="false">
      <c r="A9406" s="24" t="s">
        <v>704</v>
      </c>
      <c r="B9406" s="25" t="s">
        <v>86</v>
      </c>
      <c r="C9406" s="41" t="n">
        <f aca="false">Sens!$C$9402+Sens!$C$9403-Sens!$C$9401</f>
        <v>0</v>
      </c>
      <c r="D9406" s="41" t="n">
        <f aca="false">Sens!$D$9402+Sens!$D$9403-Sens!$D$9401</f>
        <v>0</v>
      </c>
      <c r="E9406" s="41" t="n">
        <f aca="false">Sens!$E$9402+Sens!$E$9403-Sens!$E$9401</f>
        <v>0</v>
      </c>
      <c r="F9406" s="41" t="n">
        <f aca="false">Sens!$F$9402+Sens!$F$9403-Sens!$F$9401</f>
        <v>0</v>
      </c>
      <c r="G9406" s="41" t="n">
        <f aca="false">Sens!$G$9402+Sens!$G$9403-Sens!$G$9401</f>
        <v>0</v>
      </c>
      <c r="H9406" s="41" t="n">
        <f aca="false">Sens!$H$9402+Sens!$H$9403-Sens!$H$9401</f>
        <v>0</v>
      </c>
      <c r="I9406" s="41" t="n">
        <f aca="false">Sens!$I$9402+Sens!$I$9403-Sens!$I$9401</f>
        <v>0</v>
      </c>
      <c r="J9406" s="41" t="n">
        <f aca="false">Sens!$J$9402+Sens!$J$9403-Sens!$J$9401</f>
        <v>0</v>
      </c>
      <c r="K9406" s="41" t="n">
        <f aca="false">Sens!$K$9402+Sens!$K$9403-Sens!$K$9401</f>
        <v>0</v>
      </c>
      <c r="L9406" s="41" t="n">
        <f aca="false">Sens!$L$9402+Sens!$L$9403-Sens!$L$9401</f>
        <v>0</v>
      </c>
      <c r="M9406" s="41" t="n">
        <f aca="false">Sens!$M$9402+Sens!$M$9403-Sens!$M$9401</f>
        <v>0</v>
      </c>
      <c r="N9406" s="41" t="n">
        <f aca="false">Sens!$N$9402+Sens!$N$9403-Sens!$N$9401</f>
        <v>0</v>
      </c>
      <c r="O9406" s="41" t="n">
        <f aca="false">Sens!$O$9402+Sens!$O$9403-Sens!$O$9401</f>
        <v>0</v>
      </c>
    </row>
    <row r="9407" customFormat="false" ht="17.15" hidden="false" customHeight="false" outlineLevel="0" collapsed="false">
      <c r="A9407" s="24" t="s">
        <v>763</v>
      </c>
      <c r="B9407" s="25" t="s">
        <v>86</v>
      </c>
      <c r="C9407" s="41" t="n">
        <f aca="false">Sens!$C$9392+Sens!$C$9393+Sens!$C$9394+Sens!$C$9395+Sens!$C$9396+Sens!$C$9397+Sens!$C$9398-Sens!$C$9404</f>
        <v>0</v>
      </c>
      <c r="D9407" s="41" t="n">
        <f aca="false">Sens!$D$9392+Sens!$D$9393+Sens!$D$9394+Sens!$D$9395+Sens!$D$9396+Sens!$D$9397+Sens!$D$9398-Sens!$D$9404</f>
        <v>0</v>
      </c>
      <c r="E9407" s="41" t="n">
        <f aca="false">Sens!$E$9392+Sens!$E$9393+Sens!$E$9394+Sens!$E$9395+Sens!$E$9396+Sens!$E$9397+Sens!$E$9398-Sens!$E$9404</f>
        <v>0</v>
      </c>
      <c r="F9407" s="41" t="n">
        <f aca="false">Sens!$F$9392+Sens!$F$9393+Sens!$F$9394+Sens!$F$9395+Sens!$F$9396+Sens!$F$9397+Sens!$F$9398-Sens!$F$9404</f>
        <v>0</v>
      </c>
      <c r="G9407" s="41" t="n">
        <f aca="false">Sens!$G$9392+Sens!$G$9393+Sens!$G$9394+Sens!$G$9395+Sens!$G$9396+Sens!$G$9397+Sens!$G$9398-Sens!$G$9404</f>
        <v>0</v>
      </c>
      <c r="H9407" s="41" t="n">
        <f aca="false">Sens!$H$9392+Sens!$H$9393+Sens!$H$9394+Sens!$H$9395+Sens!$H$9396+Sens!$H$9397+Sens!$H$9398-Sens!$H$9404</f>
        <v>0</v>
      </c>
      <c r="I9407" s="41" t="n">
        <f aca="false">Sens!$I$9392+Sens!$I$9393+Sens!$I$9394+Sens!$I$9395+Sens!$I$9396+Sens!$I$9397+Sens!$I$9398-Sens!$I$9404</f>
        <v>0</v>
      </c>
      <c r="J9407" s="41" t="n">
        <f aca="false">Sens!$J$9392+Sens!$J$9393+Sens!$J$9394+Sens!$J$9395+Sens!$J$9396+Sens!$J$9397+Sens!$J$9398-Sens!$J$9404</f>
        <v>0</v>
      </c>
      <c r="K9407" s="41" t="n">
        <f aca="false">Sens!$K$9392+Sens!$K$9393+Sens!$K$9394+Sens!$K$9395+Sens!$K$9396+Sens!$K$9397+Sens!$K$9398-Sens!$K$9404</f>
        <v>0</v>
      </c>
      <c r="L9407" s="41" t="n">
        <f aca="false">Sens!$L$9392+Sens!$L$9393+Sens!$L$9394+Sens!$L$9395+Sens!$L$9396+Sens!$L$9397+Sens!$L$9398-Sens!$L$9404</f>
        <v>0</v>
      </c>
      <c r="M9407" s="41" t="n">
        <f aca="false">Sens!$M$9392+Sens!$M$9393+Sens!$M$9394+Sens!$M$9395+Sens!$M$9396+Sens!$M$9397+Sens!$M$9398-Sens!$M$9404</f>
        <v>0</v>
      </c>
      <c r="N9407" s="41" t="n">
        <f aca="false">Sens!$N$9392+Sens!$N$9393+Sens!$N$9394+Sens!$N$9395+Sens!$N$9396+Sens!$N$9397+Sens!$N$9398-Sens!$N$9404</f>
        <v>0</v>
      </c>
      <c r="O9407" s="41" t="n">
        <f aca="false">Sens!$O$9392+Sens!$O$9393+Sens!$O$9394+Sens!$O$9395+Sens!$O$9396+Sens!$O$9397+Sens!$O$9398-Sens!$O$9404</f>
        <v>0</v>
      </c>
    </row>
    <row r="9408" customFormat="false" ht="17.15" hidden="false" customHeight="false" outlineLevel="0" collapsed="false">
      <c r="A9408" s="24" t="s">
        <v>705</v>
      </c>
      <c r="B9408" s="25" t="s">
        <v>86</v>
      </c>
      <c r="C9408" s="41" t="n">
        <f aca="false">Sens!$C$9399+Sens!$C$9400+Sens!$C$9401-Sens!$C$9404</f>
        <v>0</v>
      </c>
      <c r="D9408" s="41" t="n">
        <f aca="false">Sens!$D$9399+Sens!$D$9400+Sens!$D$9401-Sens!$D$9404</f>
        <v>0</v>
      </c>
      <c r="E9408" s="41" t="n">
        <f aca="false">Sens!$E$9399+Sens!$E$9400+Sens!$E$9401-Sens!$E$9404</f>
        <v>0</v>
      </c>
      <c r="F9408" s="41" t="n">
        <f aca="false">Sens!$F$9399+Sens!$F$9400+Sens!$F$9401-Sens!$F$9404</f>
        <v>0</v>
      </c>
      <c r="G9408" s="41" t="n">
        <f aca="false">Sens!$G$9399+Sens!$G$9400+Sens!$G$9401-Sens!$G$9404</f>
        <v>0</v>
      </c>
      <c r="H9408" s="41" t="n">
        <f aca="false">Sens!$H$9399+Sens!$H$9400+Sens!$H$9401-Sens!$H$9404</f>
        <v>0</v>
      </c>
      <c r="I9408" s="41" t="n">
        <f aca="false">Sens!$I$9399+Sens!$I$9400+Sens!$I$9401-Sens!$I$9404</f>
        <v>0</v>
      </c>
      <c r="J9408" s="41" t="n">
        <f aca="false">Sens!$J$9399+Sens!$J$9400+Sens!$J$9401-Sens!$J$9404</f>
        <v>0</v>
      </c>
      <c r="K9408" s="41" t="n">
        <f aca="false">Sens!$K$9399+Sens!$K$9400+Sens!$K$9401-Sens!$K$9404</f>
        <v>0</v>
      </c>
      <c r="L9408" s="41" t="n">
        <f aca="false">Sens!$L$9399+Sens!$L$9400+Sens!$L$9401-Sens!$L$9404</f>
        <v>0</v>
      </c>
      <c r="M9408" s="41" t="n">
        <f aca="false">Sens!$M$9399+Sens!$M$9400+Sens!$M$9401-Sens!$M$9404</f>
        <v>0</v>
      </c>
      <c r="N9408" s="41" t="n">
        <f aca="false">Sens!$N$9399+Sens!$N$9400+Sens!$N$9401-Sens!$N$9404</f>
        <v>0</v>
      </c>
      <c r="O9408" s="41" t="n">
        <f aca="false">Sens!$O$9399+Sens!$O$9400+Sens!$O$9401-Sens!$O$9404</f>
        <v>0</v>
      </c>
    </row>
    <row r="9409" customFormat="false" ht="17.15" hidden="false" customHeight="false" outlineLevel="0" collapsed="false">
      <c r="A9409" s="1" t="s">
        <v>719</v>
      </c>
    </row>
    <row r="9410" customFormat="false" ht="17.15" hidden="false" customHeight="false" outlineLevel="0" collapsed="false">
      <c r="A9410" s="0" t="s">
        <v>720</v>
      </c>
      <c r="B9410" s="0" t="s">
        <v>86</v>
      </c>
      <c r="C9410" s="38" t="n">
        <f aca="false">Sens!$C$9314*m_ad</f>
        <v>20.5341564414228</v>
      </c>
      <c r="D9410" s="38" t="n">
        <f aca="false">Sens!$D$9314*m_ad</f>
        <v>24.8720617299587</v>
      </c>
      <c r="E9410" s="38" t="n">
        <f aca="false">Sens!$E$9314*m_ad</f>
        <v>13.5017112462207</v>
      </c>
      <c r="F9410" s="38" t="n">
        <f aca="false">Sens!$F$9314*m_ad</f>
        <v>16.5719724165257</v>
      </c>
      <c r="G9410" s="38" t="n">
        <f aca="false">Sens!$G$9314*m_ad</f>
        <v>30.0820919220415</v>
      </c>
      <c r="H9410" s="38" t="n">
        <f aca="false">Sens!$H$9314*m_ad</f>
        <v>36.1150883276314</v>
      </c>
      <c r="I9410" s="38" t="n">
        <f aca="false">Sens!$I$9314*m_ad</f>
        <v>42.1475382231996</v>
      </c>
      <c r="J9410" s="38" t="n">
        <f aca="false">Sens!$J$9314*m_ad</f>
        <v>47.7749523864693</v>
      </c>
      <c r="K9410" s="38" t="n">
        <f aca="false">Sens!$K$9314*m_ad</f>
        <v>52.5524476251162</v>
      </c>
      <c r="L9410" s="38" t="n">
        <f aca="false">Sens!$L$9314*m_ad</f>
        <v>57.8076923876279</v>
      </c>
      <c r="M9410" s="38" t="n">
        <f aca="false">Sens!$M$9314*m_ad</f>
        <v>63.5884616263907</v>
      </c>
      <c r="N9410" s="38" t="n">
        <f aca="false">Sens!$N$9314*m_ad</f>
        <v>10.8543555706248</v>
      </c>
      <c r="O9410" s="38" t="n">
        <f aca="false">Sens!$O$9314*m_ad</f>
        <v>14.0094731821399</v>
      </c>
    </row>
    <row r="9411" customFormat="false" ht="17.15" hidden="false" customHeight="false" outlineLevel="0" collapsed="false">
      <c r="A9411" s="0" t="s">
        <v>721</v>
      </c>
      <c r="B9411" s="0" t="s">
        <v>86</v>
      </c>
      <c r="C9411" s="38" t="n">
        <f aca="false">Sens!$C$9312-Sens!$C$9314</f>
        <v>346.428687117154</v>
      </c>
      <c r="D9411" s="38" t="n">
        <f aca="false">Sens!$D$9312-Sens!$D$9314</f>
        <v>376.560876540083</v>
      </c>
      <c r="E9411" s="38" t="n">
        <f aca="false">Sens!$E$9312-Sens!$E$9314</f>
        <v>193.316577507559</v>
      </c>
      <c r="F9411" s="38" t="n">
        <f aca="false">Sens!$F$9312-Sens!$F$9314</f>
        <v>217.495828647535</v>
      </c>
      <c r="G9411" s="38" t="n">
        <f aca="false">Sens!$G$9312-Sens!$G$9314</f>
        <v>410.795589636503</v>
      </c>
      <c r="H9411" s="38" t="n">
        <f aca="false">Sens!$H$9312-Sens!$H$9314</f>
        <v>449.156813761174</v>
      </c>
      <c r="I9411" s="38" t="n">
        <f aca="false">Sens!$I$9312-Sens!$I$9314</f>
        <v>485.848786441156</v>
      </c>
      <c r="J9411" s="38" t="n">
        <f aca="false">Sens!$J$9312-Sens!$J$9314</f>
        <v>519.841531018994</v>
      </c>
      <c r="K9411" s="38" t="n">
        <f aca="false">Sens!$K$9312-Sens!$K$9314</f>
        <v>550.103332311311</v>
      </c>
      <c r="L9411" s="38" t="n">
        <f aca="false">Sens!$L$9312-Sens!$L$9314</f>
        <v>582.192354474511</v>
      </c>
      <c r="M9411" s="38" t="n">
        <f aca="false">Sens!$M$9312-Sens!$M$9314</f>
        <v>616.22240521081</v>
      </c>
      <c r="N9411" s="38" t="n">
        <f aca="false">Sens!$N$9312-Sens!$N$9314</f>
        <v>171.24628885875</v>
      </c>
      <c r="O9411" s="38" t="n">
        <f aca="false">Sens!$O$9312-Sens!$O$9314</f>
        <v>205.33105363572</v>
      </c>
    </row>
    <row r="9412" customFormat="false" ht="17.15" hidden="false" customHeight="false" outlineLevel="0" collapsed="false">
      <c r="A9412" s="0" t="s">
        <v>722</v>
      </c>
      <c r="B9412" s="0" t="s">
        <v>86</v>
      </c>
      <c r="C9412" s="38" t="n">
        <f aca="false">Sens!$C$9363*Sens!$C$9311</f>
        <v>0.123617442257179</v>
      </c>
      <c r="D9412" s="38" t="n">
        <f aca="false">Sens!$D$9363*Sens!$D$9311</f>
        <v>0.600198046024689</v>
      </c>
      <c r="E9412" s="38" t="n">
        <f aca="false">Sens!$E$9363*Sens!$E$9311</f>
        <v>0.970552432202993</v>
      </c>
      <c r="F9412" s="38" t="n">
        <f aca="false">Sens!$F$9363*Sens!$F$9311</f>
        <v>1.20013524388435</v>
      </c>
      <c r="G9412" s="38" t="n">
        <f aca="false">Sens!$G$9363*Sens!$G$9311</f>
        <v>2.17135369594947</v>
      </c>
      <c r="H9412" s="38" t="n">
        <f aca="false">Sens!$H$9363*Sens!$H$9311</f>
        <v>6.14227489656333</v>
      </c>
      <c r="I9412" s="38" t="n">
        <f aca="false">Sens!$I$9363*Sens!$I$9311</f>
        <v>11.6518054969681</v>
      </c>
      <c r="J9412" s="38" t="n">
        <f aca="false">Sens!$J$9363*Sens!$J$9311</f>
        <v>17.3105301010592</v>
      </c>
      <c r="K9412" s="38" t="n">
        <f aca="false">Sens!$K$9363*Sens!$K$9311</f>
        <v>22.8486728059883</v>
      </c>
      <c r="L9412" s="38" t="n">
        <f aca="false">Sens!$L$9363*Sens!$L$9311</f>
        <v>26.6849171332777</v>
      </c>
      <c r="M9412" s="38" t="n">
        <f aca="false">Sens!$M$9363*Sens!$M$9311</f>
        <v>29.0523240317336</v>
      </c>
      <c r="N9412" s="38" t="n">
        <f aca="false">Sens!$N$9363*Sens!$N$9311</f>
        <v>0.25053229484398</v>
      </c>
      <c r="O9412" s="38" t="n">
        <f aca="false">Sens!$O$9363*Sens!$O$9311</f>
        <v>0.349234376756897</v>
      </c>
    </row>
    <row r="9413" customFormat="false" ht="17.15" hidden="false" customHeight="false" outlineLevel="0" collapsed="false">
      <c r="A9413" s="0" t="s">
        <v>723</v>
      </c>
      <c r="B9413" s="0" t="s">
        <v>52</v>
      </c>
      <c r="C9413" s="28" t="n">
        <f aca="false">(Sens!$C$9414-Sens!$C$9410+Sens!$C$9412)/Sens!$C$9411</f>
        <v>0.0131526665379575</v>
      </c>
      <c r="D9413" s="28" t="n">
        <f aca="false">(Sens!$D$9414-Sens!$D$9410+Sens!$D$9412)/Sens!$D$9411</f>
        <v>0.0141999252954702</v>
      </c>
      <c r="E9413" s="28" t="n">
        <f aca="false">(Sens!$E$9414-Sens!$E$9410+Sens!$E$9412)/Sens!$E$9411</f>
        <v>0.0251341154940129</v>
      </c>
      <c r="F9413" s="28" t="n">
        <f aca="false">Sens!$O$9413+(Sens!$E$9413-Sens!$N$9413)</f>
        <v>0.0217171685713677</v>
      </c>
      <c r="G9413" s="28" t="n">
        <f aca="false">(Sens!$G$9414-Sens!$G$9410+Sens!$G$9412)/Sens!$G$9411</f>
        <v>0.0233071940458981</v>
      </c>
      <c r="H9413" s="28" t="n">
        <f aca="false">Sens!$G$9413+step_na</f>
        <v>0.0263071940458981</v>
      </c>
      <c r="I9413" s="28" t="n">
        <f aca="false">Sens!$H$9413+step_na</f>
        <v>0.0293071940458981</v>
      </c>
      <c r="J9413" s="28" t="n">
        <f aca="false">Sens!$I$9413+step_na</f>
        <v>0.0323071940458981</v>
      </c>
      <c r="K9413" s="28" t="n">
        <f aca="false">Sens!$J$9413+step_na</f>
        <v>0.0353071940458981</v>
      </c>
      <c r="L9413" s="28" t="n">
        <f aca="false">Sens!$K$9413</f>
        <v>0.0353071940458981</v>
      </c>
      <c r="M9413" s="28" t="n">
        <f aca="false">Sens!$L$9413</f>
        <v>0.0353071940458981</v>
      </c>
      <c r="N9413" s="28" t="n">
        <f aca="false">(Sens!$N$9414-Sens!$N$9410+Sens!$N$9412)/Sens!$N$9411</f>
        <v>0.0160831323269779</v>
      </c>
      <c r="O9413" s="28" t="n">
        <f aca="false">(Sens!$O$9414-Sens!$O$9410+Sens!$O$9412)/Sens!$O$9411</f>
        <v>0.0126661854043327</v>
      </c>
      <c r="P9413" s="8" t="s">
        <v>724</v>
      </c>
    </row>
    <row r="9414" customFormat="false" ht="17.15" hidden="false" customHeight="false" outlineLevel="0" collapsed="false">
      <c r="A9414" s="1" t="s">
        <v>725</v>
      </c>
      <c r="B9414" s="8" t="s">
        <v>86</v>
      </c>
      <c r="C9414" s="38" t="n">
        <f aca="false">Q!$D$22</f>
        <v>24.967</v>
      </c>
      <c r="D9414" s="38" t="n">
        <f aca="false">Q!$E$22</f>
        <v>29.619</v>
      </c>
      <c r="E9414" s="38" t="n">
        <f aca="false">Q!$P$22</f>
        <v>17.39</v>
      </c>
      <c r="F9414" s="38" t="n">
        <f aca="false">Sens!$F$9410+Sens!$F$9411*Sens!$F$9413-Sens!$F$9412</f>
        <v>20.0952307469491</v>
      </c>
      <c r="G9414" s="38" t="n">
        <f aca="false">Sens!$E$9414+Sens!$F$9414</f>
        <v>37.4852307469491</v>
      </c>
      <c r="H9414" s="38" t="n">
        <f aca="false">Sens!$H$9410+Sens!$H$9411*Sens!$H$9413-Sens!$H$9412</f>
        <v>41.7888688877206</v>
      </c>
      <c r="I9414" s="38" t="n">
        <f aca="false">Sens!$I$9410+Sens!$I$9411*Sens!$I$9413-Sens!$I$9412</f>
        <v>44.7345973874265</v>
      </c>
      <c r="J9414" s="38" t="n">
        <f aca="false">Sens!$J$9410+Sens!$J$9411*Sens!$J$9413-Sens!$J$9412</f>
        <v>47.2590435011574</v>
      </c>
      <c r="K9414" s="38" t="n">
        <f aca="false">Sens!$K$9410+Sens!$K$9411*Sens!$K$9413-Sens!$K$9412</f>
        <v>49.1263799183386</v>
      </c>
      <c r="L9414" s="38" t="n">
        <f aca="false">Sens!$L$9410+Sens!$L$9411*Sens!$L$9413-Sens!$L$9412</f>
        <v>51.67835368582</v>
      </c>
      <c r="M9414" s="38" t="n">
        <f aca="false">Sens!$M$9410+Sens!$M$9411*Sens!$M$9413-Sens!$M$9412</f>
        <v>56.2932216308652</v>
      </c>
      <c r="N9414" s="38" t="n">
        <f aca="false">Q!$N$22</f>
        <v>13.358</v>
      </c>
      <c r="O9414" s="38" t="n">
        <f aca="false">Q!$O$22</f>
        <v>16.261</v>
      </c>
    </row>
    <row r="9415" customFormat="false" ht="17.15" hidden="false" customHeight="false" outlineLevel="0" collapsed="false">
      <c r="A9415" s="0" t="s">
        <v>726</v>
      </c>
      <c r="B9415" s="0" t="s">
        <v>86</v>
      </c>
      <c r="C9415" s="38" t="n">
        <f aca="false">Sens!$C$9315*m_ad</f>
        <v>7.57284355857716</v>
      </c>
      <c r="D9415" s="38" t="n">
        <f aca="false">Sens!$D$9315*m_ad</f>
        <v>9.44543827004127</v>
      </c>
      <c r="E9415" s="38" t="n">
        <f aca="false">Sens!$E$9315*m_ad</f>
        <v>5.02428875377928</v>
      </c>
      <c r="F9415" s="38" t="n">
        <f aca="false">Sens!$F$9315*m_ad</f>
        <v>6.50663858068173</v>
      </c>
      <c r="G9415" s="38" t="n">
        <f aca="false">Sens!$G$9315*m_ad</f>
        <v>11.5225190751659</v>
      </c>
      <c r="H9415" s="38" t="n">
        <f aca="false">Sens!$H$9315*m_ad</f>
        <v>13.8333728663174</v>
      </c>
      <c r="I9415" s="38" t="n">
        <f aca="false">Sens!$I$9315*m_ad</f>
        <v>16.1440173245485</v>
      </c>
      <c r="J9415" s="38" t="n">
        <f aca="false">Sens!$J$9315*m_ad</f>
        <v>18.2995185845066</v>
      </c>
      <c r="K9415" s="38" t="n">
        <f aca="false">Sens!$K$9315*m_ad</f>
        <v>20.1294704429572</v>
      </c>
      <c r="L9415" s="38" t="n">
        <f aca="false">Sens!$L$9315*m_ad</f>
        <v>22.142417487253</v>
      </c>
      <c r="M9415" s="38" t="n">
        <f aca="false">Sens!$M$9315*m_ad</f>
        <v>24.3566592359783</v>
      </c>
      <c r="N9415" s="38" t="n">
        <f aca="false">Sens!$N$9315*m_ad</f>
        <v>3.95314442937518</v>
      </c>
      <c r="O9415" s="38" t="n">
        <f aca="false">Sens!$O$9315*m_ad</f>
        <v>5.50052681786011</v>
      </c>
    </row>
    <row r="9416" customFormat="false" ht="17.15" hidden="false" customHeight="false" outlineLevel="0" collapsed="false">
      <c r="A9416" s="0" t="s">
        <v>727</v>
      </c>
      <c r="B9416" s="0" t="s">
        <v>86</v>
      </c>
      <c r="C9416" s="38" t="n">
        <f aca="false">Sens!$C$9313-Sens!$C$9315</f>
        <v>127.760312882846</v>
      </c>
      <c r="D9416" s="38" t="n">
        <f aca="false">Sens!$D$9313-Sens!$D$9315</f>
        <v>143.003123459917</v>
      </c>
      <c r="E9416" s="38" t="n">
        <f aca="false">Sens!$E$9313-Sens!$E$9315</f>
        <v>71.9374224924414</v>
      </c>
      <c r="F9416" s="38" t="n">
        <f aca="false">Sens!$F$9313-Sens!$F$9315</f>
        <v>85.3951910035875</v>
      </c>
      <c r="G9416" s="38" t="n">
        <f aca="false">Sens!$G$9313-Sens!$G$9315</f>
        <v>157.349430014619</v>
      </c>
      <c r="H9416" s="38" t="n">
        <f aca="false">Sens!$H$9313-Sens!$H$9315</f>
        <v>172.043153372315</v>
      </c>
      <c r="I9416" s="38" t="n">
        <f aca="false">Sens!$I$9313-Sens!$I$9315</f>
        <v>186.097493615879</v>
      </c>
      <c r="J9416" s="38" t="n">
        <f aca="false">Sens!$J$9313-Sens!$J$9315</f>
        <v>199.117932780497</v>
      </c>
      <c r="K9416" s="38" t="n">
        <f aca="false">Sens!$K$9313-Sens!$K$9315</f>
        <v>210.70928698363</v>
      </c>
      <c r="L9416" s="38" t="n">
        <f aca="false">Sens!$L$9313-Sens!$L$9315</f>
        <v>223.000532251316</v>
      </c>
      <c r="M9416" s="38" t="n">
        <f aca="false">Sens!$M$9313-Sens!$M$9315</f>
        <v>236.035261011339</v>
      </c>
      <c r="N9416" s="38" t="n">
        <f aca="false">Sens!$N$9313-Sens!$N$9315</f>
        <v>62.3677111412496</v>
      </c>
      <c r="O9416" s="38" t="n">
        <f aca="false">Sens!$O$9313-Sens!$O$9315</f>
        <v>80.6189463642798</v>
      </c>
    </row>
    <row r="9417" customFormat="false" ht="17.15" hidden="false" customHeight="false" outlineLevel="0" collapsed="false">
      <c r="A9417" s="0" t="s">
        <v>728</v>
      </c>
      <c r="B9417" s="0" t="s">
        <v>86</v>
      </c>
      <c r="C9417" s="38" t="n">
        <f aca="false">Sens!$C$9363*(1-Sens!$C$9311)</f>
        <v>0.0455891896019953</v>
      </c>
      <c r="D9417" s="38" t="n">
        <f aca="false">Sens!$D$9363*(1-Sens!$D$9311)</f>
        <v>0.227931791705753</v>
      </c>
      <c r="E9417" s="38" t="n">
        <f aca="false">Sens!$E$9363*(1-Sens!$E$9311)</f>
        <v>0.361164268820781</v>
      </c>
      <c r="F9417" s="38" t="n">
        <f aca="false">Sens!$F$9363*(1-Sens!$F$9311)</f>
        <v>0.471208018190203</v>
      </c>
      <c r="G9417" s="38" t="n">
        <f aca="false">Sens!$G$9363*(1-Sens!$G$9311)</f>
        <v>0.83170626714885</v>
      </c>
      <c r="H9417" s="38" t="n">
        <f aca="false">Sens!$H$9363*(1-Sens!$H$9311)</f>
        <v>2.35271136874315</v>
      </c>
      <c r="I9417" s="38" t="n">
        <f aca="false">Sens!$I$9363*(1-Sens!$I$9311)</f>
        <v>4.46305900024741</v>
      </c>
      <c r="J9417" s="38" t="n">
        <f aca="false">Sens!$J$9363*(1-Sens!$J$9311)</f>
        <v>6.63055328092195</v>
      </c>
      <c r="K9417" s="38" t="n">
        <f aca="false">Sens!$K$9363*(1-Sens!$K$9311)</f>
        <v>8.75186037365703</v>
      </c>
      <c r="L9417" s="38" t="n">
        <f aca="false">Sens!$L$9363*(1-Sens!$L$9311)</f>
        <v>10.2212794071718</v>
      </c>
      <c r="M9417" s="38" t="n">
        <f aca="false">Sens!$M$9363*(1-Sens!$M$9311)</f>
        <v>11.1280810756472</v>
      </c>
      <c r="N9417" s="38" t="n">
        <f aca="false">Sens!$N$9363*(1-Sens!$N$9311)</f>
        <v>0.0912435878202994</v>
      </c>
      <c r="O9417" s="38" t="n">
        <f aca="false">Sens!$O$9363*(1-Sens!$O$9311)</f>
        <v>0.137119578309265</v>
      </c>
    </row>
    <row r="9418" customFormat="false" ht="17.15" hidden="false" customHeight="false" outlineLevel="0" collapsed="false">
      <c r="A9418" s="0" t="s">
        <v>729</v>
      </c>
      <c r="B9418" s="0" t="s">
        <v>52</v>
      </c>
      <c r="C9418" s="28" t="n">
        <f aca="false">(Sens!$C$9419-Sens!$C$9415+Sens!$C$9417)/Sens!$C$9416</f>
        <v>-0.0292364215826579</v>
      </c>
      <c r="D9418" s="28" t="n">
        <f aca="false">(Sens!$D$9419-Sens!$D$9415+Sens!$D$9417)/Sens!$D$9416</f>
        <v>-0.0312406216748665</v>
      </c>
      <c r="E9418" s="28" t="n">
        <f aca="false">(Sens!$E$9419-Sens!$E$9415+Sens!$E$9417)/Sens!$E$9416</f>
        <v>-0.0211590078184749</v>
      </c>
      <c r="F9418" s="28" t="n">
        <f aca="false">Sens!$O$9418+(Sens!$E$9418-Sens!$N$9418)</f>
        <v>-0.0382539955245511</v>
      </c>
      <c r="G9418" s="28" t="n">
        <f aca="false">(Sens!$G$9419-Sens!$G$9415+Sens!$G$9417)/Sens!$G$9416</f>
        <v>-0.030385172031133</v>
      </c>
      <c r="H9418" s="28" t="n">
        <f aca="false">Sens!$G$9418+step_in</f>
        <v>-0.030385172031133</v>
      </c>
      <c r="I9418" s="28" t="n">
        <f aca="false">Sens!$H$9418+step_in</f>
        <v>-0.030385172031133</v>
      </c>
      <c r="J9418" s="28" t="n">
        <f aca="false">Sens!$I$9418+step_in</f>
        <v>-0.030385172031133</v>
      </c>
      <c r="K9418" s="28" t="n">
        <f aca="false">Sens!$J$9418+step_in</f>
        <v>-0.030385172031133</v>
      </c>
      <c r="L9418" s="28" t="n">
        <f aca="false">Sens!$K$9418</f>
        <v>-0.030385172031133</v>
      </c>
      <c r="M9418" s="28" t="n">
        <f aca="false">Sens!$L$9418</f>
        <v>-0.030385172031133</v>
      </c>
      <c r="N9418" s="28" t="n">
        <f aca="false">(Sens!$N$9419-Sens!$N$9415+Sens!$N$9417)/Sens!$N$9416</f>
        <v>-0.0216602600421776</v>
      </c>
      <c r="O9418" s="28" t="n">
        <f aca="false">(Sens!$O$9419-Sens!$O$9415+Sens!$O$9417)/Sens!$O$9416</f>
        <v>-0.0387552477482538</v>
      </c>
      <c r="P9418" s="8" t="s">
        <v>724</v>
      </c>
    </row>
    <row r="9419" customFormat="false" ht="17.15" hidden="false" customHeight="false" outlineLevel="0" collapsed="false">
      <c r="A9419" s="1" t="s">
        <v>730</v>
      </c>
      <c r="B9419" s="8" t="s">
        <v>86</v>
      </c>
      <c r="C9419" s="38" t="n">
        <f aca="false">Q!$D$23</f>
        <v>3.792</v>
      </c>
      <c r="D9419" s="38" t="n">
        <f aca="false">Q!$E$23</f>
        <v>4.75</v>
      </c>
      <c r="E9419" s="38" t="n">
        <f aca="false">Q!$P$23</f>
        <v>3.141</v>
      </c>
      <c r="F9419" s="38" t="n">
        <f aca="false">Sens!$F$9415+Sens!$F$9416*Sens!$F$9418-Sens!$F$9417</f>
        <v>2.7687233080221</v>
      </c>
      <c r="G9419" s="38" t="n">
        <f aca="false">Sens!$E$9419+Sens!$F$9419</f>
        <v>5.9097233080221</v>
      </c>
      <c r="H9419" s="38" t="n">
        <f aca="false">Sens!$H$9415+Sens!$H$9416*Sens!$H$9418-Sens!$H$9417</f>
        <v>6.25310068557783</v>
      </c>
      <c r="I9419" s="38" t="n">
        <f aca="false">Sens!$I$9415+Sens!$I$9416*Sens!$I$9418-Sens!$I$9417</f>
        <v>6.02635396621997</v>
      </c>
      <c r="J9419" s="38" t="n">
        <f aca="false">Sens!$J$9415+Sens!$J$9416*Sens!$J$9418-Sens!$J$9417</f>
        <v>5.61873266156566</v>
      </c>
      <c r="K9419" s="38" t="n">
        <f aca="false">Sens!$K$9415+Sens!$K$9416*Sens!$K$9418-Sens!$K$9417</f>
        <v>4.97517213574524</v>
      </c>
      <c r="L9419" s="38" t="n">
        <f aca="false">Sens!$L$9415+Sens!$L$9416*Sens!$L$9418-Sens!$L$9417</f>
        <v>5.14522854459066</v>
      </c>
      <c r="M9419" s="38" t="n">
        <f aca="false">Sens!$M$9415+Sens!$M$9416*Sens!$M$9418-Sens!$M$9417</f>
        <v>6.05660614908815</v>
      </c>
      <c r="N9419" s="38" t="n">
        <f aca="false">Q!$N$23</f>
        <v>2.511</v>
      </c>
      <c r="O9419" s="38" t="n">
        <f aca="false">Q!$O$23</f>
        <v>2.239</v>
      </c>
    </row>
    <row r="9420" customFormat="false" ht="17.15" hidden="false" customHeight="false" outlineLevel="0" collapsed="false">
      <c r="A9420" s="0" t="s">
        <v>731</v>
      </c>
      <c r="B9420" s="0" t="s">
        <v>86</v>
      </c>
      <c r="C9420" s="38" t="n">
        <f aca="false">Sens!$C$9360</f>
        <v>1.64417882953695</v>
      </c>
      <c r="D9420" s="38" t="n">
        <f aca="false">Sens!$D$9360</f>
        <v>5.39125073772939</v>
      </c>
      <c r="E9420" s="38" t="n">
        <f aca="false">Sens!$E$9360</f>
        <v>3.18348617147493</v>
      </c>
      <c r="F9420" s="38" t="n">
        <f aca="false">Sens!$F$9360</f>
        <v>8.27806059642226</v>
      </c>
      <c r="G9420" s="38" t="n">
        <f aca="false">Sens!$G$9360</f>
        <v>11.4615467678972</v>
      </c>
      <c r="H9420" s="38" t="n">
        <f aca="false">Sens!$H$9360</f>
        <v>26.1859456885487</v>
      </c>
      <c r="I9420" s="38" t="n">
        <f aca="false">Sens!$I$9360</f>
        <v>37.04424114757</v>
      </c>
      <c r="J9420" s="38" t="n">
        <f aca="false">Sens!$J$9360</f>
        <v>47.2610736233534</v>
      </c>
      <c r="K9420" s="38" t="n">
        <f aca="false">Sens!$K$9360</f>
        <v>52.0459876645985</v>
      </c>
      <c r="L9420" s="38" t="n">
        <f aca="false">Sens!$L$9360</f>
        <v>54.1033156405981</v>
      </c>
      <c r="M9420" s="38" t="n">
        <f aca="false">Sens!$M$9360</f>
        <v>52.1138209393421</v>
      </c>
      <c r="N9420" s="38" t="n">
        <f aca="false">Sens!$N$9360</f>
        <v>1.67921600037079</v>
      </c>
      <c r="O9420" s="38" t="n">
        <f aca="false">Sens!$O$9360</f>
        <v>3.71203473735861</v>
      </c>
    </row>
    <row r="9421" customFormat="false" ht="17.15" hidden="false" customHeight="false" outlineLevel="0" collapsed="false">
      <c r="A9421" s="0" t="s">
        <v>649</v>
      </c>
      <c r="B9421" s="0" t="s">
        <v>86</v>
      </c>
      <c r="C9421" s="38" t="n">
        <f aca="false">Sens!$C$9365</f>
        <v>38.1898211704631</v>
      </c>
      <c r="D9421" s="38" t="n">
        <f aca="false">Sens!$D$9365</f>
        <v>40.2147492622706</v>
      </c>
      <c r="E9421" s="38" t="n">
        <f aca="false">Sens!$E$9365</f>
        <v>27.5985138285251</v>
      </c>
      <c r="F9421" s="38" t="n">
        <f aca="false">Sens!$F$9365</f>
        <v>25.5484769754606</v>
      </c>
      <c r="G9421" s="38" t="n">
        <f aca="false">Sens!$G$9365</f>
        <v>53.1469908039857</v>
      </c>
      <c r="H9421" s="38" t="n">
        <f aca="false">Sens!$H$9365</f>
        <v>57.3189525076539</v>
      </c>
      <c r="I9421" s="38" t="n">
        <f aca="false">Sens!$I$9365</f>
        <v>63.6385627021087</v>
      </c>
      <c r="J9421" s="38" t="n">
        <f aca="false">Sens!$J$9365</f>
        <v>69.6922896066105</v>
      </c>
      <c r="K9421" s="38" t="n">
        <f aca="false">Sens!$K$9365</f>
        <v>75.2676727751394</v>
      </c>
      <c r="L9421" s="38" t="n">
        <f aca="false">Sens!$L$9365</f>
        <v>81.2890865971505</v>
      </c>
      <c r="M9421" s="38" t="n">
        <f aca="false">Sens!$M$9365</f>
        <v>87.7922135249226</v>
      </c>
      <c r="N9421" s="38" t="n">
        <f aca="false">Sens!$N$9365</f>
        <v>20.0277839996292</v>
      </c>
      <c r="O9421" s="38" t="n">
        <f aca="false">Sens!$O$9365</f>
        <v>20.1869652626414</v>
      </c>
    </row>
    <row r="9422" customFormat="false" ht="17.15" hidden="false" customHeight="false" outlineLevel="0" collapsed="false">
      <c r="A9422" s="1" t="s">
        <v>732</v>
      </c>
      <c r="B9422" s="8" t="s">
        <v>86</v>
      </c>
      <c r="C9422" s="38" t="n">
        <f aca="false">Q!$D$24</f>
        <v>39.834</v>
      </c>
      <c r="D9422" s="38" t="n">
        <f aca="false">Q!$E$24</f>
        <v>45.606</v>
      </c>
      <c r="E9422" s="38" t="n">
        <f aca="false">Q!$P$24</f>
        <v>30.782</v>
      </c>
      <c r="F9422" s="38" t="n">
        <f aca="false">Sens!$F$9420+Sens!$F$9421</f>
        <v>33.8265375718829</v>
      </c>
      <c r="G9422" s="38" t="n">
        <f aca="false">Sens!$G$9420+Sens!$G$9421</f>
        <v>64.6085375718829</v>
      </c>
      <c r="H9422" s="38" t="n">
        <f aca="false">Sens!$H$9420+Sens!$H$9421</f>
        <v>83.5048981962026</v>
      </c>
      <c r="I9422" s="38" t="n">
        <f aca="false">Sens!$I$9420+Sens!$I$9421</f>
        <v>100.682803849679</v>
      </c>
      <c r="J9422" s="38" t="n">
        <f aca="false">Sens!$J$9420+Sens!$J$9421</f>
        <v>116.953363229964</v>
      </c>
      <c r="K9422" s="38" t="n">
        <f aca="false">Sens!$K$9420+Sens!$K$9421</f>
        <v>127.313660439738</v>
      </c>
      <c r="L9422" s="38" t="n">
        <f aca="false">Sens!$L$9420+Sens!$L$9421</f>
        <v>135.392402237749</v>
      </c>
      <c r="M9422" s="38" t="n">
        <f aca="false">Sens!$M$9420+Sens!$M$9421</f>
        <v>139.906034464265</v>
      </c>
      <c r="N9422" s="38" t="n">
        <f aca="false">Q!$N$24</f>
        <v>21.707</v>
      </c>
      <c r="O9422" s="38" t="n">
        <f aca="false">Q!$O$24</f>
        <v>23.899</v>
      </c>
    </row>
    <row r="9423" customFormat="false" ht="17.15" hidden="false" customHeight="false" outlineLevel="0" collapsed="false">
      <c r="A9423" s="5" t="s">
        <v>733</v>
      </c>
      <c r="B9423" s="0" t="s">
        <v>86</v>
      </c>
      <c r="C9423" s="38" t="n">
        <f aca="false">Q!$D$26</f>
        <v>0</v>
      </c>
      <c r="D9423" s="38" t="n">
        <f aca="false">Q!$E$26</f>
        <v>0</v>
      </c>
      <c r="E9423" s="38" t="n">
        <f aca="false">Q!$P$26</f>
        <v>0</v>
      </c>
      <c r="F9423" s="39" t="n">
        <v>0</v>
      </c>
      <c r="G9423" s="38" t="n">
        <f aca="false">Sens!$E$9423+Sens!$F$9423</f>
        <v>0</v>
      </c>
      <c r="H9423" s="39" t="n">
        <v>0</v>
      </c>
      <c r="I9423" s="39" t="n">
        <v>0</v>
      </c>
      <c r="J9423" s="39" t="n">
        <v>0</v>
      </c>
      <c r="K9423" s="39" t="n">
        <v>0</v>
      </c>
      <c r="L9423" s="39" t="n">
        <v>0</v>
      </c>
      <c r="M9423" s="39" t="n">
        <v>0</v>
      </c>
      <c r="N9423" s="38" t="n">
        <f aca="false">Q!$N$26</f>
        <v>0</v>
      </c>
      <c r="O9423" s="38" t="n">
        <f aca="false">Q!$O$26</f>
        <v>0</v>
      </c>
    </row>
    <row r="9424" customFormat="false" ht="15" hidden="false" customHeight="false" outlineLevel="0" collapsed="false">
      <c r="A9424" s="3" t="s">
        <v>534</v>
      </c>
      <c r="B9424" s="8" t="s">
        <v>86</v>
      </c>
      <c r="C9424" s="38" t="n">
        <f aca="false">Q!$D$25</f>
        <v>68.593</v>
      </c>
      <c r="D9424" s="38" t="n">
        <f aca="false">Q!$E$25</f>
        <v>79.975</v>
      </c>
      <c r="E9424" s="38" t="n">
        <f aca="false">Q!$P$25</f>
        <v>51.313</v>
      </c>
      <c r="F9424" s="38" t="n">
        <f aca="false">Sens!$F$9414+Sens!$F$9419+Sens!$F$9422+Sens!$F$9423</f>
        <v>56.6904916268541</v>
      </c>
      <c r="G9424" s="38" t="n">
        <f aca="false">Sens!$G$9414+Sens!$G$9419+Sens!$G$9422+Sens!$G$9423</f>
        <v>108.003491626854</v>
      </c>
      <c r="H9424" s="38" t="n">
        <f aca="false">Sens!$H$9414+Sens!$H$9419+Sens!$H$9422+Sens!$H$9423</f>
        <v>131.546867769501</v>
      </c>
      <c r="I9424" s="38" t="n">
        <f aca="false">Sens!$I$9414+Sens!$I$9419+Sens!$I$9422+Sens!$I$9423</f>
        <v>151.443755203325</v>
      </c>
      <c r="J9424" s="38" t="n">
        <f aca="false">Sens!$J$9414+Sens!$J$9419+Sens!$J$9422+Sens!$J$9423</f>
        <v>169.831139392687</v>
      </c>
      <c r="K9424" s="38" t="n">
        <f aca="false">Sens!$K$9414+Sens!$K$9419+Sens!$K$9422+Sens!$K$9423</f>
        <v>181.415212493822</v>
      </c>
      <c r="L9424" s="38" t="n">
        <f aca="false">Sens!$L$9414+Sens!$L$9419+Sens!$L$9422+Sens!$L$9423</f>
        <v>192.215984468159</v>
      </c>
      <c r="M9424" s="38" t="n">
        <f aca="false">Sens!$M$9414+Sens!$M$9419+Sens!$M$9422+Sens!$M$9423</f>
        <v>202.255862244218</v>
      </c>
      <c r="N9424" s="38" t="n">
        <f aca="false">Q!$N$25</f>
        <v>37.576</v>
      </c>
      <c r="O9424" s="38" t="n">
        <f aca="false">Q!$O$25</f>
        <v>42.399</v>
      </c>
    </row>
    <row r="9425" customFormat="false" ht="17.15" hidden="false" customHeight="false" outlineLevel="0" collapsed="false">
      <c r="A9425" s="24" t="s">
        <v>764</v>
      </c>
      <c r="B9425" s="25" t="s">
        <v>86</v>
      </c>
      <c r="C9425" s="41" t="n">
        <f aca="false">Sens!$C$9414+Sens!$C$9419+Sens!$C$9422+Sens!$C$9423-Sens!$C$9424</f>
        <v>0</v>
      </c>
      <c r="D9425" s="41" t="n">
        <f aca="false">Sens!$D$9414+Sens!$D$9419+Sens!$D$9422+Sens!$D$9423-Sens!$D$9424</f>
        <v>0</v>
      </c>
      <c r="E9425" s="41" t="n">
        <f aca="false">Sens!$E$9414+Sens!$E$9419+Sens!$E$9422+Sens!$E$9423-Sens!$E$9424</f>
        <v>0</v>
      </c>
      <c r="F9425" s="41" t="n">
        <f aca="false">Sens!$F$9414+Sens!$F$9419+Sens!$F$9422+Sens!$F$9423-Sens!$F$9424</f>
        <v>0</v>
      </c>
      <c r="G9425" s="41" t="n">
        <f aca="false">Sens!$G$9414+Sens!$G$9419+Sens!$G$9422+Sens!$G$9423-Sens!$G$9424</f>
        <v>0</v>
      </c>
      <c r="H9425" s="41" t="n">
        <f aca="false">Sens!$H$9414+Sens!$H$9419+Sens!$H$9422+Sens!$H$9423-Sens!$H$9424</f>
        <v>0</v>
      </c>
      <c r="I9425" s="41" t="n">
        <f aca="false">Sens!$I$9414+Sens!$I$9419+Sens!$I$9422+Sens!$I$9423-Sens!$I$9424</f>
        <v>0</v>
      </c>
      <c r="J9425" s="41" t="n">
        <f aca="false">Sens!$J$9414+Sens!$J$9419+Sens!$J$9422+Sens!$J$9423-Sens!$J$9424</f>
        <v>0</v>
      </c>
      <c r="K9425" s="41" t="n">
        <f aca="false">Sens!$K$9414+Sens!$K$9419+Sens!$K$9422+Sens!$K$9423-Sens!$K$9424</f>
        <v>0</v>
      </c>
      <c r="L9425" s="41" t="n">
        <f aca="false">Sens!$L$9414+Sens!$L$9419+Sens!$L$9422+Sens!$L$9423-Sens!$L$9424</f>
        <v>0</v>
      </c>
      <c r="M9425" s="41" t="n">
        <f aca="false">Sens!$M$9414+Sens!$M$9419+Sens!$M$9422+Sens!$M$9423-Sens!$M$9424</f>
        <v>0</v>
      </c>
      <c r="N9425" s="41" t="n">
        <f aca="false">Sens!$N$9414+Sens!$N$9419+Sens!$N$9422+Sens!$N$9423-Sens!$N$9424</f>
        <v>0</v>
      </c>
      <c r="O9425" s="41" t="n">
        <f aca="false">Sens!$O$9414+Sens!$O$9419+Sens!$O$9422+Sens!$O$9423-Sens!$O$9424</f>
        <v>0</v>
      </c>
    </row>
    <row r="9426" customFormat="false" ht="17.15" hidden="false" customHeight="false" outlineLevel="0" collapsed="false">
      <c r="A9426" s="5" t="s">
        <v>735</v>
      </c>
      <c r="B9426" s="0" t="s">
        <v>86</v>
      </c>
      <c r="C9426" s="38" t="n">
        <f aca="false">Sens!$C$9362</f>
        <v>0</v>
      </c>
      <c r="D9426" s="38" t="n">
        <f aca="false">Sens!$D$9362</f>
        <v>0</v>
      </c>
      <c r="E9426" s="38" t="n">
        <f aca="false">Sens!$E$9362</f>
        <v>0</v>
      </c>
      <c r="F9426" s="38" t="n">
        <f aca="false">Sens!$F$9362</f>
        <v>3.77122048175818</v>
      </c>
      <c r="G9426" s="38" t="n">
        <f aca="false">Sens!$G$9362</f>
        <v>3.77122048175818</v>
      </c>
      <c r="H9426" s="38" t="n">
        <f aca="false">Sens!$H$9362</f>
        <v>15.1635543609893</v>
      </c>
      <c r="I9426" s="38" t="n">
        <f aca="false">Sens!$I$9362</f>
        <v>25.5818843619889</v>
      </c>
      <c r="J9426" s="38" t="n">
        <f aca="false">Sens!$J$9362</f>
        <v>36.0465624179122</v>
      </c>
      <c r="K9426" s="38" t="n">
        <f aca="false">Sens!$K$9362</f>
        <v>44.9741164026038</v>
      </c>
      <c r="L9426" s="38" t="n">
        <f aca="false">Sens!$L$9362</f>
        <v>50.8413488057813</v>
      </c>
      <c r="M9426" s="38" t="n">
        <f aca="false">Sens!$M$9362</f>
        <v>53.6407214274315</v>
      </c>
      <c r="N9426" s="38" t="n">
        <f aca="false">Sens!$N$9362</f>
        <v>0</v>
      </c>
      <c r="O9426" s="38" t="n">
        <f aca="false">Sens!$O$9362</f>
        <v>0</v>
      </c>
      <c r="P9426" s="5" t="s">
        <v>736</v>
      </c>
    </row>
    <row r="9427" customFormat="false" ht="17.15" hidden="false" customHeight="false" outlineLevel="0" collapsed="false">
      <c r="A9427" s="5" t="s">
        <v>737</v>
      </c>
      <c r="B9427" s="0" t="s">
        <v>86</v>
      </c>
      <c r="C9427" s="38" t="n">
        <f aca="false">Sens!$C$9424+Sens!$C$9426</f>
        <v>68.593</v>
      </c>
      <c r="D9427" s="38" t="n">
        <f aca="false">Sens!$D$9424+Sens!$D$9426</f>
        <v>79.975</v>
      </c>
      <c r="E9427" s="38" t="n">
        <f aca="false">Sens!$E$9424+Sens!$E$9426</f>
        <v>51.313</v>
      </c>
      <c r="F9427" s="38" t="n">
        <f aca="false">Sens!$F$9424+Sens!$F$9426</f>
        <v>60.4617121086123</v>
      </c>
      <c r="G9427" s="38" t="n">
        <f aca="false">Sens!$G$9424+Sens!$G$9426</f>
        <v>111.774712108612</v>
      </c>
      <c r="H9427" s="38" t="n">
        <f aca="false">Sens!$H$9424+Sens!$H$9426</f>
        <v>146.71042213049</v>
      </c>
      <c r="I9427" s="38" t="n">
        <f aca="false">Sens!$I$9424+Sens!$I$9426</f>
        <v>177.025639565314</v>
      </c>
      <c r="J9427" s="38" t="n">
        <f aca="false">Sens!$J$9424+Sens!$J$9426</f>
        <v>205.877701810599</v>
      </c>
      <c r="K9427" s="38" t="n">
        <f aca="false">Sens!$K$9424+Sens!$K$9426</f>
        <v>226.389328896426</v>
      </c>
      <c r="L9427" s="38" t="n">
        <f aca="false">Sens!$L$9424+Sens!$L$9426</f>
        <v>243.057333273941</v>
      </c>
      <c r="M9427" s="38" t="n">
        <f aca="false">Sens!$M$9424+Sens!$M$9426</f>
        <v>255.896583671649</v>
      </c>
      <c r="N9427" s="38" t="n">
        <f aca="false">Sens!$N$9424+Sens!$N$9426</f>
        <v>37.576</v>
      </c>
      <c r="O9427" s="38" t="n">
        <f aca="false">Sens!$O$9424+Sens!$O$9426</f>
        <v>42.399</v>
      </c>
    </row>
    <row r="9428" customFormat="false" ht="17.15" hidden="false" customHeight="false" outlineLevel="0" collapsed="false">
      <c r="A9428" s="0" t="s">
        <v>738</v>
      </c>
      <c r="B9428" s="0" t="s">
        <v>52</v>
      </c>
      <c r="C9428" s="13" t="n">
        <f aca="false">Sens!$C$9414/Sens!$C$9399</f>
        <v>0.0644314665661928</v>
      </c>
      <c r="D9428" s="13" t="n">
        <f aca="false">Sens!$D$9414/Sens!$D$9399</f>
        <v>0.0694784250712518</v>
      </c>
      <c r="E9428" s="13" t="n">
        <f aca="false">Sens!$E$9414/Sens!$E$9399</f>
        <v>0.0789306463326071</v>
      </c>
      <c r="F9428" s="13" t="n">
        <f aca="false">Sens!$F$9414/Sens!$F$9399</f>
        <v>0.0801757457241943</v>
      </c>
      <c r="G9428" s="13" t="n">
        <f aca="false">Sens!$G$9414/Sens!$G$9399</f>
        <v>0.0795932749625682</v>
      </c>
      <c r="H9428" s="13" t="n">
        <f aca="false">Sens!$H$9414/Sens!$H$9399</f>
        <v>0.0801494276915951</v>
      </c>
      <c r="I9428" s="13" t="n">
        <f aca="false">Sens!$I$9414/Sens!$I$9399</f>
        <v>0.0784619467108939</v>
      </c>
      <c r="J9428" s="13" t="n">
        <f aca="false">Sens!$J$9414/Sens!$J$9399</f>
        <v>0.0767950945569155</v>
      </c>
      <c r="K9428" s="13" t="n">
        <f aca="false">Sens!$K$9414/Sens!$K$9399</f>
        <v>0.0749782708028101</v>
      </c>
      <c r="L9428" s="13" t="n">
        <f aca="false">Sens!$L$9414/Sens!$L$9399</f>
        <v>0.0740581549602486</v>
      </c>
      <c r="M9428" s="13" t="n">
        <f aca="false">Sens!$M$9414/Sens!$M$9399</f>
        <v>0.075724068445432</v>
      </c>
      <c r="N9428" s="13" t="n">
        <f aca="false">Sens!$N$9414/Sens!$N$9399</f>
        <v>0.069228576611127</v>
      </c>
      <c r="O9428" s="13" t="n">
        <f aca="false">Sens!$O$9414/Sens!$O$9399</f>
        <v>0.069685022498393</v>
      </c>
    </row>
    <row r="9429" customFormat="false" ht="17.15" hidden="false" customHeight="false" outlineLevel="0" collapsed="false">
      <c r="A9429" s="0" t="s">
        <v>739</v>
      </c>
      <c r="B9429" s="0" t="s">
        <v>52</v>
      </c>
      <c r="C9429" s="13" t="n">
        <f aca="false">Sens!$C$9419/Sens!$C$9400</f>
        <v>0.026534925055631</v>
      </c>
      <c r="D9429" s="13" t="n">
        <f aca="false">Sens!$D$9419/Sens!$D$9400</f>
        <v>0.0293401855535103</v>
      </c>
      <c r="E9429" s="13" t="n">
        <f aca="false">Sens!$E$9419/Sens!$E$9400</f>
        <v>0.03831141902276</v>
      </c>
      <c r="F9429" s="13" t="n">
        <f aca="false">Sens!$F$9419/Sens!$F$9400</f>
        <v>0.0281350107328284</v>
      </c>
      <c r="G9429" s="13" t="n">
        <f aca="false">Sens!$G$9419/Sens!$G$9400</f>
        <v>0.0327600029432073</v>
      </c>
      <c r="H9429" s="13" t="n">
        <f aca="false">Sens!$H$9419/Sens!$H$9400</f>
        <v>0.031310920057557</v>
      </c>
      <c r="I9429" s="13" t="n">
        <f aca="false">Sens!$I$9419/Sens!$I$9400</f>
        <v>0.0275950243319601</v>
      </c>
      <c r="J9429" s="13" t="n">
        <f aca="false">Sens!$J$9419/Sens!$J$9400</f>
        <v>0.0238367762099147</v>
      </c>
      <c r="K9429" s="13" t="n">
        <f aca="false">Sens!$K$9419/Sens!$K$9400</f>
        <v>0.0198239122855479</v>
      </c>
      <c r="L9429" s="13" t="n">
        <f aca="false">Sens!$L$9419/Sens!$L$9400</f>
        <v>0.0192499447238486</v>
      </c>
      <c r="M9429" s="13" t="n">
        <f aca="false">Sens!$M$9419/Sens!$M$9400</f>
        <v>0.0212700135680342</v>
      </c>
      <c r="N9429" s="13" t="n">
        <f aca="false">Sens!$N$9419/Sens!$N$9400</f>
        <v>0.0357315650169337</v>
      </c>
      <c r="O9429" s="13" t="n">
        <f aca="false">Sens!$O$9419/Sens!$O$9400</f>
        <v>0.0244378956559703</v>
      </c>
    </row>
    <row r="9430" customFormat="false" ht="17.15" hidden="false" customHeight="false" outlineLevel="0" collapsed="false">
      <c r="A9430" s="14" t="s">
        <v>740</v>
      </c>
      <c r="B9430" s="14" t="s">
        <v>52</v>
      </c>
      <c r="C9430" s="17" t="n">
        <f aca="false">Sens!$C$9422/Sens!$C$9401</f>
        <v>0.370355907620217</v>
      </c>
      <c r="D9430" s="17" t="n">
        <f aca="false">Sens!$D$9422/Sens!$D$9401</f>
        <v>0.35429015342785</v>
      </c>
      <c r="E9430" s="17" t="n">
        <f aca="false">Sens!$E$9422/Sens!$E$9401</f>
        <v>0.385647527531039</v>
      </c>
      <c r="F9430" s="17" t="n">
        <f aca="false">Sens!$F$9422/Sens!$F$9401</f>
        <v>0.390008895496028</v>
      </c>
      <c r="G9430" s="17" t="n">
        <f aca="false">Sens!$G$9422/Sens!$G$9401</f>
        <v>0.387918733944362</v>
      </c>
      <c r="H9430" s="17" t="n">
        <f aca="false">Sens!$H$9422/Sens!$H$9401</f>
        <v>0.377537651365497</v>
      </c>
      <c r="I9430" s="17" t="n">
        <f aca="false">Sens!$I$9422/Sens!$I$9401</f>
        <v>0.359230604038662</v>
      </c>
      <c r="J9430" s="17" t="n">
        <f aca="false">Sens!$J$9422/Sens!$J$9401</f>
        <v>0.345197865849801</v>
      </c>
      <c r="K9430" s="17" t="n">
        <f aca="false">Sens!$K$9422/Sens!$K$9401</f>
        <v>0.32654098357242</v>
      </c>
      <c r="L9430" s="17" t="n">
        <f aca="false">Sens!$L$9422/Sens!$L$9401</f>
        <v>0.314806978274702</v>
      </c>
      <c r="M9430" s="17" t="n">
        <f aca="false">Sens!$M$9422/Sens!$M$9401</f>
        <v>0.304503505485029</v>
      </c>
      <c r="N9430" s="17" t="n">
        <f aca="false">Sens!$N$9422/Sens!$N$9401</f>
        <v>0.360941137346192</v>
      </c>
      <c r="O9430" s="17" t="n">
        <f aca="false">Sens!$O$9422/Sens!$O$9401</f>
        <v>0.348458117664212</v>
      </c>
    </row>
    <row r="9431" customFormat="false" ht="17.15" hidden="false" customHeight="false" outlineLevel="0" collapsed="false">
      <c r="A9431" s="0" t="s">
        <v>741</v>
      </c>
      <c r="B9431" s="0" t="s">
        <v>52</v>
      </c>
      <c r="C9431" s="13" t="n">
        <f aca="false">Sens!$C$9420/Sens!$C$9402</f>
        <v>0.708390794789371</v>
      </c>
      <c r="D9431" s="13" t="n">
        <f aca="false">Sens!$D$9420/Sens!$D$9402</f>
        <v>0.619415573115729</v>
      </c>
      <c r="E9431" s="13" t="n">
        <f aca="false">Sens!$E$9420/Sens!$E$9402</f>
        <v>0.374072166056273</v>
      </c>
      <c r="F9431" s="13" t="n">
        <f aca="false">Sens!$F$9420/Sens!$F$9402</f>
        <v>0.553219320710057</v>
      </c>
      <c r="G9431" s="13" t="n">
        <f aca="false">Sens!$G$9420/Sens!$G$9402</f>
        <v>0.488270041527512</v>
      </c>
      <c r="H9431" s="13" t="n">
        <f aca="false">Sens!$H$9420/Sens!$H$9402</f>
        <v>0.435229086816882</v>
      </c>
      <c r="I9431" s="13" t="n">
        <f aca="false">Sens!$I$9420/Sens!$I$9402</f>
        <v>0.364954592421095</v>
      </c>
      <c r="J9431" s="13" t="n">
        <f aca="false">Sens!$J$9420/Sens!$J$9402</f>
        <v>0.330438308582232</v>
      </c>
      <c r="K9431" s="13" t="n">
        <f aca="false">Sens!$K$9420/Sens!$K$9402</f>
        <v>0.2916589289528</v>
      </c>
      <c r="L9431" s="13" t="n">
        <f aca="false">Sens!$L$9420/Sens!$L$9402</f>
        <v>0.268199200593258</v>
      </c>
      <c r="M9431" s="13" t="n">
        <f aca="false">Sens!$M$9420/Sens!$M$9402</f>
        <v>0.244854995033574</v>
      </c>
      <c r="N9431" s="13" t="n">
        <f aca="false">Sens!$N$9420/Sens!$N$9402</f>
        <v>0.551227795793364</v>
      </c>
      <c r="O9431" s="13" t="n">
        <f aca="false">Sens!$O$9420/Sens!$O$9402</f>
        <v>0.656132068597002</v>
      </c>
    </row>
    <row r="9432" customFormat="false" ht="15" hidden="false" customHeight="false" outlineLevel="0" collapsed="false">
      <c r="A9432" s="5" t="s">
        <v>742</v>
      </c>
      <c r="B9432" s="0" t="s">
        <v>52</v>
      </c>
      <c r="C9432" s="13" t="n">
        <f aca="false">Sens!$C$9424/Sens!$C$9404</f>
        <v>0.107519448742004</v>
      </c>
      <c r="D9432" s="13" t="n">
        <f aca="false">Sens!$D$9424/Sens!$D$9404</f>
        <v>0.111552967957552</v>
      </c>
      <c r="E9432" s="13" t="n">
        <f aca="false">Sens!$E$9424/Sens!$E$9404</f>
        <v>0.13428328426562</v>
      </c>
      <c r="F9432" s="13" t="n">
        <f aca="false">Sens!$F$9424/Sens!$F$9404</f>
        <v>0.130089413875539</v>
      </c>
      <c r="G9432" s="13" t="n">
        <f aca="false">Sens!$G$9424/Sens!$G$9404</f>
        <v>0.132048786678316</v>
      </c>
      <c r="H9432" s="13" t="n">
        <f aca="false">Sens!$H$9424/Sens!$H$9404</f>
        <v>0.139604881440853</v>
      </c>
      <c r="I9432" s="13" t="n">
        <f aca="false">Sens!$I$9424/Sens!$I$9404</f>
        <v>0.141694752432769</v>
      </c>
      <c r="J9432" s="13" t="n">
        <f aca="false">Sens!$J$9424/Sens!$J$9404</f>
        <v>0.14272611544629</v>
      </c>
      <c r="K9432" s="13" t="n">
        <f aca="false">Sens!$K$9424/Sens!$K$9404</f>
        <v>0.139974160596744</v>
      </c>
      <c r="L9432" s="13" t="n">
        <f aca="false">Sens!$L$9424/Sens!$L$9404</f>
        <v>0.137772071866073</v>
      </c>
      <c r="M9432" s="13" t="n">
        <f aca="false">Sens!$M$9424/Sens!$M$9404</f>
        <v>0.13596080857516</v>
      </c>
      <c r="N9432" s="13" t="n">
        <f aca="false">Sens!$N$9424/Sens!$N$9404</f>
        <v>0.116201614873411</v>
      </c>
      <c r="O9432" s="13" t="n">
        <f aca="false">Sens!$O$9424/Sens!$O$9404</f>
        <v>0.107733353660861</v>
      </c>
    </row>
    <row r="9433" customFormat="false" ht="17.15" hidden="false" customHeight="false" outlineLevel="0" collapsed="false">
      <c r="A9433" s="1" t="s">
        <v>743</v>
      </c>
    </row>
    <row r="9434" customFormat="false" ht="17.15" hidden="false" customHeight="false" outlineLevel="0" collapsed="false">
      <c r="A9434" s="5" t="s">
        <v>744</v>
      </c>
      <c r="B9434" s="0" t="s">
        <v>52</v>
      </c>
      <c r="D9434" s="28" t="n">
        <f aca="false">(Q!$E$29+Q!$E$30-(1-ext_sh)*Sens!$D$9356)/Sens!$D$9310</f>
        <v>0.0341105596409988</v>
      </c>
    </row>
    <row r="9435" customFormat="false" ht="17.15" hidden="false" customHeight="false" outlineLevel="0" collapsed="false">
      <c r="A9435" s="0" t="s">
        <v>538</v>
      </c>
      <c r="B9435" s="0" t="s">
        <v>86</v>
      </c>
      <c r="C9435" s="38" t="n">
        <f aca="false">Q!$D$29</f>
        <v>14.285</v>
      </c>
      <c r="D9435" s="38" t="n">
        <f aca="false">Q!$E$29</f>
        <v>15.503</v>
      </c>
      <c r="E9435" s="38" t="n">
        <f aca="false">Q!$P$29</f>
        <v>8.78</v>
      </c>
      <c r="F9435" s="38" t="n">
        <f aca="false">(Sens!$D$9434*Sens!$F$9310+(1-ext_sh)*Sens!$F$9356)*Sens!$F$9311</f>
        <v>9.16735846116642</v>
      </c>
      <c r="G9435" s="38" t="n">
        <f aca="false">Sens!$E$9435+Sens!$F$9435</f>
        <v>17.9473584611664</v>
      </c>
      <c r="H9435" s="38" t="n">
        <f aca="false">(Sens!$D$9434*Sens!$H$9310+(1-ext_sh)*Sens!$H$9356)*Sens!$H$9311</f>
        <v>21.6406723110177</v>
      </c>
      <c r="I9435" s="38" t="n">
        <f aca="false">(Sens!$D$9434*Sens!$I$9310+(1-ext_sh)*Sens!$I$9356)*Sens!$I$9311</f>
        <v>27.3128215555087</v>
      </c>
      <c r="J9435" s="38" t="n">
        <f aca="false">(Sens!$D$9434*Sens!$J$9310+(1-ext_sh)*Sens!$J$9356)*Sens!$J$9311</f>
        <v>33.0116861885756</v>
      </c>
      <c r="K9435" s="38" t="n">
        <f aca="false">(Sens!$D$9434*Sens!$K$9310+(1-ext_sh)*Sens!$K$9356)*Sens!$K$9311</f>
        <v>38.6250238720245</v>
      </c>
      <c r="L9435" s="38" t="n">
        <f aca="false">(Sens!$D$9434*Sens!$L$9310+(1-ext_sh)*Sens!$L$9356)*Sens!$L$9311</f>
        <v>43.0711535197861</v>
      </c>
      <c r="M9435" s="38" t="n">
        <f aca="false">(Sens!$D$9434*Sens!$M$9310+(1-ext_sh)*Sens!$M$9356)*Sens!$M$9311</f>
        <v>46.590728630326</v>
      </c>
      <c r="N9435" s="38" t="n">
        <f aca="false">Q!$N$29</f>
        <v>7.272</v>
      </c>
      <c r="O9435" s="38" t="n">
        <f aca="false">Q!$O$29</f>
        <v>8.231</v>
      </c>
    </row>
    <row r="9436" customFormat="false" ht="17.15" hidden="false" customHeight="false" outlineLevel="0" collapsed="false">
      <c r="A9436" s="0" t="s">
        <v>540</v>
      </c>
      <c r="B9436" s="0" t="s">
        <v>86</v>
      </c>
      <c r="C9436" s="38" t="n">
        <f aca="false">Q!$D$30</f>
        <v>4.462</v>
      </c>
      <c r="D9436" s="38" t="n">
        <f aca="false">Q!$E$30</f>
        <v>4.907</v>
      </c>
      <c r="E9436" s="38" t="n">
        <f aca="false">Q!$P$30</f>
        <v>2.57</v>
      </c>
      <c r="F9436" s="38" t="n">
        <f aca="false">(Sens!$D$9434*Sens!$F$9310+(1-ext_sh)*Sens!$F$9356)*(1-Sens!$F$9311)</f>
        <v>3.59937168293151</v>
      </c>
      <c r="G9436" s="38" t="n">
        <f aca="false">Sens!$E$9436+Sens!$F$9436</f>
        <v>6.16937168293151</v>
      </c>
      <c r="H9436" s="38" t="n">
        <f aca="false">(Sens!$D$9434*Sens!$H$9310+(1-ext_sh)*Sens!$H$9356)*(1-Sens!$H$9311)</f>
        <v>8.28915290031442</v>
      </c>
      <c r="I9436" s="38" t="n">
        <f aca="false">(Sens!$D$9434*Sens!$I$9310+(1-ext_sh)*Sens!$I$9356)*(1-Sens!$I$9311)</f>
        <v>10.4617892992793</v>
      </c>
      <c r="J9436" s="38" t="n">
        <f aca="false">(Sens!$D$9434*Sens!$J$9310+(1-ext_sh)*Sens!$J$9356)*(1-Sens!$J$9311)</f>
        <v>12.6446586493057</v>
      </c>
      <c r="K9436" s="38" t="n">
        <f aca="false">(Sens!$D$9434*Sens!$K$9310+(1-ext_sh)*Sens!$K$9356)*(1-Sens!$K$9311)</f>
        <v>14.7947681131192</v>
      </c>
      <c r="L9436" s="38" t="n">
        <f aca="false">(Sens!$D$9434*Sens!$L$9310+(1-ext_sh)*Sens!$L$9356)*(1-Sens!$L$9311)</f>
        <v>16.4977950771268</v>
      </c>
      <c r="M9436" s="38" t="n">
        <f aca="false">(Sens!$D$9434*Sens!$M$9310+(1-ext_sh)*Sens!$M$9356)*(1-Sens!$M$9311)</f>
        <v>17.8459184540772</v>
      </c>
      <c r="N9436" s="38" t="n">
        <f aca="false">Q!$N$30</f>
        <v>2.316</v>
      </c>
      <c r="O9436" s="38" t="n">
        <f aca="false">Q!$O$30</f>
        <v>2.591</v>
      </c>
    </row>
    <row r="9437" customFormat="false" ht="17.15" hidden="false" customHeight="false" outlineLevel="0" collapsed="false">
      <c r="A9437" s="0" t="s">
        <v>541</v>
      </c>
      <c r="B9437" s="0" t="s">
        <v>86</v>
      </c>
      <c r="C9437" s="38" t="n">
        <f aca="false">Sens!$C$9368</f>
        <v>13.32</v>
      </c>
      <c r="D9437" s="38" t="n">
        <f aca="false">Sens!$D$9368</f>
        <v>21.45</v>
      </c>
      <c r="E9437" s="38" t="n">
        <f aca="false">Sens!$E$9368</f>
        <v>15.353</v>
      </c>
      <c r="F9437" s="38" t="n">
        <f aca="false">Sens!$F$9368</f>
        <v>15.4404120185306</v>
      </c>
      <c r="G9437" s="38" t="n">
        <f aca="false">Sens!$G$9368</f>
        <v>30.7934120185306</v>
      </c>
      <c r="H9437" s="38" t="n">
        <f aca="false">Sens!$H$9368</f>
        <v>48.250114371455</v>
      </c>
      <c r="I9437" s="38" t="n">
        <f aca="false">Sens!$I$9368</f>
        <v>73.3965146995963</v>
      </c>
      <c r="J9437" s="38" t="n">
        <f aca="false">Sens!$J$9368</f>
        <v>99.22806138309</v>
      </c>
      <c r="K9437" s="38" t="n">
        <f aca="false">Sens!$K$9368</f>
        <v>125.386627452856</v>
      </c>
      <c r="L9437" s="38" t="n">
        <f aca="false">Sens!$L$9368</f>
        <v>144.77239043275</v>
      </c>
      <c r="M9437" s="38" t="n">
        <f aca="false">Sens!$M$9368</f>
        <v>158.693930910983</v>
      </c>
      <c r="N9437" s="38" t="n">
        <f aca="false">Sens!$N$9368</f>
        <v>9.234</v>
      </c>
      <c r="O9437" s="38" t="n">
        <f aca="false">Sens!$O$9368</f>
        <v>12.216</v>
      </c>
    </row>
    <row r="9438" customFormat="false" ht="17.15" hidden="false" customHeight="false" outlineLevel="0" collapsed="false">
      <c r="A9438" s="5" t="s">
        <v>745</v>
      </c>
      <c r="B9438" s="0" t="s">
        <v>86</v>
      </c>
      <c r="C9438" s="38" t="n">
        <f aca="false">Sens!$C$9435+Sens!$C$9436+Sens!$C$9437</f>
        <v>32.067</v>
      </c>
      <c r="D9438" s="38" t="n">
        <f aca="false">Sens!$D$9435+Sens!$D$9436+Sens!$D$9437</f>
        <v>41.86</v>
      </c>
      <c r="E9438" s="38" t="n">
        <f aca="false">Sens!$E$9435+Sens!$E$9436+Sens!$E$9437</f>
        <v>26.703</v>
      </c>
      <c r="F9438" s="38" t="n">
        <f aca="false">Sens!$F$9435+Sens!$F$9436+Sens!$F$9437</f>
        <v>28.2071421626285</v>
      </c>
      <c r="G9438" s="38" t="n">
        <f aca="false">Sens!$G$9435+Sens!$G$9436+Sens!$G$9437</f>
        <v>54.9101421626285</v>
      </c>
      <c r="H9438" s="38" t="n">
        <f aca="false">Sens!$H$9435+Sens!$H$9436+Sens!$H$9437</f>
        <v>78.1799395827871</v>
      </c>
      <c r="I9438" s="38" t="n">
        <f aca="false">Sens!$I$9435+Sens!$I$9436+Sens!$I$9437</f>
        <v>111.171125554384</v>
      </c>
      <c r="J9438" s="38" t="n">
        <f aca="false">Sens!$J$9435+Sens!$J$9436+Sens!$J$9437</f>
        <v>144.884406220971</v>
      </c>
      <c r="K9438" s="38" t="n">
        <f aca="false">Sens!$K$9435+Sens!$K$9436+Sens!$K$9437</f>
        <v>178.806419437999</v>
      </c>
      <c r="L9438" s="38" t="n">
        <f aca="false">Sens!$L$9435+Sens!$L$9436+Sens!$L$9437</f>
        <v>204.341339029663</v>
      </c>
      <c r="M9438" s="38" t="n">
        <f aca="false">Sens!$M$9435+Sens!$M$9436+Sens!$M$9437</f>
        <v>223.130577995387</v>
      </c>
      <c r="N9438" s="38" t="n">
        <f aca="false">Sens!$N$9435+Sens!$N$9436+Sens!$N$9437</f>
        <v>18.822</v>
      </c>
      <c r="O9438" s="38" t="n">
        <f aca="false">Sens!$O$9435+Sens!$O$9436+Sens!$O$9437</f>
        <v>23.038</v>
      </c>
    </row>
    <row r="9439" customFormat="false" ht="17.15" hidden="false" customHeight="false" outlineLevel="0" collapsed="false">
      <c r="A9439" s="0" t="s">
        <v>746</v>
      </c>
      <c r="B9439" s="0" t="s">
        <v>86</v>
      </c>
      <c r="C9439" s="38" t="n">
        <f aca="false">Sens!$C$9410+Sens!$C$9415</f>
        <v>28.107</v>
      </c>
      <c r="D9439" s="38" t="n">
        <f aca="false">Sens!$D$9410+Sens!$D$9415</f>
        <v>34.3175</v>
      </c>
      <c r="E9439" s="38" t="n">
        <f aca="false">Sens!$E$9410+Sens!$E$9415</f>
        <v>18.526</v>
      </c>
      <c r="F9439" s="38" t="n">
        <f aca="false">Sens!$F$9410+Sens!$F$9415</f>
        <v>23.0786109972074</v>
      </c>
      <c r="G9439" s="38" t="n">
        <f aca="false">Sens!$G$9410+Sens!$G$9415</f>
        <v>41.6046109972074</v>
      </c>
      <c r="H9439" s="38" t="n">
        <f aca="false">Sens!$H$9410+Sens!$H$9415</f>
        <v>49.9484611939488</v>
      </c>
      <c r="I9439" s="38" t="n">
        <f aca="false">Sens!$I$9410+Sens!$I$9415</f>
        <v>58.2915555477481</v>
      </c>
      <c r="J9439" s="38" t="n">
        <f aca="false">Sens!$J$9410+Sens!$J$9415</f>
        <v>66.0744709709759</v>
      </c>
      <c r="K9439" s="38" t="n">
        <f aca="false">Sens!$K$9410+Sens!$K$9415</f>
        <v>72.6819180680735</v>
      </c>
      <c r="L9439" s="38" t="n">
        <f aca="false">Sens!$L$9410+Sens!$L$9415</f>
        <v>79.9501098748808</v>
      </c>
      <c r="M9439" s="38" t="n">
        <f aca="false">Sens!$M$9410+Sens!$M$9415</f>
        <v>87.9451208623689</v>
      </c>
      <c r="N9439" s="38" t="n">
        <f aca="false">Sens!$N$9410+Sens!$N$9415</f>
        <v>14.8075</v>
      </c>
      <c r="O9439" s="38" t="n">
        <f aca="false">Sens!$O$9410+Sens!$O$9415</f>
        <v>19.51</v>
      </c>
    </row>
    <row r="9440" customFormat="false" ht="17.15" hidden="false" customHeight="false" outlineLevel="0" collapsed="false">
      <c r="A9440" s="0" t="s">
        <v>747</v>
      </c>
      <c r="B9440" s="0" t="s">
        <v>86</v>
      </c>
      <c r="C9440" s="38" t="n">
        <f aca="false">Sens!$C$9414+Sens!$C$9419+Sens!$C$9435+Sens!$C$9436-Sens!$C$9439</f>
        <v>19.399</v>
      </c>
      <c r="D9440" s="38" t="n">
        <f aca="false">Sens!$D$9414+Sens!$D$9419+Sens!$D$9435+Sens!$D$9436-Sens!$D$9439</f>
        <v>20.4615</v>
      </c>
      <c r="E9440" s="38" t="n">
        <f aca="false">Sens!$E$9414+Sens!$E$9419+Sens!$E$9435+Sens!$E$9436-Sens!$E$9439</f>
        <v>13.355</v>
      </c>
      <c r="F9440" s="38" t="n">
        <f aca="false">Sens!$F$9414+Sens!$F$9419+Sens!$F$9435+Sens!$F$9436-Sens!$F$9439</f>
        <v>12.5520732018618</v>
      </c>
      <c r="G9440" s="38" t="n">
        <f aca="false">Sens!$G$9414+Sens!$G$9419+Sens!$G$9435+Sens!$G$9436-Sens!$G$9439</f>
        <v>25.9070732018618</v>
      </c>
      <c r="H9440" s="38" t="n">
        <f aca="false">Sens!$H$9414+Sens!$H$9419+Sens!$H$9435+Sens!$H$9436-Sens!$H$9439</f>
        <v>28.0233335906818</v>
      </c>
      <c r="I9440" s="38" t="n">
        <f aca="false">Sens!$I$9414+Sens!$I$9419+Sens!$I$9435+Sens!$I$9436-Sens!$I$9439</f>
        <v>30.2440066606864</v>
      </c>
      <c r="J9440" s="38" t="n">
        <f aca="false">Sens!$J$9414+Sens!$J$9419+Sens!$J$9435+Sens!$J$9436-Sens!$J$9439</f>
        <v>32.4596500296286</v>
      </c>
      <c r="K9440" s="38" t="n">
        <f aca="false">Sens!$K$9414+Sens!$K$9419+Sens!$K$9435+Sens!$K$9436-Sens!$K$9439</f>
        <v>34.839425971154</v>
      </c>
      <c r="L9440" s="38" t="n">
        <f aca="false">Sens!$L$9414+Sens!$L$9419+Sens!$L$9435+Sens!$L$9436-Sens!$L$9439</f>
        <v>36.4424209524427</v>
      </c>
      <c r="M9440" s="38" t="n">
        <f aca="false">Sens!$M$9414+Sens!$M$9419+Sens!$M$9435+Sens!$M$9436-Sens!$M$9439</f>
        <v>38.8413540019876</v>
      </c>
      <c r="N9440" s="38" t="n">
        <f aca="false">Sens!$N$9414+Sens!$N$9419+Sens!$N$9435+Sens!$N$9436-Sens!$N$9439</f>
        <v>10.6495</v>
      </c>
      <c r="O9440" s="38" t="n">
        <f aca="false">Sens!$O$9414+Sens!$O$9419+Sens!$O$9435+Sens!$O$9436-Sens!$O$9439</f>
        <v>9.81200000000001</v>
      </c>
    </row>
    <row r="9441" customFormat="false" ht="17.15" hidden="false" customHeight="false" outlineLevel="0" collapsed="false">
      <c r="A9441" s="0" t="s">
        <v>748</v>
      </c>
      <c r="B9441" s="0" t="s">
        <v>86</v>
      </c>
      <c r="C9441" s="38" t="n">
        <f aca="false">Sens!$C$9421+Sens!$C$9437-ext_sh*Sens!$C$9356</f>
        <v>51.3470500115664</v>
      </c>
      <c r="D9441" s="38" t="n">
        <f aca="false">Sens!$D$9421+Sens!$D$9437-ext_sh*Sens!$D$9356</f>
        <v>60.2799375433739</v>
      </c>
      <c r="E9441" s="38" t="n">
        <f aca="false">Sens!$E$9421+Sens!$E$9437-ext_sh*Sens!$E$9356</f>
        <v>39.5095167090767</v>
      </c>
      <c r="F9441" s="38" t="n">
        <f aca="false">Sens!$F$9421+Sens!$F$9437-ext_sh*Sens!$F$9356</f>
        <v>37.5468918745429</v>
      </c>
      <c r="G9441" s="38" t="n">
        <f aca="false">Sens!$G$9421+Sens!$G$9437-ext_sh*Sens!$G$9356</f>
        <v>77.0564085836196</v>
      </c>
      <c r="H9441" s="38" t="n">
        <f aca="false">Sens!$H$9421+Sens!$H$9437-ext_sh*Sens!$H$9356</f>
        <v>84.2378398616123</v>
      </c>
      <c r="I9441" s="38" t="n">
        <f aca="false">Sens!$I$9421+Sens!$I$9437-ext_sh*Sens!$I$9356</f>
        <v>93.5253492849083</v>
      </c>
      <c r="J9441" s="38" t="n">
        <f aca="false">Sens!$J$9421+Sens!$J$9437-ext_sh*Sens!$J$9356</f>
        <v>102.42210777817</v>
      </c>
      <c r="K9441" s="38" t="n">
        <f aca="false">Sens!$K$9421+Sens!$K$9437-ext_sh*Sens!$K$9356</f>
        <v>110.615876400424</v>
      </c>
      <c r="L9441" s="38" t="n">
        <f aca="false">Sens!$L$9421+Sens!$L$9437-ext_sh*Sens!$L$9356</f>
        <v>119.465146512458</v>
      </c>
      <c r="M9441" s="38" t="n">
        <f aca="false">Sens!$M$9421+Sens!$M$9437-ext_sh*Sens!$M$9356</f>
        <v>129.022358233455</v>
      </c>
      <c r="N9441" s="38" t="n">
        <f aca="false">Sens!$N$9421+Sens!$N$9437-ext_sh*Sens!$N$9356</f>
        <v>28.5693781401809</v>
      </c>
      <c r="O9441" s="38" t="n">
        <f aca="false">Sens!$O$9421+Sens!$O$9437-ext_sh*Sens!$O$9356</f>
        <v>31.7105594031931</v>
      </c>
    </row>
    <row r="9442" customFormat="false" ht="17.15" hidden="false" customHeight="false" outlineLevel="0" collapsed="false">
      <c r="A9442" s="0" t="s">
        <v>749</v>
      </c>
      <c r="B9442" s="0" t="s">
        <v>86</v>
      </c>
      <c r="C9442" s="38" t="n">
        <f aca="false">Sens!$C$9359</f>
        <v>1.80694998843362</v>
      </c>
      <c r="D9442" s="38" t="n">
        <f aca="false">Sens!$D$9359</f>
        <v>6.77606245662607</v>
      </c>
      <c r="E9442" s="38" t="n">
        <f aca="false">Sens!$E$9359</f>
        <v>6.62548329092326</v>
      </c>
      <c r="F9442" s="38" t="n">
        <f aca="false">Sens!$F$9359</f>
        <v>11.7200577158706</v>
      </c>
      <c r="G9442" s="38" t="n">
        <f aca="false">Sens!$G$9359</f>
        <v>18.3455410067939</v>
      </c>
      <c r="H9442" s="38" t="n">
        <f aca="false">Sens!$H$9359</f>
        <v>47.5171727060453</v>
      </c>
      <c r="I9442" s="38" t="n">
        <f aca="false">Sens!$I$9359</f>
        <v>80.5539692643667</v>
      </c>
      <c r="J9442" s="38" t="n">
        <f aca="false">Sens!$J$9359</f>
        <v>113.759316834883</v>
      </c>
      <c r="K9442" s="38" t="n">
        <f aca="false">Sens!$K$9359</f>
        <v>142.084411492169</v>
      </c>
      <c r="L9442" s="38" t="n">
        <f aca="false">Sens!$L$9359</f>
        <v>160.69964615804</v>
      </c>
      <c r="M9442" s="38" t="n">
        <f aca="false">Sens!$M$9359</f>
        <v>169.577607141793</v>
      </c>
      <c r="N9442" s="38" t="n">
        <f aca="false">Sens!$N$9359</f>
        <v>2.37162185981912</v>
      </c>
      <c r="O9442" s="38" t="n">
        <f aca="false">Sens!$O$9359</f>
        <v>4.40444059680694</v>
      </c>
    </row>
    <row r="9443" customFormat="false" ht="17.15" hidden="false" customHeight="false" outlineLevel="0" collapsed="false">
      <c r="A9443" s="0" t="s">
        <v>750</v>
      </c>
      <c r="B9443" s="0" t="s">
        <v>86</v>
      </c>
      <c r="C9443" s="38" t="n">
        <f aca="false">Sens!$C$9424+Sens!$C$9438</f>
        <v>100.66</v>
      </c>
      <c r="D9443" s="38" t="n">
        <f aca="false">Sens!$D$9424+Sens!$D$9438</f>
        <v>121.835</v>
      </c>
      <c r="E9443" s="38" t="n">
        <f aca="false">Sens!$E$9424+Sens!$E$9438</f>
        <v>78.016</v>
      </c>
      <c r="F9443" s="38" t="n">
        <f aca="false">Sens!$F$9424+Sens!$F$9438</f>
        <v>84.8976337894826</v>
      </c>
      <c r="G9443" s="38" t="n">
        <f aca="false">Sens!$G$9424+Sens!$G$9438</f>
        <v>162.913633789483</v>
      </c>
      <c r="H9443" s="38" t="n">
        <f aca="false">Sens!$H$9424+Sens!$H$9438</f>
        <v>209.726807352288</v>
      </c>
      <c r="I9443" s="38" t="n">
        <f aca="false">Sens!$I$9424+Sens!$I$9438</f>
        <v>262.61488075771</v>
      </c>
      <c r="J9443" s="38" t="n">
        <f aca="false">Sens!$J$9424+Sens!$J$9438</f>
        <v>314.715545613658</v>
      </c>
      <c r="K9443" s="38" t="n">
        <f aca="false">Sens!$K$9424+Sens!$K$9438</f>
        <v>360.221631931821</v>
      </c>
      <c r="L9443" s="38" t="n">
        <f aca="false">Sens!$L$9424+Sens!$L$9438</f>
        <v>396.557323497822</v>
      </c>
      <c r="M9443" s="38" t="n">
        <f aca="false">Sens!$M$9424+Sens!$M$9438</f>
        <v>425.386440239605</v>
      </c>
      <c r="N9443" s="38" t="n">
        <f aca="false">Sens!$N$9424+Sens!$N$9438</f>
        <v>56.398</v>
      </c>
      <c r="O9443" s="38" t="n">
        <f aca="false">Sens!$O$9424+Sens!$O$9438</f>
        <v>65.437</v>
      </c>
    </row>
    <row r="9444" customFormat="false" ht="17.15" hidden="false" customHeight="false" outlineLevel="0" collapsed="false">
      <c r="A9444" s="1" t="s">
        <v>751</v>
      </c>
    </row>
    <row r="9445" customFormat="false" ht="15" hidden="false" customHeight="false" outlineLevel="0" collapsed="false">
      <c r="A9445" s="5" t="s">
        <v>544</v>
      </c>
      <c r="B9445" s="0" t="s">
        <v>86</v>
      </c>
      <c r="C9445" s="38" t="n">
        <f aca="false">Q!$D$34</f>
        <v>2.406</v>
      </c>
      <c r="D9445" s="38" t="n">
        <f aca="false">Q!$E$34</f>
        <v>2.274</v>
      </c>
      <c r="E9445" s="38" t="n">
        <f aca="false">Q!$P$34</f>
        <v>2.114</v>
      </c>
      <c r="F9445" s="38" t="n">
        <f aca="false">Sens!$F$9483</f>
        <v>3.24888962733561</v>
      </c>
      <c r="G9445" s="38" t="n">
        <f aca="false">Sens!$E$9445+Sens!$F$9445</f>
        <v>5.36288962733561</v>
      </c>
      <c r="H9445" s="38" t="n">
        <f aca="false">Sens!$H$9483</f>
        <v>7.42354172302123</v>
      </c>
      <c r="I9445" s="38" t="n">
        <f aca="false">Sens!$I$9483</f>
        <v>8.48968024898619</v>
      </c>
      <c r="J9445" s="38" t="n">
        <f aca="false">Sens!$J$9483</f>
        <v>9.63598826439483</v>
      </c>
      <c r="K9445" s="38" t="n">
        <f aca="false">Sens!$K$9483</f>
        <v>9.63598826439483</v>
      </c>
      <c r="L9445" s="38" t="n">
        <f aca="false">Sens!$L$9483</f>
        <v>9.63598826439483</v>
      </c>
      <c r="M9445" s="38" t="n">
        <f aca="false">Sens!$M$9483</f>
        <v>9.63598826439483</v>
      </c>
      <c r="N9445" s="38" t="n">
        <f aca="false">Q!$N$34</f>
        <v>1.057</v>
      </c>
      <c r="O9445" s="38" t="n">
        <f aca="false">Q!$O$34</f>
        <v>1.217</v>
      </c>
    </row>
    <row r="9446" customFormat="false" ht="15" hidden="false" customHeight="false" outlineLevel="0" collapsed="false">
      <c r="A9446" s="5" t="s">
        <v>752</v>
      </c>
      <c r="B9446" s="0" t="s">
        <v>86</v>
      </c>
      <c r="F9446" s="38" t="n">
        <f aca="false">Sens!$F$9484</f>
        <v>2.59</v>
      </c>
      <c r="H9446" s="38" t="n">
        <f aca="false">Sens!$H$9484</f>
        <v>3.76965165045626</v>
      </c>
      <c r="I9446" s="38" t="n">
        <f aca="false">Sens!$I$9484</f>
        <v>2.10589651022864</v>
      </c>
      <c r="J9446" s="38" t="n">
        <f aca="false">Sens!$J$9484</f>
        <v>2.10589651022864</v>
      </c>
      <c r="K9446" s="38" t="n">
        <f aca="false">Sens!$K$9484</f>
        <v>3.03184385018094</v>
      </c>
      <c r="L9446" s="38" t="n">
        <f aca="false">Sens!$L$9484</f>
        <v>8.01944213829919</v>
      </c>
      <c r="M9446" s="38" t="n">
        <f aca="false">Sens!$M$9484</f>
        <v>15.4751142339777</v>
      </c>
    </row>
    <row r="9447" customFormat="false" ht="17.15" hidden="false" customHeight="false" outlineLevel="0" collapsed="false">
      <c r="A9447" s="5" t="s">
        <v>753</v>
      </c>
      <c r="B9447" s="0" t="s">
        <v>86</v>
      </c>
      <c r="C9447" s="38" t="n">
        <f aca="false">Q!$D$39</f>
        <v>2.427</v>
      </c>
      <c r="D9447" s="38" t="n">
        <f aca="false">Q!$E$39</f>
        <v>19.61</v>
      </c>
      <c r="E9447" s="38" t="n">
        <f aca="false">Q!$P$39</f>
        <v>71.492</v>
      </c>
      <c r="F9447" s="39" t="n">
        <v>0</v>
      </c>
      <c r="G9447" s="38" t="n">
        <f aca="false">Sens!$E$9447+Sens!$F$9447</f>
        <v>71.492</v>
      </c>
      <c r="H9447" s="39" t="n">
        <v>0</v>
      </c>
      <c r="I9447" s="39" t="n">
        <v>0</v>
      </c>
      <c r="J9447" s="39" t="n">
        <v>0</v>
      </c>
      <c r="K9447" s="39" t="n">
        <v>0</v>
      </c>
      <c r="L9447" s="39" t="n">
        <v>0</v>
      </c>
      <c r="M9447" s="39" t="n">
        <v>0</v>
      </c>
      <c r="N9447" s="38" t="n">
        <f aca="false">Q!$N$39</f>
        <v>6.017</v>
      </c>
      <c r="O9447" s="38" t="n">
        <f aca="false">Q!$O$39</f>
        <v>13.593</v>
      </c>
      <c r="P9447" s="5" t="s">
        <v>754</v>
      </c>
    </row>
    <row r="9448" customFormat="false" ht="15" hidden="false" customHeight="false" outlineLevel="0" collapsed="false">
      <c r="A9448" s="5" t="s">
        <v>547</v>
      </c>
      <c r="B9448" s="0" t="s">
        <v>86</v>
      </c>
      <c r="C9448" s="38" t="n">
        <f aca="false">Q!$D$36</f>
        <v>68.614</v>
      </c>
      <c r="D9448" s="38" t="n">
        <f aca="false">Q!$E$36</f>
        <v>97.311</v>
      </c>
      <c r="E9448" s="38" t="n">
        <f aca="false">Q!$P$36</f>
        <v>120.691</v>
      </c>
      <c r="F9448" s="38" t="n">
        <f aca="false">Sens!$F$9424-Sens!$F$9445+Sens!$F$9446+Sens!$F$9447</f>
        <v>56.0316019995185</v>
      </c>
      <c r="G9448" s="38" t="n">
        <f aca="false">Sens!$E$9448+Sens!$F$9448</f>
        <v>176.722601999518</v>
      </c>
      <c r="H9448" s="38" t="n">
        <f aca="false">Sens!$H$9424-Sens!$H$9445+Sens!$H$9446+Sens!$H$9447</f>
        <v>127.892977696936</v>
      </c>
      <c r="I9448" s="38" t="n">
        <f aca="false">Sens!$I$9424-Sens!$I$9445+Sens!$I$9446+Sens!$I$9447</f>
        <v>145.059971464568</v>
      </c>
      <c r="J9448" s="38" t="n">
        <f aca="false">Sens!$J$9424-Sens!$J$9445+Sens!$J$9446+Sens!$J$9447</f>
        <v>162.301047638521</v>
      </c>
      <c r="K9448" s="38" t="n">
        <f aca="false">Sens!$K$9424-Sens!$K$9445+Sens!$K$9446+Sens!$K$9447</f>
        <v>174.811068079608</v>
      </c>
      <c r="L9448" s="38" t="n">
        <f aca="false">Sens!$L$9424-Sens!$L$9445+Sens!$L$9446+Sens!$L$9447</f>
        <v>190.599438342064</v>
      </c>
      <c r="M9448" s="38" t="n">
        <f aca="false">Sens!$M$9424-Sens!$M$9445+Sens!$M$9446+Sens!$M$9447</f>
        <v>208.094988213801</v>
      </c>
      <c r="N9448" s="38" t="n">
        <f aca="false">Q!$N$36</f>
        <v>42.536</v>
      </c>
      <c r="O9448" s="38" t="n">
        <f aca="false">Q!$O$36</f>
        <v>54.775</v>
      </c>
    </row>
    <row r="9449" customFormat="false" ht="15" hidden="false" customHeight="false" outlineLevel="0" collapsed="false">
      <c r="A9449" s="5" t="s">
        <v>548</v>
      </c>
      <c r="B9449" s="0" t="s">
        <v>86</v>
      </c>
      <c r="C9449" s="38" t="n">
        <f aca="false">Q!$D$37</f>
        <v>9.265</v>
      </c>
      <c r="D9449" s="38" t="n">
        <f aca="false">Q!$E$37</f>
        <v>19.087</v>
      </c>
      <c r="E9449" s="38" t="n">
        <f aca="false">Q!$P$37</f>
        <v>27.759</v>
      </c>
      <c r="F9449" s="38" t="n">
        <f aca="false">Sens!$F$9448*tax</f>
        <v>9.72621910890414</v>
      </c>
      <c r="G9449" s="38" t="n">
        <f aca="false">Sens!$E$9449+Sens!$F$9449</f>
        <v>37.4852191089041</v>
      </c>
      <c r="H9449" s="38" t="n">
        <f aca="false">Sens!$H$9448*tax</f>
        <v>22.2002419916761</v>
      </c>
      <c r="I9449" s="38" t="n">
        <f aca="false">Sens!$I$9448*tax</f>
        <v>25.1801664783365</v>
      </c>
      <c r="J9449" s="38" t="n">
        <f aca="false">Sens!$J$9448*tax</f>
        <v>28.1729505244292</v>
      </c>
      <c r="K9449" s="38" t="n">
        <f aca="false">Sens!$K$9448*tax</f>
        <v>30.3444965007146</v>
      </c>
      <c r="L9449" s="38" t="n">
        <f aca="false">Sens!$L$9448*tax</f>
        <v>33.0851132788405</v>
      </c>
      <c r="M9449" s="38" t="n">
        <f aca="false">Sens!$M$9448*tax</f>
        <v>36.1220700213006</v>
      </c>
      <c r="N9449" s="38" t="n">
        <f aca="false">Q!$N$37</f>
        <v>7.231</v>
      </c>
      <c r="O9449" s="38" t="n">
        <f aca="false">Q!$O$37</f>
        <v>11.856</v>
      </c>
    </row>
    <row r="9450" customFormat="false" ht="15" hidden="false" customHeight="false" outlineLevel="0" collapsed="false">
      <c r="A9450" s="3" t="s">
        <v>549</v>
      </c>
      <c r="B9450" s="8" t="s">
        <v>86</v>
      </c>
      <c r="C9450" s="38" t="n">
        <f aca="false">Q!$D$38</f>
        <v>59.248</v>
      </c>
      <c r="D9450" s="38" t="n">
        <f aca="false">Q!$E$38</f>
        <v>77.67</v>
      </c>
      <c r="E9450" s="38" t="n">
        <f aca="false">Q!$P$38</f>
        <v>92.902</v>
      </c>
      <c r="F9450" s="38" t="n">
        <f aca="false">Sens!$F$9448-Sens!$F$9449</f>
        <v>46.3053828906144</v>
      </c>
      <c r="G9450" s="38" t="n">
        <f aca="false">Sens!$E$9450+Sens!$F$9450</f>
        <v>139.207382890614</v>
      </c>
      <c r="H9450" s="38" t="n">
        <f aca="false">Sens!$H$9448-Sens!$H$9449</f>
        <v>105.69273570526</v>
      </c>
      <c r="I9450" s="38" t="n">
        <f aca="false">Sens!$I$9448-Sens!$I$9449</f>
        <v>119.879804986231</v>
      </c>
      <c r="J9450" s="38" t="n">
        <f aca="false">Sens!$J$9448-Sens!$J$9449</f>
        <v>134.128097114092</v>
      </c>
      <c r="K9450" s="38" t="n">
        <f aca="false">Sens!$K$9448-Sens!$K$9449</f>
        <v>144.466571578893</v>
      </c>
      <c r="L9450" s="38" t="n">
        <f aca="false">Sens!$L$9448-Sens!$L$9449</f>
        <v>157.514325063223</v>
      </c>
      <c r="M9450" s="38" t="n">
        <f aca="false">Sens!$M$9448-Sens!$M$9449</f>
        <v>171.9729181925</v>
      </c>
      <c r="N9450" s="38" t="n">
        <f aca="false">Q!$N$38</f>
        <v>35.291</v>
      </c>
      <c r="O9450" s="38" t="n">
        <f aca="false">Q!$O$38</f>
        <v>42.379</v>
      </c>
    </row>
    <row r="9451" customFormat="false" ht="17.15" hidden="false" customHeight="false" outlineLevel="0" collapsed="false">
      <c r="A9451" s="5" t="s">
        <v>552</v>
      </c>
      <c r="B9451" s="5" t="s">
        <v>33</v>
      </c>
      <c r="C9451" s="22" t="n">
        <f aca="false">Q!$D$41</f>
        <v>10.721</v>
      </c>
      <c r="D9451" s="22" t="n">
        <f aca="false">Q!$E$41</f>
        <v>10.827</v>
      </c>
      <c r="E9451" s="22" t="n">
        <f aca="false">(Q!$L$41+Q!$M$41)/2</f>
        <v>10.8885</v>
      </c>
      <c r="F9451" s="22" t="n">
        <f aca="false">Sens!$G$9451</f>
        <v>10.924806</v>
      </c>
      <c r="G9451" s="22" t="n">
        <f aca="false">Q!$M$41*(1+sh_g*0.25)</f>
        <v>10.924806</v>
      </c>
      <c r="H9451" s="22" t="n">
        <f aca="false">Sens!$G$9451*(1+sh_g)</f>
        <v>11.012204448</v>
      </c>
      <c r="I9451" s="22" t="n">
        <f aca="false">Sens!$H$9451*(1+sh_g)</f>
        <v>11.100302083584</v>
      </c>
      <c r="J9451" s="22" t="n">
        <f aca="false">Sens!$I$9451*(1+sh_g)</f>
        <v>11.1891045002527</v>
      </c>
      <c r="K9451" s="22" t="n">
        <f aca="false">Sens!$J$9451*(1+sh_g)</f>
        <v>11.2786173362547</v>
      </c>
      <c r="L9451" s="22" t="n">
        <f aca="false">Sens!$K$9451*(1+sh_g)</f>
        <v>11.3688462749447</v>
      </c>
      <c r="M9451" s="22" t="n">
        <f aca="false">Sens!$L$9451*(1+sh_g)</f>
        <v>11.4597970451443</v>
      </c>
      <c r="P9451" s="5" t="s">
        <v>755</v>
      </c>
    </row>
    <row r="9452" customFormat="false" ht="17.15" hidden="false" customHeight="false" outlineLevel="0" collapsed="false">
      <c r="A9452" s="5" t="s">
        <v>756</v>
      </c>
      <c r="B9452" s="0" t="s">
        <v>86</v>
      </c>
      <c r="C9452" s="38" t="n">
        <f aca="false">Sens!$C$9450+Sens!$C$9426*(1-tax)</f>
        <v>59.248</v>
      </c>
      <c r="D9452" s="38" t="n">
        <f aca="false">Sens!$D$9450+Sens!$D$9426*(1-tax)</f>
        <v>77.67</v>
      </c>
      <c r="E9452" s="38" t="n">
        <f aca="false">Sens!$E$9450+Sens!$E$9426*(1-tax)</f>
        <v>92.902</v>
      </c>
      <c r="F9452" s="38" t="n">
        <f aca="false">Sens!$F$9450+Sens!$F$9426*(1-tax)</f>
        <v>49.421977850263</v>
      </c>
      <c r="G9452" s="38" t="n">
        <f aca="false">Sens!$G$9450+Sens!$G$9426*(1-tax)</f>
        <v>142.323977850263</v>
      </c>
      <c r="H9452" s="38" t="n">
        <f aca="false">Sens!$H$9450+Sens!$H$9426*(1-tax)</f>
        <v>118.224131660605</v>
      </c>
      <c r="I9452" s="38" t="n">
        <f aca="false">Sens!$I$9450+Sens!$I$9426*(1-tax)</f>
        <v>141.02107006117</v>
      </c>
      <c r="J9452" s="38" t="n">
        <f aca="false">Sens!$J$9450+Sens!$J$9426*(1-tax)</f>
        <v>163.917534058375</v>
      </c>
      <c r="K9452" s="38" t="n">
        <f aca="false">Sens!$K$9450+Sens!$K$9426*(1-tax)</f>
        <v>181.633877275552</v>
      </c>
      <c r="L9452" s="38" t="n">
        <f aca="false">Sens!$L$9450+Sens!$L$9426*(1-tax)</f>
        <v>199.530402403778</v>
      </c>
      <c r="M9452" s="38" t="n">
        <f aca="false">Sens!$M$9450+Sens!$M$9426*(1-tax)</f>
        <v>216.302440383341</v>
      </c>
      <c r="N9452" s="38" t="n">
        <f aca="false">Sens!$N$9450+Sens!$N$9426*(1-tax)</f>
        <v>35.291</v>
      </c>
      <c r="O9452" s="38" t="n">
        <f aca="false">Sens!$O$9450+Sens!$O$9426*(1-tax)</f>
        <v>42.379</v>
      </c>
    </row>
    <row r="9453" customFormat="false" ht="17.15" hidden="false" customHeight="false" outlineLevel="0" collapsed="false">
      <c r="A9453" s="43" t="s">
        <v>757</v>
      </c>
      <c r="B9453" s="14" t="s">
        <v>27</v>
      </c>
      <c r="C9453" s="44" t="n">
        <f aca="false">Sens!$C$9452/Sens!$C$9451</f>
        <v>5.52635015390355</v>
      </c>
      <c r="D9453" s="44" t="n">
        <f aca="false">Sens!$D$9452/Sens!$D$9451</f>
        <v>7.1737323358271</v>
      </c>
      <c r="E9453" s="44" t="n">
        <f aca="false">Sens!$E$9452/Sens!$E$9451</f>
        <v>8.53212104513937</v>
      </c>
      <c r="F9453" s="14"/>
      <c r="G9453" s="44" t="n">
        <f aca="false">Sens!$G$9452/Sens!$G$9451</f>
        <v>13.0275977303636</v>
      </c>
      <c r="H9453" s="44" t="n">
        <f aca="false">Sens!$H$9452/Sens!$H$9451</f>
        <v>10.7357370832392</v>
      </c>
      <c r="I9453" s="44" t="n">
        <f aca="false">Sens!$I$9452/Sens!$I$9451</f>
        <v>12.7042551634449</v>
      </c>
      <c r="J9453" s="44" t="n">
        <f aca="false">Sens!$J$9452/Sens!$J$9451</f>
        <v>14.6497455676344</v>
      </c>
      <c r="K9453" s="44" t="n">
        <f aca="false">Sens!$K$9452/Sens!$K$9451</f>
        <v>16.104268090708</v>
      </c>
      <c r="L9453" s="44" t="n">
        <f aca="false">Sens!$L$9452/Sens!$L$9451</f>
        <v>17.5506289361581</v>
      </c>
      <c r="M9453" s="44" t="n">
        <f aca="false">Sens!$M$9452/Sens!$M$9451</f>
        <v>18.8748927691518</v>
      </c>
      <c r="N9453" s="14"/>
      <c r="O9453" s="14"/>
    </row>
    <row r="9454" customFormat="false" ht="17.15" hidden="false" customHeight="false" outlineLevel="0" collapsed="false">
      <c r="A9454" s="0" t="s">
        <v>758</v>
      </c>
      <c r="B9454" s="0" t="s">
        <v>27</v>
      </c>
      <c r="C9454" s="30" t="n">
        <f aca="false">Sens!$C$9450/Sens!$C$9451</f>
        <v>5.52635015390355</v>
      </c>
      <c r="D9454" s="30" t="n">
        <f aca="false">Sens!$D$9450/Sens!$D$9451</f>
        <v>7.1737323358271</v>
      </c>
      <c r="E9454" s="30" t="n">
        <f aca="false">Sens!$E$9450/Sens!$E$9451</f>
        <v>8.53212104513937</v>
      </c>
      <c r="G9454" s="30" t="n">
        <f aca="false">Sens!$G$9450/Sens!$G$9451</f>
        <v>12.7423208147233</v>
      </c>
      <c r="H9454" s="30" t="n">
        <f aca="false">Sens!$H$9450/Sens!$H$9451</f>
        <v>9.59778182509639</v>
      </c>
      <c r="I9454" s="30" t="n">
        <f aca="false">Sens!$I$9450/Sens!$I$9451</f>
        <v>10.799688520506</v>
      </c>
      <c r="J9454" s="30" t="n">
        <f aca="false">Sens!$J$9450/Sens!$J$9451</f>
        <v>11.9873844337644</v>
      </c>
      <c r="K9454" s="30" t="n">
        <f aca="false">Sens!$K$9450/Sens!$K$9451</f>
        <v>12.8088902453061</v>
      </c>
      <c r="L9454" s="30" t="n">
        <f aca="false">Sens!$L$9450/Sens!$L$9451</f>
        <v>13.8549085152432</v>
      </c>
      <c r="M9454" s="30" t="n">
        <f aca="false">Sens!$M$9450/Sens!$M$9451</f>
        <v>15.0066286091313</v>
      </c>
    </row>
    <row r="9455" customFormat="false" ht="17.15" hidden="false" customHeight="false" outlineLevel="0" collapsed="false">
      <c r="A9455" s="0" t="s">
        <v>759</v>
      </c>
      <c r="B9455" s="0" t="s">
        <v>27</v>
      </c>
      <c r="C9455" s="30" t="n">
        <f aca="false">(Sens!$C$9450-Sens!$C$9447*(1-tax))/Sens!$C$9451</f>
        <v>5.33926775917445</v>
      </c>
      <c r="D9455" s="30" t="n">
        <f aca="false">(Sens!$D$9450-Sens!$D$9447*(1-tax))/Sens!$D$9451</f>
        <v>5.67691812755503</v>
      </c>
      <c r="E9455" s="30" t="n">
        <f aca="false">(Sens!$E$9450-Sens!$E$9447*(1-tax))/Sens!$E$9451</f>
        <v>3.10602057006846</v>
      </c>
      <c r="G9455" s="30" t="n">
        <f aca="false">(Sens!$G$9450-Sens!$G$9447*(1-tax))/Sens!$G$9451</f>
        <v>7.33425269682635</v>
      </c>
      <c r="H9455" s="30" t="n">
        <f aca="false">(Sens!$H$9450-Sens!$H$9447*(1-tax))/Sens!$H$9451</f>
        <v>9.59778182509639</v>
      </c>
      <c r="I9455" s="30" t="n">
        <f aca="false">(Sens!$I$9450-Sens!$I$9447*(1-tax))/Sens!$I$9451</f>
        <v>10.799688520506</v>
      </c>
      <c r="J9455" s="30" t="n">
        <f aca="false">(Sens!$J$9450-Sens!$J$9447*(1-tax))/Sens!$J$9451</f>
        <v>11.9873844337644</v>
      </c>
      <c r="K9455" s="30" t="n">
        <f aca="false">(Sens!$K$9450-Sens!$K$9447*(1-tax))/Sens!$K$9451</f>
        <v>12.8088902453061</v>
      </c>
      <c r="L9455" s="30" t="n">
        <f aca="false">(Sens!$L$9450-Sens!$L$9447*(1-tax))/Sens!$L$9451</f>
        <v>13.8549085152432</v>
      </c>
      <c r="M9455" s="30" t="n">
        <f aca="false">(Sens!$M$9450-Sens!$M$9447*(1-tax))/Sens!$M$9451</f>
        <v>15.0066286091313</v>
      </c>
      <c r="P9455" s="5" t="s">
        <v>760</v>
      </c>
    </row>
    <row r="9456" customFormat="false" ht="17.15" hidden="false" customHeight="false" outlineLevel="0" collapsed="false">
      <c r="A9456" s="0" t="s">
        <v>761</v>
      </c>
      <c r="B9456" s="0" t="s">
        <v>52</v>
      </c>
      <c r="H9456" s="13" t="n">
        <f aca="false">Sens!$H$9453/Sens!$G$9453-1</f>
        <v>-0.175923504437261</v>
      </c>
      <c r="I9456" s="13" t="n">
        <f aca="false">Sens!$I$9453/Sens!$H$9453-1</f>
        <v>0.183361241519136</v>
      </c>
      <c r="J9456" s="13" t="n">
        <f aca="false">Sens!$J$9453/Sens!$I$9453-1</f>
        <v>0.153136911936991</v>
      </c>
      <c r="K9456" s="13" t="n">
        <f aca="false">Sens!$K$9453/Sens!$J$9453-1</f>
        <v>0.0992865382103958</v>
      </c>
      <c r="L9456" s="13" t="n">
        <f aca="false">Sens!$L$9453/Sens!$K$9453-1</f>
        <v>0.0898122682324627</v>
      </c>
      <c r="M9456" s="13" t="n">
        <f aca="false">Sens!$M$9453/Sens!$L$9453-1</f>
        <v>0.0754539246320329</v>
      </c>
    </row>
    <row r="9459" customFormat="false" ht="19.4" hidden="false" customHeight="false" outlineLevel="0" collapsed="false">
      <c r="A9459" s="31" t="s">
        <v>1328</v>
      </c>
    </row>
    <row r="9460" customFormat="false" ht="17.15" hidden="false" customHeight="false" outlineLevel="0" collapsed="false">
      <c r="A9460" s="6" t="s">
        <v>16</v>
      </c>
      <c r="B9460" s="6" t="s">
        <v>17</v>
      </c>
      <c r="C9460" s="20" t="s">
        <v>497</v>
      </c>
      <c r="D9460" s="20" t="s">
        <v>498</v>
      </c>
      <c r="E9460" s="20" t="s">
        <v>580</v>
      </c>
      <c r="F9460" s="20" t="s">
        <v>581</v>
      </c>
      <c r="G9460" s="20" t="s">
        <v>582</v>
      </c>
      <c r="H9460" s="20" t="s">
        <v>583</v>
      </c>
      <c r="I9460" s="20" t="s">
        <v>584</v>
      </c>
      <c r="J9460" s="20" t="s">
        <v>585</v>
      </c>
      <c r="K9460" s="20" t="s">
        <v>586</v>
      </c>
      <c r="L9460" s="20" t="s">
        <v>587</v>
      </c>
      <c r="M9460" s="20" t="s">
        <v>588</v>
      </c>
      <c r="N9460" s="20" t="s">
        <v>589</v>
      </c>
      <c r="O9460" s="20" t="s">
        <v>590</v>
      </c>
      <c r="P9460" s="6" t="s">
        <v>23</v>
      </c>
      <c r="R9460" s="20" t="n">
        <v>2023</v>
      </c>
      <c r="S9460" s="20" t="n">
        <v>2024</v>
      </c>
      <c r="T9460" s="20" t="n">
        <v>2025</v>
      </c>
      <c r="U9460" s="20" t="n">
        <v>2026</v>
      </c>
      <c r="V9460" s="20" t="n">
        <v>2027</v>
      </c>
      <c r="W9460" s="20" t="n">
        <v>2028</v>
      </c>
      <c r="X9460" s="20" t="n">
        <v>2029</v>
      </c>
      <c r="Y9460" s="20" t="n">
        <v>2030</v>
      </c>
      <c r="Z9460" s="20" t="n">
        <v>2031</v>
      </c>
      <c r="AA9460" s="20" t="n">
        <v>2032</v>
      </c>
    </row>
    <row r="9461" customFormat="false" ht="15" hidden="false" customHeight="false" outlineLevel="0" collapsed="false">
      <c r="A9461" s="5" t="s">
        <v>549</v>
      </c>
      <c r="B9461" s="0" t="s">
        <v>86</v>
      </c>
      <c r="C9461" s="38" t="n">
        <f aca="false">Sens!$C$9450</f>
        <v>59.248</v>
      </c>
      <c r="D9461" s="38" t="n">
        <f aca="false">Sens!$D$9450</f>
        <v>77.67</v>
      </c>
      <c r="E9461" s="38" t="n">
        <f aca="false">Sens!$E$9450</f>
        <v>92.902</v>
      </c>
      <c r="F9461" s="38" t="n">
        <f aca="false">Sens!$F$9450</f>
        <v>46.3053828906144</v>
      </c>
      <c r="G9461" s="38" t="n">
        <f aca="false">Sens!$G$9450</f>
        <v>139.207382890614</v>
      </c>
      <c r="H9461" s="38" t="n">
        <f aca="false">Sens!$H$9450</f>
        <v>105.69273570526</v>
      </c>
      <c r="I9461" s="38" t="n">
        <f aca="false">Sens!$I$9450</f>
        <v>119.879804986231</v>
      </c>
      <c r="J9461" s="38" t="n">
        <f aca="false">Sens!$J$9450</f>
        <v>134.128097114092</v>
      </c>
      <c r="K9461" s="38" t="n">
        <f aca="false">Sens!$K$9450</f>
        <v>144.466571578893</v>
      </c>
      <c r="L9461" s="38" t="n">
        <f aca="false">Sens!$L$9450</f>
        <v>157.514325063223</v>
      </c>
      <c r="M9461" s="38" t="n">
        <f aca="false">Sens!$M$9450</f>
        <v>171.9729181925</v>
      </c>
    </row>
    <row r="9462" customFormat="false" ht="17.15" hidden="false" customHeight="false" outlineLevel="0" collapsed="false">
      <c r="A9462" s="5" t="s">
        <v>784</v>
      </c>
      <c r="B9462" s="0" t="s">
        <v>86</v>
      </c>
      <c r="C9462" s="38" t="n">
        <f aca="false">Sens!$C$9438</f>
        <v>32.067</v>
      </c>
      <c r="D9462" s="38" t="n">
        <f aca="false">Sens!$D$9438</f>
        <v>41.86</v>
      </c>
      <c r="E9462" s="38" t="n">
        <f aca="false">Sens!$E$9438</f>
        <v>26.703</v>
      </c>
      <c r="F9462" s="38" t="n">
        <f aca="false">Sens!$F$9438</f>
        <v>28.2071421626285</v>
      </c>
      <c r="G9462" s="38" t="n">
        <f aca="false">Sens!$G$9438</f>
        <v>54.9101421626285</v>
      </c>
      <c r="H9462" s="38" t="n">
        <f aca="false">Sens!$H$9438</f>
        <v>78.1799395827871</v>
      </c>
      <c r="I9462" s="38" t="n">
        <f aca="false">Sens!$I$9438</f>
        <v>111.171125554384</v>
      </c>
      <c r="J9462" s="38" t="n">
        <f aca="false">Sens!$J$9438</f>
        <v>144.884406220971</v>
      </c>
      <c r="K9462" s="38" t="n">
        <f aca="false">Sens!$K$9438</f>
        <v>178.806419437999</v>
      </c>
      <c r="L9462" s="38" t="n">
        <f aca="false">Sens!$L$9438</f>
        <v>204.341339029663</v>
      </c>
      <c r="M9462" s="38" t="n">
        <f aca="false">Sens!$M$9438</f>
        <v>223.130577995387</v>
      </c>
    </row>
    <row r="9463" customFormat="false" ht="15" hidden="false" customHeight="false" outlineLevel="0" collapsed="false">
      <c r="A9463" s="5" t="s">
        <v>785</v>
      </c>
      <c r="B9463" s="0" t="s">
        <v>86</v>
      </c>
      <c r="C9463" s="38" t="n">
        <f aca="false">Q!$D$48</f>
        <v>22.011</v>
      </c>
      <c r="D9463" s="38" t="n">
        <f aca="false">Q!$E$48</f>
        <v>19.467</v>
      </c>
      <c r="E9463" s="38" t="n">
        <f aca="false">Q!$P$48</f>
        <v>10.07</v>
      </c>
      <c r="F9463" s="38" t="n">
        <f aca="false">sbc_r*Sens!$F$9380</f>
        <v>10.8507035798037</v>
      </c>
      <c r="G9463" s="38" t="n">
        <f aca="false">Sens!$E$9463+Sens!$F$9463</f>
        <v>20.9207035798037</v>
      </c>
      <c r="H9463" s="38" t="n">
        <f aca="false">sbc_r*Sens!$H$9380</f>
        <v>23.46224366345</v>
      </c>
      <c r="I9463" s="38" t="n">
        <f aca="false">sbc_r*Sens!$I$9380</f>
        <v>26.6125957111676</v>
      </c>
      <c r="J9463" s="38" t="n">
        <f aca="false">sbc_r*Sens!$J$9380</f>
        <v>29.6280801413323</v>
      </c>
      <c r="K9463" s="38" t="n">
        <f aca="false">sbc_r*Sens!$K$9380</f>
        <v>32.2712258901105</v>
      </c>
      <c r="L9463" s="38" t="n">
        <f aca="false">sbc_r*Sens!$L$9380</f>
        <v>34.7390505016737</v>
      </c>
      <c r="M9463" s="38" t="n">
        <f aca="false">sbc_r*Sens!$M$9380</f>
        <v>37.0405146906692</v>
      </c>
    </row>
    <row r="9464" customFormat="false" ht="17.15" hidden="false" customHeight="false" outlineLevel="0" collapsed="false">
      <c r="A9464" s="5" t="s">
        <v>786</v>
      </c>
      <c r="B9464" s="0" t="s">
        <v>86</v>
      </c>
      <c r="C9464" s="38" t="n">
        <f aca="false">Q!$D$44-Sens!$C$9461-Sens!$C$9462-Sens!$C$9463</f>
        <v>2.551</v>
      </c>
      <c r="D9464" s="38" t="n">
        <f aca="false">Q!$E$44-Sens!$D$9461-Sens!$D$9462-Sens!$D$9463</f>
        <v>0.51700000000001</v>
      </c>
      <c r="E9464" s="38" t="n">
        <f aca="false">Q!$P$44-Sens!$E$9461-Sens!$E$9462-Sens!$E$9463</f>
        <v>-58.256</v>
      </c>
      <c r="F9464" s="38" t="n">
        <f aca="false">oth_r*Sens!$F$9380</f>
        <v>5.22265251035878</v>
      </c>
      <c r="G9464" s="38" t="n">
        <f aca="false">Sens!$E$9464+Sens!$F$9464</f>
        <v>-53.0333474896412</v>
      </c>
      <c r="H9464" s="38" t="n">
        <f aca="false">oth_r*Sens!$H$9380</f>
        <v>11.2928295263397</v>
      </c>
      <c r="I9464" s="38" t="n">
        <f aca="false">oth_r*Sens!$I$9380</f>
        <v>12.8091546115766</v>
      </c>
      <c r="J9464" s="38" t="n">
        <f aca="false">oth_r*Sens!$J$9380</f>
        <v>14.2605653162668</v>
      </c>
      <c r="K9464" s="38" t="n">
        <f aca="false">oth_r*Sens!$K$9380</f>
        <v>15.5327622460396</v>
      </c>
      <c r="L9464" s="38" t="n">
        <f aca="false">oth_r*Sens!$L$9380</f>
        <v>16.720573737517</v>
      </c>
      <c r="M9464" s="38" t="n">
        <f aca="false">oth_r*Sens!$M$9380</f>
        <v>17.8283127551536</v>
      </c>
      <c r="P9464" s="8" t="s">
        <v>787</v>
      </c>
    </row>
    <row r="9465" customFormat="false" ht="15" hidden="false" customHeight="false" outlineLevel="0" collapsed="false">
      <c r="A9465" s="3" t="s">
        <v>555</v>
      </c>
      <c r="B9465" s="8" t="s">
        <v>86</v>
      </c>
      <c r="C9465" s="38" t="n">
        <f aca="false">Q!$D$44</f>
        <v>115.877</v>
      </c>
      <c r="D9465" s="38" t="n">
        <f aca="false">Q!$E$44</f>
        <v>139.514</v>
      </c>
      <c r="E9465" s="38" t="n">
        <f aca="false">Q!$P$44</f>
        <v>71.419</v>
      </c>
      <c r="F9465" s="38" t="n">
        <f aca="false">Sens!$F$9461+Sens!$F$9462+Sens!$F$9463+Sens!$F$9464</f>
        <v>90.5858811434053</v>
      </c>
      <c r="G9465" s="38" t="n">
        <f aca="false">Sens!$E$9465+Sens!$F$9465</f>
        <v>162.004881143405</v>
      </c>
      <c r="H9465" s="38" t="n">
        <f aca="false">Sens!$H$9461+Sens!$H$9462+Sens!$H$9463+Sens!$H$9464</f>
        <v>218.627748477837</v>
      </c>
      <c r="I9465" s="38" t="n">
        <f aca="false">Sens!$I$9461+Sens!$I$9462+Sens!$I$9463+Sens!$I$9464</f>
        <v>270.47268086336</v>
      </c>
      <c r="J9465" s="38" t="n">
        <f aca="false">Sens!$J$9461+Sens!$J$9462+Sens!$J$9463+Sens!$J$9464</f>
        <v>322.901148792662</v>
      </c>
      <c r="K9465" s="38" t="n">
        <f aca="false">Sens!$K$9461+Sens!$K$9462+Sens!$K$9463+Sens!$K$9464</f>
        <v>371.076979153043</v>
      </c>
      <c r="L9465" s="38" t="n">
        <f aca="false">Sens!$L$9461+Sens!$L$9462+Sens!$L$9463+Sens!$L$9464</f>
        <v>413.315288332076</v>
      </c>
      <c r="M9465" s="38" t="n">
        <f aca="false">Sens!$M$9461+Sens!$M$9462+Sens!$M$9463+Sens!$M$9464</f>
        <v>449.97232363371</v>
      </c>
    </row>
    <row r="9466" customFormat="false" ht="17.15" hidden="false" customHeight="false" outlineLevel="0" collapsed="false">
      <c r="A9466" s="5" t="s">
        <v>788</v>
      </c>
      <c r="B9466" s="0" t="s">
        <v>86</v>
      </c>
      <c r="C9466" s="38" t="n">
        <f aca="false">Sens!$C$9347</f>
        <v>25.2781053077374</v>
      </c>
      <c r="D9466" s="38" t="n">
        <f aca="false">Sens!$D$9347</f>
        <v>69.5686316310026</v>
      </c>
      <c r="E9466" s="38" t="n">
        <f aca="false">Sens!$E$9347</f>
        <v>64.1899206485108</v>
      </c>
      <c r="F9466" s="38" t="n">
        <f aca="false">Sens!$F$9347</f>
        <v>96.2481299895</v>
      </c>
      <c r="G9466" s="38" t="n">
        <f aca="false">Sens!$G$9347</f>
        <v>160.438050638011</v>
      </c>
      <c r="H9466" s="38" t="n">
        <f aca="false">Sens!$H$9347</f>
        <v>198.57136494475</v>
      </c>
      <c r="I9466" s="38" t="n">
        <f aca="false">Sens!$I$9347</f>
        <v>204.6464699105</v>
      </c>
      <c r="J9466" s="38" t="n">
        <f aca="false">Sens!$J$9347</f>
        <v>209.8832381105</v>
      </c>
      <c r="K9466" s="38" t="n">
        <f aca="false">Sens!$K$9347</f>
        <v>155.238385275201</v>
      </c>
      <c r="L9466" s="38" t="n">
        <f aca="false">Sens!$L$9347</f>
        <v>132.014141639902</v>
      </c>
      <c r="M9466" s="38" t="n">
        <f aca="false">Sens!$M$9347</f>
        <v>132.230981659852</v>
      </c>
    </row>
    <row r="9467" customFormat="false" ht="17.15" hidden="false" customHeight="false" outlineLevel="0" collapsed="false">
      <c r="A9467" s="5" t="s">
        <v>789</v>
      </c>
      <c r="B9467" s="0" t="s">
        <v>86</v>
      </c>
      <c r="C9467" s="38" t="n">
        <f aca="false">cx_awso*Sens!$C$9378</f>
        <v>21.0469989286053</v>
      </c>
      <c r="D9467" s="38" t="n">
        <f aca="false">cx_awso*Sens!$D$9378</f>
        <v>24.0042459822698</v>
      </c>
      <c r="E9467" s="38" t="n">
        <f aca="false">cx_awso*Sens!$E$9378</f>
        <v>14.261729404886</v>
      </c>
      <c r="F9467" s="38" t="n">
        <f aca="false">cx_awso*Sens!$F$9378</f>
        <v>14.3538599588493</v>
      </c>
      <c r="G9467" s="38" t="n">
        <f aca="false">Sens!$E$9467+Sens!$F$9467</f>
        <v>28.6155893637353</v>
      </c>
      <c r="H9467" s="38" t="n">
        <f aca="false">cx_awso*Sens!$H$9378</f>
        <v>32.2034154158406</v>
      </c>
      <c r="I9467" s="38" t="n">
        <f aca="false">cx_awso*Sens!$I$9378</f>
        <v>35.7539519042915</v>
      </c>
      <c r="J9467" s="38" t="n">
        <f aca="false">cx_awso*Sens!$J$9378</f>
        <v>39.1551076091815</v>
      </c>
      <c r="K9467" s="38" t="n">
        <f aca="false">cx_awso*Sens!$K$9378</f>
        <v>42.287516217916</v>
      </c>
      <c r="L9467" s="38" t="n">
        <f aca="false">cx_awso*Sens!$L$9378</f>
        <v>45.6705175153492</v>
      </c>
      <c r="M9467" s="38" t="n">
        <f aca="false">cx_awso*Sens!$M$9378</f>
        <v>49.3241589165772</v>
      </c>
    </row>
    <row r="9468" customFormat="false" ht="17.15" hidden="false" customHeight="false" outlineLevel="0" collapsed="false">
      <c r="A9468" s="5" t="s">
        <v>790</v>
      </c>
      <c r="B9468" s="0" t="s">
        <v>86</v>
      </c>
      <c r="C9468" s="38" t="n">
        <f aca="false">Q!$D$46-Sens!$C$9466-Sens!$C$9467</f>
        <v>31.3328957636573</v>
      </c>
      <c r="D9468" s="38" t="n">
        <f aca="false">Q!$E$46-Sens!$D$9466-Sens!$D$9467</f>
        <v>34.7471223867276</v>
      </c>
      <c r="E9468" s="38" t="n">
        <f aca="false">Q!$P$46-Sens!$E$9466-Sens!$E$9467</f>
        <v>17.8583499466032</v>
      </c>
      <c r="F9468" s="38" t="n">
        <f aca="false">cx_rt*Sens!$F$9310</f>
        <v>20.6195895799373</v>
      </c>
      <c r="G9468" s="38" t="n">
        <f aca="false">Sens!$E$9468+Sens!$F$9468</f>
        <v>38.4779395265405</v>
      </c>
      <c r="H9468" s="38" t="n">
        <f aca="false">cx_rt*Sens!$H$9310</f>
        <v>42.5978994743075</v>
      </c>
      <c r="I9468" s="38" t="n">
        <f aca="false">cx_rt*Sens!$I$9310</f>
        <v>46.5813904136335</v>
      </c>
      <c r="J9468" s="38" t="n">
        <f aca="false">cx_rt*Sens!$J$9310</f>
        <v>50.2781676586844</v>
      </c>
      <c r="K9468" s="38" t="n">
        <f aca="false">cx_rt*Sens!$K$9310</f>
        <v>53.5312440191755</v>
      </c>
      <c r="L9468" s="38" t="n">
        <f aca="false">cx_rt*Sens!$L$9310</f>
        <v>57.0116717051447</v>
      </c>
      <c r="M9468" s="38" t="n">
        <f aca="false">cx_rt*Sens!$M$9310</f>
        <v>60.7365554669226</v>
      </c>
    </row>
    <row r="9469" customFormat="false" ht="15" hidden="false" customHeight="false" outlineLevel="0" collapsed="false">
      <c r="A9469" s="3" t="s">
        <v>791</v>
      </c>
      <c r="B9469" s="8" t="s">
        <v>86</v>
      </c>
      <c r="C9469" s="38" t="n">
        <f aca="false">Q!$D$46</f>
        <v>77.658</v>
      </c>
      <c r="D9469" s="38" t="n">
        <f aca="false">Q!$E$46</f>
        <v>128.32</v>
      </c>
      <c r="E9469" s="38" t="n">
        <f aca="false">Q!$P$46</f>
        <v>96.31</v>
      </c>
      <c r="F9469" s="38" t="n">
        <f aca="false">Sens!$F$9466+Sens!$F$9467+Sens!$F$9468</f>
        <v>131.221579528287</v>
      </c>
      <c r="G9469" s="38" t="n">
        <f aca="false">Sens!$E$9469+Sens!$F$9469</f>
        <v>227.531579528287</v>
      </c>
      <c r="H9469" s="38" t="n">
        <f aca="false">Sens!$H$9466+Sens!$H$9467+Sens!$H$9468</f>
        <v>273.372679834898</v>
      </c>
      <c r="I9469" s="38" t="n">
        <f aca="false">Sens!$I$9466+Sens!$I$9467+Sens!$I$9468</f>
        <v>286.981812228425</v>
      </c>
      <c r="J9469" s="38" t="n">
        <f aca="false">Sens!$J$9466+Sens!$J$9467+Sens!$J$9468</f>
        <v>299.316513378366</v>
      </c>
      <c r="K9469" s="38" t="n">
        <f aca="false">Sens!$K$9466+Sens!$K$9467+Sens!$K$9468</f>
        <v>251.057145512292</v>
      </c>
      <c r="L9469" s="38" t="n">
        <f aca="false">Sens!$L$9466+Sens!$L$9467+Sens!$L$9468</f>
        <v>234.696330860396</v>
      </c>
      <c r="M9469" s="38" t="n">
        <f aca="false">Sens!$M$9466+Sens!$M$9467+Sens!$M$9468</f>
        <v>242.291696043352</v>
      </c>
    </row>
    <row r="9470" customFormat="false" ht="17.15" hidden="false" customHeight="false" outlineLevel="0" collapsed="false">
      <c r="A9470" s="5" t="s">
        <v>563</v>
      </c>
      <c r="B9470" s="0" t="s">
        <v>86</v>
      </c>
      <c r="C9470" s="38" t="n">
        <f aca="false">Q!$D$50</f>
        <v>2.043</v>
      </c>
      <c r="D9470" s="38" t="n">
        <f aca="false">Q!$E$50</f>
        <v>1.557</v>
      </c>
      <c r="E9470" s="38" t="n">
        <f aca="false">lease_pr/2</f>
        <v>0.8</v>
      </c>
      <c r="F9470" s="38" t="n">
        <f aca="false">lease_pr/2</f>
        <v>0.8</v>
      </c>
      <c r="G9470" s="38" t="n">
        <f aca="false">Sens!$E$9470+Sens!$F$9470</f>
        <v>1.6</v>
      </c>
      <c r="H9470" s="38" t="n">
        <f aca="false">lease_pr</f>
        <v>1.6</v>
      </c>
      <c r="I9470" s="38" t="n">
        <f aca="false">lease_pr</f>
        <v>1.6</v>
      </c>
      <c r="J9470" s="38" t="n">
        <f aca="false">lease_pr</f>
        <v>1.6</v>
      </c>
      <c r="K9470" s="38" t="n">
        <f aca="false">lease_pr</f>
        <v>1.6</v>
      </c>
      <c r="L9470" s="38" t="n">
        <f aca="false">lease_pr</f>
        <v>1.6</v>
      </c>
      <c r="M9470" s="38" t="n">
        <f aca="false">lease_pr</f>
        <v>1.6</v>
      </c>
      <c r="P9470" s="8" t="s">
        <v>792</v>
      </c>
    </row>
    <row r="9471" customFormat="false" ht="15" hidden="false" customHeight="false" outlineLevel="0" collapsed="false">
      <c r="A9471" s="47" t="s">
        <v>793</v>
      </c>
      <c r="B9471" s="14" t="s">
        <v>86</v>
      </c>
      <c r="C9471" s="48" t="n">
        <f aca="false">Sens!$C$9465-Sens!$C$9469-Sens!$C$9470</f>
        <v>36.176</v>
      </c>
      <c r="D9471" s="48" t="n">
        <f aca="false">Sens!$D$9465-Sens!$D$9469-Sens!$D$9470</f>
        <v>9.63700000000002</v>
      </c>
      <c r="E9471" s="48" t="n">
        <f aca="false">Sens!$E$9465-Sens!$E$9469-Sens!$E$9470</f>
        <v>-25.691</v>
      </c>
      <c r="F9471" s="48" t="n">
        <f aca="false">Sens!$F$9465-Sens!$F$9469-Sens!$F$9470</f>
        <v>-41.4356983848813</v>
      </c>
      <c r="G9471" s="48" t="n">
        <f aca="false">Sens!$G$9465-Sens!$G$9469-Sens!$G$9470</f>
        <v>-67.1266983848813</v>
      </c>
      <c r="H9471" s="48" t="n">
        <f aca="false">Sens!$H$9465-Sens!$H$9469-Sens!$H$9470</f>
        <v>-56.3449313570613</v>
      </c>
      <c r="I9471" s="48" t="n">
        <f aca="false">Sens!$I$9465-Sens!$I$9469-Sens!$I$9470</f>
        <v>-18.1091313650653</v>
      </c>
      <c r="J9471" s="48" t="n">
        <f aca="false">Sens!$J$9465-Sens!$J$9469-Sens!$J$9470</f>
        <v>21.9846354142961</v>
      </c>
      <c r="K9471" s="48" t="n">
        <f aca="false">Sens!$K$9465-Sens!$K$9469-Sens!$K$9470</f>
        <v>118.41983364075</v>
      </c>
      <c r="L9471" s="48" t="n">
        <f aca="false">Sens!$L$9465-Sens!$L$9469-Sens!$L$9470</f>
        <v>177.018957471681</v>
      </c>
      <c r="M9471" s="48" t="n">
        <f aca="false">Sens!$M$9465-Sens!$M$9469-Sens!$M$9470</f>
        <v>206.080627590357</v>
      </c>
      <c r="N9471" s="14"/>
      <c r="O9471" s="14"/>
    </row>
    <row r="9472" customFormat="false" ht="17.15" hidden="false" customHeight="false" outlineLevel="0" collapsed="false">
      <c r="A9472" s="5" t="s">
        <v>794</v>
      </c>
      <c r="B9472" s="0" t="s">
        <v>86</v>
      </c>
      <c r="C9472" s="38" t="n">
        <f aca="false">dps*Sens!$C$9451</f>
        <v>0</v>
      </c>
      <c r="D9472" s="38" t="n">
        <f aca="false">dps*Sens!$D$9451</f>
        <v>0</v>
      </c>
      <c r="E9472" s="38" t="n">
        <f aca="false">dps*Sens!$E$9451</f>
        <v>0</v>
      </c>
      <c r="F9472" s="38" t="n">
        <f aca="false">0</f>
        <v>0</v>
      </c>
      <c r="G9472" s="38" t="n">
        <f aca="false">dps*Sens!$G$9451</f>
        <v>0</v>
      </c>
      <c r="H9472" s="38" t="n">
        <f aca="false">dps*Sens!$H$9451</f>
        <v>0</v>
      </c>
      <c r="I9472" s="38" t="n">
        <f aca="false">dps*Sens!$I$9451</f>
        <v>0</v>
      </c>
      <c r="J9472" s="38" t="n">
        <f aca="false">dps*Sens!$J$9451</f>
        <v>0</v>
      </c>
      <c r="K9472" s="38" t="n">
        <f aca="false">dps*Sens!$K$9451</f>
        <v>0</v>
      </c>
      <c r="L9472" s="38" t="n">
        <f aca="false">dps*Sens!$L$9451</f>
        <v>0</v>
      </c>
      <c r="M9472" s="38" t="n">
        <f aca="false">dps*Sens!$M$9451</f>
        <v>0</v>
      </c>
      <c r="P9472" s="8" t="s">
        <v>795</v>
      </c>
    </row>
    <row r="9473" customFormat="false" ht="17.15" hidden="false" customHeight="false" outlineLevel="0" collapsed="false">
      <c r="A9473" s="5" t="s">
        <v>796</v>
      </c>
      <c r="B9473" s="0" t="s">
        <v>86</v>
      </c>
      <c r="C9473" s="38" t="n">
        <f aca="false">0</f>
        <v>0</v>
      </c>
      <c r="D9473" s="38" t="n">
        <f aca="false">0</f>
        <v>0</v>
      </c>
      <c r="E9473" s="38" t="n">
        <f aca="false">0</f>
        <v>0</v>
      </c>
      <c r="F9473" s="38" t="n">
        <f aca="false">0</f>
        <v>0</v>
      </c>
      <c r="G9473" s="38" t="n">
        <f aca="false">0</f>
        <v>0</v>
      </c>
      <c r="H9473" s="38" t="n">
        <f aca="false">0</f>
        <v>0</v>
      </c>
      <c r="I9473" s="38" t="n">
        <f aca="false">0</f>
        <v>0</v>
      </c>
      <c r="J9473" s="38" t="n">
        <f aca="false">0</f>
        <v>0</v>
      </c>
      <c r="K9473" s="38" t="n">
        <f aca="false">0</f>
        <v>0</v>
      </c>
      <c r="L9473" s="38" t="n">
        <f aca="false">0</f>
        <v>0</v>
      </c>
      <c r="M9473" s="38" t="n">
        <f aca="false">0</f>
        <v>0</v>
      </c>
      <c r="P9473" s="8" t="s">
        <v>797</v>
      </c>
    </row>
    <row r="9474" customFormat="false" ht="15" hidden="false" customHeight="false" outlineLevel="0" collapsed="false">
      <c r="A9474" s="3" t="s">
        <v>798</v>
      </c>
      <c r="B9474" s="8" t="s">
        <v>86</v>
      </c>
      <c r="C9474" s="38" t="n">
        <f aca="false">Sens!$C$9471-Sens!$C$9472</f>
        <v>36.176</v>
      </c>
      <c r="D9474" s="38" t="n">
        <f aca="false">Sens!$D$9471-Sens!$D$9472</f>
        <v>9.63700000000002</v>
      </c>
      <c r="E9474" s="38" t="n">
        <f aca="false">Sens!$E$9471-Sens!$E$9472</f>
        <v>-25.691</v>
      </c>
      <c r="F9474" s="38" t="n">
        <f aca="false">Sens!$F$9471-Sens!$F$9472</f>
        <v>-41.4356983848813</v>
      </c>
      <c r="G9474" s="38" t="n">
        <f aca="false">Sens!$G$9471-Sens!$G$9472</f>
        <v>-67.1266983848813</v>
      </c>
      <c r="H9474" s="38" t="n">
        <f aca="false">Sens!$H$9471-Sens!$H$9472</f>
        <v>-56.3449313570613</v>
      </c>
      <c r="I9474" s="38" t="n">
        <f aca="false">Sens!$I$9471-Sens!$I$9472</f>
        <v>-18.1091313650653</v>
      </c>
      <c r="J9474" s="38" t="n">
        <f aca="false">Sens!$J$9471-Sens!$J$9472</f>
        <v>21.9846354142961</v>
      </c>
      <c r="K9474" s="38" t="n">
        <f aca="false">Sens!$K$9471-Sens!$K$9472</f>
        <v>118.41983364075</v>
      </c>
      <c r="L9474" s="38" t="n">
        <f aca="false">Sens!$L$9471-Sens!$L$9472</f>
        <v>177.018957471681</v>
      </c>
      <c r="M9474" s="38" t="n">
        <f aca="false">Sens!$M$9471-Sens!$M$9472</f>
        <v>206.080627590357</v>
      </c>
    </row>
    <row r="9475" customFormat="false" ht="17.15" hidden="false" customHeight="false" outlineLevel="0" collapsed="false">
      <c r="A9475" s="5" t="s">
        <v>799</v>
      </c>
      <c r="B9475" s="0" t="s">
        <v>86</v>
      </c>
      <c r="E9475" s="38" t="n">
        <f aca="false">Q!$P$53</f>
        <v>39.767</v>
      </c>
      <c r="F9475" s="38" t="n">
        <f aca="false">inv_2h26</f>
        <v>21.3</v>
      </c>
      <c r="G9475" s="38" t="n">
        <f aca="false">Sens!$E$9475+Sens!$F$9475</f>
        <v>61.067</v>
      </c>
      <c r="H9475" s="39" t="n">
        <v>0</v>
      </c>
      <c r="I9475" s="39" t="n">
        <v>0</v>
      </c>
      <c r="J9475" s="39" t="n">
        <v>0</v>
      </c>
      <c r="K9475" s="39" t="n">
        <v>0</v>
      </c>
      <c r="L9475" s="39" t="n">
        <v>0</v>
      </c>
      <c r="M9475" s="39" t="n">
        <v>0</v>
      </c>
    </row>
    <row r="9476" customFormat="false" ht="17.15" hidden="false" customHeight="false" outlineLevel="0" collapsed="false">
      <c r="A9476" s="5" t="s">
        <v>800</v>
      </c>
      <c r="B9476" s="0" t="s">
        <v>86</v>
      </c>
      <c r="F9476" s="38" t="n">
        <f aca="false">iss_2h26</f>
        <v>29.249999</v>
      </c>
      <c r="G9476" s="38" t="n">
        <f aca="false">Sens!$F$9476</f>
        <v>29.249999</v>
      </c>
      <c r="H9476" s="39" t="n">
        <v>0</v>
      </c>
      <c r="I9476" s="39" t="n">
        <v>0</v>
      </c>
      <c r="J9476" s="39" t="n">
        <v>0</v>
      </c>
      <c r="K9476" s="39" t="n">
        <v>0</v>
      </c>
      <c r="L9476" s="39" t="n">
        <v>0</v>
      </c>
      <c r="M9476" s="39" t="n">
        <v>0</v>
      </c>
    </row>
    <row r="9477" customFormat="false" ht="17.15" hidden="false" customHeight="false" outlineLevel="0" collapsed="false">
      <c r="A9477" s="5" t="s">
        <v>801</v>
      </c>
      <c r="B9477" s="0" t="s">
        <v>86</v>
      </c>
      <c r="F9477" s="38" t="n">
        <f aca="false">cash_q2</f>
        <v>122.988</v>
      </c>
      <c r="G9477" s="38" t="n">
        <f aca="false">cash_q2</f>
        <v>122.988</v>
      </c>
      <c r="H9477" s="38" t="n">
        <f aca="false">Sens!$G$9480</f>
        <v>89.5023006151187</v>
      </c>
      <c r="I9477" s="38" t="n">
        <f aca="false">Sens!$H$9480</f>
        <v>50</v>
      </c>
      <c r="J9477" s="38" t="n">
        <f aca="false">Sens!$I$9480</f>
        <v>50</v>
      </c>
      <c r="K9477" s="38" t="n">
        <f aca="false">Sens!$J$9480</f>
        <v>71.9846354142962</v>
      </c>
      <c r="L9477" s="38" t="n">
        <f aca="false">Sens!$K$9480</f>
        <v>190.404469055046</v>
      </c>
      <c r="M9477" s="38" t="n">
        <f aca="false">Sens!$L$9480</f>
        <v>367.423426526727</v>
      </c>
    </row>
    <row r="9478" customFormat="false" ht="15" hidden="false" customHeight="false" outlineLevel="0" collapsed="false">
      <c r="A9478" s="5" t="s">
        <v>802</v>
      </c>
      <c r="B9478" s="0" t="s">
        <v>86</v>
      </c>
      <c r="F9478" s="38" t="n">
        <f aca="false">Sens!$F$9477+Sens!$F$9474-Sens!$F$9473-Sens!$F$9475+Sens!$F$9476</f>
        <v>89.5023006151187</v>
      </c>
      <c r="H9478" s="38" t="n">
        <f aca="false">Sens!$H$9477+Sens!$H$9474-Sens!$H$9473-Sens!$H$9475+Sens!$H$9476</f>
        <v>33.1573692580575</v>
      </c>
      <c r="I9478" s="38" t="n">
        <f aca="false">Sens!$I$9477+Sens!$I$9474-Sens!$I$9473-Sens!$I$9475+Sens!$I$9476</f>
        <v>31.8908686349347</v>
      </c>
      <c r="J9478" s="38" t="n">
        <f aca="false">Sens!$J$9477+Sens!$J$9474-Sens!$J$9473-Sens!$J$9475+Sens!$J$9476</f>
        <v>71.9846354142962</v>
      </c>
      <c r="K9478" s="38" t="n">
        <f aca="false">Sens!$K$9477+Sens!$K$9474-Sens!$K$9473-Sens!$K$9475+Sens!$K$9476</f>
        <v>190.404469055046</v>
      </c>
      <c r="L9478" s="38" t="n">
        <f aca="false">Sens!$L$9477+Sens!$L$9474-Sens!$L$9473-Sens!$L$9475+Sens!$L$9476</f>
        <v>367.423426526727</v>
      </c>
      <c r="M9478" s="38" t="n">
        <f aca="false">Sens!$M$9477+Sens!$M$9474-Sens!$M$9473-Sens!$M$9475+Sens!$M$9476</f>
        <v>573.504054117085</v>
      </c>
    </row>
    <row r="9479" customFormat="false" ht="17.15" hidden="false" customHeight="false" outlineLevel="0" collapsed="false">
      <c r="A9479" s="5" t="s">
        <v>803</v>
      </c>
      <c r="B9479" s="0" t="s">
        <v>86</v>
      </c>
      <c r="F9479" s="38" t="n">
        <f aca="false">MAX(0,min_cash-Sens!$F$9478)</f>
        <v>0</v>
      </c>
      <c r="G9479" s="38" t="n">
        <f aca="false">Sens!$F$9479</f>
        <v>0</v>
      </c>
      <c r="H9479" s="38" t="n">
        <f aca="false">MAX(0,min_cash-Sens!$H$9478)</f>
        <v>16.8426307419426</v>
      </c>
      <c r="I9479" s="38" t="n">
        <f aca="false">MAX(0,min_cash-Sens!$I$9478)</f>
        <v>18.1091313650653</v>
      </c>
      <c r="J9479" s="38" t="n">
        <f aca="false">MAX(0,min_cash-Sens!$J$9478)</f>
        <v>0</v>
      </c>
      <c r="K9479" s="38" t="n">
        <f aca="false">MAX(0,min_cash-Sens!$K$9478)</f>
        <v>0</v>
      </c>
      <c r="L9479" s="38" t="n">
        <f aca="false">MAX(0,min_cash-Sens!$L$9478)</f>
        <v>0</v>
      </c>
      <c r="M9479" s="38" t="n">
        <f aca="false">MAX(0,min_cash-Sens!$M$9478)</f>
        <v>0</v>
      </c>
      <c r="P9479" s="5" t="s">
        <v>804</v>
      </c>
    </row>
    <row r="9480" customFormat="false" ht="15" hidden="false" customHeight="false" outlineLevel="0" collapsed="false">
      <c r="A9480" s="5" t="s">
        <v>805</v>
      </c>
      <c r="B9480" s="0" t="s">
        <v>86</v>
      </c>
      <c r="D9480" s="38" t="n">
        <f aca="false">Q!$E$61</f>
        <v>123.029</v>
      </c>
      <c r="E9480" s="38" t="n">
        <f aca="false">Q!$M$61</f>
        <v>122.988</v>
      </c>
      <c r="F9480" s="38" t="n">
        <f aca="false">Sens!$F$9478+Sens!$F$9479</f>
        <v>89.5023006151187</v>
      </c>
      <c r="G9480" s="38" t="n">
        <f aca="false">Sens!$F$9480</f>
        <v>89.5023006151187</v>
      </c>
      <c r="H9480" s="38" t="n">
        <f aca="false">Sens!$H$9478+Sens!$H$9479</f>
        <v>50</v>
      </c>
      <c r="I9480" s="38" t="n">
        <f aca="false">Sens!$I$9478+Sens!$I$9479</f>
        <v>50</v>
      </c>
      <c r="J9480" s="38" t="n">
        <f aca="false">Sens!$J$9478+Sens!$J$9479</f>
        <v>71.9846354142962</v>
      </c>
      <c r="K9480" s="38" t="n">
        <f aca="false">Sens!$K$9478+Sens!$K$9479</f>
        <v>190.404469055046</v>
      </c>
      <c r="L9480" s="38" t="n">
        <f aca="false">Sens!$L$9478+Sens!$L$9479</f>
        <v>367.423426526727</v>
      </c>
      <c r="M9480" s="38" t="n">
        <f aca="false">Sens!$M$9478+Sens!$M$9479</f>
        <v>573.504054117085</v>
      </c>
    </row>
    <row r="9481" customFormat="false" ht="15" hidden="false" customHeight="false" outlineLevel="0" collapsed="false">
      <c r="A9481" s="5" t="s">
        <v>806</v>
      </c>
      <c r="B9481" s="0" t="s">
        <v>86</v>
      </c>
      <c r="D9481" s="38" t="n">
        <f aca="false">Q!$E$62</f>
        <v>68.836</v>
      </c>
      <c r="E9481" s="38" t="n">
        <f aca="false">Q!$M$62</f>
        <v>132.995</v>
      </c>
      <c r="F9481" s="38" t="n">
        <f aca="false">debt_q2+Sens!$F$9476+Sens!$F$9479</f>
        <v>162.244999</v>
      </c>
      <c r="G9481" s="38" t="n">
        <f aca="false">Sens!$F$9481</f>
        <v>162.244999</v>
      </c>
      <c r="H9481" s="38" t="n">
        <f aca="false">Sens!$G$9481+Sens!$H$9479</f>
        <v>179.087629741943</v>
      </c>
      <c r="I9481" s="38" t="n">
        <f aca="false">Sens!$H$9481+Sens!$I$9479</f>
        <v>197.196761107008</v>
      </c>
      <c r="J9481" s="38" t="n">
        <f aca="false">Sens!$I$9481+Sens!$J$9479</f>
        <v>197.196761107008</v>
      </c>
      <c r="K9481" s="38" t="n">
        <f aca="false">Sens!$J$9481+Sens!$K$9479</f>
        <v>197.196761107008</v>
      </c>
      <c r="L9481" s="38" t="n">
        <f aca="false">Sens!$K$9481+Sens!$L$9479</f>
        <v>197.196761107008</v>
      </c>
      <c r="M9481" s="38" t="n">
        <f aca="false">Sens!$L$9481+Sens!$M$9479</f>
        <v>197.196761107008</v>
      </c>
    </row>
    <row r="9482" customFormat="false" ht="15" hidden="false" customHeight="false" outlineLevel="0" collapsed="false">
      <c r="A9482" s="5" t="s">
        <v>807</v>
      </c>
      <c r="B9482" s="0" t="s">
        <v>86</v>
      </c>
      <c r="D9482" s="38" t="n">
        <f aca="false">Sens!$D$9481-Sens!$D$9480</f>
        <v>-54.193</v>
      </c>
      <c r="E9482" s="38" t="n">
        <f aca="false">Sens!$E$9481-Sens!$E$9480</f>
        <v>10.007</v>
      </c>
      <c r="F9482" s="38" t="n">
        <f aca="false">Sens!$F$9481-Sens!$F$9480</f>
        <v>72.7426983848813</v>
      </c>
      <c r="G9482" s="38" t="n">
        <f aca="false">Sens!$G$9481-Sens!$G$9480</f>
        <v>72.7426983848813</v>
      </c>
      <c r="H9482" s="38" t="n">
        <f aca="false">Sens!$H$9481-Sens!$H$9480</f>
        <v>129.087629741943</v>
      </c>
      <c r="I9482" s="38" t="n">
        <f aca="false">Sens!$I$9481-Sens!$I$9480</f>
        <v>147.196761107008</v>
      </c>
      <c r="J9482" s="38" t="n">
        <f aca="false">Sens!$J$9481-Sens!$J$9480</f>
        <v>125.212125692712</v>
      </c>
      <c r="K9482" s="38" t="n">
        <f aca="false">Sens!$K$9481-Sens!$K$9480</f>
        <v>6.79229205196145</v>
      </c>
      <c r="L9482" s="38" t="n">
        <f aca="false">Sens!$L$9481-Sens!$L$9480</f>
        <v>-170.226665419719</v>
      </c>
      <c r="M9482" s="38" t="n">
        <f aca="false">Sens!$M$9481-Sens!$M$9480</f>
        <v>-376.307293010077</v>
      </c>
    </row>
    <row r="9483" customFormat="false" ht="17.15" hidden="false" customHeight="false" outlineLevel="0" collapsed="false">
      <c r="A9483" s="5" t="s">
        <v>808</v>
      </c>
      <c r="B9483" s="0" t="s">
        <v>86</v>
      </c>
      <c r="F9483" s="38" t="n">
        <f aca="false">debt_q2*kd_book*0.5+iss_2h26*kd_new*iss_t</f>
        <v>3.24888962733561</v>
      </c>
      <c r="H9483" s="38" t="n">
        <f aca="false">debt_q2*kd_book+(Sens!$G$9481-debt_q2)*kd_new</f>
        <v>7.42354172302123</v>
      </c>
      <c r="I9483" s="38" t="n">
        <f aca="false">debt_q2*kd_book+(Sens!$H$9481-debt_q2)*kd_new</f>
        <v>8.48968024898619</v>
      </c>
      <c r="J9483" s="38" t="n">
        <f aca="false">debt_q2*kd_book+(Sens!$I$9481-debt_q2)*kd_new</f>
        <v>9.63598826439483</v>
      </c>
      <c r="K9483" s="38" t="n">
        <f aca="false">debt_q2*kd_book+(Sens!$J$9481-debt_q2)*kd_new</f>
        <v>9.63598826439483</v>
      </c>
      <c r="L9483" s="38" t="n">
        <f aca="false">debt_q2*kd_book+(Sens!$K$9481-debt_q2)*kd_new</f>
        <v>9.63598826439483</v>
      </c>
      <c r="M9483" s="38" t="n">
        <f aca="false">debt_q2*kd_book+(Sens!$L$9481-debt_q2)*kd_new</f>
        <v>9.63598826439483</v>
      </c>
    </row>
    <row r="9484" customFormat="false" ht="17.15" hidden="false" customHeight="false" outlineLevel="0" collapsed="false">
      <c r="A9484" s="5" t="s">
        <v>809</v>
      </c>
      <c r="B9484" s="0" t="s">
        <v>86</v>
      </c>
      <c r="F9484" s="38" t="n">
        <f aca="false">cash_q2*y_cash*0.5</f>
        <v>2.59</v>
      </c>
      <c r="H9484" s="38" t="n">
        <f aca="false">Sens!$G$9480*y_cash</f>
        <v>3.76965165045626</v>
      </c>
      <c r="I9484" s="38" t="n">
        <f aca="false">Sens!$H$9480*y_cash</f>
        <v>2.10589651022864</v>
      </c>
      <c r="J9484" s="38" t="n">
        <f aca="false">Sens!$I$9480*y_cash</f>
        <v>2.10589651022864</v>
      </c>
      <c r="K9484" s="38" t="n">
        <f aca="false">Sens!$J$9480*y_cash</f>
        <v>3.03184385018094</v>
      </c>
      <c r="L9484" s="38" t="n">
        <f aca="false">Sens!$K$9480*y_cash</f>
        <v>8.01944213829919</v>
      </c>
      <c r="M9484" s="38" t="n">
        <f aca="false">Sens!$L$9480*y_cash</f>
        <v>15.4751142339777</v>
      </c>
    </row>
    <row r="9485" customFormat="false" ht="17.15" hidden="false" customHeight="false" outlineLevel="0" collapsed="false">
      <c r="A9485" s="47" t="s">
        <v>810</v>
      </c>
      <c r="B9485" s="14" t="s">
        <v>86</v>
      </c>
      <c r="C9485" s="14"/>
      <c r="D9485" s="14"/>
      <c r="E9485" s="14"/>
      <c r="F9485" s="14"/>
      <c r="G9485" s="48" t="n">
        <f aca="false">SUM(Sens!$G$9474:$K$9474)</f>
        <v>-1.17629205196147</v>
      </c>
      <c r="H9485" s="14"/>
      <c r="I9485" s="14"/>
      <c r="J9485" s="14"/>
      <c r="K9485" s="14"/>
      <c r="L9485" s="14"/>
      <c r="M9485" s="14"/>
      <c r="N9485" s="14"/>
      <c r="O9485" s="14"/>
    </row>
    <row r="9486" customFormat="false" ht="17.15" hidden="false" customHeight="false" outlineLevel="0" collapsed="false">
      <c r="A9486" s="0" t="s">
        <v>776</v>
      </c>
      <c r="B9486" s="0" t="s">
        <v>86</v>
      </c>
      <c r="G9486" s="38" t="n">
        <f aca="false">SUM(Sens!$G$9479:$K$9479)</f>
        <v>34.9517621070079</v>
      </c>
    </row>
    <row r="9487" customFormat="false" ht="17.15" hidden="false" customHeight="false" outlineLevel="0" collapsed="false">
      <c r="A9487" s="24" t="s">
        <v>813</v>
      </c>
      <c r="B9487" s="25" t="s">
        <v>86</v>
      </c>
      <c r="C9487" s="25"/>
      <c r="D9487" s="25"/>
      <c r="E9487" s="25"/>
      <c r="F9487" s="25"/>
      <c r="G9487" s="41" t="n">
        <f aca="false">Sens!$G$9485-(Sens!$G$9474+Sens!$H$9474+Sens!$I$9474+Sens!$J$9474+Sens!$K$9474)</f>
        <v>-2.8421709430404E-014</v>
      </c>
      <c r="H9487" s="25"/>
      <c r="I9487" s="25"/>
      <c r="J9487" s="25"/>
      <c r="K9487" s="25"/>
      <c r="L9487" s="25"/>
      <c r="M9487" s="25"/>
      <c r="N9487" s="25"/>
      <c r="O9487" s="25"/>
    </row>
    <row r="9490" customFormat="false" ht="19.4" hidden="false" customHeight="false" outlineLevel="0" collapsed="false">
      <c r="A9490" s="31" t="s">
        <v>1329</v>
      </c>
    </row>
    <row r="9491" customFormat="false" ht="17.15" hidden="false" customHeight="false" outlineLevel="0" collapsed="false">
      <c r="A9491" s="6" t="s">
        <v>16</v>
      </c>
      <c r="B9491" s="6" t="s">
        <v>17</v>
      </c>
      <c r="C9491" s="20" t="s">
        <v>497</v>
      </c>
      <c r="D9491" s="20" t="s">
        <v>498</v>
      </c>
      <c r="E9491" s="20" t="s">
        <v>580</v>
      </c>
      <c r="F9491" s="20" t="s">
        <v>581</v>
      </c>
      <c r="G9491" s="20" t="s">
        <v>582</v>
      </c>
      <c r="H9491" s="20" t="s">
        <v>583</v>
      </c>
      <c r="I9491" s="20" t="s">
        <v>584</v>
      </c>
      <c r="J9491" s="20" t="s">
        <v>585</v>
      </c>
      <c r="K9491" s="20" t="s">
        <v>586</v>
      </c>
      <c r="L9491" s="20" t="s">
        <v>587</v>
      </c>
      <c r="M9491" s="20" t="s">
        <v>588</v>
      </c>
      <c r="N9491" s="20" t="s">
        <v>589</v>
      </c>
      <c r="O9491" s="20" t="s">
        <v>590</v>
      </c>
      <c r="P9491" s="6" t="s">
        <v>23</v>
      </c>
      <c r="R9491" s="20" t="n">
        <v>2023</v>
      </c>
      <c r="S9491" s="20" t="n">
        <v>2024</v>
      </c>
      <c r="T9491" s="20" t="n">
        <v>2025</v>
      </c>
      <c r="U9491" s="20" t="n">
        <v>2026</v>
      </c>
      <c r="V9491" s="20" t="n">
        <v>2027</v>
      </c>
      <c r="W9491" s="20" t="n">
        <v>2028</v>
      </c>
      <c r="X9491" s="20" t="n">
        <v>2029</v>
      </c>
      <c r="Y9491" s="20" t="n">
        <v>2030</v>
      </c>
      <c r="Z9491" s="20" t="n">
        <v>2031</v>
      </c>
      <c r="AA9491" s="20" t="n">
        <v>2032</v>
      </c>
    </row>
    <row r="9492" customFormat="false" ht="17.15" hidden="false" customHeight="false" outlineLevel="0" collapsed="false">
      <c r="A9492" s="1" t="s">
        <v>915</v>
      </c>
    </row>
    <row r="9493" customFormat="false" ht="17.15" hidden="false" customHeight="false" outlineLevel="0" collapsed="false">
      <c r="A9493" s="0" t="s">
        <v>916</v>
      </c>
      <c r="B9493" s="0" t="s">
        <v>86</v>
      </c>
      <c r="H9493" s="38" t="n">
        <f aca="false">Sens!$H$9427*(1-tax)</f>
        <v>121.243762954598</v>
      </c>
      <c r="I9493" s="38" t="n">
        <f aca="false">Sens!$I$9427*(1-tax)</f>
        <v>146.296727721585</v>
      </c>
      <c r="J9493" s="38" t="n">
        <f aca="false">Sens!$J$9427*(1-tax)</f>
        <v>170.140518399982</v>
      </c>
      <c r="K9493" s="38" t="n">
        <f aca="false">Sens!$K$9427*(1-tax)</f>
        <v>187.091644407888</v>
      </c>
      <c r="L9493" s="38" t="n">
        <f aca="false">Sens!$L$9427*(1-tax)</f>
        <v>200.866341135815</v>
      </c>
      <c r="M9493" s="38" t="n">
        <f aca="false">Sens!$M$9427*(1-tax)</f>
        <v>211.476896331068</v>
      </c>
    </row>
    <row r="9494" customFormat="false" ht="15" hidden="false" customHeight="false" outlineLevel="0" collapsed="false">
      <c r="A9494" s="5" t="s">
        <v>917</v>
      </c>
      <c r="B9494" s="0" t="s">
        <v>86</v>
      </c>
      <c r="H9494" s="38" t="n">
        <f aca="false">Sens!$H$9438</f>
        <v>78.1799395827871</v>
      </c>
      <c r="I9494" s="38" t="n">
        <f aca="false">Sens!$I$9438</f>
        <v>111.171125554384</v>
      </c>
      <c r="J9494" s="38" t="n">
        <f aca="false">Sens!$J$9438</f>
        <v>144.884406220971</v>
      </c>
      <c r="K9494" s="38" t="n">
        <f aca="false">Sens!$K$9438</f>
        <v>178.806419437999</v>
      </c>
      <c r="L9494" s="38" t="n">
        <f aca="false">Sens!$L$9438</f>
        <v>204.341339029663</v>
      </c>
      <c r="M9494" s="38" t="n">
        <f aca="false">Sens!$M$9438</f>
        <v>223.130577995387</v>
      </c>
    </row>
    <row r="9495" customFormat="false" ht="15" hidden="false" customHeight="false" outlineLevel="0" collapsed="false">
      <c r="A9495" s="5" t="s">
        <v>918</v>
      </c>
      <c r="B9495" s="0" t="s">
        <v>86</v>
      </c>
      <c r="H9495" s="38" t="n">
        <f aca="false">Sens!$H$9469</f>
        <v>273.372679834898</v>
      </c>
      <c r="I9495" s="38" t="n">
        <f aca="false">Sens!$I$9469</f>
        <v>286.981812228425</v>
      </c>
      <c r="J9495" s="38" t="n">
        <f aca="false">Sens!$J$9469</f>
        <v>299.316513378366</v>
      </c>
      <c r="K9495" s="38" t="n">
        <f aca="false">Sens!$K$9469</f>
        <v>251.057145512292</v>
      </c>
      <c r="L9495" s="38" t="n">
        <f aca="false">Sens!$L$9469</f>
        <v>234.696330860396</v>
      </c>
      <c r="M9495" s="38" t="n">
        <f aca="false">Sens!$M$9469</f>
        <v>242.291696043352</v>
      </c>
    </row>
    <row r="9496" customFormat="false" ht="15" hidden="false" customHeight="false" outlineLevel="0" collapsed="false">
      <c r="A9496" s="5" t="s">
        <v>919</v>
      </c>
      <c r="B9496" s="0" t="s">
        <v>86</v>
      </c>
      <c r="H9496" s="38" t="n">
        <f aca="false">Sens!$H$9470</f>
        <v>1.6</v>
      </c>
      <c r="I9496" s="38" t="n">
        <f aca="false">Sens!$I$9470</f>
        <v>1.6</v>
      </c>
      <c r="J9496" s="38" t="n">
        <f aca="false">Sens!$J$9470</f>
        <v>1.6</v>
      </c>
      <c r="K9496" s="38" t="n">
        <f aca="false">Sens!$K$9470</f>
        <v>1.6</v>
      </c>
      <c r="L9496" s="38" t="n">
        <f aca="false">Sens!$L$9470</f>
        <v>1.6</v>
      </c>
      <c r="M9496" s="38" t="n">
        <f aca="false">Sens!$M$9470</f>
        <v>1.6</v>
      </c>
    </row>
    <row r="9497" customFormat="false" ht="15" hidden="false" customHeight="false" outlineLevel="0" collapsed="false">
      <c r="A9497" s="5" t="s">
        <v>920</v>
      </c>
      <c r="B9497" s="0" t="s">
        <v>86</v>
      </c>
      <c r="H9497" s="38" t="n">
        <f aca="false">Sens!$H$9464</f>
        <v>11.2928295263397</v>
      </c>
      <c r="I9497" s="38" t="n">
        <f aca="false">Sens!$I$9464</f>
        <v>12.8091546115766</v>
      </c>
      <c r="J9497" s="38" t="n">
        <f aca="false">Sens!$J$9464</f>
        <v>14.2605653162668</v>
      </c>
      <c r="K9497" s="38" t="n">
        <f aca="false">Sens!$K$9464</f>
        <v>15.5327622460396</v>
      </c>
      <c r="L9497" s="38" t="n">
        <f aca="false">Sens!$L$9464</f>
        <v>16.720573737517</v>
      </c>
      <c r="M9497" s="38" t="n">
        <f aca="false">Sens!$M$9464</f>
        <v>17.8283127551536</v>
      </c>
    </row>
    <row r="9498" customFormat="false" ht="17.15" hidden="false" customHeight="false" outlineLevel="0" collapsed="false">
      <c r="A9498" s="1" t="s">
        <v>921</v>
      </c>
      <c r="B9498" s="8" t="s">
        <v>86</v>
      </c>
      <c r="H9498" s="38" t="n">
        <f aca="false">Sens!$H$9493+Sens!$H$9494-Sens!$H$9495+Sens!$H$9497</f>
        <v>-62.6561477711731</v>
      </c>
      <c r="I9498" s="38" t="n">
        <f aca="false">Sens!$I$9493+Sens!$I$9494-Sens!$I$9495+Sens!$I$9497</f>
        <v>-16.7048043408794</v>
      </c>
      <c r="J9498" s="38" t="n">
        <f aca="false">Sens!$J$9493+Sens!$J$9494-Sens!$J$9495+Sens!$J$9497</f>
        <v>29.9689765588539</v>
      </c>
      <c r="K9498" s="38" t="n">
        <f aca="false">Sens!$K$9493+Sens!$K$9494-Sens!$K$9495+Sens!$K$9497</f>
        <v>130.373680579634</v>
      </c>
      <c r="L9498" s="38" t="n">
        <f aca="false">Sens!$L$9493+Sens!$L$9494-Sens!$L$9495+Sens!$L$9497</f>
        <v>187.231923042598</v>
      </c>
      <c r="M9498" s="38" t="n">
        <f aca="false">Sens!$M$9493+Sens!$M$9494-Sens!$M$9495+Sens!$M$9497</f>
        <v>210.144091038257</v>
      </c>
    </row>
    <row r="9499" customFormat="false" ht="15" hidden="false" customHeight="false" outlineLevel="0" collapsed="false">
      <c r="A9499" s="5" t="s">
        <v>922</v>
      </c>
      <c r="B9499" s="0" t="s">
        <v>57</v>
      </c>
      <c r="H9499" s="40" t="n">
        <f aca="false">1/(1+wacc)^(2027-2026-0.5)</f>
        <v>0.947751320380232</v>
      </c>
      <c r="I9499" s="40" t="n">
        <f aca="false">1/(1+wacc)^(2028-2026-0.5)</f>
        <v>0.851301099754987</v>
      </c>
      <c r="J9499" s="40" t="n">
        <f aca="false">1/(1+wacc)^(2029-2026-0.5)</f>
        <v>0.764666370660713</v>
      </c>
      <c r="K9499" s="40" t="n">
        <f aca="false">1/(1+wacc)^(2030-2026-0.5)</f>
        <v>0.686848235703811</v>
      </c>
      <c r="L9499" s="40" t="n">
        <f aca="false">1/(1+wacc)^(2031-2026-0.5)</f>
        <v>0.616949452715975</v>
      </c>
      <c r="M9499" s="40" t="n">
        <f aca="false">1/(1+wacc)^(2032-2026-0.5)</f>
        <v>0.554164089562688</v>
      </c>
    </row>
    <row r="9500" customFormat="false" ht="15" hidden="false" customHeight="false" outlineLevel="0" collapsed="false">
      <c r="A9500" s="5" t="s">
        <v>923</v>
      </c>
      <c r="B9500" s="0" t="s">
        <v>86</v>
      </c>
      <c r="H9500" s="38" t="n">
        <f aca="false">Sens!$H$9498*Sens!$H$9499</f>
        <v>-59.3824467800682</v>
      </c>
      <c r="I9500" s="38" t="n">
        <f aca="false">Sens!$I$9498*Sens!$I$9499</f>
        <v>-14.2208183065825</v>
      </c>
      <c r="J9500" s="38" t="n">
        <f aca="false">Sens!$J$9498*Sens!$J$9499</f>
        <v>22.9162685376748</v>
      </c>
      <c r="K9500" s="38" t="n">
        <f aca="false">Sens!$K$9498*Sens!$K$9499</f>
        <v>89.5469324883341</v>
      </c>
      <c r="L9500" s="38" t="n">
        <f aca="false">Sens!$L$9498*Sens!$L$9499</f>
        <v>115.512632452091</v>
      </c>
      <c r="M9500" s="38" t="n">
        <f aca="false">Sens!$M$9498*Sens!$M$9499</f>
        <v>116.454308887194</v>
      </c>
    </row>
    <row r="9501" customFormat="false" ht="15" hidden="false" customHeight="false" outlineLevel="0" collapsed="false">
      <c r="A9501" s="5" t="s">
        <v>924</v>
      </c>
      <c r="B9501" s="0" t="s">
        <v>86</v>
      </c>
      <c r="C9501" s="38" t="n">
        <f aca="false">SUM(Sens!$H$9500:$M$9500)</f>
        <v>270.826877278643</v>
      </c>
    </row>
    <row r="9502" customFormat="false" ht="17.15" hidden="false" customHeight="false" outlineLevel="0" collapsed="false">
      <c r="A9502" s="5" t="s">
        <v>925</v>
      </c>
      <c r="B9502" s="0" t="s">
        <v>86</v>
      </c>
      <c r="C9502" s="38" t="n">
        <f aca="false">Sens!$M$9493*(1+tg)*(1-tg/ronic)/(wacc-tg)</f>
        <v>1922.56097134792</v>
      </c>
    </row>
    <row r="9503" customFormat="false" ht="15" hidden="false" customHeight="false" outlineLevel="0" collapsed="false">
      <c r="A9503" s="5" t="s">
        <v>926</v>
      </c>
      <c r="B9503" s="0" t="s">
        <v>86</v>
      </c>
      <c r="C9503" s="38" t="n">
        <f aca="false">Sens!$C$9502/(1+wacc)^6</f>
        <v>1009.74776248869</v>
      </c>
    </row>
    <row r="9504" customFormat="false" ht="17.15" hidden="false" customHeight="false" outlineLevel="0" collapsed="false">
      <c r="A9504" s="5" t="s">
        <v>927</v>
      </c>
      <c r="B9504" s="0" t="s">
        <v>86</v>
      </c>
      <c r="C9504" s="38" t="n">
        <f aca="false">Sens!$C$9501+Sens!$C$9503</f>
        <v>1280.57463976734</v>
      </c>
    </row>
    <row r="9505" customFormat="false" ht="17.15" hidden="false" customHeight="false" outlineLevel="0" collapsed="false">
      <c r="A9505" s="5" t="s">
        <v>928</v>
      </c>
      <c r="B9505" s="0" t="s">
        <v>52</v>
      </c>
      <c r="C9505" s="13" t="n">
        <f aca="false">Sens!$C$9503/Sens!$C$9504</f>
        <v>0.788511447229778</v>
      </c>
    </row>
    <row r="9506" customFormat="false" ht="17.15" hidden="false" customHeight="false" outlineLevel="0" collapsed="false">
      <c r="A9506" s="5" t="s">
        <v>929</v>
      </c>
      <c r="B9506" s="0" t="s">
        <v>86</v>
      </c>
      <c r="C9506" s="38" t="n">
        <f aca="false">Sens!$G$9482+fin_debt</f>
        <v>97.2636983848813</v>
      </c>
    </row>
    <row r="9507" customFormat="false" ht="17.15" hidden="false" customHeight="false" outlineLevel="0" collapsed="false">
      <c r="A9507" s="5" t="s">
        <v>930</v>
      </c>
      <c r="B9507" s="0" t="s">
        <v>86</v>
      </c>
      <c r="C9507" s="38" t="n">
        <f aca="false">(ant_val*ant_sh+oai_val*oai_sh)*(1-liq_disc)</f>
        <v>178.944</v>
      </c>
    </row>
    <row r="9508" customFormat="false" ht="15" hidden="false" customHeight="false" outlineLevel="0" collapsed="false">
      <c r="A9508" s="5" t="s">
        <v>931</v>
      </c>
      <c r="B9508" s="0" t="s">
        <v>86</v>
      </c>
      <c r="C9508" s="38" t="n">
        <f aca="false">Sens!$C$9504-Sens!$C$9506+Sens!$C$9507</f>
        <v>1362.25494138246</v>
      </c>
    </row>
    <row r="9509" customFormat="false" ht="17.15" hidden="false" customHeight="false" outlineLevel="0" collapsed="false">
      <c r="A9509" s="5" t="s">
        <v>932</v>
      </c>
      <c r="B9509" s="0" t="s">
        <v>27</v>
      </c>
      <c r="C9509" s="30" t="n">
        <f aca="false">Sens!$C$9508/sh_out</f>
        <v>126.294760321501</v>
      </c>
    </row>
    <row r="9510" customFormat="false" ht="17.15" hidden="false" customHeight="false" outlineLevel="0" collapsed="false">
      <c r="A9510" s="1" t="s">
        <v>933</v>
      </c>
      <c r="B9510" s="8" t="s">
        <v>27</v>
      </c>
      <c r="C9510" s="30" t="n">
        <f aca="false">Sens!$C$9509*(1+ke)^tp_yf-dps*tp_yf</f>
        <v>138.339345929154</v>
      </c>
    </row>
    <row r="9511" customFormat="false" ht="17.15" hidden="false" customHeight="false" outlineLevel="0" collapsed="false">
      <c r="A9511" s="3" t="s">
        <v>934</v>
      </c>
    </row>
    <row r="9512" customFormat="false" ht="17.15" hidden="false" customHeight="false" outlineLevel="0" collapsed="false">
      <c r="A9512" s="5" t="s">
        <v>935</v>
      </c>
      <c r="B9512" s="0" t="s">
        <v>86</v>
      </c>
      <c r="C9512" s="38" t="n">
        <f aca="false">(1-tp_yf)*(Sens!$H$9439+sbc_ab*Sens!$H$9463*Sens!$H$9303/Sens!$H$9380)+tp_yf*(Sens!$I$9439+sbc_ab*Sens!$I$9463*Sens!$I$9303/Sens!$I$9380)</f>
        <v>59.634664536349</v>
      </c>
    </row>
    <row r="9513" customFormat="false" ht="15" hidden="false" customHeight="false" outlineLevel="0" collapsed="false">
      <c r="A9513" s="5" t="s">
        <v>936</v>
      </c>
      <c r="B9513" s="0" t="s">
        <v>57</v>
      </c>
      <c r="C9513" s="30" t="n">
        <f aca="false">m_ads*m_x</f>
        <v>9.11</v>
      </c>
    </row>
    <row r="9514" customFormat="false" ht="17.15" hidden="false" customHeight="false" outlineLevel="0" collapsed="false">
      <c r="A9514" s="5" t="s">
        <v>937</v>
      </c>
      <c r="B9514" s="0" t="s">
        <v>86</v>
      </c>
      <c r="C9514" s="38" t="n">
        <f aca="false">Sens!$C$9512*Sens!$C$9513</f>
        <v>543.271793926139</v>
      </c>
    </row>
    <row r="9515" customFormat="false" ht="17.15" hidden="false" customHeight="false" outlineLevel="0" collapsed="false">
      <c r="A9515" s="5" t="s">
        <v>938</v>
      </c>
      <c r="B9515" s="0" t="s">
        <v>86</v>
      </c>
      <c r="C9515" s="38" t="n">
        <f aca="false">(1-tp_yf)*(Sens!$H$9440+sbc_ab*Sens!$H$9463*(Sens!$H$9310-Sens!$H$9303)/Sens!$H$9380+IF(internal_ai_reading=2,1,0)*(1-ext_sh)*Sens!$H$9340)+tp_yf*(Sens!$I$9440+sbc_ab*Sens!$I$9463*(Sens!$I$9310-Sens!$I$9303)/Sens!$I$9380+IF(internal_ai_reading=2,1,0)*(1-ext_sh)*Sens!$I$9340)</f>
        <v>51.2224827206816</v>
      </c>
    </row>
    <row r="9516" customFormat="false" ht="17.15" hidden="false" customHeight="false" outlineLevel="0" collapsed="false">
      <c r="A9516" s="5" t="s">
        <v>939</v>
      </c>
      <c r="B9516" s="0" t="s">
        <v>57</v>
      </c>
      <c r="C9516" s="30" t="n">
        <f aca="false">m_retail*m_x</f>
        <v>17.72</v>
      </c>
    </row>
    <row r="9517" customFormat="false" ht="17.15" hidden="false" customHeight="false" outlineLevel="0" collapsed="false">
      <c r="A9517" s="5" t="s">
        <v>940</v>
      </c>
      <c r="B9517" s="0" t="s">
        <v>86</v>
      </c>
      <c r="C9517" s="38" t="n">
        <f aca="false">Sens!$C$9515*Sens!$C$9516</f>
        <v>907.662393810478</v>
      </c>
    </row>
    <row r="9518" customFormat="false" ht="17.15" hidden="false" customHeight="false" outlineLevel="0" collapsed="false">
      <c r="A9518" s="0" t="s">
        <v>941</v>
      </c>
      <c r="B9518" s="0" t="s">
        <v>86</v>
      </c>
      <c r="C9518" s="38" t="n">
        <f aca="false">(1-tp_yf)*(Sens!$H$9441+sbc_ab*Sens!$H$9463*Sens!$H$9378/Sens!$H$9380)+tp_yf*(Sens!$I$9441+sbc_ab*Sens!$I$9463*Sens!$I$9378/Sens!$I$9380)</f>
        <v>96.2439586897193</v>
      </c>
    </row>
    <row r="9519" customFormat="false" ht="17.15" hidden="false" customHeight="false" outlineLevel="0" collapsed="false">
      <c r="A9519" s="0" t="s">
        <v>942</v>
      </c>
      <c r="B9519" s="0" t="s">
        <v>57</v>
      </c>
      <c r="C9519" s="30" t="n">
        <f aca="false">m_cloud*m_x</f>
        <v>13.82</v>
      </c>
    </row>
    <row r="9520" customFormat="false" ht="17.15" hidden="false" customHeight="false" outlineLevel="0" collapsed="false">
      <c r="A9520" s="0" t="s">
        <v>943</v>
      </c>
      <c r="B9520" s="0" t="s">
        <v>86</v>
      </c>
      <c r="C9520" s="38" t="n">
        <f aca="false">Sens!$C$9518*Sens!$C$9519</f>
        <v>1330.09150909192</v>
      </c>
    </row>
    <row r="9521" customFormat="false" ht="17.15" hidden="false" customHeight="false" outlineLevel="0" collapsed="false">
      <c r="A9521" s="0" t="s">
        <v>944</v>
      </c>
      <c r="B9521" s="0" t="s">
        <v>86</v>
      </c>
      <c r="H9521" s="38" t="n">
        <f aca="false">Sens!$H$9359-tax*Sens!$H$9360-ext_sh*Sens!$H$9347</f>
        <v>-115.885394236225</v>
      </c>
      <c r="I9521" s="38" t="n">
        <f aca="false">Sens!$I$9359-tax*Sens!$I$9360-ext_sh*Sens!$I$9347</f>
        <v>-89.5935137276694</v>
      </c>
      <c r="J9521" s="38" t="n">
        <f aca="false">Sens!$J$9359-tax*Sens!$J$9360-ext_sh*Sens!$J$9347</f>
        <v>-62.3510647460279</v>
      </c>
      <c r="K9521" s="38" t="n">
        <f aca="false">Sens!$K$9359-tax*Sens!$K$9360-ext_sh*Sens!$K$9347</f>
        <v>8.85932514072565</v>
      </c>
      <c r="L9521" s="38" t="n">
        <f aca="false">Sens!$L$9359-tax*Sens!$L$9360-ext_sh*Sens!$L$9347</f>
        <v>45.6968344120177</v>
      </c>
      <c r="M9521" s="38" t="n">
        <f aca="false">Sens!$M$9359-tax*Sens!$M$9360-ext_sh*Sens!$M$9347</f>
        <v>54.7466688757428</v>
      </c>
    </row>
    <row r="9522" customFormat="false" ht="17.15" hidden="false" customHeight="false" outlineLevel="0" collapsed="false">
      <c r="A9522" s="5" t="s">
        <v>945</v>
      </c>
      <c r="B9522" s="0" t="s">
        <v>86</v>
      </c>
      <c r="H9522" s="38" t="n">
        <f aca="false">Sens!$H$9521*Sens!$H$9499</f>
        <v>-109.830535400166</v>
      </c>
      <c r="I9522" s="38" t="n">
        <f aca="false">Sens!$I$9521*Sens!$I$9499</f>
        <v>-76.2710567672785</v>
      </c>
      <c r="J9522" s="38" t="n">
        <f aca="false">Sens!$J$9521*Sens!$J$9499</f>
        <v>-47.6777623861763</v>
      </c>
      <c r="K9522" s="38" t="n">
        <f aca="false">Sens!$K$9521*Sens!$K$9499</f>
        <v>6.08501184243383</v>
      </c>
      <c r="L9522" s="38" t="n">
        <f aca="false">Sens!$L$9521*Sens!$L$9499</f>
        <v>28.1926369813469</v>
      </c>
      <c r="M9522" s="38" t="n">
        <f aca="false">Sens!$M$9521*Sens!$M$9499</f>
        <v>30.338637914116</v>
      </c>
    </row>
    <row r="9523" customFormat="false" ht="17.15" hidden="false" customHeight="false" outlineLevel="0" collapsed="false">
      <c r="A9523" s="5" t="s">
        <v>946</v>
      </c>
      <c r="B9523" s="0" t="s">
        <v>86</v>
      </c>
      <c r="C9523" s="38" t="n">
        <f aca="false">Sens!$M$9360*(1-tax)*(1+tg)*(1-tg/ronic)/(wacc-tg)</f>
        <v>391.533160655061</v>
      </c>
    </row>
    <row r="9524" customFormat="false" ht="17.15" hidden="false" customHeight="false" outlineLevel="0" collapsed="false">
      <c r="A9524" s="0" t="s">
        <v>947</v>
      </c>
      <c r="B9524" s="0" t="s">
        <v>86</v>
      </c>
      <c r="C9524" s="38" t="n">
        <f aca="false">(SUM(Sens!$I$9522:$M$9522)+Sens!$C$9523/(1+wacc)^6)*(1+wacc)^tp_yf</f>
        <v>159.796867964901</v>
      </c>
    </row>
    <row r="9525" customFormat="false" ht="17.15" hidden="false" customHeight="false" outlineLevel="0" collapsed="false">
      <c r="A9525" s="5" t="s">
        <v>948</v>
      </c>
      <c r="B9525" s="0" t="s">
        <v>86</v>
      </c>
      <c r="C9525" s="38" t="n">
        <f aca="false">(1-tp_yf)*(Sens!$H$9442)+tp_yf*(Sens!$I$9442)</f>
        <v>74.6707041238437</v>
      </c>
    </row>
    <row r="9526" customFormat="false" ht="17.15" hidden="false" customHeight="false" outlineLevel="0" collapsed="false">
      <c r="A9526" s="5" t="s">
        <v>949</v>
      </c>
      <c r="B9526" s="0" t="s">
        <v>86</v>
      </c>
      <c r="C9526" s="38" t="n">
        <f aca="false">Sens!$C$9525*m_ai</f>
        <v>448.024224743062</v>
      </c>
    </row>
    <row r="9527" customFormat="false" ht="17.15" hidden="false" customHeight="false" outlineLevel="0" collapsed="false">
      <c r="A9527" s="0" t="s">
        <v>950</v>
      </c>
      <c r="B9527" s="0" t="s">
        <v>86</v>
      </c>
      <c r="C9527" s="38" t="n">
        <f aca="false">IF(ai_leg=1,Sens!$C$9524,Sens!$C$9526)</f>
        <v>159.796867964901</v>
      </c>
    </row>
    <row r="9528" customFormat="false" ht="17.15" hidden="false" customHeight="false" outlineLevel="0" collapsed="false">
      <c r="A9528" s="5" t="s">
        <v>951</v>
      </c>
      <c r="B9528" s="0" t="s">
        <v>86</v>
      </c>
      <c r="C9528" s="38" t="n">
        <f aca="false">Sens!$C$9514+Sens!$C$9517+Sens!$C$9520+Sens!$C$9527</f>
        <v>2940.82256479344</v>
      </c>
    </row>
    <row r="9529" customFormat="false" ht="17.15" hidden="false" customHeight="false" outlineLevel="0" collapsed="false">
      <c r="A9529" s="5" t="s">
        <v>952</v>
      </c>
      <c r="B9529" s="0" t="s">
        <v>86</v>
      </c>
      <c r="C9529" s="38" t="n">
        <f aca="false">Sens!$H$9482+fin_debt</f>
        <v>153.608629741943</v>
      </c>
    </row>
    <row r="9530" customFormat="false" ht="15" hidden="false" customHeight="false" outlineLevel="0" collapsed="false">
      <c r="A9530" s="5" t="s">
        <v>953</v>
      </c>
      <c r="B9530" s="0" t="s">
        <v>86</v>
      </c>
      <c r="C9530" s="38" t="n">
        <f aca="false">Sens!$C$9528-Sens!$C$9529+Sens!$C$9507</f>
        <v>2966.1579350515</v>
      </c>
    </row>
    <row r="9531" customFormat="false" ht="15" hidden="false" customHeight="false" outlineLevel="0" collapsed="false">
      <c r="A9531" s="3" t="s">
        <v>954</v>
      </c>
      <c r="B9531" s="8" t="s">
        <v>27</v>
      </c>
      <c r="C9531" s="30" t="n">
        <f aca="false">Sens!$C$9530/sh_val</f>
        <v>268.90965525111</v>
      </c>
    </row>
    <row r="9532" customFormat="false" ht="17.15" hidden="false" customHeight="false" outlineLevel="0" collapsed="false">
      <c r="A9532" s="47" t="s">
        <v>955</v>
      </c>
      <c r="B9532" s="14" t="s">
        <v>27</v>
      </c>
      <c r="C9532" s="44" t="n">
        <f aca="false">w_dcf*Sens!$C$9510+(1-w_dcf)*Sens!$C$9531</f>
        <v>203.624500590132</v>
      </c>
      <c r="D9532" s="14"/>
      <c r="E9532" s="14"/>
      <c r="F9532" s="14"/>
      <c r="G9532" s="14"/>
      <c r="H9532" s="14"/>
      <c r="I9532" s="14"/>
      <c r="J9532" s="14"/>
      <c r="K9532" s="14"/>
      <c r="L9532" s="14"/>
      <c r="M9532" s="14"/>
      <c r="N9532" s="14"/>
      <c r="O9532" s="14"/>
    </row>
    <row r="9533" customFormat="false" ht="17.15" hidden="false" customHeight="false" outlineLevel="0" collapsed="false">
      <c r="A9533" s="5" t="s">
        <v>956</v>
      </c>
      <c r="B9533" s="0" t="s">
        <v>27</v>
      </c>
      <c r="C9533" s="30" t="n">
        <f aca="false">v022_wdcf*Sens!$C$9510+(1-v022_wdcf)*Sens!$C$9531</f>
        <v>210.15301605623</v>
      </c>
    </row>
    <row r="9534" customFormat="false" ht="17.15" hidden="false" customHeight="false" outlineLevel="0" collapsed="false">
      <c r="A9534" s="5" t="s">
        <v>957</v>
      </c>
      <c r="B9534" s="0" t="s">
        <v>27</v>
      </c>
      <c r="C9534" s="30" t="n">
        <f aca="false">(Sens!$C$9530-Sens!$C$9527+Sens!$C$9526)/sh_val</f>
        <v>295.040131389701</v>
      </c>
    </row>
    <row r="9537" customFormat="false" ht="19.4" hidden="false" customHeight="false" outlineLevel="0" collapsed="false">
      <c r="A9537" s="31" t="s">
        <v>1330</v>
      </c>
    </row>
    <row r="9538" customFormat="false" ht="17.15" hidden="false" customHeight="false" outlineLevel="0" collapsed="false">
      <c r="A9538" s="6" t="s">
        <v>16</v>
      </c>
      <c r="B9538" s="6" t="s">
        <v>17</v>
      </c>
      <c r="C9538" s="20" t="s">
        <v>497</v>
      </c>
      <c r="D9538" s="20" t="s">
        <v>498</v>
      </c>
      <c r="E9538" s="20" t="s">
        <v>580</v>
      </c>
      <c r="F9538" s="20" t="s">
        <v>581</v>
      </c>
      <c r="G9538" s="20" t="s">
        <v>582</v>
      </c>
      <c r="H9538" s="20" t="s">
        <v>583</v>
      </c>
      <c r="I9538" s="20" t="s">
        <v>584</v>
      </c>
      <c r="J9538" s="20" t="s">
        <v>585</v>
      </c>
      <c r="K9538" s="20" t="s">
        <v>586</v>
      </c>
      <c r="L9538" s="20" t="s">
        <v>587</v>
      </c>
      <c r="M9538" s="20" t="s">
        <v>588</v>
      </c>
      <c r="N9538" s="20" t="s">
        <v>589</v>
      </c>
      <c r="O9538" s="20" t="s">
        <v>590</v>
      </c>
      <c r="P9538" s="6" t="s">
        <v>23</v>
      </c>
      <c r="R9538" s="20" t="n">
        <v>2023</v>
      </c>
      <c r="S9538" s="20" t="n">
        <v>2024</v>
      </c>
      <c r="T9538" s="20" t="n">
        <v>2025</v>
      </c>
      <c r="U9538" s="20" t="n">
        <v>2026</v>
      </c>
      <c r="V9538" s="20" t="n">
        <v>2027</v>
      </c>
      <c r="W9538" s="20" t="n">
        <v>2028</v>
      </c>
      <c r="X9538" s="20" t="n">
        <v>2029</v>
      </c>
      <c r="Y9538" s="20" t="n">
        <v>2030</v>
      </c>
      <c r="Z9538" s="20" t="n">
        <v>2031</v>
      </c>
      <c r="AA9538" s="20" t="n">
        <v>2032</v>
      </c>
    </row>
    <row r="9539" customFormat="false" ht="17.15" hidden="false" customHeight="false" outlineLevel="0" collapsed="false">
      <c r="A9539" s="1" t="s">
        <v>666</v>
      </c>
    </row>
    <row r="9540" customFormat="false" ht="17.15" hidden="false" customHeight="false" outlineLevel="0" collapsed="false">
      <c r="A9540" s="0" t="s">
        <v>519</v>
      </c>
      <c r="B9540" s="0" t="s">
        <v>86</v>
      </c>
      <c r="C9540" s="38" t="n">
        <f aca="false">Q!$D$10</f>
        <v>247.029</v>
      </c>
      <c r="D9540" s="38" t="n">
        <f aca="false">Q!$E$10</f>
        <v>269.287</v>
      </c>
      <c r="E9540" s="38" t="n">
        <f aca="false">Q!$P$10</f>
        <v>134.686</v>
      </c>
      <c r="F9540" s="38" t="n">
        <f aca="false">Sens!$O$9540*(1+Sens!$F$9541)*Sens!$F$9552</f>
        <v>158.293876822267</v>
      </c>
      <c r="G9540" s="38" t="n">
        <f aca="false">Sens!$E$9540+Sens!$F$9540</f>
        <v>292.979876822267</v>
      </c>
      <c r="H9540" s="38" t="n">
        <f aca="false">Sens!$G$9540*(1+Sens!$H$9541)</f>
        <v>318.184543087396</v>
      </c>
      <c r="I9540" s="38" t="n">
        <f aca="false">Sens!$H$9540*(1+Sens!$I$9541)</f>
        <v>341.736278761793</v>
      </c>
      <c r="J9540" s="38" t="n">
        <f aca="false">Sens!$I$9540*(1+Sens!$J$9541)</f>
        <v>362.927192787048</v>
      </c>
      <c r="K9540" s="38" t="n">
        <f aca="false">Sens!$J$9540*(1+Sens!$K$9541)</f>
        <v>381.0735524264</v>
      </c>
      <c r="L9540" s="38" t="n">
        <f aca="false">Sens!$K$9540*(1+Sens!$L$9541)</f>
        <v>400.12723004772</v>
      </c>
      <c r="M9540" s="38" t="n">
        <f aca="false">Sens!$L$9540*(1+Sens!$M$9541)</f>
        <v>420.133591550106</v>
      </c>
      <c r="N9540" s="38" t="n">
        <f aca="false">Q!$N$10</f>
        <v>118.892</v>
      </c>
      <c r="O9540" s="38" t="n">
        <f aca="false">Q!$O$10</f>
        <v>150.395</v>
      </c>
      <c r="P9540" s="8" t="s">
        <v>667</v>
      </c>
    </row>
    <row r="9541" customFormat="false" ht="17.15" hidden="false" customHeight="false" outlineLevel="0" collapsed="false">
      <c r="A9541" s="0" t="s">
        <v>668</v>
      </c>
      <c r="B9541" s="0" t="s">
        <v>52</v>
      </c>
      <c r="E9541" s="13" t="n">
        <f aca="false">Sens!$E$9540/Sens!$N$9540-1</f>
        <v>0.132843252699929</v>
      </c>
      <c r="F9541" s="13" t="n">
        <f aca="false">Sens!$O$9540/(Q!$F$10+Q!$G$10)-1</f>
        <v>0.0980382135842941</v>
      </c>
      <c r="G9541" s="13" t="n">
        <f aca="false">Sens!$G$9540/Sens!$D$9540-1</f>
        <v>0.0879837378791657</v>
      </c>
      <c r="H9541" s="13" t="n">
        <f aca="false">Sens!$F$9541+(g_os-Sens!$F$9541)*1/4</f>
        <v>0.0860286601882206</v>
      </c>
      <c r="I9541" s="13" t="n">
        <f aca="false">Sens!$F$9541+(g_os-Sens!$F$9541)*2/4</f>
        <v>0.074019106792147</v>
      </c>
      <c r="J9541" s="13" t="n">
        <f aca="false">Sens!$F$9541+(g_os-Sens!$F$9541)*3/4</f>
        <v>0.0620095533960735</v>
      </c>
      <c r="K9541" s="13" t="n">
        <f aca="false">Sens!$F$9541+(g_os-Sens!$F$9541)*4/4</f>
        <v>0.05</v>
      </c>
      <c r="L9541" s="13" t="n">
        <f aca="false">g_os</f>
        <v>0.05</v>
      </c>
      <c r="M9541" s="13" t="n">
        <f aca="false">g_os</f>
        <v>0.05</v>
      </c>
      <c r="P9541" s="8" t="s">
        <v>669</v>
      </c>
    </row>
    <row r="9542" customFormat="false" ht="17.15" hidden="false" customHeight="false" outlineLevel="0" collapsed="false">
      <c r="A9542" s="0" t="s">
        <v>520</v>
      </c>
      <c r="B9542" s="0" t="s">
        <v>86</v>
      </c>
      <c r="C9542" s="38" t="n">
        <f aca="false">Q!$D$11</f>
        <v>21.215</v>
      </c>
      <c r="D9542" s="38" t="n">
        <f aca="false">Q!$E$11</f>
        <v>22.561</v>
      </c>
      <c r="E9542" s="38" t="n">
        <f aca="false">Q!$P$11</f>
        <v>11.579</v>
      </c>
      <c r="F9542" s="38" t="n">
        <f aca="false">Sens!$O$9542*(1+Sens!$F$9543)*Sens!$F$9552</f>
        <v>11.5938724610325</v>
      </c>
      <c r="G9542" s="38" t="n">
        <f aca="false">Sens!$E$9542+Sens!$F$9542</f>
        <v>23.1728724610325</v>
      </c>
      <c r="H9542" s="38" t="n">
        <f aca="false">Sens!$G$9542*(1+Sens!$H$9543)</f>
        <v>24.353392759506</v>
      </c>
      <c r="I9542" s="38" t="n">
        <f aca="false">Sens!$H$9542*(1+Sens!$I$9543)</f>
        <v>25.4240338872015</v>
      </c>
      <c r="J9542" s="38" t="n">
        <f aca="false">Sens!$I$9542*(1+Sens!$J$9543)</f>
        <v>26.3642491017174</v>
      </c>
      <c r="K9542" s="38" t="n">
        <f aca="false">Sens!$J$9542*(1+Sens!$K$9543)</f>
        <v>27.155176574769</v>
      </c>
      <c r="L9542" s="38" t="n">
        <f aca="false">Sens!$K$9542*(1+Sens!$L$9543)</f>
        <v>27.969831872012</v>
      </c>
      <c r="M9542" s="38" t="n">
        <f aca="false">Sens!$L$9542*(1+Sens!$M$9543)</f>
        <v>28.8089268281724</v>
      </c>
      <c r="N9542" s="38" t="n">
        <f aca="false">Q!$N$11</f>
        <v>11.128</v>
      </c>
      <c r="O9542" s="38" t="n">
        <f aca="false">Q!$O$11</f>
        <v>11.433</v>
      </c>
      <c r="P9542" s="8" t="s">
        <v>667</v>
      </c>
    </row>
    <row r="9543" customFormat="false" ht="17.15" hidden="false" customHeight="false" outlineLevel="0" collapsed="false">
      <c r="A9543" s="0" t="s">
        <v>670</v>
      </c>
      <c r="B9543" s="0" t="s">
        <v>52</v>
      </c>
      <c r="E9543" s="13" t="n">
        <f aca="false">Sens!$E$9542/Sens!$N$9542-1</f>
        <v>0.0405283968368082</v>
      </c>
      <c r="F9543" s="13" t="n">
        <f aca="false">Sens!$O$9542/(Q!$F$11+Q!$G$11)-1</f>
        <v>0.0579254187100955</v>
      </c>
      <c r="G9543" s="13" t="n">
        <f aca="false">Sens!$G$9542/Sens!$D$9542-1</f>
        <v>0.0271208040881397</v>
      </c>
      <c r="H9543" s="13" t="n">
        <f aca="false">Sens!$F$9543+(g_ps-Sens!$F$9543)*1/4</f>
        <v>0.0509440640325716</v>
      </c>
      <c r="I9543" s="13" t="n">
        <f aca="false">Sens!$F$9543+(g_ps-Sens!$F$9543)*2/4</f>
        <v>0.0439627093550477</v>
      </c>
      <c r="J9543" s="13" t="n">
        <f aca="false">Sens!$F$9543+(g_ps-Sens!$F$9543)*3/4</f>
        <v>0.0369813546775239</v>
      </c>
      <c r="K9543" s="13" t="n">
        <f aca="false">Sens!$F$9543+(g_ps-Sens!$F$9543)*4/4</f>
        <v>0.03</v>
      </c>
      <c r="L9543" s="13" t="n">
        <f aca="false">g_ps</f>
        <v>0.03</v>
      </c>
      <c r="M9543" s="13" t="n">
        <f aca="false">g_ps</f>
        <v>0.03</v>
      </c>
      <c r="P9543" s="8" t="s">
        <v>671</v>
      </c>
    </row>
    <row r="9544" customFormat="false" ht="17.15" hidden="false" customHeight="false" outlineLevel="0" collapsed="false">
      <c r="A9544" s="0" t="s">
        <v>521</v>
      </c>
      <c r="B9544" s="0" t="s">
        <v>86</v>
      </c>
      <c r="C9544" s="38" t="n">
        <f aca="false">Q!$D$12</f>
        <v>156.146</v>
      </c>
      <c r="D9544" s="38" t="n">
        <f aca="false">Q!$E$12</f>
        <v>172.162</v>
      </c>
      <c r="E9544" s="38" t="n">
        <f aca="false">Q!$P$12</f>
        <v>88.358</v>
      </c>
      <c r="F9544" s="38" t="n">
        <f aca="false">Sens!$O$9544*(1+Sens!$F$9545)*Sens!$F$9552</f>
        <v>102.004388260171</v>
      </c>
      <c r="G9544" s="38" t="n">
        <f aca="false">Sens!$E$9544+Sens!$F$9544</f>
        <v>190.362388260171</v>
      </c>
      <c r="H9544" s="38" t="n">
        <f aca="false">Sens!$G$9544*(1+Sens!$H$9545)</f>
        <v>210.343106588311</v>
      </c>
      <c r="I9544" s="38" t="n">
        <f aca="false">Sens!$H$9544*(1+Sens!$I$9545)</f>
        <v>229.969728494648</v>
      </c>
      <c r="J9544" s="38" t="n">
        <f aca="false">Sens!$I$9544*(1+Sens!$J$9545)</f>
        <v>248.747636972598</v>
      </c>
      <c r="K9544" s="38" t="n">
        <f aca="false">Sens!$J$9544*(1+Sens!$K$9545)</f>
        <v>266.15997156068</v>
      </c>
      <c r="L9544" s="38" t="n">
        <f aca="false">Sens!$K$9544*(1+Sens!$L$9545)</f>
        <v>284.791169569927</v>
      </c>
      <c r="M9544" s="38" t="n">
        <f aca="false">Sens!$L$9544*(1+Sens!$M$9545)</f>
        <v>304.726551439822</v>
      </c>
      <c r="N9544" s="38" t="n">
        <f aca="false">Q!$N$12</f>
        <v>76.86</v>
      </c>
      <c r="O9544" s="38" t="n">
        <f aca="false">Q!$O$12</f>
        <v>95.302</v>
      </c>
      <c r="P9544" s="8" t="s">
        <v>667</v>
      </c>
    </row>
    <row r="9545" customFormat="false" ht="17.15" hidden="false" customHeight="false" outlineLevel="0" collapsed="false">
      <c r="A9545" s="0" t="s">
        <v>672</v>
      </c>
      <c r="B9545" s="0" t="s">
        <v>52</v>
      </c>
      <c r="E9545" s="13" t="n">
        <f aca="false">Sens!$E$9544/Sens!$N$9544-1</f>
        <v>0.1495966692688</v>
      </c>
      <c r="F9545" s="13" t="n">
        <f aca="false">Sens!$O$9544/(Q!$F$12+Q!$G$12)-1</f>
        <v>0.11661530890813</v>
      </c>
      <c r="G9545" s="13" t="n">
        <f aca="false">Sens!$G$9544/Sens!$D$9544-1</f>
        <v>0.105716640490767</v>
      </c>
      <c r="H9545" s="13" t="n">
        <f aca="false">Sens!$F$9545+(g_sp-Sens!$F$9545)*1/4</f>
        <v>0.104961481681098</v>
      </c>
      <c r="I9545" s="13" t="n">
        <f aca="false">Sens!$F$9545+(g_sp-Sens!$F$9545)*2/4</f>
        <v>0.0933076544540651</v>
      </c>
      <c r="J9545" s="13" t="n">
        <f aca="false">Sens!$F$9545+(g_sp-Sens!$F$9545)*3/4</f>
        <v>0.0816538272270325</v>
      </c>
      <c r="K9545" s="13" t="n">
        <f aca="false">Sens!$F$9545+(g_sp-Sens!$F$9545)*4/4</f>
        <v>0.07</v>
      </c>
      <c r="L9545" s="13" t="n">
        <f aca="false">g_sp</f>
        <v>0.07</v>
      </c>
      <c r="M9545" s="13" t="n">
        <f aca="false">g_sp</f>
        <v>0.07</v>
      </c>
      <c r="P9545" s="8" t="s">
        <v>673</v>
      </c>
    </row>
    <row r="9546" customFormat="false" ht="17.15" hidden="false" customHeight="false" outlineLevel="0" collapsed="false">
      <c r="A9546" s="0" t="s">
        <v>522</v>
      </c>
      <c r="B9546" s="0" t="s">
        <v>86</v>
      </c>
      <c r="C9546" s="38" t="n">
        <f aca="false">Q!$D$13</f>
        <v>56.214</v>
      </c>
      <c r="D9546" s="38" t="n">
        <f aca="false">Q!$E$13</f>
        <v>68.635</v>
      </c>
      <c r="E9546" s="38" t="n">
        <f aca="false">Q!$P$13</f>
        <v>37.052</v>
      </c>
      <c r="F9546" s="38" t="n">
        <f aca="false">Sens!$O$9546*(1+Sens!$F$9547)*Sens!$F$9552</f>
        <v>46.1572219944148</v>
      </c>
      <c r="G9546" s="38" t="n">
        <f aca="false">Sens!$E$9546+Sens!$F$9546</f>
        <v>83.2092219944148</v>
      </c>
      <c r="H9546" s="38" t="n">
        <f aca="false">Sens!$G$9546*(1+Sens!$H$9547)</f>
        <v>99.8969223878976</v>
      </c>
      <c r="I9546" s="38" t="n">
        <f aca="false">Sens!$H$9546*(1+Sens!$I$9547)</f>
        <v>116.583111095496</v>
      </c>
      <c r="J9546" s="38" t="n">
        <f aca="false">Sens!$I$9546*(1+Sens!$J$9547)</f>
        <v>132.148941941952</v>
      </c>
      <c r="K9546" s="38" t="n">
        <f aca="false">Sens!$J$9546*(1+Sens!$K$9547)</f>
        <v>145.363836136147</v>
      </c>
      <c r="L9546" s="38" t="n">
        <f aca="false">Sens!$K$9546*(1+Sens!$L$9547)</f>
        <v>159.900219749762</v>
      </c>
      <c r="M9546" s="38" t="n">
        <f aca="false">Sens!$L$9546*(1+Sens!$M$9547)</f>
        <v>175.890241724738</v>
      </c>
      <c r="N9546" s="38" t="n">
        <f aca="false">Q!$N$13</f>
        <v>29.615</v>
      </c>
      <c r="O9546" s="38" t="n">
        <f aca="false">Q!$O$13</f>
        <v>39.02</v>
      </c>
      <c r="P9546" s="8" t="s">
        <v>667</v>
      </c>
    </row>
    <row r="9547" customFormat="false" ht="17.15" hidden="false" customHeight="false" outlineLevel="0" collapsed="false">
      <c r="A9547" s="0" t="s">
        <v>674</v>
      </c>
      <c r="B9547" s="0" t="s">
        <v>52</v>
      </c>
      <c r="E9547" s="13" t="n">
        <f aca="false">Sens!$E$9546/Sens!$N$9546-1</f>
        <v>0.25112274185379</v>
      </c>
      <c r="F9547" s="13" t="n">
        <f aca="false">Sens!$O$9546/(Q!$F$13+Q!$G$13)-1</f>
        <v>0.234068123596572</v>
      </c>
      <c r="G9547" s="13" t="n">
        <f aca="false">Sens!$G$9546/Sens!$D$9546-1</f>
        <v>0.212343876949294</v>
      </c>
      <c r="H9547" s="13" t="n">
        <f aca="false">Sens!$F$9547+(g_ad-Sens!$F$9547)*1/4</f>
        <v>0.200551092697429</v>
      </c>
      <c r="I9547" s="13" t="n">
        <f aca="false">Sens!$F$9547+(g_ad-Sens!$F$9547)*2/4</f>
        <v>0.167034061798286</v>
      </c>
      <c r="J9547" s="13" t="n">
        <f aca="false">Sens!$F$9547+(g_ad-Sens!$F$9547)*3/4</f>
        <v>0.133517030899143</v>
      </c>
      <c r="K9547" s="13" t="n">
        <f aca="false">Sens!$F$9547+(g_ad-Sens!$F$9547)*4/4</f>
        <v>0.1</v>
      </c>
      <c r="L9547" s="13" t="n">
        <f aca="false">g_ad</f>
        <v>0.1</v>
      </c>
      <c r="M9547" s="13" t="n">
        <f aca="false">g_ad</f>
        <v>0.1</v>
      </c>
      <c r="P9547" s="8" t="s">
        <v>675</v>
      </c>
    </row>
    <row r="9548" customFormat="false" ht="17.15" hidden="false" customHeight="false" outlineLevel="0" collapsed="false">
      <c r="A9548" s="0" t="s">
        <v>523</v>
      </c>
      <c r="B9548" s="0" t="s">
        <v>86</v>
      </c>
      <c r="C9548" s="38" t="n">
        <f aca="false">Q!$D$14</f>
        <v>44.374</v>
      </c>
      <c r="D9548" s="38" t="n">
        <f aca="false">Q!$E$14</f>
        <v>49.619</v>
      </c>
      <c r="E9548" s="38" t="n">
        <f aca="false">Q!$P$14</f>
        <v>27.157</v>
      </c>
      <c r="F9548" s="38" t="n">
        <f aca="false">Sens!$O$9548*(1+Sens!$F$9549)*Sens!$F$9552</f>
        <v>27.7764165988154</v>
      </c>
      <c r="G9548" s="38" t="n">
        <f aca="false">Sens!$E$9548+Sens!$F$9548</f>
        <v>54.9334165988154</v>
      </c>
      <c r="H9548" s="38" t="n">
        <f aca="false">Sens!$G$9548*(1+Sens!$H$9549)</f>
        <v>61.1564112561829</v>
      </c>
      <c r="I9548" s="38" t="n">
        <f aca="false">Sens!$H$9548*(1+Sens!$I$9549)</f>
        <v>67.2020282103945</v>
      </c>
      <c r="J9548" s="38" t="n">
        <f aca="false">Sens!$I$9548*(1+Sens!$J$9549)</f>
        <v>72.8757274028885</v>
      </c>
      <c r="K9548" s="38" t="n">
        <f aca="false">Sens!$J$9548*(1+Sens!$K$9549)</f>
        <v>77.9770283210907</v>
      </c>
      <c r="L9548" s="38" t="n">
        <f aca="false">Sens!$K$9548*(1+Sens!$L$9549)</f>
        <v>83.4354203035671</v>
      </c>
      <c r="M9548" s="38" t="n">
        <f aca="false">Sens!$L$9548*(1+Sens!$M$9549)</f>
        <v>89.2758997248168</v>
      </c>
      <c r="N9548" s="38" t="n">
        <f aca="false">Q!$N$14</f>
        <v>23.923</v>
      </c>
      <c r="O9548" s="38" t="n">
        <f aca="false">Q!$O$14</f>
        <v>25.696</v>
      </c>
      <c r="P9548" s="8" t="s">
        <v>667</v>
      </c>
    </row>
    <row r="9549" customFormat="false" ht="17.15" hidden="false" customHeight="false" outlineLevel="0" collapsed="false">
      <c r="A9549" s="0" t="s">
        <v>676</v>
      </c>
      <c r="B9549" s="0" t="s">
        <v>52</v>
      </c>
      <c r="E9549" s="13" t="n">
        <f aca="false">Sens!$E$9548/Sens!$N$9548-1</f>
        <v>0.135183714417088</v>
      </c>
      <c r="F9549" s="13" t="n">
        <f aca="false">Sens!$O$9548/(Q!$F$14+Q!$G$14)-1</f>
        <v>0.127709997366804</v>
      </c>
      <c r="G9549" s="13" t="n">
        <f aca="false">Sens!$G$9548/Sens!$D$9548-1</f>
        <v>0.107104468022641</v>
      </c>
      <c r="H9549" s="13" t="n">
        <f aca="false">Sens!$F$9549+(g_sub-Sens!$F$9549)*1/4</f>
        <v>0.113282498025103</v>
      </c>
      <c r="I9549" s="13" t="n">
        <f aca="false">Sens!$F$9549+(g_sub-Sens!$F$9549)*2/4</f>
        <v>0.0988549986834021</v>
      </c>
      <c r="J9549" s="13" t="n">
        <f aca="false">Sens!$F$9549+(g_sub-Sens!$F$9549)*3/4</f>
        <v>0.084427499341701</v>
      </c>
      <c r="K9549" s="13" t="n">
        <f aca="false">Sens!$F$9549+(g_sub-Sens!$F$9549)*4/4</f>
        <v>0.07</v>
      </c>
      <c r="L9549" s="13" t="n">
        <f aca="false">g_sub</f>
        <v>0.07</v>
      </c>
      <c r="M9549" s="13" t="n">
        <f aca="false">g_sub</f>
        <v>0.07</v>
      </c>
      <c r="P9549" s="8" t="s">
        <v>677</v>
      </c>
    </row>
    <row r="9550" customFormat="false" ht="17.15" hidden="false" customHeight="false" outlineLevel="0" collapsed="false">
      <c r="A9550" s="0" t="s">
        <v>524</v>
      </c>
      <c r="B9550" s="0" t="s">
        <v>86</v>
      </c>
      <c r="C9550" s="38" t="n">
        <f aca="false">Q!$D$15</f>
        <v>5.425</v>
      </c>
      <c r="D9550" s="38" t="n">
        <f aca="false">Q!$E$15</f>
        <v>5.935</v>
      </c>
      <c r="E9550" s="38" t="n">
        <f aca="false">Q!$P$15</f>
        <v>3.474</v>
      </c>
      <c r="F9550" s="38" t="n">
        <f aca="false">Sens!$O$9550*(1+Sens!$F$9551)*Sens!$F$9552</f>
        <v>3.22246550883619</v>
      </c>
      <c r="G9550" s="38" t="n">
        <f aca="false">Sens!$E$9550+Sens!$F$9550</f>
        <v>6.69646550883619</v>
      </c>
      <c r="H9550" s="38" t="n">
        <f aca="false">Sens!$G$9550*(1+Sens!$H$9551)</f>
        <v>7.16251344209196</v>
      </c>
      <c r="I9550" s="38" t="n">
        <f aca="false">Sens!$H$9550*(1+Sens!$I$9551)</f>
        <v>7.61421070299826</v>
      </c>
      <c r="J9550" s="38" t="n">
        <f aca="false">Sens!$I$9550*(1+Sens!$J$9551)</f>
        <v>8.04465753523932</v>
      </c>
      <c r="K9550" s="38" t="n">
        <f aca="false">Sens!$J$9550*(1+Sens!$K$9551)</f>
        <v>8.44689041200128</v>
      </c>
      <c r="L9550" s="38" t="n">
        <f aca="false">Sens!$K$9550*(1+Sens!$L$9551)</f>
        <v>8.86923493260135</v>
      </c>
      <c r="M9550" s="38" t="n">
        <f aca="false">Sens!$L$9550*(1+Sens!$M$9551)</f>
        <v>9.31269667923142</v>
      </c>
      <c r="N9550" s="38" t="n">
        <f aca="false">Q!$N$15</f>
        <v>2.811</v>
      </c>
      <c r="O9550" s="38" t="n">
        <f aca="false">Q!$O$15</f>
        <v>3.124</v>
      </c>
      <c r="P9550" s="8" t="s">
        <v>667</v>
      </c>
    </row>
    <row r="9551" customFormat="false" ht="17.15" hidden="false" customHeight="false" outlineLevel="0" collapsed="false">
      <c r="A9551" s="0" t="s">
        <v>678</v>
      </c>
      <c r="B9551" s="0" t="s">
        <v>52</v>
      </c>
      <c r="E9551" s="13" t="n">
        <f aca="false">Sens!$E$9550/Sens!$N$9550-1</f>
        <v>0.235859124866596</v>
      </c>
      <c r="F9551" s="13" t="n">
        <f aca="false">Sens!$O$9550/(Q!$F$15+Q!$G$15)-1</f>
        <v>0.0761281433000345</v>
      </c>
      <c r="G9551" s="13" t="n">
        <f aca="false">Sens!$G$9550/Sens!$D$9550-1</f>
        <v>0.128300843948811</v>
      </c>
      <c r="H9551" s="13" t="n">
        <f aca="false">Sens!$F$9551+(g_ot-Sens!$F$9551)*1/4</f>
        <v>0.0695961074750259</v>
      </c>
      <c r="I9551" s="13" t="n">
        <f aca="false">Sens!$F$9551+(g_ot-Sens!$F$9551)*2/4</f>
        <v>0.0630640716500172</v>
      </c>
      <c r="J9551" s="13" t="n">
        <f aca="false">Sens!$F$9551+(g_ot-Sens!$F$9551)*3/4</f>
        <v>0.0565320358250086</v>
      </c>
      <c r="K9551" s="13" t="n">
        <f aca="false">Sens!$F$9551+(g_ot-Sens!$F$9551)*4/4</f>
        <v>0.05</v>
      </c>
      <c r="L9551" s="13" t="n">
        <f aca="false">g_ot</f>
        <v>0.05</v>
      </c>
      <c r="M9551" s="13" t="n">
        <f aca="false">g_ot</f>
        <v>0.05</v>
      </c>
      <c r="P9551" s="8" t="s">
        <v>679</v>
      </c>
    </row>
    <row r="9552" customFormat="false" ht="17.15" hidden="false" customHeight="false" outlineLevel="0" collapsed="false">
      <c r="A9552" s="0" t="s">
        <v>680</v>
      </c>
      <c r="B9552" s="0" t="s">
        <v>57</v>
      </c>
      <c r="F9552" s="40" t="n">
        <f aca="false">(g26q3_mid*Q!$O$8/Q!$J$8-Thesis!$F$86-Thesis!$F$90)/(Sens!$O$9540*(1+Sens!$F$9541)+Sens!$O$9542*(1+Sens!$F$9543)+Sens!$O$9544*(1+Sens!$F$9545)+Sens!$O$9546*(1+Sens!$F$9547)+Sens!$O$9548*(1+Sens!$F$9549)+Sens!$O$9550*(1+Sens!$F$9551))</f>
        <v>0.958546670622329</v>
      </c>
      <c r="P9552" s="8" t="s">
        <v>681</v>
      </c>
    </row>
    <row r="9553" customFormat="false" ht="17.15" hidden="false" customHeight="false" outlineLevel="0" collapsed="false">
      <c r="A9553" s="3" t="s">
        <v>682</v>
      </c>
      <c r="B9553" s="8" t="s">
        <v>86</v>
      </c>
      <c r="C9553" s="38" t="n">
        <f aca="false">Sens!$C$9540+Sens!$C$9542+Sens!$C$9544+Sens!$C$9546+Sens!$C$9548+Sens!$C$9550</f>
        <v>530.403</v>
      </c>
      <c r="D9553" s="38" t="n">
        <f aca="false">Sens!$D$9540+Sens!$D$9542+Sens!$D$9544+Sens!$D$9546+Sens!$D$9548+Sens!$D$9550</f>
        <v>588.199</v>
      </c>
      <c r="E9553" s="38" t="n">
        <f aca="false">Sens!$E$9540+Sens!$E$9542+Sens!$E$9544+Sens!$E$9546+Sens!$E$9548+Sens!$E$9550</f>
        <v>302.306</v>
      </c>
      <c r="F9553" s="38" t="n">
        <f aca="false">Sens!$F$9540+Sens!$F$9542+Sens!$F$9544+Sens!$F$9546+Sens!$F$9548+Sens!$F$9550</f>
        <v>349.048241645537</v>
      </c>
      <c r="G9553" s="38" t="n">
        <f aca="false">Sens!$G$9540+Sens!$G$9542+Sens!$G$9544+Sens!$G$9546+Sens!$G$9548+Sens!$G$9550</f>
        <v>651.354241645537</v>
      </c>
      <c r="H9553" s="38" t="n">
        <f aca="false">Sens!$H$9540+Sens!$H$9542+Sens!$H$9544+Sens!$H$9546+Sens!$H$9548+Sens!$H$9550</f>
        <v>721.096889521386</v>
      </c>
      <c r="I9553" s="38" t="n">
        <f aca="false">Sens!$I$9540+Sens!$I$9542+Sens!$I$9544+Sens!$I$9546+Sens!$I$9548+Sens!$I$9550</f>
        <v>788.529391152531</v>
      </c>
      <c r="J9553" s="38" t="n">
        <f aca="false">Sens!$J$9540+Sens!$J$9542+Sens!$J$9544+Sens!$J$9546+Sens!$J$9548+Sens!$J$9550</f>
        <v>851.108405741443</v>
      </c>
      <c r="K9553" s="38" t="n">
        <f aca="false">Sens!$K$9540+Sens!$K$9542+Sens!$K$9544+Sens!$K$9546+Sens!$K$9548+Sens!$K$9550</f>
        <v>906.176455431088</v>
      </c>
      <c r="L9553" s="38" t="n">
        <f aca="false">Sens!$L$9540+Sens!$L$9542+Sens!$L$9544+Sens!$L$9546+Sens!$L$9548+Sens!$L$9550</f>
        <v>965.093106475589</v>
      </c>
      <c r="M9553" s="38" t="n">
        <f aca="false">Sens!$M$9540+Sens!$M$9542+Sens!$M$9544+Sens!$M$9546+Sens!$M$9548+Sens!$M$9550</f>
        <v>1028.14790794689</v>
      </c>
      <c r="N9553" s="38" t="n">
        <f aca="false">Sens!$N$9540+Sens!$N$9542+Sens!$N$9544+Sens!$N$9546+Sens!$N$9548+Sens!$N$9550</f>
        <v>263.229</v>
      </c>
      <c r="O9553" s="38" t="n">
        <f aca="false">Sens!$O$9540+Sens!$O$9542+Sens!$O$9544+Sens!$O$9546+Sens!$O$9548+Sens!$O$9550</f>
        <v>324.97</v>
      </c>
    </row>
    <row r="9554" customFormat="false" ht="17.15" hidden="false" customHeight="false" outlineLevel="0" collapsed="false">
      <c r="A9554" s="5" t="s">
        <v>683</v>
      </c>
      <c r="B9554" s="0" t="s">
        <v>52</v>
      </c>
      <c r="C9554" s="13" t="n">
        <f aca="false">Q!$D$5/(Q!$D$5+Q!$D$6)</f>
        <v>0.730570905519011</v>
      </c>
      <c r="D9554" s="13" t="n">
        <f aca="false">Q!$E$5/(Q!$E$5+Q!$E$6)</f>
        <v>0.724763217890544</v>
      </c>
      <c r="E9554" s="13" t="n">
        <f aca="false">Q!$P$5/(Q!$P$5+Q!$P$6)</f>
        <v>0.728797972914861</v>
      </c>
      <c r="F9554" s="13" t="n">
        <f aca="false">Sens!$O$9554</f>
        <v>0.718066283041511</v>
      </c>
      <c r="G9554" s="13" t="n">
        <f aca="false">Sens!$G$9555/Sens!$G$9553</f>
        <v>0.723047066202847</v>
      </c>
      <c r="H9554" s="13" t="n">
        <f aca="false">Sens!$G$9554</f>
        <v>0.723047066202847</v>
      </c>
      <c r="I9554" s="13" t="n">
        <f aca="false">Sens!$G$9554</f>
        <v>0.723047066202847</v>
      </c>
      <c r="J9554" s="13" t="n">
        <f aca="false">Sens!$G$9554</f>
        <v>0.723047066202847</v>
      </c>
      <c r="K9554" s="13" t="n">
        <f aca="false">Sens!$G$9554</f>
        <v>0.723047066202847</v>
      </c>
      <c r="L9554" s="13" t="n">
        <f aca="false">Sens!$G$9554</f>
        <v>0.723047066202847</v>
      </c>
      <c r="M9554" s="13" t="n">
        <f aca="false">Sens!$G$9554</f>
        <v>0.723047066202847</v>
      </c>
      <c r="N9554" s="13" t="n">
        <f aca="false">Q!$N$5/(Q!$N$5+Q!$N$6)</f>
        <v>0.733030935041352</v>
      </c>
      <c r="O9554" s="13" t="n">
        <f aca="false">Q!$O$5/(Q!$O$5+Q!$O$6)</f>
        <v>0.718066283041511</v>
      </c>
      <c r="P9554" s="8" t="s">
        <v>684</v>
      </c>
    </row>
    <row r="9555" customFormat="false" ht="17.15" hidden="false" customHeight="false" outlineLevel="0" collapsed="false">
      <c r="A9555" s="1" t="s">
        <v>512</v>
      </c>
      <c r="B9555" s="8" t="s">
        <v>86</v>
      </c>
      <c r="C9555" s="38" t="n">
        <f aca="false">Q!$D$5</f>
        <v>387.497</v>
      </c>
      <c r="D9555" s="38" t="n">
        <f aca="false">Q!$E$5</f>
        <v>426.305</v>
      </c>
      <c r="E9555" s="38" t="n">
        <f aca="false">Q!$P$5</f>
        <v>220.32</v>
      </c>
      <c r="F9555" s="38" t="n">
        <f aca="false">Sens!$F$9553*Sens!$F$9554</f>
        <v>250.639773480586</v>
      </c>
      <c r="G9555" s="38" t="n">
        <f aca="false">Sens!$E$9555+Sens!$F$9555</f>
        <v>470.959773480586</v>
      </c>
      <c r="H9555" s="38" t="n">
        <f aca="false">Sens!$H$9553*Sens!$H$9554</f>
        <v>521.386990416437</v>
      </c>
      <c r="I9555" s="38" t="n">
        <f aca="false">Sens!$I$9553*Sens!$I$9554</f>
        <v>570.143862887555</v>
      </c>
      <c r="J9555" s="38" t="n">
        <f aca="false">Sens!$J$9553*Sens!$J$9554</f>
        <v>615.391435791933</v>
      </c>
      <c r="K9555" s="38" t="n">
        <f aca="false">Sens!$K$9553*Sens!$K$9554</f>
        <v>655.208227561543</v>
      </c>
      <c r="L9555" s="38" t="n">
        <f aca="false">Sens!$L$9553*Sens!$L$9554</f>
        <v>697.807739249767</v>
      </c>
      <c r="M9555" s="38" t="n">
        <f aca="false">Sens!$M$9553*Sens!$M$9554</f>
        <v>743.399328463592</v>
      </c>
      <c r="N9555" s="38" t="n">
        <f aca="false">Q!$N$5</f>
        <v>192.955</v>
      </c>
      <c r="O9555" s="38" t="n">
        <f aca="false">Q!$O$5</f>
        <v>233.35</v>
      </c>
      <c r="P9555" s="5" t="s">
        <v>685</v>
      </c>
    </row>
    <row r="9556" customFormat="false" ht="17.15" hidden="false" customHeight="false" outlineLevel="0" collapsed="false">
      <c r="A9556" s="1" t="s">
        <v>515</v>
      </c>
      <c r="B9556" s="8" t="s">
        <v>86</v>
      </c>
      <c r="C9556" s="38" t="n">
        <f aca="false">Q!$D$6</f>
        <v>142.906</v>
      </c>
      <c r="D9556" s="38" t="n">
        <f aca="false">Q!$E$6</f>
        <v>161.894</v>
      </c>
      <c r="E9556" s="38" t="n">
        <f aca="false">Q!$P$6</f>
        <v>81.986</v>
      </c>
      <c r="F9556" s="38" t="n">
        <f aca="false">Sens!$F$9553*(1-Sens!$F$9554)</f>
        <v>98.408468164951</v>
      </c>
      <c r="G9556" s="38" t="n">
        <f aca="false">Sens!$E$9556+Sens!$F$9556</f>
        <v>180.394468164951</v>
      </c>
      <c r="H9556" s="38" t="n">
        <f aca="false">Sens!$H$9553*(1-Sens!$H$9554)</f>
        <v>199.709899104949</v>
      </c>
      <c r="I9556" s="38" t="n">
        <f aca="false">Sens!$I$9553*(1-Sens!$I$9554)</f>
        <v>218.385528264976</v>
      </c>
      <c r="J9556" s="38" t="n">
        <f aca="false">Sens!$J$9553*(1-Sens!$J$9554)</f>
        <v>235.71696994951</v>
      </c>
      <c r="K9556" s="38" t="n">
        <f aca="false">Sens!$K$9553*(1-Sens!$K$9554)</f>
        <v>250.968227869545</v>
      </c>
      <c r="L9556" s="38" t="n">
        <f aca="false">Sens!$L$9553*(1-Sens!$L$9554)</f>
        <v>267.285367225822</v>
      </c>
      <c r="M9556" s="38" t="n">
        <f aca="false">Sens!$M$9553*(1-Sens!$M$9554)</f>
        <v>284.748579483295</v>
      </c>
      <c r="N9556" s="38" t="n">
        <f aca="false">Q!$N$6</f>
        <v>70.274</v>
      </c>
      <c r="O9556" s="38" t="n">
        <f aca="false">Q!$O$6</f>
        <v>91.62</v>
      </c>
      <c r="P9556" s="5" t="s">
        <v>686</v>
      </c>
    </row>
    <row r="9557" customFormat="false" ht="17.15" hidden="false" customHeight="false" outlineLevel="0" collapsed="false">
      <c r="A9557" s="5" t="s">
        <v>687</v>
      </c>
      <c r="B9557" s="0" t="s">
        <v>86</v>
      </c>
      <c r="C9557" s="38" t="n">
        <f aca="false">Sens!$C$9546*Sens!$C$9554</f>
        <v>41.0683128828457</v>
      </c>
      <c r="D9557" s="38" t="n">
        <f aca="false">Sens!$D$9546*Sens!$D$9554</f>
        <v>49.7441234599175</v>
      </c>
      <c r="E9557" s="38" t="n">
        <f aca="false">Sens!$E$9546*Sens!$E$9554</f>
        <v>27.0034224924414</v>
      </c>
      <c r="F9557" s="38" t="n">
        <f aca="false">Sens!$F$9546*Sens!$F$9554</f>
        <v>33.1439448330513</v>
      </c>
      <c r="G9557" s="38" t="n">
        <f aca="false">Sens!$G$9546*Sens!$G$9554</f>
        <v>60.164183844083</v>
      </c>
      <c r="H9557" s="38" t="n">
        <f aca="false">Sens!$H$9546*Sens!$H$9554</f>
        <v>72.2301766552629</v>
      </c>
      <c r="I9557" s="38" t="n">
        <f aca="false">Sens!$I$9546*Sens!$I$9554</f>
        <v>84.2950764463991</v>
      </c>
      <c r="J9557" s="38" t="n">
        <f aca="false">Sens!$J$9546*Sens!$J$9554</f>
        <v>95.5499047729386</v>
      </c>
      <c r="K9557" s="38" t="n">
        <f aca="false">Sens!$K$9546*Sens!$K$9554</f>
        <v>105.104895250232</v>
      </c>
      <c r="L9557" s="38" t="n">
        <f aca="false">Sens!$L$9546*Sens!$L$9554</f>
        <v>115.615384775256</v>
      </c>
      <c r="M9557" s="38" t="n">
        <f aca="false">Sens!$M$9546*Sens!$M$9554</f>
        <v>127.176923252781</v>
      </c>
      <c r="N9557" s="38" t="n">
        <f aca="false">Sens!$N$9546*Sens!$N$9554</f>
        <v>21.7087111412496</v>
      </c>
      <c r="O9557" s="38" t="n">
        <f aca="false">Sens!$O$9546*Sens!$O$9554</f>
        <v>28.0189463642798</v>
      </c>
      <c r="P9557" s="5" t="s">
        <v>688</v>
      </c>
    </row>
    <row r="9558" customFormat="false" ht="15" hidden="false" customHeight="false" outlineLevel="0" collapsed="false">
      <c r="A9558" s="5" t="s">
        <v>689</v>
      </c>
      <c r="B9558" s="0" t="s">
        <v>86</v>
      </c>
      <c r="C9558" s="38" t="n">
        <f aca="false">Sens!$C$9546-Sens!$C$9557</f>
        <v>15.1456871171543</v>
      </c>
      <c r="D9558" s="38" t="n">
        <f aca="false">Sens!$D$9546-Sens!$D$9557</f>
        <v>18.8908765400825</v>
      </c>
      <c r="E9558" s="38" t="n">
        <f aca="false">Sens!$E$9546-Sens!$E$9557</f>
        <v>10.0485775075586</v>
      </c>
      <c r="F9558" s="38" t="n">
        <f aca="false">Sens!$F$9546-Sens!$F$9557</f>
        <v>13.0132771613635</v>
      </c>
      <c r="G9558" s="38" t="n">
        <f aca="false">Sens!$G$9546-Sens!$G$9557</f>
        <v>23.0450381503318</v>
      </c>
      <c r="H9558" s="38" t="n">
        <f aca="false">Sens!$H$9546-Sens!$H$9557</f>
        <v>27.6667457326347</v>
      </c>
      <c r="I9558" s="38" t="n">
        <f aca="false">Sens!$I$9546-Sens!$I$9557</f>
        <v>32.2880346490971</v>
      </c>
      <c r="J9558" s="38" t="n">
        <f aca="false">Sens!$J$9546-Sens!$J$9557</f>
        <v>36.5990371690132</v>
      </c>
      <c r="K9558" s="38" t="n">
        <f aca="false">Sens!$K$9546-Sens!$K$9557</f>
        <v>40.2589408859145</v>
      </c>
      <c r="L9558" s="38" t="n">
        <f aca="false">Sens!$L$9546-Sens!$L$9557</f>
        <v>44.2848349745059</v>
      </c>
      <c r="M9558" s="38" t="n">
        <f aca="false">Sens!$M$9546-Sens!$M$9557</f>
        <v>48.7133184719565</v>
      </c>
      <c r="N9558" s="38" t="n">
        <f aca="false">Sens!$N$9546-Sens!$N$9557</f>
        <v>7.90628885875037</v>
      </c>
      <c r="O9558" s="38" t="n">
        <f aca="false">Sens!$O$9546-Sens!$O$9557</f>
        <v>11.0010536357202</v>
      </c>
    </row>
    <row r="9559" customFormat="false" ht="19.4" hidden="false" customHeight="false" outlineLevel="0" collapsed="false">
      <c r="A9559" s="31" t="s">
        <v>1331</v>
      </c>
    </row>
    <row r="9560" customFormat="false" ht="17.15" hidden="false" customHeight="false" outlineLevel="0" collapsed="false">
      <c r="A9560" s="6" t="s">
        <v>16</v>
      </c>
      <c r="B9560" s="6" t="s">
        <v>17</v>
      </c>
      <c r="C9560" s="20" t="s">
        <v>497</v>
      </c>
      <c r="D9560" s="20" t="s">
        <v>498</v>
      </c>
      <c r="E9560" s="20" t="s">
        <v>580</v>
      </c>
      <c r="F9560" s="20" t="s">
        <v>581</v>
      </c>
      <c r="G9560" s="20" t="s">
        <v>582</v>
      </c>
      <c r="H9560" s="20" t="s">
        <v>583</v>
      </c>
      <c r="I9560" s="20" t="s">
        <v>584</v>
      </c>
      <c r="J9560" s="20" t="s">
        <v>585</v>
      </c>
      <c r="K9560" s="20" t="s">
        <v>586</v>
      </c>
      <c r="L9560" s="20" t="s">
        <v>587</v>
      </c>
      <c r="M9560" s="20" t="s">
        <v>588</v>
      </c>
      <c r="N9560" s="20" t="s">
        <v>589</v>
      </c>
      <c r="O9560" s="20" t="s">
        <v>590</v>
      </c>
      <c r="P9560" s="6" t="s">
        <v>23</v>
      </c>
      <c r="R9560" s="20" t="n">
        <v>2023</v>
      </c>
      <c r="S9560" s="20" t="n">
        <v>2024</v>
      </c>
      <c r="T9560" s="20" t="n">
        <v>2025</v>
      </c>
      <c r="U9560" s="20" t="n">
        <v>2026</v>
      </c>
      <c r="V9560" s="20" t="n">
        <v>2027</v>
      </c>
      <c r="W9560" s="20" t="n">
        <v>2028</v>
      </c>
      <c r="X9560" s="20" t="n">
        <v>2029</v>
      </c>
      <c r="Y9560" s="20" t="n">
        <v>2030</v>
      </c>
      <c r="Z9560" s="20" t="n">
        <v>2031</v>
      </c>
      <c r="AA9560" s="20" t="n">
        <v>2032</v>
      </c>
    </row>
    <row r="9561" customFormat="false" ht="17.15" hidden="false" customHeight="false" outlineLevel="0" collapsed="false">
      <c r="A9561" s="1" t="s">
        <v>591</v>
      </c>
    </row>
    <row r="9562" customFormat="false" ht="17.15" hidden="false" customHeight="false" outlineLevel="0" collapsed="false">
      <c r="A9562" s="5" t="s">
        <v>592</v>
      </c>
      <c r="B9562" s="0" t="s">
        <v>144</v>
      </c>
      <c r="H9562" s="32" t="n">
        <f aca="false">pace_B</f>
        <v>3634.3</v>
      </c>
      <c r="I9562" s="32" t="n">
        <f aca="false">pace_B</f>
        <v>3634.3</v>
      </c>
      <c r="J9562" s="32" t="n">
        <f aca="false">pace_B</f>
        <v>3634.3</v>
      </c>
      <c r="K9562" s="32" t="n">
        <f aca="false">pace_B+(Sens!$J$9563*tg_hi-pace_B)*1/3</f>
        <v>2620.20066666667</v>
      </c>
      <c r="L9562" s="32" t="n">
        <f aca="false">pace_B+(Sens!$J$9563*tg_hi-pace_B)*2/3</f>
        <v>1606.10133333333</v>
      </c>
      <c r="M9562" s="32" t="n">
        <f aca="false">pace_B+(Sens!$J$9563*tg_hi-pace_B)*3/3</f>
        <v>592.002</v>
      </c>
      <c r="P9562" s="5" t="s">
        <v>593</v>
      </c>
    </row>
    <row r="9563" customFormat="false" ht="17.15" hidden="false" customHeight="false" outlineLevel="0" collapsed="false">
      <c r="A9563" s="15" t="s">
        <v>594</v>
      </c>
      <c r="B9563" s="14" t="s">
        <v>129</v>
      </c>
      <c r="C9563" s="33" t="n">
        <f aca="false">mw_ye24</f>
        <v>360</v>
      </c>
      <c r="D9563" s="33" t="n">
        <f aca="false">mw_ye25</f>
        <v>1440</v>
      </c>
      <c r="E9563" s="33" t="n">
        <f aca="false">mw_open</f>
        <v>2080</v>
      </c>
      <c r="F9563" s="33" t="n">
        <f aca="false">Sens!$E$9563+pace_B*0.5</f>
        <v>3897.15</v>
      </c>
      <c r="G9563" s="33" t="n">
        <f aca="false">Sens!$F$9563</f>
        <v>3897.15</v>
      </c>
      <c r="H9563" s="33" t="n">
        <f aca="false">Sens!$G$9563+Sens!$H$9562</f>
        <v>7531.45</v>
      </c>
      <c r="I9563" s="33" t="n">
        <f aca="false">Sens!$H$9563+Sens!$I$9562</f>
        <v>11165.75</v>
      </c>
      <c r="J9563" s="33" t="n">
        <f aca="false">Sens!$I$9563+Sens!$J$9562</f>
        <v>14800.05</v>
      </c>
      <c r="K9563" s="33" t="n">
        <f aca="false">Sens!$J$9563+Sens!$K$9562</f>
        <v>17420.2506666667</v>
      </c>
      <c r="L9563" s="33" t="n">
        <f aca="false">Sens!$K$9563+Sens!$L$9562</f>
        <v>19026.352</v>
      </c>
      <c r="M9563" s="33" t="n">
        <f aca="false">Sens!$L$9563+Sens!$M$9562</f>
        <v>19618.354</v>
      </c>
      <c r="N9563" s="33" t="n">
        <f aca="false">(mw_ye24+mw_ye25)/2</f>
        <v>900</v>
      </c>
      <c r="O9563" s="33" t="n">
        <f aca="false">mw_ye25</f>
        <v>1440</v>
      </c>
      <c r="P9563" s="5" t="s">
        <v>595</v>
      </c>
    </row>
    <row r="9564" customFormat="false" ht="17.15" hidden="false" customHeight="false" outlineLevel="0" collapsed="false">
      <c r="A9564" s="5" t="s">
        <v>596</v>
      </c>
      <c r="B9564" s="0" t="s">
        <v>129</v>
      </c>
      <c r="C9564" s="32" t="n">
        <f aca="false">(mw_ye23+mw_ye24)/2</f>
        <v>240</v>
      </c>
      <c r="D9564" s="32" t="n">
        <f aca="false">(Sens!$C$9563+Sens!$D$9563)/2</f>
        <v>900</v>
      </c>
      <c r="E9564" s="32" t="n">
        <f aca="false">(Sens!$D$9563+Sens!$E$9563)/2</f>
        <v>1760</v>
      </c>
      <c r="F9564" s="32" t="n">
        <f aca="false">(Sens!$E$9563+Sens!$F$9563)/2</f>
        <v>2988.575</v>
      </c>
      <c r="G9564" s="32" t="n">
        <f aca="false">(Sens!$E$9564+Sens!$F$9564)/2</f>
        <v>2374.2875</v>
      </c>
      <c r="H9564" s="32" t="n">
        <f aca="false">(Sens!$G$9563+Sens!$H$9563)/2</f>
        <v>5714.3</v>
      </c>
      <c r="I9564" s="32" t="n">
        <f aca="false">(Sens!$H$9563+Sens!$I$9563)/2</f>
        <v>9348.6</v>
      </c>
      <c r="J9564" s="32" t="n">
        <f aca="false">(Sens!$I$9563+Sens!$J$9563)/2</f>
        <v>12982.9</v>
      </c>
      <c r="K9564" s="32" t="n">
        <f aca="false">(Sens!$J$9563+Sens!$K$9563)/2</f>
        <v>16110.1503333333</v>
      </c>
      <c r="L9564" s="32" t="n">
        <f aca="false">(Sens!$K$9563+Sens!$L$9563)/2</f>
        <v>18223.3013333333</v>
      </c>
      <c r="M9564" s="32" t="n">
        <f aca="false">(Sens!$L$9563+Sens!$M$9563)/2</f>
        <v>19322.353</v>
      </c>
      <c r="N9564" s="32" t="n">
        <f aca="false">(Sens!$C$9563+Sens!$N$9563)/2</f>
        <v>630</v>
      </c>
      <c r="O9564" s="32" t="n">
        <f aca="false">(Sens!$N$9563+Sens!$O$9563)/2</f>
        <v>1170</v>
      </c>
    </row>
    <row r="9565" customFormat="false" ht="15" hidden="false" customHeight="false" outlineLevel="0" collapsed="false">
      <c r="A9565" s="5" t="s">
        <v>597</v>
      </c>
      <c r="B9565" s="5" t="s">
        <v>123</v>
      </c>
      <c r="C9565" s="34" t="n">
        <v>1</v>
      </c>
      <c r="D9565" s="34" t="n">
        <v>1</v>
      </c>
      <c r="E9565" s="34" t="n">
        <v>0.5</v>
      </c>
      <c r="F9565" s="34" t="n">
        <v>0.5</v>
      </c>
      <c r="G9565" s="34" t="n">
        <v>1</v>
      </c>
      <c r="H9565" s="34" t="n">
        <v>1</v>
      </c>
      <c r="I9565" s="34" t="n">
        <v>1</v>
      </c>
      <c r="J9565" s="34" t="n">
        <v>1</v>
      </c>
      <c r="K9565" s="34" t="n">
        <v>1</v>
      </c>
      <c r="L9565" s="34" t="n">
        <v>1</v>
      </c>
      <c r="M9565" s="34" t="n">
        <v>1</v>
      </c>
      <c r="N9565" s="34" t="n">
        <v>0.5</v>
      </c>
      <c r="O9565" s="34" t="n">
        <v>0.5</v>
      </c>
    </row>
    <row r="9566" customFormat="false" ht="17.15" hidden="false" customHeight="false" outlineLevel="0" collapsed="false">
      <c r="A9566" s="5" t="s">
        <v>598</v>
      </c>
      <c r="B9566" s="0" t="s">
        <v>129</v>
      </c>
      <c r="C9566" s="32" t="n">
        <f aca="false">Sens!$C$9563-mw_ye23</f>
        <v>240</v>
      </c>
      <c r="D9566" s="32" t="n">
        <f aca="false">Sens!$D$9563-Sens!$C$9563</f>
        <v>1080</v>
      </c>
      <c r="E9566" s="32" t="n">
        <f aca="false">Sens!$E$9563-Sens!$D$9563</f>
        <v>640</v>
      </c>
      <c r="F9566" s="32" t="n">
        <f aca="false">Sens!$F$9563-Sens!$E$9563</f>
        <v>1817.15</v>
      </c>
      <c r="G9566" s="32" t="n">
        <f aca="false">Sens!$E$9566+Sens!$F$9566</f>
        <v>2457.15</v>
      </c>
      <c r="H9566" s="32" t="n">
        <f aca="false">Sens!$H$9563-Sens!$G$9563</f>
        <v>3634.3</v>
      </c>
      <c r="I9566" s="32" t="n">
        <f aca="false">Sens!$I$9563-Sens!$H$9563</f>
        <v>3634.3</v>
      </c>
      <c r="J9566" s="32" t="n">
        <f aca="false">Sens!$J$9563-Sens!$I$9563</f>
        <v>3634.3</v>
      </c>
      <c r="K9566" s="32" t="n">
        <f aca="false">Sens!$K$9563-Sens!$J$9563</f>
        <v>2620.20066666667</v>
      </c>
      <c r="L9566" s="32" t="n">
        <f aca="false">Sens!$L$9563-Sens!$K$9563</f>
        <v>1606.10133333333</v>
      </c>
      <c r="M9566" s="32" t="n">
        <f aca="false">Sens!$M$9563-Sens!$L$9563</f>
        <v>592.002</v>
      </c>
      <c r="N9566" s="32" t="n">
        <f aca="false">Sens!$N$9563-Sens!$C$9563</f>
        <v>540</v>
      </c>
      <c r="O9566" s="32" t="n">
        <f aca="false">Sens!$O$9563-Sens!$N$9563</f>
        <v>540</v>
      </c>
    </row>
    <row r="9567" customFormat="false" ht="17.15" hidden="false" customHeight="false" outlineLevel="0" collapsed="false">
      <c r="A9567" s="5" t="s">
        <v>599</v>
      </c>
      <c r="B9567" s="0" t="s">
        <v>129</v>
      </c>
      <c r="C9567" s="32" t="n">
        <f aca="false">Sens!$C$9566/ext_sh</f>
        <v>300</v>
      </c>
      <c r="D9567" s="32" t="n">
        <f aca="false">Sens!$D$9566/ext_sh</f>
        <v>1350</v>
      </c>
      <c r="E9567" s="32" t="n">
        <f aca="false">Sens!$E$9566/ext_sh</f>
        <v>800</v>
      </c>
      <c r="F9567" s="32" t="n">
        <f aca="false">Sens!$F$9566/ext_sh</f>
        <v>2271.4375</v>
      </c>
      <c r="G9567" s="32" t="n">
        <f aca="false">Sens!$G$9566/ext_sh</f>
        <v>3071.4375</v>
      </c>
      <c r="H9567" s="32" t="n">
        <f aca="false">Sens!$H$9566/ext_sh</f>
        <v>4542.875</v>
      </c>
      <c r="I9567" s="32" t="n">
        <f aca="false">Sens!$I$9566/ext_sh</f>
        <v>4542.875</v>
      </c>
      <c r="J9567" s="32" t="n">
        <f aca="false">Sens!$J$9566/ext_sh</f>
        <v>4542.875</v>
      </c>
      <c r="K9567" s="32" t="n">
        <f aca="false">Sens!$K$9566/ext_sh</f>
        <v>3275.25083333333</v>
      </c>
      <c r="L9567" s="32" t="n">
        <f aca="false">Sens!$L$9566/ext_sh</f>
        <v>2007.62666666667</v>
      </c>
      <c r="M9567" s="32" t="n">
        <f aca="false">Sens!$M$9566/ext_sh</f>
        <v>740.002500000001</v>
      </c>
      <c r="N9567" s="32" t="n">
        <f aca="false">Sens!$N$9566/ext_sh</f>
        <v>675</v>
      </c>
      <c r="O9567" s="32" t="n">
        <f aca="false">Sens!$O$9566/ext_sh</f>
        <v>675</v>
      </c>
      <c r="P9567" s="8" t="s">
        <v>600</v>
      </c>
      <c r="R9567" s="32" t="n">
        <f aca="false">mw_ye23/ext_sh</f>
        <v>150</v>
      </c>
      <c r="S9567" s="32" t="n">
        <f aca="false">Sens!$C$9567</f>
        <v>300</v>
      </c>
      <c r="T9567" s="32" t="n">
        <f aca="false">Sens!$D$9567</f>
        <v>1350</v>
      </c>
      <c r="U9567" s="32" t="n">
        <f aca="false">Sens!$G$9567</f>
        <v>3071.4375</v>
      </c>
      <c r="V9567" s="32" t="n">
        <f aca="false">Sens!$H$9567</f>
        <v>4542.875</v>
      </c>
      <c r="W9567" s="32" t="n">
        <f aca="false">Sens!$I$9567</f>
        <v>4542.875</v>
      </c>
      <c r="X9567" s="32" t="n">
        <f aca="false">Sens!$J$9567</f>
        <v>4542.875</v>
      </c>
      <c r="Y9567" s="32" t="n">
        <f aca="false">Sens!$K$9567</f>
        <v>3275.25083333333</v>
      </c>
      <c r="Z9567" s="32" t="n">
        <f aca="false">Sens!$L$9567</f>
        <v>2007.62666666667</v>
      </c>
      <c r="AA9567" s="32" t="n">
        <f aca="false">Sens!$M$9567</f>
        <v>740.002500000001</v>
      </c>
    </row>
    <row r="9568" customFormat="false" ht="17.15" hidden="false" customHeight="false" outlineLevel="0" collapsed="false">
      <c r="A9568" s="1" t="s">
        <v>601</v>
      </c>
    </row>
    <row r="9569" customFormat="false" ht="17.15" hidden="false" customHeight="false" outlineLevel="0" collapsed="false">
      <c r="A9569" s="0" t="s">
        <v>602</v>
      </c>
      <c r="B9569" s="0" t="s">
        <v>52</v>
      </c>
      <c r="F9569" s="35" t="n">
        <f aca="false">na_vr26</f>
        <v>0</v>
      </c>
      <c r="G9569" s="35" t="n">
        <f aca="false">na_vr26</f>
        <v>0</v>
      </c>
      <c r="H9569" s="35" t="n">
        <f aca="false">na_vr27</f>
        <v>0.5</v>
      </c>
      <c r="I9569" s="35" t="n">
        <f aca="false">na_vr28</f>
        <v>1</v>
      </c>
      <c r="J9569" s="35" t="n">
        <f aca="false">na_vr28</f>
        <v>1</v>
      </c>
      <c r="K9569" s="35" t="n">
        <f aca="false">na_vr28</f>
        <v>1</v>
      </c>
      <c r="L9569" s="35" t="n">
        <f aca="false">na_vr28</f>
        <v>1</v>
      </c>
      <c r="M9569" s="35" t="n">
        <f aca="false">na_vr28</f>
        <v>1</v>
      </c>
    </row>
    <row r="9570" customFormat="false" ht="17.15" hidden="false" customHeight="false" outlineLevel="0" collapsed="false">
      <c r="A9570" s="5" t="s">
        <v>603</v>
      </c>
      <c r="B9570" s="0" t="s">
        <v>173</v>
      </c>
      <c r="F9570" s="36" t="n">
        <f aca="false">cust_sh*tk_he_gb300*cf_chip+(1-cust_sh)*((1-Sens!$F$9569)*tk_he_gb300+Sens!$F$9569*tk_he_vr200)</f>
        <v>10.8864110021101</v>
      </c>
      <c r="G9570" s="36" t="n">
        <f aca="false">cust_sh*tk_he_gb300*cf_chip+(1-cust_sh)*((1-Sens!$G$9569)*tk_he_gb300+Sens!$G$9569*tk_he_vr200)</f>
        <v>10.8864110021101</v>
      </c>
      <c r="H9570" s="36" t="n">
        <f aca="false">cust_sh*tk_he_gb300*cf_chip+(1-cust_sh)*((1-Sens!$H$9569)*tk_he_gb300+Sens!$H$9569*tk_he_vr200)</f>
        <v>11.2211760027286</v>
      </c>
      <c r="I9570" s="36" t="n">
        <f aca="false">cust_sh*tk_he_gb300*cf_chip+(1-cust_sh)*((1-Sens!$I$9569)*tk_he_gb300+Sens!$I$9569*tk_he_vr200)</f>
        <v>11.5559410033471</v>
      </c>
      <c r="J9570" s="36" t="n">
        <f aca="false">cust_sh*tk_he_gb300*cf_chip+(1-cust_sh)*((1-Sens!$J$9569)*tk_he_gb300+Sens!$J$9569*tk_he_vr200)</f>
        <v>11.5559410033471</v>
      </c>
      <c r="K9570" s="36" t="n">
        <f aca="false">cust_sh*tk_he_gb300*cf_chip+(1-cust_sh)*((1-Sens!$K$9569)*tk_he_gb300+Sens!$K$9569*tk_he_vr200)</f>
        <v>11.5559410033471</v>
      </c>
      <c r="L9570" s="36" t="n">
        <f aca="false">cust_sh*tk_he_gb300*cf_chip+(1-cust_sh)*((1-Sens!$L$9569)*tk_he_gb300+Sens!$L$9569*tk_he_vr200)</f>
        <v>11.5559410033471</v>
      </c>
      <c r="M9570" s="36" t="n">
        <f aca="false">cust_sh*tk_he_gb300*cf_chip+(1-cust_sh)*((1-Sens!$M$9569)*tk_he_gb300+Sens!$M$9569*tk_he_vr200)</f>
        <v>11.5559410033471</v>
      </c>
    </row>
    <row r="9571" customFormat="false" ht="17.15" hidden="false" customHeight="false" outlineLevel="0" collapsed="false">
      <c r="A9571" s="5" t="s">
        <v>604</v>
      </c>
      <c r="B9571" s="0" t="s">
        <v>173</v>
      </c>
      <c r="F9571" s="36" t="n">
        <f aca="false">cust_sh*tk_ox_gb300+(1-cust_sh)*((1-Sens!$F$9569)*tk_ox_gb300+Sens!$F$9569*tk_ox_vr200)</f>
        <v>1.98263481314457</v>
      </c>
      <c r="G9571" s="36" t="n">
        <f aca="false">cust_sh*tk_ox_gb300+(1-cust_sh)*((1-Sens!$G$9569)*tk_ox_gb300+Sens!$G$9569*tk_ox_vr200)</f>
        <v>1.98263481314457</v>
      </c>
      <c r="H9571" s="36" t="n">
        <f aca="false">cust_sh*tk_ox_gb300+(1-cust_sh)*((1-Sens!$H$9569)*tk_ox_gb300+Sens!$H$9569*tk_ox_vr200)</f>
        <v>2.01034999693694</v>
      </c>
      <c r="I9571" s="36" t="n">
        <f aca="false">cust_sh*tk_ox_gb300+(1-cust_sh)*((1-Sens!$I$9569)*tk_ox_gb300+Sens!$I$9569*tk_ox_vr200)</f>
        <v>2.0380651807293</v>
      </c>
      <c r="J9571" s="36" t="n">
        <f aca="false">cust_sh*tk_ox_gb300+(1-cust_sh)*((1-Sens!$J$9569)*tk_ox_gb300+Sens!$J$9569*tk_ox_vr200)</f>
        <v>2.0380651807293</v>
      </c>
      <c r="K9571" s="36" t="n">
        <f aca="false">cust_sh*tk_ox_gb300+(1-cust_sh)*((1-Sens!$K$9569)*tk_ox_gb300+Sens!$K$9569*tk_ox_vr200)</f>
        <v>2.0380651807293</v>
      </c>
      <c r="L9571" s="36" t="n">
        <f aca="false">cust_sh*tk_ox_gb300+(1-cust_sh)*((1-Sens!$L$9569)*tk_ox_gb300+Sens!$L$9569*tk_ox_vr200)</f>
        <v>2.0380651807293</v>
      </c>
      <c r="M9571" s="36" t="n">
        <f aca="false">cust_sh*tk_ox_gb300+(1-cust_sh)*((1-Sens!$M$9569)*tk_ox_gb300+Sens!$M$9569*tk_ox_vr200)</f>
        <v>2.0380651807293</v>
      </c>
    </row>
    <row r="9572" customFormat="false" ht="17.15" hidden="false" customHeight="false" outlineLevel="0" collapsed="false">
      <c r="A9572" s="5" t="s">
        <v>605</v>
      </c>
      <c r="B9572" s="0" t="s">
        <v>192</v>
      </c>
      <c r="F9572" s="36" t="n">
        <f aca="false">cust_sh*tk_cx_gb300*cf_cx+(1-cust_sh)*((1-Sens!$F$9569)*tk_cx_gb300+Sens!$F$9569*tk_cx_vr200)</f>
        <v>32.237224</v>
      </c>
      <c r="G9572" s="36" t="n">
        <f aca="false">cust_sh*tk_cx_gb300*cf_cx+(1-cust_sh)*((1-Sens!$G$9569)*tk_cx_gb300+Sens!$G$9569*tk_cx_vr200)</f>
        <v>32.237224</v>
      </c>
      <c r="H9572" s="36" t="n">
        <f aca="false">cust_sh*tk_cx_gb300*cf_cx+(1-cust_sh)*((1-Sens!$H$9569)*tk_cx_gb300+Sens!$H$9569*tk_cx_vr200)</f>
        <v>33.574506</v>
      </c>
      <c r="I9572" s="36" t="n">
        <f aca="false">cust_sh*tk_cx_gb300*cf_cx+(1-cust_sh)*((1-Sens!$I$9569)*tk_cx_gb300+Sens!$I$9569*tk_cx_vr200)</f>
        <v>34.911788</v>
      </c>
      <c r="J9572" s="36" t="n">
        <f aca="false">cust_sh*tk_cx_gb300*cf_cx+(1-cust_sh)*((1-Sens!$J$9569)*tk_cx_gb300+Sens!$J$9569*tk_cx_vr200)</f>
        <v>34.911788</v>
      </c>
      <c r="K9572" s="36" t="n">
        <f aca="false">cust_sh*tk_cx_gb300*cf_cx+(1-cust_sh)*((1-Sens!$K$9569)*tk_cx_gb300+Sens!$K$9569*tk_cx_vr200)</f>
        <v>34.911788</v>
      </c>
      <c r="L9572" s="36" t="n">
        <f aca="false">cust_sh*tk_cx_gb300*cf_cx+(1-cust_sh)*((1-Sens!$L$9569)*tk_cx_gb300+Sens!$L$9569*tk_cx_vr200)</f>
        <v>34.911788</v>
      </c>
      <c r="M9572" s="36" t="n">
        <f aca="false">cust_sh*tk_cx_gb300*cf_cx+(1-cust_sh)*((1-Sens!$M$9569)*tk_cx_gb300+Sens!$M$9569*tk_cx_vr200)</f>
        <v>34.911788</v>
      </c>
    </row>
    <row r="9573" customFormat="false" ht="17.15" hidden="false" customHeight="false" outlineLevel="0" collapsed="false">
      <c r="A9573" s="5" t="s">
        <v>606</v>
      </c>
      <c r="B9573" s="0" t="s">
        <v>129</v>
      </c>
      <c r="F9573" s="32" t="n">
        <f aca="false">Sens!$F$9563-mw_open</f>
        <v>1817.15</v>
      </c>
      <c r="G9573" s="32" t="n">
        <f aca="false">Sens!$F$9573</f>
        <v>1817.15</v>
      </c>
      <c r="H9573" s="32" t="n">
        <f aca="false">Sens!$H$9563-mw_open</f>
        <v>5451.45</v>
      </c>
      <c r="I9573" s="32" t="n">
        <f aca="false">Sens!$I$9563-mw_open</f>
        <v>9085.75</v>
      </c>
      <c r="J9573" s="32" t="n">
        <f aca="false">Sens!$J$9563-mw_open</f>
        <v>12720.05</v>
      </c>
      <c r="K9573" s="32" t="n">
        <f aca="false">Sens!$K$9563-mw_open</f>
        <v>15340.2506666667</v>
      </c>
      <c r="L9573" s="32" t="n">
        <f aca="false">Sens!$L$9563-mw_open</f>
        <v>16946.352</v>
      </c>
      <c r="M9573" s="32" t="n">
        <f aca="false">Sens!$M$9563-mw_open</f>
        <v>17538.354</v>
      </c>
    </row>
    <row r="9574" customFormat="false" ht="17.15" hidden="false" customHeight="false" outlineLevel="0" collapsed="false">
      <c r="A9574" s="0" t="s">
        <v>607</v>
      </c>
      <c r="B9574" s="0" t="s">
        <v>608</v>
      </c>
      <c r="F9574" s="32" t="n">
        <f aca="false">Sens!$F$9566*Sens!$F$9570</f>
        <v>19782.2417524844</v>
      </c>
      <c r="G9574" s="32" t="n">
        <f aca="false">Sens!$F$9574</f>
        <v>19782.2417524844</v>
      </c>
      <c r="H9574" s="32" t="n">
        <f aca="false">Sens!$G$9574+Sens!$H$9566*Sens!$H$9570</f>
        <v>60563.3616992009</v>
      </c>
      <c r="I9574" s="32" t="n">
        <f aca="false">Sens!$H$9574+Sens!$I$9566*Sens!$I$9570</f>
        <v>102561.118087665</v>
      </c>
      <c r="J9574" s="32" t="n">
        <f aca="false">Sens!$I$9574+Sens!$J$9566*Sens!$J$9570</f>
        <v>144558.87447613</v>
      </c>
      <c r="K9574" s="32" t="n">
        <f aca="false">Sens!$J$9574+Sens!$K$9566*Sens!$K$9570</f>
        <v>174837.75879706</v>
      </c>
      <c r="L9574" s="32" t="n">
        <f aca="false">Sens!$K$9574+Sens!$L$9566*Sens!$L$9570</f>
        <v>193397.771050458</v>
      </c>
      <c r="M9574" s="32" t="n">
        <f aca="false">Sens!$L$9574+Sens!$M$9566*Sens!$M$9570</f>
        <v>200238.911236321</v>
      </c>
    </row>
    <row r="9575" customFormat="false" ht="17.15" hidden="false" customHeight="false" outlineLevel="0" collapsed="false">
      <c r="A9575" s="0" t="s">
        <v>609</v>
      </c>
      <c r="B9575" s="0" t="s">
        <v>608</v>
      </c>
      <c r="F9575" s="32" t="n">
        <f aca="false">Sens!$F$9566*Sens!$F$9571</f>
        <v>3602.74485070566</v>
      </c>
      <c r="G9575" s="32" t="n">
        <f aca="false">Sens!$F$9575</f>
        <v>3602.74485070566</v>
      </c>
      <c r="H9575" s="32" t="n">
        <f aca="false">Sens!$G$9575+Sens!$H$9566*Sens!$H$9571</f>
        <v>10908.9598445736</v>
      </c>
      <c r="I9575" s="32" t="n">
        <f aca="false">Sens!$H$9575+Sens!$I$9566*Sens!$I$9571</f>
        <v>18315.9001308981</v>
      </c>
      <c r="J9575" s="32" t="n">
        <f aca="false">Sens!$I$9575+Sens!$J$9566*Sens!$J$9571</f>
        <v>25722.8404172225</v>
      </c>
      <c r="K9575" s="32" t="n">
        <f aca="false">Sens!$J$9575+Sens!$K$9566*Sens!$K$9571</f>
        <v>31062.9801624796</v>
      </c>
      <c r="L9575" s="32" t="n">
        <f aca="false">Sens!$K$9575+Sens!$L$9566*Sens!$L$9571</f>
        <v>34336.3193666691</v>
      </c>
      <c r="M9575" s="32" t="n">
        <f aca="false">Sens!$L$9575+Sens!$M$9566*Sens!$M$9571</f>
        <v>35542.8580297913</v>
      </c>
    </row>
    <row r="9576" customFormat="false" ht="17.15" hidden="false" customHeight="false" outlineLevel="0" collapsed="false">
      <c r="A9576" s="5" t="s">
        <v>610</v>
      </c>
      <c r="B9576" s="0" t="s">
        <v>173</v>
      </c>
      <c r="F9576" s="36" t="n">
        <f aca="false">IF(Sens!$F$9573&gt;0,Sens!$F$9574/Sens!$F$9573,Sens!$F$9570)</f>
        <v>10.8864110021101</v>
      </c>
      <c r="G9576" s="36" t="n">
        <f aca="false">IF(Sens!$G$9573&gt;0,Sens!$G$9574/Sens!$G$9573,Sens!$G$9570)</f>
        <v>10.8864110021101</v>
      </c>
      <c r="H9576" s="36" t="n">
        <f aca="false">IF(Sens!$H$9573&gt;0,Sens!$H$9574/Sens!$H$9573,Sens!$H$9570)</f>
        <v>11.1095876691891</v>
      </c>
      <c r="I9576" s="36" t="n">
        <f aca="false">IF(Sens!$I$9573&gt;0,Sens!$I$9574/Sens!$I$9573,Sens!$I$9570)</f>
        <v>11.2881290028523</v>
      </c>
      <c r="J9576" s="36" t="n">
        <f aca="false">IF(Sens!$J$9573&gt;0,Sens!$J$9574/Sens!$J$9573,Sens!$J$9570)</f>
        <v>11.3646467172794</v>
      </c>
      <c r="K9576" s="36" t="n">
        <f aca="false">IF(Sens!$K$9573&gt;0,Sens!$K$9574/Sens!$K$9573,Sens!$K$9570)</f>
        <v>11.3973208519318</v>
      </c>
      <c r="L9576" s="36" t="n">
        <f aca="false">IF(Sens!$L$9573&gt;0,Sens!$L$9574/Sens!$L$9573,Sens!$L$9570)</f>
        <v>11.4123541780825</v>
      </c>
      <c r="M9576" s="36" t="n">
        <f aca="false">IF(Sens!$M$9573&gt;0,Sens!$M$9574/Sens!$M$9573,Sens!$M$9570)</f>
        <v>11.4172009092941</v>
      </c>
    </row>
    <row r="9577" customFormat="false" ht="17.15" hidden="false" customHeight="false" outlineLevel="0" collapsed="false">
      <c r="A9577" s="5" t="s">
        <v>611</v>
      </c>
      <c r="B9577" s="0" t="s">
        <v>173</v>
      </c>
      <c r="F9577" s="36" t="n">
        <f aca="false">IF(Sens!$F$9573&gt;0,Sens!$F$9575/Sens!$F$9573,Sens!$F$9571)</f>
        <v>1.98263481314457</v>
      </c>
      <c r="G9577" s="36" t="n">
        <f aca="false">IF(Sens!$G$9573&gt;0,Sens!$G$9575/Sens!$G$9573,Sens!$G$9571)</f>
        <v>1.98263481314457</v>
      </c>
      <c r="H9577" s="36" t="n">
        <f aca="false">IF(Sens!$H$9573&gt;0,Sens!$H$9575/Sens!$H$9573,Sens!$H$9571)</f>
        <v>2.00111160233948</v>
      </c>
      <c r="I9577" s="36" t="n">
        <f aca="false">IF(Sens!$I$9573&gt;0,Sens!$I$9575/Sens!$I$9573,Sens!$I$9571)</f>
        <v>2.01589303369541</v>
      </c>
      <c r="J9577" s="36" t="n">
        <f aca="false">IF(Sens!$J$9573&gt;0,Sens!$J$9575/Sens!$J$9573,Sens!$J$9571)</f>
        <v>2.02222793284795</v>
      </c>
      <c r="K9577" s="36" t="n">
        <f aca="false">IF(Sens!$K$9573&gt;0,Sens!$K$9575/Sens!$K$9573,Sens!$K$9571)</f>
        <v>2.02493302342036</v>
      </c>
      <c r="L9577" s="36" t="n">
        <f aca="false">IF(Sens!$L$9573&gt;0,Sens!$L$9575/Sens!$L$9573,Sens!$L$9571)</f>
        <v>2.02617763201597</v>
      </c>
      <c r="M9577" s="36" t="n">
        <f aca="false">IF(Sens!$M$9573&gt;0,Sens!$M$9575/Sens!$M$9573,Sens!$M$9571)</f>
        <v>2.02657889273938</v>
      </c>
    </row>
    <row r="9578" customFormat="false" ht="17.15" hidden="false" customHeight="false" outlineLevel="0" collapsed="false">
      <c r="A9578" s="15" t="s">
        <v>612</v>
      </c>
      <c r="B9578" s="14" t="s">
        <v>173</v>
      </c>
      <c r="C9578" s="14"/>
      <c r="D9578" s="14"/>
      <c r="E9578" s="14"/>
      <c r="F9578" s="37" t="n">
        <f aca="false">Sens!$F$9576*k_B</f>
        <v>10.7987645808025</v>
      </c>
      <c r="G9578" s="37" t="n">
        <f aca="false">Sens!$G$9576*k_B</f>
        <v>10.7987645808025</v>
      </c>
      <c r="H9578" s="37" t="n">
        <f aca="false">Sens!$H$9576*k_B</f>
        <v>11.0201444540452</v>
      </c>
      <c r="I9578" s="37" t="n">
        <f aca="false">Sens!$I$9576*k_B</f>
        <v>11.1972483526393</v>
      </c>
      <c r="J9578" s="37" t="n">
        <f aca="false">Sens!$J$9576*k_B</f>
        <v>11.2731500234653</v>
      </c>
      <c r="K9578" s="37" t="n">
        <f aca="false">Sens!$K$9576*k_B</f>
        <v>11.3055610988807</v>
      </c>
      <c r="L9578" s="37" t="n">
        <f aca="false">Sens!$L$9576*k_B</f>
        <v>11.3204733918244</v>
      </c>
      <c r="M9578" s="37" t="n">
        <f aca="false">Sens!$M$9576*k_B</f>
        <v>11.3252811020357</v>
      </c>
      <c r="N9578" s="14"/>
      <c r="O9578" s="14"/>
      <c r="P9578" s="5" t="s">
        <v>613</v>
      </c>
    </row>
    <row r="9579" customFormat="false" ht="17.15" hidden="false" customHeight="false" outlineLevel="0" collapsed="false">
      <c r="A9579" s="5" t="s">
        <v>614</v>
      </c>
      <c r="B9579" s="0" t="s">
        <v>129</v>
      </c>
      <c r="F9579" s="32" t="n">
        <f aca="false">Sens!$F$9573/2</f>
        <v>908.575</v>
      </c>
      <c r="H9579" s="32" t="n">
        <f aca="false">(Sens!$G$9573+Sens!$H$9573)/2</f>
        <v>3634.3</v>
      </c>
      <c r="I9579" s="32" t="n">
        <f aca="false">(Sens!$H$9573+Sens!$I$9573)/2</f>
        <v>7268.6</v>
      </c>
      <c r="J9579" s="32" t="n">
        <f aca="false">(Sens!$I$9573+Sens!$J$9573)/2</f>
        <v>10902.9</v>
      </c>
      <c r="K9579" s="32" t="n">
        <f aca="false">(Sens!$J$9573+Sens!$K$9573)/2</f>
        <v>14030.1503333333</v>
      </c>
      <c r="L9579" s="32" t="n">
        <f aca="false">(Sens!$K$9573+Sens!$L$9573)/2</f>
        <v>16143.3013333333</v>
      </c>
      <c r="M9579" s="32" t="n">
        <f aca="false">(Sens!$L$9573+Sens!$M$9573)/2</f>
        <v>17242.353</v>
      </c>
    </row>
    <row r="9580" customFormat="false" ht="17.15" hidden="false" customHeight="false" outlineLevel="0" collapsed="false">
      <c r="A9580" s="1" t="s">
        <v>615</v>
      </c>
    </row>
    <row r="9581" customFormat="false" ht="17.15" hidden="false" customHeight="false" outlineLevel="0" collapsed="false">
      <c r="A9581" s="1" t="s">
        <v>616</v>
      </c>
      <c r="B9581" s="8" t="s">
        <v>86</v>
      </c>
      <c r="C9581" s="38" t="n">
        <f aca="false">Sens!$C$9564*rpm_open*Sens!$C$9565/1000</f>
        <v>2.32100535697364</v>
      </c>
      <c r="D9581" s="38" t="n">
        <f aca="false">Sens!$D$9564*rpm_open*Sens!$D$9565/1000</f>
        <v>8.70377008865116</v>
      </c>
      <c r="E9581" s="38" t="n">
        <f aca="false">Sens!$E$9564*rpm_open*Sens!$E$9565/1000</f>
        <v>8.51035297557002</v>
      </c>
      <c r="F9581" s="38" t="n">
        <f aca="false">(mw_open*rpm_open+Sens!$F$9579*Sens!$F$9578)*Sens!$F$9565/1000</f>
        <v>14.9634336447205</v>
      </c>
      <c r="G9581" s="38" t="n">
        <f aca="false">Sens!$E$9581+Sens!$F$9581</f>
        <v>23.4737866202905</v>
      </c>
      <c r="H9581" s="38" t="n">
        <f aca="false">(mw_open*rpm_open+Sens!$H$9579*Sens!$H$9578)/1000</f>
        <v>60.1658907497746</v>
      </c>
      <c r="I9581" s="38" t="n">
        <f aca="false">(mw_open*rpm_open+Sens!$I$9579*Sens!$I$9578)/1000</f>
        <v>101.503699136432</v>
      </c>
      <c r="J9581" s="38" t="n">
        <f aca="false">(mw_open*rpm_open+Sens!$J$9579*Sens!$J$9578)/1000</f>
        <v>143.025407151278</v>
      </c>
      <c r="K9581" s="38" t="n">
        <f aca="false">(mw_open*rpm_open+Sens!$K$9579*Sens!$K$9578)/1000</f>
        <v>178.73410158042</v>
      </c>
      <c r="L9581" s="38" t="n">
        <f aca="false">(mw_open*rpm_open+Sens!$L$9579*Sens!$L$9578)/1000</f>
        <v>202.865192960641</v>
      </c>
      <c r="M9581" s="38" t="n">
        <f aca="false">(mw_open*rpm_open+Sens!$M$9579*Sens!$M$9578)/1000</f>
        <v>215.389874345967</v>
      </c>
      <c r="N9581" s="38" t="n">
        <f aca="false">Sens!$N$9564*rpm_open*Sens!$N$9565/1000</f>
        <v>3.04631953102791</v>
      </c>
      <c r="O9581" s="38" t="n">
        <f aca="false">Sens!$O$9564*rpm_open*Sens!$O$9565/1000</f>
        <v>5.65745055762326</v>
      </c>
      <c r="P9581" s="5" t="s">
        <v>617</v>
      </c>
    </row>
    <row r="9582" customFormat="false" ht="17.15" hidden="false" customHeight="false" outlineLevel="0" collapsed="false">
      <c r="A9582" s="5" t="s">
        <v>618</v>
      </c>
      <c r="B9582" s="0" t="s">
        <v>173</v>
      </c>
      <c r="C9582" s="36" t="n">
        <f aca="false">Sens!$C$9581*1000/(Sens!$C$9564*Sens!$C$9565)</f>
        <v>9.67085565405685</v>
      </c>
      <c r="D9582" s="36" t="n">
        <f aca="false">Sens!$D$9581*1000/(Sens!$D$9564*Sens!$D$9565)</f>
        <v>9.67085565405685</v>
      </c>
      <c r="E9582" s="36" t="n">
        <f aca="false">Sens!$E$9581*1000/(Sens!$E$9564*Sens!$E$9565)</f>
        <v>9.67085565405685</v>
      </c>
      <c r="F9582" s="36" t="n">
        <f aca="false">Sens!$F$9581*1000/(Sens!$F$9564*Sens!$F$9565)</f>
        <v>10.0137581588017</v>
      </c>
      <c r="G9582" s="36" t="n">
        <f aca="false">Sens!$G$9581*1000/(Sens!$G$9564*Sens!$G$9565)</f>
        <v>9.88666562928478</v>
      </c>
      <c r="H9582" s="36" t="n">
        <f aca="false">Sens!$H$9581*1000/(Sens!$H$9564*Sens!$H$9565)</f>
        <v>10.5290045586992</v>
      </c>
      <c r="I9582" s="36" t="n">
        <f aca="false">Sens!$I$9581*1000/(Sens!$I$9564*Sens!$I$9565)</f>
        <v>10.8576363451674</v>
      </c>
      <c r="J9582" s="36" t="n">
        <f aca="false">Sens!$J$9581*1000/(Sens!$J$9564*Sens!$J$9565)</f>
        <v>11.0164452588619</v>
      </c>
      <c r="K9582" s="36" t="n">
        <f aca="false">Sens!$K$9581*1000/(Sens!$K$9564*Sens!$K$9565)</f>
        <v>11.0945024026625</v>
      </c>
      <c r="L9582" s="36" t="n">
        <f aca="false">Sens!$L$9581*1000/(Sens!$L$9564*Sens!$L$9565)</f>
        <v>11.1321867124904</v>
      </c>
      <c r="M9582" s="36" t="n">
        <f aca="false">Sens!$M$9581*1000/(Sens!$M$9564*Sens!$M$9565)</f>
        <v>11.1471865950263</v>
      </c>
      <c r="N9582" s="36" t="n">
        <f aca="false">Sens!$N$9581*1000/(Sens!$N$9564*Sens!$N$9565)</f>
        <v>9.67085565405685</v>
      </c>
      <c r="O9582" s="36" t="n">
        <f aca="false">Sens!$O$9581*1000/(Sens!$O$9564*Sens!$O$9565)</f>
        <v>9.67085565405685</v>
      </c>
    </row>
    <row r="9583" customFormat="false" ht="17.15" hidden="false" customHeight="false" outlineLevel="0" collapsed="false">
      <c r="A9583" s="0" t="s">
        <v>619</v>
      </c>
      <c r="B9583" s="0" t="s">
        <v>86</v>
      </c>
      <c r="C9583" s="38" t="n">
        <f aca="false">Sens!$C$9564/ext_sh*(ox_open+rent_mw)*Sens!$C$9565/1000</f>
        <v>0.642569210675032</v>
      </c>
      <c r="D9583" s="38" t="n">
        <f aca="false">Sens!$D$9564/ext_sh*(ox_open+rent_mw)*Sens!$D$9565/1000</f>
        <v>2.40963454003137</v>
      </c>
      <c r="E9583" s="38" t="n">
        <f aca="false">Sens!$E$9564/ext_sh*(ox_open+rent_mw)*Sens!$E$9565/1000</f>
        <v>2.35608710580845</v>
      </c>
      <c r="F9583" s="38" t="n">
        <f aca="false">((mw_open*ox_open+Sens!$F$9579*Sens!$F$9577)/ext_sh+Sens!$F$9564/ext_sh*rent_mw)*Sens!$F$9565/1000</f>
        <v>4.05421991106232</v>
      </c>
      <c r="G9583" s="38" t="n">
        <f aca="false">Sens!$E$9583+Sens!$F$9583</f>
        <v>6.41030701687077</v>
      </c>
      <c r="H9583" s="38" t="n">
        <f aca="false">((mw_open*ox_open+Sens!$H$9579*Sens!$H$9577)/ext_sh+Sens!$H$9564/ext_sh*rent_mw)*Sens!$H$9565/1000</f>
        <v>15.8108975546616</v>
      </c>
      <c r="I9583" s="38" t="n">
        <f aca="false">((mw_open*ox_open+Sens!$I$9579*Sens!$I$9577)/ext_sh+Sens!$I$9564/ext_sh*rent_mw)*Sens!$I$9565/1000</f>
        <v>26.1871623400817</v>
      </c>
      <c r="J9583" s="38" t="n">
        <f aca="false">((mw_open*ox_open+Sens!$J$9579*Sens!$J$9577)/ext_sh+Sens!$J$9564/ext_sh*rent_mw)*Sens!$J$9565/1000</f>
        <v>36.5826128954935</v>
      </c>
      <c r="K9583" s="38" t="n">
        <f aca="false">((mw_open*ox_open+Sens!$K$9579*Sens!$K$9577)/ext_sh+Sens!$K$9564/ext_sh*rent_mw)*Sens!$K$9565/1000</f>
        <v>45.5256266941655</v>
      </c>
      <c r="L9583" s="38" t="n">
        <f aca="false">((mw_open*ox_open+Sens!$L$9579*Sens!$L$9577)/ext_sh+Sens!$L$9564/ext_sh*rent_mw)*Sens!$L$9565/1000</f>
        <v>51.568818942134</v>
      </c>
      <c r="M9583" s="38" t="n">
        <f aca="false">((mw_open*ox_open+Sens!$M$9579*Sens!$M$9577)/ext_sh+Sens!$M$9564/ext_sh*rent_mw)*Sens!$M$9565/1000</f>
        <v>54.7091842856355</v>
      </c>
      <c r="N9583" s="38" t="n">
        <f aca="false">Sens!$N$9564/ext_sh*(ox_open+rent_mw)*Sens!$N$9565/1000</f>
        <v>0.84337208901098</v>
      </c>
      <c r="O9583" s="38" t="n">
        <f aca="false">Sens!$O$9564/ext_sh*(ox_open+rent_mw)*Sens!$O$9565/1000</f>
        <v>1.56626245102039</v>
      </c>
    </row>
    <row r="9584" customFormat="false" ht="17.15" hidden="false" customHeight="false" outlineLevel="0" collapsed="false">
      <c r="A9584" s="0" t="s">
        <v>620</v>
      </c>
      <c r="B9584" s="0" t="s">
        <v>86</v>
      </c>
      <c r="C9584" s="38" t="n">
        <f aca="false">Q!$D$7</f>
        <v>107.556</v>
      </c>
      <c r="D9584" s="38" t="n">
        <f aca="false">Q!$E$7</f>
        <v>128.725</v>
      </c>
      <c r="E9584" s="38" t="n">
        <f aca="false">Q!$P$7</f>
        <v>79.819</v>
      </c>
      <c r="N9584" s="38" t="n">
        <f aca="false">Q!$N$7</f>
        <v>60.14</v>
      </c>
      <c r="O9584" s="38" t="n">
        <f aca="false">Q!$O$7</f>
        <v>68.585</v>
      </c>
    </row>
    <row r="9585" customFormat="false" ht="17.15" hidden="false" customHeight="false" outlineLevel="0" collapsed="false">
      <c r="A9585" s="1" t="s">
        <v>621</v>
      </c>
      <c r="B9585" s="8" t="s">
        <v>86</v>
      </c>
      <c r="C9585" s="38" t="n">
        <f aca="false">Sens!$C$9584-Sens!$C$9581</f>
        <v>105.234994643026</v>
      </c>
      <c r="D9585" s="38" t="n">
        <f aca="false">Sens!$D$9584-Sens!$D$9581</f>
        <v>120.021229911349</v>
      </c>
      <c r="E9585" s="38" t="n">
        <f aca="false">Sens!$E$9584-Sens!$E$9581</f>
        <v>71.30864702443</v>
      </c>
      <c r="F9585" s="38" t="n">
        <f aca="false">Sens!$O$9585*(1+Sens!$F$9586)</f>
        <v>71.7692997942464</v>
      </c>
      <c r="G9585" s="38" t="n">
        <f aca="false">Sens!$E$9585+Sens!$F$9585</f>
        <v>143.077946818676</v>
      </c>
      <c r="H9585" s="38" t="n">
        <f aca="false">Sens!$G$9585*(1+Sens!$H$9586)</f>
        <v>161.017077079203</v>
      </c>
      <c r="I9585" s="38" t="n">
        <f aca="false">Sens!$H$9585*(1+Sens!$I$9586)</f>
        <v>178.769759521457</v>
      </c>
      <c r="J9585" s="38" t="n">
        <f aca="false">Sens!$I$9585*(1+Sens!$J$9586)</f>
        <v>195.775538045907</v>
      </c>
      <c r="K9585" s="38" t="n">
        <f aca="false">Sens!$J$9585*(1+Sens!$K$9586)</f>
        <v>211.43758108958</v>
      </c>
      <c r="L9585" s="38" t="n">
        <f aca="false">Sens!$K$9585*(1+Sens!$L$9586)</f>
        <v>228.352587576746</v>
      </c>
      <c r="M9585" s="38" t="n">
        <f aca="false">Sens!$L$9585*(1+Sens!$M$9586)</f>
        <v>246.620794582886</v>
      </c>
      <c r="N9585" s="38" t="n">
        <f aca="false">Sens!$N$9584-Sens!$N$9581</f>
        <v>57.0936804689721</v>
      </c>
      <c r="O9585" s="38" t="n">
        <f aca="false">Sens!$O$9584-Sens!$O$9581</f>
        <v>62.9275494423768</v>
      </c>
      <c r="P9585" s="5" t="s">
        <v>622</v>
      </c>
    </row>
    <row r="9586" customFormat="false" ht="17.15" hidden="false" customHeight="false" outlineLevel="0" collapsed="false">
      <c r="A9586" s="0" t="s">
        <v>623</v>
      </c>
      <c r="B9586" s="0" t="s">
        <v>52</v>
      </c>
      <c r="D9586" s="13" t="n">
        <f aca="false">Sens!$D$9585/Sens!$C$9585-1</f>
        <v>0.140506827776062</v>
      </c>
      <c r="E9586" s="13" t="n">
        <f aca="false">Sens!$E$9585/Sens!$N$9585-1</f>
        <v>0.248976181579029</v>
      </c>
      <c r="F9586" s="13" t="n">
        <f aca="false">Sens!$D$9586</f>
        <v>0.140506827776062</v>
      </c>
      <c r="G9586" s="13" t="n">
        <f aca="false">Sens!$G$9585/Sens!$D$9585-1</f>
        <v>0.19210532106993</v>
      </c>
      <c r="H9586" s="13" t="n">
        <f aca="false">Sens!$F$9586+(g_awso_lt-Sens!$F$9586)*1/4</f>
        <v>0.125380120832046</v>
      </c>
      <c r="I9586" s="13" t="n">
        <f aca="false">Sens!$F$9586+(g_awso_lt-Sens!$F$9586)*2/4</f>
        <v>0.110253413888031</v>
      </c>
      <c r="J9586" s="13" t="n">
        <f aca="false">Sens!$F$9586+(g_awso_lt-Sens!$F$9586)*3/4</f>
        <v>0.0951267069440154</v>
      </c>
      <c r="K9586" s="13" t="n">
        <f aca="false">Sens!$F$9586+(g_awso_lt-Sens!$F$9586)*4/4</f>
        <v>0.08</v>
      </c>
      <c r="L9586" s="13" t="n">
        <f aca="false">g_awso_lt</f>
        <v>0.08</v>
      </c>
      <c r="M9586" s="13" t="n">
        <f aca="false">g_awso_lt</f>
        <v>0.08</v>
      </c>
      <c r="P9586" s="5" t="s">
        <v>624</v>
      </c>
    </row>
    <row r="9587" customFormat="false" ht="17.15" hidden="false" customHeight="false" outlineLevel="0" collapsed="false">
      <c r="A9587" s="1" t="s">
        <v>625</v>
      </c>
    </row>
    <row r="9588" customFormat="false" ht="17.15" hidden="false" customHeight="false" outlineLevel="0" collapsed="false">
      <c r="A9588" s="0" t="s">
        <v>626</v>
      </c>
      <c r="B9588" s="0" t="s">
        <v>86</v>
      </c>
      <c r="F9588" s="38" t="n">
        <f aca="false">cx_rt*Sens!$F$9553+cx_awso*Sens!$F$9585</f>
        <v>34.9734495387866</v>
      </c>
    </row>
    <row r="9589" customFormat="false" ht="17.15" hidden="false" customHeight="false" outlineLevel="0" collapsed="false">
      <c r="A9589" s="0" t="s">
        <v>627</v>
      </c>
      <c r="B9589" s="0" t="s">
        <v>52</v>
      </c>
      <c r="C9589" s="13" t="n">
        <f aca="false">tk_cx_h100/(tk_cx_h100+tk_fac*(1-colo_sh))</f>
        <v>0.730756458006641</v>
      </c>
      <c r="D9589" s="13" t="n">
        <f aca="false">tk_cx_h100/(tk_cx_h100+tk_fac*(1-colo_sh))</f>
        <v>0.730756458006641</v>
      </c>
      <c r="E9589" s="13" t="n">
        <f aca="false">Sens!$F$9589</f>
        <v>0.760792334328868</v>
      </c>
      <c r="F9589" s="13" t="n">
        <f aca="false">Sens!$F$9572/(Sens!$F$9572+tk_fac*(1-colo_sh))</f>
        <v>0.760792334328868</v>
      </c>
      <c r="G9589" s="13" t="n">
        <f aca="false">Sens!$G$9572/(Sens!$G$9572+tk_fac*(1-colo_sh))</f>
        <v>0.760792334328868</v>
      </c>
      <c r="H9589" s="13" t="n">
        <f aca="false">Sens!$H$9572/(Sens!$H$9572+tk_fac*(1-colo_sh))</f>
        <v>0.768110668862996</v>
      </c>
      <c r="I9589" s="13" t="n">
        <f aca="false">Sens!$I$9572/(Sens!$I$9572+tk_fac*(1-colo_sh))</f>
        <v>0.77499450139483</v>
      </c>
      <c r="J9589" s="13" t="n">
        <f aca="false">Sens!$J$9572/(Sens!$J$9572+tk_fac*(1-colo_sh))</f>
        <v>0.77499450139483</v>
      </c>
      <c r="K9589" s="13" t="n">
        <f aca="false">Sens!$K$9572/(Sens!$K$9572+tk_fac*(1-colo_sh))</f>
        <v>0.77499450139483</v>
      </c>
      <c r="L9589" s="13" t="n">
        <f aca="false">Sens!$L$9572/(Sens!$L$9572+tk_fac*(1-colo_sh))</f>
        <v>0.77499450139483</v>
      </c>
      <c r="M9589" s="13" t="n">
        <f aca="false">Sens!$M$9572/(Sens!$M$9572+tk_fac*(1-colo_sh))</f>
        <v>0.77499450139483</v>
      </c>
    </row>
    <row r="9590" customFormat="false" ht="17.15" hidden="false" customHeight="false" outlineLevel="0" collapsed="false">
      <c r="A9590" s="1" t="s">
        <v>628</v>
      </c>
      <c r="B9590" s="8" t="s">
        <v>86</v>
      </c>
      <c r="C9590" s="38" t="n">
        <f aca="false">Q!$D$46-cx_rt*Q!$D$16-cx_awso*Sens!$C$9585</f>
        <v>25.2781053077374</v>
      </c>
      <c r="D9590" s="38" t="n">
        <f aca="false">Q!$E$46-cx_rt*Q!$E$16-cx_awso*Sens!$D$9585</f>
        <v>69.5686316310026</v>
      </c>
      <c r="E9590" s="38" t="n">
        <f aca="false">Q!$P$46-cx_rt*Q!$P$16-cx_awso*Sens!$E$9585</f>
        <v>64.1899206485108</v>
      </c>
      <c r="F9590" s="38" t="n">
        <f aca="false">MAX(Sens!$F$9567*(Sens!$F$9572+tk_fac*(1-colo_sh))/1000,capex_g26-Q!$P$46-Sens!$F$9588)</f>
        <v>96.2481299895</v>
      </c>
      <c r="G9590" s="38" t="n">
        <f aca="false">Sens!$E$9590+Sens!$F$9590</f>
        <v>160.438050638011</v>
      </c>
      <c r="H9590" s="38" t="n">
        <f aca="false">Sens!$H$9567*(Sens!$H$9572+tk_fac*(1-colo_sh))/1000+Sens!$H$9591</f>
        <v>198.57136494475</v>
      </c>
      <c r="I9590" s="38" t="n">
        <f aca="false">Sens!$I$9567*(Sens!$I$9572+tk_fac*(1-colo_sh))/1000+Sens!$I$9591</f>
        <v>204.6464699105</v>
      </c>
      <c r="J9590" s="38" t="n">
        <f aca="false">Sens!$J$9567*(Sens!$J$9572+tk_fac*(1-colo_sh))/1000+Sens!$J$9591</f>
        <v>209.8832381105</v>
      </c>
      <c r="K9590" s="38" t="n">
        <f aca="false">Sens!$K$9567*(Sens!$K$9572+tk_fac*(1-colo_sh))/1000+Sens!$K$9591</f>
        <v>158.016341586823</v>
      </c>
      <c r="L9590" s="38" t="n">
        <f aca="false">Sens!$L$9567*(Sens!$L$9572+tk_fac*(1-colo_sh))/1000+Sens!$L$9591</f>
        <v>137.570054263147</v>
      </c>
      <c r="M9590" s="38" t="n">
        <f aca="false">Sens!$M$9567*(Sens!$M$9572+tk_fac*(1-colo_sh))/1000+Sens!$M$9591</f>
        <v>140.56485059472</v>
      </c>
      <c r="P9590" s="5" t="s">
        <v>629</v>
      </c>
      <c r="R9590" s="38" t="n">
        <f aca="false">Q!$C$46-cx_rt*Q!$C$16-cx_awso*(Q!$C$7-mw_ye23/2*rpm_open/1000)</f>
        <v>1.50429979529945</v>
      </c>
      <c r="S9590" s="38" t="n">
        <f aca="false">Sens!$C$9590</f>
        <v>25.2781053077374</v>
      </c>
      <c r="T9590" s="38" t="n">
        <f aca="false">Sens!$D$9590</f>
        <v>69.5686316310026</v>
      </c>
      <c r="U9590" s="38" t="n">
        <f aca="false">Sens!$G$9590</f>
        <v>160.438050638011</v>
      </c>
      <c r="V9590" s="38" t="n">
        <f aca="false">Sens!$H$9590</f>
        <v>198.57136494475</v>
      </c>
      <c r="W9590" s="38" t="n">
        <f aca="false">Sens!$I$9590</f>
        <v>204.6464699105</v>
      </c>
      <c r="X9590" s="38" t="n">
        <f aca="false">Sens!$J$9590</f>
        <v>209.8832381105</v>
      </c>
      <c r="Y9590" s="38" t="n">
        <f aca="false">Sens!$K$9590</f>
        <v>158.016341586823</v>
      </c>
      <c r="Z9590" s="38" t="n">
        <f aca="false">Sens!$L$9590</f>
        <v>137.570054263147</v>
      </c>
      <c r="AA9590" s="38" t="n">
        <f aca="false">Sens!$M$9590</f>
        <v>140.56485059472</v>
      </c>
    </row>
    <row r="9591" customFormat="false" ht="17.15" hidden="false" customHeight="false" outlineLevel="0" collapsed="false">
      <c r="A9591" s="0" t="s">
        <v>630</v>
      </c>
      <c r="B9591" s="0" t="s">
        <v>86</v>
      </c>
      <c r="H9591" s="38" t="n">
        <f aca="false">SUMPRODUCT(--(Sens!$R$9560:$AA$9560=2027-tk_life),Sens!$R$9567:$AA$9567)*Sens!$H$9572/1000</f>
        <v>0</v>
      </c>
      <c r="I9591" s="38" t="n">
        <f aca="false">SUMPRODUCT(--(Sens!$R$9560:$AA$9560=2028-tk_life),Sens!$R$9567:$AA$9567)*Sens!$I$9572/1000</f>
        <v>0</v>
      </c>
      <c r="J9591" s="38" t="n">
        <f aca="false">SUMPRODUCT(--(Sens!$R$9560:$AA$9560=2029-tk_life),Sens!$R$9567:$AA$9567)*Sens!$J$9572/1000</f>
        <v>5.2367682</v>
      </c>
      <c r="K9591" s="38" t="n">
        <f aca="false">SUMPRODUCT(--(Sens!$R$9560:$AA$9560=2030-tk_life),Sens!$R$9567:$AA$9567)*Sens!$K$9572/1000</f>
        <v>10.4735364</v>
      </c>
      <c r="L9591" s="38" t="n">
        <f aca="false">SUMPRODUCT(--(Sens!$R$9560:$AA$9560=2031-tk_life),Sens!$R$9567:$AA$9567)*Sens!$L$9572/1000</f>
        <v>47.1309138</v>
      </c>
      <c r="M9591" s="38" t="n">
        <f aca="false">SUMPRODUCT(--(Sens!$R$9560:$AA$9560=2032-tk_life),Sens!$R$9567:$AA$9567)*Sens!$M$9572/1000</f>
        <v>107.22937485525</v>
      </c>
    </row>
    <row r="9592" customFormat="false" ht="17.15" hidden="false" customHeight="false" outlineLevel="0" collapsed="false">
      <c r="A9592" s="0" t="s">
        <v>631</v>
      </c>
      <c r="B9592" s="0" t="s">
        <v>86</v>
      </c>
      <c r="C9592" s="38" t="n">
        <f aca="false">MIN(Sens!$C$9590,Sens!$C$9567*(tk_cx_h100+tk_fac*(1-colo_sh))/1000)</f>
        <v>11.2938642</v>
      </c>
      <c r="D9592" s="38" t="n">
        <f aca="false">MIN(Sens!$D$9590,Sens!$D$9567*(tk_cx_h100+tk_fac*(1-colo_sh))/1000)</f>
        <v>50.8223889</v>
      </c>
      <c r="E9592" s="38" t="n">
        <f aca="false">MIN(Sens!$E$9590,Sens!$E$9567*(Sens!$F$9572+tk_fac*(1-colo_sh))/1000)</f>
        <v>33.8985792</v>
      </c>
      <c r="F9592" s="38" t="n">
        <f aca="false">Sens!$F$9590</f>
        <v>96.2481299895</v>
      </c>
      <c r="G9592" s="38" t="n">
        <f aca="false">Sens!$E$9592+Sens!$F$9592</f>
        <v>130.1467091895</v>
      </c>
      <c r="H9592" s="38" t="n">
        <f aca="false">Sens!$H$9590</f>
        <v>198.57136494475</v>
      </c>
      <c r="I9592" s="38" t="n">
        <f aca="false">Sens!$I$9590</f>
        <v>204.6464699105</v>
      </c>
      <c r="J9592" s="38" t="n">
        <f aca="false">Sens!$J$9590</f>
        <v>209.8832381105</v>
      </c>
      <c r="K9592" s="38" t="n">
        <f aca="false">Sens!$K$9590</f>
        <v>158.016341586823</v>
      </c>
      <c r="L9592" s="38" t="n">
        <f aca="false">Sens!$L$9590</f>
        <v>137.570054263147</v>
      </c>
      <c r="M9592" s="38" t="n">
        <f aca="false">Sens!$M$9590</f>
        <v>140.56485059472</v>
      </c>
      <c r="P9592" s="5" t="s">
        <v>632</v>
      </c>
      <c r="R9592" s="38" t="n">
        <f aca="false">MIN(Sens!$R$9590,Sens!$R$9567*(tk_cx_h100+tk_fac*(1-colo_sh))/1000)</f>
        <v>1.50429979529945</v>
      </c>
      <c r="S9592" s="38" t="n">
        <f aca="false">Sens!$C$9592</f>
        <v>11.2938642</v>
      </c>
      <c r="T9592" s="38" t="n">
        <f aca="false">Sens!$D$9592</f>
        <v>50.8223889</v>
      </c>
      <c r="U9592" s="38" t="n">
        <f aca="false">Sens!$G$9592</f>
        <v>130.1467091895</v>
      </c>
      <c r="V9592" s="38" t="n">
        <f aca="false">Sens!$H$9592</f>
        <v>198.57136494475</v>
      </c>
      <c r="W9592" s="38" t="n">
        <f aca="false">Sens!$I$9592</f>
        <v>204.6464699105</v>
      </c>
      <c r="X9592" s="38" t="n">
        <f aca="false">Sens!$J$9592</f>
        <v>209.8832381105</v>
      </c>
      <c r="Y9592" s="38" t="n">
        <f aca="false">Sens!$K$9592</f>
        <v>158.016341586823</v>
      </c>
      <c r="Z9592" s="38" t="n">
        <f aca="false">Sens!$L$9592</f>
        <v>137.570054263147</v>
      </c>
      <c r="AA9592" s="38" t="n">
        <f aca="false">Sens!$M$9592</f>
        <v>140.56485059472</v>
      </c>
    </row>
    <row r="9593" customFormat="false" ht="17.15" hidden="false" customHeight="false" outlineLevel="0" collapsed="false">
      <c r="A9593" s="5" t="s">
        <v>633</v>
      </c>
      <c r="B9593" s="0" t="s">
        <v>86</v>
      </c>
      <c r="C9593" s="38" t="n">
        <f aca="false">Sens!$C$9590-Sens!$C$9592</f>
        <v>13.9842411077374</v>
      </c>
      <c r="D9593" s="38" t="n">
        <f aca="false">Sens!$D$9590-Sens!$D$9592</f>
        <v>18.7462427310026</v>
      </c>
      <c r="E9593" s="38" t="n">
        <f aca="false">Sens!$E$9590-Sens!$E$9592</f>
        <v>30.2913414485108</v>
      </c>
      <c r="F9593" s="38" t="n">
        <f aca="false">Sens!$F$9590-Sens!$F$9592</f>
        <v>0</v>
      </c>
      <c r="G9593" s="38" t="n">
        <f aca="false">Sens!$G$9590-Sens!$G$9592</f>
        <v>30.2913414485108</v>
      </c>
      <c r="H9593" s="38" t="n">
        <f aca="false">Sens!$H$9590-Sens!$H$9592</f>
        <v>0</v>
      </c>
      <c r="I9593" s="38" t="n">
        <f aca="false">Sens!$I$9590-Sens!$I$9592</f>
        <v>0</v>
      </c>
      <c r="J9593" s="38" t="n">
        <f aca="false">Sens!$J$9590-Sens!$J$9592</f>
        <v>0</v>
      </c>
      <c r="K9593" s="38" t="n">
        <f aca="false">Sens!$K$9590-Sens!$K$9592</f>
        <v>0</v>
      </c>
      <c r="L9593" s="38" t="n">
        <f aca="false">Sens!$L$9590-Sens!$L$9592</f>
        <v>0</v>
      </c>
      <c r="M9593" s="38" t="n">
        <f aca="false">Sens!$M$9590-Sens!$M$9592</f>
        <v>0</v>
      </c>
    </row>
    <row r="9594" customFormat="false" ht="17.15" hidden="false" customHeight="false" outlineLevel="0" collapsed="false">
      <c r="A9594" s="5" t="s">
        <v>634</v>
      </c>
      <c r="B9594" s="0" t="s">
        <v>86</v>
      </c>
      <c r="C9594" s="38" t="n">
        <f aca="false">Sens!$C$9592*Sens!$C$9589</f>
        <v>8.2530642</v>
      </c>
      <c r="D9594" s="38" t="n">
        <f aca="false">Sens!$D$9592*Sens!$D$9589</f>
        <v>37.1387889</v>
      </c>
      <c r="E9594" s="38" t="n">
        <f aca="false">Sens!$E$9592*Sens!$E$9589</f>
        <v>25.7897792</v>
      </c>
      <c r="F9594" s="38" t="n">
        <f aca="false">Sens!$F$9592*Sens!$F$9589</f>
        <v>73.2248394895</v>
      </c>
      <c r="G9594" s="38" t="n">
        <f aca="false">Sens!$E$9594+Sens!$F$9594</f>
        <v>99.0146186895</v>
      </c>
      <c r="H9594" s="38" t="n">
        <f aca="false">(Sens!$H$9592-Sens!$H$9591)*Sens!$H$9589+Sens!$H$9591</f>
        <v>152.52478394475</v>
      </c>
      <c r="I9594" s="38" t="n">
        <f aca="false">(Sens!$I$9592-Sens!$I$9591)*Sens!$I$9589+Sens!$I$9591</f>
        <v>158.5998889105</v>
      </c>
      <c r="J9594" s="38" t="n">
        <f aca="false">(Sens!$J$9592-Sens!$J$9591)*Sens!$J$9589+Sens!$J$9591</f>
        <v>163.8366571105</v>
      </c>
      <c r="K9594" s="38" t="n">
        <f aca="false">(Sens!$K$9592-Sens!$K$9591)*Sens!$K$9589+Sens!$K$9591</f>
        <v>124.818399140157</v>
      </c>
      <c r="L9594" s="38" t="n">
        <f aca="false">(Sens!$L$9592-Sens!$L$9591)*Sens!$L$9589+Sens!$L$9591</f>
        <v>117.220750369813</v>
      </c>
      <c r="M9594" s="38" t="n">
        <f aca="false">(Sens!$M$9592-Sens!$M$9591)*Sens!$M$9589+Sens!$M$9591</f>
        <v>133.06418525472</v>
      </c>
      <c r="R9594" s="38" t="n">
        <f aca="false">Sens!$R$9592*Sens!$C$9589</f>
        <v>1.09927679019314</v>
      </c>
      <c r="S9594" s="38" t="n">
        <f aca="false">Sens!$C$9594</f>
        <v>8.2530642</v>
      </c>
      <c r="T9594" s="38" t="n">
        <f aca="false">Sens!$D$9594</f>
        <v>37.1387889</v>
      </c>
      <c r="U9594" s="38" t="n">
        <f aca="false">Sens!$G$9594</f>
        <v>99.0146186895</v>
      </c>
      <c r="V9594" s="38" t="n">
        <f aca="false">Sens!$H$9594</f>
        <v>152.52478394475</v>
      </c>
      <c r="W9594" s="38" t="n">
        <f aca="false">Sens!$I$9594</f>
        <v>158.5998889105</v>
      </c>
      <c r="X9594" s="38" t="n">
        <f aca="false">Sens!$J$9594</f>
        <v>163.8366571105</v>
      </c>
      <c r="Y9594" s="38" t="n">
        <f aca="false">Sens!$K$9594</f>
        <v>124.818399140157</v>
      </c>
      <c r="Z9594" s="38" t="n">
        <f aca="false">Sens!$L$9594</f>
        <v>117.220750369813</v>
      </c>
      <c r="AA9594" s="38" t="n">
        <f aca="false">Sens!$M$9594</f>
        <v>133.06418525472</v>
      </c>
    </row>
    <row r="9595" customFormat="false" ht="15" hidden="false" customHeight="false" outlineLevel="0" collapsed="false">
      <c r="A9595" s="5" t="s">
        <v>635</v>
      </c>
      <c r="B9595" s="0" t="s">
        <v>86</v>
      </c>
      <c r="C9595" s="38" t="n">
        <f aca="false">Sens!$C$9592-Sens!$C$9594</f>
        <v>3.0408</v>
      </c>
      <c r="D9595" s="38" t="n">
        <f aca="false">Sens!$D$9592-Sens!$D$9594</f>
        <v>13.6836</v>
      </c>
      <c r="E9595" s="38" t="n">
        <f aca="false">Sens!$E$9592-Sens!$E$9594</f>
        <v>8.1088</v>
      </c>
      <c r="F9595" s="38" t="n">
        <f aca="false">Sens!$F$9592-Sens!$F$9594</f>
        <v>23.0232905</v>
      </c>
      <c r="G9595" s="38" t="n">
        <f aca="false">Sens!$G$9592-Sens!$G$9594</f>
        <v>31.1320905</v>
      </c>
      <c r="H9595" s="38" t="n">
        <f aca="false">Sens!$H$9592-Sens!$H$9594</f>
        <v>46.046581</v>
      </c>
      <c r="I9595" s="38" t="n">
        <f aca="false">Sens!$I$9592-Sens!$I$9594</f>
        <v>46.046581</v>
      </c>
      <c r="J9595" s="38" t="n">
        <f aca="false">Sens!$J$9592-Sens!$J$9594</f>
        <v>46.046581</v>
      </c>
      <c r="K9595" s="38" t="n">
        <f aca="false">Sens!$K$9592-Sens!$K$9594</f>
        <v>33.1979424466667</v>
      </c>
      <c r="L9595" s="38" t="n">
        <f aca="false">Sens!$L$9592-Sens!$L$9594</f>
        <v>20.3493038933333</v>
      </c>
      <c r="M9595" s="38" t="n">
        <f aca="false">Sens!$M$9592-Sens!$M$9594</f>
        <v>7.50066534000001</v>
      </c>
      <c r="R9595" s="38" t="n">
        <f aca="false">Sens!$R$9592-Sens!$R$9594</f>
        <v>0.405023005106309</v>
      </c>
      <c r="S9595" s="38" t="n">
        <f aca="false">Sens!$S$9592-Sens!$S$9594</f>
        <v>3.0408</v>
      </c>
      <c r="T9595" s="38" t="n">
        <f aca="false">Sens!$T$9592-Sens!$T$9594</f>
        <v>13.6836</v>
      </c>
      <c r="U9595" s="38" t="n">
        <f aca="false">Sens!$U$9592-Sens!$U$9594</f>
        <v>31.1320905</v>
      </c>
      <c r="V9595" s="38" t="n">
        <f aca="false">Sens!$V$9592-Sens!$V$9594</f>
        <v>46.046581</v>
      </c>
      <c r="W9595" s="38" t="n">
        <f aca="false">Sens!$W$9592-Sens!$W$9594</f>
        <v>46.046581</v>
      </c>
      <c r="X9595" s="38" t="n">
        <f aca="false">Sens!$X$9592-Sens!$X$9594</f>
        <v>46.046581</v>
      </c>
      <c r="Y9595" s="38" t="n">
        <f aca="false">Sens!$Y$9592-Sens!$Y$9594</f>
        <v>33.1979424466667</v>
      </c>
      <c r="Z9595" s="38" t="n">
        <f aca="false">Sens!$Z$9592-Sens!$Z$9594</f>
        <v>20.3493038933333</v>
      </c>
      <c r="AA9595" s="38" t="n">
        <f aca="false">Sens!$AA$9592-Sens!$AA$9594</f>
        <v>7.50066534000001</v>
      </c>
    </row>
    <row r="9596" customFormat="false" ht="17.15" hidden="false" customHeight="false" outlineLevel="0" collapsed="false">
      <c r="A9596" s="0" t="s">
        <v>636</v>
      </c>
      <c r="B9596" s="0" t="s">
        <v>52</v>
      </c>
      <c r="C9596" s="13" t="n">
        <f aca="false">Sens!$C$9590/Sens!$C$9712</f>
        <v>0.325505489553393</v>
      </c>
      <c r="D9596" s="13" t="n">
        <f aca="false">Sens!$D$9590/Sens!$D$9712</f>
        <v>0.54214956071542</v>
      </c>
      <c r="E9596" s="13" t="n">
        <f aca="false">Sens!$E$9590/Sens!$E$9712</f>
        <v>0.666492790452817</v>
      </c>
      <c r="F9596" s="13" t="n">
        <f aca="false">Sens!$F$9590/Sens!$F$9712</f>
        <v>0.733477910687338</v>
      </c>
      <c r="G9596" s="13" t="n">
        <f aca="false">Sens!$G$9590/Sens!$G$9712</f>
        <v>0.705124321514523</v>
      </c>
      <c r="H9596" s="13" t="n">
        <f aca="false">Sens!$H$9590/Sens!$H$9712</f>
        <v>0.726376041178204</v>
      </c>
      <c r="I9596" s="13" t="n">
        <f aca="false">Sens!$I$9590/Sens!$I$9712</f>
        <v>0.713099092661699</v>
      </c>
      <c r="J9596" s="13" t="n">
        <f aca="false">Sens!$J$9590/Sens!$J$9712</f>
        <v>0.701208348786245</v>
      </c>
      <c r="K9596" s="13" t="n">
        <f aca="false">Sens!$K$9590/Sens!$K$9712</f>
        <v>0.622515721629545</v>
      </c>
      <c r="L9596" s="13" t="n">
        <f aca="false">Sens!$L$9590/Sens!$L$9712</f>
        <v>0.572606741433048</v>
      </c>
      <c r="M9596" s="13" t="n">
        <f aca="false">Sens!$M$9590/Sens!$M$9712</f>
        <v>0.560855994905929</v>
      </c>
    </row>
    <row r="9597" customFormat="false" ht="17.15" hidden="false" customHeight="false" outlineLevel="0" collapsed="false">
      <c r="A9597" s="0" t="s">
        <v>637</v>
      </c>
      <c r="B9597" s="0" t="s">
        <v>86</v>
      </c>
      <c r="C9597" s="38" t="n">
        <f aca="false">Sens!$S$9597</f>
        <v>0.183212798365523</v>
      </c>
      <c r="D9597" s="38" t="n">
        <f aca="false">Sens!$T$9597</f>
        <v>1.55872349836552</v>
      </c>
      <c r="E9597" s="38" t="n">
        <f aca="false">Sens!$G$9597/2</f>
        <v>3.87426082418276</v>
      </c>
      <c r="F9597" s="38" t="n">
        <f aca="false">Sens!$G$9597/2</f>
        <v>3.87426082418276</v>
      </c>
      <c r="G9597" s="38" t="n">
        <f aca="false">Sens!$U$9597</f>
        <v>7.74852164836552</v>
      </c>
      <c r="H9597" s="38" t="n">
        <f aca="false">Sens!$V$9597</f>
        <v>24.2509580966155</v>
      </c>
      <c r="I9597" s="38" t="n">
        <f aca="false">Sens!$W$9597</f>
        <v>49.6717554207405</v>
      </c>
      <c r="J9597" s="38" t="n">
        <f aca="false">Sens!$X$9597</f>
        <v>76.1050702391572</v>
      </c>
      <c r="K9597" s="38" t="n">
        <f aca="false">Sens!$Y$9597</f>
        <v>103.227966959208</v>
      </c>
      <c r="L9597" s="38" t="n">
        <f aca="false">Sens!$Z$9597</f>
        <v>122.655522782568</v>
      </c>
      <c r="M9597" s="38" t="n">
        <f aca="false">Sens!$AA$9597</f>
        <v>136.00251636087</v>
      </c>
      <c r="N9597" s="38" t="n">
        <f aca="false">Sens!$D$9597/2</f>
        <v>0.779361749182762</v>
      </c>
      <c r="O9597" s="38" t="n">
        <f aca="false">Sens!$D$9597/2</f>
        <v>0.779361749182762</v>
      </c>
      <c r="R9597" s="38" t="n">
        <f aca="false">SUMPRODUCT(--(Sens!$R$9560:$AA$9560&lt;Sens!R$9560),--(Sens!$R$9560:$AA$9560&gt;=Sens!R$9560-tk_life),Sens!$R$9594:$AA$9594)/tk_life</f>
        <v>0</v>
      </c>
      <c r="S9597" s="38" t="n">
        <f aca="false">SUMPRODUCT(--(Sens!$R$9560:$AA$9560&lt;Sens!S$9560),--(Sens!$R$9560:$AA$9560&gt;=Sens!S$9560-tk_life),Sens!$R$9594:$AA$9594)/tk_life</f>
        <v>0.183212798365523</v>
      </c>
      <c r="T9597" s="38" t="n">
        <f aca="false">SUMPRODUCT(--(Sens!$R$9560:$AA$9560&lt;Sens!T$9560),--(Sens!$R$9560:$AA$9560&gt;=Sens!T$9560-tk_life),Sens!$R$9594:$AA$9594)/tk_life</f>
        <v>1.55872349836552</v>
      </c>
      <c r="U9597" s="38" t="n">
        <f aca="false">SUMPRODUCT(--(Sens!$R$9560:$AA$9560&lt;Sens!U$9560),--(Sens!$R$9560:$AA$9560&gt;=Sens!U$9560-tk_life),Sens!$R$9594:$AA$9594)/tk_life</f>
        <v>7.74852164836552</v>
      </c>
      <c r="V9597" s="38" t="n">
        <f aca="false">SUMPRODUCT(--(Sens!$R$9560:$AA$9560&lt;Sens!V$9560),--(Sens!$R$9560:$AA$9560&gt;=Sens!V$9560-tk_life),Sens!$R$9594:$AA$9594)/tk_life</f>
        <v>24.2509580966155</v>
      </c>
      <c r="W9597" s="38" t="n">
        <f aca="false">SUMPRODUCT(--(Sens!$R$9560:$AA$9560&lt;Sens!W$9560),--(Sens!$R$9560:$AA$9560&gt;=Sens!W$9560-tk_life),Sens!$R$9594:$AA$9594)/tk_life</f>
        <v>49.6717554207405</v>
      </c>
      <c r="X9597" s="38" t="n">
        <f aca="false">SUMPRODUCT(--(Sens!$R$9560:$AA$9560&lt;Sens!X$9560),--(Sens!$R$9560:$AA$9560&gt;=Sens!X$9560-tk_life),Sens!$R$9594:$AA$9594)/tk_life</f>
        <v>76.1050702391572</v>
      </c>
      <c r="Y9597" s="38" t="n">
        <f aca="false">SUMPRODUCT(--(Sens!$R$9560:$AA$9560&lt;Sens!Y$9560),--(Sens!$R$9560:$AA$9560&gt;=Sens!Y$9560-tk_life),Sens!$R$9594:$AA$9594)/tk_life</f>
        <v>103.227966959208</v>
      </c>
      <c r="Z9597" s="38" t="n">
        <f aca="false">SUMPRODUCT(--(Sens!$R$9560:$AA$9560&lt;Sens!Z$9560),--(Sens!$R$9560:$AA$9560&gt;=Sens!Z$9560-tk_life),Sens!$R$9594:$AA$9594)/tk_life</f>
        <v>122.655522782568</v>
      </c>
      <c r="AA9597" s="38" t="n">
        <f aca="false">SUMPRODUCT(--(Sens!$R$9560:$AA$9560&lt;Sens!AA$9560),--(Sens!$R$9560:$AA$9560&gt;=Sens!AA$9560-tk_life),Sens!$R$9594:$AA$9594)/tk_life</f>
        <v>136.00251636087</v>
      </c>
    </row>
    <row r="9598" customFormat="false" ht="17.15" hidden="false" customHeight="false" outlineLevel="0" collapsed="false">
      <c r="A9598" s="0" t="s">
        <v>638</v>
      </c>
      <c r="B9598" s="0" t="s">
        <v>86</v>
      </c>
      <c r="C9598" s="38" t="n">
        <f aca="false">Sens!$S$9598</f>
        <v>0.0202511502553155</v>
      </c>
      <c r="D9598" s="38" t="n">
        <f aca="false">Sens!$T$9598</f>
        <v>0.172291150255315</v>
      </c>
      <c r="E9598" s="38" t="n">
        <f aca="false">Sens!$G$9598/2</f>
        <v>0.428235575127658</v>
      </c>
      <c r="F9598" s="38" t="n">
        <f aca="false">Sens!$G$9598/2</f>
        <v>0.428235575127658</v>
      </c>
      <c r="G9598" s="38" t="n">
        <f aca="false">Sens!$U$9598</f>
        <v>0.856471150255315</v>
      </c>
      <c r="H9598" s="38" t="n">
        <f aca="false">Sens!$V$9598</f>
        <v>2.41307567525532</v>
      </c>
      <c r="I9598" s="38" t="n">
        <f aca="false">Sens!$W$9598</f>
        <v>4.71540472525532</v>
      </c>
      <c r="J9598" s="38" t="n">
        <f aca="false">Sens!$X$9598</f>
        <v>7.01773377525532</v>
      </c>
      <c r="K9598" s="38" t="n">
        <f aca="false">Sens!$Y$9598</f>
        <v>9.32006282525532</v>
      </c>
      <c r="L9598" s="38" t="n">
        <f aca="false">Sens!$Z$9598</f>
        <v>10.9799599475887</v>
      </c>
      <c r="M9598" s="38" t="n">
        <f aca="false">Sens!$AA$9598</f>
        <v>11.9974251422553</v>
      </c>
      <c r="N9598" s="38" t="n">
        <f aca="false">Sens!$D$9598/2</f>
        <v>0.0861455751276577</v>
      </c>
      <c r="O9598" s="38" t="n">
        <f aca="false">Sens!$D$9598/2</f>
        <v>0.0861455751276577</v>
      </c>
      <c r="R9598" s="38" t="n">
        <f aca="false">SUMPRODUCT(--(Sens!$R$9560:$AA$9560&lt;Sens!R$9560),Sens!$R$9595:$AA$9595)/fac_life</f>
        <v>0</v>
      </c>
      <c r="S9598" s="38" t="n">
        <f aca="false">SUMPRODUCT(--(Sens!$R$9560:$AA$9560&lt;Sens!S$9560),Sens!$R$9595:$AA$9595)/fac_life</f>
        <v>0.0202511502553155</v>
      </c>
      <c r="T9598" s="38" t="n">
        <f aca="false">SUMPRODUCT(--(Sens!$R$9560:$AA$9560&lt;Sens!T$9560),Sens!$R$9595:$AA$9595)/fac_life</f>
        <v>0.172291150255315</v>
      </c>
      <c r="U9598" s="38" t="n">
        <f aca="false">SUMPRODUCT(--(Sens!$R$9560:$AA$9560&lt;Sens!U$9560),Sens!$R$9595:$AA$9595)/fac_life</f>
        <v>0.856471150255315</v>
      </c>
      <c r="V9598" s="38" t="n">
        <f aca="false">SUMPRODUCT(--(Sens!$R$9560:$AA$9560&lt;Sens!V$9560),Sens!$R$9595:$AA$9595)/fac_life</f>
        <v>2.41307567525532</v>
      </c>
      <c r="W9598" s="38" t="n">
        <f aca="false">SUMPRODUCT(--(Sens!$R$9560:$AA$9560&lt;Sens!W$9560),Sens!$R$9595:$AA$9595)/fac_life</f>
        <v>4.71540472525532</v>
      </c>
      <c r="X9598" s="38" t="n">
        <f aca="false">SUMPRODUCT(--(Sens!$R$9560:$AA$9560&lt;Sens!X$9560),Sens!$R$9595:$AA$9595)/fac_life</f>
        <v>7.01773377525532</v>
      </c>
      <c r="Y9598" s="38" t="n">
        <f aca="false">SUMPRODUCT(--(Sens!$R$9560:$AA$9560&lt;Sens!Y$9560),Sens!$R$9595:$AA$9595)/fac_life</f>
        <v>9.32006282525532</v>
      </c>
      <c r="Z9598" s="38" t="n">
        <f aca="false">SUMPRODUCT(--(Sens!$R$9560:$AA$9560&lt;Sens!Z$9560),Sens!$R$9595:$AA$9595)/fac_life</f>
        <v>10.9799599475887</v>
      </c>
      <c r="AA9598" s="38" t="n">
        <f aca="false">SUMPRODUCT(--(Sens!$R$9560:$AA$9560&lt;Sens!AA$9560),Sens!$R$9595:$AA$9595)/fac_life</f>
        <v>11.9974251422553</v>
      </c>
    </row>
    <row r="9599" customFormat="false" ht="17.15" hidden="false" customHeight="false" outlineLevel="0" collapsed="false">
      <c r="A9599" s="1" t="s">
        <v>639</v>
      </c>
      <c r="B9599" s="8" t="s">
        <v>86</v>
      </c>
      <c r="C9599" s="38" t="n">
        <f aca="false">Sens!$C$9597+Sens!$C$9598</f>
        <v>0.203463948620839</v>
      </c>
      <c r="D9599" s="38" t="n">
        <f aca="false">Sens!$D$9597+Sens!$D$9598</f>
        <v>1.73101464862084</v>
      </c>
      <c r="E9599" s="38" t="n">
        <f aca="false">Sens!$E$9597+Sens!$E$9598</f>
        <v>4.30249639931042</v>
      </c>
      <c r="F9599" s="38" t="n">
        <f aca="false">Sens!$F$9597+Sens!$F$9598</f>
        <v>4.30249639931042</v>
      </c>
      <c r="G9599" s="38" t="n">
        <f aca="false">Sens!$G$9597+Sens!$G$9598</f>
        <v>8.60499279862084</v>
      </c>
      <c r="H9599" s="38" t="n">
        <f aca="false">Sens!$H$9597+Sens!$H$9598</f>
        <v>26.6640337718708</v>
      </c>
      <c r="I9599" s="38" t="n">
        <f aca="false">Sens!$I$9597+Sens!$I$9598</f>
        <v>54.3871601459959</v>
      </c>
      <c r="J9599" s="38" t="n">
        <f aca="false">Sens!$J$9597+Sens!$J$9598</f>
        <v>83.1228040144125</v>
      </c>
      <c r="K9599" s="38" t="n">
        <f aca="false">Sens!$K$9597+Sens!$K$9598</f>
        <v>112.548029784464</v>
      </c>
      <c r="L9599" s="38" t="n">
        <f aca="false">Sens!$L$9597+Sens!$L$9598</f>
        <v>133.635482730156</v>
      </c>
      <c r="M9599" s="38" t="n">
        <f aca="false">Sens!$M$9597+Sens!$M$9598</f>
        <v>147.999941503125</v>
      </c>
      <c r="N9599" s="38" t="n">
        <f aca="false">Sens!$N$9597+Sens!$N$9598</f>
        <v>0.865507324310419</v>
      </c>
      <c r="O9599" s="38" t="n">
        <f aca="false">Sens!$O$9597+Sens!$O$9598</f>
        <v>0.865507324310419</v>
      </c>
      <c r="R9599" s="38" t="n">
        <f aca="false">Sens!$R$9597+Sens!$R$9598</f>
        <v>0</v>
      </c>
      <c r="S9599" s="38" t="n">
        <f aca="false">Sens!$S$9597+Sens!$S$9598</f>
        <v>0.203463948620839</v>
      </c>
      <c r="T9599" s="38" t="n">
        <f aca="false">Sens!$T$9597+Sens!$T$9598</f>
        <v>1.73101464862084</v>
      </c>
      <c r="U9599" s="38" t="n">
        <f aca="false">Sens!$U$9597+Sens!$U$9598</f>
        <v>8.60499279862084</v>
      </c>
      <c r="V9599" s="38" t="n">
        <f aca="false">Sens!$V$9597+Sens!$V$9598</f>
        <v>26.6640337718708</v>
      </c>
      <c r="W9599" s="38" t="n">
        <f aca="false">Sens!$W$9597+Sens!$W$9598</f>
        <v>54.3871601459959</v>
      </c>
      <c r="X9599" s="38" t="n">
        <f aca="false">Sens!$X$9597+Sens!$X$9598</f>
        <v>83.1228040144125</v>
      </c>
      <c r="Y9599" s="38" t="n">
        <f aca="false">Sens!$Y$9597+Sens!$Y$9598</f>
        <v>112.548029784464</v>
      </c>
      <c r="Z9599" s="38" t="n">
        <f aca="false">Sens!$Z$9597+Sens!$Z$9598</f>
        <v>133.635482730156</v>
      </c>
      <c r="AA9599" s="38" t="n">
        <f aca="false">Sens!$AA$9597+Sens!$AA$9598</f>
        <v>147.999941503125</v>
      </c>
    </row>
    <row r="9600" customFormat="false" ht="17.15" hidden="false" customHeight="false" outlineLevel="0" collapsed="false">
      <c r="A9600" s="0" t="s">
        <v>640</v>
      </c>
      <c r="B9600" s="0" t="s">
        <v>86</v>
      </c>
      <c r="C9600" s="38" t="n">
        <f aca="false">Sens!$S$9600</f>
        <v>12.5947000466786</v>
      </c>
      <c r="D9600" s="38" t="n">
        <f aca="false">Sens!$T$9600</f>
        <v>61.6860742980578</v>
      </c>
      <c r="G9600" s="38" t="n">
        <f aca="false">Sens!$U$9600</f>
        <v>183.227790688937</v>
      </c>
      <c r="H9600" s="38" t="n">
        <f aca="false">Sens!$V$9600</f>
        <v>355.135121861816</v>
      </c>
      <c r="I9600" s="38" t="n">
        <f aca="false">Sens!$W$9600</f>
        <v>505.39443162632</v>
      </c>
      <c r="J9600" s="38" t="n">
        <f aca="false">Sens!$X$9600</f>
        <v>632.154865722408</v>
      </c>
      <c r="K9600" s="38" t="n">
        <f aca="false">Sens!$Y$9600</f>
        <v>677.623177524768</v>
      </c>
      <c r="L9600" s="38" t="n">
        <f aca="false">Sens!$Z$9600</f>
        <v>681.557749057758</v>
      </c>
      <c r="M9600" s="38" t="n">
        <f aca="false">Sens!$AA$9600</f>
        <v>674.122658149352</v>
      </c>
      <c r="R9600" s="38" t="n">
        <f aca="false">SUM(Sens!$R$9592:$R$9592)-SUM(Sens!$R$9599:$R$9599)</f>
        <v>1.50429979529945</v>
      </c>
      <c r="S9600" s="38" t="n">
        <f aca="false">SUM(Sens!$R$9592:$S$9592)-SUM(Sens!$R$9599:$S$9599)</f>
        <v>12.5947000466786</v>
      </c>
      <c r="T9600" s="38" t="n">
        <f aca="false">SUM(Sens!$R$9592:$T$9592)-SUM(Sens!$R$9599:$T$9599)</f>
        <v>61.6860742980578</v>
      </c>
      <c r="U9600" s="38" t="n">
        <f aca="false">SUM(Sens!$R$9592:$U$9592)-SUM(Sens!$R$9599:$U$9599)</f>
        <v>183.227790688937</v>
      </c>
      <c r="V9600" s="38" t="n">
        <f aca="false">SUM(Sens!$R$9592:$V$9592)-SUM(Sens!$R$9599:$V$9599)</f>
        <v>355.135121861816</v>
      </c>
      <c r="W9600" s="38" t="n">
        <f aca="false">SUM(Sens!$R$9592:$W$9592)-SUM(Sens!$R$9599:$W$9599)</f>
        <v>505.39443162632</v>
      </c>
      <c r="X9600" s="38" t="n">
        <f aca="false">SUM(Sens!$R$9592:$X$9592)-SUM(Sens!$R$9599:$X$9599)</f>
        <v>632.154865722408</v>
      </c>
      <c r="Y9600" s="38" t="n">
        <f aca="false">SUM(Sens!$R$9592:$Y$9592)-SUM(Sens!$R$9599:$Y$9599)</f>
        <v>677.623177524768</v>
      </c>
      <c r="Z9600" s="38" t="n">
        <f aca="false">SUM(Sens!$R$9592:$Z$9592)-SUM(Sens!$R$9599:$Z$9599)</f>
        <v>681.557749057758</v>
      </c>
      <c r="AA9600" s="38" t="n">
        <f aca="false">SUM(Sens!$R$9592:$AA$9592)-SUM(Sens!$R$9599:$AA$9599)</f>
        <v>674.122658149352</v>
      </c>
    </row>
    <row r="9601" customFormat="false" ht="17.15" hidden="false" customHeight="false" outlineLevel="0" collapsed="false">
      <c r="A9601" s="1" t="s">
        <v>641</v>
      </c>
    </row>
    <row r="9602" customFormat="false" ht="17.15" hidden="false" customHeight="false" outlineLevel="0" collapsed="false">
      <c r="A9602" s="0" t="s">
        <v>642</v>
      </c>
      <c r="B9602" s="0" t="s">
        <v>86</v>
      </c>
      <c r="C9602" s="38" t="n">
        <f aca="false">Sens!$C$9581-ext_sh*Sens!$C$9583</f>
        <v>1.80694998843362</v>
      </c>
      <c r="D9602" s="38" t="n">
        <f aca="false">Sens!$D$9581-ext_sh*Sens!$D$9583</f>
        <v>6.77606245662607</v>
      </c>
      <c r="E9602" s="38" t="n">
        <f aca="false">Sens!$E$9581-ext_sh*Sens!$E$9583</f>
        <v>6.62548329092326</v>
      </c>
      <c r="F9602" s="38" t="n">
        <f aca="false">Sens!$F$9581-ext_sh*Sens!$F$9583</f>
        <v>11.7200577158706</v>
      </c>
      <c r="G9602" s="38" t="n">
        <f aca="false">Sens!$G$9581-ext_sh*Sens!$G$9583</f>
        <v>18.3455410067939</v>
      </c>
      <c r="H9602" s="38" t="n">
        <f aca="false">Sens!$H$9581-ext_sh*Sens!$H$9583</f>
        <v>47.5171727060453</v>
      </c>
      <c r="I9602" s="38" t="n">
        <f aca="false">Sens!$I$9581-ext_sh*Sens!$I$9583</f>
        <v>80.5539692643667</v>
      </c>
      <c r="J9602" s="38" t="n">
        <f aca="false">Sens!$J$9581-ext_sh*Sens!$J$9583</f>
        <v>113.759316834883</v>
      </c>
      <c r="K9602" s="38" t="n">
        <f aca="false">Sens!$K$9581-ext_sh*Sens!$K$9583</f>
        <v>142.313600225088</v>
      </c>
      <c r="L9602" s="38" t="n">
        <f aca="false">Sens!$L$9581-ext_sh*Sens!$L$9583</f>
        <v>161.610137806934</v>
      </c>
      <c r="M9602" s="38" t="n">
        <f aca="false">Sens!$M$9581-ext_sh*Sens!$M$9583</f>
        <v>171.622526917459</v>
      </c>
      <c r="N9602" s="38" t="n">
        <f aca="false">Sens!$N$9581-ext_sh*Sens!$N$9583</f>
        <v>2.37162185981912</v>
      </c>
      <c r="O9602" s="38" t="n">
        <f aca="false">Sens!$O$9581-ext_sh*Sens!$O$9583</f>
        <v>4.40444059680694</v>
      </c>
    </row>
    <row r="9603" customFormat="false" ht="17.15" hidden="false" customHeight="false" outlineLevel="0" collapsed="false">
      <c r="A9603" s="1" t="s">
        <v>643</v>
      </c>
      <c r="B9603" s="8" t="s">
        <v>86</v>
      </c>
      <c r="C9603" s="38" t="n">
        <f aca="false">Sens!$C$9602-ext_sh*Sens!$C$9599</f>
        <v>1.64417882953695</v>
      </c>
      <c r="D9603" s="38" t="n">
        <f aca="false">Sens!$D$9602-ext_sh*Sens!$D$9599</f>
        <v>5.39125073772939</v>
      </c>
      <c r="E9603" s="38" t="n">
        <f aca="false">Sens!$E$9602-ext_sh*Sens!$E$9599</f>
        <v>3.18348617147493</v>
      </c>
      <c r="F9603" s="38" t="n">
        <f aca="false">Sens!$F$9602-ext_sh*Sens!$F$9599</f>
        <v>8.27806059642226</v>
      </c>
      <c r="G9603" s="38" t="n">
        <f aca="false">Sens!$G$9602-ext_sh*Sens!$G$9599</f>
        <v>11.4615467678972</v>
      </c>
      <c r="H9603" s="38" t="n">
        <f aca="false">Sens!$H$9602-ext_sh*Sens!$H$9599</f>
        <v>26.1859456885487</v>
      </c>
      <c r="I9603" s="38" t="n">
        <f aca="false">Sens!$I$9602-ext_sh*Sens!$I$9599</f>
        <v>37.04424114757</v>
      </c>
      <c r="J9603" s="38" t="n">
        <f aca="false">Sens!$J$9602-ext_sh*Sens!$J$9599</f>
        <v>47.2610736233534</v>
      </c>
      <c r="K9603" s="38" t="n">
        <f aca="false">Sens!$K$9602-ext_sh*Sens!$K$9599</f>
        <v>52.2751763975167</v>
      </c>
      <c r="L9603" s="38" t="n">
        <f aca="false">Sens!$L$9602-ext_sh*Sens!$L$9599</f>
        <v>54.701751622809</v>
      </c>
      <c r="M9603" s="38" t="n">
        <f aca="false">Sens!$M$9602-ext_sh*Sens!$M$9599</f>
        <v>53.2225737149584</v>
      </c>
      <c r="N9603" s="38" t="n">
        <f aca="false">Sens!$N$9602-ext_sh*Sens!$N$9599</f>
        <v>1.67921600037079</v>
      </c>
      <c r="O9603" s="38" t="n">
        <f aca="false">Sens!$O$9602-ext_sh*Sens!$O$9599</f>
        <v>3.71203473735861</v>
      </c>
    </row>
    <row r="9604" customFormat="false" ht="17.15" hidden="false" customHeight="false" outlineLevel="0" collapsed="false">
      <c r="A9604" s="0" t="s">
        <v>644</v>
      </c>
      <c r="B9604" s="0" t="s">
        <v>52</v>
      </c>
      <c r="C9604" s="13" t="n">
        <f aca="false">Sens!$C$9603/Sens!$C$9581</f>
        <v>0.708390794789371</v>
      </c>
      <c r="D9604" s="13" t="n">
        <f aca="false">Sens!$D$9603/Sens!$D$9581</f>
        <v>0.619415573115729</v>
      </c>
      <c r="E9604" s="13" t="n">
        <f aca="false">Sens!$E$9603/Sens!$E$9581</f>
        <v>0.374072166056273</v>
      </c>
      <c r="F9604" s="13" t="n">
        <f aca="false">Sens!$F$9603/Sens!$F$9581</f>
        <v>0.553219320710057</v>
      </c>
      <c r="G9604" s="13" t="n">
        <f aca="false">Sens!$G$9603/Sens!$G$9581</f>
        <v>0.488270041527512</v>
      </c>
      <c r="H9604" s="13" t="n">
        <f aca="false">Sens!$H$9603/Sens!$H$9581</f>
        <v>0.435229086816882</v>
      </c>
      <c r="I9604" s="13" t="n">
        <f aca="false">Sens!$I$9603/Sens!$I$9581</f>
        <v>0.364954592421095</v>
      </c>
      <c r="J9604" s="13" t="n">
        <f aca="false">Sens!$J$9603/Sens!$J$9581</f>
        <v>0.330438308582232</v>
      </c>
      <c r="K9604" s="13" t="n">
        <f aca="false">Sens!$K$9603/Sens!$K$9581</f>
        <v>0.292474552619137</v>
      </c>
      <c r="L9604" s="13" t="n">
        <f aca="false">Sens!$L$9603/Sens!$L$9581</f>
        <v>0.269645821564974</v>
      </c>
      <c r="M9604" s="13" t="n">
        <f aca="false">Sens!$M$9603/Sens!$M$9581</f>
        <v>0.247098773220278</v>
      </c>
      <c r="N9604" s="13" t="n">
        <f aca="false">Sens!$N$9603/Sens!$N$9581</f>
        <v>0.551227795793364</v>
      </c>
      <c r="O9604" s="13" t="n">
        <f aca="false">Sens!$O$9603/Sens!$O$9581</f>
        <v>0.656132068597002</v>
      </c>
    </row>
    <row r="9605" customFormat="false" ht="17.15" hidden="false" customHeight="false" outlineLevel="0" collapsed="false">
      <c r="A9605" s="5" t="s">
        <v>645</v>
      </c>
      <c r="B9605" s="0" t="s">
        <v>86</v>
      </c>
      <c r="C9605" s="39" t="n">
        <v>0</v>
      </c>
      <c r="D9605" s="39" t="n">
        <v>0</v>
      </c>
      <c r="E9605" s="39" t="n">
        <v>0</v>
      </c>
      <c r="F9605" s="38" t="n">
        <f aca="false">IF(internal_ai_reading=2,1,0)*(1-ext_sh)/ext_sh*(mw_open*he_open+Sens!$F$9579*Sens!$F$9576)*Sens!$F$9565/1000</f>
        <v>3.77122048175818</v>
      </c>
      <c r="G9605" s="38" t="n">
        <f aca="false">Sens!$E$9605+Sens!$F$9605</f>
        <v>3.77122048175818</v>
      </c>
      <c r="H9605" s="38" t="n">
        <f aca="false">IF(internal_ai_reading=2,1,0)*(1-ext_sh)/ext_sh*(mw_open*he_open+Sens!$H$9579*Sens!$H$9576)*Sens!$H$9565/1000</f>
        <v>15.1635543609893</v>
      </c>
      <c r="I9605" s="38" t="n">
        <f aca="false">IF(internal_ai_reading=2,1,0)*(1-ext_sh)/ext_sh*(mw_open*he_open+Sens!$I$9579*Sens!$I$9576)*Sens!$I$9565/1000</f>
        <v>25.5818843619889</v>
      </c>
      <c r="J9605" s="38" t="n">
        <f aca="false">IF(internal_ai_reading=2,1,0)*(1-ext_sh)/ext_sh*(mw_open*he_open+Sens!$J$9579*Sens!$J$9576)*Sens!$J$9565/1000</f>
        <v>36.0465624179122</v>
      </c>
      <c r="K9605" s="38" t="n">
        <f aca="false">IF(internal_ai_reading=2,1,0)*(1-ext_sh)/ext_sh*(mw_open*he_open+Sens!$K$9579*Sens!$K$9576)*Sens!$K$9565/1000</f>
        <v>45.0461919819152</v>
      </c>
      <c r="L9605" s="38" t="n">
        <f aca="false">IF(internal_ai_reading=2,1,0)*(1-ext_sh)/ext_sh*(mw_open*he_open+Sens!$L$9579*Sens!$L$9576)*Sens!$L$9565/1000</f>
        <v>51.1279288493339</v>
      </c>
      <c r="M9605" s="38" t="n">
        <f aca="false">IF(internal_ai_reading=2,1,0)*(1-ext_sh)/ext_sh*(mw_open*he_open+Sens!$M$9579*Sens!$M$9576)*Sens!$M$9565/1000</f>
        <v>54.2845128319481</v>
      </c>
      <c r="N9605" s="39" t="n">
        <v>0</v>
      </c>
      <c r="O9605" s="39" t="n">
        <v>0</v>
      </c>
      <c r="P9605" s="8" t="s">
        <v>646</v>
      </c>
    </row>
    <row r="9606" customFormat="false" ht="17.15" hidden="false" customHeight="false" outlineLevel="0" collapsed="false">
      <c r="A9606" s="5" t="s">
        <v>647</v>
      </c>
      <c r="B9606" s="0" t="s">
        <v>86</v>
      </c>
      <c r="C9606" s="38" t="n">
        <f aca="false">(1-ext_sh)*(Sens!$C$9583+Sens!$C$9599)</f>
        <v>0.169206631859174</v>
      </c>
      <c r="D9606" s="38" t="n">
        <f aca="false">(1-ext_sh)*(Sens!$D$9583+Sens!$D$9599)</f>
        <v>0.828129837730442</v>
      </c>
      <c r="E9606" s="38" t="n">
        <f aca="false">(1-ext_sh)*(Sens!$E$9583+Sens!$E$9599)</f>
        <v>1.33171670102377</v>
      </c>
      <c r="F9606" s="38" t="n">
        <f aca="false">(1-ext_sh)*(Sens!$F$9583+Sens!$F$9599)</f>
        <v>1.67134326207455</v>
      </c>
      <c r="G9606" s="38" t="n">
        <f aca="false">(1-ext_sh)*(Sens!$G$9583+Sens!$G$9599)</f>
        <v>3.00305996309832</v>
      </c>
      <c r="H9606" s="38" t="n">
        <f aca="false">(1-ext_sh)*(Sens!$H$9583+Sens!$H$9599)</f>
        <v>8.49498626530648</v>
      </c>
      <c r="I9606" s="38" t="n">
        <f aca="false">(1-ext_sh)*(Sens!$I$9583+Sens!$I$9599)</f>
        <v>16.1148644972155</v>
      </c>
      <c r="J9606" s="38" t="n">
        <f aca="false">(1-ext_sh)*(Sens!$J$9583+Sens!$J$9599)</f>
        <v>23.9410833819812</v>
      </c>
      <c r="K9606" s="38" t="n">
        <f aca="false">(1-ext_sh)*(Sens!$K$9583+Sens!$K$9599)</f>
        <v>31.6147312957258</v>
      </c>
      <c r="L9606" s="38" t="n">
        <f aca="false">(1-ext_sh)*(Sens!$L$9583+Sens!$L$9599)</f>
        <v>37.0408603344581</v>
      </c>
      <c r="M9606" s="38" t="n">
        <f aca="false">(1-ext_sh)*(Sens!$M$9583+Sens!$M$9599)</f>
        <v>40.5418251577522</v>
      </c>
      <c r="N9606" s="38" t="n">
        <f aca="false">(1-ext_sh)*(Sens!$N$9583+Sens!$N$9599)</f>
        <v>0.34177588266428</v>
      </c>
      <c r="O9606" s="38" t="n">
        <f aca="false">(1-ext_sh)*(Sens!$O$9583+Sens!$O$9599)</f>
        <v>0.486353955066162</v>
      </c>
    </row>
    <row r="9607" customFormat="false" ht="17.15" hidden="false" customHeight="false" outlineLevel="0" collapsed="false">
      <c r="A9607" s="0" t="s">
        <v>648</v>
      </c>
      <c r="B9607" s="0" t="s">
        <v>86</v>
      </c>
      <c r="C9607" s="38" t="n">
        <f aca="false">Q!$D$24</f>
        <v>39.834</v>
      </c>
      <c r="D9607" s="38" t="n">
        <f aca="false">Q!$E$24</f>
        <v>45.606</v>
      </c>
      <c r="E9607" s="38" t="n">
        <f aca="false">Q!$P$24</f>
        <v>30.782</v>
      </c>
      <c r="N9607" s="38" t="n">
        <f aca="false">Q!$N$24</f>
        <v>21.707</v>
      </c>
      <c r="O9607" s="38" t="n">
        <f aca="false">Q!$O$24</f>
        <v>23.899</v>
      </c>
    </row>
    <row r="9608" customFormat="false" ht="17.15" hidden="false" customHeight="false" outlineLevel="0" collapsed="false">
      <c r="A9608" s="0" t="s">
        <v>649</v>
      </c>
      <c r="B9608" s="0" t="s">
        <v>86</v>
      </c>
      <c r="C9608" s="38" t="n">
        <f aca="false">Sens!$C$9607-Sens!$C$9603</f>
        <v>38.1898211704631</v>
      </c>
      <c r="D9608" s="38" t="n">
        <f aca="false">Sens!$D$9607-Sens!$D$9603</f>
        <v>40.2147492622706</v>
      </c>
      <c r="E9608" s="38" t="n">
        <f aca="false">Sens!$E$9607-Sens!$E$9603</f>
        <v>27.5985138285251</v>
      </c>
      <c r="F9608" s="38" t="n">
        <f aca="false">Sens!$F$9585*Sens!$F$9609</f>
        <v>25.5484769754606</v>
      </c>
      <c r="G9608" s="38" t="n">
        <f aca="false">Sens!$E$9608+Sens!$F$9608</f>
        <v>53.1469908039857</v>
      </c>
      <c r="H9608" s="38" t="n">
        <f aca="false">Sens!$H$9585*Sens!$H$9609</f>
        <v>57.3189525076539</v>
      </c>
      <c r="I9608" s="38" t="n">
        <f aca="false">Sens!$I$9585*Sens!$I$9609</f>
        <v>63.6385627021087</v>
      </c>
      <c r="J9608" s="38" t="n">
        <f aca="false">Sens!$J$9585*Sens!$J$9609</f>
        <v>69.6922896066105</v>
      </c>
      <c r="K9608" s="38" t="n">
        <f aca="false">Sens!$K$9585*Sens!$K$9609</f>
        <v>75.2676727751394</v>
      </c>
      <c r="L9608" s="38" t="n">
        <f aca="false">Sens!$L$9585*Sens!$L$9609</f>
        <v>81.2890865971505</v>
      </c>
      <c r="M9608" s="38" t="n">
        <f aca="false">Sens!$M$9585*Sens!$M$9609</f>
        <v>87.7922135249226</v>
      </c>
      <c r="N9608" s="38" t="n">
        <f aca="false">Sens!$N$9607-Sens!$N$9603</f>
        <v>20.0277839996292</v>
      </c>
      <c r="O9608" s="38" t="n">
        <f aca="false">Sens!$O$9607-Sens!$O$9603</f>
        <v>20.1869652626414</v>
      </c>
      <c r="P9608" s="5" t="s">
        <v>650</v>
      </c>
    </row>
    <row r="9609" customFormat="false" ht="17.15" hidden="false" customHeight="false" outlineLevel="0" collapsed="false">
      <c r="A9609" s="0" t="s">
        <v>651</v>
      </c>
      <c r="B9609" s="0" t="s">
        <v>52</v>
      </c>
      <c r="C9609" s="13" t="n">
        <f aca="false">Sens!$C$9608/Sens!$C$9585</f>
        <v>0.362900395443635</v>
      </c>
      <c r="D9609" s="13" t="n">
        <f aca="false">Sens!$D$9608/Sens!$D$9585</f>
        <v>0.335063632425483</v>
      </c>
      <c r="E9609" s="13" t="n">
        <f aca="false">Sens!$E$9608/Sens!$E$9585</f>
        <v>0.387028992698038</v>
      </c>
      <c r="F9609" s="13" t="n">
        <f aca="false">(Sens!$O$9608+Sens!$E$9608)/(Sens!$O$9585+Sens!$E$9585)</f>
        <v>0.355980580118587</v>
      </c>
      <c r="G9609" s="13" t="n">
        <f aca="false">Sens!$G$9608/Sens!$G$9585</f>
        <v>0.371454804780916</v>
      </c>
      <c r="H9609" s="13" t="n">
        <f aca="false">Sens!$F$9609</f>
        <v>0.355980580118587</v>
      </c>
      <c r="I9609" s="13" t="n">
        <f aca="false">Sens!$F$9609</f>
        <v>0.355980580118587</v>
      </c>
      <c r="J9609" s="13" t="n">
        <f aca="false">Sens!$F$9609</f>
        <v>0.355980580118587</v>
      </c>
      <c r="K9609" s="13" t="n">
        <f aca="false">Sens!$F$9609</f>
        <v>0.355980580118587</v>
      </c>
      <c r="L9609" s="13" t="n">
        <f aca="false">Sens!$F$9609</f>
        <v>0.355980580118587</v>
      </c>
      <c r="M9609" s="13" t="n">
        <f aca="false">Sens!$F$9609</f>
        <v>0.355980580118587</v>
      </c>
      <c r="N9609" s="13" t="n">
        <f aca="false">Sens!$N$9608/Sens!$N$9585</f>
        <v>0.35078810535806</v>
      </c>
      <c r="O9609" s="13" t="n">
        <f aca="false">Sens!$O$9608/Sens!$O$9585</f>
        <v>0.320796939361619</v>
      </c>
      <c r="P9609" s="8" t="s">
        <v>652</v>
      </c>
    </row>
    <row r="9610" customFormat="false" ht="17.15" hidden="false" customHeight="false" outlineLevel="0" collapsed="false">
      <c r="A9610" s="0" t="s">
        <v>653</v>
      </c>
      <c r="B9610" s="0" t="s">
        <v>52</v>
      </c>
      <c r="D9610" s="13" t="n">
        <f aca="false">(Q!$E$31-ext_sh*Sens!$D$9599)/Sens!$D$9585</f>
        <v>0.167180325480118</v>
      </c>
    </row>
    <row r="9611" customFormat="false" ht="17.15" hidden="false" customHeight="false" outlineLevel="0" collapsed="false">
      <c r="A9611" s="0" t="s">
        <v>654</v>
      </c>
      <c r="B9611" s="0" t="s">
        <v>86</v>
      </c>
      <c r="C9611" s="38" t="n">
        <f aca="false">Q!$D$31</f>
        <v>13.32</v>
      </c>
      <c r="D9611" s="38" t="n">
        <f aca="false">Q!$E$31</f>
        <v>21.45</v>
      </c>
      <c r="E9611" s="38" t="n">
        <f aca="false">Q!$P$31</f>
        <v>15.353</v>
      </c>
      <c r="F9611" s="38" t="n">
        <f aca="false">ext_sh*Sens!$F$9599+Sens!$D$9610*Sens!$F$9585</f>
        <v>15.4404120185306</v>
      </c>
      <c r="G9611" s="38" t="n">
        <f aca="false">Sens!$E$9611+Sens!$F$9611</f>
        <v>30.7934120185306</v>
      </c>
      <c r="H9611" s="38" t="n">
        <f aca="false">ext_sh*Sens!$H$9599+Sens!$D$9610*Sens!$H$9585</f>
        <v>48.250114371455</v>
      </c>
      <c r="I9611" s="38" t="n">
        <f aca="false">ext_sh*Sens!$I$9599+Sens!$D$9610*Sens!$I$9585</f>
        <v>73.3965146995963</v>
      </c>
      <c r="J9611" s="38" t="n">
        <f aca="false">ext_sh*Sens!$J$9599+Sens!$D$9610*Sens!$J$9585</f>
        <v>99.22806138309</v>
      </c>
      <c r="K9611" s="38" t="n">
        <f aca="false">ext_sh*Sens!$K$9599+Sens!$D$9610*Sens!$K$9585</f>
        <v>125.386627452856</v>
      </c>
      <c r="L9611" s="38" t="n">
        <f aca="false">ext_sh*Sens!$L$9599+Sens!$D$9610*Sens!$L$9585</f>
        <v>145.084446099433</v>
      </c>
      <c r="M9611" s="38" t="n">
        <f aca="false">ext_sh*Sens!$M$9599+Sens!$D$9610*Sens!$M$9585</f>
        <v>159.630097911032</v>
      </c>
      <c r="N9611" s="38" t="n">
        <f aca="false">Q!$N$31</f>
        <v>9.234</v>
      </c>
      <c r="O9611" s="38" t="n">
        <f aca="false">Q!$O$31</f>
        <v>12.216</v>
      </c>
    </row>
    <row r="9612" customFormat="false" ht="17.15" hidden="false" customHeight="false" outlineLevel="0" collapsed="false">
      <c r="A9612" s="1" t="s">
        <v>655</v>
      </c>
    </row>
    <row r="9613" customFormat="false" ht="17.15" hidden="false" customHeight="false" outlineLevel="0" collapsed="false">
      <c r="A9613" s="15" t="s">
        <v>656</v>
      </c>
      <c r="B9613" s="14" t="s">
        <v>52</v>
      </c>
      <c r="C9613" s="14"/>
      <c r="D9613" s="14"/>
      <c r="E9613" s="14"/>
      <c r="F9613" s="14"/>
      <c r="G9613" s="17" t="n">
        <f aca="false">Sens!$G$9603*(1-tax)/(ext_sh*(Sens!$D$9600+Sens!$G$9600)/2)</f>
        <v>0.0966870495301478</v>
      </c>
      <c r="H9613" s="17" t="n">
        <f aca="false">Sens!$H$9603*(1-tax)/(ext_sh*(Sens!$G$9600+Sens!$H$9600)/2)</f>
        <v>0.100492020334136</v>
      </c>
      <c r="I9613" s="17" t="n">
        <f aca="false">Sens!$I$9603*(1-tax)/(ext_sh*(Sens!$H$9600+Sens!$I$9600)/2)</f>
        <v>0.0889392292218236</v>
      </c>
      <c r="J9613" s="17" t="n">
        <f aca="false">Sens!$J$9603*(1-tax)/(ext_sh*(Sens!$I$9600+Sens!$J$9600)/2)</f>
        <v>0.0858364613777012</v>
      </c>
      <c r="K9613" s="17" t="n">
        <f aca="false">Sens!$K$9603*(1-tax)/(ext_sh*(Sens!$J$9600+Sens!$K$9600)/2)</f>
        <v>0.0824586556311099</v>
      </c>
      <c r="L9613" s="17" t="n">
        <f aca="false">Sens!$L$9603*(1-tax)/(ext_sh*(Sens!$K$9600+Sens!$L$9600)/2)</f>
        <v>0.083150030062017</v>
      </c>
      <c r="M9613" s="17" t="n">
        <f aca="false">Sens!$M$9603*(1-tax)/(ext_sh*(Sens!$L$9600+Sens!$M$9600)/2)</f>
        <v>0.0811104855858095</v>
      </c>
      <c r="N9613" s="14"/>
      <c r="O9613" s="14"/>
      <c r="P9613" s="8" t="s">
        <v>657</v>
      </c>
    </row>
    <row r="9614" customFormat="false" ht="17.15" hidden="false" customHeight="false" outlineLevel="0" collapsed="false">
      <c r="A9614" s="5" t="s">
        <v>658</v>
      </c>
      <c r="B9614" s="0" t="s">
        <v>57</v>
      </c>
      <c r="H9614" s="36" t="n">
        <f aca="false">Sens!$H$9581*1000/(mw_open*he_open+Sens!$H$9579*Sens!$H$9576)</f>
        <v>0.991949006767191</v>
      </c>
      <c r="I9614" s="36" t="n">
        <f aca="false">Sens!$I$9581*1000/(mw_open*he_open+Sens!$I$9579*Sens!$I$9576)</f>
        <v>0.991949006767191</v>
      </c>
      <c r="J9614" s="36" t="n">
        <f aca="false">Sens!$J$9581*1000/(mw_open*he_open+Sens!$J$9579*Sens!$J$9576)</f>
        <v>0.991949006767191</v>
      </c>
      <c r="K9614" s="36" t="n">
        <f aca="false">Sens!$K$9581*1000/(mw_open*he_open+Sens!$K$9579*Sens!$K$9576)</f>
        <v>0.991949006767191</v>
      </c>
      <c r="L9614" s="36" t="n">
        <f aca="false">Sens!$L$9581*1000/(mw_open*he_open+Sens!$L$9579*Sens!$L$9576)</f>
        <v>0.991949006767191</v>
      </c>
      <c r="M9614" s="36" t="n">
        <f aca="false">Sens!$M$9581*1000/(mw_open*he_open+Sens!$M$9579*Sens!$M$9576)</f>
        <v>0.991949006767191</v>
      </c>
    </row>
    <row r="9615" customFormat="false" ht="17.15" hidden="false" customHeight="false" outlineLevel="0" collapsed="false">
      <c r="A9615" s="5" t="s">
        <v>659</v>
      </c>
      <c r="B9615" s="0" t="s">
        <v>57</v>
      </c>
      <c r="H9615" s="36" t="n">
        <f aca="false">Sens!$H$9614*(Sens!$H$9581+wacc*ext_sh*(Sens!$G$9600+Sens!$H$9600)/2/(1-tax)-Sens!$H$9603)/Sens!$H$9581</f>
        <v>1.04696246089529</v>
      </c>
      <c r="I9615" s="36" t="n">
        <f aca="false">Sens!$I$9614*(Sens!$I$9581+wacc*ext_sh*(Sens!$H$9600+Sens!$I$9600)/2/(1-tax)-Sens!$I$9603)/Sens!$I$9581</f>
        <v>1.09109607940198</v>
      </c>
      <c r="J9615" s="36" t="n">
        <f aca="false">Sens!$J$9614*(Sens!$J$9581+wacc*ext_sh*(Sens!$I$9600+Sens!$J$9600)/2/(1-tax)-Sens!$J$9603)/Sens!$J$9581</f>
        <v>1.09681234280071</v>
      </c>
      <c r="K9615" s="36" t="n">
        <f aca="false">Sens!$K$9614*(Sens!$K$9581+wacc*ext_sh*(Sens!$J$9600+Sens!$K$9600)/2/(1-tax)-Sens!$K$9603)/Sens!$K$9581</f>
        <v>1.10045111837667</v>
      </c>
      <c r="L9615" s="36" t="n">
        <f aca="false">Sens!$L$9614*(Sens!$L$9581+wacc*ext_sh*(Sens!$K$9600+Sens!$L$9600)/2/(1-tax)-Sens!$L$9603)/Sens!$L$9581</f>
        <v>1.0889263740366</v>
      </c>
      <c r="M9615" s="36" t="n">
        <f aca="false">Sens!$M$9614*(Sens!$M$9581+wacc*ext_sh*(Sens!$L$9600+Sens!$M$9600)/2/(1-tax)-Sens!$M$9603)/Sens!$M$9581</f>
        <v>1.08921534973765</v>
      </c>
    </row>
    <row r="9616" customFormat="false" ht="17.15" hidden="false" customHeight="false" outlineLevel="0" collapsed="false">
      <c r="A9616" s="5" t="s">
        <v>660</v>
      </c>
      <c r="B9616" s="0" t="s">
        <v>52</v>
      </c>
      <c r="C9616" s="13" t="n">
        <f aca="false">Sens!$C$9582/tk_pq</f>
        <v>0.195316432429398</v>
      </c>
      <c r="D9616" s="13" t="n">
        <f aca="false">Sens!$D$9582/tk_pq</f>
        <v>0.195316432429398</v>
      </c>
      <c r="E9616" s="13" t="n">
        <f aca="false">Sens!$E$9582/tk_pq</f>
        <v>0.195316432429398</v>
      </c>
      <c r="F9616" s="13" t="n">
        <f aca="false">Sens!$F$9582/tk_pq</f>
        <v>0.202241827274866</v>
      </c>
      <c r="G9616" s="13" t="n">
        <f aca="false">Sens!$G$9582/tk_pq</f>
        <v>0.199675016194063</v>
      </c>
      <c r="H9616" s="13" t="n">
        <f aca="false">Sens!$H$9582/tk_pq</f>
        <v>0.212647947710325</v>
      </c>
      <c r="I9616" s="13" t="n">
        <f aca="false">Sens!$I$9582/tk_pq</f>
        <v>0.219285125475351</v>
      </c>
      <c r="J9616" s="13" t="n">
        <f aca="false">Sens!$J$9582/tk_pq</f>
        <v>0.222492493217189</v>
      </c>
      <c r="K9616" s="13" t="n">
        <f aca="false">Sens!$K$9582/tk_pq</f>
        <v>0.224068966220005</v>
      </c>
      <c r="L9616" s="13" t="n">
        <f aca="false">Sens!$L$9582/tk_pq</f>
        <v>0.224830053471997</v>
      </c>
      <c r="M9616" s="13" t="n">
        <f aca="false">Sens!$M$9582/tk_pq</f>
        <v>0.22513299704272</v>
      </c>
      <c r="N9616" s="13" t="n">
        <f aca="false">Sens!$N$9582/tk_pq</f>
        <v>0.195316432429398</v>
      </c>
      <c r="O9616" s="13" t="n">
        <f aca="false">Sens!$O$9582/tk_pq</f>
        <v>0.195316432429398</v>
      </c>
      <c r="P9616" s="5" t="s">
        <v>661</v>
      </c>
    </row>
    <row r="9619" customFormat="false" ht="17.15" hidden="false" customHeight="false" outlineLevel="0" collapsed="false">
      <c r="A9619" s="1" t="s">
        <v>690</v>
      </c>
    </row>
    <row r="9620" customFormat="false" ht="17.15" hidden="false" customHeight="false" outlineLevel="0" collapsed="false">
      <c r="A9620" s="0" t="s">
        <v>691</v>
      </c>
      <c r="B9620" s="0" t="s">
        <v>86</v>
      </c>
      <c r="C9620" s="38" t="n">
        <f aca="false">Sens!$C$9581</f>
        <v>2.32100535697364</v>
      </c>
      <c r="D9620" s="38" t="n">
        <f aca="false">Sens!$D$9581</f>
        <v>8.70377008865116</v>
      </c>
      <c r="E9620" s="38" t="n">
        <f aca="false">Sens!$E$9581</f>
        <v>8.51035297557002</v>
      </c>
      <c r="F9620" s="38" t="n">
        <f aca="false">Sens!$F$9581</f>
        <v>14.9634336447205</v>
      </c>
      <c r="G9620" s="38" t="n">
        <f aca="false">Sens!$G$9581</f>
        <v>23.4737866202905</v>
      </c>
      <c r="H9620" s="38" t="n">
        <f aca="false">Sens!$H$9581</f>
        <v>60.1658907497746</v>
      </c>
      <c r="I9620" s="38" t="n">
        <f aca="false">Sens!$I$9581</f>
        <v>101.503699136432</v>
      </c>
      <c r="J9620" s="38" t="n">
        <f aca="false">Sens!$J$9581</f>
        <v>143.025407151278</v>
      </c>
      <c r="K9620" s="38" t="n">
        <f aca="false">Sens!$K$9581</f>
        <v>178.73410158042</v>
      </c>
      <c r="L9620" s="38" t="n">
        <f aca="false">Sens!$L$9581</f>
        <v>202.865192960641</v>
      </c>
      <c r="M9620" s="38" t="n">
        <f aca="false">Sens!$M$9581</f>
        <v>215.389874345967</v>
      </c>
      <c r="N9620" s="38" t="n">
        <f aca="false">Sens!$N$9581</f>
        <v>3.04631953102791</v>
      </c>
      <c r="O9620" s="38" t="n">
        <f aca="false">Sens!$O$9581</f>
        <v>5.65745055762326</v>
      </c>
      <c r="P9620" s="8" t="s">
        <v>692</v>
      </c>
    </row>
    <row r="9621" customFormat="false" ht="17.15" hidden="false" customHeight="false" outlineLevel="0" collapsed="false">
      <c r="A9621" s="0" t="s">
        <v>693</v>
      </c>
      <c r="B9621" s="0" t="s">
        <v>86</v>
      </c>
      <c r="C9621" s="38" t="n">
        <f aca="false">Sens!$C$9585</f>
        <v>105.234994643026</v>
      </c>
      <c r="D9621" s="38" t="n">
        <f aca="false">Sens!$D$9585</f>
        <v>120.021229911349</v>
      </c>
      <c r="E9621" s="38" t="n">
        <f aca="false">Sens!$E$9585</f>
        <v>71.30864702443</v>
      </c>
      <c r="F9621" s="38" t="n">
        <f aca="false">Sens!$F$9585</f>
        <v>71.7692997942464</v>
      </c>
      <c r="G9621" s="38" t="n">
        <f aca="false">Sens!$G$9585</f>
        <v>143.077946818676</v>
      </c>
      <c r="H9621" s="38" t="n">
        <f aca="false">Sens!$H$9585</f>
        <v>161.017077079203</v>
      </c>
      <c r="I9621" s="38" t="n">
        <f aca="false">Sens!$I$9585</f>
        <v>178.769759521457</v>
      </c>
      <c r="J9621" s="38" t="n">
        <f aca="false">Sens!$J$9585</f>
        <v>195.775538045907</v>
      </c>
      <c r="K9621" s="38" t="n">
        <f aca="false">Sens!$K$9585</f>
        <v>211.43758108958</v>
      </c>
      <c r="L9621" s="38" t="n">
        <f aca="false">Sens!$L$9585</f>
        <v>228.352587576746</v>
      </c>
      <c r="M9621" s="38" t="n">
        <f aca="false">Sens!$M$9585</f>
        <v>246.620794582886</v>
      </c>
      <c r="N9621" s="38" t="n">
        <f aca="false">Sens!$N$9585</f>
        <v>57.0936804689721</v>
      </c>
      <c r="O9621" s="38" t="n">
        <f aca="false">Sens!$O$9585</f>
        <v>62.9275494423768</v>
      </c>
      <c r="P9621" s="8" t="s">
        <v>692</v>
      </c>
    </row>
    <row r="9622" customFormat="false" ht="17.15" hidden="false" customHeight="false" outlineLevel="0" collapsed="false">
      <c r="A9622" s="1" t="s">
        <v>516</v>
      </c>
      <c r="B9622" s="8" t="s">
        <v>86</v>
      </c>
      <c r="C9622" s="38" t="n">
        <f aca="false">Q!$D$7</f>
        <v>107.556</v>
      </c>
      <c r="D9622" s="38" t="n">
        <f aca="false">Q!$E$7</f>
        <v>128.725</v>
      </c>
      <c r="E9622" s="38" t="n">
        <f aca="false">Q!$P$7</f>
        <v>79.819</v>
      </c>
      <c r="F9622" s="38" t="n">
        <f aca="false">Sens!$F$9620+Sens!$F$9621</f>
        <v>86.7327334389669</v>
      </c>
      <c r="G9622" s="38" t="n">
        <f aca="false">Sens!$G$9620+Sens!$G$9621</f>
        <v>166.551733438967</v>
      </c>
      <c r="H9622" s="38" t="n">
        <f aca="false">Sens!$H$9620+Sens!$H$9621</f>
        <v>221.182967828978</v>
      </c>
      <c r="I9622" s="38" t="n">
        <f aca="false">Sens!$I$9620+Sens!$I$9621</f>
        <v>280.27345865789</v>
      </c>
      <c r="J9622" s="38" t="n">
        <f aca="false">Sens!$J$9620+Sens!$J$9621</f>
        <v>338.800945197185</v>
      </c>
      <c r="K9622" s="38" t="n">
        <f aca="false">Sens!$K$9620+Sens!$K$9621</f>
        <v>390.17168267</v>
      </c>
      <c r="L9622" s="38" t="n">
        <f aca="false">Sens!$L$9620+Sens!$L$9621</f>
        <v>431.217780537388</v>
      </c>
      <c r="M9622" s="38" t="n">
        <f aca="false">Sens!$M$9620+Sens!$M$9621</f>
        <v>462.010668928853</v>
      </c>
      <c r="N9622" s="38" t="n">
        <f aca="false">Q!$N$7</f>
        <v>60.14</v>
      </c>
      <c r="O9622" s="38" t="n">
        <f aca="false">Q!$O$7</f>
        <v>68.585</v>
      </c>
      <c r="P9622" s="5" t="s">
        <v>694</v>
      </c>
    </row>
    <row r="9623" customFormat="false" ht="15" hidden="false" customHeight="false" outlineLevel="0" collapsed="false">
      <c r="A9623" s="3" t="s">
        <v>695</v>
      </c>
      <c r="B9623" s="8" t="s">
        <v>86</v>
      </c>
      <c r="C9623" s="38" t="n">
        <f aca="false">Q!$D$8</f>
        <v>637.959</v>
      </c>
      <c r="D9623" s="38" t="n">
        <f aca="false">Q!$E$8</f>
        <v>716.924</v>
      </c>
      <c r="E9623" s="38" t="n">
        <f aca="false">Q!$P$8</f>
        <v>382.125</v>
      </c>
      <c r="F9623" s="38" t="n">
        <f aca="false">Sens!$F$9553+Sens!$F$9622</f>
        <v>435.780975084504</v>
      </c>
      <c r="G9623" s="38" t="n">
        <f aca="false">Sens!$G$9553+Sens!$G$9622</f>
        <v>817.905975084504</v>
      </c>
      <c r="H9623" s="38" t="n">
        <f aca="false">Sens!$H$9553+Sens!$H$9622</f>
        <v>942.279857350364</v>
      </c>
      <c r="I9623" s="38" t="n">
        <f aca="false">Sens!$I$9553+Sens!$I$9622</f>
        <v>1068.80284981042</v>
      </c>
      <c r="J9623" s="38" t="n">
        <f aca="false">Sens!$J$9553+Sens!$J$9622</f>
        <v>1189.90935093863</v>
      </c>
      <c r="K9623" s="38" t="n">
        <f aca="false">Sens!$K$9553+Sens!$K$9622</f>
        <v>1296.34813810109</v>
      </c>
      <c r="L9623" s="38" t="n">
        <f aca="false">Sens!$L$9553+Sens!$L$9622</f>
        <v>1396.31088701298</v>
      </c>
      <c r="M9623" s="38" t="n">
        <f aca="false">Sens!$M$9553+Sens!$M$9622</f>
        <v>1490.15857687574</v>
      </c>
      <c r="N9623" s="38" t="n">
        <f aca="false">Q!$N$8</f>
        <v>323.369</v>
      </c>
      <c r="O9623" s="38" t="n">
        <f aca="false">Q!$O$8</f>
        <v>393.555</v>
      </c>
    </row>
    <row r="9624" customFormat="false" ht="17.15" hidden="false" customHeight="false" outlineLevel="0" collapsed="false">
      <c r="A9624" s="24" t="s">
        <v>703</v>
      </c>
      <c r="B9624" s="25" t="s">
        <v>86</v>
      </c>
      <c r="C9624" s="41" t="n">
        <f aca="false">Sens!$C$9553-(Sens!$C$9555+Sens!$C$9556)</f>
        <v>0</v>
      </c>
      <c r="D9624" s="41" t="n">
        <f aca="false">Sens!$D$9553-(Sens!$D$9555+Sens!$D$9556)</f>
        <v>0</v>
      </c>
      <c r="E9624" s="41" t="n">
        <f aca="false">Sens!$E$9553-(Sens!$E$9555+Sens!$E$9556)</f>
        <v>0</v>
      </c>
      <c r="F9624" s="41" t="n">
        <f aca="false">Sens!$F$9553-(Sens!$F$9555+Sens!$F$9556)</f>
        <v>0</v>
      </c>
      <c r="G9624" s="41" t="n">
        <f aca="false">Sens!$G$9553-(Sens!$G$9555+Sens!$G$9556)</f>
        <v>0</v>
      </c>
      <c r="H9624" s="41" t="n">
        <f aca="false">Sens!$H$9553-(Sens!$H$9555+Sens!$H$9556)</f>
        <v>0</v>
      </c>
      <c r="I9624" s="41" t="n">
        <f aca="false">Sens!$I$9553-(Sens!$I$9555+Sens!$I$9556)</f>
        <v>0</v>
      </c>
      <c r="J9624" s="41" t="n">
        <f aca="false">Sens!$J$9553-(Sens!$J$9555+Sens!$J$9556)</f>
        <v>0</v>
      </c>
      <c r="K9624" s="41" t="n">
        <f aca="false">Sens!$K$9553-(Sens!$K$9555+Sens!$K$9556)</f>
        <v>0</v>
      </c>
      <c r="L9624" s="41" t="n">
        <f aca="false">Sens!$L$9553-(Sens!$L$9555+Sens!$L$9556)</f>
        <v>0</v>
      </c>
      <c r="M9624" s="41" t="n">
        <f aca="false">Sens!$M$9553-(Sens!$M$9555+Sens!$M$9556)</f>
        <v>0</v>
      </c>
      <c r="N9624" s="41" t="n">
        <f aca="false">Sens!$N$9553-(Sens!$N$9555+Sens!$N$9556)</f>
        <v>0</v>
      </c>
      <c r="O9624" s="41" t="n">
        <f aca="false">Sens!$O$9553-(Sens!$O$9555+Sens!$O$9556)</f>
        <v>0</v>
      </c>
    </row>
    <row r="9625" customFormat="false" ht="17.15" hidden="false" customHeight="false" outlineLevel="0" collapsed="false">
      <c r="A9625" s="24" t="s">
        <v>704</v>
      </c>
      <c r="B9625" s="25" t="s">
        <v>86</v>
      </c>
      <c r="C9625" s="41" t="n">
        <f aca="false">Sens!$C$9620+Sens!$C$9621-Sens!$C$9622</f>
        <v>0</v>
      </c>
      <c r="D9625" s="41" t="n">
        <f aca="false">Sens!$D$9620+Sens!$D$9621-Sens!$D$9622</f>
        <v>0</v>
      </c>
      <c r="E9625" s="41" t="n">
        <f aca="false">Sens!$E$9620+Sens!$E$9621-Sens!$E$9622</f>
        <v>0</v>
      </c>
      <c r="F9625" s="41" t="n">
        <f aca="false">Sens!$F$9620+Sens!$F$9621-Sens!$F$9622</f>
        <v>0</v>
      </c>
      <c r="G9625" s="41" t="n">
        <f aca="false">Sens!$G$9620+Sens!$G$9621-Sens!$G$9622</f>
        <v>0</v>
      </c>
      <c r="H9625" s="41" t="n">
        <f aca="false">Sens!$H$9620+Sens!$H$9621-Sens!$H$9622</f>
        <v>0</v>
      </c>
      <c r="I9625" s="41" t="n">
        <f aca="false">Sens!$I$9620+Sens!$I$9621-Sens!$I$9622</f>
        <v>0</v>
      </c>
      <c r="J9625" s="41" t="n">
        <f aca="false">Sens!$J$9620+Sens!$J$9621-Sens!$J$9622</f>
        <v>0</v>
      </c>
      <c r="K9625" s="41" t="n">
        <f aca="false">Sens!$K$9620+Sens!$K$9621-Sens!$K$9622</f>
        <v>0</v>
      </c>
      <c r="L9625" s="41" t="n">
        <f aca="false">Sens!$L$9620+Sens!$L$9621-Sens!$L$9622</f>
        <v>0</v>
      </c>
      <c r="M9625" s="41" t="n">
        <f aca="false">Sens!$M$9620+Sens!$M$9621-Sens!$M$9622</f>
        <v>0</v>
      </c>
      <c r="N9625" s="41" t="n">
        <f aca="false">Sens!$N$9620+Sens!$N$9621-Sens!$N$9622</f>
        <v>0</v>
      </c>
      <c r="O9625" s="41" t="n">
        <f aca="false">Sens!$O$9620+Sens!$O$9621-Sens!$O$9622</f>
        <v>0</v>
      </c>
    </row>
    <row r="9626" customFormat="false" ht="17.15" hidden="false" customHeight="false" outlineLevel="0" collapsed="false">
      <c r="A9626" s="24" t="s">
        <v>705</v>
      </c>
      <c r="B9626" s="25" t="s">
        <v>86</v>
      </c>
      <c r="C9626" s="41" t="n">
        <f aca="false">Sens!$C$9555+Sens!$C$9556+Sens!$C$9622-Sens!$C$9623</f>
        <v>0</v>
      </c>
      <c r="D9626" s="41" t="n">
        <f aca="false">Sens!$D$9555+Sens!$D$9556+Sens!$D$9622-Sens!$D$9623</f>
        <v>0</v>
      </c>
      <c r="E9626" s="41" t="n">
        <f aca="false">Sens!$E$9555+Sens!$E$9556+Sens!$E$9622-Sens!$E$9623</f>
        <v>0</v>
      </c>
      <c r="F9626" s="41" t="n">
        <f aca="false">Sens!$F$9555+Sens!$F$9556+Sens!$F$9622-Sens!$F$9623</f>
        <v>0</v>
      </c>
      <c r="G9626" s="41" t="n">
        <f aca="false">Sens!$G$9555+Sens!$G$9556+Sens!$G$9622-Sens!$G$9623</f>
        <v>0</v>
      </c>
      <c r="H9626" s="41" t="n">
        <f aca="false">Sens!$H$9555+Sens!$H$9556+Sens!$H$9622-Sens!$H$9623</f>
        <v>0</v>
      </c>
      <c r="I9626" s="41" t="n">
        <f aca="false">Sens!$I$9555+Sens!$I$9556+Sens!$I$9622-Sens!$I$9623</f>
        <v>0</v>
      </c>
      <c r="J9626" s="41" t="n">
        <f aca="false">Sens!$J$9555+Sens!$J$9556+Sens!$J$9622-Sens!$J$9623</f>
        <v>0</v>
      </c>
      <c r="K9626" s="41" t="n">
        <f aca="false">Sens!$K$9555+Sens!$K$9556+Sens!$K$9622-Sens!$K$9623</f>
        <v>0</v>
      </c>
      <c r="L9626" s="41" t="n">
        <f aca="false">Sens!$L$9555+Sens!$L$9556+Sens!$L$9622-Sens!$L$9623</f>
        <v>0</v>
      </c>
      <c r="M9626" s="41" t="n">
        <f aca="false">Sens!$M$9555+Sens!$M$9556+Sens!$M$9622-Sens!$M$9623</f>
        <v>0</v>
      </c>
      <c r="N9626" s="41" t="n">
        <f aca="false">Sens!$N$9555+Sens!$N$9556+Sens!$N$9622-Sens!$N$9623</f>
        <v>0</v>
      </c>
      <c r="O9626" s="41" t="n">
        <f aca="false">Sens!$O$9555+Sens!$O$9556+Sens!$O$9622-Sens!$O$9623</f>
        <v>0</v>
      </c>
    </row>
    <row r="9627" customFormat="false" ht="15" hidden="false" customHeight="false" outlineLevel="0" collapsed="false">
      <c r="A9627" s="5" t="s">
        <v>699</v>
      </c>
      <c r="B9627" s="0" t="s">
        <v>52</v>
      </c>
      <c r="G9627" s="13" t="n">
        <f aca="false">Sens!$G$9623/Sens!$D$9623-1</f>
        <v>0.140854504918937</v>
      </c>
      <c r="H9627" s="13" t="n">
        <f aca="false">Sens!$H$9623/Sens!$G$9623-1</f>
        <v>0.152063789793209</v>
      </c>
      <c r="I9627" s="13" t="n">
        <f aca="false">Sens!$I$9623/Sens!$H$9623-1</f>
        <v>0.134273264437417</v>
      </c>
      <c r="J9627" s="13" t="n">
        <f aca="false">Sens!$J$9623/Sens!$I$9623-1</f>
        <v>0.113310421234083</v>
      </c>
      <c r="K9627" s="13" t="n">
        <f aca="false">Sens!$K$9623/Sens!$J$9623-1</f>
        <v>0.0894511729641407</v>
      </c>
      <c r="L9627" s="13" t="n">
        <f aca="false">Sens!$L$9623/Sens!$K$9623-1</f>
        <v>0.077111036745358</v>
      </c>
      <c r="M9627" s="13" t="n">
        <f aca="false">Sens!$M$9623/Sens!$L$9623-1</f>
        <v>0.067211171047677</v>
      </c>
    </row>
    <row r="9628" customFormat="false" ht="17.15" hidden="false" customHeight="false" outlineLevel="0" collapsed="false">
      <c r="A9628" s="0" t="s">
        <v>700</v>
      </c>
      <c r="B9628" s="0" t="s">
        <v>52</v>
      </c>
      <c r="C9628" s="13" t="n">
        <f aca="false">Sens!$C$9622/Sens!$C$9623</f>
        <v>0.168593906504964</v>
      </c>
      <c r="D9628" s="13" t="n">
        <f aca="false">Sens!$D$9622/Sens!$D$9623</f>
        <v>0.179551807444025</v>
      </c>
      <c r="E9628" s="13" t="n">
        <f aca="false">Sens!$E$9622/Sens!$E$9623</f>
        <v>0.208881910369643</v>
      </c>
      <c r="F9628" s="13" t="n">
        <f aca="false">Sens!$F$9622/Sens!$F$9623</f>
        <v>0.199028269699356</v>
      </c>
      <c r="G9628" s="13" t="n">
        <f aca="false">Sens!$G$9622/Sens!$G$9623</f>
        <v>0.203631882529968</v>
      </c>
      <c r="H9628" s="13" t="n">
        <f aca="false">Sens!$H$9622/Sens!$H$9623</f>
        <v>0.234731715958496</v>
      </c>
      <c r="I9628" s="13" t="n">
        <f aca="false">Sens!$I$9622/Sens!$I$9623</f>
        <v>0.262231204480418</v>
      </c>
      <c r="J9628" s="13" t="n">
        <f aca="false">Sens!$J$9622/Sens!$J$9623</f>
        <v>0.284728366013706</v>
      </c>
      <c r="K9628" s="13" t="n">
        <f aca="false">Sens!$K$9622/Sens!$K$9623</f>
        <v>0.300977547004873</v>
      </c>
      <c r="L9628" s="13" t="n">
        <f aca="false">Sens!$L$9622/Sens!$L$9623</f>
        <v>0.308826483090639</v>
      </c>
      <c r="M9628" s="13" t="n">
        <f aca="false">Sens!$M$9622/Sens!$M$9623</f>
        <v>0.310041277551482</v>
      </c>
      <c r="N9628" s="13" t="n">
        <f aca="false">Sens!$N$9622/Sens!$N$9623</f>
        <v>0.185979484737251</v>
      </c>
      <c r="O9628" s="13" t="n">
        <f aca="false">Sens!$O$9622/Sens!$O$9623</f>
        <v>0.174270432341096</v>
      </c>
    </row>
    <row r="9629" customFormat="false" ht="17.15" hidden="false" customHeight="false" outlineLevel="0" collapsed="false">
      <c r="A9629" s="0" t="s">
        <v>701</v>
      </c>
      <c r="B9629" s="0" t="s">
        <v>52</v>
      </c>
      <c r="C9629" s="13" t="n">
        <f aca="false">Sens!$C$9620/Sens!$C$9622</f>
        <v>0.0215795060896058</v>
      </c>
      <c r="D9629" s="13" t="n">
        <f aca="false">Sens!$D$9620/Sens!$D$9622</f>
        <v>0.0676152269462122</v>
      </c>
      <c r="E9629" s="13" t="n">
        <f aca="false">Sens!$E$9620/Sens!$E$9622</f>
        <v>0.106620641395783</v>
      </c>
      <c r="F9629" s="13" t="n">
        <f aca="false">Sens!$F$9620/Sens!$F$9622</f>
        <v>0.172523487401099</v>
      </c>
      <c r="G9629" s="13" t="n">
        <f aca="false">Sens!$G$9620/Sens!$G$9622</f>
        <v>0.140939911795589</v>
      </c>
      <c r="H9629" s="13" t="n">
        <f aca="false">Sens!$H$9620/Sens!$H$9622</f>
        <v>0.272018642937714</v>
      </c>
      <c r="I9629" s="13" t="n">
        <f aca="false">Sens!$I$9620/Sens!$I$9622</f>
        <v>0.362159512436497</v>
      </c>
      <c r="J9629" s="13" t="n">
        <f aca="false">Sens!$J$9620/Sens!$J$9622</f>
        <v>0.422151735934609</v>
      </c>
      <c r="K9629" s="13" t="n">
        <f aca="false">Sens!$K$9620/Sens!$K$9622</f>
        <v>0.458090911050534</v>
      </c>
      <c r="L9629" s="13" t="n">
        <f aca="false">Sens!$L$9620/Sens!$L$9622</f>
        <v>0.470447189602963</v>
      </c>
      <c r="M9629" s="13" t="n">
        <f aca="false">Sens!$M$9620/Sens!$M$9622</f>
        <v>0.466201083289563</v>
      </c>
      <c r="N9629" s="13" t="n">
        <f aca="false">Sens!$N$9620/Sens!$N$9622</f>
        <v>0.0506537999838362</v>
      </c>
      <c r="O9629" s="13" t="n">
        <f aca="false">Sens!$O$9620/Sens!$O$9622</f>
        <v>0.0824881615167056</v>
      </c>
    </row>
    <row r="9632" customFormat="false" ht="19.4" hidden="false" customHeight="false" outlineLevel="0" collapsed="false">
      <c r="A9632" s="31" t="s">
        <v>1332</v>
      </c>
    </row>
    <row r="9633" customFormat="false" ht="17.15" hidden="false" customHeight="false" outlineLevel="0" collapsed="false">
      <c r="A9633" s="6" t="s">
        <v>16</v>
      </c>
      <c r="B9633" s="6" t="s">
        <v>17</v>
      </c>
      <c r="C9633" s="20" t="s">
        <v>497</v>
      </c>
      <c r="D9633" s="20" t="s">
        <v>498</v>
      </c>
      <c r="E9633" s="20" t="s">
        <v>580</v>
      </c>
      <c r="F9633" s="20" t="s">
        <v>581</v>
      </c>
      <c r="G9633" s="20" t="s">
        <v>582</v>
      </c>
      <c r="H9633" s="20" t="s">
        <v>583</v>
      </c>
      <c r="I9633" s="20" t="s">
        <v>584</v>
      </c>
      <c r="J9633" s="20" t="s">
        <v>585</v>
      </c>
      <c r="K9633" s="20" t="s">
        <v>586</v>
      </c>
      <c r="L9633" s="20" t="s">
        <v>587</v>
      </c>
      <c r="M9633" s="20" t="s">
        <v>588</v>
      </c>
      <c r="N9633" s="20" t="s">
        <v>589</v>
      </c>
      <c r="O9633" s="20" t="s">
        <v>590</v>
      </c>
      <c r="P9633" s="6" t="s">
        <v>23</v>
      </c>
      <c r="R9633" s="20" t="n">
        <v>2023</v>
      </c>
      <c r="S9633" s="20" t="n">
        <v>2024</v>
      </c>
      <c r="T9633" s="20" t="n">
        <v>2025</v>
      </c>
      <c r="U9633" s="20" t="n">
        <v>2026</v>
      </c>
      <c r="V9633" s="20" t="n">
        <v>2027</v>
      </c>
      <c r="W9633" s="20" t="n">
        <v>2028</v>
      </c>
      <c r="X9633" s="20" t="n">
        <v>2029</v>
      </c>
      <c r="Y9633" s="20" t="n">
        <v>2030</v>
      </c>
      <c r="Z9633" s="20" t="n">
        <v>2031</v>
      </c>
      <c r="AA9633" s="20" t="n">
        <v>2032</v>
      </c>
    </row>
    <row r="9634" customFormat="false" ht="17.15" hidden="false" customHeight="false" outlineLevel="0" collapsed="false">
      <c r="A9634" s="1" t="s">
        <v>716</v>
      </c>
    </row>
    <row r="9635" customFormat="false" ht="15" hidden="false" customHeight="false" outlineLevel="0" collapsed="false">
      <c r="A9635" s="0" t="s">
        <v>519</v>
      </c>
      <c r="B9635" s="0" t="s">
        <v>86</v>
      </c>
      <c r="C9635" s="38" t="n">
        <f aca="false">Sens!$C$9540</f>
        <v>247.029</v>
      </c>
      <c r="D9635" s="38" t="n">
        <f aca="false">Sens!$D$9540</f>
        <v>269.287</v>
      </c>
      <c r="E9635" s="38" t="n">
        <f aca="false">Sens!$E$9540</f>
        <v>134.686</v>
      </c>
      <c r="F9635" s="38" t="n">
        <f aca="false">Sens!$F$9540</f>
        <v>158.293876822267</v>
      </c>
      <c r="G9635" s="38" t="n">
        <f aca="false">Sens!$G$9540</f>
        <v>292.979876822267</v>
      </c>
      <c r="H9635" s="38" t="n">
        <f aca="false">Sens!$H$9540</f>
        <v>318.184543087396</v>
      </c>
      <c r="I9635" s="38" t="n">
        <f aca="false">Sens!$I$9540</f>
        <v>341.736278761793</v>
      </c>
      <c r="J9635" s="38" t="n">
        <f aca="false">Sens!$J$9540</f>
        <v>362.927192787048</v>
      </c>
      <c r="K9635" s="38" t="n">
        <f aca="false">Sens!$K$9540</f>
        <v>381.0735524264</v>
      </c>
      <c r="L9635" s="38" t="n">
        <f aca="false">Sens!$L$9540</f>
        <v>400.12723004772</v>
      </c>
      <c r="M9635" s="38" t="n">
        <f aca="false">Sens!$M$9540</f>
        <v>420.133591550106</v>
      </c>
      <c r="N9635" s="38" t="n">
        <f aca="false">Sens!$N$9540</f>
        <v>118.892</v>
      </c>
      <c r="O9635" s="38" t="n">
        <f aca="false">Sens!$O$9540</f>
        <v>150.395</v>
      </c>
    </row>
    <row r="9636" customFormat="false" ht="15" hidden="false" customHeight="false" outlineLevel="0" collapsed="false">
      <c r="A9636" s="0" t="s">
        <v>520</v>
      </c>
      <c r="B9636" s="0" t="s">
        <v>86</v>
      </c>
      <c r="C9636" s="38" t="n">
        <f aca="false">Sens!$C$9542</f>
        <v>21.215</v>
      </c>
      <c r="D9636" s="38" t="n">
        <f aca="false">Sens!$D$9542</f>
        <v>22.561</v>
      </c>
      <c r="E9636" s="38" t="n">
        <f aca="false">Sens!$E$9542</f>
        <v>11.579</v>
      </c>
      <c r="F9636" s="38" t="n">
        <f aca="false">Sens!$F$9542</f>
        <v>11.5938724610325</v>
      </c>
      <c r="G9636" s="38" t="n">
        <f aca="false">Sens!$G$9542</f>
        <v>23.1728724610325</v>
      </c>
      <c r="H9636" s="38" t="n">
        <f aca="false">Sens!$H$9542</f>
        <v>24.353392759506</v>
      </c>
      <c r="I9636" s="38" t="n">
        <f aca="false">Sens!$I$9542</f>
        <v>25.4240338872015</v>
      </c>
      <c r="J9636" s="38" t="n">
        <f aca="false">Sens!$J$9542</f>
        <v>26.3642491017174</v>
      </c>
      <c r="K9636" s="38" t="n">
        <f aca="false">Sens!$K$9542</f>
        <v>27.155176574769</v>
      </c>
      <c r="L9636" s="38" t="n">
        <f aca="false">Sens!$L$9542</f>
        <v>27.969831872012</v>
      </c>
      <c r="M9636" s="38" t="n">
        <f aca="false">Sens!$M$9542</f>
        <v>28.8089268281724</v>
      </c>
      <c r="N9636" s="38" t="n">
        <f aca="false">Sens!$N$9542</f>
        <v>11.128</v>
      </c>
      <c r="O9636" s="38" t="n">
        <f aca="false">Sens!$O$9542</f>
        <v>11.433</v>
      </c>
    </row>
    <row r="9637" customFormat="false" ht="15" hidden="false" customHeight="false" outlineLevel="0" collapsed="false">
      <c r="A9637" s="0" t="s">
        <v>521</v>
      </c>
      <c r="B9637" s="0" t="s">
        <v>86</v>
      </c>
      <c r="C9637" s="38" t="n">
        <f aca="false">Sens!$C$9544</f>
        <v>156.146</v>
      </c>
      <c r="D9637" s="38" t="n">
        <f aca="false">Sens!$D$9544</f>
        <v>172.162</v>
      </c>
      <c r="E9637" s="38" t="n">
        <f aca="false">Sens!$E$9544</f>
        <v>88.358</v>
      </c>
      <c r="F9637" s="38" t="n">
        <f aca="false">Sens!$F$9544</f>
        <v>102.004388260171</v>
      </c>
      <c r="G9637" s="38" t="n">
        <f aca="false">Sens!$G$9544</f>
        <v>190.362388260171</v>
      </c>
      <c r="H9637" s="38" t="n">
        <f aca="false">Sens!$H$9544</f>
        <v>210.343106588311</v>
      </c>
      <c r="I9637" s="38" t="n">
        <f aca="false">Sens!$I$9544</f>
        <v>229.969728494648</v>
      </c>
      <c r="J9637" s="38" t="n">
        <f aca="false">Sens!$J$9544</f>
        <v>248.747636972598</v>
      </c>
      <c r="K9637" s="38" t="n">
        <f aca="false">Sens!$K$9544</f>
        <v>266.15997156068</v>
      </c>
      <c r="L9637" s="38" t="n">
        <f aca="false">Sens!$L$9544</f>
        <v>284.791169569927</v>
      </c>
      <c r="M9637" s="38" t="n">
        <f aca="false">Sens!$M$9544</f>
        <v>304.726551439822</v>
      </c>
      <c r="N9637" s="38" t="n">
        <f aca="false">Sens!$N$9544</f>
        <v>76.86</v>
      </c>
      <c r="O9637" s="38" t="n">
        <f aca="false">Sens!$O$9544</f>
        <v>95.302</v>
      </c>
    </row>
    <row r="9638" customFormat="false" ht="15" hidden="false" customHeight="false" outlineLevel="0" collapsed="false">
      <c r="A9638" s="0" t="s">
        <v>522</v>
      </c>
      <c r="B9638" s="0" t="s">
        <v>86</v>
      </c>
      <c r="C9638" s="38" t="n">
        <f aca="false">Sens!$C$9546</f>
        <v>56.214</v>
      </c>
      <c r="D9638" s="38" t="n">
        <f aca="false">Sens!$D$9546</f>
        <v>68.635</v>
      </c>
      <c r="E9638" s="38" t="n">
        <f aca="false">Sens!$E$9546</f>
        <v>37.052</v>
      </c>
      <c r="F9638" s="38" t="n">
        <f aca="false">Sens!$F$9546</f>
        <v>46.1572219944148</v>
      </c>
      <c r="G9638" s="38" t="n">
        <f aca="false">Sens!$G$9546</f>
        <v>83.2092219944148</v>
      </c>
      <c r="H9638" s="38" t="n">
        <f aca="false">Sens!$H$9546</f>
        <v>99.8969223878976</v>
      </c>
      <c r="I9638" s="38" t="n">
        <f aca="false">Sens!$I$9546</f>
        <v>116.583111095496</v>
      </c>
      <c r="J9638" s="38" t="n">
        <f aca="false">Sens!$J$9546</f>
        <v>132.148941941952</v>
      </c>
      <c r="K9638" s="38" t="n">
        <f aca="false">Sens!$K$9546</f>
        <v>145.363836136147</v>
      </c>
      <c r="L9638" s="38" t="n">
        <f aca="false">Sens!$L$9546</f>
        <v>159.900219749762</v>
      </c>
      <c r="M9638" s="38" t="n">
        <f aca="false">Sens!$M$9546</f>
        <v>175.890241724738</v>
      </c>
      <c r="N9638" s="38" t="n">
        <f aca="false">Sens!$N$9546</f>
        <v>29.615</v>
      </c>
      <c r="O9638" s="38" t="n">
        <f aca="false">Sens!$O$9546</f>
        <v>39.02</v>
      </c>
    </row>
    <row r="9639" customFormat="false" ht="15" hidden="false" customHeight="false" outlineLevel="0" collapsed="false">
      <c r="A9639" s="0" t="s">
        <v>523</v>
      </c>
      <c r="B9639" s="0" t="s">
        <v>86</v>
      </c>
      <c r="C9639" s="38" t="n">
        <f aca="false">Sens!$C$9548</f>
        <v>44.374</v>
      </c>
      <c r="D9639" s="38" t="n">
        <f aca="false">Sens!$D$9548</f>
        <v>49.619</v>
      </c>
      <c r="E9639" s="38" t="n">
        <f aca="false">Sens!$E$9548</f>
        <v>27.157</v>
      </c>
      <c r="F9639" s="38" t="n">
        <f aca="false">Sens!$F$9548</f>
        <v>27.7764165988154</v>
      </c>
      <c r="G9639" s="38" t="n">
        <f aca="false">Sens!$G$9548</f>
        <v>54.9334165988154</v>
      </c>
      <c r="H9639" s="38" t="n">
        <f aca="false">Sens!$H$9548</f>
        <v>61.1564112561829</v>
      </c>
      <c r="I9639" s="38" t="n">
        <f aca="false">Sens!$I$9548</f>
        <v>67.2020282103945</v>
      </c>
      <c r="J9639" s="38" t="n">
        <f aca="false">Sens!$J$9548</f>
        <v>72.8757274028885</v>
      </c>
      <c r="K9639" s="38" t="n">
        <f aca="false">Sens!$K$9548</f>
        <v>77.9770283210907</v>
      </c>
      <c r="L9639" s="38" t="n">
        <f aca="false">Sens!$L$9548</f>
        <v>83.4354203035671</v>
      </c>
      <c r="M9639" s="38" t="n">
        <f aca="false">Sens!$M$9548</f>
        <v>89.2758997248168</v>
      </c>
      <c r="N9639" s="38" t="n">
        <f aca="false">Sens!$N$9548</f>
        <v>23.923</v>
      </c>
      <c r="O9639" s="38" t="n">
        <f aca="false">Sens!$O$9548</f>
        <v>25.696</v>
      </c>
    </row>
    <row r="9640" customFormat="false" ht="15" hidden="false" customHeight="false" outlineLevel="0" collapsed="false">
      <c r="A9640" s="0" t="s">
        <v>524</v>
      </c>
      <c r="B9640" s="0" t="s">
        <v>86</v>
      </c>
      <c r="C9640" s="38" t="n">
        <f aca="false">Sens!$C$9550</f>
        <v>5.425</v>
      </c>
      <c r="D9640" s="38" t="n">
        <f aca="false">Sens!$D$9550</f>
        <v>5.935</v>
      </c>
      <c r="E9640" s="38" t="n">
        <f aca="false">Sens!$E$9550</f>
        <v>3.474</v>
      </c>
      <c r="F9640" s="38" t="n">
        <f aca="false">Sens!$F$9550</f>
        <v>3.22246550883619</v>
      </c>
      <c r="G9640" s="38" t="n">
        <f aca="false">Sens!$G$9550</f>
        <v>6.69646550883619</v>
      </c>
      <c r="H9640" s="38" t="n">
        <f aca="false">Sens!$H$9550</f>
        <v>7.16251344209196</v>
      </c>
      <c r="I9640" s="38" t="n">
        <f aca="false">Sens!$I$9550</f>
        <v>7.61421070299826</v>
      </c>
      <c r="J9640" s="38" t="n">
        <f aca="false">Sens!$J$9550</f>
        <v>8.04465753523932</v>
      </c>
      <c r="K9640" s="38" t="n">
        <f aca="false">Sens!$K$9550</f>
        <v>8.44689041200128</v>
      </c>
      <c r="L9640" s="38" t="n">
        <f aca="false">Sens!$L$9550</f>
        <v>8.86923493260135</v>
      </c>
      <c r="M9640" s="38" t="n">
        <f aca="false">Sens!$M$9550</f>
        <v>9.31269667923142</v>
      </c>
      <c r="N9640" s="38" t="n">
        <f aca="false">Sens!$N$9550</f>
        <v>2.811</v>
      </c>
      <c r="O9640" s="38" t="n">
        <f aca="false">Sens!$O$9550</f>
        <v>3.124</v>
      </c>
    </row>
    <row r="9641" customFormat="false" ht="17.15" hidden="false" customHeight="false" outlineLevel="0" collapsed="false">
      <c r="A9641" s="0" t="s">
        <v>717</v>
      </c>
      <c r="B9641" s="0" t="s">
        <v>86</v>
      </c>
      <c r="C9641" s="38" t="n">
        <f aca="false">Sens!$C$9622</f>
        <v>107.556</v>
      </c>
      <c r="D9641" s="38" t="n">
        <f aca="false">Sens!$D$9622</f>
        <v>128.725</v>
      </c>
      <c r="E9641" s="38" t="n">
        <f aca="false">Sens!$E$9622</f>
        <v>79.819</v>
      </c>
      <c r="F9641" s="38" t="n">
        <f aca="false">Sens!$F$9622</f>
        <v>86.7327334389669</v>
      </c>
      <c r="G9641" s="38" t="n">
        <f aca="false">Sens!$G$9622</f>
        <v>166.551733438967</v>
      </c>
      <c r="H9641" s="38" t="n">
        <f aca="false">Sens!$H$9622</f>
        <v>221.182967828978</v>
      </c>
      <c r="I9641" s="38" t="n">
        <f aca="false">Sens!$I$9622</f>
        <v>280.27345865789</v>
      </c>
      <c r="J9641" s="38" t="n">
        <f aca="false">Sens!$J$9622</f>
        <v>338.800945197185</v>
      </c>
      <c r="K9641" s="38" t="n">
        <f aca="false">Sens!$K$9622</f>
        <v>390.17168267</v>
      </c>
      <c r="L9641" s="38" t="n">
        <f aca="false">Sens!$L$9622</f>
        <v>431.217780537388</v>
      </c>
      <c r="M9641" s="38" t="n">
        <f aca="false">Sens!$M$9622</f>
        <v>462.010668928853</v>
      </c>
      <c r="N9641" s="38" t="n">
        <f aca="false">Sens!$N$9622</f>
        <v>60.14</v>
      </c>
      <c r="O9641" s="38" t="n">
        <f aca="false">Sens!$O$9622</f>
        <v>68.585</v>
      </c>
    </row>
    <row r="9642" customFormat="false" ht="15" hidden="false" customHeight="false" outlineLevel="0" collapsed="false">
      <c r="A9642" s="1" t="s">
        <v>512</v>
      </c>
      <c r="B9642" s="8" t="s">
        <v>86</v>
      </c>
      <c r="C9642" s="38" t="n">
        <f aca="false">Sens!$C$9555</f>
        <v>387.497</v>
      </c>
      <c r="D9642" s="38" t="n">
        <f aca="false">Sens!$D$9555</f>
        <v>426.305</v>
      </c>
      <c r="E9642" s="38" t="n">
        <f aca="false">Sens!$E$9555</f>
        <v>220.32</v>
      </c>
      <c r="F9642" s="38" t="n">
        <f aca="false">Sens!$F$9555</f>
        <v>250.639773480586</v>
      </c>
      <c r="G9642" s="38" t="n">
        <f aca="false">Sens!$G$9555</f>
        <v>470.959773480586</v>
      </c>
      <c r="H9642" s="38" t="n">
        <f aca="false">Sens!$H$9555</f>
        <v>521.386990416437</v>
      </c>
      <c r="I9642" s="38" t="n">
        <f aca="false">Sens!$I$9555</f>
        <v>570.143862887555</v>
      </c>
      <c r="J9642" s="38" t="n">
        <f aca="false">Sens!$J$9555</f>
        <v>615.391435791933</v>
      </c>
      <c r="K9642" s="38" t="n">
        <f aca="false">Sens!$K$9555</f>
        <v>655.208227561543</v>
      </c>
      <c r="L9642" s="38" t="n">
        <f aca="false">Sens!$L$9555</f>
        <v>697.807739249767</v>
      </c>
      <c r="M9642" s="38" t="n">
        <f aca="false">Sens!$M$9555</f>
        <v>743.399328463592</v>
      </c>
      <c r="N9642" s="38" t="n">
        <f aca="false">Sens!$N$9555</f>
        <v>192.955</v>
      </c>
      <c r="O9642" s="38" t="n">
        <f aca="false">Sens!$O$9555</f>
        <v>233.35</v>
      </c>
    </row>
    <row r="9643" customFormat="false" ht="15" hidden="false" customHeight="false" outlineLevel="0" collapsed="false">
      <c r="A9643" s="1" t="s">
        <v>515</v>
      </c>
      <c r="B9643" s="8" t="s">
        <v>86</v>
      </c>
      <c r="C9643" s="38" t="n">
        <f aca="false">Sens!$C$9556</f>
        <v>142.906</v>
      </c>
      <c r="D9643" s="38" t="n">
        <f aca="false">Sens!$D$9556</f>
        <v>161.894</v>
      </c>
      <c r="E9643" s="38" t="n">
        <f aca="false">Sens!$E$9556</f>
        <v>81.986</v>
      </c>
      <c r="F9643" s="38" t="n">
        <f aca="false">Sens!$F$9556</f>
        <v>98.408468164951</v>
      </c>
      <c r="G9643" s="38" t="n">
        <f aca="false">Sens!$G$9556</f>
        <v>180.394468164951</v>
      </c>
      <c r="H9643" s="38" t="n">
        <f aca="false">Sens!$H$9556</f>
        <v>199.709899104949</v>
      </c>
      <c r="I9643" s="38" t="n">
        <f aca="false">Sens!$I$9556</f>
        <v>218.385528264976</v>
      </c>
      <c r="J9643" s="38" t="n">
        <f aca="false">Sens!$J$9556</f>
        <v>235.71696994951</v>
      </c>
      <c r="K9643" s="38" t="n">
        <f aca="false">Sens!$K$9556</f>
        <v>250.968227869545</v>
      </c>
      <c r="L9643" s="38" t="n">
        <f aca="false">Sens!$L$9556</f>
        <v>267.285367225822</v>
      </c>
      <c r="M9643" s="38" t="n">
        <f aca="false">Sens!$M$9556</f>
        <v>284.748579483295</v>
      </c>
      <c r="N9643" s="38" t="n">
        <f aca="false">Sens!$N$9556</f>
        <v>70.274</v>
      </c>
      <c r="O9643" s="38" t="n">
        <f aca="false">Sens!$O$9556</f>
        <v>91.62</v>
      </c>
    </row>
    <row r="9644" customFormat="false" ht="15" hidden="false" customHeight="false" outlineLevel="0" collapsed="false">
      <c r="A9644" s="1" t="s">
        <v>516</v>
      </c>
      <c r="B9644" s="8" t="s">
        <v>86</v>
      </c>
      <c r="C9644" s="38" t="n">
        <f aca="false">Sens!$C$9622</f>
        <v>107.556</v>
      </c>
      <c r="D9644" s="38" t="n">
        <f aca="false">Sens!$D$9622</f>
        <v>128.725</v>
      </c>
      <c r="E9644" s="38" t="n">
        <f aca="false">Sens!$E$9622</f>
        <v>79.819</v>
      </c>
      <c r="F9644" s="38" t="n">
        <f aca="false">Sens!$F$9622</f>
        <v>86.7327334389669</v>
      </c>
      <c r="G9644" s="38" t="n">
        <f aca="false">Sens!$G$9622</f>
        <v>166.551733438967</v>
      </c>
      <c r="H9644" s="38" t="n">
        <f aca="false">Sens!$H$9622</f>
        <v>221.182967828978</v>
      </c>
      <c r="I9644" s="38" t="n">
        <f aca="false">Sens!$I$9622</f>
        <v>280.27345865789</v>
      </c>
      <c r="J9644" s="38" t="n">
        <f aca="false">Sens!$J$9622</f>
        <v>338.800945197185</v>
      </c>
      <c r="K9644" s="38" t="n">
        <f aca="false">Sens!$K$9622</f>
        <v>390.17168267</v>
      </c>
      <c r="L9644" s="38" t="n">
        <f aca="false">Sens!$L$9622</f>
        <v>431.217780537388</v>
      </c>
      <c r="M9644" s="38" t="n">
        <f aca="false">Sens!$M$9622</f>
        <v>462.010668928853</v>
      </c>
      <c r="N9644" s="38" t="n">
        <f aca="false">Sens!$N$9622</f>
        <v>60.14</v>
      </c>
      <c r="O9644" s="38" t="n">
        <f aca="false">Sens!$O$9622</f>
        <v>68.585</v>
      </c>
    </row>
    <row r="9645" customFormat="false" ht="17.15" hidden="false" customHeight="false" outlineLevel="0" collapsed="false">
      <c r="A9645" s="0" t="s">
        <v>691</v>
      </c>
      <c r="B9645" s="0" t="s">
        <v>86</v>
      </c>
      <c r="C9645" s="38" t="n">
        <f aca="false">Sens!$C$9620</f>
        <v>2.32100535697364</v>
      </c>
      <c r="D9645" s="38" t="n">
        <f aca="false">Sens!$D$9620</f>
        <v>8.70377008865116</v>
      </c>
      <c r="E9645" s="38" t="n">
        <f aca="false">Sens!$E$9620</f>
        <v>8.51035297557002</v>
      </c>
      <c r="F9645" s="38" t="n">
        <f aca="false">Sens!$F$9620</f>
        <v>14.9634336447205</v>
      </c>
      <c r="G9645" s="38" t="n">
        <f aca="false">Sens!$G$9620</f>
        <v>23.4737866202905</v>
      </c>
      <c r="H9645" s="38" t="n">
        <f aca="false">Sens!$H$9620</f>
        <v>60.1658907497746</v>
      </c>
      <c r="I9645" s="38" t="n">
        <f aca="false">Sens!$I$9620</f>
        <v>101.503699136432</v>
      </c>
      <c r="J9645" s="38" t="n">
        <f aca="false">Sens!$J$9620</f>
        <v>143.025407151278</v>
      </c>
      <c r="K9645" s="38" t="n">
        <f aca="false">Sens!$K$9620</f>
        <v>178.73410158042</v>
      </c>
      <c r="L9645" s="38" t="n">
        <f aca="false">Sens!$L$9620</f>
        <v>202.865192960641</v>
      </c>
      <c r="M9645" s="38" t="n">
        <f aca="false">Sens!$M$9620</f>
        <v>215.389874345967</v>
      </c>
      <c r="N9645" s="38" t="n">
        <f aca="false">Sens!$N$9620</f>
        <v>3.04631953102791</v>
      </c>
      <c r="O9645" s="38" t="n">
        <f aca="false">Sens!$O$9620</f>
        <v>5.65745055762326</v>
      </c>
    </row>
    <row r="9646" customFormat="false" ht="17.15" hidden="false" customHeight="false" outlineLevel="0" collapsed="false">
      <c r="A9646" s="0" t="s">
        <v>693</v>
      </c>
      <c r="B9646" s="0" t="s">
        <v>86</v>
      </c>
      <c r="C9646" s="38" t="n">
        <f aca="false">Sens!$C$9621</f>
        <v>105.234994643026</v>
      </c>
      <c r="D9646" s="38" t="n">
        <f aca="false">Sens!$D$9621</f>
        <v>120.021229911349</v>
      </c>
      <c r="E9646" s="38" t="n">
        <f aca="false">Sens!$E$9621</f>
        <v>71.30864702443</v>
      </c>
      <c r="F9646" s="38" t="n">
        <f aca="false">Sens!$F$9621</f>
        <v>71.7692997942464</v>
      </c>
      <c r="G9646" s="38" t="n">
        <f aca="false">Sens!$G$9621</f>
        <v>143.077946818676</v>
      </c>
      <c r="H9646" s="38" t="n">
        <f aca="false">Sens!$H$9621</f>
        <v>161.017077079203</v>
      </c>
      <c r="I9646" s="38" t="n">
        <f aca="false">Sens!$I$9621</f>
        <v>178.769759521457</v>
      </c>
      <c r="J9646" s="38" t="n">
        <f aca="false">Sens!$J$9621</f>
        <v>195.775538045907</v>
      </c>
      <c r="K9646" s="38" t="n">
        <f aca="false">Sens!$K$9621</f>
        <v>211.43758108958</v>
      </c>
      <c r="L9646" s="38" t="n">
        <f aca="false">Sens!$L$9621</f>
        <v>228.352587576746</v>
      </c>
      <c r="M9646" s="38" t="n">
        <f aca="false">Sens!$M$9621</f>
        <v>246.620794582886</v>
      </c>
      <c r="N9646" s="38" t="n">
        <f aca="false">Sens!$N$9621</f>
        <v>57.0936804689721</v>
      </c>
      <c r="O9646" s="38" t="n">
        <f aca="false">Sens!$O$9621</f>
        <v>62.9275494423768</v>
      </c>
    </row>
    <row r="9647" customFormat="false" ht="15" hidden="false" customHeight="false" outlineLevel="0" collapsed="false">
      <c r="A9647" s="3" t="s">
        <v>517</v>
      </c>
      <c r="B9647" s="8" t="s">
        <v>86</v>
      </c>
      <c r="C9647" s="38" t="n">
        <f aca="false">Sens!$C$9623</f>
        <v>637.959</v>
      </c>
      <c r="D9647" s="38" t="n">
        <f aca="false">Sens!$D$9623</f>
        <v>716.924</v>
      </c>
      <c r="E9647" s="38" t="n">
        <f aca="false">Sens!$E$9623</f>
        <v>382.125</v>
      </c>
      <c r="F9647" s="38" t="n">
        <f aca="false">Sens!$F$9623</f>
        <v>435.780975084504</v>
      </c>
      <c r="G9647" s="38" t="n">
        <f aca="false">Sens!$G$9623</f>
        <v>817.905975084504</v>
      </c>
      <c r="H9647" s="38" t="n">
        <f aca="false">Sens!$H$9623</f>
        <v>942.279857350364</v>
      </c>
      <c r="I9647" s="38" t="n">
        <f aca="false">Sens!$I$9623</f>
        <v>1068.80284981042</v>
      </c>
      <c r="J9647" s="38" t="n">
        <f aca="false">Sens!$J$9623</f>
        <v>1189.90935093863</v>
      </c>
      <c r="K9647" s="38" t="n">
        <f aca="false">Sens!$K$9623</f>
        <v>1296.34813810109</v>
      </c>
      <c r="L9647" s="38" t="n">
        <f aca="false">Sens!$L$9623</f>
        <v>1396.31088701298</v>
      </c>
      <c r="M9647" s="38" t="n">
        <f aca="false">Sens!$M$9623</f>
        <v>1490.15857687574</v>
      </c>
      <c r="N9647" s="38" t="n">
        <f aca="false">Sens!$N$9623</f>
        <v>323.369</v>
      </c>
      <c r="O9647" s="38" t="n">
        <f aca="false">Sens!$O$9623</f>
        <v>393.555</v>
      </c>
    </row>
    <row r="9648" customFormat="false" ht="17.15" hidden="false" customHeight="false" outlineLevel="0" collapsed="false">
      <c r="A9648" s="24" t="s">
        <v>703</v>
      </c>
      <c r="B9648" s="25" t="s">
        <v>86</v>
      </c>
      <c r="C9648" s="41" t="n">
        <f aca="false">Sens!$C$9635+Sens!$C$9636+Sens!$C$9637+Sens!$C$9638+Sens!$C$9639+Sens!$C$9640-(Sens!$C$9642+Sens!$C$9643)</f>
        <v>0</v>
      </c>
      <c r="D9648" s="41" t="n">
        <f aca="false">Sens!$D$9635+Sens!$D$9636+Sens!$D$9637+Sens!$D$9638+Sens!$D$9639+Sens!$D$9640-(Sens!$D$9642+Sens!$D$9643)</f>
        <v>0</v>
      </c>
      <c r="E9648" s="41" t="n">
        <f aca="false">Sens!$E$9635+Sens!$E$9636+Sens!$E$9637+Sens!$E$9638+Sens!$E$9639+Sens!$E$9640-(Sens!$E$9642+Sens!$E$9643)</f>
        <v>0</v>
      </c>
      <c r="F9648" s="41" t="n">
        <f aca="false">Sens!$F$9635+Sens!$F$9636+Sens!$F$9637+Sens!$F$9638+Sens!$F$9639+Sens!$F$9640-(Sens!$F$9642+Sens!$F$9643)</f>
        <v>0</v>
      </c>
      <c r="G9648" s="41" t="n">
        <f aca="false">Sens!$G$9635+Sens!$G$9636+Sens!$G$9637+Sens!$G$9638+Sens!$G$9639+Sens!$G$9640-(Sens!$G$9642+Sens!$G$9643)</f>
        <v>0</v>
      </c>
      <c r="H9648" s="41" t="n">
        <f aca="false">Sens!$H$9635+Sens!$H$9636+Sens!$H$9637+Sens!$H$9638+Sens!$H$9639+Sens!$H$9640-(Sens!$H$9642+Sens!$H$9643)</f>
        <v>0</v>
      </c>
      <c r="I9648" s="41" t="n">
        <f aca="false">Sens!$I$9635+Sens!$I$9636+Sens!$I$9637+Sens!$I$9638+Sens!$I$9639+Sens!$I$9640-(Sens!$I$9642+Sens!$I$9643)</f>
        <v>0</v>
      </c>
      <c r="J9648" s="41" t="n">
        <f aca="false">Sens!$J$9635+Sens!$J$9636+Sens!$J$9637+Sens!$J$9638+Sens!$J$9639+Sens!$J$9640-(Sens!$J$9642+Sens!$J$9643)</f>
        <v>0</v>
      </c>
      <c r="K9648" s="41" t="n">
        <f aca="false">Sens!$K$9635+Sens!$K$9636+Sens!$K$9637+Sens!$K$9638+Sens!$K$9639+Sens!$K$9640-(Sens!$K$9642+Sens!$K$9643)</f>
        <v>0</v>
      </c>
      <c r="L9648" s="41" t="n">
        <f aca="false">Sens!$L$9635+Sens!$L$9636+Sens!$L$9637+Sens!$L$9638+Sens!$L$9639+Sens!$L$9640-(Sens!$L$9642+Sens!$L$9643)</f>
        <v>0</v>
      </c>
      <c r="M9648" s="41" t="n">
        <f aca="false">Sens!$M$9635+Sens!$M$9636+Sens!$M$9637+Sens!$M$9638+Sens!$M$9639+Sens!$M$9640-(Sens!$M$9642+Sens!$M$9643)</f>
        <v>0</v>
      </c>
      <c r="N9648" s="41" t="n">
        <f aca="false">Sens!$N$9635+Sens!$N$9636+Sens!$N$9637+Sens!$N$9638+Sens!$N$9639+Sens!$N$9640-(Sens!$N$9642+Sens!$N$9643)</f>
        <v>0</v>
      </c>
      <c r="O9648" s="41" t="n">
        <f aca="false">Sens!$O$9635+Sens!$O$9636+Sens!$O$9637+Sens!$O$9638+Sens!$O$9639+Sens!$O$9640-(Sens!$O$9642+Sens!$O$9643)</f>
        <v>0</v>
      </c>
    </row>
    <row r="9649" customFormat="false" ht="17.15" hidden="false" customHeight="false" outlineLevel="0" collapsed="false">
      <c r="A9649" s="24" t="s">
        <v>704</v>
      </c>
      <c r="B9649" s="25" t="s">
        <v>86</v>
      </c>
      <c r="C9649" s="41" t="n">
        <f aca="false">Sens!$C$9645+Sens!$C$9646-Sens!$C$9644</f>
        <v>0</v>
      </c>
      <c r="D9649" s="41" t="n">
        <f aca="false">Sens!$D$9645+Sens!$D$9646-Sens!$D$9644</f>
        <v>0</v>
      </c>
      <c r="E9649" s="41" t="n">
        <f aca="false">Sens!$E$9645+Sens!$E$9646-Sens!$E$9644</f>
        <v>0</v>
      </c>
      <c r="F9649" s="41" t="n">
        <f aca="false">Sens!$F$9645+Sens!$F$9646-Sens!$F$9644</f>
        <v>0</v>
      </c>
      <c r="G9649" s="41" t="n">
        <f aca="false">Sens!$G$9645+Sens!$G$9646-Sens!$G$9644</f>
        <v>0</v>
      </c>
      <c r="H9649" s="41" t="n">
        <f aca="false">Sens!$H$9645+Sens!$H$9646-Sens!$H$9644</f>
        <v>0</v>
      </c>
      <c r="I9649" s="41" t="n">
        <f aca="false">Sens!$I$9645+Sens!$I$9646-Sens!$I$9644</f>
        <v>0</v>
      </c>
      <c r="J9649" s="41" t="n">
        <f aca="false">Sens!$J$9645+Sens!$J$9646-Sens!$J$9644</f>
        <v>0</v>
      </c>
      <c r="K9649" s="41" t="n">
        <f aca="false">Sens!$K$9645+Sens!$K$9646-Sens!$K$9644</f>
        <v>0</v>
      </c>
      <c r="L9649" s="41" t="n">
        <f aca="false">Sens!$L$9645+Sens!$L$9646-Sens!$L$9644</f>
        <v>0</v>
      </c>
      <c r="M9649" s="41" t="n">
        <f aca="false">Sens!$M$9645+Sens!$M$9646-Sens!$M$9644</f>
        <v>0</v>
      </c>
      <c r="N9649" s="41" t="n">
        <f aca="false">Sens!$N$9645+Sens!$N$9646-Sens!$N$9644</f>
        <v>0</v>
      </c>
      <c r="O9649" s="41" t="n">
        <f aca="false">Sens!$O$9645+Sens!$O$9646-Sens!$O$9644</f>
        <v>0</v>
      </c>
    </row>
    <row r="9650" customFormat="false" ht="17.15" hidden="false" customHeight="false" outlineLevel="0" collapsed="false">
      <c r="A9650" s="24" t="s">
        <v>763</v>
      </c>
      <c r="B9650" s="25" t="s">
        <v>86</v>
      </c>
      <c r="C9650" s="41" t="n">
        <f aca="false">Sens!$C$9635+Sens!$C$9636+Sens!$C$9637+Sens!$C$9638+Sens!$C$9639+Sens!$C$9640+Sens!$C$9641-Sens!$C$9647</f>
        <v>0</v>
      </c>
      <c r="D9650" s="41" t="n">
        <f aca="false">Sens!$D$9635+Sens!$D$9636+Sens!$D$9637+Sens!$D$9638+Sens!$D$9639+Sens!$D$9640+Sens!$D$9641-Sens!$D$9647</f>
        <v>0</v>
      </c>
      <c r="E9650" s="41" t="n">
        <f aca="false">Sens!$E$9635+Sens!$E$9636+Sens!$E$9637+Sens!$E$9638+Sens!$E$9639+Sens!$E$9640+Sens!$E$9641-Sens!$E$9647</f>
        <v>0</v>
      </c>
      <c r="F9650" s="41" t="n">
        <f aca="false">Sens!$F$9635+Sens!$F$9636+Sens!$F$9637+Sens!$F$9638+Sens!$F$9639+Sens!$F$9640+Sens!$F$9641-Sens!$F$9647</f>
        <v>0</v>
      </c>
      <c r="G9650" s="41" t="n">
        <f aca="false">Sens!$G$9635+Sens!$G$9636+Sens!$G$9637+Sens!$G$9638+Sens!$G$9639+Sens!$G$9640+Sens!$G$9641-Sens!$G$9647</f>
        <v>0</v>
      </c>
      <c r="H9650" s="41" t="n">
        <f aca="false">Sens!$H$9635+Sens!$H$9636+Sens!$H$9637+Sens!$H$9638+Sens!$H$9639+Sens!$H$9640+Sens!$H$9641-Sens!$H$9647</f>
        <v>0</v>
      </c>
      <c r="I9650" s="41" t="n">
        <f aca="false">Sens!$I$9635+Sens!$I$9636+Sens!$I$9637+Sens!$I$9638+Sens!$I$9639+Sens!$I$9640+Sens!$I$9641-Sens!$I$9647</f>
        <v>0</v>
      </c>
      <c r="J9650" s="41" t="n">
        <f aca="false">Sens!$J$9635+Sens!$J$9636+Sens!$J$9637+Sens!$J$9638+Sens!$J$9639+Sens!$J$9640+Sens!$J$9641-Sens!$J$9647</f>
        <v>0</v>
      </c>
      <c r="K9650" s="41" t="n">
        <f aca="false">Sens!$K$9635+Sens!$K$9636+Sens!$K$9637+Sens!$K$9638+Sens!$K$9639+Sens!$K$9640+Sens!$K$9641-Sens!$K$9647</f>
        <v>0</v>
      </c>
      <c r="L9650" s="41" t="n">
        <f aca="false">Sens!$L$9635+Sens!$L$9636+Sens!$L$9637+Sens!$L$9638+Sens!$L$9639+Sens!$L$9640+Sens!$L$9641-Sens!$L$9647</f>
        <v>0</v>
      </c>
      <c r="M9650" s="41" t="n">
        <f aca="false">Sens!$M$9635+Sens!$M$9636+Sens!$M$9637+Sens!$M$9638+Sens!$M$9639+Sens!$M$9640+Sens!$M$9641-Sens!$M$9647</f>
        <v>0</v>
      </c>
      <c r="N9650" s="41" t="n">
        <f aca="false">Sens!$N$9635+Sens!$N$9636+Sens!$N$9637+Sens!$N$9638+Sens!$N$9639+Sens!$N$9640+Sens!$N$9641-Sens!$N$9647</f>
        <v>0</v>
      </c>
      <c r="O9650" s="41" t="n">
        <f aca="false">Sens!$O$9635+Sens!$O$9636+Sens!$O$9637+Sens!$O$9638+Sens!$O$9639+Sens!$O$9640+Sens!$O$9641-Sens!$O$9647</f>
        <v>0</v>
      </c>
    </row>
    <row r="9651" customFormat="false" ht="17.15" hidden="false" customHeight="false" outlineLevel="0" collapsed="false">
      <c r="A9651" s="24" t="s">
        <v>705</v>
      </c>
      <c r="B9651" s="25" t="s">
        <v>86</v>
      </c>
      <c r="C9651" s="41" t="n">
        <f aca="false">Sens!$C$9642+Sens!$C$9643+Sens!$C$9644-Sens!$C$9647</f>
        <v>0</v>
      </c>
      <c r="D9651" s="41" t="n">
        <f aca="false">Sens!$D$9642+Sens!$D$9643+Sens!$D$9644-Sens!$D$9647</f>
        <v>0</v>
      </c>
      <c r="E9651" s="41" t="n">
        <f aca="false">Sens!$E$9642+Sens!$E$9643+Sens!$E$9644-Sens!$E$9647</f>
        <v>0</v>
      </c>
      <c r="F9651" s="41" t="n">
        <f aca="false">Sens!$F$9642+Sens!$F$9643+Sens!$F$9644-Sens!$F$9647</f>
        <v>0</v>
      </c>
      <c r="G9651" s="41" t="n">
        <f aca="false">Sens!$G$9642+Sens!$G$9643+Sens!$G$9644-Sens!$G$9647</f>
        <v>0</v>
      </c>
      <c r="H9651" s="41" t="n">
        <f aca="false">Sens!$H$9642+Sens!$H$9643+Sens!$H$9644-Sens!$H$9647</f>
        <v>0</v>
      </c>
      <c r="I9651" s="41" t="n">
        <f aca="false">Sens!$I$9642+Sens!$I$9643+Sens!$I$9644-Sens!$I$9647</f>
        <v>0</v>
      </c>
      <c r="J9651" s="41" t="n">
        <f aca="false">Sens!$J$9642+Sens!$J$9643+Sens!$J$9644-Sens!$J$9647</f>
        <v>0</v>
      </c>
      <c r="K9651" s="41" t="n">
        <f aca="false">Sens!$K$9642+Sens!$K$9643+Sens!$K$9644-Sens!$K$9647</f>
        <v>0</v>
      </c>
      <c r="L9651" s="41" t="n">
        <f aca="false">Sens!$L$9642+Sens!$L$9643+Sens!$L$9644-Sens!$L$9647</f>
        <v>0</v>
      </c>
      <c r="M9651" s="41" t="n">
        <f aca="false">Sens!$M$9642+Sens!$M$9643+Sens!$M$9644-Sens!$M$9647</f>
        <v>0</v>
      </c>
      <c r="N9651" s="41" t="n">
        <f aca="false">Sens!$N$9642+Sens!$N$9643+Sens!$N$9644-Sens!$N$9647</f>
        <v>0</v>
      </c>
      <c r="O9651" s="41" t="n">
        <f aca="false">Sens!$O$9642+Sens!$O$9643+Sens!$O$9644-Sens!$O$9647</f>
        <v>0</v>
      </c>
    </row>
    <row r="9652" customFormat="false" ht="17.15" hidden="false" customHeight="false" outlineLevel="0" collapsed="false">
      <c r="A9652" s="1" t="s">
        <v>719</v>
      </c>
    </row>
    <row r="9653" customFormat="false" ht="17.15" hidden="false" customHeight="false" outlineLevel="0" collapsed="false">
      <c r="A9653" s="0" t="s">
        <v>720</v>
      </c>
      <c r="B9653" s="0" t="s">
        <v>86</v>
      </c>
      <c r="C9653" s="38" t="n">
        <f aca="false">Sens!$C$9557*m_ad</f>
        <v>20.5341564414228</v>
      </c>
      <c r="D9653" s="38" t="n">
        <f aca="false">Sens!$D$9557*m_ad</f>
        <v>24.8720617299587</v>
      </c>
      <c r="E9653" s="38" t="n">
        <f aca="false">Sens!$E$9557*m_ad</f>
        <v>13.5017112462207</v>
      </c>
      <c r="F9653" s="38" t="n">
        <f aca="false">Sens!$F$9557*m_ad</f>
        <v>16.5719724165257</v>
      </c>
      <c r="G9653" s="38" t="n">
        <f aca="false">Sens!$G$9557*m_ad</f>
        <v>30.0820919220415</v>
      </c>
      <c r="H9653" s="38" t="n">
        <f aca="false">Sens!$H$9557*m_ad</f>
        <v>36.1150883276314</v>
      </c>
      <c r="I9653" s="38" t="n">
        <f aca="false">Sens!$I$9557*m_ad</f>
        <v>42.1475382231996</v>
      </c>
      <c r="J9653" s="38" t="n">
        <f aca="false">Sens!$J$9557*m_ad</f>
        <v>47.7749523864693</v>
      </c>
      <c r="K9653" s="38" t="n">
        <f aca="false">Sens!$K$9557*m_ad</f>
        <v>52.5524476251162</v>
      </c>
      <c r="L9653" s="38" t="n">
        <f aca="false">Sens!$L$9557*m_ad</f>
        <v>57.8076923876279</v>
      </c>
      <c r="M9653" s="38" t="n">
        <f aca="false">Sens!$M$9557*m_ad</f>
        <v>63.5884616263907</v>
      </c>
      <c r="N9653" s="38" t="n">
        <f aca="false">Sens!$N$9557*m_ad</f>
        <v>10.8543555706248</v>
      </c>
      <c r="O9653" s="38" t="n">
        <f aca="false">Sens!$O$9557*m_ad</f>
        <v>14.0094731821399</v>
      </c>
    </row>
    <row r="9654" customFormat="false" ht="17.15" hidden="false" customHeight="false" outlineLevel="0" collapsed="false">
      <c r="A9654" s="0" t="s">
        <v>721</v>
      </c>
      <c r="B9654" s="0" t="s">
        <v>86</v>
      </c>
      <c r="C9654" s="38" t="n">
        <f aca="false">Sens!$C$9555-Sens!$C$9557</f>
        <v>346.428687117154</v>
      </c>
      <c r="D9654" s="38" t="n">
        <f aca="false">Sens!$D$9555-Sens!$D$9557</f>
        <v>376.560876540083</v>
      </c>
      <c r="E9654" s="38" t="n">
        <f aca="false">Sens!$E$9555-Sens!$E$9557</f>
        <v>193.316577507559</v>
      </c>
      <c r="F9654" s="38" t="n">
        <f aca="false">Sens!$F$9555-Sens!$F$9557</f>
        <v>217.495828647535</v>
      </c>
      <c r="G9654" s="38" t="n">
        <f aca="false">Sens!$G$9555-Sens!$G$9557</f>
        <v>410.795589636503</v>
      </c>
      <c r="H9654" s="38" t="n">
        <f aca="false">Sens!$H$9555-Sens!$H$9557</f>
        <v>449.156813761174</v>
      </c>
      <c r="I9654" s="38" t="n">
        <f aca="false">Sens!$I$9555-Sens!$I$9557</f>
        <v>485.848786441156</v>
      </c>
      <c r="J9654" s="38" t="n">
        <f aca="false">Sens!$J$9555-Sens!$J$9557</f>
        <v>519.841531018994</v>
      </c>
      <c r="K9654" s="38" t="n">
        <f aca="false">Sens!$K$9555-Sens!$K$9557</f>
        <v>550.103332311311</v>
      </c>
      <c r="L9654" s="38" t="n">
        <f aca="false">Sens!$L$9555-Sens!$L$9557</f>
        <v>582.192354474511</v>
      </c>
      <c r="M9654" s="38" t="n">
        <f aca="false">Sens!$M$9555-Sens!$M$9557</f>
        <v>616.22240521081</v>
      </c>
      <c r="N9654" s="38" t="n">
        <f aca="false">Sens!$N$9555-Sens!$N$9557</f>
        <v>171.24628885875</v>
      </c>
      <c r="O9654" s="38" t="n">
        <f aca="false">Sens!$O$9555-Sens!$O$9557</f>
        <v>205.33105363572</v>
      </c>
    </row>
    <row r="9655" customFormat="false" ht="17.15" hidden="false" customHeight="false" outlineLevel="0" collapsed="false">
      <c r="A9655" s="0" t="s">
        <v>722</v>
      </c>
      <c r="B9655" s="0" t="s">
        <v>86</v>
      </c>
      <c r="C9655" s="38" t="n">
        <f aca="false">Sens!$C$9606*Sens!$C$9554</f>
        <v>0.123617442257179</v>
      </c>
      <c r="D9655" s="38" t="n">
        <f aca="false">Sens!$D$9606*Sens!$D$9554</f>
        <v>0.600198046024689</v>
      </c>
      <c r="E9655" s="38" t="n">
        <f aca="false">Sens!$E$9606*Sens!$E$9554</f>
        <v>0.970552432202993</v>
      </c>
      <c r="F9655" s="38" t="n">
        <f aca="false">Sens!$F$9606*Sens!$F$9554</f>
        <v>1.20013524388435</v>
      </c>
      <c r="G9655" s="38" t="n">
        <f aca="false">Sens!$G$9606*Sens!$G$9554</f>
        <v>2.17135369594947</v>
      </c>
      <c r="H9655" s="38" t="n">
        <f aca="false">Sens!$H$9606*Sens!$H$9554</f>
        <v>6.14227489656333</v>
      </c>
      <c r="I9655" s="38" t="n">
        <f aca="false">Sens!$I$9606*Sens!$I$9554</f>
        <v>11.6518054969681</v>
      </c>
      <c r="J9655" s="38" t="n">
        <f aca="false">Sens!$J$9606*Sens!$J$9554</f>
        <v>17.3105301010592</v>
      </c>
      <c r="K9655" s="38" t="n">
        <f aca="false">Sens!$K$9606*Sens!$K$9554</f>
        <v>22.8589387121659</v>
      </c>
      <c r="L9655" s="38" t="n">
        <f aca="false">Sens!$L$9606*Sens!$L$9554</f>
        <v>26.7822853944593</v>
      </c>
      <c r="M9655" s="38" t="n">
        <f aca="false">Sens!$M$9606*Sens!$M$9554</f>
        <v>29.3136477388215</v>
      </c>
      <c r="N9655" s="38" t="n">
        <f aca="false">Sens!$N$9606*Sens!$N$9554</f>
        <v>0.25053229484398</v>
      </c>
      <c r="O9655" s="38" t="n">
        <f aca="false">Sens!$O$9606*Sens!$O$9554</f>
        <v>0.349234376756897</v>
      </c>
    </row>
    <row r="9656" customFormat="false" ht="17.15" hidden="false" customHeight="false" outlineLevel="0" collapsed="false">
      <c r="A9656" s="0" t="s">
        <v>723</v>
      </c>
      <c r="B9656" s="0" t="s">
        <v>52</v>
      </c>
      <c r="C9656" s="28" t="n">
        <f aca="false">(Sens!$C$9657-Sens!$C$9653+Sens!$C$9655)/Sens!$C$9654</f>
        <v>0.0131526665379575</v>
      </c>
      <c r="D9656" s="28" t="n">
        <f aca="false">(Sens!$D$9657-Sens!$D$9653+Sens!$D$9655)/Sens!$D$9654</f>
        <v>0.0141999252954702</v>
      </c>
      <c r="E9656" s="28" t="n">
        <f aca="false">(Sens!$E$9657-Sens!$E$9653+Sens!$E$9655)/Sens!$E$9654</f>
        <v>0.0251341154940129</v>
      </c>
      <c r="F9656" s="28" t="n">
        <f aca="false">Sens!$O$9656+(Sens!$E$9656-Sens!$N$9656)</f>
        <v>0.0217171685713677</v>
      </c>
      <c r="G9656" s="28" t="n">
        <f aca="false">(Sens!$G$9657-Sens!$G$9653+Sens!$G$9655)/Sens!$G$9654</f>
        <v>0.0233071940458981</v>
      </c>
      <c r="H9656" s="28" t="n">
        <f aca="false">Sens!$G$9656+step_na</f>
        <v>0.0263071940458981</v>
      </c>
      <c r="I9656" s="28" t="n">
        <f aca="false">Sens!$H$9656+step_na</f>
        <v>0.0293071940458981</v>
      </c>
      <c r="J9656" s="28" t="n">
        <f aca="false">Sens!$I$9656+step_na</f>
        <v>0.0323071940458981</v>
      </c>
      <c r="K9656" s="28" t="n">
        <f aca="false">Sens!$J$9656+step_na</f>
        <v>0.0353071940458981</v>
      </c>
      <c r="L9656" s="28" t="n">
        <f aca="false">Sens!$K$9656</f>
        <v>0.0353071940458981</v>
      </c>
      <c r="M9656" s="28" t="n">
        <f aca="false">Sens!$L$9656</f>
        <v>0.0353071940458981</v>
      </c>
      <c r="N9656" s="28" t="n">
        <f aca="false">(Sens!$N$9657-Sens!$N$9653+Sens!$N$9655)/Sens!$N$9654</f>
        <v>0.0160831323269779</v>
      </c>
      <c r="O9656" s="28" t="n">
        <f aca="false">(Sens!$O$9657-Sens!$O$9653+Sens!$O$9655)/Sens!$O$9654</f>
        <v>0.0126661854043327</v>
      </c>
      <c r="P9656" s="8" t="s">
        <v>724</v>
      </c>
    </row>
    <row r="9657" customFormat="false" ht="17.15" hidden="false" customHeight="false" outlineLevel="0" collapsed="false">
      <c r="A9657" s="1" t="s">
        <v>725</v>
      </c>
      <c r="B9657" s="8" t="s">
        <v>86</v>
      </c>
      <c r="C9657" s="38" t="n">
        <f aca="false">Q!$D$22</f>
        <v>24.967</v>
      </c>
      <c r="D9657" s="38" t="n">
        <f aca="false">Q!$E$22</f>
        <v>29.619</v>
      </c>
      <c r="E9657" s="38" t="n">
        <f aca="false">Q!$P$22</f>
        <v>17.39</v>
      </c>
      <c r="F9657" s="38" t="n">
        <f aca="false">Sens!$F$9653+Sens!$F$9654*Sens!$F$9656-Sens!$F$9655</f>
        <v>20.0952307469491</v>
      </c>
      <c r="G9657" s="38" t="n">
        <f aca="false">Sens!$E$9657+Sens!$F$9657</f>
        <v>37.4852307469491</v>
      </c>
      <c r="H9657" s="38" t="n">
        <f aca="false">Sens!$H$9653+Sens!$H$9654*Sens!$H$9656-Sens!$H$9655</f>
        <v>41.7888688877206</v>
      </c>
      <c r="I9657" s="38" t="n">
        <f aca="false">Sens!$I$9653+Sens!$I$9654*Sens!$I$9656-Sens!$I$9655</f>
        <v>44.7345973874265</v>
      </c>
      <c r="J9657" s="38" t="n">
        <f aca="false">Sens!$J$9653+Sens!$J$9654*Sens!$J$9656-Sens!$J$9655</f>
        <v>47.2590435011574</v>
      </c>
      <c r="K9657" s="38" t="n">
        <f aca="false">Sens!$K$9653+Sens!$K$9654*Sens!$K$9656-Sens!$K$9655</f>
        <v>49.1161140121609</v>
      </c>
      <c r="L9657" s="38" t="n">
        <f aca="false">Sens!$L$9653+Sens!$L$9654*Sens!$L$9656-Sens!$L$9655</f>
        <v>51.5809854246384</v>
      </c>
      <c r="M9657" s="38" t="n">
        <f aca="false">Sens!$M$9653+Sens!$M$9654*Sens!$M$9656-Sens!$M$9655</f>
        <v>56.0318979237773</v>
      </c>
      <c r="N9657" s="38" t="n">
        <f aca="false">Q!$N$22</f>
        <v>13.358</v>
      </c>
      <c r="O9657" s="38" t="n">
        <f aca="false">Q!$O$22</f>
        <v>16.261</v>
      </c>
    </row>
    <row r="9658" customFormat="false" ht="17.15" hidden="false" customHeight="false" outlineLevel="0" collapsed="false">
      <c r="A9658" s="0" t="s">
        <v>726</v>
      </c>
      <c r="B9658" s="0" t="s">
        <v>86</v>
      </c>
      <c r="C9658" s="38" t="n">
        <f aca="false">Sens!$C$9558*m_ad</f>
        <v>7.57284355857716</v>
      </c>
      <c r="D9658" s="38" t="n">
        <f aca="false">Sens!$D$9558*m_ad</f>
        <v>9.44543827004127</v>
      </c>
      <c r="E9658" s="38" t="n">
        <f aca="false">Sens!$E$9558*m_ad</f>
        <v>5.02428875377928</v>
      </c>
      <c r="F9658" s="38" t="n">
        <f aca="false">Sens!$F$9558*m_ad</f>
        <v>6.50663858068173</v>
      </c>
      <c r="G9658" s="38" t="n">
        <f aca="false">Sens!$G$9558*m_ad</f>
        <v>11.5225190751659</v>
      </c>
      <c r="H9658" s="38" t="n">
        <f aca="false">Sens!$H$9558*m_ad</f>
        <v>13.8333728663174</v>
      </c>
      <c r="I9658" s="38" t="n">
        <f aca="false">Sens!$I$9558*m_ad</f>
        <v>16.1440173245485</v>
      </c>
      <c r="J9658" s="38" t="n">
        <f aca="false">Sens!$J$9558*m_ad</f>
        <v>18.2995185845066</v>
      </c>
      <c r="K9658" s="38" t="n">
        <f aca="false">Sens!$K$9558*m_ad</f>
        <v>20.1294704429572</v>
      </c>
      <c r="L9658" s="38" t="n">
        <f aca="false">Sens!$L$9558*m_ad</f>
        <v>22.142417487253</v>
      </c>
      <c r="M9658" s="38" t="n">
        <f aca="false">Sens!$M$9558*m_ad</f>
        <v>24.3566592359783</v>
      </c>
      <c r="N9658" s="38" t="n">
        <f aca="false">Sens!$N$9558*m_ad</f>
        <v>3.95314442937518</v>
      </c>
      <c r="O9658" s="38" t="n">
        <f aca="false">Sens!$O$9558*m_ad</f>
        <v>5.50052681786011</v>
      </c>
    </row>
    <row r="9659" customFormat="false" ht="17.15" hidden="false" customHeight="false" outlineLevel="0" collapsed="false">
      <c r="A9659" s="0" t="s">
        <v>727</v>
      </c>
      <c r="B9659" s="0" t="s">
        <v>86</v>
      </c>
      <c r="C9659" s="38" t="n">
        <f aca="false">Sens!$C$9556-Sens!$C$9558</f>
        <v>127.760312882846</v>
      </c>
      <c r="D9659" s="38" t="n">
        <f aca="false">Sens!$D$9556-Sens!$D$9558</f>
        <v>143.003123459917</v>
      </c>
      <c r="E9659" s="38" t="n">
        <f aca="false">Sens!$E$9556-Sens!$E$9558</f>
        <v>71.9374224924414</v>
      </c>
      <c r="F9659" s="38" t="n">
        <f aca="false">Sens!$F$9556-Sens!$F$9558</f>
        <v>85.3951910035875</v>
      </c>
      <c r="G9659" s="38" t="n">
        <f aca="false">Sens!$G$9556-Sens!$G$9558</f>
        <v>157.349430014619</v>
      </c>
      <c r="H9659" s="38" t="n">
        <f aca="false">Sens!$H$9556-Sens!$H$9558</f>
        <v>172.043153372315</v>
      </c>
      <c r="I9659" s="38" t="n">
        <f aca="false">Sens!$I$9556-Sens!$I$9558</f>
        <v>186.097493615879</v>
      </c>
      <c r="J9659" s="38" t="n">
        <f aca="false">Sens!$J$9556-Sens!$J$9558</f>
        <v>199.117932780497</v>
      </c>
      <c r="K9659" s="38" t="n">
        <f aca="false">Sens!$K$9556-Sens!$K$9558</f>
        <v>210.70928698363</v>
      </c>
      <c r="L9659" s="38" t="n">
        <f aca="false">Sens!$L$9556-Sens!$L$9558</f>
        <v>223.000532251316</v>
      </c>
      <c r="M9659" s="38" t="n">
        <f aca="false">Sens!$M$9556-Sens!$M$9558</f>
        <v>236.035261011339</v>
      </c>
      <c r="N9659" s="38" t="n">
        <f aca="false">Sens!$N$9556-Sens!$N$9558</f>
        <v>62.3677111412496</v>
      </c>
      <c r="O9659" s="38" t="n">
        <f aca="false">Sens!$O$9556-Sens!$O$9558</f>
        <v>80.6189463642798</v>
      </c>
    </row>
    <row r="9660" customFormat="false" ht="17.15" hidden="false" customHeight="false" outlineLevel="0" collapsed="false">
      <c r="A9660" s="0" t="s">
        <v>728</v>
      </c>
      <c r="B9660" s="0" t="s">
        <v>86</v>
      </c>
      <c r="C9660" s="38" t="n">
        <f aca="false">Sens!$C$9606*(1-Sens!$C$9554)</f>
        <v>0.0455891896019953</v>
      </c>
      <c r="D9660" s="38" t="n">
        <f aca="false">Sens!$D$9606*(1-Sens!$D$9554)</f>
        <v>0.227931791705753</v>
      </c>
      <c r="E9660" s="38" t="n">
        <f aca="false">Sens!$E$9606*(1-Sens!$E$9554)</f>
        <v>0.361164268820781</v>
      </c>
      <c r="F9660" s="38" t="n">
        <f aca="false">Sens!$F$9606*(1-Sens!$F$9554)</f>
        <v>0.471208018190203</v>
      </c>
      <c r="G9660" s="38" t="n">
        <f aca="false">Sens!$G$9606*(1-Sens!$G$9554)</f>
        <v>0.83170626714885</v>
      </c>
      <c r="H9660" s="38" t="n">
        <f aca="false">Sens!$H$9606*(1-Sens!$H$9554)</f>
        <v>2.35271136874315</v>
      </c>
      <c r="I9660" s="38" t="n">
        <f aca="false">Sens!$I$9606*(1-Sens!$I$9554)</f>
        <v>4.46305900024741</v>
      </c>
      <c r="J9660" s="38" t="n">
        <f aca="false">Sens!$J$9606*(1-Sens!$J$9554)</f>
        <v>6.63055328092195</v>
      </c>
      <c r="K9660" s="38" t="n">
        <f aca="false">Sens!$K$9606*(1-Sens!$K$9554)</f>
        <v>8.75579258355993</v>
      </c>
      <c r="L9660" s="38" t="n">
        <f aca="false">Sens!$L$9606*(1-Sens!$L$9554)</f>
        <v>10.2585749399988</v>
      </c>
      <c r="M9660" s="38" t="n">
        <f aca="false">Sens!$M$9606*(1-Sens!$M$9554)</f>
        <v>11.2281774189307</v>
      </c>
      <c r="N9660" s="38" t="n">
        <f aca="false">Sens!$N$9606*(1-Sens!$N$9554)</f>
        <v>0.0912435878202994</v>
      </c>
      <c r="O9660" s="38" t="n">
        <f aca="false">Sens!$O$9606*(1-Sens!$O$9554)</f>
        <v>0.137119578309265</v>
      </c>
    </row>
    <row r="9661" customFormat="false" ht="17.15" hidden="false" customHeight="false" outlineLevel="0" collapsed="false">
      <c r="A9661" s="0" t="s">
        <v>729</v>
      </c>
      <c r="B9661" s="0" t="s">
        <v>52</v>
      </c>
      <c r="C9661" s="28" t="n">
        <f aca="false">(Sens!$C$9662-Sens!$C$9658+Sens!$C$9660)/Sens!$C$9659</f>
        <v>-0.0292364215826579</v>
      </c>
      <c r="D9661" s="28" t="n">
        <f aca="false">(Sens!$D$9662-Sens!$D$9658+Sens!$D$9660)/Sens!$D$9659</f>
        <v>-0.0312406216748665</v>
      </c>
      <c r="E9661" s="28" t="n">
        <f aca="false">(Sens!$E$9662-Sens!$E$9658+Sens!$E$9660)/Sens!$E$9659</f>
        <v>-0.0211590078184749</v>
      </c>
      <c r="F9661" s="28" t="n">
        <f aca="false">Sens!$O$9661+(Sens!$E$9661-Sens!$N$9661)</f>
        <v>-0.0382539955245511</v>
      </c>
      <c r="G9661" s="28" t="n">
        <f aca="false">(Sens!$G$9662-Sens!$G$9658+Sens!$G$9660)/Sens!$G$9659</f>
        <v>-0.030385172031133</v>
      </c>
      <c r="H9661" s="28" t="n">
        <f aca="false">Sens!$G$9661+step_in</f>
        <v>-0.030385172031133</v>
      </c>
      <c r="I9661" s="28" t="n">
        <f aca="false">Sens!$H$9661+step_in</f>
        <v>-0.030385172031133</v>
      </c>
      <c r="J9661" s="28" t="n">
        <f aca="false">Sens!$I$9661+step_in</f>
        <v>-0.030385172031133</v>
      </c>
      <c r="K9661" s="28" t="n">
        <f aca="false">Sens!$J$9661+step_in</f>
        <v>-0.030385172031133</v>
      </c>
      <c r="L9661" s="28" t="n">
        <f aca="false">Sens!$K$9661</f>
        <v>-0.030385172031133</v>
      </c>
      <c r="M9661" s="28" t="n">
        <f aca="false">Sens!$L$9661</f>
        <v>-0.030385172031133</v>
      </c>
      <c r="N9661" s="28" t="n">
        <f aca="false">(Sens!$N$9662-Sens!$N$9658+Sens!$N$9660)/Sens!$N$9659</f>
        <v>-0.0216602600421776</v>
      </c>
      <c r="O9661" s="28" t="n">
        <f aca="false">(Sens!$O$9662-Sens!$O$9658+Sens!$O$9660)/Sens!$O$9659</f>
        <v>-0.0387552477482538</v>
      </c>
      <c r="P9661" s="8" t="s">
        <v>724</v>
      </c>
    </row>
    <row r="9662" customFormat="false" ht="17.15" hidden="false" customHeight="false" outlineLevel="0" collapsed="false">
      <c r="A9662" s="1" t="s">
        <v>730</v>
      </c>
      <c r="B9662" s="8" t="s">
        <v>86</v>
      </c>
      <c r="C9662" s="38" t="n">
        <f aca="false">Q!$D$23</f>
        <v>3.792</v>
      </c>
      <c r="D9662" s="38" t="n">
        <f aca="false">Q!$E$23</f>
        <v>4.75</v>
      </c>
      <c r="E9662" s="38" t="n">
        <f aca="false">Q!$P$23</f>
        <v>3.141</v>
      </c>
      <c r="F9662" s="38" t="n">
        <f aca="false">Sens!$F$9658+Sens!$F$9659*Sens!$F$9661-Sens!$F$9660</f>
        <v>2.7687233080221</v>
      </c>
      <c r="G9662" s="38" t="n">
        <f aca="false">Sens!$E$9662+Sens!$F$9662</f>
        <v>5.9097233080221</v>
      </c>
      <c r="H9662" s="38" t="n">
        <f aca="false">Sens!$H$9658+Sens!$H$9659*Sens!$H$9661-Sens!$H$9660</f>
        <v>6.25310068557783</v>
      </c>
      <c r="I9662" s="38" t="n">
        <f aca="false">Sens!$I$9658+Sens!$I$9659*Sens!$I$9661-Sens!$I$9660</f>
        <v>6.02635396621997</v>
      </c>
      <c r="J9662" s="38" t="n">
        <f aca="false">Sens!$J$9658+Sens!$J$9659*Sens!$J$9661-Sens!$J$9660</f>
        <v>5.61873266156566</v>
      </c>
      <c r="K9662" s="38" t="n">
        <f aca="false">Sens!$K$9658+Sens!$K$9659*Sens!$K$9661-Sens!$K$9660</f>
        <v>4.97123992584234</v>
      </c>
      <c r="L9662" s="38" t="n">
        <f aca="false">Sens!$L$9658+Sens!$L$9659*Sens!$L$9661-Sens!$L$9660</f>
        <v>5.10793301176375</v>
      </c>
      <c r="M9662" s="38" t="n">
        <f aca="false">Sens!$M$9658+Sens!$M$9659*Sens!$M$9661-Sens!$M$9660</f>
        <v>5.95650980580469</v>
      </c>
      <c r="N9662" s="38" t="n">
        <f aca="false">Q!$N$23</f>
        <v>2.511</v>
      </c>
      <c r="O9662" s="38" t="n">
        <f aca="false">Q!$O$23</f>
        <v>2.239</v>
      </c>
    </row>
    <row r="9663" customFormat="false" ht="17.15" hidden="false" customHeight="false" outlineLevel="0" collapsed="false">
      <c r="A9663" s="0" t="s">
        <v>731</v>
      </c>
      <c r="B9663" s="0" t="s">
        <v>86</v>
      </c>
      <c r="C9663" s="38" t="n">
        <f aca="false">Sens!$C$9603</f>
        <v>1.64417882953695</v>
      </c>
      <c r="D9663" s="38" t="n">
        <f aca="false">Sens!$D$9603</f>
        <v>5.39125073772939</v>
      </c>
      <c r="E9663" s="38" t="n">
        <f aca="false">Sens!$E$9603</f>
        <v>3.18348617147493</v>
      </c>
      <c r="F9663" s="38" t="n">
        <f aca="false">Sens!$F$9603</f>
        <v>8.27806059642226</v>
      </c>
      <c r="G9663" s="38" t="n">
        <f aca="false">Sens!$G$9603</f>
        <v>11.4615467678972</v>
      </c>
      <c r="H9663" s="38" t="n">
        <f aca="false">Sens!$H$9603</f>
        <v>26.1859456885487</v>
      </c>
      <c r="I9663" s="38" t="n">
        <f aca="false">Sens!$I$9603</f>
        <v>37.04424114757</v>
      </c>
      <c r="J9663" s="38" t="n">
        <f aca="false">Sens!$J$9603</f>
        <v>47.2610736233534</v>
      </c>
      <c r="K9663" s="38" t="n">
        <f aca="false">Sens!$K$9603</f>
        <v>52.2751763975167</v>
      </c>
      <c r="L9663" s="38" t="n">
        <f aca="false">Sens!$L$9603</f>
        <v>54.701751622809</v>
      </c>
      <c r="M9663" s="38" t="n">
        <f aca="false">Sens!$M$9603</f>
        <v>53.2225737149584</v>
      </c>
      <c r="N9663" s="38" t="n">
        <f aca="false">Sens!$N$9603</f>
        <v>1.67921600037079</v>
      </c>
      <c r="O9663" s="38" t="n">
        <f aca="false">Sens!$O$9603</f>
        <v>3.71203473735861</v>
      </c>
    </row>
    <row r="9664" customFormat="false" ht="17.15" hidden="false" customHeight="false" outlineLevel="0" collapsed="false">
      <c r="A9664" s="0" t="s">
        <v>649</v>
      </c>
      <c r="B9664" s="0" t="s">
        <v>86</v>
      </c>
      <c r="C9664" s="38" t="n">
        <f aca="false">Sens!$C$9608</f>
        <v>38.1898211704631</v>
      </c>
      <c r="D9664" s="38" t="n">
        <f aca="false">Sens!$D$9608</f>
        <v>40.2147492622706</v>
      </c>
      <c r="E9664" s="38" t="n">
        <f aca="false">Sens!$E$9608</f>
        <v>27.5985138285251</v>
      </c>
      <c r="F9664" s="38" t="n">
        <f aca="false">Sens!$F$9608</f>
        <v>25.5484769754606</v>
      </c>
      <c r="G9664" s="38" t="n">
        <f aca="false">Sens!$G$9608</f>
        <v>53.1469908039857</v>
      </c>
      <c r="H9664" s="38" t="n">
        <f aca="false">Sens!$H$9608</f>
        <v>57.3189525076539</v>
      </c>
      <c r="I9664" s="38" t="n">
        <f aca="false">Sens!$I$9608</f>
        <v>63.6385627021087</v>
      </c>
      <c r="J9664" s="38" t="n">
        <f aca="false">Sens!$J$9608</f>
        <v>69.6922896066105</v>
      </c>
      <c r="K9664" s="38" t="n">
        <f aca="false">Sens!$K$9608</f>
        <v>75.2676727751394</v>
      </c>
      <c r="L9664" s="38" t="n">
        <f aca="false">Sens!$L$9608</f>
        <v>81.2890865971505</v>
      </c>
      <c r="M9664" s="38" t="n">
        <f aca="false">Sens!$M$9608</f>
        <v>87.7922135249226</v>
      </c>
      <c r="N9664" s="38" t="n">
        <f aca="false">Sens!$N$9608</f>
        <v>20.0277839996292</v>
      </c>
      <c r="O9664" s="38" t="n">
        <f aca="false">Sens!$O$9608</f>
        <v>20.1869652626414</v>
      </c>
    </row>
    <row r="9665" customFormat="false" ht="17.15" hidden="false" customHeight="false" outlineLevel="0" collapsed="false">
      <c r="A9665" s="1" t="s">
        <v>732</v>
      </c>
      <c r="B9665" s="8" t="s">
        <v>86</v>
      </c>
      <c r="C9665" s="38" t="n">
        <f aca="false">Q!$D$24</f>
        <v>39.834</v>
      </c>
      <c r="D9665" s="38" t="n">
        <f aca="false">Q!$E$24</f>
        <v>45.606</v>
      </c>
      <c r="E9665" s="38" t="n">
        <f aca="false">Q!$P$24</f>
        <v>30.782</v>
      </c>
      <c r="F9665" s="38" t="n">
        <f aca="false">Sens!$F$9663+Sens!$F$9664</f>
        <v>33.8265375718829</v>
      </c>
      <c r="G9665" s="38" t="n">
        <f aca="false">Sens!$G$9663+Sens!$G$9664</f>
        <v>64.6085375718829</v>
      </c>
      <c r="H9665" s="38" t="n">
        <f aca="false">Sens!$H$9663+Sens!$H$9664</f>
        <v>83.5048981962026</v>
      </c>
      <c r="I9665" s="38" t="n">
        <f aca="false">Sens!$I$9663+Sens!$I$9664</f>
        <v>100.682803849679</v>
      </c>
      <c r="J9665" s="38" t="n">
        <f aca="false">Sens!$J$9663+Sens!$J$9664</f>
        <v>116.953363229964</v>
      </c>
      <c r="K9665" s="38" t="n">
        <f aca="false">Sens!$K$9663+Sens!$K$9664</f>
        <v>127.542849172656</v>
      </c>
      <c r="L9665" s="38" t="n">
        <f aca="false">Sens!$L$9663+Sens!$L$9664</f>
        <v>135.99083821996</v>
      </c>
      <c r="M9665" s="38" t="n">
        <f aca="false">Sens!$M$9663+Sens!$M$9664</f>
        <v>141.014787239881</v>
      </c>
      <c r="N9665" s="38" t="n">
        <f aca="false">Q!$N$24</f>
        <v>21.707</v>
      </c>
      <c r="O9665" s="38" t="n">
        <f aca="false">Q!$O$24</f>
        <v>23.899</v>
      </c>
    </row>
    <row r="9666" customFormat="false" ht="17.15" hidden="false" customHeight="false" outlineLevel="0" collapsed="false">
      <c r="A9666" s="5" t="s">
        <v>733</v>
      </c>
      <c r="B9666" s="0" t="s">
        <v>86</v>
      </c>
      <c r="C9666" s="38" t="n">
        <f aca="false">Q!$D$26</f>
        <v>0</v>
      </c>
      <c r="D9666" s="38" t="n">
        <f aca="false">Q!$E$26</f>
        <v>0</v>
      </c>
      <c r="E9666" s="38" t="n">
        <f aca="false">Q!$P$26</f>
        <v>0</v>
      </c>
      <c r="F9666" s="39" t="n">
        <v>0</v>
      </c>
      <c r="G9666" s="38" t="n">
        <f aca="false">Sens!$E$9666+Sens!$F$9666</f>
        <v>0</v>
      </c>
      <c r="H9666" s="39" t="n">
        <v>0</v>
      </c>
      <c r="I9666" s="39" t="n">
        <v>0</v>
      </c>
      <c r="J9666" s="39" t="n">
        <v>0</v>
      </c>
      <c r="K9666" s="39" t="n">
        <v>0</v>
      </c>
      <c r="L9666" s="39" t="n">
        <v>0</v>
      </c>
      <c r="M9666" s="39" t="n">
        <v>0</v>
      </c>
      <c r="N9666" s="38" t="n">
        <f aca="false">Q!$N$26</f>
        <v>0</v>
      </c>
      <c r="O9666" s="38" t="n">
        <f aca="false">Q!$O$26</f>
        <v>0</v>
      </c>
    </row>
    <row r="9667" customFormat="false" ht="15" hidden="false" customHeight="false" outlineLevel="0" collapsed="false">
      <c r="A9667" s="3" t="s">
        <v>534</v>
      </c>
      <c r="B9667" s="8" t="s">
        <v>86</v>
      </c>
      <c r="C9667" s="38" t="n">
        <f aca="false">Q!$D$25</f>
        <v>68.593</v>
      </c>
      <c r="D9667" s="38" t="n">
        <f aca="false">Q!$E$25</f>
        <v>79.975</v>
      </c>
      <c r="E9667" s="38" t="n">
        <f aca="false">Q!$P$25</f>
        <v>51.313</v>
      </c>
      <c r="F9667" s="38" t="n">
        <f aca="false">Sens!$F$9657+Sens!$F$9662+Sens!$F$9665+Sens!$F$9666</f>
        <v>56.6904916268541</v>
      </c>
      <c r="G9667" s="38" t="n">
        <f aca="false">Sens!$G$9657+Sens!$G$9662+Sens!$G$9665+Sens!$G$9666</f>
        <v>108.003491626854</v>
      </c>
      <c r="H9667" s="38" t="n">
        <f aca="false">Sens!$H$9657+Sens!$H$9662+Sens!$H$9665+Sens!$H$9666</f>
        <v>131.546867769501</v>
      </c>
      <c r="I9667" s="38" t="n">
        <f aca="false">Sens!$I$9657+Sens!$I$9662+Sens!$I$9665+Sens!$I$9666</f>
        <v>151.443755203325</v>
      </c>
      <c r="J9667" s="38" t="n">
        <f aca="false">Sens!$J$9657+Sens!$J$9662+Sens!$J$9665+Sens!$J$9666</f>
        <v>169.831139392687</v>
      </c>
      <c r="K9667" s="38" t="n">
        <f aca="false">Sens!$K$9657+Sens!$K$9662+Sens!$K$9665+Sens!$K$9666</f>
        <v>181.630203110659</v>
      </c>
      <c r="L9667" s="38" t="n">
        <f aca="false">Sens!$L$9657+Sens!$L$9662+Sens!$L$9665+Sens!$L$9666</f>
        <v>192.679756656362</v>
      </c>
      <c r="M9667" s="38" t="n">
        <f aca="false">Sens!$M$9657+Sens!$M$9662+Sens!$M$9665+Sens!$M$9666</f>
        <v>203.003194969463</v>
      </c>
      <c r="N9667" s="38" t="n">
        <f aca="false">Q!$N$25</f>
        <v>37.576</v>
      </c>
      <c r="O9667" s="38" t="n">
        <f aca="false">Q!$O$25</f>
        <v>42.399</v>
      </c>
    </row>
    <row r="9668" customFormat="false" ht="17.15" hidden="false" customHeight="false" outlineLevel="0" collapsed="false">
      <c r="A9668" s="24" t="s">
        <v>764</v>
      </c>
      <c r="B9668" s="25" t="s">
        <v>86</v>
      </c>
      <c r="C9668" s="41" t="n">
        <f aca="false">Sens!$C$9657+Sens!$C$9662+Sens!$C$9665+Sens!$C$9666-Sens!$C$9667</f>
        <v>0</v>
      </c>
      <c r="D9668" s="41" t="n">
        <f aca="false">Sens!$D$9657+Sens!$D$9662+Sens!$D$9665+Sens!$D$9666-Sens!$D$9667</f>
        <v>0</v>
      </c>
      <c r="E9668" s="41" t="n">
        <f aca="false">Sens!$E$9657+Sens!$E$9662+Sens!$E$9665+Sens!$E$9666-Sens!$E$9667</f>
        <v>0</v>
      </c>
      <c r="F9668" s="41" t="n">
        <f aca="false">Sens!$F$9657+Sens!$F$9662+Sens!$F$9665+Sens!$F$9666-Sens!$F$9667</f>
        <v>0</v>
      </c>
      <c r="G9668" s="41" t="n">
        <f aca="false">Sens!$G$9657+Sens!$G$9662+Sens!$G$9665+Sens!$G$9666-Sens!$G$9667</f>
        <v>0</v>
      </c>
      <c r="H9668" s="41" t="n">
        <f aca="false">Sens!$H$9657+Sens!$H$9662+Sens!$H$9665+Sens!$H$9666-Sens!$H$9667</f>
        <v>0</v>
      </c>
      <c r="I9668" s="41" t="n">
        <f aca="false">Sens!$I$9657+Sens!$I$9662+Sens!$I$9665+Sens!$I$9666-Sens!$I$9667</f>
        <v>0</v>
      </c>
      <c r="J9668" s="41" t="n">
        <f aca="false">Sens!$J$9657+Sens!$J$9662+Sens!$J$9665+Sens!$J$9666-Sens!$J$9667</f>
        <v>0</v>
      </c>
      <c r="K9668" s="41" t="n">
        <f aca="false">Sens!$K$9657+Sens!$K$9662+Sens!$K$9665+Sens!$K$9666-Sens!$K$9667</f>
        <v>0</v>
      </c>
      <c r="L9668" s="41" t="n">
        <f aca="false">Sens!$L$9657+Sens!$L$9662+Sens!$L$9665+Sens!$L$9666-Sens!$L$9667</f>
        <v>0</v>
      </c>
      <c r="M9668" s="41" t="n">
        <f aca="false">Sens!$M$9657+Sens!$M$9662+Sens!$M$9665+Sens!$M$9666-Sens!$M$9667</f>
        <v>0</v>
      </c>
      <c r="N9668" s="41" t="n">
        <f aca="false">Sens!$N$9657+Sens!$N$9662+Sens!$N$9665+Sens!$N$9666-Sens!$N$9667</f>
        <v>0</v>
      </c>
      <c r="O9668" s="41" t="n">
        <f aca="false">Sens!$O$9657+Sens!$O$9662+Sens!$O$9665+Sens!$O$9666-Sens!$O$9667</f>
        <v>0</v>
      </c>
    </row>
    <row r="9669" customFormat="false" ht="17.15" hidden="false" customHeight="false" outlineLevel="0" collapsed="false">
      <c r="A9669" s="5" t="s">
        <v>735</v>
      </c>
      <c r="B9669" s="0" t="s">
        <v>86</v>
      </c>
      <c r="C9669" s="38" t="n">
        <f aca="false">Sens!$C$9605</f>
        <v>0</v>
      </c>
      <c r="D9669" s="38" t="n">
        <f aca="false">Sens!$D$9605</f>
        <v>0</v>
      </c>
      <c r="E9669" s="38" t="n">
        <f aca="false">Sens!$E$9605</f>
        <v>0</v>
      </c>
      <c r="F9669" s="38" t="n">
        <f aca="false">Sens!$F$9605</f>
        <v>3.77122048175818</v>
      </c>
      <c r="G9669" s="38" t="n">
        <f aca="false">Sens!$G$9605</f>
        <v>3.77122048175818</v>
      </c>
      <c r="H9669" s="38" t="n">
        <f aca="false">Sens!$H$9605</f>
        <v>15.1635543609893</v>
      </c>
      <c r="I9669" s="38" t="n">
        <f aca="false">Sens!$I$9605</f>
        <v>25.5818843619889</v>
      </c>
      <c r="J9669" s="38" t="n">
        <f aca="false">Sens!$J$9605</f>
        <v>36.0465624179122</v>
      </c>
      <c r="K9669" s="38" t="n">
        <f aca="false">Sens!$K$9605</f>
        <v>45.0461919819152</v>
      </c>
      <c r="L9669" s="38" t="n">
        <f aca="false">Sens!$L$9605</f>
        <v>51.1279288493339</v>
      </c>
      <c r="M9669" s="38" t="n">
        <f aca="false">Sens!$M$9605</f>
        <v>54.2845128319481</v>
      </c>
      <c r="N9669" s="38" t="n">
        <f aca="false">Sens!$N$9605</f>
        <v>0</v>
      </c>
      <c r="O9669" s="38" t="n">
        <f aca="false">Sens!$O$9605</f>
        <v>0</v>
      </c>
      <c r="P9669" s="5" t="s">
        <v>736</v>
      </c>
    </row>
    <row r="9670" customFormat="false" ht="17.15" hidden="false" customHeight="false" outlineLevel="0" collapsed="false">
      <c r="A9670" s="5" t="s">
        <v>737</v>
      </c>
      <c r="B9670" s="0" t="s">
        <v>86</v>
      </c>
      <c r="C9670" s="38" t="n">
        <f aca="false">Sens!$C$9667+Sens!$C$9669</f>
        <v>68.593</v>
      </c>
      <c r="D9670" s="38" t="n">
        <f aca="false">Sens!$D$9667+Sens!$D$9669</f>
        <v>79.975</v>
      </c>
      <c r="E9670" s="38" t="n">
        <f aca="false">Sens!$E$9667+Sens!$E$9669</f>
        <v>51.313</v>
      </c>
      <c r="F9670" s="38" t="n">
        <f aca="false">Sens!$F$9667+Sens!$F$9669</f>
        <v>60.4617121086123</v>
      </c>
      <c r="G9670" s="38" t="n">
        <f aca="false">Sens!$G$9667+Sens!$G$9669</f>
        <v>111.774712108612</v>
      </c>
      <c r="H9670" s="38" t="n">
        <f aca="false">Sens!$H$9667+Sens!$H$9669</f>
        <v>146.71042213049</v>
      </c>
      <c r="I9670" s="38" t="n">
        <f aca="false">Sens!$I$9667+Sens!$I$9669</f>
        <v>177.025639565314</v>
      </c>
      <c r="J9670" s="38" t="n">
        <f aca="false">Sens!$J$9667+Sens!$J$9669</f>
        <v>205.877701810599</v>
      </c>
      <c r="K9670" s="38" t="n">
        <f aca="false">Sens!$K$9667+Sens!$K$9669</f>
        <v>226.676395092575</v>
      </c>
      <c r="L9670" s="38" t="n">
        <f aca="false">Sens!$L$9667+Sens!$L$9669</f>
        <v>243.807685505696</v>
      </c>
      <c r="M9670" s="38" t="n">
        <f aca="false">Sens!$M$9667+Sens!$M$9669</f>
        <v>257.287707801411</v>
      </c>
      <c r="N9670" s="38" t="n">
        <f aca="false">Sens!$N$9667+Sens!$N$9669</f>
        <v>37.576</v>
      </c>
      <c r="O9670" s="38" t="n">
        <f aca="false">Sens!$O$9667+Sens!$O$9669</f>
        <v>42.399</v>
      </c>
    </row>
    <row r="9671" customFormat="false" ht="17.15" hidden="false" customHeight="false" outlineLevel="0" collapsed="false">
      <c r="A9671" s="0" t="s">
        <v>738</v>
      </c>
      <c r="B9671" s="0" t="s">
        <v>52</v>
      </c>
      <c r="C9671" s="13" t="n">
        <f aca="false">Sens!$C$9657/Sens!$C$9642</f>
        <v>0.0644314665661928</v>
      </c>
      <c r="D9671" s="13" t="n">
        <f aca="false">Sens!$D$9657/Sens!$D$9642</f>
        <v>0.0694784250712518</v>
      </c>
      <c r="E9671" s="13" t="n">
        <f aca="false">Sens!$E$9657/Sens!$E$9642</f>
        <v>0.0789306463326071</v>
      </c>
      <c r="F9671" s="13" t="n">
        <f aca="false">Sens!$F$9657/Sens!$F$9642</f>
        <v>0.0801757457241943</v>
      </c>
      <c r="G9671" s="13" t="n">
        <f aca="false">Sens!$G$9657/Sens!$G$9642</f>
        <v>0.0795932749625682</v>
      </c>
      <c r="H9671" s="13" t="n">
        <f aca="false">Sens!$H$9657/Sens!$H$9642</f>
        <v>0.0801494276915951</v>
      </c>
      <c r="I9671" s="13" t="n">
        <f aca="false">Sens!$I$9657/Sens!$I$9642</f>
        <v>0.0784619467108939</v>
      </c>
      <c r="J9671" s="13" t="n">
        <f aca="false">Sens!$J$9657/Sens!$J$9642</f>
        <v>0.0767950945569155</v>
      </c>
      <c r="K9671" s="13" t="n">
        <f aca="false">Sens!$K$9657/Sens!$K$9642</f>
        <v>0.0749626026445883</v>
      </c>
      <c r="L9671" s="13" t="n">
        <f aca="false">Sens!$L$9657/Sens!$L$9642</f>
        <v>0.073918620449946</v>
      </c>
      <c r="M9671" s="13" t="n">
        <f aca="false">Sens!$M$9657/Sens!$M$9642</f>
        <v>0.0753725430981762</v>
      </c>
      <c r="N9671" s="13" t="n">
        <f aca="false">Sens!$N$9657/Sens!$N$9642</f>
        <v>0.069228576611127</v>
      </c>
      <c r="O9671" s="13" t="n">
        <f aca="false">Sens!$O$9657/Sens!$O$9642</f>
        <v>0.069685022498393</v>
      </c>
    </row>
    <row r="9672" customFormat="false" ht="17.15" hidden="false" customHeight="false" outlineLevel="0" collapsed="false">
      <c r="A9672" s="0" t="s">
        <v>739</v>
      </c>
      <c r="B9672" s="0" t="s">
        <v>52</v>
      </c>
      <c r="C9672" s="13" t="n">
        <f aca="false">Sens!$C$9662/Sens!$C$9643</f>
        <v>0.026534925055631</v>
      </c>
      <c r="D9672" s="13" t="n">
        <f aca="false">Sens!$D$9662/Sens!$D$9643</f>
        <v>0.0293401855535103</v>
      </c>
      <c r="E9672" s="13" t="n">
        <f aca="false">Sens!$E$9662/Sens!$E$9643</f>
        <v>0.03831141902276</v>
      </c>
      <c r="F9672" s="13" t="n">
        <f aca="false">Sens!$F$9662/Sens!$F$9643</f>
        <v>0.0281350107328284</v>
      </c>
      <c r="G9672" s="13" t="n">
        <f aca="false">Sens!$G$9662/Sens!$G$9643</f>
        <v>0.0327600029432073</v>
      </c>
      <c r="H9672" s="13" t="n">
        <f aca="false">Sens!$H$9662/Sens!$H$9643</f>
        <v>0.031310920057557</v>
      </c>
      <c r="I9672" s="13" t="n">
        <f aca="false">Sens!$I$9662/Sens!$I$9643</f>
        <v>0.0275950243319601</v>
      </c>
      <c r="J9672" s="13" t="n">
        <f aca="false">Sens!$J$9662/Sens!$J$9643</f>
        <v>0.0238367762099147</v>
      </c>
      <c r="K9672" s="13" t="n">
        <f aca="false">Sens!$K$9662/Sens!$K$9643</f>
        <v>0.0198082441273261</v>
      </c>
      <c r="L9672" s="13" t="n">
        <f aca="false">Sens!$L$9662/Sens!$L$9643</f>
        <v>0.019110410213546</v>
      </c>
      <c r="M9672" s="13" t="n">
        <f aca="false">Sens!$M$9662/Sens!$M$9643</f>
        <v>0.0209184882207784</v>
      </c>
      <c r="N9672" s="13" t="n">
        <f aca="false">Sens!$N$9662/Sens!$N$9643</f>
        <v>0.0357315650169337</v>
      </c>
      <c r="O9672" s="13" t="n">
        <f aca="false">Sens!$O$9662/Sens!$O$9643</f>
        <v>0.0244378956559703</v>
      </c>
    </row>
    <row r="9673" customFormat="false" ht="17.15" hidden="false" customHeight="false" outlineLevel="0" collapsed="false">
      <c r="A9673" s="14" t="s">
        <v>740</v>
      </c>
      <c r="B9673" s="14" t="s">
        <v>52</v>
      </c>
      <c r="C9673" s="17" t="n">
        <f aca="false">Sens!$C$9665/Sens!$C$9644</f>
        <v>0.370355907620217</v>
      </c>
      <c r="D9673" s="17" t="n">
        <f aca="false">Sens!$D$9665/Sens!$D$9644</f>
        <v>0.35429015342785</v>
      </c>
      <c r="E9673" s="17" t="n">
        <f aca="false">Sens!$E$9665/Sens!$E$9644</f>
        <v>0.385647527531039</v>
      </c>
      <c r="F9673" s="17" t="n">
        <f aca="false">Sens!$F$9665/Sens!$F$9644</f>
        <v>0.390008895496028</v>
      </c>
      <c r="G9673" s="17" t="n">
        <f aca="false">Sens!$G$9665/Sens!$G$9644</f>
        <v>0.387918733944362</v>
      </c>
      <c r="H9673" s="17" t="n">
        <f aca="false">Sens!$H$9665/Sens!$H$9644</f>
        <v>0.377537651365497</v>
      </c>
      <c r="I9673" s="17" t="n">
        <f aca="false">Sens!$I$9665/Sens!$I$9644</f>
        <v>0.359230604038662</v>
      </c>
      <c r="J9673" s="17" t="n">
        <f aca="false">Sens!$J$9665/Sens!$J$9644</f>
        <v>0.345197865849801</v>
      </c>
      <c r="K9673" s="17" t="n">
        <f aca="false">Sens!$K$9665/Sens!$K$9644</f>
        <v>0.326889046124164</v>
      </c>
      <c r="L9673" s="17" t="n">
        <f aca="false">Sens!$L$9665/Sens!$L$9644</f>
        <v>0.315364635591989</v>
      </c>
      <c r="M9673" s="17" t="n">
        <f aca="false">Sens!$M$9665/Sens!$M$9644</f>
        <v>0.30521976379207</v>
      </c>
      <c r="N9673" s="17" t="n">
        <f aca="false">Sens!$N$9665/Sens!$N$9644</f>
        <v>0.360941137346192</v>
      </c>
      <c r="O9673" s="17" t="n">
        <f aca="false">Sens!$O$9665/Sens!$O$9644</f>
        <v>0.348458117664212</v>
      </c>
    </row>
    <row r="9674" customFormat="false" ht="17.15" hidden="false" customHeight="false" outlineLevel="0" collapsed="false">
      <c r="A9674" s="0" t="s">
        <v>741</v>
      </c>
      <c r="B9674" s="0" t="s">
        <v>52</v>
      </c>
      <c r="C9674" s="13" t="n">
        <f aca="false">Sens!$C$9663/Sens!$C$9645</f>
        <v>0.708390794789371</v>
      </c>
      <c r="D9674" s="13" t="n">
        <f aca="false">Sens!$D$9663/Sens!$D$9645</f>
        <v>0.619415573115729</v>
      </c>
      <c r="E9674" s="13" t="n">
        <f aca="false">Sens!$E$9663/Sens!$E$9645</f>
        <v>0.374072166056273</v>
      </c>
      <c r="F9674" s="13" t="n">
        <f aca="false">Sens!$F$9663/Sens!$F$9645</f>
        <v>0.553219320710057</v>
      </c>
      <c r="G9674" s="13" t="n">
        <f aca="false">Sens!$G$9663/Sens!$G$9645</f>
        <v>0.488270041527512</v>
      </c>
      <c r="H9674" s="13" t="n">
        <f aca="false">Sens!$H$9663/Sens!$H$9645</f>
        <v>0.435229086816882</v>
      </c>
      <c r="I9674" s="13" t="n">
        <f aca="false">Sens!$I$9663/Sens!$I$9645</f>
        <v>0.364954592421095</v>
      </c>
      <c r="J9674" s="13" t="n">
        <f aca="false">Sens!$J$9663/Sens!$J$9645</f>
        <v>0.330438308582232</v>
      </c>
      <c r="K9674" s="13" t="n">
        <f aca="false">Sens!$K$9663/Sens!$K$9645</f>
        <v>0.292474552619137</v>
      </c>
      <c r="L9674" s="13" t="n">
        <f aca="false">Sens!$L$9663/Sens!$L$9645</f>
        <v>0.269645821564974</v>
      </c>
      <c r="M9674" s="13" t="n">
        <f aca="false">Sens!$M$9663/Sens!$M$9645</f>
        <v>0.247098773220278</v>
      </c>
      <c r="N9674" s="13" t="n">
        <f aca="false">Sens!$N$9663/Sens!$N$9645</f>
        <v>0.551227795793364</v>
      </c>
      <c r="O9674" s="13" t="n">
        <f aca="false">Sens!$O$9663/Sens!$O$9645</f>
        <v>0.656132068597002</v>
      </c>
    </row>
    <row r="9675" customFormat="false" ht="15" hidden="false" customHeight="false" outlineLevel="0" collapsed="false">
      <c r="A9675" s="5" t="s">
        <v>742</v>
      </c>
      <c r="B9675" s="0" t="s">
        <v>52</v>
      </c>
      <c r="C9675" s="13" t="n">
        <f aca="false">Sens!$C$9667/Sens!$C$9647</f>
        <v>0.107519448742004</v>
      </c>
      <c r="D9675" s="13" t="n">
        <f aca="false">Sens!$D$9667/Sens!$D$9647</f>
        <v>0.111552967957552</v>
      </c>
      <c r="E9675" s="13" t="n">
        <f aca="false">Sens!$E$9667/Sens!$E$9647</f>
        <v>0.13428328426562</v>
      </c>
      <c r="F9675" s="13" t="n">
        <f aca="false">Sens!$F$9667/Sens!$F$9647</f>
        <v>0.130089413875539</v>
      </c>
      <c r="G9675" s="13" t="n">
        <f aca="false">Sens!$G$9667/Sens!$G$9647</f>
        <v>0.132048786678316</v>
      </c>
      <c r="H9675" s="13" t="n">
        <f aca="false">Sens!$H$9667/Sens!$H$9647</f>
        <v>0.139604881440853</v>
      </c>
      <c r="I9675" s="13" t="n">
        <f aca="false">Sens!$I$9667/Sens!$I$9647</f>
        <v>0.141694752432769</v>
      </c>
      <c r="J9675" s="13" t="n">
        <f aca="false">Sens!$J$9667/Sens!$J$9647</f>
        <v>0.14272611544629</v>
      </c>
      <c r="K9675" s="13" t="n">
        <f aca="false">Sens!$K$9667/Sens!$K$9647</f>
        <v>0.140109124834872</v>
      </c>
      <c r="L9675" s="13" t="n">
        <f aca="false">Sens!$L$9667/Sens!$L$9647</f>
        <v>0.137992017715014</v>
      </c>
      <c r="M9675" s="13" t="n">
        <f aca="false">Sens!$M$9667/Sens!$M$9647</f>
        <v>0.136229256482943</v>
      </c>
      <c r="N9675" s="13" t="n">
        <f aca="false">Sens!$N$9667/Sens!$N$9647</f>
        <v>0.116201614873411</v>
      </c>
      <c r="O9675" s="13" t="n">
        <f aca="false">Sens!$O$9667/Sens!$O$9647</f>
        <v>0.107733353660861</v>
      </c>
    </row>
    <row r="9676" customFormat="false" ht="17.15" hidden="false" customHeight="false" outlineLevel="0" collapsed="false">
      <c r="A9676" s="1" t="s">
        <v>743</v>
      </c>
    </row>
    <row r="9677" customFormat="false" ht="17.15" hidden="false" customHeight="false" outlineLevel="0" collapsed="false">
      <c r="A9677" s="5" t="s">
        <v>744</v>
      </c>
      <c r="B9677" s="0" t="s">
        <v>52</v>
      </c>
      <c r="D9677" s="28" t="n">
        <f aca="false">(Q!$E$29+Q!$E$30-(1-ext_sh)*Sens!$D$9599)/Sens!$D$9553</f>
        <v>0.0341105596409988</v>
      </c>
    </row>
    <row r="9678" customFormat="false" ht="17.15" hidden="false" customHeight="false" outlineLevel="0" collapsed="false">
      <c r="A9678" s="0" t="s">
        <v>538</v>
      </c>
      <c r="B9678" s="0" t="s">
        <v>86</v>
      </c>
      <c r="C9678" s="38" t="n">
        <f aca="false">Q!$D$29</f>
        <v>14.285</v>
      </c>
      <c r="D9678" s="38" t="n">
        <f aca="false">Q!$E$29</f>
        <v>15.503</v>
      </c>
      <c r="E9678" s="38" t="n">
        <f aca="false">Q!$P$29</f>
        <v>8.78</v>
      </c>
      <c r="F9678" s="38" t="n">
        <f aca="false">(Sens!$D$9677*Sens!$F$9553+(1-ext_sh)*Sens!$F$9599)*Sens!$F$9554</f>
        <v>9.16735846116642</v>
      </c>
      <c r="G9678" s="38" t="n">
        <f aca="false">Sens!$E$9678+Sens!$F$9678</f>
        <v>17.9473584611664</v>
      </c>
      <c r="H9678" s="38" t="n">
        <f aca="false">(Sens!$D$9677*Sens!$H$9553+(1-ext_sh)*Sens!$H$9599)*Sens!$H$9554</f>
        <v>21.6406723110177</v>
      </c>
      <c r="I9678" s="38" t="n">
        <f aca="false">(Sens!$D$9677*Sens!$I$9553+(1-ext_sh)*Sens!$I$9599)*Sens!$I$9554</f>
        <v>27.3128215555087</v>
      </c>
      <c r="J9678" s="38" t="n">
        <f aca="false">(Sens!$D$9677*Sens!$J$9553+(1-ext_sh)*Sens!$J$9599)*Sens!$J$9554</f>
        <v>33.0116861885756</v>
      </c>
      <c r="K9678" s="38" t="n">
        <f aca="false">(Sens!$D$9677*Sens!$K$9553+(1-ext_sh)*Sens!$K$9599)*Sens!$K$9554</f>
        <v>38.6250238720245</v>
      </c>
      <c r="L9678" s="38" t="n">
        <f aca="false">(Sens!$D$9677*Sens!$L$9553+(1-ext_sh)*Sens!$L$9599)*Sens!$L$9554</f>
        <v>43.1275612533579</v>
      </c>
      <c r="M9678" s="38" t="n">
        <f aca="false">(Sens!$D$9677*Sens!$M$9553+(1-ext_sh)*Sens!$M$9599)*Sens!$M$9554</f>
        <v>46.7599518310413</v>
      </c>
      <c r="N9678" s="38" t="n">
        <f aca="false">Q!$N$29</f>
        <v>7.272</v>
      </c>
      <c r="O9678" s="38" t="n">
        <f aca="false">Q!$O$29</f>
        <v>8.231</v>
      </c>
    </row>
    <row r="9679" customFormat="false" ht="17.15" hidden="false" customHeight="false" outlineLevel="0" collapsed="false">
      <c r="A9679" s="0" t="s">
        <v>540</v>
      </c>
      <c r="B9679" s="0" t="s">
        <v>86</v>
      </c>
      <c r="C9679" s="38" t="n">
        <f aca="false">Q!$D$30</f>
        <v>4.462</v>
      </c>
      <c r="D9679" s="38" t="n">
        <f aca="false">Q!$E$30</f>
        <v>4.907</v>
      </c>
      <c r="E9679" s="38" t="n">
        <f aca="false">Q!$P$30</f>
        <v>2.57</v>
      </c>
      <c r="F9679" s="38" t="n">
        <f aca="false">(Sens!$D$9677*Sens!$F$9553+(1-ext_sh)*Sens!$F$9599)*(1-Sens!$F$9554)</f>
        <v>3.59937168293151</v>
      </c>
      <c r="G9679" s="38" t="n">
        <f aca="false">Sens!$E$9679+Sens!$F$9679</f>
        <v>6.16937168293151</v>
      </c>
      <c r="H9679" s="38" t="n">
        <f aca="false">(Sens!$D$9677*Sens!$H$9553+(1-ext_sh)*Sens!$H$9599)*(1-Sens!$H$9554)</f>
        <v>8.28915290031442</v>
      </c>
      <c r="I9679" s="38" t="n">
        <f aca="false">(Sens!$D$9677*Sens!$I$9553+(1-ext_sh)*Sens!$I$9599)*(1-Sens!$I$9554)</f>
        <v>10.4617892992793</v>
      </c>
      <c r="J9679" s="38" t="n">
        <f aca="false">(Sens!$D$9677*Sens!$J$9553+(1-ext_sh)*Sens!$J$9599)*(1-Sens!$J$9554)</f>
        <v>12.6446586493057</v>
      </c>
      <c r="K9679" s="38" t="n">
        <f aca="false">(Sens!$D$9677*Sens!$K$9553+(1-ext_sh)*Sens!$K$9599)*(1-Sens!$K$9554)</f>
        <v>14.7947681131192</v>
      </c>
      <c r="L9679" s="38" t="n">
        <f aca="false">(Sens!$D$9677*Sens!$L$9553+(1-ext_sh)*Sens!$L$9599)*(1-Sens!$L$9554)</f>
        <v>16.5194012602258</v>
      </c>
      <c r="M9679" s="38" t="n">
        <f aca="false">(Sens!$D$9677*Sens!$M$9553+(1-ext_sh)*Sens!$M$9599)*(1-Sens!$M$9554)</f>
        <v>17.9107370033741</v>
      </c>
      <c r="N9679" s="38" t="n">
        <f aca="false">Q!$N$30</f>
        <v>2.316</v>
      </c>
      <c r="O9679" s="38" t="n">
        <f aca="false">Q!$O$30</f>
        <v>2.591</v>
      </c>
    </row>
    <row r="9680" customFormat="false" ht="17.15" hidden="false" customHeight="false" outlineLevel="0" collapsed="false">
      <c r="A9680" s="0" t="s">
        <v>541</v>
      </c>
      <c r="B9680" s="0" t="s">
        <v>86</v>
      </c>
      <c r="C9680" s="38" t="n">
        <f aca="false">Sens!$C$9611</f>
        <v>13.32</v>
      </c>
      <c r="D9680" s="38" t="n">
        <f aca="false">Sens!$D$9611</f>
        <v>21.45</v>
      </c>
      <c r="E9680" s="38" t="n">
        <f aca="false">Sens!$E$9611</f>
        <v>15.353</v>
      </c>
      <c r="F9680" s="38" t="n">
        <f aca="false">Sens!$F$9611</f>
        <v>15.4404120185306</v>
      </c>
      <c r="G9680" s="38" t="n">
        <f aca="false">Sens!$G$9611</f>
        <v>30.7934120185306</v>
      </c>
      <c r="H9680" s="38" t="n">
        <f aca="false">Sens!$H$9611</f>
        <v>48.250114371455</v>
      </c>
      <c r="I9680" s="38" t="n">
        <f aca="false">Sens!$I$9611</f>
        <v>73.3965146995963</v>
      </c>
      <c r="J9680" s="38" t="n">
        <f aca="false">Sens!$J$9611</f>
        <v>99.22806138309</v>
      </c>
      <c r="K9680" s="38" t="n">
        <f aca="false">Sens!$K$9611</f>
        <v>125.386627452856</v>
      </c>
      <c r="L9680" s="38" t="n">
        <f aca="false">Sens!$L$9611</f>
        <v>145.084446099433</v>
      </c>
      <c r="M9680" s="38" t="n">
        <f aca="false">Sens!$M$9611</f>
        <v>159.630097911032</v>
      </c>
      <c r="N9680" s="38" t="n">
        <f aca="false">Sens!$N$9611</f>
        <v>9.234</v>
      </c>
      <c r="O9680" s="38" t="n">
        <f aca="false">Sens!$O$9611</f>
        <v>12.216</v>
      </c>
    </row>
    <row r="9681" customFormat="false" ht="17.15" hidden="false" customHeight="false" outlineLevel="0" collapsed="false">
      <c r="A9681" s="5" t="s">
        <v>745</v>
      </c>
      <c r="B9681" s="0" t="s">
        <v>86</v>
      </c>
      <c r="C9681" s="38" t="n">
        <f aca="false">Sens!$C$9678+Sens!$C$9679+Sens!$C$9680</f>
        <v>32.067</v>
      </c>
      <c r="D9681" s="38" t="n">
        <f aca="false">Sens!$D$9678+Sens!$D$9679+Sens!$D$9680</f>
        <v>41.86</v>
      </c>
      <c r="E9681" s="38" t="n">
        <f aca="false">Sens!$E$9678+Sens!$E$9679+Sens!$E$9680</f>
        <v>26.703</v>
      </c>
      <c r="F9681" s="38" t="n">
        <f aca="false">Sens!$F$9678+Sens!$F$9679+Sens!$F$9680</f>
        <v>28.2071421626285</v>
      </c>
      <c r="G9681" s="38" t="n">
        <f aca="false">Sens!$G$9678+Sens!$G$9679+Sens!$G$9680</f>
        <v>54.9101421626285</v>
      </c>
      <c r="H9681" s="38" t="n">
        <f aca="false">Sens!$H$9678+Sens!$H$9679+Sens!$H$9680</f>
        <v>78.1799395827871</v>
      </c>
      <c r="I9681" s="38" t="n">
        <f aca="false">Sens!$I$9678+Sens!$I$9679+Sens!$I$9680</f>
        <v>111.171125554384</v>
      </c>
      <c r="J9681" s="38" t="n">
        <f aca="false">Sens!$J$9678+Sens!$J$9679+Sens!$J$9680</f>
        <v>144.884406220971</v>
      </c>
      <c r="K9681" s="38" t="n">
        <f aca="false">Sens!$K$9678+Sens!$K$9679+Sens!$K$9680</f>
        <v>178.806419437999</v>
      </c>
      <c r="L9681" s="38" t="n">
        <f aca="false">Sens!$L$9678+Sens!$L$9679+Sens!$L$9680</f>
        <v>204.731408613016</v>
      </c>
      <c r="M9681" s="38" t="n">
        <f aca="false">Sens!$M$9678+Sens!$M$9679+Sens!$M$9680</f>
        <v>224.300786745448</v>
      </c>
      <c r="N9681" s="38" t="n">
        <f aca="false">Sens!$N$9678+Sens!$N$9679+Sens!$N$9680</f>
        <v>18.822</v>
      </c>
      <c r="O9681" s="38" t="n">
        <f aca="false">Sens!$O$9678+Sens!$O$9679+Sens!$O$9680</f>
        <v>23.038</v>
      </c>
    </row>
    <row r="9682" customFormat="false" ht="17.15" hidden="false" customHeight="false" outlineLevel="0" collapsed="false">
      <c r="A9682" s="0" t="s">
        <v>746</v>
      </c>
      <c r="B9682" s="0" t="s">
        <v>86</v>
      </c>
      <c r="C9682" s="38" t="n">
        <f aca="false">Sens!$C$9653+Sens!$C$9658</f>
        <v>28.107</v>
      </c>
      <c r="D9682" s="38" t="n">
        <f aca="false">Sens!$D$9653+Sens!$D$9658</f>
        <v>34.3175</v>
      </c>
      <c r="E9682" s="38" t="n">
        <f aca="false">Sens!$E$9653+Sens!$E$9658</f>
        <v>18.526</v>
      </c>
      <c r="F9682" s="38" t="n">
        <f aca="false">Sens!$F$9653+Sens!$F$9658</f>
        <v>23.0786109972074</v>
      </c>
      <c r="G9682" s="38" t="n">
        <f aca="false">Sens!$G$9653+Sens!$G$9658</f>
        <v>41.6046109972074</v>
      </c>
      <c r="H9682" s="38" t="n">
        <f aca="false">Sens!$H$9653+Sens!$H$9658</f>
        <v>49.9484611939488</v>
      </c>
      <c r="I9682" s="38" t="n">
        <f aca="false">Sens!$I$9653+Sens!$I$9658</f>
        <v>58.2915555477481</v>
      </c>
      <c r="J9682" s="38" t="n">
        <f aca="false">Sens!$J$9653+Sens!$J$9658</f>
        <v>66.0744709709759</v>
      </c>
      <c r="K9682" s="38" t="n">
        <f aca="false">Sens!$K$9653+Sens!$K$9658</f>
        <v>72.6819180680735</v>
      </c>
      <c r="L9682" s="38" t="n">
        <f aca="false">Sens!$L$9653+Sens!$L$9658</f>
        <v>79.9501098748808</v>
      </c>
      <c r="M9682" s="38" t="n">
        <f aca="false">Sens!$M$9653+Sens!$M$9658</f>
        <v>87.9451208623689</v>
      </c>
      <c r="N9682" s="38" t="n">
        <f aca="false">Sens!$N$9653+Sens!$N$9658</f>
        <v>14.8075</v>
      </c>
      <c r="O9682" s="38" t="n">
        <f aca="false">Sens!$O$9653+Sens!$O$9658</f>
        <v>19.51</v>
      </c>
    </row>
    <row r="9683" customFormat="false" ht="17.15" hidden="false" customHeight="false" outlineLevel="0" collapsed="false">
      <c r="A9683" s="0" t="s">
        <v>747</v>
      </c>
      <c r="B9683" s="0" t="s">
        <v>86</v>
      </c>
      <c r="C9683" s="38" t="n">
        <f aca="false">Sens!$C$9657+Sens!$C$9662+Sens!$C$9678+Sens!$C$9679-Sens!$C$9682</f>
        <v>19.399</v>
      </c>
      <c r="D9683" s="38" t="n">
        <f aca="false">Sens!$D$9657+Sens!$D$9662+Sens!$D$9678+Sens!$D$9679-Sens!$D$9682</f>
        <v>20.4615</v>
      </c>
      <c r="E9683" s="38" t="n">
        <f aca="false">Sens!$E$9657+Sens!$E$9662+Sens!$E$9678+Sens!$E$9679-Sens!$E$9682</f>
        <v>13.355</v>
      </c>
      <c r="F9683" s="38" t="n">
        <f aca="false">Sens!$F$9657+Sens!$F$9662+Sens!$F$9678+Sens!$F$9679-Sens!$F$9682</f>
        <v>12.5520732018618</v>
      </c>
      <c r="G9683" s="38" t="n">
        <f aca="false">Sens!$G$9657+Sens!$G$9662+Sens!$G$9678+Sens!$G$9679-Sens!$G$9682</f>
        <v>25.9070732018618</v>
      </c>
      <c r="H9683" s="38" t="n">
        <f aca="false">Sens!$H$9657+Sens!$H$9662+Sens!$H$9678+Sens!$H$9679-Sens!$H$9682</f>
        <v>28.0233335906818</v>
      </c>
      <c r="I9683" s="38" t="n">
        <f aca="false">Sens!$I$9657+Sens!$I$9662+Sens!$I$9678+Sens!$I$9679-Sens!$I$9682</f>
        <v>30.2440066606864</v>
      </c>
      <c r="J9683" s="38" t="n">
        <f aca="false">Sens!$J$9657+Sens!$J$9662+Sens!$J$9678+Sens!$J$9679-Sens!$J$9682</f>
        <v>32.4596500296286</v>
      </c>
      <c r="K9683" s="38" t="n">
        <f aca="false">Sens!$K$9657+Sens!$K$9662+Sens!$K$9678+Sens!$K$9679-Sens!$K$9682</f>
        <v>34.8252278550735</v>
      </c>
      <c r="L9683" s="38" t="n">
        <f aca="false">Sens!$L$9657+Sens!$L$9662+Sens!$L$9678+Sens!$L$9679-Sens!$L$9682</f>
        <v>36.385771075105</v>
      </c>
      <c r="M9683" s="38" t="n">
        <f aca="false">Sens!$M$9657+Sens!$M$9662+Sens!$M$9678+Sens!$M$9679-Sens!$M$9682</f>
        <v>38.7139757016285</v>
      </c>
      <c r="N9683" s="38" t="n">
        <f aca="false">Sens!$N$9657+Sens!$N$9662+Sens!$N$9678+Sens!$N$9679-Sens!$N$9682</f>
        <v>10.6495</v>
      </c>
      <c r="O9683" s="38" t="n">
        <f aca="false">Sens!$O$9657+Sens!$O$9662+Sens!$O$9678+Sens!$O$9679-Sens!$O$9682</f>
        <v>9.81200000000001</v>
      </c>
    </row>
    <row r="9684" customFormat="false" ht="17.15" hidden="false" customHeight="false" outlineLevel="0" collapsed="false">
      <c r="A9684" s="0" t="s">
        <v>748</v>
      </c>
      <c r="B9684" s="0" t="s">
        <v>86</v>
      </c>
      <c r="C9684" s="38" t="n">
        <f aca="false">Sens!$C$9664+Sens!$C$9680-ext_sh*Sens!$C$9599</f>
        <v>51.3470500115664</v>
      </c>
      <c r="D9684" s="38" t="n">
        <f aca="false">Sens!$D$9664+Sens!$D$9680-ext_sh*Sens!$D$9599</f>
        <v>60.2799375433739</v>
      </c>
      <c r="E9684" s="38" t="n">
        <f aca="false">Sens!$E$9664+Sens!$E$9680-ext_sh*Sens!$E$9599</f>
        <v>39.5095167090767</v>
      </c>
      <c r="F9684" s="38" t="n">
        <f aca="false">Sens!$F$9664+Sens!$F$9680-ext_sh*Sens!$F$9599</f>
        <v>37.5468918745429</v>
      </c>
      <c r="G9684" s="38" t="n">
        <f aca="false">Sens!$G$9664+Sens!$G$9680-ext_sh*Sens!$G$9599</f>
        <v>77.0564085836196</v>
      </c>
      <c r="H9684" s="38" t="n">
        <f aca="false">Sens!$H$9664+Sens!$H$9680-ext_sh*Sens!$H$9599</f>
        <v>84.2378398616123</v>
      </c>
      <c r="I9684" s="38" t="n">
        <f aca="false">Sens!$I$9664+Sens!$I$9680-ext_sh*Sens!$I$9599</f>
        <v>93.5253492849083</v>
      </c>
      <c r="J9684" s="38" t="n">
        <f aca="false">Sens!$J$9664+Sens!$J$9680-ext_sh*Sens!$J$9599</f>
        <v>102.42210777817</v>
      </c>
      <c r="K9684" s="38" t="n">
        <f aca="false">Sens!$K$9664+Sens!$K$9680-ext_sh*Sens!$K$9599</f>
        <v>110.615876400424</v>
      </c>
      <c r="L9684" s="38" t="n">
        <f aca="false">Sens!$L$9664+Sens!$L$9680-ext_sh*Sens!$L$9599</f>
        <v>119.465146512458</v>
      </c>
      <c r="M9684" s="38" t="n">
        <f aca="false">Sens!$M$9664+Sens!$M$9680-ext_sh*Sens!$M$9599</f>
        <v>129.022358233455</v>
      </c>
      <c r="N9684" s="38" t="n">
        <f aca="false">Sens!$N$9664+Sens!$N$9680-ext_sh*Sens!$N$9599</f>
        <v>28.5693781401809</v>
      </c>
      <c r="O9684" s="38" t="n">
        <f aca="false">Sens!$O$9664+Sens!$O$9680-ext_sh*Sens!$O$9599</f>
        <v>31.7105594031931</v>
      </c>
    </row>
    <row r="9685" customFormat="false" ht="17.15" hidden="false" customHeight="false" outlineLevel="0" collapsed="false">
      <c r="A9685" s="0" t="s">
        <v>749</v>
      </c>
      <c r="B9685" s="0" t="s">
        <v>86</v>
      </c>
      <c r="C9685" s="38" t="n">
        <f aca="false">Sens!$C$9602</f>
        <v>1.80694998843362</v>
      </c>
      <c r="D9685" s="38" t="n">
        <f aca="false">Sens!$D$9602</f>
        <v>6.77606245662607</v>
      </c>
      <c r="E9685" s="38" t="n">
        <f aca="false">Sens!$E$9602</f>
        <v>6.62548329092326</v>
      </c>
      <c r="F9685" s="38" t="n">
        <f aca="false">Sens!$F$9602</f>
        <v>11.7200577158706</v>
      </c>
      <c r="G9685" s="38" t="n">
        <f aca="false">Sens!$G$9602</f>
        <v>18.3455410067939</v>
      </c>
      <c r="H9685" s="38" t="n">
        <f aca="false">Sens!$H$9602</f>
        <v>47.5171727060453</v>
      </c>
      <c r="I9685" s="38" t="n">
        <f aca="false">Sens!$I$9602</f>
        <v>80.5539692643667</v>
      </c>
      <c r="J9685" s="38" t="n">
        <f aca="false">Sens!$J$9602</f>
        <v>113.759316834883</v>
      </c>
      <c r="K9685" s="38" t="n">
        <f aca="false">Sens!$K$9602</f>
        <v>142.313600225088</v>
      </c>
      <c r="L9685" s="38" t="n">
        <f aca="false">Sens!$L$9602</f>
        <v>161.610137806934</v>
      </c>
      <c r="M9685" s="38" t="n">
        <f aca="false">Sens!$M$9602</f>
        <v>171.622526917459</v>
      </c>
      <c r="N9685" s="38" t="n">
        <f aca="false">Sens!$N$9602</f>
        <v>2.37162185981912</v>
      </c>
      <c r="O9685" s="38" t="n">
        <f aca="false">Sens!$O$9602</f>
        <v>4.40444059680694</v>
      </c>
    </row>
    <row r="9686" customFormat="false" ht="17.15" hidden="false" customHeight="false" outlineLevel="0" collapsed="false">
      <c r="A9686" s="0" t="s">
        <v>750</v>
      </c>
      <c r="B9686" s="0" t="s">
        <v>86</v>
      </c>
      <c r="C9686" s="38" t="n">
        <f aca="false">Sens!$C$9667+Sens!$C$9681</f>
        <v>100.66</v>
      </c>
      <c r="D9686" s="38" t="n">
        <f aca="false">Sens!$D$9667+Sens!$D$9681</f>
        <v>121.835</v>
      </c>
      <c r="E9686" s="38" t="n">
        <f aca="false">Sens!$E$9667+Sens!$E$9681</f>
        <v>78.016</v>
      </c>
      <c r="F9686" s="38" t="n">
        <f aca="false">Sens!$F$9667+Sens!$F$9681</f>
        <v>84.8976337894826</v>
      </c>
      <c r="G9686" s="38" t="n">
        <f aca="false">Sens!$G$9667+Sens!$G$9681</f>
        <v>162.913633789483</v>
      </c>
      <c r="H9686" s="38" t="n">
        <f aca="false">Sens!$H$9667+Sens!$H$9681</f>
        <v>209.726807352288</v>
      </c>
      <c r="I9686" s="38" t="n">
        <f aca="false">Sens!$I$9667+Sens!$I$9681</f>
        <v>262.61488075771</v>
      </c>
      <c r="J9686" s="38" t="n">
        <f aca="false">Sens!$J$9667+Sens!$J$9681</f>
        <v>314.715545613658</v>
      </c>
      <c r="K9686" s="38" t="n">
        <f aca="false">Sens!$K$9667+Sens!$K$9681</f>
        <v>360.436622548659</v>
      </c>
      <c r="L9686" s="38" t="n">
        <f aca="false">Sens!$L$9667+Sens!$L$9681</f>
        <v>397.411165269378</v>
      </c>
      <c r="M9686" s="38" t="n">
        <f aca="false">Sens!$M$9667+Sens!$M$9681</f>
        <v>427.303981714911</v>
      </c>
      <c r="N9686" s="38" t="n">
        <f aca="false">Sens!$N$9667+Sens!$N$9681</f>
        <v>56.398</v>
      </c>
      <c r="O9686" s="38" t="n">
        <f aca="false">Sens!$O$9667+Sens!$O$9681</f>
        <v>65.437</v>
      </c>
    </row>
    <row r="9687" customFormat="false" ht="17.15" hidden="false" customHeight="false" outlineLevel="0" collapsed="false">
      <c r="A9687" s="1" t="s">
        <v>751</v>
      </c>
    </row>
    <row r="9688" customFormat="false" ht="15" hidden="false" customHeight="false" outlineLevel="0" collapsed="false">
      <c r="A9688" s="5" t="s">
        <v>544</v>
      </c>
      <c r="B9688" s="0" t="s">
        <v>86</v>
      </c>
      <c r="C9688" s="38" t="n">
        <f aca="false">Q!$D$34</f>
        <v>2.406</v>
      </c>
      <c r="D9688" s="38" t="n">
        <f aca="false">Q!$E$34</f>
        <v>2.274</v>
      </c>
      <c r="E9688" s="38" t="n">
        <f aca="false">Q!$P$34</f>
        <v>2.114</v>
      </c>
      <c r="F9688" s="38" t="n">
        <f aca="false">Sens!$F$9726</f>
        <v>3.24888962733561</v>
      </c>
      <c r="G9688" s="38" t="n">
        <f aca="false">Sens!$E$9688+Sens!$F$9688</f>
        <v>5.36288962733561</v>
      </c>
      <c r="H9688" s="38" t="n">
        <f aca="false">Sens!$H$9726</f>
        <v>7.42354172302123</v>
      </c>
      <c r="I9688" s="38" t="n">
        <f aca="false">Sens!$I$9726</f>
        <v>8.48968024898619</v>
      </c>
      <c r="J9688" s="38" t="n">
        <f aca="false">Sens!$J$9726</f>
        <v>9.63598826439483</v>
      </c>
      <c r="K9688" s="38" t="n">
        <f aca="false">Sens!$K$9726</f>
        <v>9.63598826439483</v>
      </c>
      <c r="L9688" s="38" t="n">
        <f aca="false">Sens!$L$9726</f>
        <v>9.63598826439483</v>
      </c>
      <c r="M9688" s="38" t="n">
        <f aca="false">Sens!$M$9726</f>
        <v>9.63598826439483</v>
      </c>
      <c r="N9688" s="38" t="n">
        <f aca="false">Q!$N$34</f>
        <v>1.057</v>
      </c>
      <c r="O9688" s="38" t="n">
        <f aca="false">Q!$O$34</f>
        <v>1.217</v>
      </c>
    </row>
    <row r="9689" customFormat="false" ht="15" hidden="false" customHeight="false" outlineLevel="0" collapsed="false">
      <c r="A9689" s="5" t="s">
        <v>752</v>
      </c>
      <c r="B9689" s="0" t="s">
        <v>86</v>
      </c>
      <c r="F9689" s="38" t="n">
        <f aca="false">Sens!$F$9727</f>
        <v>2.59</v>
      </c>
      <c r="H9689" s="38" t="n">
        <f aca="false">Sens!$H$9727</f>
        <v>3.76965165045626</v>
      </c>
      <c r="I9689" s="38" t="n">
        <f aca="false">Sens!$I$9727</f>
        <v>2.10589651022864</v>
      </c>
      <c r="J9689" s="38" t="n">
        <f aca="false">Sens!$J$9727</f>
        <v>2.10589651022864</v>
      </c>
      <c r="K9689" s="38" t="n">
        <f aca="false">Sens!$K$9727</f>
        <v>3.03184385018094</v>
      </c>
      <c r="L9689" s="38" t="n">
        <f aca="false">Sens!$L$9727</f>
        <v>7.91036779285643</v>
      </c>
      <c r="M9689" s="38" t="n">
        <f aca="false">Sens!$M$9727</f>
        <v>15.1625776545148</v>
      </c>
    </row>
    <row r="9690" customFormat="false" ht="17.15" hidden="false" customHeight="false" outlineLevel="0" collapsed="false">
      <c r="A9690" s="5" t="s">
        <v>753</v>
      </c>
      <c r="B9690" s="0" t="s">
        <v>86</v>
      </c>
      <c r="C9690" s="38" t="n">
        <f aca="false">Q!$D$39</f>
        <v>2.427</v>
      </c>
      <c r="D9690" s="38" t="n">
        <f aca="false">Q!$E$39</f>
        <v>19.61</v>
      </c>
      <c r="E9690" s="38" t="n">
        <f aca="false">Q!$P$39</f>
        <v>71.492</v>
      </c>
      <c r="F9690" s="39" t="n">
        <v>0</v>
      </c>
      <c r="G9690" s="38" t="n">
        <f aca="false">Sens!$E$9690+Sens!$F$9690</f>
        <v>71.492</v>
      </c>
      <c r="H9690" s="39" t="n">
        <v>0</v>
      </c>
      <c r="I9690" s="39" t="n">
        <v>0</v>
      </c>
      <c r="J9690" s="39" t="n">
        <v>0</v>
      </c>
      <c r="K9690" s="39" t="n">
        <v>0</v>
      </c>
      <c r="L9690" s="39" t="n">
        <v>0</v>
      </c>
      <c r="M9690" s="39" t="n">
        <v>0</v>
      </c>
      <c r="N9690" s="38" t="n">
        <f aca="false">Q!$N$39</f>
        <v>6.017</v>
      </c>
      <c r="O9690" s="38" t="n">
        <f aca="false">Q!$O$39</f>
        <v>13.593</v>
      </c>
      <c r="P9690" s="5" t="s">
        <v>754</v>
      </c>
    </row>
    <row r="9691" customFormat="false" ht="15" hidden="false" customHeight="false" outlineLevel="0" collapsed="false">
      <c r="A9691" s="5" t="s">
        <v>547</v>
      </c>
      <c r="B9691" s="0" t="s">
        <v>86</v>
      </c>
      <c r="C9691" s="38" t="n">
        <f aca="false">Q!$D$36</f>
        <v>68.614</v>
      </c>
      <c r="D9691" s="38" t="n">
        <f aca="false">Q!$E$36</f>
        <v>97.311</v>
      </c>
      <c r="E9691" s="38" t="n">
        <f aca="false">Q!$P$36</f>
        <v>120.691</v>
      </c>
      <c r="F9691" s="38" t="n">
        <f aca="false">Sens!$F$9667-Sens!$F$9688+Sens!$F$9689+Sens!$F$9690</f>
        <v>56.0316019995185</v>
      </c>
      <c r="G9691" s="38" t="n">
        <f aca="false">Sens!$E$9691+Sens!$F$9691</f>
        <v>176.722601999518</v>
      </c>
      <c r="H9691" s="38" t="n">
        <f aca="false">Sens!$H$9667-Sens!$H$9688+Sens!$H$9689+Sens!$H$9690</f>
        <v>127.892977696936</v>
      </c>
      <c r="I9691" s="38" t="n">
        <f aca="false">Sens!$I$9667-Sens!$I$9688+Sens!$I$9689+Sens!$I$9690</f>
        <v>145.059971464568</v>
      </c>
      <c r="J9691" s="38" t="n">
        <f aca="false">Sens!$J$9667-Sens!$J$9688+Sens!$J$9689+Sens!$J$9690</f>
        <v>162.301047638521</v>
      </c>
      <c r="K9691" s="38" t="n">
        <f aca="false">Sens!$K$9667-Sens!$K$9688+Sens!$K$9689+Sens!$K$9690</f>
        <v>175.026058696445</v>
      </c>
      <c r="L9691" s="38" t="n">
        <f aca="false">Sens!$L$9667-Sens!$L$9688+Sens!$L$9689+Sens!$L$9690</f>
        <v>190.954136184823</v>
      </c>
      <c r="M9691" s="38" t="n">
        <f aca="false">Sens!$M$9667-Sens!$M$9688+Sens!$M$9689+Sens!$M$9690</f>
        <v>208.529784359583</v>
      </c>
      <c r="N9691" s="38" t="n">
        <f aca="false">Q!$N$36</f>
        <v>42.536</v>
      </c>
      <c r="O9691" s="38" t="n">
        <f aca="false">Q!$O$36</f>
        <v>54.775</v>
      </c>
    </row>
    <row r="9692" customFormat="false" ht="15" hidden="false" customHeight="false" outlineLevel="0" collapsed="false">
      <c r="A9692" s="5" t="s">
        <v>548</v>
      </c>
      <c r="B9692" s="0" t="s">
        <v>86</v>
      </c>
      <c r="C9692" s="38" t="n">
        <f aca="false">Q!$D$37</f>
        <v>9.265</v>
      </c>
      <c r="D9692" s="38" t="n">
        <f aca="false">Q!$E$37</f>
        <v>19.087</v>
      </c>
      <c r="E9692" s="38" t="n">
        <f aca="false">Q!$P$37</f>
        <v>27.759</v>
      </c>
      <c r="F9692" s="38" t="n">
        <f aca="false">Sens!$F$9691*tax</f>
        <v>9.72621910890414</v>
      </c>
      <c r="G9692" s="38" t="n">
        <f aca="false">Sens!$E$9692+Sens!$F$9692</f>
        <v>37.4852191089041</v>
      </c>
      <c r="H9692" s="38" t="n">
        <f aca="false">Sens!$H$9691*tax</f>
        <v>22.2002419916761</v>
      </c>
      <c r="I9692" s="38" t="n">
        <f aca="false">Sens!$I$9691*tax</f>
        <v>25.1801664783365</v>
      </c>
      <c r="J9692" s="38" t="n">
        <f aca="false">Sens!$J$9691*tax</f>
        <v>28.1729505244292</v>
      </c>
      <c r="K9692" s="38" t="n">
        <f aca="false">Sens!$K$9691*tax</f>
        <v>30.3818155451664</v>
      </c>
      <c r="L9692" s="38" t="n">
        <f aca="false">Sens!$L$9691*tax</f>
        <v>33.1466833359695</v>
      </c>
      <c r="M9692" s="38" t="n">
        <f aca="false">Sens!$M$9691*tax</f>
        <v>36.1975439044428</v>
      </c>
      <c r="N9692" s="38" t="n">
        <f aca="false">Q!$N$37</f>
        <v>7.231</v>
      </c>
      <c r="O9692" s="38" t="n">
        <f aca="false">Q!$O$37</f>
        <v>11.856</v>
      </c>
    </row>
    <row r="9693" customFormat="false" ht="15" hidden="false" customHeight="false" outlineLevel="0" collapsed="false">
      <c r="A9693" s="3" t="s">
        <v>549</v>
      </c>
      <c r="B9693" s="8" t="s">
        <v>86</v>
      </c>
      <c r="C9693" s="38" t="n">
        <f aca="false">Q!$D$38</f>
        <v>59.248</v>
      </c>
      <c r="D9693" s="38" t="n">
        <f aca="false">Q!$E$38</f>
        <v>77.67</v>
      </c>
      <c r="E9693" s="38" t="n">
        <f aca="false">Q!$P$38</f>
        <v>92.902</v>
      </c>
      <c r="F9693" s="38" t="n">
        <f aca="false">Sens!$F$9691-Sens!$F$9692</f>
        <v>46.3053828906144</v>
      </c>
      <c r="G9693" s="38" t="n">
        <f aca="false">Sens!$E$9693+Sens!$F$9693</f>
        <v>139.207382890614</v>
      </c>
      <c r="H9693" s="38" t="n">
        <f aca="false">Sens!$H$9691-Sens!$H$9692</f>
        <v>105.69273570526</v>
      </c>
      <c r="I9693" s="38" t="n">
        <f aca="false">Sens!$I$9691-Sens!$I$9692</f>
        <v>119.879804986231</v>
      </c>
      <c r="J9693" s="38" t="n">
        <f aca="false">Sens!$J$9691-Sens!$J$9692</f>
        <v>134.128097114092</v>
      </c>
      <c r="K9693" s="38" t="n">
        <f aca="false">Sens!$K$9691-Sens!$K$9692</f>
        <v>144.644243151279</v>
      </c>
      <c r="L9693" s="38" t="n">
        <f aca="false">Sens!$L$9691-Sens!$L$9692</f>
        <v>157.807452848854</v>
      </c>
      <c r="M9693" s="38" t="n">
        <f aca="false">Sens!$M$9691-Sens!$M$9692</f>
        <v>172.33224045514</v>
      </c>
      <c r="N9693" s="38" t="n">
        <f aca="false">Q!$N$38</f>
        <v>35.291</v>
      </c>
      <c r="O9693" s="38" t="n">
        <f aca="false">Q!$O$38</f>
        <v>42.379</v>
      </c>
    </row>
    <row r="9694" customFormat="false" ht="17.15" hidden="false" customHeight="false" outlineLevel="0" collapsed="false">
      <c r="A9694" s="5" t="s">
        <v>552</v>
      </c>
      <c r="B9694" s="5" t="s">
        <v>33</v>
      </c>
      <c r="C9694" s="22" t="n">
        <f aca="false">Q!$D$41</f>
        <v>10.721</v>
      </c>
      <c r="D9694" s="22" t="n">
        <f aca="false">Q!$E$41</f>
        <v>10.827</v>
      </c>
      <c r="E9694" s="22" t="n">
        <f aca="false">(Q!$L$41+Q!$M$41)/2</f>
        <v>10.8885</v>
      </c>
      <c r="F9694" s="22" t="n">
        <f aca="false">Sens!$G$9694</f>
        <v>10.924806</v>
      </c>
      <c r="G9694" s="22" t="n">
        <f aca="false">Q!$M$41*(1+sh_g*0.25)</f>
        <v>10.924806</v>
      </c>
      <c r="H9694" s="22" t="n">
        <f aca="false">Sens!$G$9694*(1+sh_g)</f>
        <v>11.012204448</v>
      </c>
      <c r="I9694" s="22" t="n">
        <f aca="false">Sens!$H$9694*(1+sh_g)</f>
        <v>11.100302083584</v>
      </c>
      <c r="J9694" s="22" t="n">
        <f aca="false">Sens!$I$9694*(1+sh_g)</f>
        <v>11.1891045002527</v>
      </c>
      <c r="K9694" s="22" t="n">
        <f aca="false">Sens!$J$9694*(1+sh_g)</f>
        <v>11.2786173362547</v>
      </c>
      <c r="L9694" s="22" t="n">
        <f aca="false">Sens!$K$9694*(1+sh_g)</f>
        <v>11.3688462749447</v>
      </c>
      <c r="M9694" s="22" t="n">
        <f aca="false">Sens!$L$9694*(1+sh_g)</f>
        <v>11.4597970451443</v>
      </c>
      <c r="P9694" s="5" t="s">
        <v>755</v>
      </c>
    </row>
    <row r="9695" customFormat="false" ht="17.15" hidden="false" customHeight="false" outlineLevel="0" collapsed="false">
      <c r="A9695" s="5" t="s">
        <v>756</v>
      </c>
      <c r="B9695" s="0" t="s">
        <v>86</v>
      </c>
      <c r="C9695" s="38" t="n">
        <f aca="false">Sens!$C$9693+Sens!$C$9669*(1-tax)</f>
        <v>59.248</v>
      </c>
      <c r="D9695" s="38" t="n">
        <f aca="false">Sens!$D$9693+Sens!$D$9669*(1-tax)</f>
        <v>77.67</v>
      </c>
      <c r="E9695" s="38" t="n">
        <f aca="false">Sens!$E$9693+Sens!$E$9669*(1-tax)</f>
        <v>92.902</v>
      </c>
      <c r="F9695" s="38" t="n">
        <f aca="false">Sens!$F$9693+Sens!$F$9669*(1-tax)</f>
        <v>49.421977850263</v>
      </c>
      <c r="G9695" s="38" t="n">
        <f aca="false">Sens!$G$9693+Sens!$G$9669*(1-tax)</f>
        <v>142.323977850263</v>
      </c>
      <c r="H9695" s="38" t="n">
        <f aca="false">Sens!$H$9693+Sens!$H$9669*(1-tax)</f>
        <v>118.224131660605</v>
      </c>
      <c r="I9695" s="38" t="n">
        <f aca="false">Sens!$I$9693+Sens!$I$9669*(1-tax)</f>
        <v>141.02107006117</v>
      </c>
      <c r="J9695" s="38" t="n">
        <f aca="false">Sens!$J$9693+Sens!$J$9669*(1-tax)</f>
        <v>163.917534058375</v>
      </c>
      <c r="K9695" s="38" t="n">
        <f aca="false">Sens!$K$9693+Sens!$K$9669*(1-tax)</f>
        <v>181.871113221934</v>
      </c>
      <c r="L9695" s="38" t="n">
        <f aca="false">Sens!$L$9693+Sens!$L$9669*(1-tax)</f>
        <v>200.060364371763</v>
      </c>
      <c r="M9695" s="38" t="n">
        <f aca="false">Sens!$M$9693+Sens!$M$9669*(1-tax)</f>
        <v>217.193801824301</v>
      </c>
      <c r="N9695" s="38" t="n">
        <f aca="false">Sens!$N$9693+Sens!$N$9669*(1-tax)</f>
        <v>35.291</v>
      </c>
      <c r="O9695" s="38" t="n">
        <f aca="false">Sens!$O$9693+Sens!$O$9669*(1-tax)</f>
        <v>42.379</v>
      </c>
    </row>
    <row r="9696" customFormat="false" ht="17.15" hidden="false" customHeight="false" outlineLevel="0" collapsed="false">
      <c r="A9696" s="43" t="s">
        <v>757</v>
      </c>
      <c r="B9696" s="14" t="s">
        <v>27</v>
      </c>
      <c r="C9696" s="44" t="n">
        <f aca="false">Sens!$C$9695/Sens!$C$9694</f>
        <v>5.52635015390355</v>
      </c>
      <c r="D9696" s="44" t="n">
        <f aca="false">Sens!$D$9695/Sens!$D$9694</f>
        <v>7.1737323358271</v>
      </c>
      <c r="E9696" s="44" t="n">
        <f aca="false">Sens!$E$9695/Sens!$E$9694</f>
        <v>8.53212104513937</v>
      </c>
      <c r="F9696" s="14"/>
      <c r="G9696" s="44" t="n">
        <f aca="false">Sens!$G$9695/Sens!$G$9694</f>
        <v>13.0275977303636</v>
      </c>
      <c r="H9696" s="44" t="n">
        <f aca="false">Sens!$H$9695/Sens!$H$9694</f>
        <v>10.7357370832392</v>
      </c>
      <c r="I9696" s="44" t="n">
        <f aca="false">Sens!$I$9695/Sens!$I$9694</f>
        <v>12.7042551634449</v>
      </c>
      <c r="J9696" s="44" t="n">
        <f aca="false">Sens!$J$9695/Sens!$J$9694</f>
        <v>14.6497455676344</v>
      </c>
      <c r="K9696" s="44" t="n">
        <f aca="false">Sens!$K$9695/Sens!$K$9694</f>
        <v>16.1253022245303</v>
      </c>
      <c r="L9696" s="44" t="n">
        <f aca="false">Sens!$L$9695/Sens!$L$9694</f>
        <v>17.5972442175303</v>
      </c>
      <c r="M9696" s="44" t="n">
        <f aca="false">Sens!$M$9695/Sens!$M$9694</f>
        <v>18.9526743771025</v>
      </c>
      <c r="N9696" s="14"/>
      <c r="O9696" s="14"/>
    </row>
    <row r="9697" customFormat="false" ht="17.15" hidden="false" customHeight="false" outlineLevel="0" collapsed="false">
      <c r="A9697" s="0" t="s">
        <v>758</v>
      </c>
      <c r="B9697" s="0" t="s">
        <v>27</v>
      </c>
      <c r="C9697" s="30" t="n">
        <f aca="false">Sens!$C$9693/Sens!$C$9694</f>
        <v>5.52635015390355</v>
      </c>
      <c r="D9697" s="30" t="n">
        <f aca="false">Sens!$D$9693/Sens!$D$9694</f>
        <v>7.1737323358271</v>
      </c>
      <c r="E9697" s="30" t="n">
        <f aca="false">Sens!$E$9693/Sens!$E$9694</f>
        <v>8.53212104513937</v>
      </c>
      <c r="G9697" s="30" t="n">
        <f aca="false">Sens!$G$9693/Sens!$G$9694</f>
        <v>12.7423208147233</v>
      </c>
      <c r="H9697" s="30" t="n">
        <f aca="false">Sens!$H$9693/Sens!$H$9694</f>
        <v>9.59778182509639</v>
      </c>
      <c r="I9697" s="30" t="n">
        <f aca="false">Sens!$I$9693/Sens!$I$9694</f>
        <v>10.799688520506</v>
      </c>
      <c r="J9697" s="30" t="n">
        <f aca="false">Sens!$J$9693/Sens!$J$9694</f>
        <v>11.9873844337644</v>
      </c>
      <c r="K9697" s="30" t="n">
        <f aca="false">Sens!$K$9693/Sens!$K$9694</f>
        <v>12.8246432021703</v>
      </c>
      <c r="L9697" s="30" t="n">
        <f aca="false">Sens!$L$9693/Sens!$L$9694</f>
        <v>13.8806919393957</v>
      </c>
      <c r="M9697" s="30" t="n">
        <f aca="false">Sens!$M$9693/Sens!$M$9694</f>
        <v>15.0379836376038</v>
      </c>
    </row>
    <row r="9698" customFormat="false" ht="17.15" hidden="false" customHeight="false" outlineLevel="0" collapsed="false">
      <c r="A9698" s="0" t="s">
        <v>759</v>
      </c>
      <c r="B9698" s="0" t="s">
        <v>27</v>
      </c>
      <c r="C9698" s="30" t="n">
        <f aca="false">(Sens!$C$9693-Sens!$C$9690*(1-tax))/Sens!$C$9694</f>
        <v>5.33926775917445</v>
      </c>
      <c r="D9698" s="30" t="n">
        <f aca="false">(Sens!$D$9693-Sens!$D$9690*(1-tax))/Sens!$D$9694</f>
        <v>5.67691812755503</v>
      </c>
      <c r="E9698" s="30" t="n">
        <f aca="false">(Sens!$E$9693-Sens!$E$9690*(1-tax))/Sens!$E$9694</f>
        <v>3.10602057006846</v>
      </c>
      <c r="G9698" s="30" t="n">
        <f aca="false">(Sens!$G$9693-Sens!$G$9690*(1-tax))/Sens!$G$9694</f>
        <v>7.33425269682635</v>
      </c>
      <c r="H9698" s="30" t="n">
        <f aca="false">(Sens!$H$9693-Sens!$H$9690*(1-tax))/Sens!$H$9694</f>
        <v>9.59778182509639</v>
      </c>
      <c r="I9698" s="30" t="n">
        <f aca="false">(Sens!$I$9693-Sens!$I$9690*(1-tax))/Sens!$I$9694</f>
        <v>10.799688520506</v>
      </c>
      <c r="J9698" s="30" t="n">
        <f aca="false">(Sens!$J$9693-Sens!$J$9690*(1-tax))/Sens!$J$9694</f>
        <v>11.9873844337644</v>
      </c>
      <c r="K9698" s="30" t="n">
        <f aca="false">(Sens!$K$9693-Sens!$K$9690*(1-tax))/Sens!$K$9694</f>
        <v>12.8246432021703</v>
      </c>
      <c r="L9698" s="30" t="n">
        <f aca="false">(Sens!$L$9693-Sens!$L$9690*(1-tax))/Sens!$L$9694</f>
        <v>13.8806919393957</v>
      </c>
      <c r="M9698" s="30" t="n">
        <f aca="false">(Sens!$M$9693-Sens!$M$9690*(1-tax))/Sens!$M$9694</f>
        <v>15.0379836376038</v>
      </c>
      <c r="P9698" s="5" t="s">
        <v>760</v>
      </c>
    </row>
    <row r="9699" customFormat="false" ht="17.15" hidden="false" customHeight="false" outlineLevel="0" collapsed="false">
      <c r="A9699" s="0" t="s">
        <v>761</v>
      </c>
      <c r="B9699" s="0" t="s">
        <v>52</v>
      </c>
      <c r="H9699" s="13" t="n">
        <f aca="false">Sens!$H$9696/Sens!$G$9696-1</f>
        <v>-0.175923504437261</v>
      </c>
      <c r="I9699" s="13" t="n">
        <f aca="false">Sens!$I$9696/Sens!$H$9696-1</f>
        <v>0.183361241519136</v>
      </c>
      <c r="J9699" s="13" t="n">
        <f aca="false">Sens!$J$9696/Sens!$I$9696-1</f>
        <v>0.153136911936991</v>
      </c>
      <c r="K9699" s="13" t="n">
        <f aca="false">Sens!$K$9696/Sens!$J$9696-1</f>
        <v>0.100722340199257</v>
      </c>
      <c r="L9699" s="13" t="n">
        <f aca="false">Sens!$L$9696/Sens!$K$9696-1</f>
        <v>0.0912815135186056</v>
      </c>
      <c r="M9699" s="13" t="n">
        <f aca="false">Sens!$M$9696/Sens!$L$9696-1</f>
        <v>0.0770251377327536</v>
      </c>
    </row>
    <row r="9702" customFormat="false" ht="19.4" hidden="false" customHeight="false" outlineLevel="0" collapsed="false">
      <c r="A9702" s="31" t="s">
        <v>1333</v>
      </c>
    </row>
    <row r="9703" customFormat="false" ht="17.15" hidden="false" customHeight="false" outlineLevel="0" collapsed="false">
      <c r="A9703" s="6" t="s">
        <v>16</v>
      </c>
      <c r="B9703" s="6" t="s">
        <v>17</v>
      </c>
      <c r="C9703" s="20" t="s">
        <v>497</v>
      </c>
      <c r="D9703" s="20" t="s">
        <v>498</v>
      </c>
      <c r="E9703" s="20" t="s">
        <v>580</v>
      </c>
      <c r="F9703" s="20" t="s">
        <v>581</v>
      </c>
      <c r="G9703" s="20" t="s">
        <v>582</v>
      </c>
      <c r="H9703" s="20" t="s">
        <v>583</v>
      </c>
      <c r="I9703" s="20" t="s">
        <v>584</v>
      </c>
      <c r="J9703" s="20" t="s">
        <v>585</v>
      </c>
      <c r="K9703" s="20" t="s">
        <v>586</v>
      </c>
      <c r="L9703" s="20" t="s">
        <v>587</v>
      </c>
      <c r="M9703" s="20" t="s">
        <v>588</v>
      </c>
      <c r="N9703" s="20" t="s">
        <v>589</v>
      </c>
      <c r="O9703" s="20" t="s">
        <v>590</v>
      </c>
      <c r="P9703" s="6" t="s">
        <v>23</v>
      </c>
      <c r="R9703" s="20" t="n">
        <v>2023</v>
      </c>
      <c r="S9703" s="20" t="n">
        <v>2024</v>
      </c>
      <c r="T9703" s="20" t="n">
        <v>2025</v>
      </c>
      <c r="U9703" s="20" t="n">
        <v>2026</v>
      </c>
      <c r="V9703" s="20" t="n">
        <v>2027</v>
      </c>
      <c r="W9703" s="20" t="n">
        <v>2028</v>
      </c>
      <c r="X9703" s="20" t="n">
        <v>2029</v>
      </c>
      <c r="Y9703" s="20" t="n">
        <v>2030</v>
      </c>
      <c r="Z9703" s="20" t="n">
        <v>2031</v>
      </c>
      <c r="AA9703" s="20" t="n">
        <v>2032</v>
      </c>
    </row>
    <row r="9704" customFormat="false" ht="15" hidden="false" customHeight="false" outlineLevel="0" collapsed="false">
      <c r="A9704" s="5" t="s">
        <v>549</v>
      </c>
      <c r="B9704" s="0" t="s">
        <v>86</v>
      </c>
      <c r="C9704" s="38" t="n">
        <f aca="false">Sens!$C$9693</f>
        <v>59.248</v>
      </c>
      <c r="D9704" s="38" t="n">
        <f aca="false">Sens!$D$9693</f>
        <v>77.67</v>
      </c>
      <c r="E9704" s="38" t="n">
        <f aca="false">Sens!$E$9693</f>
        <v>92.902</v>
      </c>
      <c r="F9704" s="38" t="n">
        <f aca="false">Sens!$F$9693</f>
        <v>46.3053828906144</v>
      </c>
      <c r="G9704" s="38" t="n">
        <f aca="false">Sens!$G$9693</f>
        <v>139.207382890614</v>
      </c>
      <c r="H9704" s="38" t="n">
        <f aca="false">Sens!$H$9693</f>
        <v>105.69273570526</v>
      </c>
      <c r="I9704" s="38" t="n">
        <f aca="false">Sens!$I$9693</f>
        <v>119.879804986231</v>
      </c>
      <c r="J9704" s="38" t="n">
        <f aca="false">Sens!$J$9693</f>
        <v>134.128097114092</v>
      </c>
      <c r="K9704" s="38" t="n">
        <f aca="false">Sens!$K$9693</f>
        <v>144.644243151279</v>
      </c>
      <c r="L9704" s="38" t="n">
        <f aca="false">Sens!$L$9693</f>
        <v>157.807452848854</v>
      </c>
      <c r="M9704" s="38" t="n">
        <f aca="false">Sens!$M$9693</f>
        <v>172.33224045514</v>
      </c>
    </row>
    <row r="9705" customFormat="false" ht="17.15" hidden="false" customHeight="false" outlineLevel="0" collapsed="false">
      <c r="A9705" s="5" t="s">
        <v>784</v>
      </c>
      <c r="B9705" s="0" t="s">
        <v>86</v>
      </c>
      <c r="C9705" s="38" t="n">
        <f aca="false">Sens!$C$9681</f>
        <v>32.067</v>
      </c>
      <c r="D9705" s="38" t="n">
        <f aca="false">Sens!$D$9681</f>
        <v>41.86</v>
      </c>
      <c r="E9705" s="38" t="n">
        <f aca="false">Sens!$E$9681</f>
        <v>26.703</v>
      </c>
      <c r="F9705" s="38" t="n">
        <f aca="false">Sens!$F$9681</f>
        <v>28.2071421626285</v>
      </c>
      <c r="G9705" s="38" t="n">
        <f aca="false">Sens!$G$9681</f>
        <v>54.9101421626285</v>
      </c>
      <c r="H9705" s="38" t="n">
        <f aca="false">Sens!$H$9681</f>
        <v>78.1799395827871</v>
      </c>
      <c r="I9705" s="38" t="n">
        <f aca="false">Sens!$I$9681</f>
        <v>111.171125554384</v>
      </c>
      <c r="J9705" s="38" t="n">
        <f aca="false">Sens!$J$9681</f>
        <v>144.884406220971</v>
      </c>
      <c r="K9705" s="38" t="n">
        <f aca="false">Sens!$K$9681</f>
        <v>178.806419437999</v>
      </c>
      <c r="L9705" s="38" t="n">
        <f aca="false">Sens!$L$9681</f>
        <v>204.731408613016</v>
      </c>
      <c r="M9705" s="38" t="n">
        <f aca="false">Sens!$M$9681</f>
        <v>224.300786745448</v>
      </c>
    </row>
    <row r="9706" customFormat="false" ht="15" hidden="false" customHeight="false" outlineLevel="0" collapsed="false">
      <c r="A9706" s="5" t="s">
        <v>785</v>
      </c>
      <c r="B9706" s="0" t="s">
        <v>86</v>
      </c>
      <c r="C9706" s="38" t="n">
        <f aca="false">Q!$D$48</f>
        <v>22.011</v>
      </c>
      <c r="D9706" s="38" t="n">
        <f aca="false">Q!$E$48</f>
        <v>19.467</v>
      </c>
      <c r="E9706" s="38" t="n">
        <f aca="false">Q!$P$48</f>
        <v>10.07</v>
      </c>
      <c r="F9706" s="38" t="n">
        <f aca="false">sbc_r*Sens!$F$9623</f>
        <v>10.8507035798037</v>
      </c>
      <c r="G9706" s="38" t="n">
        <f aca="false">Sens!$E$9706+Sens!$F$9706</f>
        <v>20.9207035798037</v>
      </c>
      <c r="H9706" s="38" t="n">
        <f aca="false">sbc_r*Sens!$H$9623</f>
        <v>23.46224366345</v>
      </c>
      <c r="I9706" s="38" t="n">
        <f aca="false">sbc_r*Sens!$I$9623</f>
        <v>26.6125957111676</v>
      </c>
      <c r="J9706" s="38" t="n">
        <f aca="false">sbc_r*Sens!$J$9623</f>
        <v>29.6280801413323</v>
      </c>
      <c r="K9706" s="38" t="n">
        <f aca="false">sbc_r*Sens!$K$9623</f>
        <v>32.2783466626501</v>
      </c>
      <c r="L9706" s="38" t="n">
        <f aca="false">sbc_r*Sens!$L$9623</f>
        <v>34.7673634382331</v>
      </c>
      <c r="M9706" s="38" t="n">
        <f aca="false">sbc_r*Sens!$M$9623</f>
        <v>37.1041186491569</v>
      </c>
    </row>
    <row r="9707" customFormat="false" ht="17.15" hidden="false" customHeight="false" outlineLevel="0" collapsed="false">
      <c r="A9707" s="5" t="s">
        <v>786</v>
      </c>
      <c r="B9707" s="0" t="s">
        <v>86</v>
      </c>
      <c r="C9707" s="38" t="n">
        <f aca="false">Q!$D$44-Sens!$C$9704-Sens!$C$9705-Sens!$C$9706</f>
        <v>2.551</v>
      </c>
      <c r="D9707" s="38" t="n">
        <f aca="false">Q!$E$44-Sens!$D$9704-Sens!$D$9705-Sens!$D$9706</f>
        <v>0.51700000000001</v>
      </c>
      <c r="E9707" s="38" t="n">
        <f aca="false">Q!$P$44-Sens!$E$9704-Sens!$E$9705-Sens!$E$9706</f>
        <v>-58.256</v>
      </c>
      <c r="F9707" s="38" t="n">
        <f aca="false">oth_r*Sens!$F$9623</f>
        <v>5.22265251035878</v>
      </c>
      <c r="G9707" s="38" t="n">
        <f aca="false">Sens!$E$9707+Sens!$F$9707</f>
        <v>-53.0333474896412</v>
      </c>
      <c r="H9707" s="38" t="n">
        <f aca="false">oth_r*Sens!$H$9623</f>
        <v>11.2928295263397</v>
      </c>
      <c r="I9707" s="38" t="n">
        <f aca="false">oth_r*Sens!$I$9623</f>
        <v>12.8091546115766</v>
      </c>
      <c r="J9707" s="38" t="n">
        <f aca="false">oth_r*Sens!$J$9623</f>
        <v>14.2605653162668</v>
      </c>
      <c r="K9707" s="38" t="n">
        <f aca="false">oth_r*Sens!$K$9623</f>
        <v>15.5361896109386</v>
      </c>
      <c r="L9707" s="38" t="n">
        <f aca="false">oth_r*Sens!$L$9623</f>
        <v>16.7342012989106</v>
      </c>
      <c r="M9707" s="38" t="n">
        <f aca="false">oth_r*Sens!$M$9623</f>
        <v>17.8589265647579</v>
      </c>
      <c r="P9707" s="8" t="s">
        <v>787</v>
      </c>
    </row>
    <row r="9708" customFormat="false" ht="15" hidden="false" customHeight="false" outlineLevel="0" collapsed="false">
      <c r="A9708" s="3" t="s">
        <v>555</v>
      </c>
      <c r="B9708" s="8" t="s">
        <v>86</v>
      </c>
      <c r="C9708" s="38" t="n">
        <f aca="false">Q!$D$44</f>
        <v>115.877</v>
      </c>
      <c r="D9708" s="38" t="n">
        <f aca="false">Q!$E$44</f>
        <v>139.514</v>
      </c>
      <c r="E9708" s="38" t="n">
        <f aca="false">Q!$P$44</f>
        <v>71.419</v>
      </c>
      <c r="F9708" s="38" t="n">
        <f aca="false">Sens!$F$9704+Sens!$F$9705+Sens!$F$9706+Sens!$F$9707</f>
        <v>90.5858811434053</v>
      </c>
      <c r="G9708" s="38" t="n">
        <f aca="false">Sens!$E$9708+Sens!$F$9708</f>
        <v>162.004881143405</v>
      </c>
      <c r="H9708" s="38" t="n">
        <f aca="false">Sens!$H$9704+Sens!$H$9705+Sens!$H$9706+Sens!$H$9707</f>
        <v>218.627748477837</v>
      </c>
      <c r="I9708" s="38" t="n">
        <f aca="false">Sens!$I$9704+Sens!$I$9705+Sens!$I$9706+Sens!$I$9707</f>
        <v>270.47268086336</v>
      </c>
      <c r="J9708" s="38" t="n">
        <f aca="false">Sens!$J$9704+Sens!$J$9705+Sens!$J$9706+Sens!$J$9707</f>
        <v>322.901148792662</v>
      </c>
      <c r="K9708" s="38" t="n">
        <f aca="false">Sens!$K$9704+Sens!$K$9705+Sens!$K$9706+Sens!$K$9707</f>
        <v>371.265198862867</v>
      </c>
      <c r="L9708" s="38" t="n">
        <f aca="false">Sens!$L$9704+Sens!$L$9705+Sens!$L$9706+Sens!$L$9707</f>
        <v>414.040426199014</v>
      </c>
      <c r="M9708" s="38" t="n">
        <f aca="false">Sens!$M$9704+Sens!$M$9705+Sens!$M$9706+Sens!$M$9707</f>
        <v>451.596072414503</v>
      </c>
    </row>
    <row r="9709" customFormat="false" ht="17.15" hidden="false" customHeight="false" outlineLevel="0" collapsed="false">
      <c r="A9709" s="5" t="s">
        <v>788</v>
      </c>
      <c r="B9709" s="0" t="s">
        <v>86</v>
      </c>
      <c r="C9709" s="38" t="n">
        <f aca="false">Sens!$C$9590</f>
        <v>25.2781053077374</v>
      </c>
      <c r="D9709" s="38" t="n">
        <f aca="false">Sens!$D$9590</f>
        <v>69.5686316310026</v>
      </c>
      <c r="E9709" s="38" t="n">
        <f aca="false">Sens!$E$9590</f>
        <v>64.1899206485108</v>
      </c>
      <c r="F9709" s="38" t="n">
        <f aca="false">Sens!$F$9590</f>
        <v>96.2481299895</v>
      </c>
      <c r="G9709" s="38" t="n">
        <f aca="false">Sens!$G$9590</f>
        <v>160.438050638011</v>
      </c>
      <c r="H9709" s="38" t="n">
        <f aca="false">Sens!$H$9590</f>
        <v>198.57136494475</v>
      </c>
      <c r="I9709" s="38" t="n">
        <f aca="false">Sens!$I$9590</f>
        <v>204.6464699105</v>
      </c>
      <c r="J9709" s="38" t="n">
        <f aca="false">Sens!$J$9590</f>
        <v>209.8832381105</v>
      </c>
      <c r="K9709" s="38" t="n">
        <f aca="false">Sens!$K$9590</f>
        <v>158.016341586823</v>
      </c>
      <c r="L9709" s="38" t="n">
        <f aca="false">Sens!$L$9590</f>
        <v>137.570054263147</v>
      </c>
      <c r="M9709" s="38" t="n">
        <f aca="false">Sens!$M$9590</f>
        <v>140.56485059472</v>
      </c>
    </row>
    <row r="9710" customFormat="false" ht="17.15" hidden="false" customHeight="false" outlineLevel="0" collapsed="false">
      <c r="A9710" s="5" t="s">
        <v>789</v>
      </c>
      <c r="B9710" s="0" t="s">
        <v>86</v>
      </c>
      <c r="C9710" s="38" t="n">
        <f aca="false">cx_awso*Sens!$C$9621</f>
        <v>21.0469989286053</v>
      </c>
      <c r="D9710" s="38" t="n">
        <f aca="false">cx_awso*Sens!$D$9621</f>
        <v>24.0042459822698</v>
      </c>
      <c r="E9710" s="38" t="n">
        <f aca="false">cx_awso*Sens!$E$9621</f>
        <v>14.261729404886</v>
      </c>
      <c r="F9710" s="38" t="n">
        <f aca="false">cx_awso*Sens!$F$9621</f>
        <v>14.3538599588493</v>
      </c>
      <c r="G9710" s="38" t="n">
        <f aca="false">Sens!$E$9710+Sens!$F$9710</f>
        <v>28.6155893637353</v>
      </c>
      <c r="H9710" s="38" t="n">
        <f aca="false">cx_awso*Sens!$H$9621</f>
        <v>32.2034154158406</v>
      </c>
      <c r="I9710" s="38" t="n">
        <f aca="false">cx_awso*Sens!$I$9621</f>
        <v>35.7539519042915</v>
      </c>
      <c r="J9710" s="38" t="n">
        <f aca="false">cx_awso*Sens!$J$9621</f>
        <v>39.1551076091815</v>
      </c>
      <c r="K9710" s="38" t="n">
        <f aca="false">cx_awso*Sens!$K$9621</f>
        <v>42.287516217916</v>
      </c>
      <c r="L9710" s="38" t="n">
        <f aca="false">cx_awso*Sens!$L$9621</f>
        <v>45.6705175153492</v>
      </c>
      <c r="M9710" s="38" t="n">
        <f aca="false">cx_awso*Sens!$M$9621</f>
        <v>49.3241589165772</v>
      </c>
    </row>
    <row r="9711" customFormat="false" ht="17.15" hidden="false" customHeight="false" outlineLevel="0" collapsed="false">
      <c r="A9711" s="5" t="s">
        <v>790</v>
      </c>
      <c r="B9711" s="0" t="s">
        <v>86</v>
      </c>
      <c r="C9711" s="38" t="n">
        <f aca="false">Q!$D$46-Sens!$C$9709-Sens!$C$9710</f>
        <v>31.3328957636573</v>
      </c>
      <c r="D9711" s="38" t="n">
        <f aca="false">Q!$E$46-Sens!$D$9709-Sens!$D$9710</f>
        <v>34.7471223867276</v>
      </c>
      <c r="E9711" s="38" t="n">
        <f aca="false">Q!$P$46-Sens!$E$9709-Sens!$E$9710</f>
        <v>17.8583499466032</v>
      </c>
      <c r="F9711" s="38" t="n">
        <f aca="false">cx_rt*Sens!$F$9553</f>
        <v>20.6195895799373</v>
      </c>
      <c r="G9711" s="38" t="n">
        <f aca="false">Sens!$E$9711+Sens!$F$9711</f>
        <v>38.4779395265405</v>
      </c>
      <c r="H9711" s="38" t="n">
        <f aca="false">cx_rt*Sens!$H$9553</f>
        <v>42.5978994743075</v>
      </c>
      <c r="I9711" s="38" t="n">
        <f aca="false">cx_rt*Sens!$I$9553</f>
        <v>46.5813904136335</v>
      </c>
      <c r="J9711" s="38" t="n">
        <f aca="false">cx_rt*Sens!$J$9553</f>
        <v>50.2781676586844</v>
      </c>
      <c r="K9711" s="38" t="n">
        <f aca="false">cx_rt*Sens!$K$9553</f>
        <v>53.5312440191755</v>
      </c>
      <c r="L9711" s="38" t="n">
        <f aca="false">cx_rt*Sens!$L$9553</f>
        <v>57.0116717051447</v>
      </c>
      <c r="M9711" s="38" t="n">
        <f aca="false">cx_rt*Sens!$M$9553</f>
        <v>60.7365554669226</v>
      </c>
    </row>
    <row r="9712" customFormat="false" ht="15" hidden="false" customHeight="false" outlineLevel="0" collapsed="false">
      <c r="A9712" s="3" t="s">
        <v>791</v>
      </c>
      <c r="B9712" s="8" t="s">
        <v>86</v>
      </c>
      <c r="C9712" s="38" t="n">
        <f aca="false">Q!$D$46</f>
        <v>77.658</v>
      </c>
      <c r="D9712" s="38" t="n">
        <f aca="false">Q!$E$46</f>
        <v>128.32</v>
      </c>
      <c r="E9712" s="38" t="n">
        <f aca="false">Q!$P$46</f>
        <v>96.31</v>
      </c>
      <c r="F9712" s="38" t="n">
        <f aca="false">Sens!$F$9709+Sens!$F$9710+Sens!$F$9711</f>
        <v>131.221579528287</v>
      </c>
      <c r="G9712" s="38" t="n">
        <f aca="false">Sens!$E$9712+Sens!$F$9712</f>
        <v>227.531579528287</v>
      </c>
      <c r="H9712" s="38" t="n">
        <f aca="false">Sens!$H$9709+Sens!$H$9710+Sens!$H$9711</f>
        <v>273.372679834898</v>
      </c>
      <c r="I9712" s="38" t="n">
        <f aca="false">Sens!$I$9709+Sens!$I$9710+Sens!$I$9711</f>
        <v>286.981812228425</v>
      </c>
      <c r="J9712" s="38" t="n">
        <f aca="false">Sens!$J$9709+Sens!$J$9710+Sens!$J$9711</f>
        <v>299.316513378366</v>
      </c>
      <c r="K9712" s="38" t="n">
        <f aca="false">Sens!$K$9709+Sens!$K$9710+Sens!$K$9711</f>
        <v>253.835101823915</v>
      </c>
      <c r="L9712" s="38" t="n">
        <f aca="false">Sens!$L$9709+Sens!$L$9710+Sens!$L$9711</f>
        <v>240.252243483641</v>
      </c>
      <c r="M9712" s="38" t="n">
        <f aca="false">Sens!$M$9709+Sens!$M$9710+Sens!$M$9711</f>
        <v>250.62556497822</v>
      </c>
    </row>
    <row r="9713" customFormat="false" ht="17.15" hidden="false" customHeight="false" outlineLevel="0" collapsed="false">
      <c r="A9713" s="5" t="s">
        <v>563</v>
      </c>
      <c r="B9713" s="0" t="s">
        <v>86</v>
      </c>
      <c r="C9713" s="38" t="n">
        <f aca="false">Q!$D$50</f>
        <v>2.043</v>
      </c>
      <c r="D9713" s="38" t="n">
        <f aca="false">Q!$E$50</f>
        <v>1.557</v>
      </c>
      <c r="E9713" s="38" t="n">
        <f aca="false">lease_pr/2</f>
        <v>0.8</v>
      </c>
      <c r="F9713" s="38" t="n">
        <f aca="false">lease_pr/2</f>
        <v>0.8</v>
      </c>
      <c r="G9713" s="38" t="n">
        <f aca="false">Sens!$E$9713+Sens!$F$9713</f>
        <v>1.6</v>
      </c>
      <c r="H9713" s="38" t="n">
        <f aca="false">lease_pr</f>
        <v>1.6</v>
      </c>
      <c r="I9713" s="38" t="n">
        <f aca="false">lease_pr</f>
        <v>1.6</v>
      </c>
      <c r="J9713" s="38" t="n">
        <f aca="false">lease_pr</f>
        <v>1.6</v>
      </c>
      <c r="K9713" s="38" t="n">
        <f aca="false">lease_pr</f>
        <v>1.6</v>
      </c>
      <c r="L9713" s="38" t="n">
        <f aca="false">lease_pr</f>
        <v>1.6</v>
      </c>
      <c r="M9713" s="38" t="n">
        <f aca="false">lease_pr</f>
        <v>1.6</v>
      </c>
      <c r="P9713" s="8" t="s">
        <v>792</v>
      </c>
    </row>
    <row r="9714" customFormat="false" ht="15" hidden="false" customHeight="false" outlineLevel="0" collapsed="false">
      <c r="A9714" s="47" t="s">
        <v>793</v>
      </c>
      <c r="B9714" s="14" t="s">
        <v>86</v>
      </c>
      <c r="C9714" s="48" t="n">
        <f aca="false">Sens!$C$9708-Sens!$C$9712-Sens!$C$9713</f>
        <v>36.176</v>
      </c>
      <c r="D9714" s="48" t="n">
        <f aca="false">Sens!$D$9708-Sens!$D$9712-Sens!$D$9713</f>
        <v>9.63700000000002</v>
      </c>
      <c r="E9714" s="48" t="n">
        <f aca="false">Sens!$E$9708-Sens!$E$9712-Sens!$E$9713</f>
        <v>-25.691</v>
      </c>
      <c r="F9714" s="48" t="n">
        <f aca="false">Sens!$F$9708-Sens!$F$9712-Sens!$F$9713</f>
        <v>-41.4356983848813</v>
      </c>
      <c r="G9714" s="48" t="n">
        <f aca="false">Sens!$G$9708-Sens!$G$9712-Sens!$G$9713</f>
        <v>-67.1266983848813</v>
      </c>
      <c r="H9714" s="48" t="n">
        <f aca="false">Sens!$H$9708-Sens!$H$9712-Sens!$H$9713</f>
        <v>-56.3449313570613</v>
      </c>
      <c r="I9714" s="48" t="n">
        <f aca="false">Sens!$I$9708-Sens!$I$9712-Sens!$I$9713</f>
        <v>-18.1091313650653</v>
      </c>
      <c r="J9714" s="48" t="n">
        <f aca="false">Sens!$J$9708-Sens!$J$9712-Sens!$J$9713</f>
        <v>21.9846354142961</v>
      </c>
      <c r="K9714" s="48" t="n">
        <f aca="false">Sens!$K$9708-Sens!$K$9712-Sens!$K$9713</f>
        <v>115.830097038952</v>
      </c>
      <c r="L9714" s="48" t="n">
        <f aca="false">Sens!$L$9708-Sens!$L$9712-Sens!$L$9713</f>
        <v>172.188182715373</v>
      </c>
      <c r="M9714" s="48" t="n">
        <f aca="false">Sens!$M$9708-Sens!$M$9712-Sens!$M$9713</f>
        <v>199.370507436283</v>
      </c>
      <c r="N9714" s="14"/>
      <c r="O9714" s="14"/>
    </row>
    <row r="9715" customFormat="false" ht="17.15" hidden="false" customHeight="false" outlineLevel="0" collapsed="false">
      <c r="A9715" s="5" t="s">
        <v>794</v>
      </c>
      <c r="B9715" s="0" t="s">
        <v>86</v>
      </c>
      <c r="C9715" s="38" t="n">
        <f aca="false">dps*Sens!$C$9694</f>
        <v>0</v>
      </c>
      <c r="D9715" s="38" t="n">
        <f aca="false">dps*Sens!$D$9694</f>
        <v>0</v>
      </c>
      <c r="E9715" s="38" t="n">
        <f aca="false">dps*Sens!$E$9694</f>
        <v>0</v>
      </c>
      <c r="F9715" s="38" t="n">
        <f aca="false">0</f>
        <v>0</v>
      </c>
      <c r="G9715" s="38" t="n">
        <f aca="false">dps*Sens!$G$9694</f>
        <v>0</v>
      </c>
      <c r="H9715" s="38" t="n">
        <f aca="false">dps*Sens!$H$9694</f>
        <v>0</v>
      </c>
      <c r="I9715" s="38" t="n">
        <f aca="false">dps*Sens!$I$9694</f>
        <v>0</v>
      </c>
      <c r="J9715" s="38" t="n">
        <f aca="false">dps*Sens!$J$9694</f>
        <v>0</v>
      </c>
      <c r="K9715" s="38" t="n">
        <f aca="false">dps*Sens!$K$9694</f>
        <v>0</v>
      </c>
      <c r="L9715" s="38" t="n">
        <f aca="false">dps*Sens!$L$9694</f>
        <v>0</v>
      </c>
      <c r="M9715" s="38" t="n">
        <f aca="false">dps*Sens!$M$9694</f>
        <v>0</v>
      </c>
      <c r="P9715" s="8" t="s">
        <v>795</v>
      </c>
    </row>
    <row r="9716" customFormat="false" ht="17.15" hidden="false" customHeight="false" outlineLevel="0" collapsed="false">
      <c r="A9716" s="5" t="s">
        <v>796</v>
      </c>
      <c r="B9716" s="0" t="s">
        <v>86</v>
      </c>
      <c r="C9716" s="38" t="n">
        <f aca="false">0</f>
        <v>0</v>
      </c>
      <c r="D9716" s="38" t="n">
        <f aca="false">0</f>
        <v>0</v>
      </c>
      <c r="E9716" s="38" t="n">
        <f aca="false">0</f>
        <v>0</v>
      </c>
      <c r="F9716" s="38" t="n">
        <f aca="false">0</f>
        <v>0</v>
      </c>
      <c r="G9716" s="38" t="n">
        <f aca="false">0</f>
        <v>0</v>
      </c>
      <c r="H9716" s="38" t="n">
        <f aca="false">0</f>
        <v>0</v>
      </c>
      <c r="I9716" s="38" t="n">
        <f aca="false">0</f>
        <v>0</v>
      </c>
      <c r="J9716" s="38" t="n">
        <f aca="false">0</f>
        <v>0</v>
      </c>
      <c r="K9716" s="38" t="n">
        <f aca="false">0</f>
        <v>0</v>
      </c>
      <c r="L9716" s="38" t="n">
        <f aca="false">0</f>
        <v>0</v>
      </c>
      <c r="M9716" s="38" t="n">
        <f aca="false">0</f>
        <v>0</v>
      </c>
      <c r="P9716" s="8" t="s">
        <v>797</v>
      </c>
    </row>
    <row r="9717" customFormat="false" ht="15" hidden="false" customHeight="false" outlineLevel="0" collapsed="false">
      <c r="A9717" s="3" t="s">
        <v>798</v>
      </c>
      <c r="B9717" s="8" t="s">
        <v>86</v>
      </c>
      <c r="C9717" s="38" t="n">
        <f aca="false">Sens!$C$9714-Sens!$C$9715</f>
        <v>36.176</v>
      </c>
      <c r="D9717" s="38" t="n">
        <f aca="false">Sens!$D$9714-Sens!$D$9715</f>
        <v>9.63700000000002</v>
      </c>
      <c r="E9717" s="38" t="n">
        <f aca="false">Sens!$E$9714-Sens!$E$9715</f>
        <v>-25.691</v>
      </c>
      <c r="F9717" s="38" t="n">
        <f aca="false">Sens!$F$9714-Sens!$F$9715</f>
        <v>-41.4356983848813</v>
      </c>
      <c r="G9717" s="38" t="n">
        <f aca="false">Sens!$G$9714-Sens!$G$9715</f>
        <v>-67.1266983848813</v>
      </c>
      <c r="H9717" s="38" t="n">
        <f aca="false">Sens!$H$9714-Sens!$H$9715</f>
        <v>-56.3449313570613</v>
      </c>
      <c r="I9717" s="38" t="n">
        <f aca="false">Sens!$I$9714-Sens!$I$9715</f>
        <v>-18.1091313650653</v>
      </c>
      <c r="J9717" s="38" t="n">
        <f aca="false">Sens!$J$9714-Sens!$J$9715</f>
        <v>21.9846354142961</v>
      </c>
      <c r="K9717" s="38" t="n">
        <f aca="false">Sens!$K$9714-Sens!$K$9715</f>
        <v>115.830097038952</v>
      </c>
      <c r="L9717" s="38" t="n">
        <f aca="false">Sens!$L$9714-Sens!$L$9715</f>
        <v>172.188182715373</v>
      </c>
      <c r="M9717" s="38" t="n">
        <f aca="false">Sens!$M$9714-Sens!$M$9715</f>
        <v>199.370507436283</v>
      </c>
    </row>
    <row r="9718" customFormat="false" ht="17.15" hidden="false" customHeight="false" outlineLevel="0" collapsed="false">
      <c r="A9718" s="5" t="s">
        <v>799</v>
      </c>
      <c r="B9718" s="0" t="s">
        <v>86</v>
      </c>
      <c r="E9718" s="38" t="n">
        <f aca="false">Q!$P$53</f>
        <v>39.767</v>
      </c>
      <c r="F9718" s="38" t="n">
        <f aca="false">inv_2h26</f>
        <v>21.3</v>
      </c>
      <c r="G9718" s="38" t="n">
        <f aca="false">Sens!$E$9718+Sens!$F$9718</f>
        <v>61.067</v>
      </c>
      <c r="H9718" s="39" t="n">
        <v>0</v>
      </c>
      <c r="I9718" s="39" t="n">
        <v>0</v>
      </c>
      <c r="J9718" s="39" t="n">
        <v>0</v>
      </c>
      <c r="K9718" s="39" t="n">
        <v>0</v>
      </c>
      <c r="L9718" s="39" t="n">
        <v>0</v>
      </c>
      <c r="M9718" s="39" t="n">
        <v>0</v>
      </c>
    </row>
    <row r="9719" customFormat="false" ht="17.15" hidden="false" customHeight="false" outlineLevel="0" collapsed="false">
      <c r="A9719" s="5" t="s">
        <v>800</v>
      </c>
      <c r="B9719" s="0" t="s">
        <v>86</v>
      </c>
      <c r="F9719" s="38" t="n">
        <f aca="false">iss_2h26</f>
        <v>29.249999</v>
      </c>
      <c r="G9719" s="38" t="n">
        <f aca="false">Sens!$F$9719</f>
        <v>29.249999</v>
      </c>
      <c r="H9719" s="39" t="n">
        <v>0</v>
      </c>
      <c r="I9719" s="39" t="n">
        <v>0</v>
      </c>
      <c r="J9719" s="39" t="n">
        <v>0</v>
      </c>
      <c r="K9719" s="39" t="n">
        <v>0</v>
      </c>
      <c r="L9719" s="39" t="n">
        <v>0</v>
      </c>
      <c r="M9719" s="39" t="n">
        <v>0</v>
      </c>
    </row>
    <row r="9720" customFormat="false" ht="17.15" hidden="false" customHeight="false" outlineLevel="0" collapsed="false">
      <c r="A9720" s="5" t="s">
        <v>801</v>
      </c>
      <c r="B9720" s="0" t="s">
        <v>86</v>
      </c>
      <c r="F9720" s="38" t="n">
        <f aca="false">cash_q2</f>
        <v>122.988</v>
      </c>
      <c r="G9720" s="38" t="n">
        <f aca="false">cash_q2</f>
        <v>122.988</v>
      </c>
      <c r="H9720" s="38" t="n">
        <f aca="false">Sens!$G$9723</f>
        <v>89.5023006151187</v>
      </c>
      <c r="I9720" s="38" t="n">
        <f aca="false">Sens!$H$9723</f>
        <v>50</v>
      </c>
      <c r="J9720" s="38" t="n">
        <f aca="false">Sens!$I$9723</f>
        <v>50</v>
      </c>
      <c r="K9720" s="38" t="n">
        <f aca="false">Sens!$J$9723</f>
        <v>71.9846354142962</v>
      </c>
      <c r="L9720" s="38" t="n">
        <f aca="false">Sens!$K$9723</f>
        <v>187.814732453248</v>
      </c>
      <c r="M9720" s="38" t="n">
        <f aca="false">Sens!$L$9723</f>
        <v>360.002915168622</v>
      </c>
    </row>
    <row r="9721" customFormat="false" ht="15" hidden="false" customHeight="false" outlineLevel="0" collapsed="false">
      <c r="A9721" s="5" t="s">
        <v>802</v>
      </c>
      <c r="B9721" s="0" t="s">
        <v>86</v>
      </c>
      <c r="F9721" s="38" t="n">
        <f aca="false">Sens!$F$9720+Sens!$F$9717-Sens!$F$9716-Sens!$F$9718+Sens!$F$9719</f>
        <v>89.5023006151187</v>
      </c>
      <c r="H9721" s="38" t="n">
        <f aca="false">Sens!$H$9720+Sens!$H$9717-Sens!$H$9716-Sens!$H$9718+Sens!$H$9719</f>
        <v>33.1573692580575</v>
      </c>
      <c r="I9721" s="38" t="n">
        <f aca="false">Sens!$I$9720+Sens!$I$9717-Sens!$I$9716-Sens!$I$9718+Sens!$I$9719</f>
        <v>31.8908686349347</v>
      </c>
      <c r="J9721" s="38" t="n">
        <f aca="false">Sens!$J$9720+Sens!$J$9717-Sens!$J$9716-Sens!$J$9718+Sens!$J$9719</f>
        <v>71.9846354142962</v>
      </c>
      <c r="K9721" s="38" t="n">
        <f aca="false">Sens!$K$9720+Sens!$K$9717-Sens!$K$9716-Sens!$K$9718+Sens!$K$9719</f>
        <v>187.814732453248</v>
      </c>
      <c r="L9721" s="38" t="n">
        <f aca="false">Sens!$L$9720+Sens!$L$9717-Sens!$L$9716-Sens!$L$9718+Sens!$L$9719</f>
        <v>360.002915168622</v>
      </c>
      <c r="M9721" s="38" t="n">
        <f aca="false">Sens!$M$9720+Sens!$M$9717-Sens!$M$9716-Sens!$M$9718+Sens!$M$9719</f>
        <v>559.373422604905</v>
      </c>
    </row>
    <row r="9722" customFormat="false" ht="17.15" hidden="false" customHeight="false" outlineLevel="0" collapsed="false">
      <c r="A9722" s="5" t="s">
        <v>803</v>
      </c>
      <c r="B9722" s="0" t="s">
        <v>86</v>
      </c>
      <c r="F9722" s="38" t="n">
        <f aca="false">MAX(0,min_cash-Sens!$F$9721)</f>
        <v>0</v>
      </c>
      <c r="G9722" s="38" t="n">
        <f aca="false">Sens!$F$9722</f>
        <v>0</v>
      </c>
      <c r="H9722" s="38" t="n">
        <f aca="false">MAX(0,min_cash-Sens!$H$9721)</f>
        <v>16.8426307419426</v>
      </c>
      <c r="I9722" s="38" t="n">
        <f aca="false">MAX(0,min_cash-Sens!$I$9721)</f>
        <v>18.1091313650653</v>
      </c>
      <c r="J9722" s="38" t="n">
        <f aca="false">MAX(0,min_cash-Sens!$J$9721)</f>
        <v>0</v>
      </c>
      <c r="K9722" s="38" t="n">
        <f aca="false">MAX(0,min_cash-Sens!$K$9721)</f>
        <v>0</v>
      </c>
      <c r="L9722" s="38" t="n">
        <f aca="false">MAX(0,min_cash-Sens!$L$9721)</f>
        <v>0</v>
      </c>
      <c r="M9722" s="38" t="n">
        <f aca="false">MAX(0,min_cash-Sens!$M$9721)</f>
        <v>0</v>
      </c>
      <c r="P9722" s="5" t="s">
        <v>804</v>
      </c>
    </row>
    <row r="9723" customFormat="false" ht="15" hidden="false" customHeight="false" outlineLevel="0" collapsed="false">
      <c r="A9723" s="5" t="s">
        <v>805</v>
      </c>
      <c r="B9723" s="0" t="s">
        <v>86</v>
      </c>
      <c r="D9723" s="38" t="n">
        <f aca="false">Q!$E$61</f>
        <v>123.029</v>
      </c>
      <c r="E9723" s="38" t="n">
        <f aca="false">Q!$M$61</f>
        <v>122.988</v>
      </c>
      <c r="F9723" s="38" t="n">
        <f aca="false">Sens!$F$9721+Sens!$F$9722</f>
        <v>89.5023006151187</v>
      </c>
      <c r="G9723" s="38" t="n">
        <f aca="false">Sens!$F$9723</f>
        <v>89.5023006151187</v>
      </c>
      <c r="H9723" s="38" t="n">
        <f aca="false">Sens!$H$9721+Sens!$H$9722</f>
        <v>50</v>
      </c>
      <c r="I9723" s="38" t="n">
        <f aca="false">Sens!$I$9721+Sens!$I$9722</f>
        <v>50</v>
      </c>
      <c r="J9723" s="38" t="n">
        <f aca="false">Sens!$J$9721+Sens!$J$9722</f>
        <v>71.9846354142962</v>
      </c>
      <c r="K9723" s="38" t="n">
        <f aca="false">Sens!$K$9721+Sens!$K$9722</f>
        <v>187.814732453248</v>
      </c>
      <c r="L9723" s="38" t="n">
        <f aca="false">Sens!$L$9721+Sens!$L$9722</f>
        <v>360.002915168622</v>
      </c>
      <c r="M9723" s="38" t="n">
        <f aca="false">Sens!$M$9721+Sens!$M$9722</f>
        <v>559.373422604905</v>
      </c>
    </row>
    <row r="9724" customFormat="false" ht="15" hidden="false" customHeight="false" outlineLevel="0" collapsed="false">
      <c r="A9724" s="5" t="s">
        <v>806</v>
      </c>
      <c r="B9724" s="0" t="s">
        <v>86</v>
      </c>
      <c r="D9724" s="38" t="n">
        <f aca="false">Q!$E$62</f>
        <v>68.836</v>
      </c>
      <c r="E9724" s="38" t="n">
        <f aca="false">Q!$M$62</f>
        <v>132.995</v>
      </c>
      <c r="F9724" s="38" t="n">
        <f aca="false">debt_q2+Sens!$F$9719+Sens!$F$9722</f>
        <v>162.244999</v>
      </c>
      <c r="G9724" s="38" t="n">
        <f aca="false">Sens!$F$9724</f>
        <v>162.244999</v>
      </c>
      <c r="H9724" s="38" t="n">
        <f aca="false">Sens!$G$9724+Sens!$H$9722</f>
        <v>179.087629741943</v>
      </c>
      <c r="I9724" s="38" t="n">
        <f aca="false">Sens!$H$9724+Sens!$I$9722</f>
        <v>197.196761107008</v>
      </c>
      <c r="J9724" s="38" t="n">
        <f aca="false">Sens!$I$9724+Sens!$J$9722</f>
        <v>197.196761107008</v>
      </c>
      <c r="K9724" s="38" t="n">
        <f aca="false">Sens!$J$9724+Sens!$K$9722</f>
        <v>197.196761107008</v>
      </c>
      <c r="L9724" s="38" t="n">
        <f aca="false">Sens!$K$9724+Sens!$L$9722</f>
        <v>197.196761107008</v>
      </c>
      <c r="M9724" s="38" t="n">
        <f aca="false">Sens!$L$9724+Sens!$M$9722</f>
        <v>197.196761107008</v>
      </c>
    </row>
    <row r="9725" customFormat="false" ht="15" hidden="false" customHeight="false" outlineLevel="0" collapsed="false">
      <c r="A9725" s="5" t="s">
        <v>807</v>
      </c>
      <c r="B9725" s="0" t="s">
        <v>86</v>
      </c>
      <c r="D9725" s="38" t="n">
        <f aca="false">Sens!$D$9724-Sens!$D$9723</f>
        <v>-54.193</v>
      </c>
      <c r="E9725" s="38" t="n">
        <f aca="false">Sens!$E$9724-Sens!$E$9723</f>
        <v>10.007</v>
      </c>
      <c r="F9725" s="38" t="n">
        <f aca="false">Sens!$F$9724-Sens!$F$9723</f>
        <v>72.7426983848813</v>
      </c>
      <c r="G9725" s="38" t="n">
        <f aca="false">Sens!$G$9724-Sens!$G$9723</f>
        <v>72.7426983848813</v>
      </c>
      <c r="H9725" s="38" t="n">
        <f aca="false">Sens!$H$9724-Sens!$H$9723</f>
        <v>129.087629741943</v>
      </c>
      <c r="I9725" s="38" t="n">
        <f aca="false">Sens!$I$9724-Sens!$I$9723</f>
        <v>147.196761107008</v>
      </c>
      <c r="J9725" s="38" t="n">
        <f aca="false">Sens!$J$9724-Sens!$J$9723</f>
        <v>125.212125692712</v>
      </c>
      <c r="K9725" s="38" t="n">
        <f aca="false">Sens!$K$9724-Sens!$K$9723</f>
        <v>9.38202865375945</v>
      </c>
      <c r="L9725" s="38" t="n">
        <f aca="false">Sens!$L$9724-Sens!$L$9723</f>
        <v>-162.806154061614</v>
      </c>
      <c r="M9725" s="38" t="n">
        <f aca="false">Sens!$M$9724-Sens!$M$9723</f>
        <v>-362.176661497897</v>
      </c>
    </row>
    <row r="9726" customFormat="false" ht="17.15" hidden="false" customHeight="false" outlineLevel="0" collapsed="false">
      <c r="A9726" s="5" t="s">
        <v>808</v>
      </c>
      <c r="B9726" s="0" t="s">
        <v>86</v>
      </c>
      <c r="F9726" s="38" t="n">
        <f aca="false">debt_q2*kd_book*0.5+iss_2h26*kd_new*iss_t</f>
        <v>3.24888962733561</v>
      </c>
      <c r="H9726" s="38" t="n">
        <f aca="false">debt_q2*kd_book+(Sens!$G$9724-debt_q2)*kd_new</f>
        <v>7.42354172302123</v>
      </c>
      <c r="I9726" s="38" t="n">
        <f aca="false">debt_q2*kd_book+(Sens!$H$9724-debt_q2)*kd_new</f>
        <v>8.48968024898619</v>
      </c>
      <c r="J9726" s="38" t="n">
        <f aca="false">debt_q2*kd_book+(Sens!$I$9724-debt_q2)*kd_new</f>
        <v>9.63598826439483</v>
      </c>
      <c r="K9726" s="38" t="n">
        <f aca="false">debt_q2*kd_book+(Sens!$J$9724-debt_q2)*kd_new</f>
        <v>9.63598826439483</v>
      </c>
      <c r="L9726" s="38" t="n">
        <f aca="false">debt_q2*kd_book+(Sens!$K$9724-debt_q2)*kd_new</f>
        <v>9.63598826439483</v>
      </c>
      <c r="M9726" s="38" t="n">
        <f aca="false">debt_q2*kd_book+(Sens!$L$9724-debt_q2)*kd_new</f>
        <v>9.63598826439483</v>
      </c>
    </row>
    <row r="9727" customFormat="false" ht="17.15" hidden="false" customHeight="false" outlineLevel="0" collapsed="false">
      <c r="A9727" s="5" t="s">
        <v>809</v>
      </c>
      <c r="B9727" s="0" t="s">
        <v>86</v>
      </c>
      <c r="F9727" s="38" t="n">
        <f aca="false">cash_q2*y_cash*0.5</f>
        <v>2.59</v>
      </c>
      <c r="H9727" s="38" t="n">
        <f aca="false">Sens!$G$9723*y_cash</f>
        <v>3.76965165045626</v>
      </c>
      <c r="I9727" s="38" t="n">
        <f aca="false">Sens!$H$9723*y_cash</f>
        <v>2.10589651022864</v>
      </c>
      <c r="J9727" s="38" t="n">
        <f aca="false">Sens!$I$9723*y_cash</f>
        <v>2.10589651022864</v>
      </c>
      <c r="K9727" s="38" t="n">
        <f aca="false">Sens!$J$9723*y_cash</f>
        <v>3.03184385018094</v>
      </c>
      <c r="L9727" s="38" t="n">
        <f aca="false">Sens!$K$9723*y_cash</f>
        <v>7.91036779285643</v>
      </c>
      <c r="M9727" s="38" t="n">
        <f aca="false">Sens!$L$9723*y_cash</f>
        <v>15.1625776545148</v>
      </c>
    </row>
    <row r="9728" customFormat="false" ht="17.15" hidden="false" customHeight="false" outlineLevel="0" collapsed="false">
      <c r="A9728" s="47" t="s">
        <v>810</v>
      </c>
      <c r="B9728" s="14" t="s">
        <v>86</v>
      </c>
      <c r="C9728" s="14"/>
      <c r="D9728" s="14"/>
      <c r="E9728" s="14"/>
      <c r="F9728" s="14"/>
      <c r="G9728" s="48" t="n">
        <f aca="false">SUM(Sens!$G$9717:$K$9717)</f>
        <v>-3.76602865375946</v>
      </c>
      <c r="H9728" s="14"/>
      <c r="I9728" s="14"/>
      <c r="J9728" s="14"/>
      <c r="K9728" s="14"/>
      <c r="L9728" s="14"/>
      <c r="M9728" s="14"/>
      <c r="N9728" s="14"/>
      <c r="O9728" s="14"/>
    </row>
    <row r="9729" customFormat="false" ht="17.15" hidden="false" customHeight="false" outlineLevel="0" collapsed="false">
      <c r="A9729" s="0" t="s">
        <v>776</v>
      </c>
      <c r="B9729" s="0" t="s">
        <v>86</v>
      </c>
      <c r="G9729" s="38" t="n">
        <f aca="false">SUM(Sens!$G$9722:$K$9722)</f>
        <v>34.9517621070079</v>
      </c>
    </row>
    <row r="9730" customFormat="false" ht="17.15" hidden="false" customHeight="false" outlineLevel="0" collapsed="false">
      <c r="A9730" s="24" t="s">
        <v>813</v>
      </c>
      <c r="B9730" s="25" t="s">
        <v>86</v>
      </c>
      <c r="C9730" s="25"/>
      <c r="D9730" s="25"/>
      <c r="E9730" s="25"/>
      <c r="F9730" s="25"/>
      <c r="G9730" s="41" t="n">
        <f aca="false">Sens!$G$9728-(Sens!$G$9717+Sens!$H$9717+Sens!$I$9717+Sens!$J$9717+Sens!$K$9717)</f>
        <v>-2.8421709430404E-014</v>
      </c>
      <c r="H9730" s="25"/>
      <c r="I9730" s="25"/>
      <c r="J9730" s="25"/>
      <c r="K9730" s="25"/>
      <c r="L9730" s="25"/>
      <c r="M9730" s="25"/>
      <c r="N9730" s="25"/>
      <c r="O9730" s="25"/>
    </row>
    <row r="9733" customFormat="false" ht="19.4" hidden="false" customHeight="false" outlineLevel="0" collapsed="false">
      <c r="A9733" s="31" t="s">
        <v>1334</v>
      </c>
    </row>
    <row r="9734" customFormat="false" ht="17.15" hidden="false" customHeight="false" outlineLevel="0" collapsed="false">
      <c r="A9734" s="6" t="s">
        <v>16</v>
      </c>
      <c r="B9734" s="6" t="s">
        <v>17</v>
      </c>
      <c r="C9734" s="20" t="s">
        <v>497</v>
      </c>
      <c r="D9734" s="20" t="s">
        <v>498</v>
      </c>
      <c r="E9734" s="20" t="s">
        <v>580</v>
      </c>
      <c r="F9734" s="20" t="s">
        <v>581</v>
      </c>
      <c r="G9734" s="20" t="s">
        <v>582</v>
      </c>
      <c r="H9734" s="20" t="s">
        <v>583</v>
      </c>
      <c r="I9734" s="20" t="s">
        <v>584</v>
      </c>
      <c r="J9734" s="20" t="s">
        <v>585</v>
      </c>
      <c r="K9734" s="20" t="s">
        <v>586</v>
      </c>
      <c r="L9734" s="20" t="s">
        <v>587</v>
      </c>
      <c r="M9734" s="20" t="s">
        <v>588</v>
      </c>
      <c r="N9734" s="20" t="s">
        <v>589</v>
      </c>
      <c r="O9734" s="20" t="s">
        <v>590</v>
      </c>
      <c r="P9734" s="6" t="s">
        <v>23</v>
      </c>
      <c r="R9734" s="20" t="n">
        <v>2023</v>
      </c>
      <c r="S9734" s="20" t="n">
        <v>2024</v>
      </c>
      <c r="T9734" s="20" t="n">
        <v>2025</v>
      </c>
      <c r="U9734" s="20" t="n">
        <v>2026</v>
      </c>
      <c r="V9734" s="20" t="n">
        <v>2027</v>
      </c>
      <c r="W9734" s="20" t="n">
        <v>2028</v>
      </c>
      <c r="X9734" s="20" t="n">
        <v>2029</v>
      </c>
      <c r="Y9734" s="20" t="n">
        <v>2030</v>
      </c>
      <c r="Z9734" s="20" t="n">
        <v>2031</v>
      </c>
      <c r="AA9734" s="20" t="n">
        <v>2032</v>
      </c>
    </row>
    <row r="9735" customFormat="false" ht="17.15" hidden="false" customHeight="false" outlineLevel="0" collapsed="false">
      <c r="A9735" s="1" t="s">
        <v>915</v>
      </c>
    </row>
    <row r="9736" customFormat="false" ht="17.15" hidden="false" customHeight="false" outlineLevel="0" collapsed="false">
      <c r="A9736" s="0" t="s">
        <v>916</v>
      </c>
      <c r="B9736" s="0" t="s">
        <v>86</v>
      </c>
      <c r="H9736" s="38" t="n">
        <f aca="false">Sens!$H$9670*(1-tax)</f>
        <v>121.243762954598</v>
      </c>
      <c r="I9736" s="38" t="n">
        <f aca="false">Sens!$I$9670*(1-tax)</f>
        <v>146.296727721585</v>
      </c>
      <c r="J9736" s="38" t="n">
        <f aca="false">Sens!$J$9670*(1-tax)</f>
        <v>170.140518399982</v>
      </c>
      <c r="K9736" s="38" t="n">
        <f aca="false">Sens!$K$9670*(1-tax)</f>
        <v>187.328880354269</v>
      </c>
      <c r="L9736" s="38" t="n">
        <f aca="false">Sens!$L$9670*(1-tax)</f>
        <v>201.486443830621</v>
      </c>
      <c r="M9736" s="38" t="n">
        <f aca="false">Sens!$M$9670*(1-tax)</f>
        <v>212.626542837294</v>
      </c>
    </row>
    <row r="9737" customFormat="false" ht="15" hidden="false" customHeight="false" outlineLevel="0" collapsed="false">
      <c r="A9737" s="5" t="s">
        <v>917</v>
      </c>
      <c r="B9737" s="0" t="s">
        <v>86</v>
      </c>
      <c r="H9737" s="38" t="n">
        <f aca="false">Sens!$H$9681</f>
        <v>78.1799395827871</v>
      </c>
      <c r="I9737" s="38" t="n">
        <f aca="false">Sens!$I$9681</f>
        <v>111.171125554384</v>
      </c>
      <c r="J9737" s="38" t="n">
        <f aca="false">Sens!$J$9681</f>
        <v>144.884406220971</v>
      </c>
      <c r="K9737" s="38" t="n">
        <f aca="false">Sens!$K$9681</f>
        <v>178.806419437999</v>
      </c>
      <c r="L9737" s="38" t="n">
        <f aca="false">Sens!$L$9681</f>
        <v>204.731408613016</v>
      </c>
      <c r="M9737" s="38" t="n">
        <f aca="false">Sens!$M$9681</f>
        <v>224.300786745448</v>
      </c>
    </row>
    <row r="9738" customFormat="false" ht="15" hidden="false" customHeight="false" outlineLevel="0" collapsed="false">
      <c r="A9738" s="5" t="s">
        <v>918</v>
      </c>
      <c r="B9738" s="0" t="s">
        <v>86</v>
      </c>
      <c r="H9738" s="38" t="n">
        <f aca="false">Sens!$H$9712</f>
        <v>273.372679834898</v>
      </c>
      <c r="I9738" s="38" t="n">
        <f aca="false">Sens!$I$9712</f>
        <v>286.981812228425</v>
      </c>
      <c r="J9738" s="38" t="n">
        <f aca="false">Sens!$J$9712</f>
        <v>299.316513378366</v>
      </c>
      <c r="K9738" s="38" t="n">
        <f aca="false">Sens!$K$9712</f>
        <v>253.835101823915</v>
      </c>
      <c r="L9738" s="38" t="n">
        <f aca="false">Sens!$L$9712</f>
        <v>240.252243483641</v>
      </c>
      <c r="M9738" s="38" t="n">
        <f aca="false">Sens!$M$9712</f>
        <v>250.62556497822</v>
      </c>
    </row>
    <row r="9739" customFormat="false" ht="15" hidden="false" customHeight="false" outlineLevel="0" collapsed="false">
      <c r="A9739" s="5" t="s">
        <v>919</v>
      </c>
      <c r="B9739" s="0" t="s">
        <v>86</v>
      </c>
      <c r="H9739" s="38" t="n">
        <f aca="false">Sens!$H$9713</f>
        <v>1.6</v>
      </c>
      <c r="I9739" s="38" t="n">
        <f aca="false">Sens!$I$9713</f>
        <v>1.6</v>
      </c>
      <c r="J9739" s="38" t="n">
        <f aca="false">Sens!$J$9713</f>
        <v>1.6</v>
      </c>
      <c r="K9739" s="38" t="n">
        <f aca="false">Sens!$K$9713</f>
        <v>1.6</v>
      </c>
      <c r="L9739" s="38" t="n">
        <f aca="false">Sens!$L$9713</f>
        <v>1.6</v>
      </c>
      <c r="M9739" s="38" t="n">
        <f aca="false">Sens!$M$9713</f>
        <v>1.6</v>
      </c>
    </row>
    <row r="9740" customFormat="false" ht="15" hidden="false" customHeight="false" outlineLevel="0" collapsed="false">
      <c r="A9740" s="5" t="s">
        <v>920</v>
      </c>
      <c r="B9740" s="0" t="s">
        <v>86</v>
      </c>
      <c r="H9740" s="38" t="n">
        <f aca="false">Sens!$H$9707</f>
        <v>11.2928295263397</v>
      </c>
      <c r="I9740" s="38" t="n">
        <f aca="false">Sens!$I$9707</f>
        <v>12.8091546115766</v>
      </c>
      <c r="J9740" s="38" t="n">
        <f aca="false">Sens!$J$9707</f>
        <v>14.2605653162668</v>
      </c>
      <c r="K9740" s="38" t="n">
        <f aca="false">Sens!$K$9707</f>
        <v>15.5361896109386</v>
      </c>
      <c r="L9740" s="38" t="n">
        <f aca="false">Sens!$L$9707</f>
        <v>16.7342012989106</v>
      </c>
      <c r="M9740" s="38" t="n">
        <f aca="false">Sens!$M$9707</f>
        <v>17.8589265647579</v>
      </c>
    </row>
    <row r="9741" customFormat="false" ht="17.15" hidden="false" customHeight="false" outlineLevel="0" collapsed="false">
      <c r="A9741" s="1" t="s">
        <v>921</v>
      </c>
      <c r="B9741" s="8" t="s">
        <v>86</v>
      </c>
      <c r="H9741" s="38" t="n">
        <f aca="false">Sens!$H$9736+Sens!$H$9737-Sens!$H$9738+Sens!$H$9740</f>
        <v>-62.6561477711731</v>
      </c>
      <c r="I9741" s="38" t="n">
        <f aca="false">Sens!$I$9736+Sens!$I$9737-Sens!$I$9738+Sens!$I$9740</f>
        <v>-16.7048043408794</v>
      </c>
      <c r="J9741" s="38" t="n">
        <f aca="false">Sens!$J$9736+Sens!$J$9737-Sens!$J$9738+Sens!$J$9740</f>
        <v>29.9689765588539</v>
      </c>
      <c r="K9741" s="38" t="n">
        <f aca="false">Sens!$K$9736+Sens!$K$9737-Sens!$K$9738+Sens!$K$9740</f>
        <v>127.836387579293</v>
      </c>
      <c r="L9741" s="38" t="n">
        <f aca="false">Sens!$L$9736+Sens!$L$9737-Sens!$L$9738+Sens!$L$9740</f>
        <v>182.699810258908</v>
      </c>
      <c r="M9741" s="38" t="n">
        <f aca="false">Sens!$M$9736+Sens!$M$9737-Sens!$M$9738+Sens!$M$9740</f>
        <v>204.16069116928</v>
      </c>
    </row>
    <row r="9742" customFormat="false" ht="15" hidden="false" customHeight="false" outlineLevel="0" collapsed="false">
      <c r="A9742" s="5" t="s">
        <v>922</v>
      </c>
      <c r="B9742" s="0" t="s">
        <v>57</v>
      </c>
      <c r="H9742" s="40" t="n">
        <f aca="false">1/(1+wacc)^(2027-2026-0.5)</f>
        <v>0.947751320380232</v>
      </c>
      <c r="I9742" s="40" t="n">
        <f aca="false">1/(1+wacc)^(2028-2026-0.5)</f>
        <v>0.851301099754987</v>
      </c>
      <c r="J9742" s="40" t="n">
        <f aca="false">1/(1+wacc)^(2029-2026-0.5)</f>
        <v>0.764666370660713</v>
      </c>
      <c r="K9742" s="40" t="n">
        <f aca="false">1/(1+wacc)^(2030-2026-0.5)</f>
        <v>0.686848235703811</v>
      </c>
      <c r="L9742" s="40" t="n">
        <f aca="false">1/(1+wacc)^(2031-2026-0.5)</f>
        <v>0.616949452715975</v>
      </c>
      <c r="M9742" s="40" t="n">
        <f aca="false">1/(1+wacc)^(2032-2026-0.5)</f>
        <v>0.554164089562688</v>
      </c>
    </row>
    <row r="9743" customFormat="false" ht="15" hidden="false" customHeight="false" outlineLevel="0" collapsed="false">
      <c r="A9743" s="5" t="s">
        <v>923</v>
      </c>
      <c r="B9743" s="0" t="s">
        <v>86</v>
      </c>
      <c r="H9743" s="38" t="n">
        <f aca="false">Sens!$H$9741*Sens!$H$9742</f>
        <v>-59.3824467800682</v>
      </c>
      <c r="I9743" s="38" t="n">
        <f aca="false">Sens!$I$9741*Sens!$I$9742</f>
        <v>-14.2208183065825</v>
      </c>
      <c r="J9743" s="38" t="n">
        <f aca="false">Sens!$J$9741*Sens!$J$9742</f>
        <v>22.9162685376748</v>
      </c>
      <c r="K9743" s="38" t="n">
        <f aca="false">Sens!$K$9741*Sens!$K$9742</f>
        <v>87.8041972675856</v>
      </c>
      <c r="L9743" s="38" t="n">
        <f aca="false">Sens!$L$9741*Sens!$L$9742</f>
        <v>112.716547950546</v>
      </c>
      <c r="M9743" s="38" t="n">
        <f aca="false">Sens!$M$9741*Sens!$M$9742</f>
        <v>113.138523546313</v>
      </c>
    </row>
    <row r="9744" customFormat="false" ht="15" hidden="false" customHeight="false" outlineLevel="0" collapsed="false">
      <c r="A9744" s="5" t="s">
        <v>924</v>
      </c>
      <c r="B9744" s="0" t="s">
        <v>86</v>
      </c>
      <c r="C9744" s="38" t="n">
        <f aca="false">SUM(Sens!$H$9743:$M$9743)</f>
        <v>262.972272215469</v>
      </c>
    </row>
    <row r="9745" customFormat="false" ht="17.15" hidden="false" customHeight="false" outlineLevel="0" collapsed="false">
      <c r="A9745" s="5" t="s">
        <v>925</v>
      </c>
      <c r="B9745" s="0" t="s">
        <v>86</v>
      </c>
      <c r="C9745" s="38" t="n">
        <f aca="false">Sens!$M$9736*(1+tg_hi)*(1-tg_hi/ronic)/(wacc-tg_hi)</f>
        <v>1951.7796530099</v>
      </c>
    </row>
    <row r="9746" customFormat="false" ht="15" hidden="false" customHeight="false" outlineLevel="0" collapsed="false">
      <c r="A9746" s="5" t="s">
        <v>926</v>
      </c>
      <c r="B9746" s="0" t="s">
        <v>86</v>
      </c>
      <c r="C9746" s="38" t="n">
        <f aca="false">Sens!$C$9745/(1+wacc)^6</f>
        <v>1025.09369890931</v>
      </c>
    </row>
    <row r="9747" customFormat="false" ht="17.15" hidden="false" customHeight="false" outlineLevel="0" collapsed="false">
      <c r="A9747" s="5" t="s">
        <v>927</v>
      </c>
      <c r="B9747" s="0" t="s">
        <v>86</v>
      </c>
      <c r="C9747" s="38" t="n">
        <f aca="false">Sens!$C$9744+Sens!$C$9746</f>
        <v>1288.06597112477</v>
      </c>
    </row>
    <row r="9748" customFormat="false" ht="17.15" hidden="false" customHeight="false" outlineLevel="0" collapsed="false">
      <c r="A9748" s="5" t="s">
        <v>928</v>
      </c>
      <c r="B9748" s="0" t="s">
        <v>52</v>
      </c>
      <c r="C9748" s="13" t="n">
        <f aca="false">Sens!$C$9746/Sens!$C$9747</f>
        <v>0.795839438265857</v>
      </c>
    </row>
    <row r="9749" customFormat="false" ht="17.15" hidden="false" customHeight="false" outlineLevel="0" collapsed="false">
      <c r="A9749" s="5" t="s">
        <v>929</v>
      </c>
      <c r="B9749" s="0" t="s">
        <v>86</v>
      </c>
      <c r="C9749" s="38" t="n">
        <f aca="false">Sens!$G$9725+fin_debt</f>
        <v>97.2636983848813</v>
      </c>
    </row>
    <row r="9750" customFormat="false" ht="17.15" hidden="false" customHeight="false" outlineLevel="0" collapsed="false">
      <c r="A9750" s="5" t="s">
        <v>930</v>
      </c>
      <c r="B9750" s="0" t="s">
        <v>86</v>
      </c>
      <c r="C9750" s="38" t="n">
        <f aca="false">(ant_val*ant_sh+oai_val*oai_sh)*(1-liq_disc)</f>
        <v>178.944</v>
      </c>
    </row>
    <row r="9751" customFormat="false" ht="15" hidden="false" customHeight="false" outlineLevel="0" collapsed="false">
      <c r="A9751" s="5" t="s">
        <v>931</v>
      </c>
      <c r="B9751" s="0" t="s">
        <v>86</v>
      </c>
      <c r="C9751" s="38" t="n">
        <f aca="false">Sens!$C$9747-Sens!$C$9749+Sens!$C$9750</f>
        <v>1369.74627273989</v>
      </c>
    </row>
    <row r="9752" customFormat="false" ht="17.15" hidden="false" customHeight="false" outlineLevel="0" collapsed="false">
      <c r="A9752" s="5" t="s">
        <v>932</v>
      </c>
      <c r="B9752" s="0" t="s">
        <v>27</v>
      </c>
      <c r="C9752" s="30" t="n">
        <f aca="false">Sens!$C$9751/sh_out</f>
        <v>126.98928222745</v>
      </c>
    </row>
    <row r="9753" customFormat="false" ht="17.15" hidden="false" customHeight="false" outlineLevel="0" collapsed="false">
      <c r="A9753" s="1" t="s">
        <v>933</v>
      </c>
      <c r="B9753" s="8" t="s">
        <v>27</v>
      </c>
      <c r="C9753" s="30" t="n">
        <f aca="false">Sens!$C$9752*(1+ke)^tp_yf-dps*tp_yf</f>
        <v>139.100103588124</v>
      </c>
    </row>
    <row r="9754" customFormat="false" ht="17.15" hidden="false" customHeight="false" outlineLevel="0" collapsed="false">
      <c r="A9754" s="3" t="s">
        <v>934</v>
      </c>
    </row>
    <row r="9755" customFormat="false" ht="17.15" hidden="false" customHeight="false" outlineLevel="0" collapsed="false">
      <c r="A9755" s="5" t="s">
        <v>935</v>
      </c>
      <c r="B9755" s="0" t="s">
        <v>86</v>
      </c>
      <c r="C9755" s="38" t="n">
        <f aca="false">(1-tp_yf)*(Sens!$H$9682+sbc_ab*Sens!$H$9706*Sens!$H$9546/Sens!$H$9623)+tp_yf*(Sens!$I$9682+sbc_ab*Sens!$I$9706*Sens!$I$9546/Sens!$I$9623)</f>
        <v>59.634664536349</v>
      </c>
    </row>
    <row r="9756" customFormat="false" ht="15" hidden="false" customHeight="false" outlineLevel="0" collapsed="false">
      <c r="A9756" s="5" t="s">
        <v>936</v>
      </c>
      <c r="B9756" s="0" t="s">
        <v>57</v>
      </c>
      <c r="C9756" s="30" t="n">
        <f aca="false">m_ads*m_x</f>
        <v>9.11</v>
      </c>
    </row>
    <row r="9757" customFormat="false" ht="17.15" hidden="false" customHeight="false" outlineLevel="0" collapsed="false">
      <c r="A9757" s="5" t="s">
        <v>937</v>
      </c>
      <c r="B9757" s="0" t="s">
        <v>86</v>
      </c>
      <c r="C9757" s="38" t="n">
        <f aca="false">Sens!$C$9755*Sens!$C$9756</f>
        <v>543.271793926139</v>
      </c>
    </row>
    <row r="9758" customFormat="false" ht="17.15" hidden="false" customHeight="false" outlineLevel="0" collapsed="false">
      <c r="A9758" s="5" t="s">
        <v>938</v>
      </c>
      <c r="B9758" s="0" t="s">
        <v>86</v>
      </c>
      <c r="C9758" s="38" t="n">
        <f aca="false">(1-tp_yf)*(Sens!$H$9683+sbc_ab*Sens!$H$9706*(Sens!$H$9553-Sens!$H$9546)/Sens!$H$9623+IF(internal_ai_reading=2,1,0)*(1-ext_sh)*Sens!$H$9583)+tp_yf*(Sens!$I$9683+sbc_ab*Sens!$I$9706*(Sens!$I$9553-Sens!$I$9546)/Sens!$I$9623+IF(internal_ai_reading=2,1,0)*(1-ext_sh)*Sens!$I$9583)</f>
        <v>51.2224827206816</v>
      </c>
    </row>
    <row r="9759" customFormat="false" ht="17.15" hidden="false" customHeight="false" outlineLevel="0" collapsed="false">
      <c r="A9759" s="5" t="s">
        <v>939</v>
      </c>
      <c r="B9759" s="0" t="s">
        <v>57</v>
      </c>
      <c r="C9759" s="30" t="n">
        <f aca="false">m_retail*m_x</f>
        <v>17.72</v>
      </c>
    </row>
    <row r="9760" customFormat="false" ht="17.15" hidden="false" customHeight="false" outlineLevel="0" collapsed="false">
      <c r="A9760" s="5" t="s">
        <v>940</v>
      </c>
      <c r="B9760" s="0" t="s">
        <v>86</v>
      </c>
      <c r="C9760" s="38" t="n">
        <f aca="false">Sens!$C$9758*Sens!$C$9759</f>
        <v>907.662393810478</v>
      </c>
    </row>
    <row r="9761" customFormat="false" ht="17.15" hidden="false" customHeight="false" outlineLevel="0" collapsed="false">
      <c r="A9761" s="0" t="s">
        <v>941</v>
      </c>
      <c r="B9761" s="0" t="s">
        <v>86</v>
      </c>
      <c r="C9761" s="38" t="n">
        <f aca="false">(1-tp_yf)*(Sens!$H$9684+sbc_ab*Sens!$H$9706*Sens!$H$9621/Sens!$H$9623)+tp_yf*(Sens!$I$9684+sbc_ab*Sens!$I$9706*Sens!$I$9621/Sens!$I$9623)</f>
        <v>96.2439586897193</v>
      </c>
    </row>
    <row r="9762" customFormat="false" ht="17.15" hidden="false" customHeight="false" outlineLevel="0" collapsed="false">
      <c r="A9762" s="0" t="s">
        <v>942</v>
      </c>
      <c r="B9762" s="0" t="s">
        <v>57</v>
      </c>
      <c r="C9762" s="30" t="n">
        <f aca="false">m_cloud*m_x</f>
        <v>13.82</v>
      </c>
    </row>
    <row r="9763" customFormat="false" ht="17.15" hidden="false" customHeight="false" outlineLevel="0" collapsed="false">
      <c r="A9763" s="0" t="s">
        <v>943</v>
      </c>
      <c r="B9763" s="0" t="s">
        <v>86</v>
      </c>
      <c r="C9763" s="38" t="n">
        <f aca="false">Sens!$C$9761*Sens!$C$9762</f>
        <v>1330.09150909192</v>
      </c>
    </row>
    <row r="9764" customFormat="false" ht="17.15" hidden="false" customHeight="false" outlineLevel="0" collapsed="false">
      <c r="A9764" s="0" t="s">
        <v>944</v>
      </c>
      <c r="B9764" s="0" t="s">
        <v>86</v>
      </c>
      <c r="H9764" s="38" t="n">
        <f aca="false">Sens!$H$9602-tax*Sens!$H$9603-ext_sh*Sens!$H$9590</f>
        <v>-115.885394236225</v>
      </c>
      <c r="I9764" s="38" t="n">
        <f aca="false">Sens!$I$9602-tax*Sens!$I$9603-ext_sh*Sens!$I$9590</f>
        <v>-89.5935137276694</v>
      </c>
      <c r="J9764" s="38" t="n">
        <f aca="false">Sens!$J$9602-tax*Sens!$J$9603-ext_sh*Sens!$J$9590</f>
        <v>-62.3510647460279</v>
      </c>
      <c r="K9764" s="38" t="n">
        <f aca="false">Sens!$K$9602-tax*Sens!$K$9603-ext_sh*Sens!$K$9590</f>
        <v>6.82636520663533</v>
      </c>
      <c r="L9764" s="38" t="n">
        <f aca="false">Sens!$L$9602-tax*Sens!$L$9603-ext_sh*Sens!$L$9590</f>
        <v>42.0587167356307</v>
      </c>
      <c r="M9764" s="38" t="n">
        <f aca="false">Sens!$M$9602-tax*Sens!$M$9603-ext_sh*Sens!$M$9590</f>
        <v>49.9320311778189</v>
      </c>
    </row>
    <row r="9765" customFormat="false" ht="17.15" hidden="false" customHeight="false" outlineLevel="0" collapsed="false">
      <c r="A9765" s="5" t="s">
        <v>945</v>
      </c>
      <c r="B9765" s="0" t="s">
        <v>86</v>
      </c>
      <c r="H9765" s="38" t="n">
        <f aca="false">Sens!$H$9764*Sens!$H$9742</f>
        <v>-109.830535400166</v>
      </c>
      <c r="I9765" s="38" t="n">
        <f aca="false">Sens!$I$9764*Sens!$I$9742</f>
        <v>-76.2710567672785</v>
      </c>
      <c r="J9765" s="38" t="n">
        <f aca="false">Sens!$J$9764*Sens!$J$9742</f>
        <v>-47.6777623861763</v>
      </c>
      <c r="K9765" s="38" t="n">
        <f aca="false">Sens!$K$9764*Sens!$K$9742</f>
        <v>4.68867689844736</v>
      </c>
      <c r="L9765" s="38" t="n">
        <f aca="false">Sens!$L$9764*Sens!$L$9742</f>
        <v>25.9481022719836</v>
      </c>
      <c r="M9765" s="38" t="n">
        <f aca="false">Sens!$M$9764*Sens!$M$9742</f>
        <v>27.6705385976718</v>
      </c>
    </row>
    <row r="9766" customFormat="false" ht="17.15" hidden="false" customHeight="false" outlineLevel="0" collapsed="false">
      <c r="A9766" s="5" t="s">
        <v>946</v>
      </c>
      <c r="B9766" s="0" t="s">
        <v>86</v>
      </c>
      <c r="C9766" s="38" t="n">
        <f aca="false">Sens!$M$9603*(1-tax)*(1+tg_hi)*(1-tg_hi/ronic)/(wacc-tg_hi)</f>
        <v>403.745430923792</v>
      </c>
    </row>
    <row r="9767" customFormat="false" ht="17.15" hidden="false" customHeight="false" outlineLevel="0" collapsed="false">
      <c r="A9767" s="0" t="s">
        <v>947</v>
      </c>
      <c r="B9767" s="0" t="s">
        <v>86</v>
      </c>
      <c r="C9767" s="38" t="n">
        <f aca="false">(SUM(Sens!$I$9765:$M$9765)+Sens!$C$9766/(1+wacc)^6)*(1+wacc)^tp_yf</f>
        <v>159.911588774077</v>
      </c>
    </row>
    <row r="9768" customFormat="false" ht="17.15" hidden="false" customHeight="false" outlineLevel="0" collapsed="false">
      <c r="A9768" s="5" t="s">
        <v>948</v>
      </c>
      <c r="B9768" s="0" t="s">
        <v>86</v>
      </c>
      <c r="C9768" s="38" t="n">
        <f aca="false">(1-tp_yf)*(Sens!$H$9685)+tp_yf*(Sens!$I$9685)</f>
        <v>74.6707041238437</v>
      </c>
    </row>
    <row r="9769" customFormat="false" ht="17.15" hidden="false" customHeight="false" outlineLevel="0" collapsed="false">
      <c r="A9769" s="5" t="s">
        <v>949</v>
      </c>
      <c r="B9769" s="0" t="s">
        <v>86</v>
      </c>
      <c r="C9769" s="38" t="n">
        <f aca="false">Sens!$C$9768*m_ai</f>
        <v>448.024224743062</v>
      </c>
    </row>
    <row r="9770" customFormat="false" ht="17.15" hidden="false" customHeight="false" outlineLevel="0" collapsed="false">
      <c r="A9770" s="0" t="s">
        <v>950</v>
      </c>
      <c r="B9770" s="0" t="s">
        <v>86</v>
      </c>
      <c r="C9770" s="38" t="n">
        <f aca="false">IF(ai_leg=1,Sens!$C$9767,Sens!$C$9769)</f>
        <v>159.911588774077</v>
      </c>
    </row>
    <row r="9771" customFormat="false" ht="17.15" hidden="false" customHeight="false" outlineLevel="0" collapsed="false">
      <c r="A9771" s="5" t="s">
        <v>951</v>
      </c>
      <c r="B9771" s="0" t="s">
        <v>86</v>
      </c>
      <c r="C9771" s="38" t="n">
        <f aca="false">Sens!$C$9757+Sens!$C$9760+Sens!$C$9763+Sens!$C$9770</f>
        <v>2940.93728560262</v>
      </c>
    </row>
    <row r="9772" customFormat="false" ht="17.15" hidden="false" customHeight="false" outlineLevel="0" collapsed="false">
      <c r="A9772" s="5" t="s">
        <v>952</v>
      </c>
      <c r="B9772" s="0" t="s">
        <v>86</v>
      </c>
      <c r="C9772" s="38" t="n">
        <f aca="false">Sens!$H$9725+fin_debt</f>
        <v>153.608629741943</v>
      </c>
    </row>
    <row r="9773" customFormat="false" ht="15" hidden="false" customHeight="false" outlineLevel="0" collapsed="false">
      <c r="A9773" s="5" t="s">
        <v>953</v>
      </c>
      <c r="B9773" s="0" t="s">
        <v>86</v>
      </c>
      <c r="C9773" s="38" t="n">
        <f aca="false">Sens!$C$9771-Sens!$C$9772+Sens!$C$9750</f>
        <v>2966.27265586067</v>
      </c>
    </row>
    <row r="9774" customFormat="false" ht="15" hidden="false" customHeight="false" outlineLevel="0" collapsed="false">
      <c r="A9774" s="3" t="s">
        <v>954</v>
      </c>
      <c r="B9774" s="8" t="s">
        <v>27</v>
      </c>
      <c r="C9774" s="30" t="n">
        <f aca="false">Sens!$C$9773/sh_val</f>
        <v>268.920055753687</v>
      </c>
    </row>
    <row r="9775" customFormat="false" ht="17.15" hidden="false" customHeight="false" outlineLevel="0" collapsed="false">
      <c r="A9775" s="47" t="s">
        <v>955</v>
      </c>
      <c r="B9775" s="14" t="s">
        <v>27</v>
      </c>
      <c r="C9775" s="44" t="n">
        <f aca="false">w_dcf*Sens!$C$9753+(1-w_dcf)*Sens!$C$9774</f>
        <v>204.010079670905</v>
      </c>
      <c r="D9775" s="14"/>
      <c r="E9775" s="14"/>
      <c r="F9775" s="14"/>
      <c r="G9775" s="14"/>
      <c r="H9775" s="14"/>
      <c r="I9775" s="14"/>
      <c r="J9775" s="14"/>
      <c r="K9775" s="14"/>
      <c r="L9775" s="14"/>
      <c r="M9775" s="14"/>
      <c r="N9775" s="14"/>
      <c r="O9775" s="14"/>
    </row>
    <row r="9776" customFormat="false" ht="17.15" hidden="false" customHeight="false" outlineLevel="0" collapsed="false">
      <c r="A9776" s="5" t="s">
        <v>956</v>
      </c>
      <c r="B9776" s="0" t="s">
        <v>27</v>
      </c>
      <c r="C9776" s="30" t="n">
        <f aca="false">v022_wdcf*Sens!$C$9753+(1-v022_wdcf)*Sens!$C$9774</f>
        <v>210.501077279183</v>
      </c>
    </row>
    <row r="9777" customFormat="false" ht="17.15" hidden="false" customHeight="false" outlineLevel="0" collapsed="false">
      <c r="A9777" s="5" t="s">
        <v>957</v>
      </c>
      <c r="B9777" s="0" t="s">
        <v>27</v>
      </c>
      <c r="C9777" s="30" t="n">
        <f aca="false">(Sens!$C$9773-Sens!$C$9770+Sens!$C$9769)/sh_val</f>
        <v>295.040131389701</v>
      </c>
    </row>
    <row r="9780" customFormat="false" ht="19.4" hidden="false" customHeight="false" outlineLevel="0" collapsed="false">
      <c r="A9780" s="31" t="s">
        <v>1335</v>
      </c>
    </row>
    <row r="9781" customFormat="false" ht="17.15" hidden="false" customHeight="false" outlineLevel="0" collapsed="false">
      <c r="A9781" s="6" t="s">
        <v>16</v>
      </c>
      <c r="B9781" s="6" t="s">
        <v>17</v>
      </c>
      <c r="C9781" s="20" t="s">
        <v>497</v>
      </c>
      <c r="D9781" s="20" t="s">
        <v>498</v>
      </c>
      <c r="E9781" s="20" t="s">
        <v>580</v>
      </c>
      <c r="F9781" s="20" t="s">
        <v>581</v>
      </c>
      <c r="G9781" s="20" t="s">
        <v>582</v>
      </c>
      <c r="H9781" s="20" t="s">
        <v>583</v>
      </c>
      <c r="I9781" s="20" t="s">
        <v>584</v>
      </c>
      <c r="J9781" s="20" t="s">
        <v>585</v>
      </c>
      <c r="K9781" s="20" t="s">
        <v>586</v>
      </c>
      <c r="L9781" s="20" t="s">
        <v>587</v>
      </c>
      <c r="M9781" s="20" t="s">
        <v>588</v>
      </c>
      <c r="N9781" s="20" t="s">
        <v>589</v>
      </c>
      <c r="O9781" s="20" t="s">
        <v>590</v>
      </c>
      <c r="P9781" s="6" t="s">
        <v>23</v>
      </c>
      <c r="R9781" s="20" t="n">
        <v>2023</v>
      </c>
      <c r="S9781" s="20" t="n">
        <v>2024</v>
      </c>
      <c r="T9781" s="20" t="n">
        <v>2025</v>
      </c>
      <c r="U9781" s="20" t="n">
        <v>2026</v>
      </c>
      <c r="V9781" s="20" t="n">
        <v>2027</v>
      </c>
      <c r="W9781" s="20" t="n">
        <v>2028</v>
      </c>
      <c r="X9781" s="20" t="n">
        <v>2029</v>
      </c>
      <c r="Y9781" s="20" t="n">
        <v>2030</v>
      </c>
      <c r="Z9781" s="20" t="n">
        <v>2031</v>
      </c>
      <c r="AA9781" s="20" t="n">
        <v>2032</v>
      </c>
    </row>
    <row r="9782" customFormat="false" ht="17.15" hidden="false" customHeight="false" outlineLevel="0" collapsed="false">
      <c r="A9782" s="1" t="s">
        <v>666</v>
      </c>
    </row>
    <row r="9783" customFormat="false" ht="17.15" hidden="false" customHeight="false" outlineLevel="0" collapsed="false">
      <c r="A9783" s="0" t="s">
        <v>519</v>
      </c>
      <c r="B9783" s="0" t="s">
        <v>86</v>
      </c>
      <c r="C9783" s="38" t="n">
        <f aca="false">Q!$D$10</f>
        <v>247.029</v>
      </c>
      <c r="D9783" s="38" t="n">
        <f aca="false">Q!$E$10</f>
        <v>269.287</v>
      </c>
      <c r="E9783" s="38" t="n">
        <f aca="false">Q!$P$10</f>
        <v>134.686</v>
      </c>
      <c r="F9783" s="38" t="n">
        <f aca="false">Sens!$O$9783*(1+Sens!$F$9784)*Sens!$F$9795</f>
        <v>158.293876822267</v>
      </c>
      <c r="G9783" s="38" t="n">
        <f aca="false">Sens!$E$9783+Sens!$F$9783</f>
        <v>292.979876822267</v>
      </c>
      <c r="H9783" s="38" t="n">
        <f aca="false">Sens!$G$9783*(1+Sens!$H$9784)</f>
        <v>318.184543087396</v>
      </c>
      <c r="I9783" s="38" t="n">
        <f aca="false">Sens!$H$9783*(1+Sens!$I$9784)</f>
        <v>341.736278761793</v>
      </c>
      <c r="J9783" s="38" t="n">
        <f aca="false">Sens!$I$9783*(1+Sens!$J$9784)</f>
        <v>362.927192787048</v>
      </c>
      <c r="K9783" s="38" t="n">
        <f aca="false">Sens!$J$9783*(1+Sens!$K$9784)</f>
        <v>381.0735524264</v>
      </c>
      <c r="L9783" s="38" t="n">
        <f aca="false">Sens!$K$9783*(1+Sens!$L$9784)</f>
        <v>400.12723004772</v>
      </c>
      <c r="M9783" s="38" t="n">
        <f aca="false">Sens!$L$9783*(1+Sens!$M$9784)</f>
        <v>420.133591550106</v>
      </c>
      <c r="N9783" s="38" t="n">
        <f aca="false">Q!$N$10</f>
        <v>118.892</v>
      </c>
      <c r="O9783" s="38" t="n">
        <f aca="false">Q!$O$10</f>
        <v>150.395</v>
      </c>
      <c r="P9783" s="8" t="s">
        <v>667</v>
      </c>
    </row>
    <row r="9784" customFormat="false" ht="17.15" hidden="false" customHeight="false" outlineLevel="0" collapsed="false">
      <c r="A9784" s="0" t="s">
        <v>668</v>
      </c>
      <c r="B9784" s="0" t="s">
        <v>52</v>
      </c>
      <c r="E9784" s="13" t="n">
        <f aca="false">Sens!$E$9783/Sens!$N$9783-1</f>
        <v>0.132843252699929</v>
      </c>
      <c r="F9784" s="13" t="n">
        <f aca="false">Sens!$O$9783/(Q!$F$10+Q!$G$10)-1</f>
        <v>0.0980382135842941</v>
      </c>
      <c r="G9784" s="13" t="n">
        <f aca="false">Sens!$G$9783/Sens!$D$9783-1</f>
        <v>0.0879837378791657</v>
      </c>
      <c r="H9784" s="13" t="n">
        <f aca="false">Sens!$F$9784+(g_os-Sens!$F$9784)*1/4</f>
        <v>0.0860286601882206</v>
      </c>
      <c r="I9784" s="13" t="n">
        <f aca="false">Sens!$F$9784+(g_os-Sens!$F$9784)*2/4</f>
        <v>0.074019106792147</v>
      </c>
      <c r="J9784" s="13" t="n">
        <f aca="false">Sens!$F$9784+(g_os-Sens!$F$9784)*3/4</f>
        <v>0.0620095533960735</v>
      </c>
      <c r="K9784" s="13" t="n">
        <f aca="false">Sens!$F$9784+(g_os-Sens!$F$9784)*4/4</f>
        <v>0.05</v>
      </c>
      <c r="L9784" s="13" t="n">
        <f aca="false">g_os</f>
        <v>0.05</v>
      </c>
      <c r="M9784" s="13" t="n">
        <f aca="false">g_os</f>
        <v>0.05</v>
      </c>
      <c r="P9784" s="8" t="s">
        <v>669</v>
      </c>
    </row>
    <row r="9785" customFormat="false" ht="17.15" hidden="false" customHeight="false" outlineLevel="0" collapsed="false">
      <c r="A9785" s="0" t="s">
        <v>520</v>
      </c>
      <c r="B9785" s="0" t="s">
        <v>86</v>
      </c>
      <c r="C9785" s="38" t="n">
        <f aca="false">Q!$D$11</f>
        <v>21.215</v>
      </c>
      <c r="D9785" s="38" t="n">
        <f aca="false">Q!$E$11</f>
        <v>22.561</v>
      </c>
      <c r="E9785" s="38" t="n">
        <f aca="false">Q!$P$11</f>
        <v>11.579</v>
      </c>
      <c r="F9785" s="38" t="n">
        <f aca="false">Sens!$O$9785*(1+Sens!$F$9786)*Sens!$F$9795</f>
        <v>11.5938724610325</v>
      </c>
      <c r="G9785" s="38" t="n">
        <f aca="false">Sens!$E$9785+Sens!$F$9785</f>
        <v>23.1728724610325</v>
      </c>
      <c r="H9785" s="38" t="n">
        <f aca="false">Sens!$G$9785*(1+Sens!$H$9786)</f>
        <v>24.353392759506</v>
      </c>
      <c r="I9785" s="38" t="n">
        <f aca="false">Sens!$H$9785*(1+Sens!$I$9786)</f>
        <v>25.4240338872015</v>
      </c>
      <c r="J9785" s="38" t="n">
        <f aca="false">Sens!$I$9785*(1+Sens!$J$9786)</f>
        <v>26.3642491017174</v>
      </c>
      <c r="K9785" s="38" t="n">
        <f aca="false">Sens!$J$9785*(1+Sens!$K$9786)</f>
        <v>27.155176574769</v>
      </c>
      <c r="L9785" s="38" t="n">
        <f aca="false">Sens!$K$9785*(1+Sens!$L$9786)</f>
        <v>27.969831872012</v>
      </c>
      <c r="M9785" s="38" t="n">
        <f aca="false">Sens!$L$9785*(1+Sens!$M$9786)</f>
        <v>28.8089268281724</v>
      </c>
      <c r="N9785" s="38" t="n">
        <f aca="false">Q!$N$11</f>
        <v>11.128</v>
      </c>
      <c r="O9785" s="38" t="n">
        <f aca="false">Q!$O$11</f>
        <v>11.433</v>
      </c>
      <c r="P9785" s="8" t="s">
        <v>667</v>
      </c>
    </row>
    <row r="9786" customFormat="false" ht="17.15" hidden="false" customHeight="false" outlineLevel="0" collapsed="false">
      <c r="A9786" s="0" t="s">
        <v>670</v>
      </c>
      <c r="B9786" s="0" t="s">
        <v>52</v>
      </c>
      <c r="E9786" s="13" t="n">
        <f aca="false">Sens!$E$9785/Sens!$N$9785-1</f>
        <v>0.0405283968368082</v>
      </c>
      <c r="F9786" s="13" t="n">
        <f aca="false">Sens!$O$9785/(Q!$F$11+Q!$G$11)-1</f>
        <v>0.0579254187100955</v>
      </c>
      <c r="G9786" s="13" t="n">
        <f aca="false">Sens!$G$9785/Sens!$D$9785-1</f>
        <v>0.0271208040881397</v>
      </c>
      <c r="H9786" s="13" t="n">
        <f aca="false">Sens!$F$9786+(g_ps-Sens!$F$9786)*1/4</f>
        <v>0.0509440640325716</v>
      </c>
      <c r="I9786" s="13" t="n">
        <f aca="false">Sens!$F$9786+(g_ps-Sens!$F$9786)*2/4</f>
        <v>0.0439627093550477</v>
      </c>
      <c r="J9786" s="13" t="n">
        <f aca="false">Sens!$F$9786+(g_ps-Sens!$F$9786)*3/4</f>
        <v>0.0369813546775239</v>
      </c>
      <c r="K9786" s="13" t="n">
        <f aca="false">Sens!$F$9786+(g_ps-Sens!$F$9786)*4/4</f>
        <v>0.03</v>
      </c>
      <c r="L9786" s="13" t="n">
        <f aca="false">g_ps</f>
        <v>0.03</v>
      </c>
      <c r="M9786" s="13" t="n">
        <f aca="false">g_ps</f>
        <v>0.03</v>
      </c>
      <c r="P9786" s="8" t="s">
        <v>671</v>
      </c>
    </row>
    <row r="9787" customFormat="false" ht="17.15" hidden="false" customHeight="false" outlineLevel="0" collapsed="false">
      <c r="A9787" s="0" t="s">
        <v>521</v>
      </c>
      <c r="B9787" s="0" t="s">
        <v>86</v>
      </c>
      <c r="C9787" s="38" t="n">
        <f aca="false">Q!$D$12</f>
        <v>156.146</v>
      </c>
      <c r="D9787" s="38" t="n">
        <f aca="false">Q!$E$12</f>
        <v>172.162</v>
      </c>
      <c r="E9787" s="38" t="n">
        <f aca="false">Q!$P$12</f>
        <v>88.358</v>
      </c>
      <c r="F9787" s="38" t="n">
        <f aca="false">Sens!$O$9787*(1+Sens!$F$9788)*Sens!$F$9795</f>
        <v>102.004388260171</v>
      </c>
      <c r="G9787" s="38" t="n">
        <f aca="false">Sens!$E$9787+Sens!$F$9787</f>
        <v>190.362388260171</v>
      </c>
      <c r="H9787" s="38" t="n">
        <f aca="false">Sens!$G$9787*(1+Sens!$H$9788)</f>
        <v>210.343106588311</v>
      </c>
      <c r="I9787" s="38" t="n">
        <f aca="false">Sens!$H$9787*(1+Sens!$I$9788)</f>
        <v>229.969728494648</v>
      </c>
      <c r="J9787" s="38" t="n">
        <f aca="false">Sens!$I$9787*(1+Sens!$J$9788)</f>
        <v>248.747636972598</v>
      </c>
      <c r="K9787" s="38" t="n">
        <f aca="false">Sens!$J$9787*(1+Sens!$K$9788)</f>
        <v>266.15997156068</v>
      </c>
      <c r="L9787" s="38" t="n">
        <f aca="false">Sens!$K$9787*(1+Sens!$L$9788)</f>
        <v>284.791169569927</v>
      </c>
      <c r="M9787" s="38" t="n">
        <f aca="false">Sens!$L$9787*(1+Sens!$M$9788)</f>
        <v>304.726551439822</v>
      </c>
      <c r="N9787" s="38" t="n">
        <f aca="false">Q!$N$12</f>
        <v>76.86</v>
      </c>
      <c r="O9787" s="38" t="n">
        <f aca="false">Q!$O$12</f>
        <v>95.302</v>
      </c>
      <c r="P9787" s="8" t="s">
        <v>667</v>
      </c>
    </row>
    <row r="9788" customFormat="false" ht="17.15" hidden="false" customHeight="false" outlineLevel="0" collapsed="false">
      <c r="A9788" s="0" t="s">
        <v>672</v>
      </c>
      <c r="B9788" s="0" t="s">
        <v>52</v>
      </c>
      <c r="E9788" s="13" t="n">
        <f aca="false">Sens!$E$9787/Sens!$N$9787-1</f>
        <v>0.1495966692688</v>
      </c>
      <c r="F9788" s="13" t="n">
        <f aca="false">Sens!$O$9787/(Q!$F$12+Q!$G$12)-1</f>
        <v>0.11661530890813</v>
      </c>
      <c r="G9788" s="13" t="n">
        <f aca="false">Sens!$G$9787/Sens!$D$9787-1</f>
        <v>0.105716640490767</v>
      </c>
      <c r="H9788" s="13" t="n">
        <f aca="false">Sens!$F$9788+(g_sp-Sens!$F$9788)*1/4</f>
        <v>0.104961481681098</v>
      </c>
      <c r="I9788" s="13" t="n">
        <f aca="false">Sens!$F$9788+(g_sp-Sens!$F$9788)*2/4</f>
        <v>0.0933076544540651</v>
      </c>
      <c r="J9788" s="13" t="n">
        <f aca="false">Sens!$F$9788+(g_sp-Sens!$F$9788)*3/4</f>
        <v>0.0816538272270325</v>
      </c>
      <c r="K9788" s="13" t="n">
        <f aca="false">Sens!$F$9788+(g_sp-Sens!$F$9788)*4/4</f>
        <v>0.07</v>
      </c>
      <c r="L9788" s="13" t="n">
        <f aca="false">g_sp</f>
        <v>0.07</v>
      </c>
      <c r="M9788" s="13" t="n">
        <f aca="false">g_sp</f>
        <v>0.07</v>
      </c>
      <c r="P9788" s="8" t="s">
        <v>673</v>
      </c>
    </row>
    <row r="9789" customFormat="false" ht="17.15" hidden="false" customHeight="false" outlineLevel="0" collapsed="false">
      <c r="A9789" s="0" t="s">
        <v>522</v>
      </c>
      <c r="B9789" s="0" t="s">
        <v>86</v>
      </c>
      <c r="C9789" s="38" t="n">
        <f aca="false">Q!$D$13</f>
        <v>56.214</v>
      </c>
      <c r="D9789" s="38" t="n">
        <f aca="false">Q!$E$13</f>
        <v>68.635</v>
      </c>
      <c r="E9789" s="38" t="n">
        <f aca="false">Q!$P$13</f>
        <v>37.052</v>
      </c>
      <c r="F9789" s="38" t="n">
        <f aca="false">Sens!$O$9789*(1+Sens!$F$9790)*Sens!$F$9795</f>
        <v>46.1572219944148</v>
      </c>
      <c r="G9789" s="38" t="n">
        <f aca="false">Sens!$E$9789+Sens!$F$9789</f>
        <v>83.2092219944148</v>
      </c>
      <c r="H9789" s="38" t="n">
        <f aca="false">Sens!$G$9789*(1+Sens!$H$9790)</f>
        <v>99.8969223878976</v>
      </c>
      <c r="I9789" s="38" t="n">
        <f aca="false">Sens!$H$9789*(1+Sens!$I$9790)</f>
        <v>116.583111095496</v>
      </c>
      <c r="J9789" s="38" t="n">
        <f aca="false">Sens!$I$9789*(1+Sens!$J$9790)</f>
        <v>132.148941941952</v>
      </c>
      <c r="K9789" s="38" t="n">
        <f aca="false">Sens!$J$9789*(1+Sens!$K$9790)</f>
        <v>145.363836136147</v>
      </c>
      <c r="L9789" s="38" t="n">
        <f aca="false">Sens!$K$9789*(1+Sens!$L$9790)</f>
        <v>159.900219749762</v>
      </c>
      <c r="M9789" s="38" t="n">
        <f aca="false">Sens!$L$9789*(1+Sens!$M$9790)</f>
        <v>175.890241724738</v>
      </c>
      <c r="N9789" s="38" t="n">
        <f aca="false">Q!$N$13</f>
        <v>29.615</v>
      </c>
      <c r="O9789" s="38" t="n">
        <f aca="false">Q!$O$13</f>
        <v>39.02</v>
      </c>
      <c r="P9789" s="8" t="s">
        <v>667</v>
      </c>
    </row>
    <row r="9790" customFormat="false" ht="17.15" hidden="false" customHeight="false" outlineLevel="0" collapsed="false">
      <c r="A9790" s="0" t="s">
        <v>674</v>
      </c>
      <c r="B9790" s="0" t="s">
        <v>52</v>
      </c>
      <c r="E9790" s="13" t="n">
        <f aca="false">Sens!$E$9789/Sens!$N$9789-1</f>
        <v>0.25112274185379</v>
      </c>
      <c r="F9790" s="13" t="n">
        <f aca="false">Sens!$O$9789/(Q!$F$13+Q!$G$13)-1</f>
        <v>0.234068123596572</v>
      </c>
      <c r="G9790" s="13" t="n">
        <f aca="false">Sens!$G$9789/Sens!$D$9789-1</f>
        <v>0.212343876949294</v>
      </c>
      <c r="H9790" s="13" t="n">
        <f aca="false">Sens!$F$9790+(g_ad-Sens!$F$9790)*1/4</f>
        <v>0.200551092697429</v>
      </c>
      <c r="I9790" s="13" t="n">
        <f aca="false">Sens!$F$9790+(g_ad-Sens!$F$9790)*2/4</f>
        <v>0.167034061798286</v>
      </c>
      <c r="J9790" s="13" t="n">
        <f aca="false">Sens!$F$9790+(g_ad-Sens!$F$9790)*3/4</f>
        <v>0.133517030899143</v>
      </c>
      <c r="K9790" s="13" t="n">
        <f aca="false">Sens!$F$9790+(g_ad-Sens!$F$9790)*4/4</f>
        <v>0.1</v>
      </c>
      <c r="L9790" s="13" t="n">
        <f aca="false">g_ad</f>
        <v>0.1</v>
      </c>
      <c r="M9790" s="13" t="n">
        <f aca="false">g_ad</f>
        <v>0.1</v>
      </c>
      <c r="P9790" s="8" t="s">
        <v>675</v>
      </c>
    </row>
    <row r="9791" customFormat="false" ht="17.15" hidden="false" customHeight="false" outlineLevel="0" collapsed="false">
      <c r="A9791" s="0" t="s">
        <v>523</v>
      </c>
      <c r="B9791" s="0" t="s">
        <v>86</v>
      </c>
      <c r="C9791" s="38" t="n">
        <f aca="false">Q!$D$14</f>
        <v>44.374</v>
      </c>
      <c r="D9791" s="38" t="n">
        <f aca="false">Q!$E$14</f>
        <v>49.619</v>
      </c>
      <c r="E9791" s="38" t="n">
        <f aca="false">Q!$P$14</f>
        <v>27.157</v>
      </c>
      <c r="F9791" s="38" t="n">
        <f aca="false">Sens!$O$9791*(1+Sens!$F$9792)*Sens!$F$9795</f>
        <v>27.7764165988154</v>
      </c>
      <c r="G9791" s="38" t="n">
        <f aca="false">Sens!$E$9791+Sens!$F$9791</f>
        <v>54.9334165988154</v>
      </c>
      <c r="H9791" s="38" t="n">
        <f aca="false">Sens!$G$9791*(1+Sens!$H$9792)</f>
        <v>61.1564112561829</v>
      </c>
      <c r="I9791" s="38" t="n">
        <f aca="false">Sens!$H$9791*(1+Sens!$I$9792)</f>
        <v>67.2020282103945</v>
      </c>
      <c r="J9791" s="38" t="n">
        <f aca="false">Sens!$I$9791*(1+Sens!$J$9792)</f>
        <v>72.8757274028885</v>
      </c>
      <c r="K9791" s="38" t="n">
        <f aca="false">Sens!$J$9791*(1+Sens!$K$9792)</f>
        <v>77.9770283210907</v>
      </c>
      <c r="L9791" s="38" t="n">
        <f aca="false">Sens!$K$9791*(1+Sens!$L$9792)</f>
        <v>83.4354203035671</v>
      </c>
      <c r="M9791" s="38" t="n">
        <f aca="false">Sens!$L$9791*(1+Sens!$M$9792)</f>
        <v>89.2758997248168</v>
      </c>
      <c r="N9791" s="38" t="n">
        <f aca="false">Q!$N$14</f>
        <v>23.923</v>
      </c>
      <c r="O9791" s="38" t="n">
        <f aca="false">Q!$O$14</f>
        <v>25.696</v>
      </c>
      <c r="P9791" s="8" t="s">
        <v>667</v>
      </c>
    </row>
    <row r="9792" customFormat="false" ht="17.15" hidden="false" customHeight="false" outlineLevel="0" collapsed="false">
      <c r="A9792" s="0" t="s">
        <v>676</v>
      </c>
      <c r="B9792" s="0" t="s">
        <v>52</v>
      </c>
      <c r="E9792" s="13" t="n">
        <f aca="false">Sens!$E$9791/Sens!$N$9791-1</f>
        <v>0.135183714417088</v>
      </c>
      <c r="F9792" s="13" t="n">
        <f aca="false">Sens!$O$9791/(Q!$F$14+Q!$G$14)-1</f>
        <v>0.127709997366804</v>
      </c>
      <c r="G9792" s="13" t="n">
        <f aca="false">Sens!$G$9791/Sens!$D$9791-1</f>
        <v>0.107104468022641</v>
      </c>
      <c r="H9792" s="13" t="n">
        <f aca="false">Sens!$F$9792+(g_sub-Sens!$F$9792)*1/4</f>
        <v>0.113282498025103</v>
      </c>
      <c r="I9792" s="13" t="n">
        <f aca="false">Sens!$F$9792+(g_sub-Sens!$F$9792)*2/4</f>
        <v>0.0988549986834021</v>
      </c>
      <c r="J9792" s="13" t="n">
        <f aca="false">Sens!$F$9792+(g_sub-Sens!$F$9792)*3/4</f>
        <v>0.084427499341701</v>
      </c>
      <c r="K9792" s="13" t="n">
        <f aca="false">Sens!$F$9792+(g_sub-Sens!$F$9792)*4/4</f>
        <v>0.07</v>
      </c>
      <c r="L9792" s="13" t="n">
        <f aca="false">g_sub</f>
        <v>0.07</v>
      </c>
      <c r="M9792" s="13" t="n">
        <f aca="false">g_sub</f>
        <v>0.07</v>
      </c>
      <c r="P9792" s="8" t="s">
        <v>677</v>
      </c>
    </row>
    <row r="9793" customFormat="false" ht="17.15" hidden="false" customHeight="false" outlineLevel="0" collapsed="false">
      <c r="A9793" s="0" t="s">
        <v>524</v>
      </c>
      <c r="B9793" s="0" t="s">
        <v>86</v>
      </c>
      <c r="C9793" s="38" t="n">
        <f aca="false">Q!$D$15</f>
        <v>5.425</v>
      </c>
      <c r="D9793" s="38" t="n">
        <f aca="false">Q!$E$15</f>
        <v>5.935</v>
      </c>
      <c r="E9793" s="38" t="n">
        <f aca="false">Q!$P$15</f>
        <v>3.474</v>
      </c>
      <c r="F9793" s="38" t="n">
        <f aca="false">Sens!$O$9793*(1+Sens!$F$9794)*Sens!$F$9795</f>
        <v>3.22246550883619</v>
      </c>
      <c r="G9793" s="38" t="n">
        <f aca="false">Sens!$E$9793+Sens!$F$9793</f>
        <v>6.69646550883619</v>
      </c>
      <c r="H9793" s="38" t="n">
        <f aca="false">Sens!$G$9793*(1+Sens!$H$9794)</f>
        <v>7.16251344209196</v>
      </c>
      <c r="I9793" s="38" t="n">
        <f aca="false">Sens!$H$9793*(1+Sens!$I$9794)</f>
        <v>7.61421070299826</v>
      </c>
      <c r="J9793" s="38" t="n">
        <f aca="false">Sens!$I$9793*(1+Sens!$J$9794)</f>
        <v>8.04465753523932</v>
      </c>
      <c r="K9793" s="38" t="n">
        <f aca="false">Sens!$J$9793*(1+Sens!$K$9794)</f>
        <v>8.44689041200128</v>
      </c>
      <c r="L9793" s="38" t="n">
        <f aca="false">Sens!$K$9793*(1+Sens!$L$9794)</f>
        <v>8.86923493260135</v>
      </c>
      <c r="M9793" s="38" t="n">
        <f aca="false">Sens!$L$9793*(1+Sens!$M$9794)</f>
        <v>9.31269667923142</v>
      </c>
      <c r="N9793" s="38" t="n">
        <f aca="false">Q!$N$15</f>
        <v>2.811</v>
      </c>
      <c r="O9793" s="38" t="n">
        <f aca="false">Q!$O$15</f>
        <v>3.124</v>
      </c>
      <c r="P9793" s="8" t="s">
        <v>667</v>
      </c>
    </row>
    <row r="9794" customFormat="false" ht="17.15" hidden="false" customHeight="false" outlineLevel="0" collapsed="false">
      <c r="A9794" s="0" t="s">
        <v>678</v>
      </c>
      <c r="B9794" s="0" t="s">
        <v>52</v>
      </c>
      <c r="E9794" s="13" t="n">
        <f aca="false">Sens!$E$9793/Sens!$N$9793-1</f>
        <v>0.235859124866596</v>
      </c>
      <c r="F9794" s="13" t="n">
        <f aca="false">Sens!$O$9793/(Q!$F$15+Q!$G$15)-1</f>
        <v>0.0761281433000345</v>
      </c>
      <c r="G9794" s="13" t="n">
        <f aca="false">Sens!$G$9793/Sens!$D$9793-1</f>
        <v>0.128300843948811</v>
      </c>
      <c r="H9794" s="13" t="n">
        <f aca="false">Sens!$F$9794+(g_ot-Sens!$F$9794)*1/4</f>
        <v>0.0695961074750259</v>
      </c>
      <c r="I9794" s="13" t="n">
        <f aca="false">Sens!$F$9794+(g_ot-Sens!$F$9794)*2/4</f>
        <v>0.0630640716500172</v>
      </c>
      <c r="J9794" s="13" t="n">
        <f aca="false">Sens!$F$9794+(g_ot-Sens!$F$9794)*3/4</f>
        <v>0.0565320358250086</v>
      </c>
      <c r="K9794" s="13" t="n">
        <f aca="false">Sens!$F$9794+(g_ot-Sens!$F$9794)*4/4</f>
        <v>0.05</v>
      </c>
      <c r="L9794" s="13" t="n">
        <f aca="false">g_ot</f>
        <v>0.05</v>
      </c>
      <c r="M9794" s="13" t="n">
        <f aca="false">g_ot</f>
        <v>0.05</v>
      </c>
      <c r="P9794" s="8" t="s">
        <v>679</v>
      </c>
    </row>
    <row r="9795" customFormat="false" ht="17.15" hidden="false" customHeight="false" outlineLevel="0" collapsed="false">
      <c r="A9795" s="0" t="s">
        <v>680</v>
      </c>
      <c r="B9795" s="0" t="s">
        <v>57</v>
      </c>
      <c r="F9795" s="40" t="n">
        <f aca="false">(g26q3_mid*Q!$O$8/Q!$J$8-Thesis!$F$86-Thesis!$F$90)/(Sens!$O$9783*(1+Sens!$F$9784)+Sens!$O$9785*(1+Sens!$F$9786)+Sens!$O$9787*(1+Sens!$F$9788)+Sens!$O$9789*(1+Sens!$F$9790)+Sens!$O$9791*(1+Sens!$F$9792)+Sens!$O$9793*(1+Sens!$F$9794))</f>
        <v>0.958546670622329</v>
      </c>
      <c r="P9795" s="8" t="s">
        <v>681</v>
      </c>
    </row>
    <row r="9796" customFormat="false" ht="17.15" hidden="false" customHeight="false" outlineLevel="0" collapsed="false">
      <c r="A9796" s="3" t="s">
        <v>682</v>
      </c>
      <c r="B9796" s="8" t="s">
        <v>86</v>
      </c>
      <c r="C9796" s="38" t="n">
        <f aca="false">Sens!$C$9783+Sens!$C$9785+Sens!$C$9787+Sens!$C$9789+Sens!$C$9791+Sens!$C$9793</f>
        <v>530.403</v>
      </c>
      <c r="D9796" s="38" t="n">
        <f aca="false">Sens!$D$9783+Sens!$D$9785+Sens!$D$9787+Sens!$D$9789+Sens!$D$9791+Sens!$D$9793</f>
        <v>588.199</v>
      </c>
      <c r="E9796" s="38" t="n">
        <f aca="false">Sens!$E$9783+Sens!$E$9785+Sens!$E$9787+Sens!$E$9789+Sens!$E$9791+Sens!$E$9793</f>
        <v>302.306</v>
      </c>
      <c r="F9796" s="38" t="n">
        <f aca="false">Sens!$F$9783+Sens!$F$9785+Sens!$F$9787+Sens!$F$9789+Sens!$F$9791+Sens!$F$9793</f>
        <v>349.048241645537</v>
      </c>
      <c r="G9796" s="38" t="n">
        <f aca="false">Sens!$G$9783+Sens!$G$9785+Sens!$G$9787+Sens!$G$9789+Sens!$G$9791+Sens!$G$9793</f>
        <v>651.354241645537</v>
      </c>
      <c r="H9796" s="38" t="n">
        <f aca="false">Sens!$H$9783+Sens!$H$9785+Sens!$H$9787+Sens!$H$9789+Sens!$H$9791+Sens!$H$9793</f>
        <v>721.096889521386</v>
      </c>
      <c r="I9796" s="38" t="n">
        <f aca="false">Sens!$I$9783+Sens!$I$9785+Sens!$I$9787+Sens!$I$9789+Sens!$I$9791+Sens!$I$9793</f>
        <v>788.529391152531</v>
      </c>
      <c r="J9796" s="38" t="n">
        <f aca="false">Sens!$J$9783+Sens!$J$9785+Sens!$J$9787+Sens!$J$9789+Sens!$J$9791+Sens!$J$9793</f>
        <v>851.108405741443</v>
      </c>
      <c r="K9796" s="38" t="n">
        <f aca="false">Sens!$K$9783+Sens!$K$9785+Sens!$K$9787+Sens!$K$9789+Sens!$K$9791+Sens!$K$9793</f>
        <v>906.176455431088</v>
      </c>
      <c r="L9796" s="38" t="n">
        <f aca="false">Sens!$L$9783+Sens!$L$9785+Sens!$L$9787+Sens!$L$9789+Sens!$L$9791+Sens!$L$9793</f>
        <v>965.093106475589</v>
      </c>
      <c r="M9796" s="38" t="n">
        <f aca="false">Sens!$M$9783+Sens!$M$9785+Sens!$M$9787+Sens!$M$9789+Sens!$M$9791+Sens!$M$9793</f>
        <v>1028.14790794689</v>
      </c>
      <c r="N9796" s="38" t="n">
        <f aca="false">Sens!$N$9783+Sens!$N$9785+Sens!$N$9787+Sens!$N$9789+Sens!$N$9791+Sens!$N$9793</f>
        <v>263.229</v>
      </c>
      <c r="O9796" s="38" t="n">
        <f aca="false">Sens!$O$9783+Sens!$O$9785+Sens!$O$9787+Sens!$O$9789+Sens!$O$9791+Sens!$O$9793</f>
        <v>324.97</v>
      </c>
    </row>
    <row r="9797" customFormat="false" ht="17.15" hidden="false" customHeight="false" outlineLevel="0" collapsed="false">
      <c r="A9797" s="5" t="s">
        <v>683</v>
      </c>
      <c r="B9797" s="0" t="s">
        <v>52</v>
      </c>
      <c r="C9797" s="13" t="n">
        <f aca="false">Q!$D$5/(Q!$D$5+Q!$D$6)</f>
        <v>0.730570905519011</v>
      </c>
      <c r="D9797" s="13" t="n">
        <f aca="false">Q!$E$5/(Q!$E$5+Q!$E$6)</f>
        <v>0.724763217890544</v>
      </c>
      <c r="E9797" s="13" t="n">
        <f aca="false">Q!$P$5/(Q!$P$5+Q!$P$6)</f>
        <v>0.728797972914861</v>
      </c>
      <c r="F9797" s="13" t="n">
        <f aca="false">Sens!$O$9797</f>
        <v>0.718066283041511</v>
      </c>
      <c r="G9797" s="13" t="n">
        <f aca="false">Sens!$G$9798/Sens!$G$9796</f>
        <v>0.723047066202847</v>
      </c>
      <c r="H9797" s="13" t="n">
        <f aca="false">Sens!$G$9797</f>
        <v>0.723047066202847</v>
      </c>
      <c r="I9797" s="13" t="n">
        <f aca="false">Sens!$G$9797</f>
        <v>0.723047066202847</v>
      </c>
      <c r="J9797" s="13" t="n">
        <f aca="false">Sens!$G$9797</f>
        <v>0.723047066202847</v>
      </c>
      <c r="K9797" s="13" t="n">
        <f aca="false">Sens!$G$9797</f>
        <v>0.723047066202847</v>
      </c>
      <c r="L9797" s="13" t="n">
        <f aca="false">Sens!$G$9797</f>
        <v>0.723047066202847</v>
      </c>
      <c r="M9797" s="13" t="n">
        <f aca="false">Sens!$G$9797</f>
        <v>0.723047066202847</v>
      </c>
      <c r="N9797" s="13" t="n">
        <f aca="false">Q!$N$5/(Q!$N$5+Q!$N$6)</f>
        <v>0.733030935041352</v>
      </c>
      <c r="O9797" s="13" t="n">
        <f aca="false">Q!$O$5/(Q!$O$5+Q!$O$6)</f>
        <v>0.718066283041511</v>
      </c>
      <c r="P9797" s="8" t="s">
        <v>684</v>
      </c>
    </row>
    <row r="9798" customFormat="false" ht="17.15" hidden="false" customHeight="false" outlineLevel="0" collapsed="false">
      <c r="A9798" s="1" t="s">
        <v>512</v>
      </c>
      <c r="B9798" s="8" t="s">
        <v>86</v>
      </c>
      <c r="C9798" s="38" t="n">
        <f aca="false">Q!$D$5</f>
        <v>387.497</v>
      </c>
      <c r="D9798" s="38" t="n">
        <f aca="false">Q!$E$5</f>
        <v>426.305</v>
      </c>
      <c r="E9798" s="38" t="n">
        <f aca="false">Q!$P$5</f>
        <v>220.32</v>
      </c>
      <c r="F9798" s="38" t="n">
        <f aca="false">Sens!$F$9796*Sens!$F$9797</f>
        <v>250.639773480586</v>
      </c>
      <c r="G9798" s="38" t="n">
        <f aca="false">Sens!$E$9798+Sens!$F$9798</f>
        <v>470.959773480586</v>
      </c>
      <c r="H9798" s="38" t="n">
        <f aca="false">Sens!$H$9796*Sens!$H$9797</f>
        <v>521.386990416437</v>
      </c>
      <c r="I9798" s="38" t="n">
        <f aca="false">Sens!$I$9796*Sens!$I$9797</f>
        <v>570.143862887555</v>
      </c>
      <c r="J9798" s="38" t="n">
        <f aca="false">Sens!$J$9796*Sens!$J$9797</f>
        <v>615.391435791933</v>
      </c>
      <c r="K9798" s="38" t="n">
        <f aca="false">Sens!$K$9796*Sens!$K$9797</f>
        <v>655.208227561543</v>
      </c>
      <c r="L9798" s="38" t="n">
        <f aca="false">Sens!$L$9796*Sens!$L$9797</f>
        <v>697.807739249767</v>
      </c>
      <c r="M9798" s="38" t="n">
        <f aca="false">Sens!$M$9796*Sens!$M$9797</f>
        <v>743.399328463592</v>
      </c>
      <c r="N9798" s="38" t="n">
        <f aca="false">Q!$N$5</f>
        <v>192.955</v>
      </c>
      <c r="O9798" s="38" t="n">
        <f aca="false">Q!$O$5</f>
        <v>233.35</v>
      </c>
      <c r="P9798" s="5" t="s">
        <v>685</v>
      </c>
    </row>
    <row r="9799" customFormat="false" ht="17.15" hidden="false" customHeight="false" outlineLevel="0" collapsed="false">
      <c r="A9799" s="1" t="s">
        <v>515</v>
      </c>
      <c r="B9799" s="8" t="s">
        <v>86</v>
      </c>
      <c r="C9799" s="38" t="n">
        <f aca="false">Q!$D$6</f>
        <v>142.906</v>
      </c>
      <c r="D9799" s="38" t="n">
        <f aca="false">Q!$E$6</f>
        <v>161.894</v>
      </c>
      <c r="E9799" s="38" t="n">
        <f aca="false">Q!$P$6</f>
        <v>81.986</v>
      </c>
      <c r="F9799" s="38" t="n">
        <f aca="false">Sens!$F$9796*(1-Sens!$F$9797)</f>
        <v>98.408468164951</v>
      </c>
      <c r="G9799" s="38" t="n">
        <f aca="false">Sens!$E$9799+Sens!$F$9799</f>
        <v>180.394468164951</v>
      </c>
      <c r="H9799" s="38" t="n">
        <f aca="false">Sens!$H$9796*(1-Sens!$H$9797)</f>
        <v>199.709899104949</v>
      </c>
      <c r="I9799" s="38" t="n">
        <f aca="false">Sens!$I$9796*(1-Sens!$I$9797)</f>
        <v>218.385528264976</v>
      </c>
      <c r="J9799" s="38" t="n">
        <f aca="false">Sens!$J$9796*(1-Sens!$J$9797)</f>
        <v>235.71696994951</v>
      </c>
      <c r="K9799" s="38" t="n">
        <f aca="false">Sens!$K$9796*(1-Sens!$K$9797)</f>
        <v>250.968227869545</v>
      </c>
      <c r="L9799" s="38" t="n">
        <f aca="false">Sens!$L$9796*(1-Sens!$L$9797)</f>
        <v>267.285367225822</v>
      </c>
      <c r="M9799" s="38" t="n">
        <f aca="false">Sens!$M$9796*(1-Sens!$M$9797)</f>
        <v>284.748579483295</v>
      </c>
      <c r="N9799" s="38" t="n">
        <f aca="false">Q!$N$6</f>
        <v>70.274</v>
      </c>
      <c r="O9799" s="38" t="n">
        <f aca="false">Q!$O$6</f>
        <v>91.62</v>
      </c>
      <c r="P9799" s="5" t="s">
        <v>686</v>
      </c>
    </row>
    <row r="9800" customFormat="false" ht="17.15" hidden="false" customHeight="false" outlineLevel="0" collapsed="false">
      <c r="A9800" s="5" t="s">
        <v>687</v>
      </c>
      <c r="B9800" s="0" t="s">
        <v>86</v>
      </c>
      <c r="C9800" s="38" t="n">
        <f aca="false">Sens!$C$9789*Sens!$C$9797</f>
        <v>41.0683128828457</v>
      </c>
      <c r="D9800" s="38" t="n">
        <f aca="false">Sens!$D$9789*Sens!$D$9797</f>
        <v>49.7441234599175</v>
      </c>
      <c r="E9800" s="38" t="n">
        <f aca="false">Sens!$E$9789*Sens!$E$9797</f>
        <v>27.0034224924414</v>
      </c>
      <c r="F9800" s="38" t="n">
        <f aca="false">Sens!$F$9789*Sens!$F$9797</f>
        <v>33.1439448330513</v>
      </c>
      <c r="G9800" s="38" t="n">
        <f aca="false">Sens!$G$9789*Sens!$G$9797</f>
        <v>60.164183844083</v>
      </c>
      <c r="H9800" s="38" t="n">
        <f aca="false">Sens!$H$9789*Sens!$H$9797</f>
        <v>72.2301766552629</v>
      </c>
      <c r="I9800" s="38" t="n">
        <f aca="false">Sens!$I$9789*Sens!$I$9797</f>
        <v>84.2950764463991</v>
      </c>
      <c r="J9800" s="38" t="n">
        <f aca="false">Sens!$J$9789*Sens!$J$9797</f>
        <v>95.5499047729386</v>
      </c>
      <c r="K9800" s="38" t="n">
        <f aca="false">Sens!$K$9789*Sens!$K$9797</f>
        <v>105.104895250232</v>
      </c>
      <c r="L9800" s="38" t="n">
        <f aca="false">Sens!$L$9789*Sens!$L$9797</f>
        <v>115.615384775256</v>
      </c>
      <c r="M9800" s="38" t="n">
        <f aca="false">Sens!$M$9789*Sens!$M$9797</f>
        <v>127.176923252781</v>
      </c>
      <c r="N9800" s="38" t="n">
        <f aca="false">Sens!$N$9789*Sens!$N$9797</f>
        <v>21.7087111412496</v>
      </c>
      <c r="O9800" s="38" t="n">
        <f aca="false">Sens!$O$9789*Sens!$O$9797</f>
        <v>28.0189463642798</v>
      </c>
      <c r="P9800" s="5" t="s">
        <v>688</v>
      </c>
    </row>
    <row r="9801" customFormat="false" ht="15" hidden="false" customHeight="false" outlineLevel="0" collapsed="false">
      <c r="A9801" s="5" t="s">
        <v>689</v>
      </c>
      <c r="B9801" s="0" t="s">
        <v>86</v>
      </c>
      <c r="C9801" s="38" t="n">
        <f aca="false">Sens!$C$9789-Sens!$C$9800</f>
        <v>15.1456871171543</v>
      </c>
      <c r="D9801" s="38" t="n">
        <f aca="false">Sens!$D$9789-Sens!$D$9800</f>
        <v>18.8908765400825</v>
      </c>
      <c r="E9801" s="38" t="n">
        <f aca="false">Sens!$E$9789-Sens!$E$9800</f>
        <v>10.0485775075586</v>
      </c>
      <c r="F9801" s="38" t="n">
        <f aca="false">Sens!$F$9789-Sens!$F$9800</f>
        <v>13.0132771613635</v>
      </c>
      <c r="G9801" s="38" t="n">
        <f aca="false">Sens!$G$9789-Sens!$G$9800</f>
        <v>23.0450381503318</v>
      </c>
      <c r="H9801" s="38" t="n">
        <f aca="false">Sens!$H$9789-Sens!$H$9800</f>
        <v>27.6667457326347</v>
      </c>
      <c r="I9801" s="38" t="n">
        <f aca="false">Sens!$I$9789-Sens!$I$9800</f>
        <v>32.2880346490971</v>
      </c>
      <c r="J9801" s="38" t="n">
        <f aca="false">Sens!$J$9789-Sens!$J$9800</f>
        <v>36.5990371690132</v>
      </c>
      <c r="K9801" s="38" t="n">
        <f aca="false">Sens!$K$9789-Sens!$K$9800</f>
        <v>40.2589408859145</v>
      </c>
      <c r="L9801" s="38" t="n">
        <f aca="false">Sens!$L$9789-Sens!$L$9800</f>
        <v>44.2848349745059</v>
      </c>
      <c r="M9801" s="38" t="n">
        <f aca="false">Sens!$M$9789-Sens!$M$9800</f>
        <v>48.7133184719565</v>
      </c>
      <c r="N9801" s="38" t="n">
        <f aca="false">Sens!$N$9789-Sens!$N$9800</f>
        <v>7.90628885875037</v>
      </c>
      <c r="O9801" s="38" t="n">
        <f aca="false">Sens!$O$9789-Sens!$O$9800</f>
        <v>11.0010536357202</v>
      </c>
    </row>
    <row r="9802" customFormat="false" ht="19.4" hidden="false" customHeight="false" outlineLevel="0" collapsed="false">
      <c r="A9802" s="31" t="s">
        <v>1336</v>
      </c>
    </row>
    <row r="9803" customFormat="false" ht="17.15" hidden="false" customHeight="false" outlineLevel="0" collapsed="false">
      <c r="A9803" s="6" t="s">
        <v>16</v>
      </c>
      <c r="B9803" s="6" t="s">
        <v>17</v>
      </c>
      <c r="C9803" s="20" t="s">
        <v>497</v>
      </c>
      <c r="D9803" s="20" t="s">
        <v>498</v>
      </c>
      <c r="E9803" s="20" t="s">
        <v>580</v>
      </c>
      <c r="F9803" s="20" t="s">
        <v>581</v>
      </c>
      <c r="G9803" s="20" t="s">
        <v>582</v>
      </c>
      <c r="H9803" s="20" t="s">
        <v>583</v>
      </c>
      <c r="I9803" s="20" t="s">
        <v>584</v>
      </c>
      <c r="J9803" s="20" t="s">
        <v>585</v>
      </c>
      <c r="K9803" s="20" t="s">
        <v>586</v>
      </c>
      <c r="L9803" s="20" t="s">
        <v>587</v>
      </c>
      <c r="M9803" s="20" t="s">
        <v>588</v>
      </c>
      <c r="N9803" s="20" t="s">
        <v>589</v>
      </c>
      <c r="O9803" s="20" t="s">
        <v>590</v>
      </c>
      <c r="P9803" s="6" t="s">
        <v>23</v>
      </c>
      <c r="R9803" s="20" t="n">
        <v>2023</v>
      </c>
      <c r="S9803" s="20" t="n">
        <v>2024</v>
      </c>
      <c r="T9803" s="20" t="n">
        <v>2025</v>
      </c>
      <c r="U9803" s="20" t="n">
        <v>2026</v>
      </c>
      <c r="V9803" s="20" t="n">
        <v>2027</v>
      </c>
      <c r="W9803" s="20" t="n">
        <v>2028</v>
      </c>
      <c r="X9803" s="20" t="n">
        <v>2029</v>
      </c>
      <c r="Y9803" s="20" t="n">
        <v>2030</v>
      </c>
      <c r="Z9803" s="20" t="n">
        <v>2031</v>
      </c>
      <c r="AA9803" s="20" t="n">
        <v>2032</v>
      </c>
    </row>
    <row r="9804" customFormat="false" ht="17.15" hidden="false" customHeight="false" outlineLevel="0" collapsed="false">
      <c r="A9804" s="1" t="s">
        <v>591</v>
      </c>
    </row>
    <row r="9805" customFormat="false" ht="17.15" hidden="false" customHeight="false" outlineLevel="0" collapsed="false">
      <c r="A9805" s="5" t="s">
        <v>592</v>
      </c>
      <c r="B9805" s="0" t="s">
        <v>144</v>
      </c>
      <c r="H9805" s="32" t="n">
        <f aca="false">pace_B</f>
        <v>3634.3</v>
      </c>
      <c r="I9805" s="32" t="n">
        <f aca="false">pace_B</f>
        <v>3634.3</v>
      </c>
      <c r="J9805" s="32" t="n">
        <f aca="false">pace_B</f>
        <v>3634.3</v>
      </c>
      <c r="K9805" s="32" t="n">
        <f aca="false">pace_B+(Sens!$J$9806*tg_lo-pace_B)*1/3</f>
        <v>2521.53366666667</v>
      </c>
      <c r="L9805" s="32" t="n">
        <f aca="false">pace_B+(Sens!$J$9806*tg_lo-pace_B)*2/3</f>
        <v>1408.76733333333</v>
      </c>
      <c r="M9805" s="32" t="n">
        <f aca="false">pace_B+(Sens!$J$9806*tg_lo-pace_B)*3/3</f>
        <v>296.001</v>
      </c>
      <c r="P9805" s="5" t="s">
        <v>593</v>
      </c>
    </row>
    <row r="9806" customFormat="false" ht="17.15" hidden="false" customHeight="false" outlineLevel="0" collapsed="false">
      <c r="A9806" s="15" t="s">
        <v>594</v>
      </c>
      <c r="B9806" s="14" t="s">
        <v>129</v>
      </c>
      <c r="C9806" s="33" t="n">
        <f aca="false">mw_ye24</f>
        <v>360</v>
      </c>
      <c r="D9806" s="33" t="n">
        <f aca="false">mw_ye25</f>
        <v>1440</v>
      </c>
      <c r="E9806" s="33" t="n">
        <f aca="false">mw_open</f>
        <v>2080</v>
      </c>
      <c r="F9806" s="33" t="n">
        <f aca="false">Sens!$E$9806+pace_B*0.5</f>
        <v>3897.15</v>
      </c>
      <c r="G9806" s="33" t="n">
        <f aca="false">Sens!$F$9806</f>
        <v>3897.15</v>
      </c>
      <c r="H9806" s="33" t="n">
        <f aca="false">Sens!$G$9806+Sens!$H$9805</f>
        <v>7531.45</v>
      </c>
      <c r="I9806" s="33" t="n">
        <f aca="false">Sens!$H$9806+Sens!$I$9805</f>
        <v>11165.75</v>
      </c>
      <c r="J9806" s="33" t="n">
        <f aca="false">Sens!$I$9806+Sens!$J$9805</f>
        <v>14800.05</v>
      </c>
      <c r="K9806" s="33" t="n">
        <f aca="false">Sens!$J$9806+Sens!$K$9805</f>
        <v>17321.5836666667</v>
      </c>
      <c r="L9806" s="33" t="n">
        <f aca="false">Sens!$K$9806+Sens!$L$9805</f>
        <v>18730.351</v>
      </c>
      <c r="M9806" s="33" t="n">
        <f aca="false">Sens!$L$9806+Sens!$M$9805</f>
        <v>19026.352</v>
      </c>
      <c r="N9806" s="33" t="n">
        <f aca="false">(mw_ye24+mw_ye25)/2</f>
        <v>900</v>
      </c>
      <c r="O9806" s="33" t="n">
        <f aca="false">mw_ye25</f>
        <v>1440</v>
      </c>
      <c r="P9806" s="5" t="s">
        <v>595</v>
      </c>
    </row>
    <row r="9807" customFormat="false" ht="17.15" hidden="false" customHeight="false" outlineLevel="0" collapsed="false">
      <c r="A9807" s="5" t="s">
        <v>596</v>
      </c>
      <c r="B9807" s="0" t="s">
        <v>129</v>
      </c>
      <c r="C9807" s="32" t="n">
        <f aca="false">(mw_ye23+mw_ye24)/2</f>
        <v>240</v>
      </c>
      <c r="D9807" s="32" t="n">
        <f aca="false">(Sens!$C$9806+Sens!$D$9806)/2</f>
        <v>900</v>
      </c>
      <c r="E9807" s="32" t="n">
        <f aca="false">(Sens!$D$9806+Sens!$E$9806)/2</f>
        <v>1760</v>
      </c>
      <c r="F9807" s="32" t="n">
        <f aca="false">(Sens!$E$9806+Sens!$F$9806)/2</f>
        <v>2988.575</v>
      </c>
      <c r="G9807" s="32" t="n">
        <f aca="false">(Sens!$E$9807+Sens!$F$9807)/2</f>
        <v>2374.2875</v>
      </c>
      <c r="H9807" s="32" t="n">
        <f aca="false">(Sens!$G$9806+Sens!$H$9806)/2</f>
        <v>5714.3</v>
      </c>
      <c r="I9807" s="32" t="n">
        <f aca="false">(Sens!$H$9806+Sens!$I$9806)/2</f>
        <v>9348.6</v>
      </c>
      <c r="J9807" s="32" t="n">
        <f aca="false">(Sens!$I$9806+Sens!$J$9806)/2</f>
        <v>12982.9</v>
      </c>
      <c r="K9807" s="32" t="n">
        <f aca="false">(Sens!$J$9806+Sens!$K$9806)/2</f>
        <v>16060.8168333333</v>
      </c>
      <c r="L9807" s="32" t="n">
        <f aca="false">(Sens!$K$9806+Sens!$L$9806)/2</f>
        <v>18025.9673333333</v>
      </c>
      <c r="M9807" s="32" t="n">
        <f aca="false">(Sens!$L$9806+Sens!$M$9806)/2</f>
        <v>18878.3515</v>
      </c>
      <c r="N9807" s="32" t="n">
        <f aca="false">(Sens!$C$9806+Sens!$N$9806)/2</f>
        <v>630</v>
      </c>
      <c r="O9807" s="32" t="n">
        <f aca="false">(Sens!$N$9806+Sens!$O$9806)/2</f>
        <v>1170</v>
      </c>
    </row>
    <row r="9808" customFormat="false" ht="15" hidden="false" customHeight="false" outlineLevel="0" collapsed="false">
      <c r="A9808" s="5" t="s">
        <v>597</v>
      </c>
      <c r="B9808" s="5" t="s">
        <v>123</v>
      </c>
      <c r="C9808" s="34" t="n">
        <v>1</v>
      </c>
      <c r="D9808" s="34" t="n">
        <v>1</v>
      </c>
      <c r="E9808" s="34" t="n">
        <v>0.5</v>
      </c>
      <c r="F9808" s="34" t="n">
        <v>0.5</v>
      </c>
      <c r="G9808" s="34" t="n">
        <v>1</v>
      </c>
      <c r="H9808" s="34" t="n">
        <v>1</v>
      </c>
      <c r="I9808" s="34" t="n">
        <v>1</v>
      </c>
      <c r="J9808" s="34" t="n">
        <v>1</v>
      </c>
      <c r="K9808" s="34" t="n">
        <v>1</v>
      </c>
      <c r="L9808" s="34" t="n">
        <v>1</v>
      </c>
      <c r="M9808" s="34" t="n">
        <v>1</v>
      </c>
      <c r="N9808" s="34" t="n">
        <v>0.5</v>
      </c>
      <c r="O9808" s="34" t="n">
        <v>0.5</v>
      </c>
    </row>
    <row r="9809" customFormat="false" ht="17.15" hidden="false" customHeight="false" outlineLevel="0" collapsed="false">
      <c r="A9809" s="5" t="s">
        <v>598</v>
      </c>
      <c r="B9809" s="0" t="s">
        <v>129</v>
      </c>
      <c r="C9809" s="32" t="n">
        <f aca="false">Sens!$C$9806-mw_ye23</f>
        <v>240</v>
      </c>
      <c r="D9809" s="32" t="n">
        <f aca="false">Sens!$D$9806-Sens!$C$9806</f>
        <v>1080</v>
      </c>
      <c r="E9809" s="32" t="n">
        <f aca="false">Sens!$E$9806-Sens!$D$9806</f>
        <v>640</v>
      </c>
      <c r="F9809" s="32" t="n">
        <f aca="false">Sens!$F$9806-Sens!$E$9806</f>
        <v>1817.15</v>
      </c>
      <c r="G9809" s="32" t="n">
        <f aca="false">Sens!$E$9809+Sens!$F$9809</f>
        <v>2457.15</v>
      </c>
      <c r="H9809" s="32" t="n">
        <f aca="false">Sens!$H$9806-Sens!$G$9806</f>
        <v>3634.3</v>
      </c>
      <c r="I9809" s="32" t="n">
        <f aca="false">Sens!$I$9806-Sens!$H$9806</f>
        <v>3634.3</v>
      </c>
      <c r="J9809" s="32" t="n">
        <f aca="false">Sens!$J$9806-Sens!$I$9806</f>
        <v>3634.3</v>
      </c>
      <c r="K9809" s="32" t="n">
        <f aca="false">Sens!$K$9806-Sens!$J$9806</f>
        <v>2521.53366666667</v>
      </c>
      <c r="L9809" s="32" t="n">
        <f aca="false">Sens!$L$9806-Sens!$K$9806</f>
        <v>1408.76733333333</v>
      </c>
      <c r="M9809" s="32" t="n">
        <f aca="false">Sens!$M$9806-Sens!$L$9806</f>
        <v>296.001</v>
      </c>
      <c r="N9809" s="32" t="n">
        <f aca="false">Sens!$N$9806-Sens!$C$9806</f>
        <v>540</v>
      </c>
      <c r="O9809" s="32" t="n">
        <f aca="false">Sens!$O$9806-Sens!$N$9806</f>
        <v>540</v>
      </c>
    </row>
    <row r="9810" customFormat="false" ht="17.15" hidden="false" customHeight="false" outlineLevel="0" collapsed="false">
      <c r="A9810" s="5" t="s">
        <v>599</v>
      </c>
      <c r="B9810" s="0" t="s">
        <v>129</v>
      </c>
      <c r="C9810" s="32" t="n">
        <f aca="false">Sens!$C$9809/ext_sh</f>
        <v>300</v>
      </c>
      <c r="D9810" s="32" t="n">
        <f aca="false">Sens!$D$9809/ext_sh</f>
        <v>1350</v>
      </c>
      <c r="E9810" s="32" t="n">
        <f aca="false">Sens!$E$9809/ext_sh</f>
        <v>800</v>
      </c>
      <c r="F9810" s="32" t="n">
        <f aca="false">Sens!$F$9809/ext_sh</f>
        <v>2271.4375</v>
      </c>
      <c r="G9810" s="32" t="n">
        <f aca="false">Sens!$G$9809/ext_sh</f>
        <v>3071.4375</v>
      </c>
      <c r="H9810" s="32" t="n">
        <f aca="false">Sens!$H$9809/ext_sh</f>
        <v>4542.875</v>
      </c>
      <c r="I9810" s="32" t="n">
        <f aca="false">Sens!$I$9809/ext_sh</f>
        <v>4542.875</v>
      </c>
      <c r="J9810" s="32" t="n">
        <f aca="false">Sens!$J$9809/ext_sh</f>
        <v>4542.875</v>
      </c>
      <c r="K9810" s="32" t="n">
        <f aca="false">Sens!$K$9809/ext_sh</f>
        <v>3151.91708333333</v>
      </c>
      <c r="L9810" s="32" t="n">
        <f aca="false">Sens!$L$9809/ext_sh</f>
        <v>1760.95916666667</v>
      </c>
      <c r="M9810" s="32" t="n">
        <f aca="false">Sens!$M$9809/ext_sh</f>
        <v>370.00125</v>
      </c>
      <c r="N9810" s="32" t="n">
        <f aca="false">Sens!$N$9809/ext_sh</f>
        <v>675</v>
      </c>
      <c r="O9810" s="32" t="n">
        <f aca="false">Sens!$O$9809/ext_sh</f>
        <v>675</v>
      </c>
      <c r="P9810" s="8" t="s">
        <v>600</v>
      </c>
      <c r="R9810" s="32" t="n">
        <f aca="false">mw_ye23/ext_sh</f>
        <v>150</v>
      </c>
      <c r="S9810" s="32" t="n">
        <f aca="false">Sens!$C$9810</f>
        <v>300</v>
      </c>
      <c r="T9810" s="32" t="n">
        <f aca="false">Sens!$D$9810</f>
        <v>1350</v>
      </c>
      <c r="U9810" s="32" t="n">
        <f aca="false">Sens!$G$9810</f>
        <v>3071.4375</v>
      </c>
      <c r="V9810" s="32" t="n">
        <f aca="false">Sens!$H$9810</f>
        <v>4542.875</v>
      </c>
      <c r="W9810" s="32" t="n">
        <f aca="false">Sens!$I$9810</f>
        <v>4542.875</v>
      </c>
      <c r="X9810" s="32" t="n">
        <f aca="false">Sens!$J$9810</f>
        <v>4542.875</v>
      </c>
      <c r="Y9810" s="32" t="n">
        <f aca="false">Sens!$K$9810</f>
        <v>3151.91708333333</v>
      </c>
      <c r="Z9810" s="32" t="n">
        <f aca="false">Sens!$L$9810</f>
        <v>1760.95916666667</v>
      </c>
      <c r="AA9810" s="32" t="n">
        <f aca="false">Sens!$M$9810</f>
        <v>370.00125</v>
      </c>
    </row>
    <row r="9811" customFormat="false" ht="17.15" hidden="false" customHeight="false" outlineLevel="0" collapsed="false">
      <c r="A9811" s="1" t="s">
        <v>601</v>
      </c>
    </row>
    <row r="9812" customFormat="false" ht="17.15" hidden="false" customHeight="false" outlineLevel="0" collapsed="false">
      <c r="A9812" s="0" t="s">
        <v>602</v>
      </c>
      <c r="B9812" s="0" t="s">
        <v>52</v>
      </c>
      <c r="F9812" s="35" t="n">
        <f aca="false">na_vr26</f>
        <v>0</v>
      </c>
      <c r="G9812" s="35" t="n">
        <f aca="false">na_vr26</f>
        <v>0</v>
      </c>
      <c r="H9812" s="35" t="n">
        <f aca="false">na_vr27</f>
        <v>0.5</v>
      </c>
      <c r="I9812" s="35" t="n">
        <f aca="false">na_vr28</f>
        <v>1</v>
      </c>
      <c r="J9812" s="35" t="n">
        <f aca="false">na_vr28</f>
        <v>1</v>
      </c>
      <c r="K9812" s="35" t="n">
        <f aca="false">na_vr28</f>
        <v>1</v>
      </c>
      <c r="L9812" s="35" t="n">
        <f aca="false">na_vr28</f>
        <v>1</v>
      </c>
      <c r="M9812" s="35" t="n">
        <f aca="false">na_vr28</f>
        <v>1</v>
      </c>
    </row>
    <row r="9813" customFormat="false" ht="17.15" hidden="false" customHeight="false" outlineLevel="0" collapsed="false">
      <c r="A9813" s="5" t="s">
        <v>603</v>
      </c>
      <c r="B9813" s="0" t="s">
        <v>173</v>
      </c>
      <c r="F9813" s="36" t="n">
        <f aca="false">cust_sh*tk_he_gb300*cf_chip+(1-cust_sh)*((1-Sens!$F$9812)*tk_he_gb300+Sens!$F$9812*tk_he_vr200)</f>
        <v>10.8864110021101</v>
      </c>
      <c r="G9813" s="36" t="n">
        <f aca="false">cust_sh*tk_he_gb300*cf_chip+(1-cust_sh)*((1-Sens!$G$9812)*tk_he_gb300+Sens!$G$9812*tk_he_vr200)</f>
        <v>10.8864110021101</v>
      </c>
      <c r="H9813" s="36" t="n">
        <f aca="false">cust_sh*tk_he_gb300*cf_chip+(1-cust_sh)*((1-Sens!$H$9812)*tk_he_gb300+Sens!$H$9812*tk_he_vr200)</f>
        <v>11.2211760027286</v>
      </c>
      <c r="I9813" s="36" t="n">
        <f aca="false">cust_sh*tk_he_gb300*cf_chip+(1-cust_sh)*((1-Sens!$I$9812)*tk_he_gb300+Sens!$I$9812*tk_he_vr200)</f>
        <v>11.5559410033471</v>
      </c>
      <c r="J9813" s="36" t="n">
        <f aca="false">cust_sh*tk_he_gb300*cf_chip+(1-cust_sh)*((1-Sens!$J$9812)*tk_he_gb300+Sens!$J$9812*tk_he_vr200)</f>
        <v>11.5559410033471</v>
      </c>
      <c r="K9813" s="36" t="n">
        <f aca="false">cust_sh*tk_he_gb300*cf_chip+(1-cust_sh)*((1-Sens!$K$9812)*tk_he_gb300+Sens!$K$9812*tk_he_vr200)</f>
        <v>11.5559410033471</v>
      </c>
      <c r="L9813" s="36" t="n">
        <f aca="false">cust_sh*tk_he_gb300*cf_chip+(1-cust_sh)*((1-Sens!$L$9812)*tk_he_gb300+Sens!$L$9812*tk_he_vr200)</f>
        <v>11.5559410033471</v>
      </c>
      <c r="M9813" s="36" t="n">
        <f aca="false">cust_sh*tk_he_gb300*cf_chip+(1-cust_sh)*((1-Sens!$M$9812)*tk_he_gb300+Sens!$M$9812*tk_he_vr200)</f>
        <v>11.5559410033471</v>
      </c>
    </row>
    <row r="9814" customFormat="false" ht="17.15" hidden="false" customHeight="false" outlineLevel="0" collapsed="false">
      <c r="A9814" s="5" t="s">
        <v>604</v>
      </c>
      <c r="B9814" s="0" t="s">
        <v>173</v>
      </c>
      <c r="F9814" s="36" t="n">
        <f aca="false">cust_sh*tk_ox_gb300+(1-cust_sh)*((1-Sens!$F$9812)*tk_ox_gb300+Sens!$F$9812*tk_ox_vr200)</f>
        <v>1.98263481314457</v>
      </c>
      <c r="G9814" s="36" t="n">
        <f aca="false">cust_sh*tk_ox_gb300+(1-cust_sh)*((1-Sens!$G$9812)*tk_ox_gb300+Sens!$G$9812*tk_ox_vr200)</f>
        <v>1.98263481314457</v>
      </c>
      <c r="H9814" s="36" t="n">
        <f aca="false">cust_sh*tk_ox_gb300+(1-cust_sh)*((1-Sens!$H$9812)*tk_ox_gb300+Sens!$H$9812*tk_ox_vr200)</f>
        <v>2.01034999693694</v>
      </c>
      <c r="I9814" s="36" t="n">
        <f aca="false">cust_sh*tk_ox_gb300+(1-cust_sh)*((1-Sens!$I$9812)*tk_ox_gb300+Sens!$I$9812*tk_ox_vr200)</f>
        <v>2.0380651807293</v>
      </c>
      <c r="J9814" s="36" t="n">
        <f aca="false">cust_sh*tk_ox_gb300+(1-cust_sh)*((1-Sens!$J$9812)*tk_ox_gb300+Sens!$J$9812*tk_ox_vr200)</f>
        <v>2.0380651807293</v>
      </c>
      <c r="K9814" s="36" t="n">
        <f aca="false">cust_sh*tk_ox_gb300+(1-cust_sh)*((1-Sens!$K$9812)*tk_ox_gb300+Sens!$K$9812*tk_ox_vr200)</f>
        <v>2.0380651807293</v>
      </c>
      <c r="L9814" s="36" t="n">
        <f aca="false">cust_sh*tk_ox_gb300+(1-cust_sh)*((1-Sens!$L$9812)*tk_ox_gb300+Sens!$L$9812*tk_ox_vr200)</f>
        <v>2.0380651807293</v>
      </c>
      <c r="M9814" s="36" t="n">
        <f aca="false">cust_sh*tk_ox_gb300+(1-cust_sh)*((1-Sens!$M$9812)*tk_ox_gb300+Sens!$M$9812*tk_ox_vr200)</f>
        <v>2.0380651807293</v>
      </c>
    </row>
    <row r="9815" customFormat="false" ht="17.15" hidden="false" customHeight="false" outlineLevel="0" collapsed="false">
      <c r="A9815" s="5" t="s">
        <v>605</v>
      </c>
      <c r="B9815" s="0" t="s">
        <v>192</v>
      </c>
      <c r="F9815" s="36" t="n">
        <f aca="false">cust_sh*tk_cx_gb300*cf_cx+(1-cust_sh)*((1-Sens!$F$9812)*tk_cx_gb300+Sens!$F$9812*tk_cx_vr200)</f>
        <v>32.237224</v>
      </c>
      <c r="G9815" s="36" t="n">
        <f aca="false">cust_sh*tk_cx_gb300*cf_cx+(1-cust_sh)*((1-Sens!$G$9812)*tk_cx_gb300+Sens!$G$9812*tk_cx_vr200)</f>
        <v>32.237224</v>
      </c>
      <c r="H9815" s="36" t="n">
        <f aca="false">cust_sh*tk_cx_gb300*cf_cx+(1-cust_sh)*((1-Sens!$H$9812)*tk_cx_gb300+Sens!$H$9812*tk_cx_vr200)</f>
        <v>33.574506</v>
      </c>
      <c r="I9815" s="36" t="n">
        <f aca="false">cust_sh*tk_cx_gb300*cf_cx+(1-cust_sh)*((1-Sens!$I$9812)*tk_cx_gb300+Sens!$I$9812*tk_cx_vr200)</f>
        <v>34.911788</v>
      </c>
      <c r="J9815" s="36" t="n">
        <f aca="false">cust_sh*tk_cx_gb300*cf_cx+(1-cust_sh)*((1-Sens!$J$9812)*tk_cx_gb300+Sens!$J$9812*tk_cx_vr200)</f>
        <v>34.911788</v>
      </c>
      <c r="K9815" s="36" t="n">
        <f aca="false">cust_sh*tk_cx_gb300*cf_cx+(1-cust_sh)*((1-Sens!$K$9812)*tk_cx_gb300+Sens!$K$9812*tk_cx_vr200)</f>
        <v>34.911788</v>
      </c>
      <c r="L9815" s="36" t="n">
        <f aca="false">cust_sh*tk_cx_gb300*cf_cx+(1-cust_sh)*((1-Sens!$L$9812)*tk_cx_gb300+Sens!$L$9812*tk_cx_vr200)</f>
        <v>34.911788</v>
      </c>
      <c r="M9815" s="36" t="n">
        <f aca="false">cust_sh*tk_cx_gb300*cf_cx+(1-cust_sh)*((1-Sens!$M$9812)*tk_cx_gb300+Sens!$M$9812*tk_cx_vr200)</f>
        <v>34.911788</v>
      </c>
    </row>
    <row r="9816" customFormat="false" ht="17.15" hidden="false" customHeight="false" outlineLevel="0" collapsed="false">
      <c r="A9816" s="5" t="s">
        <v>606</v>
      </c>
      <c r="B9816" s="0" t="s">
        <v>129</v>
      </c>
      <c r="F9816" s="32" t="n">
        <f aca="false">Sens!$F$9806-mw_open</f>
        <v>1817.15</v>
      </c>
      <c r="G9816" s="32" t="n">
        <f aca="false">Sens!$F$9816</f>
        <v>1817.15</v>
      </c>
      <c r="H9816" s="32" t="n">
        <f aca="false">Sens!$H$9806-mw_open</f>
        <v>5451.45</v>
      </c>
      <c r="I9816" s="32" t="n">
        <f aca="false">Sens!$I$9806-mw_open</f>
        <v>9085.75</v>
      </c>
      <c r="J9816" s="32" t="n">
        <f aca="false">Sens!$J$9806-mw_open</f>
        <v>12720.05</v>
      </c>
      <c r="K9816" s="32" t="n">
        <f aca="false">Sens!$K$9806-mw_open</f>
        <v>15241.5836666667</v>
      </c>
      <c r="L9816" s="32" t="n">
        <f aca="false">Sens!$L$9806-mw_open</f>
        <v>16650.351</v>
      </c>
      <c r="M9816" s="32" t="n">
        <f aca="false">Sens!$M$9806-mw_open</f>
        <v>16946.352</v>
      </c>
    </row>
    <row r="9817" customFormat="false" ht="17.15" hidden="false" customHeight="false" outlineLevel="0" collapsed="false">
      <c r="A9817" s="0" t="s">
        <v>607</v>
      </c>
      <c r="B9817" s="0" t="s">
        <v>608</v>
      </c>
      <c r="F9817" s="32" t="n">
        <f aca="false">Sens!$F$9809*Sens!$F$9813</f>
        <v>19782.2417524844</v>
      </c>
      <c r="G9817" s="32" t="n">
        <f aca="false">Sens!$F$9817</f>
        <v>19782.2417524844</v>
      </c>
      <c r="H9817" s="32" t="n">
        <f aca="false">Sens!$G$9817+Sens!$H$9809*Sens!$H$9813</f>
        <v>60563.3616992009</v>
      </c>
      <c r="I9817" s="32" t="n">
        <f aca="false">Sens!$H$9817+Sens!$I$9809*Sens!$I$9813</f>
        <v>102561.118087665</v>
      </c>
      <c r="J9817" s="32" t="n">
        <f aca="false">Sens!$I$9817+Sens!$J$9809*Sens!$J$9813</f>
        <v>144558.87447613</v>
      </c>
      <c r="K9817" s="32" t="n">
        <f aca="false">Sens!$J$9817+Sens!$K$9809*Sens!$K$9813</f>
        <v>173697.568766083</v>
      </c>
      <c r="L9817" s="32" t="n">
        <f aca="false">Sens!$K$9817+Sens!$L$9809*Sens!$L$9813</f>
        <v>189977.200957526</v>
      </c>
      <c r="M9817" s="32" t="n">
        <f aca="false">Sens!$L$9817+Sens!$M$9809*Sens!$M$9813</f>
        <v>193397.771050458</v>
      </c>
    </row>
    <row r="9818" customFormat="false" ht="17.15" hidden="false" customHeight="false" outlineLevel="0" collapsed="false">
      <c r="A9818" s="0" t="s">
        <v>609</v>
      </c>
      <c r="B9818" s="0" t="s">
        <v>608</v>
      </c>
      <c r="F9818" s="32" t="n">
        <f aca="false">Sens!$F$9809*Sens!$F$9814</f>
        <v>3602.74485070566</v>
      </c>
      <c r="G9818" s="32" t="n">
        <f aca="false">Sens!$F$9818</f>
        <v>3602.74485070566</v>
      </c>
      <c r="H9818" s="32" t="n">
        <f aca="false">Sens!$G$9818+Sens!$H$9809*Sens!$H$9814</f>
        <v>10908.9598445736</v>
      </c>
      <c r="I9818" s="32" t="n">
        <f aca="false">Sens!$H$9818+Sens!$I$9809*Sens!$I$9814</f>
        <v>18315.9001308981</v>
      </c>
      <c r="J9818" s="32" t="n">
        <f aca="false">Sens!$I$9818+Sens!$J$9809*Sens!$J$9814</f>
        <v>25722.8404172225</v>
      </c>
      <c r="K9818" s="32" t="n">
        <f aca="false">Sens!$J$9818+Sens!$K$9809*Sens!$K$9814</f>
        <v>30861.8903852926</v>
      </c>
      <c r="L9818" s="32" t="n">
        <f aca="false">Sens!$K$9818+Sens!$L$9809*Sens!$L$9814</f>
        <v>33733.0500351081</v>
      </c>
      <c r="M9818" s="32" t="n">
        <f aca="false">Sens!$L$9818+Sens!$M$9809*Sens!$M$9814</f>
        <v>34336.3193666691</v>
      </c>
    </row>
    <row r="9819" customFormat="false" ht="17.15" hidden="false" customHeight="false" outlineLevel="0" collapsed="false">
      <c r="A9819" s="5" t="s">
        <v>610</v>
      </c>
      <c r="B9819" s="0" t="s">
        <v>173</v>
      </c>
      <c r="F9819" s="36" t="n">
        <f aca="false">IF(Sens!$F$9816&gt;0,Sens!$F$9817/Sens!$F$9816,Sens!$F$9813)</f>
        <v>10.8864110021101</v>
      </c>
      <c r="G9819" s="36" t="n">
        <f aca="false">IF(Sens!$G$9816&gt;0,Sens!$G$9817/Sens!$G$9816,Sens!$G$9813)</f>
        <v>10.8864110021101</v>
      </c>
      <c r="H9819" s="36" t="n">
        <f aca="false">IF(Sens!$H$9816&gt;0,Sens!$H$9817/Sens!$H$9816,Sens!$H$9813)</f>
        <v>11.1095876691891</v>
      </c>
      <c r="I9819" s="36" t="n">
        <f aca="false">IF(Sens!$I$9816&gt;0,Sens!$I$9817/Sens!$I$9816,Sens!$I$9813)</f>
        <v>11.2881290028523</v>
      </c>
      <c r="J9819" s="36" t="n">
        <f aca="false">IF(Sens!$J$9816&gt;0,Sens!$J$9817/Sens!$J$9816,Sens!$J$9813)</f>
        <v>11.3646467172794</v>
      </c>
      <c r="K9819" s="36" t="n">
        <f aca="false">IF(Sens!$K$9816&gt;0,Sens!$K$9817/Sens!$K$9816,Sens!$K$9813)</f>
        <v>11.3962940180527</v>
      </c>
      <c r="L9819" s="36" t="n">
        <f aca="false">IF(Sens!$L$9816&gt;0,Sens!$L$9817/Sens!$L$9816,Sens!$L$9813)</f>
        <v>11.4098015685991</v>
      </c>
      <c r="M9819" s="36" t="n">
        <f aca="false">IF(Sens!$M$9816&gt;0,Sens!$M$9817/Sens!$M$9816,Sens!$M$9813)</f>
        <v>11.4123541780825</v>
      </c>
    </row>
    <row r="9820" customFormat="false" ht="17.15" hidden="false" customHeight="false" outlineLevel="0" collapsed="false">
      <c r="A9820" s="5" t="s">
        <v>611</v>
      </c>
      <c r="B9820" s="0" t="s">
        <v>173</v>
      </c>
      <c r="F9820" s="36" t="n">
        <f aca="false">IF(Sens!$F$9816&gt;0,Sens!$F$9818/Sens!$F$9816,Sens!$F$9814)</f>
        <v>1.98263481314457</v>
      </c>
      <c r="G9820" s="36" t="n">
        <f aca="false">IF(Sens!$G$9816&gt;0,Sens!$G$9818/Sens!$G$9816,Sens!$G$9814)</f>
        <v>1.98263481314457</v>
      </c>
      <c r="H9820" s="36" t="n">
        <f aca="false">IF(Sens!$H$9816&gt;0,Sens!$H$9818/Sens!$H$9816,Sens!$H$9814)</f>
        <v>2.00111160233948</v>
      </c>
      <c r="I9820" s="36" t="n">
        <f aca="false">IF(Sens!$I$9816&gt;0,Sens!$I$9818/Sens!$I$9816,Sens!$I$9814)</f>
        <v>2.01589303369541</v>
      </c>
      <c r="J9820" s="36" t="n">
        <f aca="false">IF(Sens!$J$9816&gt;0,Sens!$J$9818/Sens!$J$9816,Sens!$J$9814)</f>
        <v>2.02222793284795</v>
      </c>
      <c r="K9820" s="36" t="n">
        <f aca="false">IF(Sens!$K$9816&gt;0,Sens!$K$9818/Sens!$K$9816,Sens!$K$9814)</f>
        <v>2.02484801187606</v>
      </c>
      <c r="L9820" s="36" t="n">
        <f aca="false">IF(Sens!$L$9816&gt;0,Sens!$L$9818/Sens!$L$9816,Sens!$L$9814)</f>
        <v>2.02596630155773</v>
      </c>
      <c r="M9820" s="36" t="n">
        <f aca="false">IF(Sens!$M$9816&gt;0,Sens!$M$9818/Sens!$M$9816,Sens!$M$9814)</f>
        <v>2.02617763201597</v>
      </c>
    </row>
    <row r="9821" customFormat="false" ht="17.15" hidden="false" customHeight="false" outlineLevel="0" collapsed="false">
      <c r="A9821" s="15" t="s">
        <v>612</v>
      </c>
      <c r="B9821" s="14" t="s">
        <v>173</v>
      </c>
      <c r="C9821" s="14"/>
      <c r="D9821" s="14"/>
      <c r="E9821" s="14"/>
      <c r="F9821" s="37" t="n">
        <f aca="false">Sens!$F$9819*k_B</f>
        <v>10.7987645808025</v>
      </c>
      <c r="G9821" s="37" t="n">
        <f aca="false">Sens!$G$9819*k_B</f>
        <v>10.7987645808025</v>
      </c>
      <c r="H9821" s="37" t="n">
        <f aca="false">Sens!$H$9819*k_B</f>
        <v>11.0201444540452</v>
      </c>
      <c r="I9821" s="37" t="n">
        <f aca="false">Sens!$I$9819*k_B</f>
        <v>11.1972483526393</v>
      </c>
      <c r="J9821" s="37" t="n">
        <f aca="false">Sens!$J$9819*k_B</f>
        <v>11.2731500234653</v>
      </c>
      <c r="K9821" s="37" t="n">
        <f aca="false">Sens!$K$9819*k_B</f>
        <v>11.3045425320343</v>
      </c>
      <c r="L9821" s="37" t="n">
        <f aca="false">Sens!$L$9819*k_B</f>
        <v>11.3179413333826</v>
      </c>
      <c r="M9821" s="37" t="n">
        <f aca="false">Sens!$M$9819*k_B</f>
        <v>11.3204733918244</v>
      </c>
      <c r="N9821" s="14"/>
      <c r="O9821" s="14"/>
      <c r="P9821" s="5" t="s">
        <v>613</v>
      </c>
    </row>
    <row r="9822" customFormat="false" ht="17.15" hidden="false" customHeight="false" outlineLevel="0" collapsed="false">
      <c r="A9822" s="5" t="s">
        <v>614</v>
      </c>
      <c r="B9822" s="0" t="s">
        <v>129</v>
      </c>
      <c r="F9822" s="32" t="n">
        <f aca="false">Sens!$F$9816/2</f>
        <v>908.575</v>
      </c>
      <c r="H9822" s="32" t="n">
        <f aca="false">(Sens!$G$9816+Sens!$H$9816)/2</f>
        <v>3634.3</v>
      </c>
      <c r="I9822" s="32" t="n">
        <f aca="false">(Sens!$H$9816+Sens!$I$9816)/2</f>
        <v>7268.6</v>
      </c>
      <c r="J9822" s="32" t="n">
        <f aca="false">(Sens!$I$9816+Sens!$J$9816)/2</f>
        <v>10902.9</v>
      </c>
      <c r="K9822" s="32" t="n">
        <f aca="false">(Sens!$J$9816+Sens!$K$9816)/2</f>
        <v>13980.8168333333</v>
      </c>
      <c r="L9822" s="32" t="n">
        <f aca="false">(Sens!$K$9816+Sens!$L$9816)/2</f>
        <v>15945.9673333333</v>
      </c>
      <c r="M9822" s="32" t="n">
        <f aca="false">(Sens!$L$9816+Sens!$M$9816)/2</f>
        <v>16798.3515</v>
      </c>
    </row>
    <row r="9823" customFormat="false" ht="17.15" hidden="false" customHeight="false" outlineLevel="0" collapsed="false">
      <c r="A9823" s="1" t="s">
        <v>615</v>
      </c>
    </row>
    <row r="9824" customFormat="false" ht="17.15" hidden="false" customHeight="false" outlineLevel="0" collapsed="false">
      <c r="A9824" s="1" t="s">
        <v>616</v>
      </c>
      <c r="B9824" s="8" t="s">
        <v>86</v>
      </c>
      <c r="C9824" s="38" t="n">
        <f aca="false">Sens!$C$9807*rpm_open*Sens!$C$9808/1000</f>
        <v>2.32100535697364</v>
      </c>
      <c r="D9824" s="38" t="n">
        <f aca="false">Sens!$D$9807*rpm_open*Sens!$D$9808/1000</f>
        <v>8.70377008865116</v>
      </c>
      <c r="E9824" s="38" t="n">
        <f aca="false">Sens!$E$9807*rpm_open*Sens!$E$9808/1000</f>
        <v>8.51035297557002</v>
      </c>
      <c r="F9824" s="38" t="n">
        <f aca="false">(mw_open*rpm_open+Sens!$F$9822*Sens!$F$9821)*Sens!$F$9808/1000</f>
        <v>14.9634336447205</v>
      </c>
      <c r="G9824" s="38" t="n">
        <f aca="false">Sens!$E$9824+Sens!$F$9824</f>
        <v>23.4737866202905</v>
      </c>
      <c r="H9824" s="38" t="n">
        <f aca="false">(mw_open*rpm_open+Sens!$H$9822*Sens!$H$9821)/1000</f>
        <v>60.1658907497746</v>
      </c>
      <c r="I9824" s="38" t="n">
        <f aca="false">(mw_open*rpm_open+Sens!$I$9822*Sens!$I$9821)/1000</f>
        <v>101.503699136432</v>
      </c>
      <c r="J9824" s="38" t="n">
        <f aca="false">(mw_open*rpm_open+Sens!$J$9822*Sens!$J$9821)/1000</f>
        <v>143.025407151278</v>
      </c>
      <c r="K9824" s="38" t="n">
        <f aca="false">(mw_open*rpm_open+Sens!$K$9822*Sens!$K$9821)/1000</f>
        <v>178.162118285436</v>
      </c>
      <c r="L9824" s="38" t="n">
        <f aca="false">(mw_open*rpm_open+Sens!$L$9822*Sens!$L$9821)/1000</f>
        <v>200.590902543141</v>
      </c>
      <c r="M9824" s="38" t="n">
        <f aca="false">(mw_open*rpm_open+Sens!$M$9822*Sens!$M$9821)/1000</f>
        <v>210.280670942702</v>
      </c>
      <c r="N9824" s="38" t="n">
        <f aca="false">Sens!$N$9807*rpm_open*Sens!$N$9808/1000</f>
        <v>3.04631953102791</v>
      </c>
      <c r="O9824" s="38" t="n">
        <f aca="false">Sens!$O$9807*rpm_open*Sens!$O$9808/1000</f>
        <v>5.65745055762326</v>
      </c>
      <c r="P9824" s="5" t="s">
        <v>617</v>
      </c>
    </row>
    <row r="9825" customFormat="false" ht="17.15" hidden="false" customHeight="false" outlineLevel="0" collapsed="false">
      <c r="A9825" s="5" t="s">
        <v>618</v>
      </c>
      <c r="B9825" s="0" t="s">
        <v>173</v>
      </c>
      <c r="C9825" s="36" t="n">
        <f aca="false">Sens!$C$9824*1000/(Sens!$C$9807*Sens!$C$9808)</f>
        <v>9.67085565405685</v>
      </c>
      <c r="D9825" s="36" t="n">
        <f aca="false">Sens!$D$9824*1000/(Sens!$D$9807*Sens!$D$9808)</f>
        <v>9.67085565405685</v>
      </c>
      <c r="E9825" s="36" t="n">
        <f aca="false">Sens!$E$9824*1000/(Sens!$E$9807*Sens!$E$9808)</f>
        <v>9.67085565405685</v>
      </c>
      <c r="F9825" s="36" t="n">
        <f aca="false">Sens!$F$9824*1000/(Sens!$F$9807*Sens!$F$9808)</f>
        <v>10.0137581588017</v>
      </c>
      <c r="G9825" s="36" t="n">
        <f aca="false">Sens!$G$9824*1000/(Sens!$G$9807*Sens!$G$9808)</f>
        <v>9.88666562928478</v>
      </c>
      <c r="H9825" s="36" t="n">
        <f aca="false">Sens!$H$9824*1000/(Sens!$H$9807*Sens!$H$9808)</f>
        <v>10.5290045586992</v>
      </c>
      <c r="I9825" s="36" t="n">
        <f aca="false">Sens!$I$9824*1000/(Sens!$I$9807*Sens!$I$9808)</f>
        <v>10.8576363451674</v>
      </c>
      <c r="J9825" s="36" t="n">
        <f aca="false">Sens!$J$9824*1000/(Sens!$J$9807*Sens!$J$9808)</f>
        <v>11.0164452588619</v>
      </c>
      <c r="K9825" s="36" t="n">
        <f aca="false">Sens!$K$9824*1000/(Sens!$K$9807*Sens!$K$9808)</f>
        <v>11.0929674458194</v>
      </c>
      <c r="L9825" s="36" t="n">
        <f aca="false">Sens!$L$9824*1000/(Sens!$L$9807*Sens!$L$9808)</f>
        <v>11.1278856126745</v>
      </c>
      <c r="M9825" s="36" t="n">
        <f aca="false">Sens!$M$9824*1000/(Sens!$M$9807*Sens!$M$9808)</f>
        <v>11.1387199747129</v>
      </c>
      <c r="N9825" s="36" t="n">
        <f aca="false">Sens!$N$9824*1000/(Sens!$N$9807*Sens!$N$9808)</f>
        <v>9.67085565405685</v>
      </c>
      <c r="O9825" s="36" t="n">
        <f aca="false">Sens!$O$9824*1000/(Sens!$O$9807*Sens!$O$9808)</f>
        <v>9.67085565405685</v>
      </c>
    </row>
    <row r="9826" customFormat="false" ht="17.15" hidden="false" customHeight="false" outlineLevel="0" collapsed="false">
      <c r="A9826" s="0" t="s">
        <v>619</v>
      </c>
      <c r="B9826" s="0" t="s">
        <v>86</v>
      </c>
      <c r="C9826" s="38" t="n">
        <f aca="false">Sens!$C$9807/ext_sh*(ox_open+rent_mw)*Sens!$C$9808/1000</f>
        <v>0.642569210675032</v>
      </c>
      <c r="D9826" s="38" t="n">
        <f aca="false">Sens!$D$9807/ext_sh*(ox_open+rent_mw)*Sens!$D$9808/1000</f>
        <v>2.40963454003137</v>
      </c>
      <c r="E9826" s="38" t="n">
        <f aca="false">Sens!$E$9807/ext_sh*(ox_open+rent_mw)*Sens!$E$9808/1000</f>
        <v>2.35608710580845</v>
      </c>
      <c r="F9826" s="38" t="n">
        <f aca="false">((mw_open*ox_open+Sens!$F$9822*Sens!$F$9820)/ext_sh+Sens!$F$9807/ext_sh*rent_mw)*Sens!$F$9808/1000</f>
        <v>4.05421991106232</v>
      </c>
      <c r="G9826" s="38" t="n">
        <f aca="false">Sens!$E$9826+Sens!$F$9826</f>
        <v>6.41030701687077</v>
      </c>
      <c r="H9826" s="38" t="n">
        <f aca="false">((mw_open*ox_open+Sens!$H$9822*Sens!$H$9820)/ext_sh+Sens!$H$9807/ext_sh*rent_mw)*Sens!$H$9808/1000</f>
        <v>15.8108975546616</v>
      </c>
      <c r="I9826" s="38" t="n">
        <f aca="false">((mw_open*ox_open+Sens!$I$9822*Sens!$I$9820)/ext_sh+Sens!$I$9807/ext_sh*rent_mw)*Sens!$I$9808/1000</f>
        <v>26.1871623400817</v>
      </c>
      <c r="J9826" s="38" t="n">
        <f aca="false">((mw_open*ox_open+Sens!$J$9822*Sens!$J$9820)/ext_sh+Sens!$J$9807/ext_sh*rent_mw)*Sens!$J$9808/1000</f>
        <v>36.5826128954935</v>
      </c>
      <c r="K9826" s="38" t="n">
        <f aca="false">((mw_open*ox_open+Sens!$K$9822*Sens!$K$9820)/ext_sh+Sens!$K$9807/ext_sh*rent_mw)*Sens!$K$9808/1000</f>
        <v>45.3836433528648</v>
      </c>
      <c r="L9826" s="38" t="n">
        <f aca="false">((mw_open*ox_open+Sens!$L$9822*Sens!$L$9820)/ext_sh+Sens!$L$9807/ext_sh*rent_mw)*Sens!$L$9808/1000</f>
        <v>51.0023088908591</v>
      </c>
      <c r="M9826" s="38" t="n">
        <f aca="false">((mw_open*ox_open+Sens!$M$9822*Sens!$M$9820)/ext_sh+Sens!$M$9807/ext_sh*rent_mw)*Sens!$M$9808/1000</f>
        <v>53.4353660768611</v>
      </c>
      <c r="N9826" s="38" t="n">
        <f aca="false">Sens!$N$9807/ext_sh*(ox_open+rent_mw)*Sens!$N$9808/1000</f>
        <v>0.84337208901098</v>
      </c>
      <c r="O9826" s="38" t="n">
        <f aca="false">Sens!$O$9807/ext_sh*(ox_open+rent_mw)*Sens!$O$9808/1000</f>
        <v>1.56626245102039</v>
      </c>
    </row>
    <row r="9827" customFormat="false" ht="17.15" hidden="false" customHeight="false" outlineLevel="0" collapsed="false">
      <c r="A9827" s="0" t="s">
        <v>620</v>
      </c>
      <c r="B9827" s="0" t="s">
        <v>86</v>
      </c>
      <c r="C9827" s="38" t="n">
        <f aca="false">Q!$D$7</f>
        <v>107.556</v>
      </c>
      <c r="D9827" s="38" t="n">
        <f aca="false">Q!$E$7</f>
        <v>128.725</v>
      </c>
      <c r="E9827" s="38" t="n">
        <f aca="false">Q!$P$7</f>
        <v>79.819</v>
      </c>
      <c r="N9827" s="38" t="n">
        <f aca="false">Q!$N$7</f>
        <v>60.14</v>
      </c>
      <c r="O9827" s="38" t="n">
        <f aca="false">Q!$O$7</f>
        <v>68.585</v>
      </c>
    </row>
    <row r="9828" customFormat="false" ht="17.15" hidden="false" customHeight="false" outlineLevel="0" collapsed="false">
      <c r="A9828" s="1" t="s">
        <v>621</v>
      </c>
      <c r="B9828" s="8" t="s">
        <v>86</v>
      </c>
      <c r="C9828" s="38" t="n">
        <f aca="false">Sens!$C$9827-Sens!$C$9824</f>
        <v>105.234994643026</v>
      </c>
      <c r="D9828" s="38" t="n">
        <f aca="false">Sens!$D$9827-Sens!$D$9824</f>
        <v>120.021229911349</v>
      </c>
      <c r="E9828" s="38" t="n">
        <f aca="false">Sens!$E$9827-Sens!$E$9824</f>
        <v>71.30864702443</v>
      </c>
      <c r="F9828" s="38" t="n">
        <f aca="false">Sens!$O$9828*(1+Sens!$F$9829)</f>
        <v>71.7692997942464</v>
      </c>
      <c r="G9828" s="38" t="n">
        <f aca="false">Sens!$E$9828+Sens!$F$9828</f>
        <v>143.077946818676</v>
      </c>
      <c r="H9828" s="38" t="n">
        <f aca="false">Sens!$G$9828*(1+Sens!$H$9829)</f>
        <v>161.017077079203</v>
      </c>
      <c r="I9828" s="38" t="n">
        <f aca="false">Sens!$H$9828*(1+Sens!$I$9829)</f>
        <v>178.769759521457</v>
      </c>
      <c r="J9828" s="38" t="n">
        <f aca="false">Sens!$I$9828*(1+Sens!$J$9829)</f>
        <v>195.775538045907</v>
      </c>
      <c r="K9828" s="38" t="n">
        <f aca="false">Sens!$J$9828*(1+Sens!$K$9829)</f>
        <v>211.43758108958</v>
      </c>
      <c r="L9828" s="38" t="n">
        <f aca="false">Sens!$K$9828*(1+Sens!$L$9829)</f>
        <v>228.352587576746</v>
      </c>
      <c r="M9828" s="38" t="n">
        <f aca="false">Sens!$L$9828*(1+Sens!$M$9829)</f>
        <v>246.620794582886</v>
      </c>
      <c r="N9828" s="38" t="n">
        <f aca="false">Sens!$N$9827-Sens!$N$9824</f>
        <v>57.0936804689721</v>
      </c>
      <c r="O9828" s="38" t="n">
        <f aca="false">Sens!$O$9827-Sens!$O$9824</f>
        <v>62.9275494423768</v>
      </c>
      <c r="P9828" s="5" t="s">
        <v>622</v>
      </c>
    </row>
    <row r="9829" customFormat="false" ht="17.15" hidden="false" customHeight="false" outlineLevel="0" collapsed="false">
      <c r="A9829" s="0" t="s">
        <v>623</v>
      </c>
      <c r="B9829" s="0" t="s">
        <v>52</v>
      </c>
      <c r="D9829" s="13" t="n">
        <f aca="false">Sens!$D$9828/Sens!$C$9828-1</f>
        <v>0.140506827776062</v>
      </c>
      <c r="E9829" s="13" t="n">
        <f aca="false">Sens!$E$9828/Sens!$N$9828-1</f>
        <v>0.248976181579029</v>
      </c>
      <c r="F9829" s="13" t="n">
        <f aca="false">Sens!$D$9829</f>
        <v>0.140506827776062</v>
      </c>
      <c r="G9829" s="13" t="n">
        <f aca="false">Sens!$G$9828/Sens!$D$9828-1</f>
        <v>0.19210532106993</v>
      </c>
      <c r="H9829" s="13" t="n">
        <f aca="false">Sens!$F$9829+(g_awso_lt-Sens!$F$9829)*1/4</f>
        <v>0.125380120832046</v>
      </c>
      <c r="I9829" s="13" t="n">
        <f aca="false">Sens!$F$9829+(g_awso_lt-Sens!$F$9829)*2/4</f>
        <v>0.110253413888031</v>
      </c>
      <c r="J9829" s="13" t="n">
        <f aca="false">Sens!$F$9829+(g_awso_lt-Sens!$F$9829)*3/4</f>
        <v>0.0951267069440154</v>
      </c>
      <c r="K9829" s="13" t="n">
        <f aca="false">Sens!$F$9829+(g_awso_lt-Sens!$F$9829)*4/4</f>
        <v>0.08</v>
      </c>
      <c r="L9829" s="13" t="n">
        <f aca="false">g_awso_lt</f>
        <v>0.08</v>
      </c>
      <c r="M9829" s="13" t="n">
        <f aca="false">g_awso_lt</f>
        <v>0.08</v>
      </c>
      <c r="P9829" s="5" t="s">
        <v>624</v>
      </c>
    </row>
    <row r="9830" customFormat="false" ht="17.15" hidden="false" customHeight="false" outlineLevel="0" collapsed="false">
      <c r="A9830" s="1" t="s">
        <v>625</v>
      </c>
    </row>
    <row r="9831" customFormat="false" ht="17.15" hidden="false" customHeight="false" outlineLevel="0" collapsed="false">
      <c r="A9831" s="0" t="s">
        <v>626</v>
      </c>
      <c r="B9831" s="0" t="s">
        <v>86</v>
      </c>
      <c r="F9831" s="38" t="n">
        <f aca="false">cx_rt*Sens!$F$9796+cx_awso*Sens!$F$9828</f>
        <v>34.9734495387866</v>
      </c>
    </row>
    <row r="9832" customFormat="false" ht="17.15" hidden="false" customHeight="false" outlineLevel="0" collapsed="false">
      <c r="A9832" s="0" t="s">
        <v>627</v>
      </c>
      <c r="B9832" s="0" t="s">
        <v>52</v>
      </c>
      <c r="C9832" s="13" t="n">
        <f aca="false">tk_cx_h100/(tk_cx_h100+tk_fac*(1-colo_sh))</f>
        <v>0.730756458006641</v>
      </c>
      <c r="D9832" s="13" t="n">
        <f aca="false">tk_cx_h100/(tk_cx_h100+tk_fac*(1-colo_sh))</f>
        <v>0.730756458006641</v>
      </c>
      <c r="E9832" s="13" t="n">
        <f aca="false">Sens!$F$9832</f>
        <v>0.760792334328868</v>
      </c>
      <c r="F9832" s="13" t="n">
        <f aca="false">Sens!$F$9815/(Sens!$F$9815+tk_fac*(1-colo_sh))</f>
        <v>0.760792334328868</v>
      </c>
      <c r="G9832" s="13" t="n">
        <f aca="false">Sens!$G$9815/(Sens!$G$9815+tk_fac*(1-colo_sh))</f>
        <v>0.760792334328868</v>
      </c>
      <c r="H9832" s="13" t="n">
        <f aca="false">Sens!$H$9815/(Sens!$H$9815+tk_fac*(1-colo_sh))</f>
        <v>0.768110668862996</v>
      </c>
      <c r="I9832" s="13" t="n">
        <f aca="false">Sens!$I$9815/(Sens!$I$9815+tk_fac*(1-colo_sh))</f>
        <v>0.77499450139483</v>
      </c>
      <c r="J9832" s="13" t="n">
        <f aca="false">Sens!$J$9815/(Sens!$J$9815+tk_fac*(1-colo_sh))</f>
        <v>0.77499450139483</v>
      </c>
      <c r="K9832" s="13" t="n">
        <f aca="false">Sens!$K$9815/(Sens!$K$9815+tk_fac*(1-colo_sh))</f>
        <v>0.77499450139483</v>
      </c>
      <c r="L9832" s="13" t="n">
        <f aca="false">Sens!$L$9815/(Sens!$L$9815+tk_fac*(1-colo_sh))</f>
        <v>0.77499450139483</v>
      </c>
      <c r="M9832" s="13" t="n">
        <f aca="false">Sens!$M$9815/(Sens!$M$9815+tk_fac*(1-colo_sh))</f>
        <v>0.77499450139483</v>
      </c>
    </row>
    <row r="9833" customFormat="false" ht="17.15" hidden="false" customHeight="false" outlineLevel="0" collapsed="false">
      <c r="A9833" s="1" t="s">
        <v>628</v>
      </c>
      <c r="B9833" s="8" t="s">
        <v>86</v>
      </c>
      <c r="C9833" s="38" t="n">
        <f aca="false">Q!$D$46-cx_rt*Q!$D$16-cx_awso*Sens!$C$9828</f>
        <v>25.2781053077374</v>
      </c>
      <c r="D9833" s="38" t="n">
        <f aca="false">Q!$E$46-cx_rt*Q!$E$16-cx_awso*Sens!$D$9828</f>
        <v>69.5686316310026</v>
      </c>
      <c r="E9833" s="38" t="n">
        <f aca="false">Q!$P$46-cx_rt*Q!$P$16-cx_awso*Sens!$E$9828</f>
        <v>64.1899206485108</v>
      </c>
      <c r="F9833" s="38" t="n">
        <f aca="false">MAX(Sens!$F$9810*(Sens!$F$9815+tk_fac*(1-colo_sh))/1000,capex_g26-Q!$P$46-Sens!$F$9831)</f>
        <v>96.2481299895</v>
      </c>
      <c r="G9833" s="38" t="n">
        <f aca="false">Sens!$E$9833+Sens!$F$9833</f>
        <v>160.438050638011</v>
      </c>
      <c r="H9833" s="38" t="n">
        <f aca="false">Sens!$H$9810*(Sens!$H$9815+tk_fac*(1-colo_sh))/1000+Sens!$H$9834</f>
        <v>198.57136494475</v>
      </c>
      <c r="I9833" s="38" t="n">
        <f aca="false">Sens!$I$9810*(Sens!$I$9815+tk_fac*(1-colo_sh))/1000+Sens!$I$9834</f>
        <v>204.6464699105</v>
      </c>
      <c r="J9833" s="38" t="n">
        <f aca="false">Sens!$J$9810*(Sens!$J$9815+tk_fac*(1-colo_sh))/1000+Sens!$J$9834</f>
        <v>209.8832381105</v>
      </c>
      <c r="K9833" s="38" t="n">
        <f aca="false">Sens!$K$9810*(Sens!$K$9815+tk_fac*(1-colo_sh))/1000+Sens!$K$9834</f>
        <v>152.460428963578</v>
      </c>
      <c r="L9833" s="38" t="n">
        <f aca="false">Sens!$L$9810*(Sens!$L$9815+tk_fac*(1-colo_sh))/1000+Sens!$L$9834</f>
        <v>126.458229016657</v>
      </c>
      <c r="M9833" s="38" t="n">
        <f aca="false">Sens!$M$9810*(Sens!$M$9815+tk_fac*(1-colo_sh))/1000+Sens!$M$9834</f>
        <v>123.897112724985</v>
      </c>
      <c r="P9833" s="5" t="s">
        <v>629</v>
      </c>
      <c r="R9833" s="38" t="n">
        <f aca="false">Q!$C$46-cx_rt*Q!$C$16-cx_awso*(Q!$C$7-mw_ye23/2*rpm_open/1000)</f>
        <v>1.50429979529945</v>
      </c>
      <c r="S9833" s="38" t="n">
        <f aca="false">Sens!$C$9833</f>
        <v>25.2781053077374</v>
      </c>
      <c r="T9833" s="38" t="n">
        <f aca="false">Sens!$D$9833</f>
        <v>69.5686316310026</v>
      </c>
      <c r="U9833" s="38" t="n">
        <f aca="false">Sens!$G$9833</f>
        <v>160.438050638011</v>
      </c>
      <c r="V9833" s="38" t="n">
        <f aca="false">Sens!$H$9833</f>
        <v>198.57136494475</v>
      </c>
      <c r="W9833" s="38" t="n">
        <f aca="false">Sens!$I$9833</f>
        <v>204.6464699105</v>
      </c>
      <c r="X9833" s="38" t="n">
        <f aca="false">Sens!$J$9833</f>
        <v>209.8832381105</v>
      </c>
      <c r="Y9833" s="38" t="n">
        <f aca="false">Sens!$K$9833</f>
        <v>152.460428963578</v>
      </c>
      <c r="Z9833" s="38" t="n">
        <f aca="false">Sens!$L$9833</f>
        <v>126.458229016657</v>
      </c>
      <c r="AA9833" s="38" t="n">
        <f aca="false">Sens!$M$9833</f>
        <v>123.897112724985</v>
      </c>
    </row>
    <row r="9834" customFormat="false" ht="17.15" hidden="false" customHeight="false" outlineLevel="0" collapsed="false">
      <c r="A9834" s="0" t="s">
        <v>630</v>
      </c>
      <c r="B9834" s="0" t="s">
        <v>86</v>
      </c>
      <c r="H9834" s="38" t="n">
        <f aca="false">SUMPRODUCT(--(Sens!$R$9803:$AA$9803=2027-tk_life),Sens!$R$9810:$AA$9810)*Sens!$H$9815/1000</f>
        <v>0</v>
      </c>
      <c r="I9834" s="38" t="n">
        <f aca="false">SUMPRODUCT(--(Sens!$R$9803:$AA$9803=2028-tk_life),Sens!$R$9810:$AA$9810)*Sens!$I$9815/1000</f>
        <v>0</v>
      </c>
      <c r="J9834" s="38" t="n">
        <f aca="false">SUMPRODUCT(--(Sens!$R$9803:$AA$9803=2029-tk_life),Sens!$R$9810:$AA$9810)*Sens!$J$9815/1000</f>
        <v>5.2367682</v>
      </c>
      <c r="K9834" s="38" t="n">
        <f aca="false">SUMPRODUCT(--(Sens!$R$9803:$AA$9803=2030-tk_life),Sens!$R$9810:$AA$9810)*Sens!$K$9815/1000</f>
        <v>10.4735364</v>
      </c>
      <c r="L9834" s="38" t="n">
        <f aca="false">SUMPRODUCT(--(Sens!$R$9803:$AA$9803=2031-tk_life),Sens!$R$9810:$AA$9810)*Sens!$L$9815/1000</f>
        <v>47.1309138</v>
      </c>
      <c r="M9834" s="38" t="n">
        <f aca="false">SUMPRODUCT(--(Sens!$R$9803:$AA$9803=2032-tk_life),Sens!$R$9810:$AA$9810)*Sens!$M$9815/1000</f>
        <v>107.22937485525</v>
      </c>
    </row>
    <row r="9835" customFormat="false" ht="17.15" hidden="false" customHeight="false" outlineLevel="0" collapsed="false">
      <c r="A9835" s="0" t="s">
        <v>631</v>
      </c>
      <c r="B9835" s="0" t="s">
        <v>86</v>
      </c>
      <c r="C9835" s="38" t="n">
        <f aca="false">MIN(Sens!$C$9833,Sens!$C$9810*(tk_cx_h100+tk_fac*(1-colo_sh))/1000)</f>
        <v>11.2938642</v>
      </c>
      <c r="D9835" s="38" t="n">
        <f aca="false">MIN(Sens!$D$9833,Sens!$D$9810*(tk_cx_h100+tk_fac*(1-colo_sh))/1000)</f>
        <v>50.8223889</v>
      </c>
      <c r="E9835" s="38" t="n">
        <f aca="false">MIN(Sens!$E$9833,Sens!$E$9810*(Sens!$F$9815+tk_fac*(1-colo_sh))/1000)</f>
        <v>33.8985792</v>
      </c>
      <c r="F9835" s="38" t="n">
        <f aca="false">Sens!$F$9833</f>
        <v>96.2481299895</v>
      </c>
      <c r="G9835" s="38" t="n">
        <f aca="false">Sens!$E$9835+Sens!$F$9835</f>
        <v>130.1467091895</v>
      </c>
      <c r="H9835" s="38" t="n">
        <f aca="false">Sens!$H$9833</f>
        <v>198.57136494475</v>
      </c>
      <c r="I9835" s="38" t="n">
        <f aca="false">Sens!$I$9833</f>
        <v>204.6464699105</v>
      </c>
      <c r="J9835" s="38" t="n">
        <f aca="false">Sens!$J$9833</f>
        <v>209.8832381105</v>
      </c>
      <c r="K9835" s="38" t="n">
        <f aca="false">Sens!$K$9833</f>
        <v>152.460428963578</v>
      </c>
      <c r="L9835" s="38" t="n">
        <f aca="false">Sens!$L$9833</f>
        <v>126.458229016657</v>
      </c>
      <c r="M9835" s="38" t="n">
        <f aca="false">Sens!$M$9833</f>
        <v>123.897112724985</v>
      </c>
      <c r="P9835" s="5" t="s">
        <v>632</v>
      </c>
      <c r="R9835" s="38" t="n">
        <f aca="false">MIN(Sens!$R$9833,Sens!$R$9810*(tk_cx_h100+tk_fac*(1-colo_sh))/1000)</f>
        <v>1.50429979529945</v>
      </c>
      <c r="S9835" s="38" t="n">
        <f aca="false">Sens!$C$9835</f>
        <v>11.2938642</v>
      </c>
      <c r="T9835" s="38" t="n">
        <f aca="false">Sens!$D$9835</f>
        <v>50.8223889</v>
      </c>
      <c r="U9835" s="38" t="n">
        <f aca="false">Sens!$G$9835</f>
        <v>130.1467091895</v>
      </c>
      <c r="V9835" s="38" t="n">
        <f aca="false">Sens!$H$9835</f>
        <v>198.57136494475</v>
      </c>
      <c r="W9835" s="38" t="n">
        <f aca="false">Sens!$I$9835</f>
        <v>204.6464699105</v>
      </c>
      <c r="X9835" s="38" t="n">
        <f aca="false">Sens!$J$9835</f>
        <v>209.8832381105</v>
      </c>
      <c r="Y9835" s="38" t="n">
        <f aca="false">Sens!$K$9835</f>
        <v>152.460428963578</v>
      </c>
      <c r="Z9835" s="38" t="n">
        <f aca="false">Sens!$L$9835</f>
        <v>126.458229016657</v>
      </c>
      <c r="AA9835" s="38" t="n">
        <f aca="false">Sens!$M$9835</f>
        <v>123.897112724985</v>
      </c>
    </row>
    <row r="9836" customFormat="false" ht="17.15" hidden="false" customHeight="false" outlineLevel="0" collapsed="false">
      <c r="A9836" s="5" t="s">
        <v>633</v>
      </c>
      <c r="B9836" s="0" t="s">
        <v>86</v>
      </c>
      <c r="C9836" s="38" t="n">
        <f aca="false">Sens!$C$9833-Sens!$C$9835</f>
        <v>13.9842411077374</v>
      </c>
      <c r="D9836" s="38" t="n">
        <f aca="false">Sens!$D$9833-Sens!$D$9835</f>
        <v>18.7462427310026</v>
      </c>
      <c r="E9836" s="38" t="n">
        <f aca="false">Sens!$E$9833-Sens!$E$9835</f>
        <v>30.2913414485108</v>
      </c>
      <c r="F9836" s="38" t="n">
        <f aca="false">Sens!$F$9833-Sens!$F$9835</f>
        <v>0</v>
      </c>
      <c r="G9836" s="38" t="n">
        <f aca="false">Sens!$G$9833-Sens!$G$9835</f>
        <v>30.2913414485108</v>
      </c>
      <c r="H9836" s="38" t="n">
        <f aca="false">Sens!$H$9833-Sens!$H$9835</f>
        <v>0</v>
      </c>
      <c r="I9836" s="38" t="n">
        <f aca="false">Sens!$I$9833-Sens!$I$9835</f>
        <v>0</v>
      </c>
      <c r="J9836" s="38" t="n">
        <f aca="false">Sens!$J$9833-Sens!$J$9835</f>
        <v>0</v>
      </c>
      <c r="K9836" s="38" t="n">
        <f aca="false">Sens!$K$9833-Sens!$K$9835</f>
        <v>0</v>
      </c>
      <c r="L9836" s="38" t="n">
        <f aca="false">Sens!$L$9833-Sens!$L$9835</f>
        <v>0</v>
      </c>
      <c r="M9836" s="38" t="n">
        <f aca="false">Sens!$M$9833-Sens!$M$9835</f>
        <v>0</v>
      </c>
    </row>
    <row r="9837" customFormat="false" ht="17.15" hidden="false" customHeight="false" outlineLevel="0" collapsed="false">
      <c r="A9837" s="5" t="s">
        <v>634</v>
      </c>
      <c r="B9837" s="0" t="s">
        <v>86</v>
      </c>
      <c r="C9837" s="38" t="n">
        <f aca="false">Sens!$C$9835*Sens!$C$9832</f>
        <v>8.2530642</v>
      </c>
      <c r="D9837" s="38" t="n">
        <f aca="false">Sens!$D$9835*Sens!$D$9832</f>
        <v>37.1387889</v>
      </c>
      <c r="E9837" s="38" t="n">
        <f aca="false">Sens!$E$9835*Sens!$E$9832</f>
        <v>25.7897792</v>
      </c>
      <c r="F9837" s="38" t="n">
        <f aca="false">Sens!$F$9835*Sens!$F$9832</f>
        <v>73.2248394895</v>
      </c>
      <c r="G9837" s="38" t="n">
        <f aca="false">Sens!$E$9837+Sens!$F$9837</f>
        <v>99.0146186895</v>
      </c>
      <c r="H9837" s="38" t="n">
        <f aca="false">(Sens!$H$9835-Sens!$H$9834)*Sens!$H$9832+Sens!$H$9834</f>
        <v>152.52478394475</v>
      </c>
      <c r="I9837" s="38" t="n">
        <f aca="false">(Sens!$I$9835-Sens!$I$9834)*Sens!$I$9832+Sens!$I$9834</f>
        <v>158.5998889105</v>
      </c>
      <c r="J9837" s="38" t="n">
        <f aca="false">(Sens!$J$9835-Sens!$J$9834)*Sens!$J$9832+Sens!$J$9834</f>
        <v>163.8366571105</v>
      </c>
      <c r="K9837" s="38" t="n">
        <f aca="false">(Sens!$K$9835-Sens!$K$9834)*Sens!$K$9832+Sens!$K$9834</f>
        <v>120.512597406912</v>
      </c>
      <c r="L9837" s="38" t="n">
        <f aca="false">(Sens!$L$9835-Sens!$L$9834)*Sens!$L$9832+Sens!$L$9834</f>
        <v>108.609146903323</v>
      </c>
      <c r="M9837" s="38" t="n">
        <f aca="false">(Sens!$M$9835-Sens!$M$9834)*Sens!$M$9832+Sens!$M$9834</f>
        <v>120.146780054985</v>
      </c>
      <c r="R9837" s="38" t="n">
        <f aca="false">Sens!$R$9835*Sens!$C$9832</f>
        <v>1.09927679019314</v>
      </c>
      <c r="S9837" s="38" t="n">
        <f aca="false">Sens!$C$9837</f>
        <v>8.2530642</v>
      </c>
      <c r="T9837" s="38" t="n">
        <f aca="false">Sens!$D$9837</f>
        <v>37.1387889</v>
      </c>
      <c r="U9837" s="38" t="n">
        <f aca="false">Sens!$G$9837</f>
        <v>99.0146186895</v>
      </c>
      <c r="V9837" s="38" t="n">
        <f aca="false">Sens!$H$9837</f>
        <v>152.52478394475</v>
      </c>
      <c r="W9837" s="38" t="n">
        <f aca="false">Sens!$I$9837</f>
        <v>158.5998889105</v>
      </c>
      <c r="X9837" s="38" t="n">
        <f aca="false">Sens!$J$9837</f>
        <v>163.8366571105</v>
      </c>
      <c r="Y9837" s="38" t="n">
        <f aca="false">Sens!$K$9837</f>
        <v>120.512597406912</v>
      </c>
      <c r="Z9837" s="38" t="n">
        <f aca="false">Sens!$L$9837</f>
        <v>108.609146903323</v>
      </c>
      <c r="AA9837" s="38" t="n">
        <f aca="false">Sens!$M$9837</f>
        <v>120.146780054985</v>
      </c>
    </row>
    <row r="9838" customFormat="false" ht="15" hidden="false" customHeight="false" outlineLevel="0" collapsed="false">
      <c r="A9838" s="5" t="s">
        <v>635</v>
      </c>
      <c r="B9838" s="0" t="s">
        <v>86</v>
      </c>
      <c r="C9838" s="38" t="n">
        <f aca="false">Sens!$C$9835-Sens!$C$9837</f>
        <v>3.0408</v>
      </c>
      <c r="D9838" s="38" t="n">
        <f aca="false">Sens!$D$9835-Sens!$D$9837</f>
        <v>13.6836</v>
      </c>
      <c r="E9838" s="38" t="n">
        <f aca="false">Sens!$E$9835-Sens!$E$9837</f>
        <v>8.1088</v>
      </c>
      <c r="F9838" s="38" t="n">
        <f aca="false">Sens!$F$9835-Sens!$F$9837</f>
        <v>23.0232905</v>
      </c>
      <c r="G9838" s="38" t="n">
        <f aca="false">Sens!$G$9835-Sens!$G$9837</f>
        <v>31.1320905</v>
      </c>
      <c r="H9838" s="38" t="n">
        <f aca="false">Sens!$H$9835-Sens!$H$9837</f>
        <v>46.046581</v>
      </c>
      <c r="I9838" s="38" t="n">
        <f aca="false">Sens!$I$9835-Sens!$I$9837</f>
        <v>46.046581</v>
      </c>
      <c r="J9838" s="38" t="n">
        <f aca="false">Sens!$J$9835-Sens!$J$9837</f>
        <v>46.046581</v>
      </c>
      <c r="K9838" s="38" t="n">
        <f aca="false">Sens!$K$9835-Sens!$K$9837</f>
        <v>31.9478315566667</v>
      </c>
      <c r="L9838" s="38" t="n">
        <f aca="false">Sens!$L$9835-Sens!$L$9837</f>
        <v>17.8490821133333</v>
      </c>
      <c r="M9838" s="38" t="n">
        <f aca="false">Sens!$M$9835-Sens!$M$9837</f>
        <v>3.75033267000001</v>
      </c>
      <c r="R9838" s="38" t="n">
        <f aca="false">Sens!$R$9835-Sens!$R$9837</f>
        <v>0.405023005106309</v>
      </c>
      <c r="S9838" s="38" t="n">
        <f aca="false">Sens!$S$9835-Sens!$S$9837</f>
        <v>3.0408</v>
      </c>
      <c r="T9838" s="38" t="n">
        <f aca="false">Sens!$T$9835-Sens!$T$9837</f>
        <v>13.6836</v>
      </c>
      <c r="U9838" s="38" t="n">
        <f aca="false">Sens!$U$9835-Sens!$U$9837</f>
        <v>31.1320905</v>
      </c>
      <c r="V9838" s="38" t="n">
        <f aca="false">Sens!$V$9835-Sens!$V$9837</f>
        <v>46.046581</v>
      </c>
      <c r="W9838" s="38" t="n">
        <f aca="false">Sens!$W$9835-Sens!$W$9837</f>
        <v>46.046581</v>
      </c>
      <c r="X9838" s="38" t="n">
        <f aca="false">Sens!$X$9835-Sens!$X$9837</f>
        <v>46.046581</v>
      </c>
      <c r="Y9838" s="38" t="n">
        <f aca="false">Sens!$Y$9835-Sens!$Y$9837</f>
        <v>31.9478315566667</v>
      </c>
      <c r="Z9838" s="38" t="n">
        <f aca="false">Sens!$Z$9835-Sens!$Z$9837</f>
        <v>17.8490821133333</v>
      </c>
      <c r="AA9838" s="38" t="n">
        <f aca="false">Sens!$AA$9835-Sens!$AA$9837</f>
        <v>3.75033267000001</v>
      </c>
    </row>
    <row r="9839" customFormat="false" ht="17.15" hidden="false" customHeight="false" outlineLevel="0" collapsed="false">
      <c r="A9839" s="0" t="s">
        <v>636</v>
      </c>
      <c r="B9839" s="0" t="s">
        <v>52</v>
      </c>
      <c r="C9839" s="13" t="n">
        <f aca="false">Sens!$C$9833/Sens!$C$9955</f>
        <v>0.325505489553393</v>
      </c>
      <c r="D9839" s="13" t="n">
        <f aca="false">Sens!$D$9833/Sens!$D$9955</f>
        <v>0.54214956071542</v>
      </c>
      <c r="E9839" s="13" t="n">
        <f aca="false">Sens!$E$9833/Sens!$E$9955</f>
        <v>0.666492790452817</v>
      </c>
      <c r="F9839" s="13" t="n">
        <f aca="false">Sens!$F$9833/Sens!$F$9955</f>
        <v>0.733477910687338</v>
      </c>
      <c r="G9839" s="13" t="n">
        <f aca="false">Sens!$G$9833/Sens!$G$9955</f>
        <v>0.705124321514523</v>
      </c>
      <c r="H9839" s="13" t="n">
        <f aca="false">Sens!$H$9833/Sens!$H$9955</f>
        <v>0.726376041178204</v>
      </c>
      <c r="I9839" s="13" t="n">
        <f aca="false">Sens!$I$9833/Sens!$I$9955</f>
        <v>0.713099092661699</v>
      </c>
      <c r="J9839" s="13" t="n">
        <f aca="false">Sens!$J$9833/Sens!$J$9955</f>
        <v>0.701208348786245</v>
      </c>
      <c r="K9839" s="13" t="n">
        <f aca="false">Sens!$K$9833/Sens!$K$9955</f>
        <v>0.614068498670476</v>
      </c>
      <c r="L9839" s="13" t="n">
        <f aca="false">Sens!$L$9833/Sens!$L$9955</f>
        <v>0.551880938289018</v>
      </c>
      <c r="M9839" s="13" t="n">
        <f aca="false">Sens!$M$9833/Sens!$M$9955</f>
        <v>0.529570283055906</v>
      </c>
    </row>
    <row r="9840" customFormat="false" ht="17.15" hidden="false" customHeight="false" outlineLevel="0" collapsed="false">
      <c r="A9840" s="0" t="s">
        <v>637</v>
      </c>
      <c r="B9840" s="0" t="s">
        <v>86</v>
      </c>
      <c r="C9840" s="38" t="n">
        <f aca="false">Sens!$S$9840</f>
        <v>0.183212798365523</v>
      </c>
      <c r="D9840" s="38" t="n">
        <f aca="false">Sens!$T$9840</f>
        <v>1.55872349836552</v>
      </c>
      <c r="E9840" s="38" t="n">
        <f aca="false">Sens!$G$9840/2</f>
        <v>3.87426082418276</v>
      </c>
      <c r="F9840" s="38" t="n">
        <f aca="false">Sens!$G$9840/2</f>
        <v>3.87426082418276</v>
      </c>
      <c r="G9840" s="38" t="n">
        <f aca="false">Sens!$U$9840</f>
        <v>7.74852164836552</v>
      </c>
      <c r="H9840" s="38" t="n">
        <f aca="false">Sens!$V$9840</f>
        <v>24.2509580966155</v>
      </c>
      <c r="I9840" s="38" t="n">
        <f aca="false">Sens!$W$9840</f>
        <v>49.6717554207405</v>
      </c>
      <c r="J9840" s="38" t="n">
        <f aca="false">Sens!$X$9840</f>
        <v>76.1050702391572</v>
      </c>
      <c r="K9840" s="38" t="n">
        <f aca="false">Sens!$Y$9840</f>
        <v>103.227966959208</v>
      </c>
      <c r="L9840" s="38" t="n">
        <f aca="false">Sens!$Z$9840</f>
        <v>121.93788916036</v>
      </c>
      <c r="M9840" s="38" t="n">
        <f aca="false">Sens!$AA$9840</f>
        <v>133.849615494248</v>
      </c>
      <c r="N9840" s="38" t="n">
        <f aca="false">Sens!$D$9840/2</f>
        <v>0.779361749182762</v>
      </c>
      <c r="O9840" s="38" t="n">
        <f aca="false">Sens!$D$9840/2</f>
        <v>0.779361749182762</v>
      </c>
      <c r="R9840" s="38" t="n">
        <f aca="false">SUMPRODUCT(--(Sens!$R$9803:$AA$9803&lt;Sens!R$9803),--(Sens!$R$9803:$AA$9803&gt;=Sens!R$9803-tk_life),Sens!$R$9837:$AA$9837)/tk_life</f>
        <v>0</v>
      </c>
      <c r="S9840" s="38" t="n">
        <f aca="false">SUMPRODUCT(--(Sens!$R$9803:$AA$9803&lt;Sens!S$9803),--(Sens!$R$9803:$AA$9803&gt;=Sens!S$9803-tk_life),Sens!$R$9837:$AA$9837)/tk_life</f>
        <v>0.183212798365523</v>
      </c>
      <c r="T9840" s="38" t="n">
        <f aca="false">SUMPRODUCT(--(Sens!$R$9803:$AA$9803&lt;Sens!T$9803),--(Sens!$R$9803:$AA$9803&gt;=Sens!T$9803-tk_life),Sens!$R$9837:$AA$9837)/tk_life</f>
        <v>1.55872349836552</v>
      </c>
      <c r="U9840" s="38" t="n">
        <f aca="false">SUMPRODUCT(--(Sens!$R$9803:$AA$9803&lt;Sens!U$9803),--(Sens!$R$9803:$AA$9803&gt;=Sens!U$9803-tk_life),Sens!$R$9837:$AA$9837)/tk_life</f>
        <v>7.74852164836552</v>
      </c>
      <c r="V9840" s="38" t="n">
        <f aca="false">SUMPRODUCT(--(Sens!$R$9803:$AA$9803&lt;Sens!V$9803),--(Sens!$R$9803:$AA$9803&gt;=Sens!V$9803-tk_life),Sens!$R$9837:$AA$9837)/tk_life</f>
        <v>24.2509580966155</v>
      </c>
      <c r="W9840" s="38" t="n">
        <f aca="false">SUMPRODUCT(--(Sens!$R$9803:$AA$9803&lt;Sens!W$9803),--(Sens!$R$9803:$AA$9803&gt;=Sens!W$9803-tk_life),Sens!$R$9837:$AA$9837)/tk_life</f>
        <v>49.6717554207405</v>
      </c>
      <c r="X9840" s="38" t="n">
        <f aca="false">SUMPRODUCT(--(Sens!$R$9803:$AA$9803&lt;Sens!X$9803),--(Sens!$R$9803:$AA$9803&gt;=Sens!X$9803-tk_life),Sens!$R$9837:$AA$9837)/tk_life</f>
        <v>76.1050702391572</v>
      </c>
      <c r="Y9840" s="38" t="n">
        <f aca="false">SUMPRODUCT(--(Sens!$R$9803:$AA$9803&lt;Sens!Y$9803),--(Sens!$R$9803:$AA$9803&gt;=Sens!Y$9803-tk_life),Sens!$R$9837:$AA$9837)/tk_life</f>
        <v>103.227966959208</v>
      </c>
      <c r="Z9840" s="38" t="n">
        <f aca="false">SUMPRODUCT(--(Sens!$R$9803:$AA$9803&lt;Sens!Z$9803),--(Sens!$R$9803:$AA$9803&gt;=Sens!Z$9803-tk_life),Sens!$R$9837:$AA$9837)/tk_life</f>
        <v>121.93788916036</v>
      </c>
      <c r="AA9840" s="38" t="n">
        <f aca="false">SUMPRODUCT(--(Sens!$R$9803:$AA$9803&lt;Sens!AA$9803),--(Sens!$R$9803:$AA$9803&gt;=Sens!AA$9803-tk_life),Sens!$R$9837:$AA$9837)/tk_life</f>
        <v>133.849615494248</v>
      </c>
    </row>
    <row r="9841" customFormat="false" ht="17.15" hidden="false" customHeight="false" outlineLevel="0" collapsed="false">
      <c r="A9841" s="0" t="s">
        <v>638</v>
      </c>
      <c r="B9841" s="0" t="s">
        <v>86</v>
      </c>
      <c r="C9841" s="38" t="n">
        <f aca="false">Sens!$S$9841</f>
        <v>0.0202511502553155</v>
      </c>
      <c r="D9841" s="38" t="n">
        <f aca="false">Sens!$T$9841</f>
        <v>0.172291150255315</v>
      </c>
      <c r="E9841" s="38" t="n">
        <f aca="false">Sens!$G$9841/2</f>
        <v>0.428235575127658</v>
      </c>
      <c r="F9841" s="38" t="n">
        <f aca="false">Sens!$G$9841/2</f>
        <v>0.428235575127658</v>
      </c>
      <c r="G9841" s="38" t="n">
        <f aca="false">Sens!$U$9841</f>
        <v>0.856471150255315</v>
      </c>
      <c r="H9841" s="38" t="n">
        <f aca="false">Sens!$V$9841</f>
        <v>2.41307567525532</v>
      </c>
      <c r="I9841" s="38" t="n">
        <f aca="false">Sens!$W$9841</f>
        <v>4.71540472525532</v>
      </c>
      <c r="J9841" s="38" t="n">
        <f aca="false">Sens!$X$9841</f>
        <v>7.01773377525532</v>
      </c>
      <c r="K9841" s="38" t="n">
        <f aca="false">Sens!$Y$9841</f>
        <v>9.32006282525532</v>
      </c>
      <c r="L9841" s="38" t="n">
        <f aca="false">Sens!$Z$9841</f>
        <v>10.9174544030887</v>
      </c>
      <c r="M9841" s="38" t="n">
        <f aca="false">Sens!$AA$9841</f>
        <v>11.8099085087553</v>
      </c>
      <c r="N9841" s="38" t="n">
        <f aca="false">Sens!$D$9841/2</f>
        <v>0.0861455751276577</v>
      </c>
      <c r="O9841" s="38" t="n">
        <f aca="false">Sens!$D$9841/2</f>
        <v>0.0861455751276577</v>
      </c>
      <c r="R9841" s="38" t="n">
        <f aca="false">SUMPRODUCT(--(Sens!$R$9803:$AA$9803&lt;Sens!R$9803),Sens!$R$9838:$AA$9838)/fac_life</f>
        <v>0</v>
      </c>
      <c r="S9841" s="38" t="n">
        <f aca="false">SUMPRODUCT(--(Sens!$R$9803:$AA$9803&lt;Sens!S$9803),Sens!$R$9838:$AA$9838)/fac_life</f>
        <v>0.0202511502553155</v>
      </c>
      <c r="T9841" s="38" t="n">
        <f aca="false">SUMPRODUCT(--(Sens!$R$9803:$AA$9803&lt;Sens!T$9803),Sens!$R$9838:$AA$9838)/fac_life</f>
        <v>0.172291150255315</v>
      </c>
      <c r="U9841" s="38" t="n">
        <f aca="false">SUMPRODUCT(--(Sens!$R$9803:$AA$9803&lt;Sens!U$9803),Sens!$R$9838:$AA$9838)/fac_life</f>
        <v>0.856471150255315</v>
      </c>
      <c r="V9841" s="38" t="n">
        <f aca="false">SUMPRODUCT(--(Sens!$R$9803:$AA$9803&lt;Sens!V$9803),Sens!$R$9838:$AA$9838)/fac_life</f>
        <v>2.41307567525532</v>
      </c>
      <c r="W9841" s="38" t="n">
        <f aca="false">SUMPRODUCT(--(Sens!$R$9803:$AA$9803&lt;Sens!W$9803),Sens!$R$9838:$AA$9838)/fac_life</f>
        <v>4.71540472525532</v>
      </c>
      <c r="X9841" s="38" t="n">
        <f aca="false">SUMPRODUCT(--(Sens!$R$9803:$AA$9803&lt;Sens!X$9803),Sens!$R$9838:$AA$9838)/fac_life</f>
        <v>7.01773377525532</v>
      </c>
      <c r="Y9841" s="38" t="n">
        <f aca="false">SUMPRODUCT(--(Sens!$R$9803:$AA$9803&lt;Sens!Y$9803),Sens!$R$9838:$AA$9838)/fac_life</f>
        <v>9.32006282525532</v>
      </c>
      <c r="Z9841" s="38" t="n">
        <f aca="false">SUMPRODUCT(--(Sens!$R$9803:$AA$9803&lt;Sens!Z$9803),Sens!$R$9838:$AA$9838)/fac_life</f>
        <v>10.9174544030887</v>
      </c>
      <c r="AA9841" s="38" t="n">
        <f aca="false">SUMPRODUCT(--(Sens!$R$9803:$AA$9803&lt;Sens!AA$9803),Sens!$R$9838:$AA$9838)/fac_life</f>
        <v>11.8099085087553</v>
      </c>
    </row>
    <row r="9842" customFormat="false" ht="17.15" hidden="false" customHeight="false" outlineLevel="0" collapsed="false">
      <c r="A9842" s="1" t="s">
        <v>639</v>
      </c>
      <c r="B9842" s="8" t="s">
        <v>86</v>
      </c>
      <c r="C9842" s="38" t="n">
        <f aca="false">Sens!$C$9840+Sens!$C$9841</f>
        <v>0.203463948620839</v>
      </c>
      <c r="D9842" s="38" t="n">
        <f aca="false">Sens!$D$9840+Sens!$D$9841</f>
        <v>1.73101464862084</v>
      </c>
      <c r="E9842" s="38" t="n">
        <f aca="false">Sens!$E$9840+Sens!$E$9841</f>
        <v>4.30249639931042</v>
      </c>
      <c r="F9842" s="38" t="n">
        <f aca="false">Sens!$F$9840+Sens!$F$9841</f>
        <v>4.30249639931042</v>
      </c>
      <c r="G9842" s="38" t="n">
        <f aca="false">Sens!$G$9840+Sens!$G$9841</f>
        <v>8.60499279862084</v>
      </c>
      <c r="H9842" s="38" t="n">
        <f aca="false">Sens!$H$9840+Sens!$H$9841</f>
        <v>26.6640337718708</v>
      </c>
      <c r="I9842" s="38" t="n">
        <f aca="false">Sens!$I$9840+Sens!$I$9841</f>
        <v>54.3871601459959</v>
      </c>
      <c r="J9842" s="38" t="n">
        <f aca="false">Sens!$J$9840+Sens!$J$9841</f>
        <v>83.1228040144125</v>
      </c>
      <c r="K9842" s="38" t="n">
        <f aca="false">Sens!$K$9840+Sens!$K$9841</f>
        <v>112.548029784464</v>
      </c>
      <c r="L9842" s="38" t="n">
        <f aca="false">Sens!$L$9840+Sens!$L$9841</f>
        <v>132.855343563449</v>
      </c>
      <c r="M9842" s="38" t="n">
        <f aca="false">Sens!$M$9840+Sens!$M$9841</f>
        <v>145.659524003003</v>
      </c>
      <c r="N9842" s="38" t="n">
        <f aca="false">Sens!$N$9840+Sens!$N$9841</f>
        <v>0.865507324310419</v>
      </c>
      <c r="O9842" s="38" t="n">
        <f aca="false">Sens!$O$9840+Sens!$O$9841</f>
        <v>0.865507324310419</v>
      </c>
      <c r="R9842" s="38" t="n">
        <f aca="false">Sens!$R$9840+Sens!$R$9841</f>
        <v>0</v>
      </c>
      <c r="S9842" s="38" t="n">
        <f aca="false">Sens!$S$9840+Sens!$S$9841</f>
        <v>0.203463948620839</v>
      </c>
      <c r="T9842" s="38" t="n">
        <f aca="false">Sens!$T$9840+Sens!$T$9841</f>
        <v>1.73101464862084</v>
      </c>
      <c r="U9842" s="38" t="n">
        <f aca="false">Sens!$U$9840+Sens!$U$9841</f>
        <v>8.60499279862084</v>
      </c>
      <c r="V9842" s="38" t="n">
        <f aca="false">Sens!$V$9840+Sens!$V$9841</f>
        <v>26.6640337718708</v>
      </c>
      <c r="W9842" s="38" t="n">
        <f aca="false">Sens!$W$9840+Sens!$W$9841</f>
        <v>54.3871601459959</v>
      </c>
      <c r="X9842" s="38" t="n">
        <f aca="false">Sens!$X$9840+Sens!$X$9841</f>
        <v>83.1228040144125</v>
      </c>
      <c r="Y9842" s="38" t="n">
        <f aca="false">Sens!$Y$9840+Sens!$Y$9841</f>
        <v>112.548029784464</v>
      </c>
      <c r="Z9842" s="38" t="n">
        <f aca="false">Sens!$Z$9840+Sens!$Z$9841</f>
        <v>132.855343563449</v>
      </c>
      <c r="AA9842" s="38" t="n">
        <f aca="false">Sens!$AA$9840+Sens!$AA$9841</f>
        <v>145.659524003003</v>
      </c>
    </row>
    <row r="9843" customFormat="false" ht="17.15" hidden="false" customHeight="false" outlineLevel="0" collapsed="false">
      <c r="A9843" s="0" t="s">
        <v>640</v>
      </c>
      <c r="B9843" s="0" t="s">
        <v>86</v>
      </c>
      <c r="C9843" s="38" t="n">
        <f aca="false">Sens!$S$9843</f>
        <v>12.5947000466786</v>
      </c>
      <c r="D9843" s="38" t="n">
        <f aca="false">Sens!$T$9843</f>
        <v>61.6860742980578</v>
      </c>
      <c r="G9843" s="38" t="n">
        <f aca="false">Sens!$U$9843</f>
        <v>183.227790688937</v>
      </c>
      <c r="H9843" s="38" t="n">
        <f aca="false">Sens!$V$9843</f>
        <v>355.135121861816</v>
      </c>
      <c r="I9843" s="38" t="n">
        <f aca="false">Sens!$W$9843</f>
        <v>505.39443162632</v>
      </c>
      <c r="J9843" s="38" t="n">
        <f aca="false">Sens!$X$9843</f>
        <v>632.154865722408</v>
      </c>
      <c r="K9843" s="38" t="n">
        <f aca="false">Sens!$Y$9843</f>
        <v>672.067264901522</v>
      </c>
      <c r="L9843" s="38" t="n">
        <f aca="false">Sens!$Z$9843</f>
        <v>665.67015035473</v>
      </c>
      <c r="M9843" s="38" t="n">
        <f aca="false">Sens!$AA$9843</f>
        <v>643.907739076712</v>
      </c>
      <c r="R9843" s="38" t="n">
        <f aca="false">SUM(Sens!$R$9835:$R$9835)-SUM(Sens!$R$9842:$R$9842)</f>
        <v>1.50429979529945</v>
      </c>
      <c r="S9843" s="38" t="n">
        <f aca="false">SUM(Sens!$R$9835:$S$9835)-SUM(Sens!$R$9842:$S$9842)</f>
        <v>12.5947000466786</v>
      </c>
      <c r="T9843" s="38" t="n">
        <f aca="false">SUM(Sens!$R$9835:$T$9835)-SUM(Sens!$R$9842:$T$9842)</f>
        <v>61.6860742980578</v>
      </c>
      <c r="U9843" s="38" t="n">
        <f aca="false">SUM(Sens!$R$9835:$U$9835)-SUM(Sens!$R$9842:$U$9842)</f>
        <v>183.227790688937</v>
      </c>
      <c r="V9843" s="38" t="n">
        <f aca="false">SUM(Sens!$R$9835:$V$9835)-SUM(Sens!$R$9842:$V$9842)</f>
        <v>355.135121861816</v>
      </c>
      <c r="W9843" s="38" t="n">
        <f aca="false">SUM(Sens!$R$9835:$W$9835)-SUM(Sens!$R$9842:$W$9842)</f>
        <v>505.39443162632</v>
      </c>
      <c r="X9843" s="38" t="n">
        <f aca="false">SUM(Sens!$R$9835:$X$9835)-SUM(Sens!$R$9842:$X$9842)</f>
        <v>632.154865722408</v>
      </c>
      <c r="Y9843" s="38" t="n">
        <f aca="false">SUM(Sens!$R$9835:$Y$9835)-SUM(Sens!$R$9842:$Y$9842)</f>
        <v>672.067264901522</v>
      </c>
      <c r="Z9843" s="38" t="n">
        <f aca="false">SUM(Sens!$R$9835:$Z$9835)-SUM(Sens!$R$9842:$Z$9842)</f>
        <v>665.67015035473</v>
      </c>
      <c r="AA9843" s="38" t="n">
        <f aca="false">SUM(Sens!$R$9835:$AA$9835)-SUM(Sens!$R$9842:$AA$9842)</f>
        <v>643.907739076712</v>
      </c>
    </row>
    <row r="9844" customFormat="false" ht="17.15" hidden="false" customHeight="false" outlineLevel="0" collapsed="false">
      <c r="A9844" s="1" t="s">
        <v>641</v>
      </c>
    </row>
    <row r="9845" customFormat="false" ht="17.15" hidden="false" customHeight="false" outlineLevel="0" collapsed="false">
      <c r="A9845" s="0" t="s">
        <v>642</v>
      </c>
      <c r="B9845" s="0" t="s">
        <v>86</v>
      </c>
      <c r="C9845" s="38" t="n">
        <f aca="false">Sens!$C$9824-ext_sh*Sens!$C$9826</f>
        <v>1.80694998843362</v>
      </c>
      <c r="D9845" s="38" t="n">
        <f aca="false">Sens!$D$9824-ext_sh*Sens!$D$9826</f>
        <v>6.77606245662607</v>
      </c>
      <c r="E9845" s="38" t="n">
        <f aca="false">Sens!$E$9824-ext_sh*Sens!$E$9826</f>
        <v>6.62548329092326</v>
      </c>
      <c r="F9845" s="38" t="n">
        <f aca="false">Sens!$F$9824-ext_sh*Sens!$F$9826</f>
        <v>11.7200577158706</v>
      </c>
      <c r="G9845" s="38" t="n">
        <f aca="false">Sens!$G$9824-ext_sh*Sens!$G$9826</f>
        <v>18.3455410067939</v>
      </c>
      <c r="H9845" s="38" t="n">
        <f aca="false">Sens!$H$9824-ext_sh*Sens!$H$9826</f>
        <v>47.5171727060453</v>
      </c>
      <c r="I9845" s="38" t="n">
        <f aca="false">Sens!$I$9824-ext_sh*Sens!$I$9826</f>
        <v>80.5539692643667</v>
      </c>
      <c r="J9845" s="38" t="n">
        <f aca="false">Sens!$J$9824-ext_sh*Sens!$J$9826</f>
        <v>113.759316834883</v>
      </c>
      <c r="K9845" s="38" t="n">
        <f aca="false">Sens!$K$9824-ext_sh*Sens!$K$9826</f>
        <v>141.855203603144</v>
      </c>
      <c r="L9845" s="38" t="n">
        <f aca="false">Sens!$L$9824-ext_sh*Sens!$L$9826</f>
        <v>159.789055430453</v>
      </c>
      <c r="M9845" s="38" t="n">
        <f aca="false">Sens!$M$9824-ext_sh*Sens!$M$9826</f>
        <v>167.532378081213</v>
      </c>
      <c r="N9845" s="38" t="n">
        <f aca="false">Sens!$N$9824-ext_sh*Sens!$N$9826</f>
        <v>2.37162185981912</v>
      </c>
      <c r="O9845" s="38" t="n">
        <f aca="false">Sens!$O$9824-ext_sh*Sens!$O$9826</f>
        <v>4.40444059680694</v>
      </c>
    </row>
    <row r="9846" customFormat="false" ht="17.15" hidden="false" customHeight="false" outlineLevel="0" collapsed="false">
      <c r="A9846" s="1" t="s">
        <v>643</v>
      </c>
      <c r="B9846" s="8" t="s">
        <v>86</v>
      </c>
      <c r="C9846" s="38" t="n">
        <f aca="false">Sens!$C$9845-ext_sh*Sens!$C$9842</f>
        <v>1.64417882953695</v>
      </c>
      <c r="D9846" s="38" t="n">
        <f aca="false">Sens!$D$9845-ext_sh*Sens!$D$9842</f>
        <v>5.39125073772939</v>
      </c>
      <c r="E9846" s="38" t="n">
        <f aca="false">Sens!$E$9845-ext_sh*Sens!$E$9842</f>
        <v>3.18348617147493</v>
      </c>
      <c r="F9846" s="38" t="n">
        <f aca="false">Sens!$F$9845-ext_sh*Sens!$F$9842</f>
        <v>8.27806059642226</v>
      </c>
      <c r="G9846" s="38" t="n">
        <f aca="false">Sens!$G$9845-ext_sh*Sens!$G$9842</f>
        <v>11.4615467678972</v>
      </c>
      <c r="H9846" s="38" t="n">
        <f aca="false">Sens!$H$9845-ext_sh*Sens!$H$9842</f>
        <v>26.1859456885487</v>
      </c>
      <c r="I9846" s="38" t="n">
        <f aca="false">Sens!$I$9845-ext_sh*Sens!$I$9842</f>
        <v>37.04424114757</v>
      </c>
      <c r="J9846" s="38" t="n">
        <f aca="false">Sens!$J$9845-ext_sh*Sens!$J$9842</f>
        <v>47.2610736233534</v>
      </c>
      <c r="K9846" s="38" t="n">
        <f aca="false">Sens!$K$9845-ext_sh*Sens!$K$9842</f>
        <v>51.8167797755728</v>
      </c>
      <c r="L9846" s="38" t="n">
        <f aca="false">Sens!$L$9845-ext_sh*Sens!$L$9842</f>
        <v>53.5047805796943</v>
      </c>
      <c r="M9846" s="38" t="n">
        <f aca="false">Sens!$M$9845-ext_sh*Sens!$M$9842</f>
        <v>51.0047588788104</v>
      </c>
      <c r="N9846" s="38" t="n">
        <f aca="false">Sens!$N$9845-ext_sh*Sens!$N$9842</f>
        <v>1.67921600037079</v>
      </c>
      <c r="O9846" s="38" t="n">
        <f aca="false">Sens!$O$9845-ext_sh*Sens!$O$9842</f>
        <v>3.71203473735861</v>
      </c>
    </row>
    <row r="9847" customFormat="false" ht="17.15" hidden="false" customHeight="false" outlineLevel="0" collapsed="false">
      <c r="A9847" s="0" t="s">
        <v>644</v>
      </c>
      <c r="B9847" s="0" t="s">
        <v>52</v>
      </c>
      <c r="C9847" s="13" t="n">
        <f aca="false">Sens!$C$9846/Sens!$C$9824</f>
        <v>0.708390794789371</v>
      </c>
      <c r="D9847" s="13" t="n">
        <f aca="false">Sens!$D$9846/Sens!$D$9824</f>
        <v>0.619415573115729</v>
      </c>
      <c r="E9847" s="13" t="n">
        <f aca="false">Sens!$E$9846/Sens!$E$9824</f>
        <v>0.374072166056273</v>
      </c>
      <c r="F9847" s="13" t="n">
        <f aca="false">Sens!$F$9846/Sens!$F$9824</f>
        <v>0.553219320710057</v>
      </c>
      <c r="G9847" s="13" t="n">
        <f aca="false">Sens!$G$9846/Sens!$G$9824</f>
        <v>0.488270041527512</v>
      </c>
      <c r="H9847" s="13" t="n">
        <f aca="false">Sens!$H$9846/Sens!$H$9824</f>
        <v>0.435229086816882</v>
      </c>
      <c r="I9847" s="13" t="n">
        <f aca="false">Sens!$I$9846/Sens!$I$9824</f>
        <v>0.364954592421095</v>
      </c>
      <c r="J9847" s="13" t="n">
        <f aca="false">Sens!$J$9846/Sens!$J$9824</f>
        <v>0.330438308582232</v>
      </c>
      <c r="K9847" s="13" t="n">
        <f aca="false">Sens!$K$9846/Sens!$K$9824</f>
        <v>0.290840613449356</v>
      </c>
      <c r="L9847" s="13" t="n">
        <f aca="false">Sens!$L$9846/Sens!$L$9824</f>
        <v>0.26673582850143</v>
      </c>
      <c r="M9847" s="13" t="n">
        <f aca="false">Sens!$M$9846/Sens!$M$9824</f>
        <v>0.242555621732387</v>
      </c>
      <c r="N9847" s="13" t="n">
        <f aca="false">Sens!$N$9846/Sens!$N$9824</f>
        <v>0.551227795793364</v>
      </c>
      <c r="O9847" s="13" t="n">
        <f aca="false">Sens!$O$9846/Sens!$O$9824</f>
        <v>0.656132068597002</v>
      </c>
    </row>
    <row r="9848" customFormat="false" ht="17.15" hidden="false" customHeight="false" outlineLevel="0" collapsed="false">
      <c r="A9848" s="5" t="s">
        <v>645</v>
      </c>
      <c r="B9848" s="0" t="s">
        <v>86</v>
      </c>
      <c r="C9848" s="39" t="n">
        <v>0</v>
      </c>
      <c r="D9848" s="39" t="n">
        <v>0</v>
      </c>
      <c r="E9848" s="39" t="n">
        <v>0</v>
      </c>
      <c r="F9848" s="38" t="n">
        <f aca="false">IF(internal_ai_reading=2,1,0)*(1-ext_sh)/ext_sh*(mw_open*he_open+Sens!$F$9822*Sens!$F$9819)*Sens!$F$9808/1000</f>
        <v>3.77122048175818</v>
      </c>
      <c r="G9848" s="38" t="n">
        <f aca="false">Sens!$E$9848+Sens!$F$9848</f>
        <v>3.77122048175818</v>
      </c>
      <c r="H9848" s="38" t="n">
        <f aca="false">IF(internal_ai_reading=2,1,0)*(1-ext_sh)/ext_sh*(mw_open*he_open+Sens!$H$9822*Sens!$H$9819)*Sens!$H$9808/1000</f>
        <v>15.1635543609893</v>
      </c>
      <c r="I9848" s="38" t="n">
        <f aca="false">IF(internal_ai_reading=2,1,0)*(1-ext_sh)/ext_sh*(mw_open*he_open+Sens!$I$9822*Sens!$I$9819)*Sens!$I$9808/1000</f>
        <v>25.5818843619889</v>
      </c>
      <c r="J9848" s="38" t="n">
        <f aca="false">IF(internal_ai_reading=2,1,0)*(1-ext_sh)/ext_sh*(mw_open*he_open+Sens!$J$9822*Sens!$J$9819)*Sens!$J$9808/1000</f>
        <v>36.0465624179122</v>
      </c>
      <c r="K9848" s="38" t="n">
        <f aca="false">IF(internal_ai_reading=2,1,0)*(1-ext_sh)/ext_sh*(mw_open*he_open+Sens!$K$9822*Sens!$K$9819)*Sens!$K$9808/1000</f>
        <v>44.9020355557576</v>
      </c>
      <c r="L9848" s="38" t="n">
        <f aca="false">IF(internal_ai_reading=2,1,0)*(1-ext_sh)/ext_sh*(mw_open*he_open+Sens!$L$9822*Sens!$L$9819)*Sens!$L$9808/1000</f>
        <v>50.55474151763</v>
      </c>
      <c r="M9848" s="38" t="n">
        <f aca="false">IF(internal_ai_reading=2,1,0)*(1-ext_sh)/ext_sh*(mw_open*he_open+Sens!$M$9822*Sens!$M$9819)*Sens!$M$9808/1000</f>
        <v>52.9968449759368</v>
      </c>
      <c r="N9848" s="39" t="n">
        <v>0</v>
      </c>
      <c r="O9848" s="39" t="n">
        <v>0</v>
      </c>
      <c r="P9848" s="8" t="s">
        <v>646</v>
      </c>
    </row>
    <row r="9849" customFormat="false" ht="17.15" hidden="false" customHeight="false" outlineLevel="0" collapsed="false">
      <c r="A9849" s="5" t="s">
        <v>647</v>
      </c>
      <c r="B9849" s="0" t="s">
        <v>86</v>
      </c>
      <c r="C9849" s="38" t="n">
        <f aca="false">(1-ext_sh)*(Sens!$C$9826+Sens!$C$9842)</f>
        <v>0.169206631859174</v>
      </c>
      <c r="D9849" s="38" t="n">
        <f aca="false">(1-ext_sh)*(Sens!$D$9826+Sens!$D$9842)</f>
        <v>0.828129837730442</v>
      </c>
      <c r="E9849" s="38" t="n">
        <f aca="false">(1-ext_sh)*(Sens!$E$9826+Sens!$E$9842)</f>
        <v>1.33171670102377</v>
      </c>
      <c r="F9849" s="38" t="n">
        <f aca="false">(1-ext_sh)*(Sens!$F$9826+Sens!$F$9842)</f>
        <v>1.67134326207455</v>
      </c>
      <c r="G9849" s="38" t="n">
        <f aca="false">(1-ext_sh)*(Sens!$G$9826+Sens!$G$9842)</f>
        <v>3.00305996309832</v>
      </c>
      <c r="H9849" s="38" t="n">
        <f aca="false">(1-ext_sh)*(Sens!$H$9826+Sens!$H$9842)</f>
        <v>8.49498626530648</v>
      </c>
      <c r="I9849" s="38" t="n">
        <f aca="false">(1-ext_sh)*(Sens!$I$9826+Sens!$I$9842)</f>
        <v>16.1148644972155</v>
      </c>
      <c r="J9849" s="38" t="n">
        <f aca="false">(1-ext_sh)*(Sens!$J$9826+Sens!$J$9842)</f>
        <v>23.9410833819812</v>
      </c>
      <c r="K9849" s="38" t="n">
        <f aca="false">(1-ext_sh)*(Sens!$K$9826+Sens!$K$9842)</f>
        <v>31.5863346274657</v>
      </c>
      <c r="L9849" s="38" t="n">
        <f aca="false">(1-ext_sh)*(Sens!$L$9826+Sens!$L$9842)</f>
        <v>36.7715304908616</v>
      </c>
      <c r="M9849" s="38" t="n">
        <f aca="false">(1-ext_sh)*(Sens!$M$9826+Sens!$M$9842)</f>
        <v>39.8189780159728</v>
      </c>
      <c r="N9849" s="38" t="n">
        <f aca="false">(1-ext_sh)*(Sens!$N$9826+Sens!$N$9842)</f>
        <v>0.34177588266428</v>
      </c>
      <c r="O9849" s="38" t="n">
        <f aca="false">(1-ext_sh)*(Sens!$O$9826+Sens!$O$9842)</f>
        <v>0.486353955066162</v>
      </c>
    </row>
    <row r="9850" customFormat="false" ht="17.15" hidden="false" customHeight="false" outlineLevel="0" collapsed="false">
      <c r="A9850" s="0" t="s">
        <v>648</v>
      </c>
      <c r="B9850" s="0" t="s">
        <v>86</v>
      </c>
      <c r="C9850" s="38" t="n">
        <f aca="false">Q!$D$24</f>
        <v>39.834</v>
      </c>
      <c r="D9850" s="38" t="n">
        <f aca="false">Q!$E$24</f>
        <v>45.606</v>
      </c>
      <c r="E9850" s="38" t="n">
        <f aca="false">Q!$P$24</f>
        <v>30.782</v>
      </c>
      <c r="N9850" s="38" t="n">
        <f aca="false">Q!$N$24</f>
        <v>21.707</v>
      </c>
      <c r="O9850" s="38" t="n">
        <f aca="false">Q!$O$24</f>
        <v>23.899</v>
      </c>
    </row>
    <row r="9851" customFormat="false" ht="17.15" hidden="false" customHeight="false" outlineLevel="0" collapsed="false">
      <c r="A9851" s="0" t="s">
        <v>649</v>
      </c>
      <c r="B9851" s="0" t="s">
        <v>86</v>
      </c>
      <c r="C9851" s="38" t="n">
        <f aca="false">Sens!$C$9850-Sens!$C$9846</f>
        <v>38.1898211704631</v>
      </c>
      <c r="D9851" s="38" t="n">
        <f aca="false">Sens!$D$9850-Sens!$D$9846</f>
        <v>40.2147492622706</v>
      </c>
      <c r="E9851" s="38" t="n">
        <f aca="false">Sens!$E$9850-Sens!$E$9846</f>
        <v>27.5985138285251</v>
      </c>
      <c r="F9851" s="38" t="n">
        <f aca="false">Sens!$F$9828*Sens!$F$9852</f>
        <v>25.5484769754606</v>
      </c>
      <c r="G9851" s="38" t="n">
        <f aca="false">Sens!$E$9851+Sens!$F$9851</f>
        <v>53.1469908039857</v>
      </c>
      <c r="H9851" s="38" t="n">
        <f aca="false">Sens!$H$9828*Sens!$H$9852</f>
        <v>57.3189525076539</v>
      </c>
      <c r="I9851" s="38" t="n">
        <f aca="false">Sens!$I$9828*Sens!$I$9852</f>
        <v>63.6385627021087</v>
      </c>
      <c r="J9851" s="38" t="n">
        <f aca="false">Sens!$J$9828*Sens!$J$9852</f>
        <v>69.6922896066105</v>
      </c>
      <c r="K9851" s="38" t="n">
        <f aca="false">Sens!$K$9828*Sens!$K$9852</f>
        <v>75.2676727751394</v>
      </c>
      <c r="L9851" s="38" t="n">
        <f aca="false">Sens!$L$9828*Sens!$L$9852</f>
        <v>81.2890865971505</v>
      </c>
      <c r="M9851" s="38" t="n">
        <f aca="false">Sens!$M$9828*Sens!$M$9852</f>
        <v>87.7922135249226</v>
      </c>
      <c r="N9851" s="38" t="n">
        <f aca="false">Sens!$N$9850-Sens!$N$9846</f>
        <v>20.0277839996292</v>
      </c>
      <c r="O9851" s="38" t="n">
        <f aca="false">Sens!$O$9850-Sens!$O$9846</f>
        <v>20.1869652626414</v>
      </c>
      <c r="P9851" s="5" t="s">
        <v>650</v>
      </c>
    </row>
    <row r="9852" customFormat="false" ht="17.15" hidden="false" customHeight="false" outlineLevel="0" collapsed="false">
      <c r="A9852" s="0" t="s">
        <v>651</v>
      </c>
      <c r="B9852" s="0" t="s">
        <v>52</v>
      </c>
      <c r="C9852" s="13" t="n">
        <f aca="false">Sens!$C$9851/Sens!$C$9828</f>
        <v>0.362900395443635</v>
      </c>
      <c r="D9852" s="13" t="n">
        <f aca="false">Sens!$D$9851/Sens!$D$9828</f>
        <v>0.335063632425483</v>
      </c>
      <c r="E9852" s="13" t="n">
        <f aca="false">Sens!$E$9851/Sens!$E$9828</f>
        <v>0.387028992698038</v>
      </c>
      <c r="F9852" s="13" t="n">
        <f aca="false">(Sens!$O$9851+Sens!$E$9851)/(Sens!$O$9828+Sens!$E$9828)</f>
        <v>0.355980580118587</v>
      </c>
      <c r="G9852" s="13" t="n">
        <f aca="false">Sens!$G$9851/Sens!$G$9828</f>
        <v>0.371454804780916</v>
      </c>
      <c r="H9852" s="13" t="n">
        <f aca="false">Sens!$F$9852</f>
        <v>0.355980580118587</v>
      </c>
      <c r="I9852" s="13" t="n">
        <f aca="false">Sens!$F$9852</f>
        <v>0.355980580118587</v>
      </c>
      <c r="J9852" s="13" t="n">
        <f aca="false">Sens!$F$9852</f>
        <v>0.355980580118587</v>
      </c>
      <c r="K9852" s="13" t="n">
        <f aca="false">Sens!$F$9852</f>
        <v>0.355980580118587</v>
      </c>
      <c r="L9852" s="13" t="n">
        <f aca="false">Sens!$F$9852</f>
        <v>0.355980580118587</v>
      </c>
      <c r="M9852" s="13" t="n">
        <f aca="false">Sens!$F$9852</f>
        <v>0.355980580118587</v>
      </c>
      <c r="N9852" s="13" t="n">
        <f aca="false">Sens!$N$9851/Sens!$N$9828</f>
        <v>0.35078810535806</v>
      </c>
      <c r="O9852" s="13" t="n">
        <f aca="false">Sens!$O$9851/Sens!$O$9828</f>
        <v>0.320796939361619</v>
      </c>
      <c r="P9852" s="8" t="s">
        <v>652</v>
      </c>
    </row>
    <row r="9853" customFormat="false" ht="17.15" hidden="false" customHeight="false" outlineLevel="0" collapsed="false">
      <c r="A9853" s="0" t="s">
        <v>653</v>
      </c>
      <c r="B9853" s="0" t="s">
        <v>52</v>
      </c>
      <c r="D9853" s="13" t="n">
        <f aca="false">(Q!$E$31-ext_sh*Sens!$D$9842)/Sens!$D$9828</f>
        <v>0.167180325480118</v>
      </c>
    </row>
    <row r="9854" customFormat="false" ht="17.15" hidden="false" customHeight="false" outlineLevel="0" collapsed="false">
      <c r="A9854" s="0" t="s">
        <v>654</v>
      </c>
      <c r="B9854" s="0" t="s">
        <v>86</v>
      </c>
      <c r="C9854" s="38" t="n">
        <f aca="false">Q!$D$31</f>
        <v>13.32</v>
      </c>
      <c r="D9854" s="38" t="n">
        <f aca="false">Q!$E$31</f>
        <v>21.45</v>
      </c>
      <c r="E9854" s="38" t="n">
        <f aca="false">Q!$P$31</f>
        <v>15.353</v>
      </c>
      <c r="F9854" s="38" t="n">
        <f aca="false">ext_sh*Sens!$F$9842+Sens!$D$9853*Sens!$F$9828</f>
        <v>15.4404120185306</v>
      </c>
      <c r="G9854" s="38" t="n">
        <f aca="false">Sens!$E$9854+Sens!$F$9854</f>
        <v>30.7934120185306</v>
      </c>
      <c r="H9854" s="38" t="n">
        <f aca="false">ext_sh*Sens!$H$9842+Sens!$D$9853*Sens!$H$9828</f>
        <v>48.250114371455</v>
      </c>
      <c r="I9854" s="38" t="n">
        <f aca="false">ext_sh*Sens!$I$9842+Sens!$D$9853*Sens!$I$9828</f>
        <v>73.3965146995963</v>
      </c>
      <c r="J9854" s="38" t="n">
        <f aca="false">ext_sh*Sens!$J$9842+Sens!$D$9853*Sens!$J$9828</f>
        <v>99.22806138309</v>
      </c>
      <c r="K9854" s="38" t="n">
        <f aca="false">ext_sh*Sens!$K$9842+Sens!$D$9853*Sens!$K$9828</f>
        <v>125.386627452856</v>
      </c>
      <c r="L9854" s="38" t="n">
        <f aca="false">ext_sh*Sens!$L$9842+Sens!$D$9853*Sens!$L$9828</f>
        <v>144.460334766067</v>
      </c>
      <c r="M9854" s="38" t="n">
        <f aca="false">ext_sh*Sens!$M$9842+Sens!$D$9853*Sens!$M$9828</f>
        <v>157.757763910934</v>
      </c>
      <c r="N9854" s="38" t="n">
        <f aca="false">Q!$N$31</f>
        <v>9.234</v>
      </c>
      <c r="O9854" s="38" t="n">
        <f aca="false">Q!$O$31</f>
        <v>12.216</v>
      </c>
    </row>
    <row r="9855" customFormat="false" ht="17.15" hidden="false" customHeight="false" outlineLevel="0" collapsed="false">
      <c r="A9855" s="1" t="s">
        <v>655</v>
      </c>
    </row>
    <row r="9856" customFormat="false" ht="17.15" hidden="false" customHeight="false" outlineLevel="0" collapsed="false">
      <c r="A9856" s="15" t="s">
        <v>656</v>
      </c>
      <c r="B9856" s="14" t="s">
        <v>52</v>
      </c>
      <c r="C9856" s="14"/>
      <c r="D9856" s="14"/>
      <c r="E9856" s="14"/>
      <c r="F9856" s="14"/>
      <c r="G9856" s="17" t="n">
        <f aca="false">Sens!$G$9846*(1-tax)/(ext_sh*(Sens!$D$9843+Sens!$G$9843)/2)</f>
        <v>0.0966870495301478</v>
      </c>
      <c r="H9856" s="17" t="n">
        <f aca="false">Sens!$H$9846*(1-tax)/(ext_sh*(Sens!$G$9843+Sens!$H$9843)/2)</f>
        <v>0.100492020334136</v>
      </c>
      <c r="I9856" s="17" t="n">
        <f aca="false">Sens!$I$9846*(1-tax)/(ext_sh*(Sens!$H$9843+Sens!$I$9843)/2)</f>
        <v>0.0889392292218236</v>
      </c>
      <c r="J9856" s="17" t="n">
        <f aca="false">Sens!$J$9846*(1-tax)/(ext_sh*(Sens!$I$9843+Sens!$J$9843)/2)</f>
        <v>0.0858364613777012</v>
      </c>
      <c r="K9856" s="17" t="n">
        <f aca="false">Sens!$K$9846*(1-tax)/(ext_sh*(Sens!$J$9843+Sens!$K$9843)/2)</f>
        <v>0.0820837715863597</v>
      </c>
      <c r="L9856" s="17" t="n">
        <f aca="false">Sens!$L$9846*(1-tax)/(ext_sh*(Sens!$K$9843+Sens!$L$9843)/2)</f>
        <v>0.0826342637698</v>
      </c>
      <c r="M9856" s="17" t="n">
        <f aca="false">Sens!$M$9846*(1-tax)/(ext_sh*(Sens!$L$9843+Sens!$M$9843)/2)</f>
        <v>0.0804670006526159</v>
      </c>
      <c r="N9856" s="14"/>
      <c r="O9856" s="14"/>
      <c r="P9856" s="8" t="s">
        <v>657</v>
      </c>
    </row>
    <row r="9857" customFormat="false" ht="17.15" hidden="false" customHeight="false" outlineLevel="0" collapsed="false">
      <c r="A9857" s="5" t="s">
        <v>658</v>
      </c>
      <c r="B9857" s="0" t="s">
        <v>57</v>
      </c>
      <c r="H9857" s="36" t="n">
        <f aca="false">Sens!$H$9824*1000/(mw_open*he_open+Sens!$H$9822*Sens!$H$9819)</f>
        <v>0.991949006767191</v>
      </c>
      <c r="I9857" s="36" t="n">
        <f aca="false">Sens!$I$9824*1000/(mw_open*he_open+Sens!$I$9822*Sens!$I$9819)</f>
        <v>0.991949006767191</v>
      </c>
      <c r="J9857" s="36" t="n">
        <f aca="false">Sens!$J$9824*1000/(mw_open*he_open+Sens!$J$9822*Sens!$J$9819)</f>
        <v>0.991949006767191</v>
      </c>
      <c r="K9857" s="36" t="n">
        <f aca="false">Sens!$K$9824*1000/(mw_open*he_open+Sens!$K$9822*Sens!$K$9819)</f>
        <v>0.991949006767191</v>
      </c>
      <c r="L9857" s="36" t="n">
        <f aca="false">Sens!$L$9824*1000/(mw_open*he_open+Sens!$L$9822*Sens!$L$9819)</f>
        <v>0.991949006767191</v>
      </c>
      <c r="M9857" s="36" t="n">
        <f aca="false">Sens!$M$9824*1000/(mw_open*he_open+Sens!$M$9822*Sens!$M$9819)</f>
        <v>0.991949006767191</v>
      </c>
    </row>
    <row r="9858" customFormat="false" ht="17.15" hidden="false" customHeight="false" outlineLevel="0" collapsed="false">
      <c r="A9858" s="5" t="s">
        <v>659</v>
      </c>
      <c r="B9858" s="0" t="s">
        <v>57</v>
      </c>
      <c r="H9858" s="36" t="n">
        <f aca="false">Sens!$H$9857*(Sens!$H$9824+(wacc+0.01)*ext_sh*(Sens!$G$9843+Sens!$H$9843)/2/(1-tax)-Sens!$H$9846)/Sens!$H$9824</f>
        <v>1.08992358944546</v>
      </c>
      <c r="I9858" s="36" t="n">
        <f aca="false">Sens!$I$9857*(Sens!$I$9824+(wacc+0.01)*ext_sh*(Sens!$H$9843+Sens!$I$9843)/2/(1-tax)-Sens!$I$9846)/Sens!$I$9824</f>
        <v>1.13179986654234</v>
      </c>
      <c r="J9858" s="36" t="n">
        <f aca="false">Sens!$J$9857*(Sens!$J$9824+(wacc+0.01)*ext_sh*(Sens!$I$9843+Sens!$J$9843)/2/(1-tax)-Sens!$J$9846)/Sens!$J$9824</f>
        <v>1.1349986737299</v>
      </c>
      <c r="K9858" s="36" t="n">
        <f aca="false">Sens!$K$9857*(Sens!$K$9824+(wacc+0.01)*ext_sh*(Sens!$J$9843+Sens!$K$9843)/2/(1-tax)-Sens!$K$9846)/Sens!$K$9824</f>
        <v>1.13680223787373</v>
      </c>
      <c r="L9858" s="36" t="n">
        <f aca="false">Sens!$L$9857*(Sens!$L$9824+(wacc+0.01)*ext_sh*(Sens!$K$9843+Sens!$L$9843)/2/(1-tax)-Sens!$L$9846)/Sens!$L$9824</f>
        <v>1.12214920776246</v>
      </c>
      <c r="M9858" s="36" t="n">
        <f aca="false">Sens!$M$9857*(Sens!$M$9824+(wacc+0.01)*ext_sh*(Sens!$L$9843+Sens!$M$9843)/2/(1-tax)-Sens!$M$9846)/Sens!$M$9824</f>
        <v>1.12001541603487</v>
      </c>
    </row>
    <row r="9859" customFormat="false" ht="17.15" hidden="false" customHeight="false" outlineLevel="0" collapsed="false">
      <c r="A9859" s="5" t="s">
        <v>660</v>
      </c>
      <c r="B9859" s="0" t="s">
        <v>52</v>
      </c>
      <c r="C9859" s="13" t="n">
        <f aca="false">Sens!$C$9825/tk_pq</f>
        <v>0.195316432429398</v>
      </c>
      <c r="D9859" s="13" t="n">
        <f aca="false">Sens!$D$9825/tk_pq</f>
        <v>0.195316432429398</v>
      </c>
      <c r="E9859" s="13" t="n">
        <f aca="false">Sens!$E$9825/tk_pq</f>
        <v>0.195316432429398</v>
      </c>
      <c r="F9859" s="13" t="n">
        <f aca="false">Sens!$F$9825/tk_pq</f>
        <v>0.202241827274866</v>
      </c>
      <c r="G9859" s="13" t="n">
        <f aca="false">Sens!$G$9825/tk_pq</f>
        <v>0.199675016194063</v>
      </c>
      <c r="H9859" s="13" t="n">
        <f aca="false">Sens!$H$9825/tk_pq</f>
        <v>0.212647947710325</v>
      </c>
      <c r="I9859" s="13" t="n">
        <f aca="false">Sens!$I$9825/tk_pq</f>
        <v>0.219285125475351</v>
      </c>
      <c r="J9859" s="13" t="n">
        <f aca="false">Sens!$J$9825/tk_pq</f>
        <v>0.222492493217189</v>
      </c>
      <c r="K9859" s="13" t="n">
        <f aca="false">Sens!$K$9825/tk_pq</f>
        <v>0.224037965623446</v>
      </c>
      <c r="L9859" s="13" t="n">
        <f aca="false">Sens!$L$9825/tk_pq</f>
        <v>0.224743186755999</v>
      </c>
      <c r="M9859" s="13" t="n">
        <f aca="false">Sens!$M$9825/tk_pq</f>
        <v>0.224962001824354</v>
      </c>
      <c r="N9859" s="13" t="n">
        <f aca="false">Sens!$N$9825/tk_pq</f>
        <v>0.195316432429398</v>
      </c>
      <c r="O9859" s="13" t="n">
        <f aca="false">Sens!$O$9825/tk_pq</f>
        <v>0.195316432429398</v>
      </c>
      <c r="P9859" s="5" t="s">
        <v>661</v>
      </c>
    </row>
    <row r="9862" customFormat="false" ht="17.15" hidden="false" customHeight="false" outlineLevel="0" collapsed="false">
      <c r="A9862" s="1" t="s">
        <v>690</v>
      </c>
    </row>
    <row r="9863" customFormat="false" ht="17.15" hidden="false" customHeight="false" outlineLevel="0" collapsed="false">
      <c r="A9863" s="0" t="s">
        <v>691</v>
      </c>
      <c r="B9863" s="0" t="s">
        <v>86</v>
      </c>
      <c r="C9863" s="38" t="n">
        <f aca="false">Sens!$C$9824</f>
        <v>2.32100535697364</v>
      </c>
      <c r="D9863" s="38" t="n">
        <f aca="false">Sens!$D$9824</f>
        <v>8.70377008865116</v>
      </c>
      <c r="E9863" s="38" t="n">
        <f aca="false">Sens!$E$9824</f>
        <v>8.51035297557002</v>
      </c>
      <c r="F9863" s="38" t="n">
        <f aca="false">Sens!$F$9824</f>
        <v>14.9634336447205</v>
      </c>
      <c r="G9863" s="38" t="n">
        <f aca="false">Sens!$G$9824</f>
        <v>23.4737866202905</v>
      </c>
      <c r="H9863" s="38" t="n">
        <f aca="false">Sens!$H$9824</f>
        <v>60.1658907497746</v>
      </c>
      <c r="I9863" s="38" t="n">
        <f aca="false">Sens!$I$9824</f>
        <v>101.503699136432</v>
      </c>
      <c r="J9863" s="38" t="n">
        <f aca="false">Sens!$J$9824</f>
        <v>143.025407151278</v>
      </c>
      <c r="K9863" s="38" t="n">
        <f aca="false">Sens!$K$9824</f>
        <v>178.162118285436</v>
      </c>
      <c r="L9863" s="38" t="n">
        <f aca="false">Sens!$L$9824</f>
        <v>200.590902543141</v>
      </c>
      <c r="M9863" s="38" t="n">
        <f aca="false">Sens!$M$9824</f>
        <v>210.280670942702</v>
      </c>
      <c r="N9863" s="38" t="n">
        <f aca="false">Sens!$N$9824</f>
        <v>3.04631953102791</v>
      </c>
      <c r="O9863" s="38" t="n">
        <f aca="false">Sens!$O$9824</f>
        <v>5.65745055762326</v>
      </c>
      <c r="P9863" s="8" t="s">
        <v>692</v>
      </c>
    </row>
    <row r="9864" customFormat="false" ht="17.15" hidden="false" customHeight="false" outlineLevel="0" collapsed="false">
      <c r="A9864" s="0" t="s">
        <v>693</v>
      </c>
      <c r="B9864" s="0" t="s">
        <v>86</v>
      </c>
      <c r="C9864" s="38" t="n">
        <f aca="false">Sens!$C$9828</f>
        <v>105.234994643026</v>
      </c>
      <c r="D9864" s="38" t="n">
        <f aca="false">Sens!$D$9828</f>
        <v>120.021229911349</v>
      </c>
      <c r="E9864" s="38" t="n">
        <f aca="false">Sens!$E$9828</f>
        <v>71.30864702443</v>
      </c>
      <c r="F9864" s="38" t="n">
        <f aca="false">Sens!$F$9828</f>
        <v>71.7692997942464</v>
      </c>
      <c r="G9864" s="38" t="n">
        <f aca="false">Sens!$G$9828</f>
        <v>143.077946818676</v>
      </c>
      <c r="H9864" s="38" t="n">
        <f aca="false">Sens!$H$9828</f>
        <v>161.017077079203</v>
      </c>
      <c r="I9864" s="38" t="n">
        <f aca="false">Sens!$I$9828</f>
        <v>178.769759521457</v>
      </c>
      <c r="J9864" s="38" t="n">
        <f aca="false">Sens!$J$9828</f>
        <v>195.775538045907</v>
      </c>
      <c r="K9864" s="38" t="n">
        <f aca="false">Sens!$K$9828</f>
        <v>211.43758108958</v>
      </c>
      <c r="L9864" s="38" t="n">
        <f aca="false">Sens!$L$9828</f>
        <v>228.352587576746</v>
      </c>
      <c r="M9864" s="38" t="n">
        <f aca="false">Sens!$M$9828</f>
        <v>246.620794582886</v>
      </c>
      <c r="N9864" s="38" t="n">
        <f aca="false">Sens!$N$9828</f>
        <v>57.0936804689721</v>
      </c>
      <c r="O9864" s="38" t="n">
        <f aca="false">Sens!$O$9828</f>
        <v>62.9275494423768</v>
      </c>
      <c r="P9864" s="8" t="s">
        <v>692</v>
      </c>
    </row>
    <row r="9865" customFormat="false" ht="17.15" hidden="false" customHeight="false" outlineLevel="0" collapsed="false">
      <c r="A9865" s="1" t="s">
        <v>516</v>
      </c>
      <c r="B9865" s="8" t="s">
        <v>86</v>
      </c>
      <c r="C9865" s="38" t="n">
        <f aca="false">Q!$D$7</f>
        <v>107.556</v>
      </c>
      <c r="D9865" s="38" t="n">
        <f aca="false">Q!$E$7</f>
        <v>128.725</v>
      </c>
      <c r="E9865" s="38" t="n">
        <f aca="false">Q!$P$7</f>
        <v>79.819</v>
      </c>
      <c r="F9865" s="38" t="n">
        <f aca="false">Sens!$F$9863+Sens!$F$9864</f>
        <v>86.7327334389669</v>
      </c>
      <c r="G9865" s="38" t="n">
        <f aca="false">Sens!$G$9863+Sens!$G$9864</f>
        <v>166.551733438967</v>
      </c>
      <c r="H9865" s="38" t="n">
        <f aca="false">Sens!$H$9863+Sens!$H$9864</f>
        <v>221.182967828978</v>
      </c>
      <c r="I9865" s="38" t="n">
        <f aca="false">Sens!$I$9863+Sens!$I$9864</f>
        <v>280.27345865789</v>
      </c>
      <c r="J9865" s="38" t="n">
        <f aca="false">Sens!$J$9863+Sens!$J$9864</f>
        <v>338.800945197185</v>
      </c>
      <c r="K9865" s="38" t="n">
        <f aca="false">Sens!$K$9863+Sens!$K$9864</f>
        <v>389.599699375015</v>
      </c>
      <c r="L9865" s="38" t="n">
        <f aca="false">Sens!$L$9863+Sens!$L$9864</f>
        <v>428.943490119887</v>
      </c>
      <c r="M9865" s="38" t="n">
        <f aca="false">Sens!$M$9863+Sens!$M$9864</f>
        <v>456.901465525587</v>
      </c>
      <c r="N9865" s="38" t="n">
        <f aca="false">Q!$N$7</f>
        <v>60.14</v>
      </c>
      <c r="O9865" s="38" t="n">
        <f aca="false">Q!$O$7</f>
        <v>68.585</v>
      </c>
      <c r="P9865" s="5" t="s">
        <v>694</v>
      </c>
    </row>
    <row r="9866" customFormat="false" ht="15" hidden="false" customHeight="false" outlineLevel="0" collapsed="false">
      <c r="A9866" s="3" t="s">
        <v>695</v>
      </c>
      <c r="B9866" s="8" t="s">
        <v>86</v>
      </c>
      <c r="C9866" s="38" t="n">
        <f aca="false">Q!$D$8</f>
        <v>637.959</v>
      </c>
      <c r="D9866" s="38" t="n">
        <f aca="false">Q!$E$8</f>
        <v>716.924</v>
      </c>
      <c r="E9866" s="38" t="n">
        <f aca="false">Q!$P$8</f>
        <v>382.125</v>
      </c>
      <c r="F9866" s="38" t="n">
        <f aca="false">Sens!$F$9796+Sens!$F$9865</f>
        <v>435.780975084504</v>
      </c>
      <c r="G9866" s="38" t="n">
        <f aca="false">Sens!$G$9796+Sens!$G$9865</f>
        <v>817.905975084504</v>
      </c>
      <c r="H9866" s="38" t="n">
        <f aca="false">Sens!$H$9796+Sens!$H$9865</f>
        <v>942.279857350364</v>
      </c>
      <c r="I9866" s="38" t="n">
        <f aca="false">Sens!$I$9796+Sens!$I$9865</f>
        <v>1068.80284981042</v>
      </c>
      <c r="J9866" s="38" t="n">
        <f aca="false">Sens!$J$9796+Sens!$J$9865</f>
        <v>1189.90935093863</v>
      </c>
      <c r="K9866" s="38" t="n">
        <f aca="false">Sens!$K$9796+Sens!$K$9865</f>
        <v>1295.7761548061</v>
      </c>
      <c r="L9866" s="38" t="n">
        <f aca="false">Sens!$L$9796+Sens!$L$9865</f>
        <v>1394.03659659548</v>
      </c>
      <c r="M9866" s="38" t="n">
        <f aca="false">Sens!$M$9796+Sens!$M$9865</f>
        <v>1485.04937347247</v>
      </c>
      <c r="N9866" s="38" t="n">
        <f aca="false">Q!$N$8</f>
        <v>323.369</v>
      </c>
      <c r="O9866" s="38" t="n">
        <f aca="false">Q!$O$8</f>
        <v>393.555</v>
      </c>
    </row>
    <row r="9867" customFormat="false" ht="17.15" hidden="false" customHeight="false" outlineLevel="0" collapsed="false">
      <c r="A9867" s="24" t="s">
        <v>703</v>
      </c>
      <c r="B9867" s="25" t="s">
        <v>86</v>
      </c>
      <c r="C9867" s="41" t="n">
        <f aca="false">Sens!$C$9796-(Sens!$C$9798+Sens!$C$9799)</f>
        <v>0</v>
      </c>
      <c r="D9867" s="41" t="n">
        <f aca="false">Sens!$D$9796-(Sens!$D$9798+Sens!$D$9799)</f>
        <v>0</v>
      </c>
      <c r="E9867" s="41" t="n">
        <f aca="false">Sens!$E$9796-(Sens!$E$9798+Sens!$E$9799)</f>
        <v>0</v>
      </c>
      <c r="F9867" s="41" t="n">
        <f aca="false">Sens!$F$9796-(Sens!$F$9798+Sens!$F$9799)</f>
        <v>0</v>
      </c>
      <c r="G9867" s="41" t="n">
        <f aca="false">Sens!$G$9796-(Sens!$G$9798+Sens!$G$9799)</f>
        <v>0</v>
      </c>
      <c r="H9867" s="41" t="n">
        <f aca="false">Sens!$H$9796-(Sens!$H$9798+Sens!$H$9799)</f>
        <v>0</v>
      </c>
      <c r="I9867" s="41" t="n">
        <f aca="false">Sens!$I$9796-(Sens!$I$9798+Sens!$I$9799)</f>
        <v>0</v>
      </c>
      <c r="J9867" s="41" t="n">
        <f aca="false">Sens!$J$9796-(Sens!$J$9798+Sens!$J$9799)</f>
        <v>0</v>
      </c>
      <c r="K9867" s="41" t="n">
        <f aca="false">Sens!$K$9796-(Sens!$K$9798+Sens!$K$9799)</f>
        <v>0</v>
      </c>
      <c r="L9867" s="41" t="n">
        <f aca="false">Sens!$L$9796-(Sens!$L$9798+Sens!$L$9799)</f>
        <v>0</v>
      </c>
      <c r="M9867" s="41" t="n">
        <f aca="false">Sens!$M$9796-(Sens!$M$9798+Sens!$M$9799)</f>
        <v>0</v>
      </c>
      <c r="N9867" s="41" t="n">
        <f aca="false">Sens!$N$9796-(Sens!$N$9798+Sens!$N$9799)</f>
        <v>0</v>
      </c>
      <c r="O9867" s="41" t="n">
        <f aca="false">Sens!$O$9796-(Sens!$O$9798+Sens!$O$9799)</f>
        <v>0</v>
      </c>
    </row>
    <row r="9868" customFormat="false" ht="17.15" hidden="false" customHeight="false" outlineLevel="0" collapsed="false">
      <c r="A9868" s="24" t="s">
        <v>704</v>
      </c>
      <c r="B9868" s="25" t="s">
        <v>86</v>
      </c>
      <c r="C9868" s="41" t="n">
        <f aca="false">Sens!$C$9863+Sens!$C$9864-Sens!$C$9865</f>
        <v>0</v>
      </c>
      <c r="D9868" s="41" t="n">
        <f aca="false">Sens!$D$9863+Sens!$D$9864-Sens!$D$9865</f>
        <v>0</v>
      </c>
      <c r="E9868" s="41" t="n">
        <f aca="false">Sens!$E$9863+Sens!$E$9864-Sens!$E$9865</f>
        <v>0</v>
      </c>
      <c r="F9868" s="41" t="n">
        <f aca="false">Sens!$F$9863+Sens!$F$9864-Sens!$F$9865</f>
        <v>0</v>
      </c>
      <c r="G9868" s="41" t="n">
        <f aca="false">Sens!$G$9863+Sens!$G$9864-Sens!$G$9865</f>
        <v>0</v>
      </c>
      <c r="H9868" s="41" t="n">
        <f aca="false">Sens!$H$9863+Sens!$H$9864-Sens!$H$9865</f>
        <v>0</v>
      </c>
      <c r="I9868" s="41" t="n">
        <f aca="false">Sens!$I$9863+Sens!$I$9864-Sens!$I$9865</f>
        <v>0</v>
      </c>
      <c r="J9868" s="41" t="n">
        <f aca="false">Sens!$J$9863+Sens!$J$9864-Sens!$J$9865</f>
        <v>0</v>
      </c>
      <c r="K9868" s="41" t="n">
        <f aca="false">Sens!$K$9863+Sens!$K$9864-Sens!$K$9865</f>
        <v>0</v>
      </c>
      <c r="L9868" s="41" t="n">
        <f aca="false">Sens!$L$9863+Sens!$L$9864-Sens!$L$9865</f>
        <v>0</v>
      </c>
      <c r="M9868" s="41" t="n">
        <f aca="false">Sens!$M$9863+Sens!$M$9864-Sens!$M$9865</f>
        <v>0</v>
      </c>
      <c r="N9868" s="41" t="n">
        <f aca="false">Sens!$N$9863+Sens!$N$9864-Sens!$N$9865</f>
        <v>0</v>
      </c>
      <c r="O9868" s="41" t="n">
        <f aca="false">Sens!$O$9863+Sens!$O$9864-Sens!$O$9865</f>
        <v>0</v>
      </c>
    </row>
    <row r="9869" customFormat="false" ht="17.15" hidden="false" customHeight="false" outlineLevel="0" collapsed="false">
      <c r="A9869" s="24" t="s">
        <v>705</v>
      </c>
      <c r="B9869" s="25" t="s">
        <v>86</v>
      </c>
      <c r="C9869" s="41" t="n">
        <f aca="false">Sens!$C$9798+Sens!$C$9799+Sens!$C$9865-Sens!$C$9866</f>
        <v>0</v>
      </c>
      <c r="D9869" s="41" t="n">
        <f aca="false">Sens!$D$9798+Sens!$D$9799+Sens!$D$9865-Sens!$D$9866</f>
        <v>0</v>
      </c>
      <c r="E9869" s="41" t="n">
        <f aca="false">Sens!$E$9798+Sens!$E$9799+Sens!$E$9865-Sens!$E$9866</f>
        <v>0</v>
      </c>
      <c r="F9869" s="41" t="n">
        <f aca="false">Sens!$F$9798+Sens!$F$9799+Sens!$F$9865-Sens!$F$9866</f>
        <v>0</v>
      </c>
      <c r="G9869" s="41" t="n">
        <f aca="false">Sens!$G$9798+Sens!$G$9799+Sens!$G$9865-Sens!$G$9866</f>
        <v>0</v>
      </c>
      <c r="H9869" s="41" t="n">
        <f aca="false">Sens!$H$9798+Sens!$H$9799+Sens!$H$9865-Sens!$H$9866</f>
        <v>0</v>
      </c>
      <c r="I9869" s="41" t="n">
        <f aca="false">Sens!$I$9798+Sens!$I$9799+Sens!$I$9865-Sens!$I$9866</f>
        <v>0</v>
      </c>
      <c r="J9869" s="41" t="n">
        <f aca="false">Sens!$J$9798+Sens!$J$9799+Sens!$J$9865-Sens!$J$9866</f>
        <v>0</v>
      </c>
      <c r="K9869" s="41" t="n">
        <f aca="false">Sens!$K$9798+Sens!$K$9799+Sens!$K$9865-Sens!$K$9866</f>
        <v>0</v>
      </c>
      <c r="L9869" s="41" t="n">
        <f aca="false">Sens!$L$9798+Sens!$L$9799+Sens!$L$9865-Sens!$L$9866</f>
        <v>0</v>
      </c>
      <c r="M9869" s="41" t="n">
        <f aca="false">Sens!$M$9798+Sens!$M$9799+Sens!$M$9865-Sens!$M$9866</f>
        <v>0</v>
      </c>
      <c r="N9869" s="41" t="n">
        <f aca="false">Sens!$N$9798+Sens!$N$9799+Sens!$N$9865-Sens!$N$9866</f>
        <v>0</v>
      </c>
      <c r="O9869" s="41" t="n">
        <f aca="false">Sens!$O$9798+Sens!$O$9799+Sens!$O$9865-Sens!$O$9866</f>
        <v>0</v>
      </c>
    </row>
    <row r="9870" customFormat="false" ht="15" hidden="false" customHeight="false" outlineLevel="0" collapsed="false">
      <c r="A9870" s="5" t="s">
        <v>699</v>
      </c>
      <c r="B9870" s="0" t="s">
        <v>52</v>
      </c>
      <c r="G9870" s="13" t="n">
        <f aca="false">Sens!$G$9866/Sens!$D$9866-1</f>
        <v>0.140854504918937</v>
      </c>
      <c r="H9870" s="13" t="n">
        <f aca="false">Sens!$H$9866/Sens!$G$9866-1</f>
        <v>0.152063789793209</v>
      </c>
      <c r="I9870" s="13" t="n">
        <f aca="false">Sens!$I$9866/Sens!$H$9866-1</f>
        <v>0.134273264437417</v>
      </c>
      <c r="J9870" s="13" t="n">
        <f aca="false">Sens!$J$9866/Sens!$I$9866-1</f>
        <v>0.113310421234083</v>
      </c>
      <c r="K9870" s="13" t="n">
        <f aca="false">Sens!$K$9866/Sens!$J$9866-1</f>
        <v>0.0889704781158034</v>
      </c>
      <c r="L9870" s="13" t="n">
        <f aca="false">Sens!$L$9866/Sens!$K$9866-1</f>
        <v>0.0758313397147494</v>
      </c>
      <c r="M9870" s="13" t="n">
        <f aca="false">Sens!$M$9866/Sens!$L$9866-1</f>
        <v>0.0652872220853238</v>
      </c>
    </row>
    <row r="9871" customFormat="false" ht="17.15" hidden="false" customHeight="false" outlineLevel="0" collapsed="false">
      <c r="A9871" s="0" t="s">
        <v>700</v>
      </c>
      <c r="B9871" s="0" t="s">
        <v>52</v>
      </c>
      <c r="C9871" s="13" t="n">
        <f aca="false">Sens!$C$9865/Sens!$C$9866</f>
        <v>0.168593906504964</v>
      </c>
      <c r="D9871" s="13" t="n">
        <f aca="false">Sens!$D$9865/Sens!$D$9866</f>
        <v>0.179551807444025</v>
      </c>
      <c r="E9871" s="13" t="n">
        <f aca="false">Sens!$E$9865/Sens!$E$9866</f>
        <v>0.208881910369643</v>
      </c>
      <c r="F9871" s="13" t="n">
        <f aca="false">Sens!$F$9865/Sens!$F$9866</f>
        <v>0.199028269699356</v>
      </c>
      <c r="G9871" s="13" t="n">
        <f aca="false">Sens!$G$9865/Sens!$G$9866</f>
        <v>0.203631882529968</v>
      </c>
      <c r="H9871" s="13" t="n">
        <f aca="false">Sens!$H$9865/Sens!$H$9866</f>
        <v>0.234731715958496</v>
      </c>
      <c r="I9871" s="13" t="n">
        <f aca="false">Sens!$I$9865/Sens!$I$9866</f>
        <v>0.262231204480418</v>
      </c>
      <c r="J9871" s="13" t="n">
        <f aca="false">Sens!$J$9865/Sens!$J$9866</f>
        <v>0.284728366013706</v>
      </c>
      <c r="K9871" s="13" t="n">
        <f aca="false">Sens!$K$9865/Sens!$K$9866</f>
        <v>0.300668983550877</v>
      </c>
      <c r="L9871" s="13" t="n">
        <f aca="false">Sens!$L$9865/Sens!$L$9866</f>
        <v>0.307698873306092</v>
      </c>
      <c r="M9871" s="13" t="n">
        <f aca="false">Sens!$M$9865/Sens!$M$9866</f>
        <v>0.30766752519293</v>
      </c>
      <c r="N9871" s="13" t="n">
        <f aca="false">Sens!$N$9865/Sens!$N$9866</f>
        <v>0.185979484737251</v>
      </c>
      <c r="O9871" s="13" t="n">
        <f aca="false">Sens!$O$9865/Sens!$O$9866</f>
        <v>0.174270432341096</v>
      </c>
    </row>
    <row r="9872" customFormat="false" ht="17.15" hidden="false" customHeight="false" outlineLevel="0" collapsed="false">
      <c r="A9872" s="0" t="s">
        <v>701</v>
      </c>
      <c r="B9872" s="0" t="s">
        <v>52</v>
      </c>
      <c r="C9872" s="13" t="n">
        <f aca="false">Sens!$C$9863/Sens!$C$9865</f>
        <v>0.0215795060896058</v>
      </c>
      <c r="D9872" s="13" t="n">
        <f aca="false">Sens!$D$9863/Sens!$D$9865</f>
        <v>0.0676152269462122</v>
      </c>
      <c r="E9872" s="13" t="n">
        <f aca="false">Sens!$E$9863/Sens!$E$9865</f>
        <v>0.106620641395783</v>
      </c>
      <c r="F9872" s="13" t="n">
        <f aca="false">Sens!$F$9863/Sens!$F$9865</f>
        <v>0.172523487401099</v>
      </c>
      <c r="G9872" s="13" t="n">
        <f aca="false">Sens!$G$9863/Sens!$G$9865</f>
        <v>0.140939911795589</v>
      </c>
      <c r="H9872" s="13" t="n">
        <f aca="false">Sens!$H$9863/Sens!$H$9865</f>
        <v>0.272018642937714</v>
      </c>
      <c r="I9872" s="13" t="n">
        <f aca="false">Sens!$I$9863/Sens!$I$9865</f>
        <v>0.362159512436497</v>
      </c>
      <c r="J9872" s="13" t="n">
        <f aca="false">Sens!$J$9863/Sens!$J$9865</f>
        <v>0.422151735934609</v>
      </c>
      <c r="K9872" s="13" t="n">
        <f aca="false">Sens!$K$9863/Sens!$K$9865</f>
        <v>0.45729531765871</v>
      </c>
      <c r="L9872" s="13" t="n">
        <f aca="false">Sens!$L$9863/Sens!$L$9865</f>
        <v>0.467639461055993</v>
      </c>
      <c r="M9872" s="13" t="n">
        <f aca="false">Sens!$M$9863/Sens!$M$9865</f>
        <v>0.460231990503268</v>
      </c>
      <c r="N9872" s="13" t="n">
        <f aca="false">Sens!$N$9863/Sens!$N$9865</f>
        <v>0.0506537999838362</v>
      </c>
      <c r="O9872" s="13" t="n">
        <f aca="false">Sens!$O$9863/Sens!$O$9865</f>
        <v>0.0824881615167056</v>
      </c>
    </row>
    <row r="9875" customFormat="false" ht="19.4" hidden="false" customHeight="false" outlineLevel="0" collapsed="false">
      <c r="A9875" s="31" t="s">
        <v>1337</v>
      </c>
    </row>
    <row r="9876" customFormat="false" ht="17.15" hidden="false" customHeight="false" outlineLevel="0" collapsed="false">
      <c r="A9876" s="6" t="s">
        <v>16</v>
      </c>
      <c r="B9876" s="6" t="s">
        <v>17</v>
      </c>
      <c r="C9876" s="20" t="s">
        <v>497</v>
      </c>
      <c r="D9876" s="20" t="s">
        <v>498</v>
      </c>
      <c r="E9876" s="20" t="s">
        <v>580</v>
      </c>
      <c r="F9876" s="20" t="s">
        <v>581</v>
      </c>
      <c r="G9876" s="20" t="s">
        <v>582</v>
      </c>
      <c r="H9876" s="20" t="s">
        <v>583</v>
      </c>
      <c r="I9876" s="20" t="s">
        <v>584</v>
      </c>
      <c r="J9876" s="20" t="s">
        <v>585</v>
      </c>
      <c r="K9876" s="20" t="s">
        <v>586</v>
      </c>
      <c r="L9876" s="20" t="s">
        <v>587</v>
      </c>
      <c r="M9876" s="20" t="s">
        <v>588</v>
      </c>
      <c r="N9876" s="20" t="s">
        <v>589</v>
      </c>
      <c r="O9876" s="20" t="s">
        <v>590</v>
      </c>
      <c r="P9876" s="6" t="s">
        <v>23</v>
      </c>
      <c r="R9876" s="20" t="n">
        <v>2023</v>
      </c>
      <c r="S9876" s="20" t="n">
        <v>2024</v>
      </c>
      <c r="T9876" s="20" t="n">
        <v>2025</v>
      </c>
      <c r="U9876" s="20" t="n">
        <v>2026</v>
      </c>
      <c r="V9876" s="20" t="n">
        <v>2027</v>
      </c>
      <c r="W9876" s="20" t="n">
        <v>2028</v>
      </c>
      <c r="X9876" s="20" t="n">
        <v>2029</v>
      </c>
      <c r="Y9876" s="20" t="n">
        <v>2030</v>
      </c>
      <c r="Z9876" s="20" t="n">
        <v>2031</v>
      </c>
      <c r="AA9876" s="20" t="n">
        <v>2032</v>
      </c>
    </row>
    <row r="9877" customFormat="false" ht="17.15" hidden="false" customHeight="false" outlineLevel="0" collapsed="false">
      <c r="A9877" s="1" t="s">
        <v>716</v>
      </c>
    </row>
    <row r="9878" customFormat="false" ht="15" hidden="false" customHeight="false" outlineLevel="0" collapsed="false">
      <c r="A9878" s="0" t="s">
        <v>519</v>
      </c>
      <c r="B9878" s="0" t="s">
        <v>86</v>
      </c>
      <c r="C9878" s="38" t="n">
        <f aca="false">Sens!$C$9783</f>
        <v>247.029</v>
      </c>
      <c r="D9878" s="38" t="n">
        <f aca="false">Sens!$D$9783</f>
        <v>269.287</v>
      </c>
      <c r="E9878" s="38" t="n">
        <f aca="false">Sens!$E$9783</f>
        <v>134.686</v>
      </c>
      <c r="F9878" s="38" t="n">
        <f aca="false">Sens!$F$9783</f>
        <v>158.293876822267</v>
      </c>
      <c r="G9878" s="38" t="n">
        <f aca="false">Sens!$G$9783</f>
        <v>292.979876822267</v>
      </c>
      <c r="H9878" s="38" t="n">
        <f aca="false">Sens!$H$9783</f>
        <v>318.184543087396</v>
      </c>
      <c r="I9878" s="38" t="n">
        <f aca="false">Sens!$I$9783</f>
        <v>341.736278761793</v>
      </c>
      <c r="J9878" s="38" t="n">
        <f aca="false">Sens!$J$9783</f>
        <v>362.927192787048</v>
      </c>
      <c r="K9878" s="38" t="n">
        <f aca="false">Sens!$K$9783</f>
        <v>381.0735524264</v>
      </c>
      <c r="L9878" s="38" t="n">
        <f aca="false">Sens!$L$9783</f>
        <v>400.12723004772</v>
      </c>
      <c r="M9878" s="38" t="n">
        <f aca="false">Sens!$M$9783</f>
        <v>420.133591550106</v>
      </c>
      <c r="N9878" s="38" t="n">
        <f aca="false">Sens!$N$9783</f>
        <v>118.892</v>
      </c>
      <c r="O9878" s="38" t="n">
        <f aca="false">Sens!$O$9783</f>
        <v>150.395</v>
      </c>
    </row>
    <row r="9879" customFormat="false" ht="15" hidden="false" customHeight="false" outlineLevel="0" collapsed="false">
      <c r="A9879" s="0" t="s">
        <v>520</v>
      </c>
      <c r="B9879" s="0" t="s">
        <v>86</v>
      </c>
      <c r="C9879" s="38" t="n">
        <f aca="false">Sens!$C$9785</f>
        <v>21.215</v>
      </c>
      <c r="D9879" s="38" t="n">
        <f aca="false">Sens!$D$9785</f>
        <v>22.561</v>
      </c>
      <c r="E9879" s="38" t="n">
        <f aca="false">Sens!$E$9785</f>
        <v>11.579</v>
      </c>
      <c r="F9879" s="38" t="n">
        <f aca="false">Sens!$F$9785</f>
        <v>11.5938724610325</v>
      </c>
      <c r="G9879" s="38" t="n">
        <f aca="false">Sens!$G$9785</f>
        <v>23.1728724610325</v>
      </c>
      <c r="H9879" s="38" t="n">
        <f aca="false">Sens!$H$9785</f>
        <v>24.353392759506</v>
      </c>
      <c r="I9879" s="38" t="n">
        <f aca="false">Sens!$I$9785</f>
        <v>25.4240338872015</v>
      </c>
      <c r="J9879" s="38" t="n">
        <f aca="false">Sens!$J$9785</f>
        <v>26.3642491017174</v>
      </c>
      <c r="K9879" s="38" t="n">
        <f aca="false">Sens!$K$9785</f>
        <v>27.155176574769</v>
      </c>
      <c r="L9879" s="38" t="n">
        <f aca="false">Sens!$L$9785</f>
        <v>27.969831872012</v>
      </c>
      <c r="M9879" s="38" t="n">
        <f aca="false">Sens!$M$9785</f>
        <v>28.8089268281724</v>
      </c>
      <c r="N9879" s="38" t="n">
        <f aca="false">Sens!$N$9785</f>
        <v>11.128</v>
      </c>
      <c r="O9879" s="38" t="n">
        <f aca="false">Sens!$O$9785</f>
        <v>11.433</v>
      </c>
    </row>
    <row r="9880" customFormat="false" ht="15" hidden="false" customHeight="false" outlineLevel="0" collapsed="false">
      <c r="A9880" s="0" t="s">
        <v>521</v>
      </c>
      <c r="B9880" s="0" t="s">
        <v>86</v>
      </c>
      <c r="C9880" s="38" t="n">
        <f aca="false">Sens!$C$9787</f>
        <v>156.146</v>
      </c>
      <c r="D9880" s="38" t="n">
        <f aca="false">Sens!$D$9787</f>
        <v>172.162</v>
      </c>
      <c r="E9880" s="38" t="n">
        <f aca="false">Sens!$E$9787</f>
        <v>88.358</v>
      </c>
      <c r="F9880" s="38" t="n">
        <f aca="false">Sens!$F$9787</f>
        <v>102.004388260171</v>
      </c>
      <c r="G9880" s="38" t="n">
        <f aca="false">Sens!$G$9787</f>
        <v>190.362388260171</v>
      </c>
      <c r="H9880" s="38" t="n">
        <f aca="false">Sens!$H$9787</f>
        <v>210.343106588311</v>
      </c>
      <c r="I9880" s="38" t="n">
        <f aca="false">Sens!$I$9787</f>
        <v>229.969728494648</v>
      </c>
      <c r="J9880" s="38" t="n">
        <f aca="false">Sens!$J$9787</f>
        <v>248.747636972598</v>
      </c>
      <c r="K9880" s="38" t="n">
        <f aca="false">Sens!$K$9787</f>
        <v>266.15997156068</v>
      </c>
      <c r="L9880" s="38" t="n">
        <f aca="false">Sens!$L$9787</f>
        <v>284.791169569927</v>
      </c>
      <c r="M9880" s="38" t="n">
        <f aca="false">Sens!$M$9787</f>
        <v>304.726551439822</v>
      </c>
      <c r="N9880" s="38" t="n">
        <f aca="false">Sens!$N$9787</f>
        <v>76.86</v>
      </c>
      <c r="O9880" s="38" t="n">
        <f aca="false">Sens!$O$9787</f>
        <v>95.302</v>
      </c>
    </row>
    <row r="9881" customFormat="false" ht="15" hidden="false" customHeight="false" outlineLevel="0" collapsed="false">
      <c r="A9881" s="0" t="s">
        <v>522</v>
      </c>
      <c r="B9881" s="0" t="s">
        <v>86</v>
      </c>
      <c r="C9881" s="38" t="n">
        <f aca="false">Sens!$C$9789</f>
        <v>56.214</v>
      </c>
      <c r="D9881" s="38" t="n">
        <f aca="false">Sens!$D$9789</f>
        <v>68.635</v>
      </c>
      <c r="E9881" s="38" t="n">
        <f aca="false">Sens!$E$9789</f>
        <v>37.052</v>
      </c>
      <c r="F9881" s="38" t="n">
        <f aca="false">Sens!$F$9789</f>
        <v>46.1572219944148</v>
      </c>
      <c r="G9881" s="38" t="n">
        <f aca="false">Sens!$G$9789</f>
        <v>83.2092219944148</v>
      </c>
      <c r="H9881" s="38" t="n">
        <f aca="false">Sens!$H$9789</f>
        <v>99.8969223878976</v>
      </c>
      <c r="I9881" s="38" t="n">
        <f aca="false">Sens!$I$9789</f>
        <v>116.583111095496</v>
      </c>
      <c r="J9881" s="38" t="n">
        <f aca="false">Sens!$J$9789</f>
        <v>132.148941941952</v>
      </c>
      <c r="K9881" s="38" t="n">
        <f aca="false">Sens!$K$9789</f>
        <v>145.363836136147</v>
      </c>
      <c r="L9881" s="38" t="n">
        <f aca="false">Sens!$L$9789</f>
        <v>159.900219749762</v>
      </c>
      <c r="M9881" s="38" t="n">
        <f aca="false">Sens!$M$9789</f>
        <v>175.890241724738</v>
      </c>
      <c r="N9881" s="38" t="n">
        <f aca="false">Sens!$N$9789</f>
        <v>29.615</v>
      </c>
      <c r="O9881" s="38" t="n">
        <f aca="false">Sens!$O$9789</f>
        <v>39.02</v>
      </c>
    </row>
    <row r="9882" customFormat="false" ht="15" hidden="false" customHeight="false" outlineLevel="0" collapsed="false">
      <c r="A9882" s="0" t="s">
        <v>523</v>
      </c>
      <c r="B9882" s="0" t="s">
        <v>86</v>
      </c>
      <c r="C9882" s="38" t="n">
        <f aca="false">Sens!$C$9791</f>
        <v>44.374</v>
      </c>
      <c r="D9882" s="38" t="n">
        <f aca="false">Sens!$D$9791</f>
        <v>49.619</v>
      </c>
      <c r="E9882" s="38" t="n">
        <f aca="false">Sens!$E$9791</f>
        <v>27.157</v>
      </c>
      <c r="F9882" s="38" t="n">
        <f aca="false">Sens!$F$9791</f>
        <v>27.7764165988154</v>
      </c>
      <c r="G9882" s="38" t="n">
        <f aca="false">Sens!$G$9791</f>
        <v>54.9334165988154</v>
      </c>
      <c r="H9882" s="38" t="n">
        <f aca="false">Sens!$H$9791</f>
        <v>61.1564112561829</v>
      </c>
      <c r="I9882" s="38" t="n">
        <f aca="false">Sens!$I$9791</f>
        <v>67.2020282103945</v>
      </c>
      <c r="J9882" s="38" t="n">
        <f aca="false">Sens!$J$9791</f>
        <v>72.8757274028885</v>
      </c>
      <c r="K9882" s="38" t="n">
        <f aca="false">Sens!$K$9791</f>
        <v>77.9770283210907</v>
      </c>
      <c r="L9882" s="38" t="n">
        <f aca="false">Sens!$L$9791</f>
        <v>83.4354203035671</v>
      </c>
      <c r="M9882" s="38" t="n">
        <f aca="false">Sens!$M$9791</f>
        <v>89.2758997248168</v>
      </c>
      <c r="N9882" s="38" t="n">
        <f aca="false">Sens!$N$9791</f>
        <v>23.923</v>
      </c>
      <c r="O9882" s="38" t="n">
        <f aca="false">Sens!$O$9791</f>
        <v>25.696</v>
      </c>
    </row>
    <row r="9883" customFormat="false" ht="15" hidden="false" customHeight="false" outlineLevel="0" collapsed="false">
      <c r="A9883" s="0" t="s">
        <v>524</v>
      </c>
      <c r="B9883" s="0" t="s">
        <v>86</v>
      </c>
      <c r="C9883" s="38" t="n">
        <f aca="false">Sens!$C$9793</f>
        <v>5.425</v>
      </c>
      <c r="D9883" s="38" t="n">
        <f aca="false">Sens!$D$9793</f>
        <v>5.935</v>
      </c>
      <c r="E9883" s="38" t="n">
        <f aca="false">Sens!$E$9793</f>
        <v>3.474</v>
      </c>
      <c r="F9883" s="38" t="n">
        <f aca="false">Sens!$F$9793</f>
        <v>3.22246550883619</v>
      </c>
      <c r="G9883" s="38" t="n">
        <f aca="false">Sens!$G$9793</f>
        <v>6.69646550883619</v>
      </c>
      <c r="H9883" s="38" t="n">
        <f aca="false">Sens!$H$9793</f>
        <v>7.16251344209196</v>
      </c>
      <c r="I9883" s="38" t="n">
        <f aca="false">Sens!$I$9793</f>
        <v>7.61421070299826</v>
      </c>
      <c r="J9883" s="38" t="n">
        <f aca="false">Sens!$J$9793</f>
        <v>8.04465753523932</v>
      </c>
      <c r="K9883" s="38" t="n">
        <f aca="false">Sens!$K$9793</f>
        <v>8.44689041200128</v>
      </c>
      <c r="L9883" s="38" t="n">
        <f aca="false">Sens!$L$9793</f>
        <v>8.86923493260135</v>
      </c>
      <c r="M9883" s="38" t="n">
        <f aca="false">Sens!$M$9793</f>
        <v>9.31269667923142</v>
      </c>
      <c r="N9883" s="38" t="n">
        <f aca="false">Sens!$N$9793</f>
        <v>2.811</v>
      </c>
      <c r="O9883" s="38" t="n">
        <f aca="false">Sens!$O$9793</f>
        <v>3.124</v>
      </c>
    </row>
    <row r="9884" customFormat="false" ht="17.15" hidden="false" customHeight="false" outlineLevel="0" collapsed="false">
      <c r="A9884" s="0" t="s">
        <v>717</v>
      </c>
      <c r="B9884" s="0" t="s">
        <v>86</v>
      </c>
      <c r="C9884" s="38" t="n">
        <f aca="false">Sens!$C$9865</f>
        <v>107.556</v>
      </c>
      <c r="D9884" s="38" t="n">
        <f aca="false">Sens!$D$9865</f>
        <v>128.725</v>
      </c>
      <c r="E9884" s="38" t="n">
        <f aca="false">Sens!$E$9865</f>
        <v>79.819</v>
      </c>
      <c r="F9884" s="38" t="n">
        <f aca="false">Sens!$F$9865</f>
        <v>86.7327334389669</v>
      </c>
      <c r="G9884" s="38" t="n">
        <f aca="false">Sens!$G$9865</f>
        <v>166.551733438967</v>
      </c>
      <c r="H9884" s="38" t="n">
        <f aca="false">Sens!$H$9865</f>
        <v>221.182967828978</v>
      </c>
      <c r="I9884" s="38" t="n">
        <f aca="false">Sens!$I$9865</f>
        <v>280.27345865789</v>
      </c>
      <c r="J9884" s="38" t="n">
        <f aca="false">Sens!$J$9865</f>
        <v>338.800945197185</v>
      </c>
      <c r="K9884" s="38" t="n">
        <f aca="false">Sens!$K$9865</f>
        <v>389.599699375015</v>
      </c>
      <c r="L9884" s="38" t="n">
        <f aca="false">Sens!$L$9865</f>
        <v>428.943490119887</v>
      </c>
      <c r="M9884" s="38" t="n">
        <f aca="false">Sens!$M$9865</f>
        <v>456.901465525587</v>
      </c>
      <c r="N9884" s="38" t="n">
        <f aca="false">Sens!$N$9865</f>
        <v>60.14</v>
      </c>
      <c r="O9884" s="38" t="n">
        <f aca="false">Sens!$O$9865</f>
        <v>68.585</v>
      </c>
    </row>
    <row r="9885" customFormat="false" ht="15" hidden="false" customHeight="false" outlineLevel="0" collapsed="false">
      <c r="A9885" s="1" t="s">
        <v>512</v>
      </c>
      <c r="B9885" s="8" t="s">
        <v>86</v>
      </c>
      <c r="C9885" s="38" t="n">
        <f aca="false">Sens!$C$9798</f>
        <v>387.497</v>
      </c>
      <c r="D9885" s="38" t="n">
        <f aca="false">Sens!$D$9798</f>
        <v>426.305</v>
      </c>
      <c r="E9885" s="38" t="n">
        <f aca="false">Sens!$E$9798</f>
        <v>220.32</v>
      </c>
      <c r="F9885" s="38" t="n">
        <f aca="false">Sens!$F$9798</f>
        <v>250.639773480586</v>
      </c>
      <c r="G9885" s="38" t="n">
        <f aca="false">Sens!$G$9798</f>
        <v>470.959773480586</v>
      </c>
      <c r="H9885" s="38" t="n">
        <f aca="false">Sens!$H$9798</f>
        <v>521.386990416437</v>
      </c>
      <c r="I9885" s="38" t="n">
        <f aca="false">Sens!$I$9798</f>
        <v>570.143862887555</v>
      </c>
      <c r="J9885" s="38" t="n">
        <f aca="false">Sens!$J$9798</f>
        <v>615.391435791933</v>
      </c>
      <c r="K9885" s="38" t="n">
        <f aca="false">Sens!$K$9798</f>
        <v>655.208227561543</v>
      </c>
      <c r="L9885" s="38" t="n">
        <f aca="false">Sens!$L$9798</f>
        <v>697.807739249767</v>
      </c>
      <c r="M9885" s="38" t="n">
        <f aca="false">Sens!$M$9798</f>
        <v>743.399328463592</v>
      </c>
      <c r="N9885" s="38" t="n">
        <f aca="false">Sens!$N$9798</f>
        <v>192.955</v>
      </c>
      <c r="O9885" s="38" t="n">
        <f aca="false">Sens!$O$9798</f>
        <v>233.35</v>
      </c>
    </row>
    <row r="9886" customFormat="false" ht="15" hidden="false" customHeight="false" outlineLevel="0" collapsed="false">
      <c r="A9886" s="1" t="s">
        <v>515</v>
      </c>
      <c r="B9886" s="8" t="s">
        <v>86</v>
      </c>
      <c r="C9886" s="38" t="n">
        <f aca="false">Sens!$C$9799</f>
        <v>142.906</v>
      </c>
      <c r="D9886" s="38" t="n">
        <f aca="false">Sens!$D$9799</f>
        <v>161.894</v>
      </c>
      <c r="E9886" s="38" t="n">
        <f aca="false">Sens!$E$9799</f>
        <v>81.986</v>
      </c>
      <c r="F9886" s="38" t="n">
        <f aca="false">Sens!$F$9799</f>
        <v>98.408468164951</v>
      </c>
      <c r="G9886" s="38" t="n">
        <f aca="false">Sens!$G$9799</f>
        <v>180.394468164951</v>
      </c>
      <c r="H9886" s="38" t="n">
        <f aca="false">Sens!$H$9799</f>
        <v>199.709899104949</v>
      </c>
      <c r="I9886" s="38" t="n">
        <f aca="false">Sens!$I$9799</f>
        <v>218.385528264976</v>
      </c>
      <c r="J9886" s="38" t="n">
        <f aca="false">Sens!$J$9799</f>
        <v>235.71696994951</v>
      </c>
      <c r="K9886" s="38" t="n">
        <f aca="false">Sens!$K$9799</f>
        <v>250.968227869545</v>
      </c>
      <c r="L9886" s="38" t="n">
        <f aca="false">Sens!$L$9799</f>
        <v>267.285367225822</v>
      </c>
      <c r="M9886" s="38" t="n">
        <f aca="false">Sens!$M$9799</f>
        <v>284.748579483295</v>
      </c>
      <c r="N9886" s="38" t="n">
        <f aca="false">Sens!$N$9799</f>
        <v>70.274</v>
      </c>
      <c r="O9886" s="38" t="n">
        <f aca="false">Sens!$O$9799</f>
        <v>91.62</v>
      </c>
    </row>
    <row r="9887" customFormat="false" ht="15" hidden="false" customHeight="false" outlineLevel="0" collapsed="false">
      <c r="A9887" s="1" t="s">
        <v>516</v>
      </c>
      <c r="B9887" s="8" t="s">
        <v>86</v>
      </c>
      <c r="C9887" s="38" t="n">
        <f aca="false">Sens!$C$9865</f>
        <v>107.556</v>
      </c>
      <c r="D9887" s="38" t="n">
        <f aca="false">Sens!$D$9865</f>
        <v>128.725</v>
      </c>
      <c r="E9887" s="38" t="n">
        <f aca="false">Sens!$E$9865</f>
        <v>79.819</v>
      </c>
      <c r="F9887" s="38" t="n">
        <f aca="false">Sens!$F$9865</f>
        <v>86.7327334389669</v>
      </c>
      <c r="G9887" s="38" t="n">
        <f aca="false">Sens!$G$9865</f>
        <v>166.551733438967</v>
      </c>
      <c r="H9887" s="38" t="n">
        <f aca="false">Sens!$H$9865</f>
        <v>221.182967828978</v>
      </c>
      <c r="I9887" s="38" t="n">
        <f aca="false">Sens!$I$9865</f>
        <v>280.27345865789</v>
      </c>
      <c r="J9887" s="38" t="n">
        <f aca="false">Sens!$J$9865</f>
        <v>338.800945197185</v>
      </c>
      <c r="K9887" s="38" t="n">
        <f aca="false">Sens!$K$9865</f>
        <v>389.599699375015</v>
      </c>
      <c r="L9887" s="38" t="n">
        <f aca="false">Sens!$L$9865</f>
        <v>428.943490119887</v>
      </c>
      <c r="M9887" s="38" t="n">
        <f aca="false">Sens!$M$9865</f>
        <v>456.901465525587</v>
      </c>
      <c r="N9887" s="38" t="n">
        <f aca="false">Sens!$N$9865</f>
        <v>60.14</v>
      </c>
      <c r="O9887" s="38" t="n">
        <f aca="false">Sens!$O$9865</f>
        <v>68.585</v>
      </c>
    </row>
    <row r="9888" customFormat="false" ht="17.15" hidden="false" customHeight="false" outlineLevel="0" collapsed="false">
      <c r="A9888" s="0" t="s">
        <v>691</v>
      </c>
      <c r="B9888" s="0" t="s">
        <v>86</v>
      </c>
      <c r="C9888" s="38" t="n">
        <f aca="false">Sens!$C$9863</f>
        <v>2.32100535697364</v>
      </c>
      <c r="D9888" s="38" t="n">
        <f aca="false">Sens!$D$9863</f>
        <v>8.70377008865116</v>
      </c>
      <c r="E9888" s="38" t="n">
        <f aca="false">Sens!$E$9863</f>
        <v>8.51035297557002</v>
      </c>
      <c r="F9888" s="38" t="n">
        <f aca="false">Sens!$F$9863</f>
        <v>14.9634336447205</v>
      </c>
      <c r="G9888" s="38" t="n">
        <f aca="false">Sens!$G$9863</f>
        <v>23.4737866202905</v>
      </c>
      <c r="H9888" s="38" t="n">
        <f aca="false">Sens!$H$9863</f>
        <v>60.1658907497746</v>
      </c>
      <c r="I9888" s="38" t="n">
        <f aca="false">Sens!$I$9863</f>
        <v>101.503699136432</v>
      </c>
      <c r="J9888" s="38" t="n">
        <f aca="false">Sens!$J$9863</f>
        <v>143.025407151278</v>
      </c>
      <c r="K9888" s="38" t="n">
        <f aca="false">Sens!$K$9863</f>
        <v>178.162118285436</v>
      </c>
      <c r="L9888" s="38" t="n">
        <f aca="false">Sens!$L$9863</f>
        <v>200.590902543141</v>
      </c>
      <c r="M9888" s="38" t="n">
        <f aca="false">Sens!$M$9863</f>
        <v>210.280670942702</v>
      </c>
      <c r="N9888" s="38" t="n">
        <f aca="false">Sens!$N$9863</f>
        <v>3.04631953102791</v>
      </c>
      <c r="O9888" s="38" t="n">
        <f aca="false">Sens!$O$9863</f>
        <v>5.65745055762326</v>
      </c>
    </row>
    <row r="9889" customFormat="false" ht="17.15" hidden="false" customHeight="false" outlineLevel="0" collapsed="false">
      <c r="A9889" s="0" t="s">
        <v>693</v>
      </c>
      <c r="B9889" s="0" t="s">
        <v>86</v>
      </c>
      <c r="C9889" s="38" t="n">
        <f aca="false">Sens!$C$9864</f>
        <v>105.234994643026</v>
      </c>
      <c r="D9889" s="38" t="n">
        <f aca="false">Sens!$D$9864</f>
        <v>120.021229911349</v>
      </c>
      <c r="E9889" s="38" t="n">
        <f aca="false">Sens!$E$9864</f>
        <v>71.30864702443</v>
      </c>
      <c r="F9889" s="38" t="n">
        <f aca="false">Sens!$F$9864</f>
        <v>71.7692997942464</v>
      </c>
      <c r="G9889" s="38" t="n">
        <f aca="false">Sens!$G$9864</f>
        <v>143.077946818676</v>
      </c>
      <c r="H9889" s="38" t="n">
        <f aca="false">Sens!$H$9864</f>
        <v>161.017077079203</v>
      </c>
      <c r="I9889" s="38" t="n">
        <f aca="false">Sens!$I$9864</f>
        <v>178.769759521457</v>
      </c>
      <c r="J9889" s="38" t="n">
        <f aca="false">Sens!$J$9864</f>
        <v>195.775538045907</v>
      </c>
      <c r="K9889" s="38" t="n">
        <f aca="false">Sens!$K$9864</f>
        <v>211.43758108958</v>
      </c>
      <c r="L9889" s="38" t="n">
        <f aca="false">Sens!$L$9864</f>
        <v>228.352587576746</v>
      </c>
      <c r="M9889" s="38" t="n">
        <f aca="false">Sens!$M$9864</f>
        <v>246.620794582886</v>
      </c>
      <c r="N9889" s="38" t="n">
        <f aca="false">Sens!$N$9864</f>
        <v>57.0936804689721</v>
      </c>
      <c r="O9889" s="38" t="n">
        <f aca="false">Sens!$O$9864</f>
        <v>62.9275494423768</v>
      </c>
    </row>
    <row r="9890" customFormat="false" ht="15" hidden="false" customHeight="false" outlineLevel="0" collapsed="false">
      <c r="A9890" s="3" t="s">
        <v>517</v>
      </c>
      <c r="B9890" s="8" t="s">
        <v>86</v>
      </c>
      <c r="C9890" s="38" t="n">
        <f aca="false">Sens!$C$9866</f>
        <v>637.959</v>
      </c>
      <c r="D9890" s="38" t="n">
        <f aca="false">Sens!$D$9866</f>
        <v>716.924</v>
      </c>
      <c r="E9890" s="38" t="n">
        <f aca="false">Sens!$E$9866</f>
        <v>382.125</v>
      </c>
      <c r="F9890" s="38" t="n">
        <f aca="false">Sens!$F$9866</f>
        <v>435.780975084504</v>
      </c>
      <c r="G9890" s="38" t="n">
        <f aca="false">Sens!$G$9866</f>
        <v>817.905975084504</v>
      </c>
      <c r="H9890" s="38" t="n">
        <f aca="false">Sens!$H$9866</f>
        <v>942.279857350364</v>
      </c>
      <c r="I9890" s="38" t="n">
        <f aca="false">Sens!$I$9866</f>
        <v>1068.80284981042</v>
      </c>
      <c r="J9890" s="38" t="n">
        <f aca="false">Sens!$J$9866</f>
        <v>1189.90935093863</v>
      </c>
      <c r="K9890" s="38" t="n">
        <f aca="false">Sens!$K$9866</f>
        <v>1295.7761548061</v>
      </c>
      <c r="L9890" s="38" t="n">
        <f aca="false">Sens!$L$9866</f>
        <v>1394.03659659548</v>
      </c>
      <c r="M9890" s="38" t="n">
        <f aca="false">Sens!$M$9866</f>
        <v>1485.04937347247</v>
      </c>
      <c r="N9890" s="38" t="n">
        <f aca="false">Sens!$N$9866</f>
        <v>323.369</v>
      </c>
      <c r="O9890" s="38" t="n">
        <f aca="false">Sens!$O$9866</f>
        <v>393.555</v>
      </c>
    </row>
    <row r="9891" customFormat="false" ht="17.15" hidden="false" customHeight="false" outlineLevel="0" collapsed="false">
      <c r="A9891" s="24" t="s">
        <v>703</v>
      </c>
      <c r="B9891" s="25" t="s">
        <v>86</v>
      </c>
      <c r="C9891" s="41" t="n">
        <f aca="false">Sens!$C$9878+Sens!$C$9879+Sens!$C$9880+Sens!$C$9881+Sens!$C$9882+Sens!$C$9883-(Sens!$C$9885+Sens!$C$9886)</f>
        <v>0</v>
      </c>
      <c r="D9891" s="41" t="n">
        <f aca="false">Sens!$D$9878+Sens!$D$9879+Sens!$D$9880+Sens!$D$9881+Sens!$D$9882+Sens!$D$9883-(Sens!$D$9885+Sens!$D$9886)</f>
        <v>0</v>
      </c>
      <c r="E9891" s="41" t="n">
        <f aca="false">Sens!$E$9878+Sens!$E$9879+Sens!$E$9880+Sens!$E$9881+Sens!$E$9882+Sens!$E$9883-(Sens!$E$9885+Sens!$E$9886)</f>
        <v>0</v>
      </c>
      <c r="F9891" s="41" t="n">
        <f aca="false">Sens!$F$9878+Sens!$F$9879+Sens!$F$9880+Sens!$F$9881+Sens!$F$9882+Sens!$F$9883-(Sens!$F$9885+Sens!$F$9886)</f>
        <v>0</v>
      </c>
      <c r="G9891" s="41" t="n">
        <f aca="false">Sens!$G$9878+Sens!$G$9879+Sens!$G$9880+Sens!$G$9881+Sens!$G$9882+Sens!$G$9883-(Sens!$G$9885+Sens!$G$9886)</f>
        <v>0</v>
      </c>
      <c r="H9891" s="41" t="n">
        <f aca="false">Sens!$H$9878+Sens!$H$9879+Sens!$H$9880+Sens!$H$9881+Sens!$H$9882+Sens!$H$9883-(Sens!$H$9885+Sens!$H$9886)</f>
        <v>0</v>
      </c>
      <c r="I9891" s="41" t="n">
        <f aca="false">Sens!$I$9878+Sens!$I$9879+Sens!$I$9880+Sens!$I$9881+Sens!$I$9882+Sens!$I$9883-(Sens!$I$9885+Sens!$I$9886)</f>
        <v>0</v>
      </c>
      <c r="J9891" s="41" t="n">
        <f aca="false">Sens!$J$9878+Sens!$J$9879+Sens!$J$9880+Sens!$J$9881+Sens!$J$9882+Sens!$J$9883-(Sens!$J$9885+Sens!$J$9886)</f>
        <v>0</v>
      </c>
      <c r="K9891" s="41" t="n">
        <f aca="false">Sens!$K$9878+Sens!$K$9879+Sens!$K$9880+Sens!$K$9881+Sens!$K$9882+Sens!$K$9883-(Sens!$K$9885+Sens!$K$9886)</f>
        <v>0</v>
      </c>
      <c r="L9891" s="41" t="n">
        <f aca="false">Sens!$L$9878+Sens!$L$9879+Sens!$L$9880+Sens!$L$9881+Sens!$L$9882+Sens!$L$9883-(Sens!$L$9885+Sens!$L$9886)</f>
        <v>0</v>
      </c>
      <c r="M9891" s="41" t="n">
        <f aca="false">Sens!$M$9878+Sens!$M$9879+Sens!$M$9880+Sens!$M$9881+Sens!$M$9882+Sens!$M$9883-(Sens!$M$9885+Sens!$M$9886)</f>
        <v>0</v>
      </c>
      <c r="N9891" s="41" t="n">
        <f aca="false">Sens!$N$9878+Sens!$N$9879+Sens!$N$9880+Sens!$N$9881+Sens!$N$9882+Sens!$N$9883-(Sens!$N$9885+Sens!$N$9886)</f>
        <v>0</v>
      </c>
      <c r="O9891" s="41" t="n">
        <f aca="false">Sens!$O$9878+Sens!$O$9879+Sens!$O$9880+Sens!$O$9881+Sens!$O$9882+Sens!$O$9883-(Sens!$O$9885+Sens!$O$9886)</f>
        <v>0</v>
      </c>
    </row>
    <row r="9892" customFormat="false" ht="17.15" hidden="false" customHeight="false" outlineLevel="0" collapsed="false">
      <c r="A9892" s="24" t="s">
        <v>704</v>
      </c>
      <c r="B9892" s="25" t="s">
        <v>86</v>
      </c>
      <c r="C9892" s="41" t="n">
        <f aca="false">Sens!$C$9888+Sens!$C$9889-Sens!$C$9887</f>
        <v>0</v>
      </c>
      <c r="D9892" s="41" t="n">
        <f aca="false">Sens!$D$9888+Sens!$D$9889-Sens!$D$9887</f>
        <v>0</v>
      </c>
      <c r="E9892" s="41" t="n">
        <f aca="false">Sens!$E$9888+Sens!$E$9889-Sens!$E$9887</f>
        <v>0</v>
      </c>
      <c r="F9892" s="41" t="n">
        <f aca="false">Sens!$F$9888+Sens!$F$9889-Sens!$F$9887</f>
        <v>0</v>
      </c>
      <c r="G9892" s="41" t="n">
        <f aca="false">Sens!$G$9888+Sens!$G$9889-Sens!$G$9887</f>
        <v>0</v>
      </c>
      <c r="H9892" s="41" t="n">
        <f aca="false">Sens!$H$9888+Sens!$H$9889-Sens!$H$9887</f>
        <v>0</v>
      </c>
      <c r="I9892" s="41" t="n">
        <f aca="false">Sens!$I$9888+Sens!$I$9889-Sens!$I$9887</f>
        <v>0</v>
      </c>
      <c r="J9892" s="41" t="n">
        <f aca="false">Sens!$J$9888+Sens!$J$9889-Sens!$J$9887</f>
        <v>0</v>
      </c>
      <c r="K9892" s="41" t="n">
        <f aca="false">Sens!$K$9888+Sens!$K$9889-Sens!$K$9887</f>
        <v>0</v>
      </c>
      <c r="L9892" s="41" t="n">
        <f aca="false">Sens!$L$9888+Sens!$L$9889-Sens!$L$9887</f>
        <v>0</v>
      </c>
      <c r="M9892" s="41" t="n">
        <f aca="false">Sens!$M$9888+Sens!$M$9889-Sens!$M$9887</f>
        <v>0</v>
      </c>
      <c r="N9892" s="41" t="n">
        <f aca="false">Sens!$N$9888+Sens!$N$9889-Sens!$N$9887</f>
        <v>0</v>
      </c>
      <c r="O9892" s="41" t="n">
        <f aca="false">Sens!$O$9888+Sens!$O$9889-Sens!$O$9887</f>
        <v>0</v>
      </c>
    </row>
    <row r="9893" customFormat="false" ht="17.15" hidden="false" customHeight="false" outlineLevel="0" collapsed="false">
      <c r="A9893" s="24" t="s">
        <v>763</v>
      </c>
      <c r="B9893" s="25" t="s">
        <v>86</v>
      </c>
      <c r="C9893" s="41" t="n">
        <f aca="false">Sens!$C$9878+Sens!$C$9879+Sens!$C$9880+Sens!$C$9881+Sens!$C$9882+Sens!$C$9883+Sens!$C$9884-Sens!$C$9890</f>
        <v>0</v>
      </c>
      <c r="D9893" s="41" t="n">
        <f aca="false">Sens!$D$9878+Sens!$D$9879+Sens!$D$9880+Sens!$D$9881+Sens!$D$9882+Sens!$D$9883+Sens!$D$9884-Sens!$D$9890</f>
        <v>0</v>
      </c>
      <c r="E9893" s="41" t="n">
        <f aca="false">Sens!$E$9878+Sens!$E$9879+Sens!$E$9880+Sens!$E$9881+Sens!$E$9882+Sens!$E$9883+Sens!$E$9884-Sens!$E$9890</f>
        <v>0</v>
      </c>
      <c r="F9893" s="41" t="n">
        <f aca="false">Sens!$F$9878+Sens!$F$9879+Sens!$F$9880+Sens!$F$9881+Sens!$F$9882+Sens!$F$9883+Sens!$F$9884-Sens!$F$9890</f>
        <v>0</v>
      </c>
      <c r="G9893" s="41" t="n">
        <f aca="false">Sens!$G$9878+Sens!$G$9879+Sens!$G$9880+Sens!$G$9881+Sens!$G$9882+Sens!$G$9883+Sens!$G$9884-Sens!$G$9890</f>
        <v>0</v>
      </c>
      <c r="H9893" s="41" t="n">
        <f aca="false">Sens!$H$9878+Sens!$H$9879+Sens!$H$9880+Sens!$H$9881+Sens!$H$9882+Sens!$H$9883+Sens!$H$9884-Sens!$H$9890</f>
        <v>0</v>
      </c>
      <c r="I9893" s="41" t="n">
        <f aca="false">Sens!$I$9878+Sens!$I$9879+Sens!$I$9880+Sens!$I$9881+Sens!$I$9882+Sens!$I$9883+Sens!$I$9884-Sens!$I$9890</f>
        <v>0</v>
      </c>
      <c r="J9893" s="41" t="n">
        <f aca="false">Sens!$J$9878+Sens!$J$9879+Sens!$J$9880+Sens!$J$9881+Sens!$J$9882+Sens!$J$9883+Sens!$J$9884-Sens!$J$9890</f>
        <v>0</v>
      </c>
      <c r="K9893" s="41" t="n">
        <f aca="false">Sens!$K$9878+Sens!$K$9879+Sens!$K$9880+Sens!$K$9881+Sens!$K$9882+Sens!$K$9883+Sens!$K$9884-Sens!$K$9890</f>
        <v>0</v>
      </c>
      <c r="L9893" s="41" t="n">
        <f aca="false">Sens!$L$9878+Sens!$L$9879+Sens!$L$9880+Sens!$L$9881+Sens!$L$9882+Sens!$L$9883+Sens!$L$9884-Sens!$L$9890</f>
        <v>0</v>
      </c>
      <c r="M9893" s="41" t="n">
        <f aca="false">Sens!$M$9878+Sens!$M$9879+Sens!$M$9880+Sens!$M$9881+Sens!$M$9882+Sens!$M$9883+Sens!$M$9884-Sens!$M$9890</f>
        <v>0</v>
      </c>
      <c r="N9893" s="41" t="n">
        <f aca="false">Sens!$N$9878+Sens!$N$9879+Sens!$N$9880+Sens!$N$9881+Sens!$N$9882+Sens!$N$9883+Sens!$N$9884-Sens!$N$9890</f>
        <v>0</v>
      </c>
      <c r="O9893" s="41" t="n">
        <f aca="false">Sens!$O$9878+Sens!$O$9879+Sens!$O$9880+Sens!$O$9881+Sens!$O$9882+Sens!$O$9883+Sens!$O$9884-Sens!$O$9890</f>
        <v>0</v>
      </c>
    </row>
    <row r="9894" customFormat="false" ht="17.15" hidden="false" customHeight="false" outlineLevel="0" collapsed="false">
      <c r="A9894" s="24" t="s">
        <v>705</v>
      </c>
      <c r="B9894" s="25" t="s">
        <v>86</v>
      </c>
      <c r="C9894" s="41" t="n">
        <f aca="false">Sens!$C$9885+Sens!$C$9886+Sens!$C$9887-Sens!$C$9890</f>
        <v>0</v>
      </c>
      <c r="D9894" s="41" t="n">
        <f aca="false">Sens!$D$9885+Sens!$D$9886+Sens!$D$9887-Sens!$D$9890</f>
        <v>0</v>
      </c>
      <c r="E9894" s="41" t="n">
        <f aca="false">Sens!$E$9885+Sens!$E$9886+Sens!$E$9887-Sens!$E$9890</f>
        <v>0</v>
      </c>
      <c r="F9894" s="41" t="n">
        <f aca="false">Sens!$F$9885+Sens!$F$9886+Sens!$F$9887-Sens!$F$9890</f>
        <v>0</v>
      </c>
      <c r="G9894" s="41" t="n">
        <f aca="false">Sens!$G$9885+Sens!$G$9886+Sens!$G$9887-Sens!$G$9890</f>
        <v>0</v>
      </c>
      <c r="H9894" s="41" t="n">
        <f aca="false">Sens!$H$9885+Sens!$H$9886+Sens!$H$9887-Sens!$H$9890</f>
        <v>0</v>
      </c>
      <c r="I9894" s="41" t="n">
        <f aca="false">Sens!$I$9885+Sens!$I$9886+Sens!$I$9887-Sens!$I$9890</f>
        <v>0</v>
      </c>
      <c r="J9894" s="41" t="n">
        <f aca="false">Sens!$J$9885+Sens!$J$9886+Sens!$J$9887-Sens!$J$9890</f>
        <v>0</v>
      </c>
      <c r="K9894" s="41" t="n">
        <f aca="false">Sens!$K$9885+Sens!$K$9886+Sens!$K$9887-Sens!$K$9890</f>
        <v>0</v>
      </c>
      <c r="L9894" s="41" t="n">
        <f aca="false">Sens!$L$9885+Sens!$L$9886+Sens!$L$9887-Sens!$L$9890</f>
        <v>0</v>
      </c>
      <c r="M9894" s="41" t="n">
        <f aca="false">Sens!$M$9885+Sens!$M$9886+Sens!$M$9887-Sens!$M$9890</f>
        <v>0</v>
      </c>
      <c r="N9894" s="41" t="n">
        <f aca="false">Sens!$N$9885+Sens!$N$9886+Sens!$N$9887-Sens!$N$9890</f>
        <v>0</v>
      </c>
      <c r="O9894" s="41" t="n">
        <f aca="false">Sens!$O$9885+Sens!$O$9886+Sens!$O$9887-Sens!$O$9890</f>
        <v>0</v>
      </c>
    </row>
    <row r="9895" customFormat="false" ht="17.15" hidden="false" customHeight="false" outlineLevel="0" collapsed="false">
      <c r="A9895" s="1" t="s">
        <v>719</v>
      </c>
    </row>
    <row r="9896" customFormat="false" ht="17.15" hidden="false" customHeight="false" outlineLevel="0" collapsed="false">
      <c r="A9896" s="0" t="s">
        <v>720</v>
      </c>
      <c r="B9896" s="0" t="s">
        <v>86</v>
      </c>
      <c r="C9896" s="38" t="n">
        <f aca="false">Sens!$C$9800*m_ad</f>
        <v>20.5341564414228</v>
      </c>
      <c r="D9896" s="38" t="n">
        <f aca="false">Sens!$D$9800*m_ad</f>
        <v>24.8720617299587</v>
      </c>
      <c r="E9896" s="38" t="n">
        <f aca="false">Sens!$E$9800*m_ad</f>
        <v>13.5017112462207</v>
      </c>
      <c r="F9896" s="38" t="n">
        <f aca="false">Sens!$F$9800*m_ad</f>
        <v>16.5719724165257</v>
      </c>
      <c r="G9896" s="38" t="n">
        <f aca="false">Sens!$G$9800*m_ad</f>
        <v>30.0820919220415</v>
      </c>
      <c r="H9896" s="38" t="n">
        <f aca="false">Sens!$H$9800*m_ad</f>
        <v>36.1150883276314</v>
      </c>
      <c r="I9896" s="38" t="n">
        <f aca="false">Sens!$I$9800*m_ad</f>
        <v>42.1475382231996</v>
      </c>
      <c r="J9896" s="38" t="n">
        <f aca="false">Sens!$J$9800*m_ad</f>
        <v>47.7749523864693</v>
      </c>
      <c r="K9896" s="38" t="n">
        <f aca="false">Sens!$K$9800*m_ad</f>
        <v>52.5524476251162</v>
      </c>
      <c r="L9896" s="38" t="n">
        <f aca="false">Sens!$L$9800*m_ad</f>
        <v>57.8076923876279</v>
      </c>
      <c r="M9896" s="38" t="n">
        <f aca="false">Sens!$M$9800*m_ad</f>
        <v>63.5884616263907</v>
      </c>
      <c r="N9896" s="38" t="n">
        <f aca="false">Sens!$N$9800*m_ad</f>
        <v>10.8543555706248</v>
      </c>
      <c r="O9896" s="38" t="n">
        <f aca="false">Sens!$O$9800*m_ad</f>
        <v>14.0094731821399</v>
      </c>
    </row>
    <row r="9897" customFormat="false" ht="17.15" hidden="false" customHeight="false" outlineLevel="0" collapsed="false">
      <c r="A9897" s="0" t="s">
        <v>721</v>
      </c>
      <c r="B9897" s="0" t="s">
        <v>86</v>
      </c>
      <c r="C9897" s="38" t="n">
        <f aca="false">Sens!$C$9798-Sens!$C$9800</f>
        <v>346.428687117154</v>
      </c>
      <c r="D9897" s="38" t="n">
        <f aca="false">Sens!$D$9798-Sens!$D$9800</f>
        <v>376.560876540083</v>
      </c>
      <c r="E9897" s="38" t="n">
        <f aca="false">Sens!$E$9798-Sens!$E$9800</f>
        <v>193.316577507559</v>
      </c>
      <c r="F9897" s="38" t="n">
        <f aca="false">Sens!$F$9798-Sens!$F$9800</f>
        <v>217.495828647535</v>
      </c>
      <c r="G9897" s="38" t="n">
        <f aca="false">Sens!$G$9798-Sens!$G$9800</f>
        <v>410.795589636503</v>
      </c>
      <c r="H9897" s="38" t="n">
        <f aca="false">Sens!$H$9798-Sens!$H$9800</f>
        <v>449.156813761174</v>
      </c>
      <c r="I9897" s="38" t="n">
        <f aca="false">Sens!$I$9798-Sens!$I$9800</f>
        <v>485.848786441156</v>
      </c>
      <c r="J9897" s="38" t="n">
        <f aca="false">Sens!$J$9798-Sens!$J$9800</f>
        <v>519.841531018994</v>
      </c>
      <c r="K9897" s="38" t="n">
        <f aca="false">Sens!$K$9798-Sens!$K$9800</f>
        <v>550.103332311311</v>
      </c>
      <c r="L9897" s="38" t="n">
        <f aca="false">Sens!$L$9798-Sens!$L$9800</f>
        <v>582.192354474511</v>
      </c>
      <c r="M9897" s="38" t="n">
        <f aca="false">Sens!$M$9798-Sens!$M$9800</f>
        <v>616.22240521081</v>
      </c>
      <c r="N9897" s="38" t="n">
        <f aca="false">Sens!$N$9798-Sens!$N$9800</f>
        <v>171.24628885875</v>
      </c>
      <c r="O9897" s="38" t="n">
        <f aca="false">Sens!$O$9798-Sens!$O$9800</f>
        <v>205.33105363572</v>
      </c>
    </row>
    <row r="9898" customFormat="false" ht="17.15" hidden="false" customHeight="false" outlineLevel="0" collapsed="false">
      <c r="A9898" s="0" t="s">
        <v>722</v>
      </c>
      <c r="B9898" s="0" t="s">
        <v>86</v>
      </c>
      <c r="C9898" s="38" t="n">
        <f aca="false">Sens!$C$9849*Sens!$C$9797</f>
        <v>0.123617442257179</v>
      </c>
      <c r="D9898" s="38" t="n">
        <f aca="false">Sens!$D$9849*Sens!$D$9797</f>
        <v>0.600198046024689</v>
      </c>
      <c r="E9898" s="38" t="n">
        <f aca="false">Sens!$E$9849*Sens!$E$9797</f>
        <v>0.970552432202993</v>
      </c>
      <c r="F9898" s="38" t="n">
        <f aca="false">Sens!$F$9849*Sens!$F$9797</f>
        <v>1.20013524388435</v>
      </c>
      <c r="G9898" s="38" t="n">
        <f aca="false">Sens!$G$9849*Sens!$G$9797</f>
        <v>2.17135369594947</v>
      </c>
      <c r="H9898" s="38" t="n">
        <f aca="false">Sens!$H$9849*Sens!$H$9797</f>
        <v>6.14227489656333</v>
      </c>
      <c r="I9898" s="38" t="n">
        <f aca="false">Sens!$I$9849*Sens!$I$9797</f>
        <v>11.6518054969681</v>
      </c>
      <c r="J9898" s="38" t="n">
        <f aca="false">Sens!$J$9849*Sens!$J$9797</f>
        <v>17.3105301010592</v>
      </c>
      <c r="K9898" s="38" t="n">
        <f aca="false">Sens!$K$9849*Sens!$K$9797</f>
        <v>22.8384065844905</v>
      </c>
      <c r="L9898" s="38" t="n">
        <f aca="false">Sens!$L$9849*Sens!$L$9797</f>
        <v>26.587547241206</v>
      </c>
      <c r="M9898" s="38" t="n">
        <f aca="false">Sens!$M$9849*Sens!$M$9797</f>
        <v>28.7909952336448</v>
      </c>
      <c r="N9898" s="38" t="n">
        <f aca="false">Sens!$N$9849*Sens!$N$9797</f>
        <v>0.25053229484398</v>
      </c>
      <c r="O9898" s="38" t="n">
        <f aca="false">Sens!$O$9849*Sens!$O$9797</f>
        <v>0.349234376756897</v>
      </c>
    </row>
    <row r="9899" customFormat="false" ht="17.15" hidden="false" customHeight="false" outlineLevel="0" collapsed="false">
      <c r="A9899" s="0" t="s">
        <v>723</v>
      </c>
      <c r="B9899" s="0" t="s">
        <v>52</v>
      </c>
      <c r="C9899" s="28" t="n">
        <f aca="false">(Sens!$C$9900-Sens!$C$9896+Sens!$C$9898)/Sens!$C$9897</f>
        <v>0.0131526665379575</v>
      </c>
      <c r="D9899" s="28" t="n">
        <f aca="false">(Sens!$D$9900-Sens!$D$9896+Sens!$D$9898)/Sens!$D$9897</f>
        <v>0.0141999252954702</v>
      </c>
      <c r="E9899" s="28" t="n">
        <f aca="false">(Sens!$E$9900-Sens!$E$9896+Sens!$E$9898)/Sens!$E$9897</f>
        <v>0.0251341154940129</v>
      </c>
      <c r="F9899" s="28" t="n">
        <f aca="false">Sens!$O$9899+(Sens!$E$9899-Sens!$N$9899)</f>
        <v>0.0217171685713677</v>
      </c>
      <c r="G9899" s="28" t="n">
        <f aca="false">(Sens!$G$9900-Sens!$G$9896+Sens!$G$9898)/Sens!$G$9897</f>
        <v>0.0233071940458981</v>
      </c>
      <c r="H9899" s="28" t="n">
        <f aca="false">Sens!$G$9899+step_na</f>
        <v>0.0263071940458981</v>
      </c>
      <c r="I9899" s="28" t="n">
        <f aca="false">Sens!$H$9899+step_na</f>
        <v>0.0293071940458981</v>
      </c>
      <c r="J9899" s="28" t="n">
        <f aca="false">Sens!$I$9899+step_na</f>
        <v>0.0323071940458981</v>
      </c>
      <c r="K9899" s="28" t="n">
        <f aca="false">Sens!$J$9899+step_na</f>
        <v>0.0353071940458981</v>
      </c>
      <c r="L9899" s="28" t="n">
        <f aca="false">Sens!$K$9899</f>
        <v>0.0353071940458981</v>
      </c>
      <c r="M9899" s="28" t="n">
        <f aca="false">Sens!$L$9899</f>
        <v>0.0353071940458981</v>
      </c>
      <c r="N9899" s="28" t="n">
        <f aca="false">(Sens!$N$9900-Sens!$N$9896+Sens!$N$9898)/Sens!$N$9897</f>
        <v>0.0160831323269779</v>
      </c>
      <c r="O9899" s="28" t="n">
        <f aca="false">(Sens!$O$9900-Sens!$O$9896+Sens!$O$9898)/Sens!$O$9897</f>
        <v>0.0126661854043327</v>
      </c>
      <c r="P9899" s="8" t="s">
        <v>724</v>
      </c>
    </row>
    <row r="9900" customFormat="false" ht="17.15" hidden="false" customHeight="false" outlineLevel="0" collapsed="false">
      <c r="A9900" s="1" t="s">
        <v>725</v>
      </c>
      <c r="B9900" s="8" t="s">
        <v>86</v>
      </c>
      <c r="C9900" s="38" t="n">
        <f aca="false">Q!$D$22</f>
        <v>24.967</v>
      </c>
      <c r="D9900" s="38" t="n">
        <f aca="false">Q!$E$22</f>
        <v>29.619</v>
      </c>
      <c r="E9900" s="38" t="n">
        <f aca="false">Q!$P$22</f>
        <v>17.39</v>
      </c>
      <c r="F9900" s="38" t="n">
        <f aca="false">Sens!$F$9896+Sens!$F$9897*Sens!$F$9899-Sens!$F$9898</f>
        <v>20.0952307469491</v>
      </c>
      <c r="G9900" s="38" t="n">
        <f aca="false">Sens!$E$9900+Sens!$F$9900</f>
        <v>37.4852307469491</v>
      </c>
      <c r="H9900" s="38" t="n">
        <f aca="false">Sens!$H$9896+Sens!$H$9897*Sens!$H$9899-Sens!$H$9898</f>
        <v>41.7888688877206</v>
      </c>
      <c r="I9900" s="38" t="n">
        <f aca="false">Sens!$I$9896+Sens!$I$9897*Sens!$I$9899-Sens!$I$9898</f>
        <v>44.7345973874265</v>
      </c>
      <c r="J9900" s="38" t="n">
        <f aca="false">Sens!$J$9896+Sens!$J$9897*Sens!$J$9899-Sens!$J$9898</f>
        <v>47.2590435011574</v>
      </c>
      <c r="K9900" s="38" t="n">
        <f aca="false">Sens!$K$9896+Sens!$K$9897*Sens!$K$9899-Sens!$K$9898</f>
        <v>49.1366461398364</v>
      </c>
      <c r="L9900" s="38" t="n">
        <f aca="false">Sens!$L$9896+Sens!$L$9897*Sens!$L$9899-Sens!$L$9898</f>
        <v>51.7757235778917</v>
      </c>
      <c r="M9900" s="38" t="n">
        <f aca="false">Sens!$M$9896+Sens!$M$9897*Sens!$M$9899-Sens!$M$9898</f>
        <v>56.554550428954</v>
      </c>
      <c r="N9900" s="38" t="n">
        <f aca="false">Q!$N$22</f>
        <v>13.358</v>
      </c>
      <c r="O9900" s="38" t="n">
        <f aca="false">Q!$O$22</f>
        <v>16.261</v>
      </c>
    </row>
    <row r="9901" customFormat="false" ht="17.15" hidden="false" customHeight="false" outlineLevel="0" collapsed="false">
      <c r="A9901" s="0" t="s">
        <v>726</v>
      </c>
      <c r="B9901" s="0" t="s">
        <v>86</v>
      </c>
      <c r="C9901" s="38" t="n">
        <f aca="false">Sens!$C$9801*m_ad</f>
        <v>7.57284355857716</v>
      </c>
      <c r="D9901" s="38" t="n">
        <f aca="false">Sens!$D$9801*m_ad</f>
        <v>9.44543827004127</v>
      </c>
      <c r="E9901" s="38" t="n">
        <f aca="false">Sens!$E$9801*m_ad</f>
        <v>5.02428875377928</v>
      </c>
      <c r="F9901" s="38" t="n">
        <f aca="false">Sens!$F$9801*m_ad</f>
        <v>6.50663858068173</v>
      </c>
      <c r="G9901" s="38" t="n">
        <f aca="false">Sens!$G$9801*m_ad</f>
        <v>11.5225190751659</v>
      </c>
      <c r="H9901" s="38" t="n">
        <f aca="false">Sens!$H$9801*m_ad</f>
        <v>13.8333728663174</v>
      </c>
      <c r="I9901" s="38" t="n">
        <f aca="false">Sens!$I$9801*m_ad</f>
        <v>16.1440173245485</v>
      </c>
      <c r="J9901" s="38" t="n">
        <f aca="false">Sens!$J$9801*m_ad</f>
        <v>18.2995185845066</v>
      </c>
      <c r="K9901" s="38" t="n">
        <f aca="false">Sens!$K$9801*m_ad</f>
        <v>20.1294704429572</v>
      </c>
      <c r="L9901" s="38" t="n">
        <f aca="false">Sens!$L$9801*m_ad</f>
        <v>22.142417487253</v>
      </c>
      <c r="M9901" s="38" t="n">
        <f aca="false">Sens!$M$9801*m_ad</f>
        <v>24.3566592359783</v>
      </c>
      <c r="N9901" s="38" t="n">
        <f aca="false">Sens!$N$9801*m_ad</f>
        <v>3.95314442937518</v>
      </c>
      <c r="O9901" s="38" t="n">
        <f aca="false">Sens!$O$9801*m_ad</f>
        <v>5.50052681786011</v>
      </c>
    </row>
    <row r="9902" customFormat="false" ht="17.15" hidden="false" customHeight="false" outlineLevel="0" collapsed="false">
      <c r="A9902" s="0" t="s">
        <v>727</v>
      </c>
      <c r="B9902" s="0" t="s">
        <v>86</v>
      </c>
      <c r="C9902" s="38" t="n">
        <f aca="false">Sens!$C$9799-Sens!$C$9801</f>
        <v>127.760312882846</v>
      </c>
      <c r="D9902" s="38" t="n">
        <f aca="false">Sens!$D$9799-Sens!$D$9801</f>
        <v>143.003123459917</v>
      </c>
      <c r="E9902" s="38" t="n">
        <f aca="false">Sens!$E$9799-Sens!$E$9801</f>
        <v>71.9374224924414</v>
      </c>
      <c r="F9902" s="38" t="n">
        <f aca="false">Sens!$F$9799-Sens!$F$9801</f>
        <v>85.3951910035875</v>
      </c>
      <c r="G9902" s="38" t="n">
        <f aca="false">Sens!$G$9799-Sens!$G$9801</f>
        <v>157.349430014619</v>
      </c>
      <c r="H9902" s="38" t="n">
        <f aca="false">Sens!$H$9799-Sens!$H$9801</f>
        <v>172.043153372315</v>
      </c>
      <c r="I9902" s="38" t="n">
        <f aca="false">Sens!$I$9799-Sens!$I$9801</f>
        <v>186.097493615879</v>
      </c>
      <c r="J9902" s="38" t="n">
        <f aca="false">Sens!$J$9799-Sens!$J$9801</f>
        <v>199.117932780497</v>
      </c>
      <c r="K9902" s="38" t="n">
        <f aca="false">Sens!$K$9799-Sens!$K$9801</f>
        <v>210.70928698363</v>
      </c>
      <c r="L9902" s="38" t="n">
        <f aca="false">Sens!$L$9799-Sens!$L$9801</f>
        <v>223.000532251316</v>
      </c>
      <c r="M9902" s="38" t="n">
        <f aca="false">Sens!$M$9799-Sens!$M$9801</f>
        <v>236.035261011339</v>
      </c>
      <c r="N9902" s="38" t="n">
        <f aca="false">Sens!$N$9799-Sens!$N$9801</f>
        <v>62.3677111412496</v>
      </c>
      <c r="O9902" s="38" t="n">
        <f aca="false">Sens!$O$9799-Sens!$O$9801</f>
        <v>80.6189463642798</v>
      </c>
    </row>
    <row r="9903" customFormat="false" ht="17.15" hidden="false" customHeight="false" outlineLevel="0" collapsed="false">
      <c r="A9903" s="0" t="s">
        <v>728</v>
      </c>
      <c r="B9903" s="0" t="s">
        <v>86</v>
      </c>
      <c r="C9903" s="38" t="n">
        <f aca="false">Sens!$C$9849*(1-Sens!$C$9797)</f>
        <v>0.0455891896019953</v>
      </c>
      <c r="D9903" s="38" t="n">
        <f aca="false">Sens!$D$9849*(1-Sens!$D$9797)</f>
        <v>0.227931791705753</v>
      </c>
      <c r="E9903" s="38" t="n">
        <f aca="false">Sens!$E$9849*(1-Sens!$E$9797)</f>
        <v>0.361164268820781</v>
      </c>
      <c r="F9903" s="38" t="n">
        <f aca="false">Sens!$F$9849*(1-Sens!$F$9797)</f>
        <v>0.471208018190203</v>
      </c>
      <c r="G9903" s="38" t="n">
        <f aca="false">Sens!$G$9849*(1-Sens!$G$9797)</f>
        <v>0.83170626714885</v>
      </c>
      <c r="H9903" s="38" t="n">
        <f aca="false">Sens!$H$9849*(1-Sens!$H$9797)</f>
        <v>2.35271136874315</v>
      </c>
      <c r="I9903" s="38" t="n">
        <f aca="false">Sens!$I$9849*(1-Sens!$I$9797)</f>
        <v>4.46305900024741</v>
      </c>
      <c r="J9903" s="38" t="n">
        <f aca="false">Sens!$J$9849*(1-Sens!$J$9797)</f>
        <v>6.63055328092195</v>
      </c>
      <c r="K9903" s="38" t="n">
        <f aca="false">Sens!$K$9849*(1-Sens!$K$9797)</f>
        <v>8.74792804297522</v>
      </c>
      <c r="L9903" s="38" t="n">
        <f aca="false">Sens!$L$9849*(1-Sens!$L$9797)</f>
        <v>10.1839832496556</v>
      </c>
      <c r="M9903" s="38" t="n">
        <f aca="false">Sens!$M$9849*(1-Sens!$M$9797)</f>
        <v>11.027982782328</v>
      </c>
      <c r="N9903" s="38" t="n">
        <f aca="false">Sens!$N$9849*(1-Sens!$N$9797)</f>
        <v>0.0912435878202994</v>
      </c>
      <c r="O9903" s="38" t="n">
        <f aca="false">Sens!$O$9849*(1-Sens!$O$9797)</f>
        <v>0.137119578309265</v>
      </c>
    </row>
    <row r="9904" customFormat="false" ht="17.15" hidden="false" customHeight="false" outlineLevel="0" collapsed="false">
      <c r="A9904" s="0" t="s">
        <v>729</v>
      </c>
      <c r="B9904" s="0" t="s">
        <v>52</v>
      </c>
      <c r="C9904" s="28" t="n">
        <f aca="false">(Sens!$C$9905-Sens!$C$9901+Sens!$C$9903)/Sens!$C$9902</f>
        <v>-0.0292364215826579</v>
      </c>
      <c r="D9904" s="28" t="n">
        <f aca="false">(Sens!$D$9905-Sens!$D$9901+Sens!$D$9903)/Sens!$D$9902</f>
        <v>-0.0312406216748665</v>
      </c>
      <c r="E9904" s="28" t="n">
        <f aca="false">(Sens!$E$9905-Sens!$E$9901+Sens!$E$9903)/Sens!$E$9902</f>
        <v>-0.0211590078184749</v>
      </c>
      <c r="F9904" s="28" t="n">
        <f aca="false">Sens!$O$9904+(Sens!$E$9904-Sens!$N$9904)</f>
        <v>-0.0382539955245511</v>
      </c>
      <c r="G9904" s="28" t="n">
        <f aca="false">(Sens!$G$9905-Sens!$G$9901+Sens!$G$9903)/Sens!$G$9902</f>
        <v>-0.030385172031133</v>
      </c>
      <c r="H9904" s="28" t="n">
        <f aca="false">Sens!$G$9904+step_in</f>
        <v>-0.030385172031133</v>
      </c>
      <c r="I9904" s="28" t="n">
        <f aca="false">Sens!$H$9904+step_in</f>
        <v>-0.030385172031133</v>
      </c>
      <c r="J9904" s="28" t="n">
        <f aca="false">Sens!$I$9904+step_in</f>
        <v>-0.030385172031133</v>
      </c>
      <c r="K9904" s="28" t="n">
        <f aca="false">Sens!$J$9904+step_in</f>
        <v>-0.030385172031133</v>
      </c>
      <c r="L9904" s="28" t="n">
        <f aca="false">Sens!$K$9904</f>
        <v>-0.030385172031133</v>
      </c>
      <c r="M9904" s="28" t="n">
        <f aca="false">Sens!$L$9904</f>
        <v>-0.030385172031133</v>
      </c>
      <c r="N9904" s="28" t="n">
        <f aca="false">(Sens!$N$9905-Sens!$N$9901+Sens!$N$9903)/Sens!$N$9902</f>
        <v>-0.0216602600421776</v>
      </c>
      <c r="O9904" s="28" t="n">
        <f aca="false">(Sens!$O$9905-Sens!$O$9901+Sens!$O$9903)/Sens!$O$9902</f>
        <v>-0.0387552477482538</v>
      </c>
      <c r="P9904" s="8" t="s">
        <v>724</v>
      </c>
    </row>
    <row r="9905" customFormat="false" ht="17.15" hidden="false" customHeight="false" outlineLevel="0" collapsed="false">
      <c r="A9905" s="1" t="s">
        <v>730</v>
      </c>
      <c r="B9905" s="8" t="s">
        <v>86</v>
      </c>
      <c r="C9905" s="38" t="n">
        <f aca="false">Q!$D$23</f>
        <v>3.792</v>
      </c>
      <c r="D9905" s="38" t="n">
        <f aca="false">Q!$E$23</f>
        <v>4.75</v>
      </c>
      <c r="E9905" s="38" t="n">
        <f aca="false">Q!$P$23</f>
        <v>3.141</v>
      </c>
      <c r="F9905" s="38" t="n">
        <f aca="false">Sens!$F$9901+Sens!$F$9902*Sens!$F$9904-Sens!$F$9903</f>
        <v>2.7687233080221</v>
      </c>
      <c r="G9905" s="38" t="n">
        <f aca="false">Sens!$E$9905+Sens!$F$9905</f>
        <v>5.9097233080221</v>
      </c>
      <c r="H9905" s="38" t="n">
        <f aca="false">Sens!$H$9901+Sens!$H$9902*Sens!$H$9904-Sens!$H$9903</f>
        <v>6.25310068557783</v>
      </c>
      <c r="I9905" s="38" t="n">
        <f aca="false">Sens!$I$9901+Sens!$I$9902*Sens!$I$9904-Sens!$I$9903</f>
        <v>6.02635396621997</v>
      </c>
      <c r="J9905" s="38" t="n">
        <f aca="false">Sens!$J$9901+Sens!$J$9902*Sens!$J$9904-Sens!$J$9903</f>
        <v>5.61873266156566</v>
      </c>
      <c r="K9905" s="38" t="n">
        <f aca="false">Sens!$K$9901+Sens!$K$9902*Sens!$K$9904-Sens!$K$9903</f>
        <v>4.97910446642705</v>
      </c>
      <c r="L9905" s="38" t="n">
        <f aca="false">Sens!$L$9901+Sens!$L$9902*Sens!$L$9904-Sens!$L$9903</f>
        <v>5.18252470210692</v>
      </c>
      <c r="M9905" s="38" t="n">
        <f aca="false">Sens!$M$9901+Sens!$M$9902*Sens!$M$9904-Sens!$M$9903</f>
        <v>6.15670444240737</v>
      </c>
      <c r="N9905" s="38" t="n">
        <f aca="false">Q!$N$23</f>
        <v>2.511</v>
      </c>
      <c r="O9905" s="38" t="n">
        <f aca="false">Q!$O$23</f>
        <v>2.239</v>
      </c>
    </row>
    <row r="9906" customFormat="false" ht="17.15" hidden="false" customHeight="false" outlineLevel="0" collapsed="false">
      <c r="A9906" s="0" t="s">
        <v>731</v>
      </c>
      <c r="B9906" s="0" t="s">
        <v>86</v>
      </c>
      <c r="C9906" s="38" t="n">
        <f aca="false">Sens!$C$9846</f>
        <v>1.64417882953695</v>
      </c>
      <c r="D9906" s="38" t="n">
        <f aca="false">Sens!$D$9846</f>
        <v>5.39125073772939</v>
      </c>
      <c r="E9906" s="38" t="n">
        <f aca="false">Sens!$E$9846</f>
        <v>3.18348617147493</v>
      </c>
      <c r="F9906" s="38" t="n">
        <f aca="false">Sens!$F$9846</f>
        <v>8.27806059642226</v>
      </c>
      <c r="G9906" s="38" t="n">
        <f aca="false">Sens!$G$9846</f>
        <v>11.4615467678972</v>
      </c>
      <c r="H9906" s="38" t="n">
        <f aca="false">Sens!$H$9846</f>
        <v>26.1859456885487</v>
      </c>
      <c r="I9906" s="38" t="n">
        <f aca="false">Sens!$I$9846</f>
        <v>37.04424114757</v>
      </c>
      <c r="J9906" s="38" t="n">
        <f aca="false">Sens!$J$9846</f>
        <v>47.2610736233534</v>
      </c>
      <c r="K9906" s="38" t="n">
        <f aca="false">Sens!$K$9846</f>
        <v>51.8167797755728</v>
      </c>
      <c r="L9906" s="38" t="n">
        <f aca="false">Sens!$L$9846</f>
        <v>53.5047805796943</v>
      </c>
      <c r="M9906" s="38" t="n">
        <f aca="false">Sens!$M$9846</f>
        <v>51.0047588788104</v>
      </c>
      <c r="N9906" s="38" t="n">
        <f aca="false">Sens!$N$9846</f>
        <v>1.67921600037079</v>
      </c>
      <c r="O9906" s="38" t="n">
        <f aca="false">Sens!$O$9846</f>
        <v>3.71203473735861</v>
      </c>
    </row>
    <row r="9907" customFormat="false" ht="17.15" hidden="false" customHeight="false" outlineLevel="0" collapsed="false">
      <c r="A9907" s="0" t="s">
        <v>649</v>
      </c>
      <c r="B9907" s="0" t="s">
        <v>86</v>
      </c>
      <c r="C9907" s="38" t="n">
        <f aca="false">Sens!$C$9851</f>
        <v>38.1898211704631</v>
      </c>
      <c r="D9907" s="38" t="n">
        <f aca="false">Sens!$D$9851</f>
        <v>40.2147492622706</v>
      </c>
      <c r="E9907" s="38" t="n">
        <f aca="false">Sens!$E$9851</f>
        <v>27.5985138285251</v>
      </c>
      <c r="F9907" s="38" t="n">
        <f aca="false">Sens!$F$9851</f>
        <v>25.5484769754606</v>
      </c>
      <c r="G9907" s="38" t="n">
        <f aca="false">Sens!$G$9851</f>
        <v>53.1469908039857</v>
      </c>
      <c r="H9907" s="38" t="n">
        <f aca="false">Sens!$H$9851</f>
        <v>57.3189525076539</v>
      </c>
      <c r="I9907" s="38" t="n">
        <f aca="false">Sens!$I$9851</f>
        <v>63.6385627021087</v>
      </c>
      <c r="J9907" s="38" t="n">
        <f aca="false">Sens!$J$9851</f>
        <v>69.6922896066105</v>
      </c>
      <c r="K9907" s="38" t="n">
        <f aca="false">Sens!$K$9851</f>
        <v>75.2676727751394</v>
      </c>
      <c r="L9907" s="38" t="n">
        <f aca="false">Sens!$L$9851</f>
        <v>81.2890865971505</v>
      </c>
      <c r="M9907" s="38" t="n">
        <f aca="false">Sens!$M$9851</f>
        <v>87.7922135249226</v>
      </c>
      <c r="N9907" s="38" t="n">
        <f aca="false">Sens!$N$9851</f>
        <v>20.0277839996292</v>
      </c>
      <c r="O9907" s="38" t="n">
        <f aca="false">Sens!$O$9851</f>
        <v>20.1869652626414</v>
      </c>
    </row>
    <row r="9908" customFormat="false" ht="17.15" hidden="false" customHeight="false" outlineLevel="0" collapsed="false">
      <c r="A9908" s="1" t="s">
        <v>732</v>
      </c>
      <c r="B9908" s="8" t="s">
        <v>86</v>
      </c>
      <c r="C9908" s="38" t="n">
        <f aca="false">Q!$D$24</f>
        <v>39.834</v>
      </c>
      <c r="D9908" s="38" t="n">
        <f aca="false">Q!$E$24</f>
        <v>45.606</v>
      </c>
      <c r="E9908" s="38" t="n">
        <f aca="false">Q!$P$24</f>
        <v>30.782</v>
      </c>
      <c r="F9908" s="38" t="n">
        <f aca="false">Sens!$F$9906+Sens!$F$9907</f>
        <v>33.8265375718829</v>
      </c>
      <c r="G9908" s="38" t="n">
        <f aca="false">Sens!$G$9906+Sens!$G$9907</f>
        <v>64.6085375718829</v>
      </c>
      <c r="H9908" s="38" t="n">
        <f aca="false">Sens!$H$9906+Sens!$H$9907</f>
        <v>83.5048981962026</v>
      </c>
      <c r="I9908" s="38" t="n">
        <f aca="false">Sens!$I$9906+Sens!$I$9907</f>
        <v>100.682803849679</v>
      </c>
      <c r="J9908" s="38" t="n">
        <f aca="false">Sens!$J$9906+Sens!$J$9907</f>
        <v>116.953363229964</v>
      </c>
      <c r="K9908" s="38" t="n">
        <f aca="false">Sens!$K$9906+Sens!$K$9907</f>
        <v>127.084452550712</v>
      </c>
      <c r="L9908" s="38" t="n">
        <f aca="false">Sens!$L$9906+Sens!$L$9907</f>
        <v>134.793867176845</v>
      </c>
      <c r="M9908" s="38" t="n">
        <f aca="false">Sens!$M$9906+Sens!$M$9907</f>
        <v>138.796972403733</v>
      </c>
      <c r="N9908" s="38" t="n">
        <f aca="false">Q!$N$24</f>
        <v>21.707</v>
      </c>
      <c r="O9908" s="38" t="n">
        <f aca="false">Q!$O$24</f>
        <v>23.899</v>
      </c>
    </row>
    <row r="9909" customFormat="false" ht="17.15" hidden="false" customHeight="false" outlineLevel="0" collapsed="false">
      <c r="A9909" s="5" t="s">
        <v>733</v>
      </c>
      <c r="B9909" s="0" t="s">
        <v>86</v>
      </c>
      <c r="C9909" s="38" t="n">
        <f aca="false">Q!$D$26</f>
        <v>0</v>
      </c>
      <c r="D9909" s="38" t="n">
        <f aca="false">Q!$E$26</f>
        <v>0</v>
      </c>
      <c r="E9909" s="38" t="n">
        <f aca="false">Q!$P$26</f>
        <v>0</v>
      </c>
      <c r="F9909" s="39" t="n">
        <v>0</v>
      </c>
      <c r="G9909" s="38" t="n">
        <f aca="false">Sens!$E$9909+Sens!$F$9909</f>
        <v>0</v>
      </c>
      <c r="H9909" s="39" t="n">
        <v>0</v>
      </c>
      <c r="I9909" s="39" t="n">
        <v>0</v>
      </c>
      <c r="J9909" s="39" t="n">
        <v>0</v>
      </c>
      <c r="K9909" s="39" t="n">
        <v>0</v>
      </c>
      <c r="L9909" s="39" t="n">
        <v>0</v>
      </c>
      <c r="M9909" s="39" t="n">
        <v>0</v>
      </c>
      <c r="N9909" s="38" t="n">
        <f aca="false">Q!$N$26</f>
        <v>0</v>
      </c>
      <c r="O9909" s="38" t="n">
        <f aca="false">Q!$O$26</f>
        <v>0</v>
      </c>
    </row>
    <row r="9910" customFormat="false" ht="15" hidden="false" customHeight="false" outlineLevel="0" collapsed="false">
      <c r="A9910" s="3" t="s">
        <v>534</v>
      </c>
      <c r="B9910" s="8" t="s">
        <v>86</v>
      </c>
      <c r="C9910" s="38" t="n">
        <f aca="false">Q!$D$25</f>
        <v>68.593</v>
      </c>
      <c r="D9910" s="38" t="n">
        <f aca="false">Q!$E$25</f>
        <v>79.975</v>
      </c>
      <c r="E9910" s="38" t="n">
        <f aca="false">Q!$P$25</f>
        <v>51.313</v>
      </c>
      <c r="F9910" s="38" t="n">
        <f aca="false">Sens!$F$9900+Sens!$F$9905+Sens!$F$9908+Sens!$F$9909</f>
        <v>56.6904916268541</v>
      </c>
      <c r="G9910" s="38" t="n">
        <f aca="false">Sens!$G$9900+Sens!$G$9905+Sens!$G$9908+Sens!$G$9909</f>
        <v>108.003491626854</v>
      </c>
      <c r="H9910" s="38" t="n">
        <f aca="false">Sens!$H$9900+Sens!$H$9905+Sens!$H$9908+Sens!$H$9909</f>
        <v>131.546867769501</v>
      </c>
      <c r="I9910" s="38" t="n">
        <f aca="false">Sens!$I$9900+Sens!$I$9905+Sens!$I$9908+Sens!$I$9909</f>
        <v>151.443755203325</v>
      </c>
      <c r="J9910" s="38" t="n">
        <f aca="false">Sens!$J$9900+Sens!$J$9905+Sens!$J$9908+Sens!$J$9909</f>
        <v>169.831139392687</v>
      </c>
      <c r="K9910" s="38" t="n">
        <f aca="false">Sens!$K$9900+Sens!$K$9905+Sens!$K$9908+Sens!$K$9909</f>
        <v>181.200203156976</v>
      </c>
      <c r="L9910" s="38" t="n">
        <f aca="false">Sens!$L$9900+Sens!$L$9905+Sens!$L$9908+Sens!$L$9909</f>
        <v>191.752115456843</v>
      </c>
      <c r="M9910" s="38" t="n">
        <f aca="false">Sens!$M$9900+Sens!$M$9905+Sens!$M$9908+Sens!$M$9909</f>
        <v>201.508227275094</v>
      </c>
      <c r="N9910" s="38" t="n">
        <f aca="false">Q!$N$25</f>
        <v>37.576</v>
      </c>
      <c r="O9910" s="38" t="n">
        <f aca="false">Q!$O$25</f>
        <v>42.399</v>
      </c>
    </row>
    <row r="9911" customFormat="false" ht="17.15" hidden="false" customHeight="false" outlineLevel="0" collapsed="false">
      <c r="A9911" s="24" t="s">
        <v>764</v>
      </c>
      <c r="B9911" s="25" t="s">
        <v>86</v>
      </c>
      <c r="C9911" s="41" t="n">
        <f aca="false">Sens!$C$9900+Sens!$C$9905+Sens!$C$9908+Sens!$C$9909-Sens!$C$9910</f>
        <v>0</v>
      </c>
      <c r="D9911" s="41" t="n">
        <f aca="false">Sens!$D$9900+Sens!$D$9905+Sens!$D$9908+Sens!$D$9909-Sens!$D$9910</f>
        <v>0</v>
      </c>
      <c r="E9911" s="41" t="n">
        <f aca="false">Sens!$E$9900+Sens!$E$9905+Sens!$E$9908+Sens!$E$9909-Sens!$E$9910</f>
        <v>0</v>
      </c>
      <c r="F9911" s="41" t="n">
        <f aca="false">Sens!$F$9900+Sens!$F$9905+Sens!$F$9908+Sens!$F$9909-Sens!$F$9910</f>
        <v>0</v>
      </c>
      <c r="G9911" s="41" t="n">
        <f aca="false">Sens!$G$9900+Sens!$G$9905+Sens!$G$9908+Sens!$G$9909-Sens!$G$9910</f>
        <v>0</v>
      </c>
      <c r="H9911" s="41" t="n">
        <f aca="false">Sens!$H$9900+Sens!$H$9905+Sens!$H$9908+Sens!$H$9909-Sens!$H$9910</f>
        <v>0</v>
      </c>
      <c r="I9911" s="41" t="n">
        <f aca="false">Sens!$I$9900+Sens!$I$9905+Sens!$I$9908+Sens!$I$9909-Sens!$I$9910</f>
        <v>0</v>
      </c>
      <c r="J9911" s="41" t="n">
        <f aca="false">Sens!$J$9900+Sens!$J$9905+Sens!$J$9908+Sens!$J$9909-Sens!$J$9910</f>
        <v>0</v>
      </c>
      <c r="K9911" s="41" t="n">
        <f aca="false">Sens!$K$9900+Sens!$K$9905+Sens!$K$9908+Sens!$K$9909-Sens!$K$9910</f>
        <v>0</v>
      </c>
      <c r="L9911" s="41" t="n">
        <f aca="false">Sens!$L$9900+Sens!$L$9905+Sens!$L$9908+Sens!$L$9909-Sens!$L$9910</f>
        <v>0</v>
      </c>
      <c r="M9911" s="41" t="n">
        <f aca="false">Sens!$M$9900+Sens!$M$9905+Sens!$M$9908+Sens!$M$9909-Sens!$M$9910</f>
        <v>0</v>
      </c>
      <c r="N9911" s="41" t="n">
        <f aca="false">Sens!$N$9900+Sens!$N$9905+Sens!$N$9908+Sens!$N$9909-Sens!$N$9910</f>
        <v>0</v>
      </c>
      <c r="O9911" s="41" t="n">
        <f aca="false">Sens!$O$9900+Sens!$O$9905+Sens!$O$9908+Sens!$O$9909-Sens!$O$9910</f>
        <v>0</v>
      </c>
    </row>
    <row r="9912" customFormat="false" ht="17.15" hidden="false" customHeight="false" outlineLevel="0" collapsed="false">
      <c r="A9912" s="5" t="s">
        <v>735</v>
      </c>
      <c r="B9912" s="0" t="s">
        <v>86</v>
      </c>
      <c r="C9912" s="38" t="n">
        <f aca="false">Sens!$C$9848</f>
        <v>0</v>
      </c>
      <c r="D9912" s="38" t="n">
        <f aca="false">Sens!$D$9848</f>
        <v>0</v>
      </c>
      <c r="E9912" s="38" t="n">
        <f aca="false">Sens!$E$9848</f>
        <v>0</v>
      </c>
      <c r="F9912" s="38" t="n">
        <f aca="false">Sens!$F$9848</f>
        <v>3.77122048175818</v>
      </c>
      <c r="G9912" s="38" t="n">
        <f aca="false">Sens!$G$9848</f>
        <v>3.77122048175818</v>
      </c>
      <c r="H9912" s="38" t="n">
        <f aca="false">Sens!$H$9848</f>
        <v>15.1635543609893</v>
      </c>
      <c r="I9912" s="38" t="n">
        <f aca="false">Sens!$I$9848</f>
        <v>25.5818843619889</v>
      </c>
      <c r="J9912" s="38" t="n">
        <f aca="false">Sens!$J$9848</f>
        <v>36.0465624179122</v>
      </c>
      <c r="K9912" s="38" t="n">
        <f aca="false">Sens!$K$9848</f>
        <v>44.9020355557576</v>
      </c>
      <c r="L9912" s="38" t="n">
        <f aca="false">Sens!$L$9848</f>
        <v>50.55474151763</v>
      </c>
      <c r="M9912" s="38" t="n">
        <f aca="false">Sens!$M$9848</f>
        <v>52.9968449759368</v>
      </c>
      <c r="N9912" s="38" t="n">
        <f aca="false">Sens!$N$9848</f>
        <v>0</v>
      </c>
      <c r="O9912" s="38" t="n">
        <f aca="false">Sens!$O$9848</f>
        <v>0</v>
      </c>
      <c r="P9912" s="5" t="s">
        <v>736</v>
      </c>
    </row>
    <row r="9913" customFormat="false" ht="17.15" hidden="false" customHeight="false" outlineLevel="0" collapsed="false">
      <c r="A9913" s="5" t="s">
        <v>737</v>
      </c>
      <c r="B9913" s="0" t="s">
        <v>86</v>
      </c>
      <c r="C9913" s="38" t="n">
        <f aca="false">Sens!$C$9910+Sens!$C$9912</f>
        <v>68.593</v>
      </c>
      <c r="D9913" s="38" t="n">
        <f aca="false">Sens!$D$9910+Sens!$D$9912</f>
        <v>79.975</v>
      </c>
      <c r="E9913" s="38" t="n">
        <f aca="false">Sens!$E$9910+Sens!$E$9912</f>
        <v>51.313</v>
      </c>
      <c r="F9913" s="38" t="n">
        <f aca="false">Sens!$F$9910+Sens!$F$9912</f>
        <v>60.4617121086123</v>
      </c>
      <c r="G9913" s="38" t="n">
        <f aca="false">Sens!$G$9910+Sens!$G$9912</f>
        <v>111.774712108612</v>
      </c>
      <c r="H9913" s="38" t="n">
        <f aca="false">Sens!$H$9910+Sens!$H$9912</f>
        <v>146.71042213049</v>
      </c>
      <c r="I9913" s="38" t="n">
        <f aca="false">Sens!$I$9910+Sens!$I$9912</f>
        <v>177.025639565314</v>
      </c>
      <c r="J9913" s="38" t="n">
        <f aca="false">Sens!$J$9910+Sens!$J$9912</f>
        <v>205.877701810599</v>
      </c>
      <c r="K9913" s="38" t="n">
        <f aca="false">Sens!$K$9910+Sens!$K$9912</f>
        <v>226.102238712733</v>
      </c>
      <c r="L9913" s="38" t="n">
        <f aca="false">Sens!$L$9910+Sens!$L$9912</f>
        <v>242.306856974473</v>
      </c>
      <c r="M9913" s="38" t="n">
        <f aca="false">Sens!$M$9910+Sens!$M$9912</f>
        <v>254.505072251031</v>
      </c>
      <c r="N9913" s="38" t="n">
        <f aca="false">Sens!$N$9910+Sens!$N$9912</f>
        <v>37.576</v>
      </c>
      <c r="O9913" s="38" t="n">
        <f aca="false">Sens!$O$9910+Sens!$O$9912</f>
        <v>42.399</v>
      </c>
    </row>
    <row r="9914" customFormat="false" ht="17.15" hidden="false" customHeight="false" outlineLevel="0" collapsed="false">
      <c r="A9914" s="0" t="s">
        <v>738</v>
      </c>
      <c r="B9914" s="0" t="s">
        <v>52</v>
      </c>
      <c r="C9914" s="13" t="n">
        <f aca="false">Sens!$C$9900/Sens!$C$9885</f>
        <v>0.0644314665661928</v>
      </c>
      <c r="D9914" s="13" t="n">
        <f aca="false">Sens!$D$9900/Sens!$D$9885</f>
        <v>0.0694784250712518</v>
      </c>
      <c r="E9914" s="13" t="n">
        <f aca="false">Sens!$E$9900/Sens!$E$9885</f>
        <v>0.0789306463326071</v>
      </c>
      <c r="F9914" s="13" t="n">
        <f aca="false">Sens!$F$9900/Sens!$F$9885</f>
        <v>0.0801757457241943</v>
      </c>
      <c r="G9914" s="13" t="n">
        <f aca="false">Sens!$G$9900/Sens!$G$9885</f>
        <v>0.0795932749625682</v>
      </c>
      <c r="H9914" s="13" t="n">
        <f aca="false">Sens!$H$9900/Sens!$H$9885</f>
        <v>0.0801494276915951</v>
      </c>
      <c r="I9914" s="13" t="n">
        <f aca="false">Sens!$I$9900/Sens!$I$9885</f>
        <v>0.0784619467108939</v>
      </c>
      <c r="J9914" s="13" t="n">
        <f aca="false">Sens!$J$9900/Sens!$J$9885</f>
        <v>0.0767950945569155</v>
      </c>
      <c r="K9914" s="13" t="n">
        <f aca="false">Sens!$K$9900/Sens!$K$9885</f>
        <v>0.0749939394422836</v>
      </c>
      <c r="L9914" s="13" t="n">
        <f aca="false">Sens!$L$9900/Sens!$L$9885</f>
        <v>0.0741976918077138</v>
      </c>
      <c r="M9914" s="13" t="n">
        <f aca="false">Sens!$M$9900/Sens!$M$9885</f>
        <v>0.0760756006409599</v>
      </c>
      <c r="N9914" s="13" t="n">
        <f aca="false">Sens!$N$9900/Sens!$N$9885</f>
        <v>0.069228576611127</v>
      </c>
      <c r="O9914" s="13" t="n">
        <f aca="false">Sens!$O$9900/Sens!$O$9885</f>
        <v>0.069685022498393</v>
      </c>
    </row>
    <row r="9915" customFormat="false" ht="17.15" hidden="false" customHeight="false" outlineLevel="0" collapsed="false">
      <c r="A9915" s="0" t="s">
        <v>739</v>
      </c>
      <c r="B9915" s="0" t="s">
        <v>52</v>
      </c>
      <c r="C9915" s="13" t="n">
        <f aca="false">Sens!$C$9905/Sens!$C$9886</f>
        <v>0.026534925055631</v>
      </c>
      <c r="D9915" s="13" t="n">
        <f aca="false">Sens!$D$9905/Sens!$D$9886</f>
        <v>0.0293401855535103</v>
      </c>
      <c r="E9915" s="13" t="n">
        <f aca="false">Sens!$E$9905/Sens!$E$9886</f>
        <v>0.03831141902276</v>
      </c>
      <c r="F9915" s="13" t="n">
        <f aca="false">Sens!$F$9905/Sens!$F$9886</f>
        <v>0.0281350107328284</v>
      </c>
      <c r="G9915" s="13" t="n">
        <f aca="false">Sens!$G$9905/Sens!$G$9886</f>
        <v>0.0327600029432073</v>
      </c>
      <c r="H9915" s="13" t="n">
        <f aca="false">Sens!$H$9905/Sens!$H$9886</f>
        <v>0.031310920057557</v>
      </c>
      <c r="I9915" s="13" t="n">
        <f aca="false">Sens!$I$9905/Sens!$I$9886</f>
        <v>0.0275950243319601</v>
      </c>
      <c r="J9915" s="13" t="n">
        <f aca="false">Sens!$J$9905/Sens!$J$9886</f>
        <v>0.0238367762099147</v>
      </c>
      <c r="K9915" s="13" t="n">
        <f aca="false">Sens!$K$9905/Sens!$K$9886</f>
        <v>0.0198395809250214</v>
      </c>
      <c r="L9915" s="13" t="n">
        <f aca="false">Sens!$L$9905/Sens!$L$9886</f>
        <v>0.0193894815713138</v>
      </c>
      <c r="M9915" s="13" t="n">
        <f aca="false">Sens!$M$9905/Sens!$M$9886</f>
        <v>0.0216215457635621</v>
      </c>
      <c r="N9915" s="13" t="n">
        <f aca="false">Sens!$N$9905/Sens!$N$9886</f>
        <v>0.0357315650169337</v>
      </c>
      <c r="O9915" s="13" t="n">
        <f aca="false">Sens!$O$9905/Sens!$O$9886</f>
        <v>0.0244378956559703</v>
      </c>
    </row>
    <row r="9916" customFormat="false" ht="17.15" hidden="false" customHeight="false" outlineLevel="0" collapsed="false">
      <c r="A9916" s="14" t="s">
        <v>740</v>
      </c>
      <c r="B9916" s="14" t="s">
        <v>52</v>
      </c>
      <c r="C9916" s="17" t="n">
        <f aca="false">Sens!$C$9908/Sens!$C$9887</f>
        <v>0.370355907620217</v>
      </c>
      <c r="D9916" s="17" t="n">
        <f aca="false">Sens!$D$9908/Sens!$D$9887</f>
        <v>0.35429015342785</v>
      </c>
      <c r="E9916" s="17" t="n">
        <f aca="false">Sens!$E$9908/Sens!$E$9887</f>
        <v>0.385647527531039</v>
      </c>
      <c r="F9916" s="17" t="n">
        <f aca="false">Sens!$F$9908/Sens!$F$9887</f>
        <v>0.390008895496028</v>
      </c>
      <c r="G9916" s="17" t="n">
        <f aca="false">Sens!$G$9908/Sens!$G$9887</f>
        <v>0.387918733944362</v>
      </c>
      <c r="H9916" s="17" t="n">
        <f aca="false">Sens!$H$9908/Sens!$H$9887</f>
        <v>0.377537651365497</v>
      </c>
      <c r="I9916" s="17" t="n">
        <f aca="false">Sens!$I$9908/Sens!$I$9887</f>
        <v>0.359230604038662</v>
      </c>
      <c r="J9916" s="17" t="n">
        <f aca="false">Sens!$J$9908/Sens!$J$9887</f>
        <v>0.345197865849801</v>
      </c>
      <c r="K9916" s="17" t="n">
        <f aca="false">Sens!$K$9908/Sens!$K$9887</f>
        <v>0.326192378368303</v>
      </c>
      <c r="L9916" s="17" t="n">
        <f aca="false">Sens!$L$9908/Sens!$L$9887</f>
        <v>0.314246212570264</v>
      </c>
      <c r="M9916" s="17" t="n">
        <f aca="false">Sens!$M$9908/Sens!$M$9887</f>
        <v>0.303778785747756</v>
      </c>
      <c r="N9916" s="17" t="n">
        <f aca="false">Sens!$N$9908/Sens!$N$9887</f>
        <v>0.360941137346192</v>
      </c>
      <c r="O9916" s="17" t="n">
        <f aca="false">Sens!$O$9908/Sens!$O$9887</f>
        <v>0.348458117664212</v>
      </c>
    </row>
    <row r="9917" customFormat="false" ht="17.15" hidden="false" customHeight="false" outlineLevel="0" collapsed="false">
      <c r="A9917" s="0" t="s">
        <v>741</v>
      </c>
      <c r="B9917" s="0" t="s">
        <v>52</v>
      </c>
      <c r="C9917" s="13" t="n">
        <f aca="false">Sens!$C$9906/Sens!$C$9888</f>
        <v>0.708390794789371</v>
      </c>
      <c r="D9917" s="13" t="n">
        <f aca="false">Sens!$D$9906/Sens!$D$9888</f>
        <v>0.619415573115729</v>
      </c>
      <c r="E9917" s="13" t="n">
        <f aca="false">Sens!$E$9906/Sens!$E$9888</f>
        <v>0.374072166056273</v>
      </c>
      <c r="F9917" s="13" t="n">
        <f aca="false">Sens!$F$9906/Sens!$F$9888</f>
        <v>0.553219320710057</v>
      </c>
      <c r="G9917" s="13" t="n">
        <f aca="false">Sens!$G$9906/Sens!$G$9888</f>
        <v>0.488270041527512</v>
      </c>
      <c r="H9917" s="13" t="n">
        <f aca="false">Sens!$H$9906/Sens!$H$9888</f>
        <v>0.435229086816882</v>
      </c>
      <c r="I9917" s="13" t="n">
        <f aca="false">Sens!$I$9906/Sens!$I$9888</f>
        <v>0.364954592421095</v>
      </c>
      <c r="J9917" s="13" t="n">
        <f aca="false">Sens!$J$9906/Sens!$J$9888</f>
        <v>0.330438308582232</v>
      </c>
      <c r="K9917" s="13" t="n">
        <f aca="false">Sens!$K$9906/Sens!$K$9888</f>
        <v>0.290840613449356</v>
      </c>
      <c r="L9917" s="13" t="n">
        <f aca="false">Sens!$L$9906/Sens!$L$9888</f>
        <v>0.26673582850143</v>
      </c>
      <c r="M9917" s="13" t="n">
        <f aca="false">Sens!$M$9906/Sens!$M$9888</f>
        <v>0.242555621732387</v>
      </c>
      <c r="N9917" s="13" t="n">
        <f aca="false">Sens!$N$9906/Sens!$N$9888</f>
        <v>0.551227795793364</v>
      </c>
      <c r="O9917" s="13" t="n">
        <f aca="false">Sens!$O$9906/Sens!$O$9888</f>
        <v>0.656132068597002</v>
      </c>
    </row>
    <row r="9918" customFormat="false" ht="15" hidden="false" customHeight="false" outlineLevel="0" collapsed="false">
      <c r="A9918" s="5" t="s">
        <v>742</v>
      </c>
      <c r="B9918" s="0" t="s">
        <v>52</v>
      </c>
      <c r="C9918" s="13" t="n">
        <f aca="false">Sens!$C$9910/Sens!$C$9890</f>
        <v>0.107519448742004</v>
      </c>
      <c r="D9918" s="13" t="n">
        <f aca="false">Sens!$D$9910/Sens!$D$9890</f>
        <v>0.111552967957552</v>
      </c>
      <c r="E9918" s="13" t="n">
        <f aca="false">Sens!$E$9910/Sens!$E$9890</f>
        <v>0.13428328426562</v>
      </c>
      <c r="F9918" s="13" t="n">
        <f aca="false">Sens!$F$9910/Sens!$F$9890</f>
        <v>0.130089413875539</v>
      </c>
      <c r="G9918" s="13" t="n">
        <f aca="false">Sens!$G$9910/Sens!$G$9890</f>
        <v>0.132048786678316</v>
      </c>
      <c r="H9918" s="13" t="n">
        <f aca="false">Sens!$H$9910/Sens!$H$9890</f>
        <v>0.139604881440853</v>
      </c>
      <c r="I9918" s="13" t="n">
        <f aca="false">Sens!$I$9910/Sens!$I$9890</f>
        <v>0.141694752432769</v>
      </c>
      <c r="J9918" s="13" t="n">
        <f aca="false">Sens!$J$9910/Sens!$J$9890</f>
        <v>0.14272611544629</v>
      </c>
      <c r="K9918" s="13" t="n">
        <f aca="false">Sens!$K$9910/Sens!$K$9890</f>
        <v>0.139839124593314</v>
      </c>
      <c r="L9918" s="13" t="n">
        <f aca="false">Sens!$L$9910/Sens!$L$9890</f>
        <v>0.137551708416509</v>
      </c>
      <c r="M9918" s="13" t="n">
        <f aca="false">Sens!$M$9910/Sens!$M$9890</f>
        <v>0.135691264462076</v>
      </c>
      <c r="N9918" s="13" t="n">
        <f aca="false">Sens!$N$9910/Sens!$N$9890</f>
        <v>0.116201614873411</v>
      </c>
      <c r="O9918" s="13" t="n">
        <f aca="false">Sens!$O$9910/Sens!$O$9890</f>
        <v>0.107733353660861</v>
      </c>
    </row>
    <row r="9919" customFormat="false" ht="17.15" hidden="false" customHeight="false" outlineLevel="0" collapsed="false">
      <c r="A9919" s="1" t="s">
        <v>743</v>
      </c>
    </row>
    <row r="9920" customFormat="false" ht="17.15" hidden="false" customHeight="false" outlineLevel="0" collapsed="false">
      <c r="A9920" s="5" t="s">
        <v>744</v>
      </c>
      <c r="B9920" s="0" t="s">
        <v>52</v>
      </c>
      <c r="D9920" s="28" t="n">
        <f aca="false">(Q!$E$29+Q!$E$30-(1-ext_sh)*Sens!$D$9842)/Sens!$D$9796</f>
        <v>0.0341105596409988</v>
      </c>
    </row>
    <row r="9921" customFormat="false" ht="17.15" hidden="false" customHeight="false" outlineLevel="0" collapsed="false">
      <c r="A9921" s="0" t="s">
        <v>538</v>
      </c>
      <c r="B9921" s="0" t="s">
        <v>86</v>
      </c>
      <c r="C9921" s="38" t="n">
        <f aca="false">Q!$D$29</f>
        <v>14.285</v>
      </c>
      <c r="D9921" s="38" t="n">
        <f aca="false">Q!$E$29</f>
        <v>15.503</v>
      </c>
      <c r="E9921" s="38" t="n">
        <f aca="false">Q!$P$29</f>
        <v>8.78</v>
      </c>
      <c r="F9921" s="38" t="n">
        <f aca="false">(Sens!$D$9920*Sens!$F$9796+(1-ext_sh)*Sens!$F$9842)*Sens!$F$9797</f>
        <v>9.16735846116642</v>
      </c>
      <c r="G9921" s="38" t="n">
        <f aca="false">Sens!$E$9921+Sens!$F$9921</f>
        <v>17.9473584611664</v>
      </c>
      <c r="H9921" s="38" t="n">
        <f aca="false">(Sens!$D$9920*Sens!$H$9796+(1-ext_sh)*Sens!$H$9842)*Sens!$H$9797</f>
        <v>21.6406723110177</v>
      </c>
      <c r="I9921" s="38" t="n">
        <f aca="false">(Sens!$D$9920*Sens!$I$9796+(1-ext_sh)*Sens!$I$9842)*Sens!$I$9797</f>
        <v>27.3128215555087</v>
      </c>
      <c r="J9921" s="38" t="n">
        <f aca="false">(Sens!$D$9920*Sens!$J$9796+(1-ext_sh)*Sens!$J$9842)*Sens!$J$9797</f>
        <v>33.0116861885756</v>
      </c>
      <c r="K9921" s="38" t="n">
        <f aca="false">(Sens!$D$9920*Sens!$K$9796+(1-ext_sh)*Sens!$K$9842)*Sens!$K$9797</f>
        <v>38.6250238720245</v>
      </c>
      <c r="L9921" s="38" t="n">
        <f aca="false">(Sens!$D$9920*Sens!$L$9796+(1-ext_sh)*Sens!$L$9842)*Sens!$L$9797</f>
        <v>43.0147457862143</v>
      </c>
      <c r="M9921" s="38" t="n">
        <f aca="false">(Sens!$D$9920*Sens!$M$9796+(1-ext_sh)*Sens!$M$9842)*Sens!$M$9797</f>
        <v>46.4215054296107</v>
      </c>
      <c r="N9921" s="38" t="n">
        <f aca="false">Q!$N$29</f>
        <v>7.272</v>
      </c>
      <c r="O9921" s="38" t="n">
        <f aca="false">Q!$O$29</f>
        <v>8.231</v>
      </c>
    </row>
    <row r="9922" customFormat="false" ht="17.15" hidden="false" customHeight="false" outlineLevel="0" collapsed="false">
      <c r="A9922" s="0" t="s">
        <v>540</v>
      </c>
      <c r="B9922" s="0" t="s">
        <v>86</v>
      </c>
      <c r="C9922" s="38" t="n">
        <f aca="false">Q!$D$30</f>
        <v>4.462</v>
      </c>
      <c r="D9922" s="38" t="n">
        <f aca="false">Q!$E$30</f>
        <v>4.907</v>
      </c>
      <c r="E9922" s="38" t="n">
        <f aca="false">Q!$P$30</f>
        <v>2.57</v>
      </c>
      <c r="F9922" s="38" t="n">
        <f aca="false">(Sens!$D$9920*Sens!$F$9796+(1-ext_sh)*Sens!$F$9842)*(1-Sens!$F$9797)</f>
        <v>3.59937168293151</v>
      </c>
      <c r="G9922" s="38" t="n">
        <f aca="false">Sens!$E$9922+Sens!$F$9922</f>
        <v>6.16937168293151</v>
      </c>
      <c r="H9922" s="38" t="n">
        <f aca="false">(Sens!$D$9920*Sens!$H$9796+(1-ext_sh)*Sens!$H$9842)*(1-Sens!$H$9797)</f>
        <v>8.28915290031442</v>
      </c>
      <c r="I9922" s="38" t="n">
        <f aca="false">(Sens!$D$9920*Sens!$I$9796+(1-ext_sh)*Sens!$I$9842)*(1-Sens!$I$9797)</f>
        <v>10.4617892992793</v>
      </c>
      <c r="J9922" s="38" t="n">
        <f aca="false">(Sens!$D$9920*Sens!$J$9796+(1-ext_sh)*Sens!$J$9842)*(1-Sens!$J$9797)</f>
        <v>12.6446586493057</v>
      </c>
      <c r="K9922" s="38" t="n">
        <f aca="false">(Sens!$D$9920*Sens!$K$9796+(1-ext_sh)*Sens!$K$9842)*(1-Sens!$K$9797)</f>
        <v>14.7947681131192</v>
      </c>
      <c r="L9922" s="38" t="n">
        <f aca="false">(Sens!$D$9920*Sens!$L$9796+(1-ext_sh)*Sens!$L$9842)*(1-Sens!$L$9797)</f>
        <v>16.4761888940278</v>
      </c>
      <c r="M9922" s="38" t="n">
        <f aca="false">(Sens!$D$9920*Sens!$M$9796+(1-ext_sh)*Sens!$M$9842)*(1-Sens!$M$9797)</f>
        <v>17.7810999047803</v>
      </c>
      <c r="N9922" s="38" t="n">
        <f aca="false">Q!$N$30</f>
        <v>2.316</v>
      </c>
      <c r="O9922" s="38" t="n">
        <f aca="false">Q!$O$30</f>
        <v>2.591</v>
      </c>
    </row>
    <row r="9923" customFormat="false" ht="17.15" hidden="false" customHeight="false" outlineLevel="0" collapsed="false">
      <c r="A9923" s="0" t="s">
        <v>541</v>
      </c>
      <c r="B9923" s="0" t="s">
        <v>86</v>
      </c>
      <c r="C9923" s="38" t="n">
        <f aca="false">Sens!$C$9854</f>
        <v>13.32</v>
      </c>
      <c r="D9923" s="38" t="n">
        <f aca="false">Sens!$D$9854</f>
        <v>21.45</v>
      </c>
      <c r="E9923" s="38" t="n">
        <f aca="false">Sens!$E$9854</f>
        <v>15.353</v>
      </c>
      <c r="F9923" s="38" t="n">
        <f aca="false">Sens!$F$9854</f>
        <v>15.4404120185306</v>
      </c>
      <c r="G9923" s="38" t="n">
        <f aca="false">Sens!$G$9854</f>
        <v>30.7934120185306</v>
      </c>
      <c r="H9923" s="38" t="n">
        <f aca="false">Sens!$H$9854</f>
        <v>48.250114371455</v>
      </c>
      <c r="I9923" s="38" t="n">
        <f aca="false">Sens!$I$9854</f>
        <v>73.3965146995963</v>
      </c>
      <c r="J9923" s="38" t="n">
        <f aca="false">Sens!$J$9854</f>
        <v>99.22806138309</v>
      </c>
      <c r="K9923" s="38" t="n">
        <f aca="false">Sens!$K$9854</f>
        <v>125.386627452856</v>
      </c>
      <c r="L9923" s="38" t="n">
        <f aca="false">Sens!$L$9854</f>
        <v>144.460334766067</v>
      </c>
      <c r="M9923" s="38" t="n">
        <f aca="false">Sens!$M$9854</f>
        <v>157.757763910934</v>
      </c>
      <c r="N9923" s="38" t="n">
        <f aca="false">Sens!$N$9854</f>
        <v>9.234</v>
      </c>
      <c r="O9923" s="38" t="n">
        <f aca="false">Sens!$O$9854</f>
        <v>12.216</v>
      </c>
    </row>
    <row r="9924" customFormat="false" ht="17.15" hidden="false" customHeight="false" outlineLevel="0" collapsed="false">
      <c r="A9924" s="5" t="s">
        <v>745</v>
      </c>
      <c r="B9924" s="0" t="s">
        <v>86</v>
      </c>
      <c r="C9924" s="38" t="n">
        <f aca="false">Sens!$C$9921+Sens!$C$9922+Sens!$C$9923</f>
        <v>32.067</v>
      </c>
      <c r="D9924" s="38" t="n">
        <f aca="false">Sens!$D$9921+Sens!$D$9922+Sens!$D$9923</f>
        <v>41.86</v>
      </c>
      <c r="E9924" s="38" t="n">
        <f aca="false">Sens!$E$9921+Sens!$E$9922+Sens!$E$9923</f>
        <v>26.703</v>
      </c>
      <c r="F9924" s="38" t="n">
        <f aca="false">Sens!$F$9921+Sens!$F$9922+Sens!$F$9923</f>
        <v>28.2071421626285</v>
      </c>
      <c r="G9924" s="38" t="n">
        <f aca="false">Sens!$G$9921+Sens!$G$9922+Sens!$G$9923</f>
        <v>54.9101421626285</v>
      </c>
      <c r="H9924" s="38" t="n">
        <f aca="false">Sens!$H$9921+Sens!$H$9922+Sens!$H$9923</f>
        <v>78.1799395827871</v>
      </c>
      <c r="I9924" s="38" t="n">
        <f aca="false">Sens!$I$9921+Sens!$I$9922+Sens!$I$9923</f>
        <v>111.171125554384</v>
      </c>
      <c r="J9924" s="38" t="n">
        <f aca="false">Sens!$J$9921+Sens!$J$9922+Sens!$J$9923</f>
        <v>144.884406220971</v>
      </c>
      <c r="K9924" s="38" t="n">
        <f aca="false">Sens!$K$9921+Sens!$K$9922+Sens!$K$9923</f>
        <v>178.806419437999</v>
      </c>
      <c r="L9924" s="38" t="n">
        <f aca="false">Sens!$L$9921+Sens!$L$9922+Sens!$L$9923</f>
        <v>203.951269446309</v>
      </c>
      <c r="M9924" s="38" t="n">
        <f aca="false">Sens!$M$9921+Sens!$M$9922+Sens!$M$9923</f>
        <v>221.960369245325</v>
      </c>
      <c r="N9924" s="38" t="n">
        <f aca="false">Sens!$N$9921+Sens!$N$9922+Sens!$N$9923</f>
        <v>18.822</v>
      </c>
      <c r="O9924" s="38" t="n">
        <f aca="false">Sens!$O$9921+Sens!$O$9922+Sens!$O$9923</f>
        <v>23.038</v>
      </c>
    </row>
    <row r="9925" customFormat="false" ht="17.15" hidden="false" customHeight="false" outlineLevel="0" collapsed="false">
      <c r="A9925" s="0" t="s">
        <v>746</v>
      </c>
      <c r="B9925" s="0" t="s">
        <v>86</v>
      </c>
      <c r="C9925" s="38" t="n">
        <f aca="false">Sens!$C$9896+Sens!$C$9901</f>
        <v>28.107</v>
      </c>
      <c r="D9925" s="38" t="n">
        <f aca="false">Sens!$D$9896+Sens!$D$9901</f>
        <v>34.3175</v>
      </c>
      <c r="E9925" s="38" t="n">
        <f aca="false">Sens!$E$9896+Sens!$E$9901</f>
        <v>18.526</v>
      </c>
      <c r="F9925" s="38" t="n">
        <f aca="false">Sens!$F$9896+Sens!$F$9901</f>
        <v>23.0786109972074</v>
      </c>
      <c r="G9925" s="38" t="n">
        <f aca="false">Sens!$G$9896+Sens!$G$9901</f>
        <v>41.6046109972074</v>
      </c>
      <c r="H9925" s="38" t="n">
        <f aca="false">Sens!$H$9896+Sens!$H$9901</f>
        <v>49.9484611939488</v>
      </c>
      <c r="I9925" s="38" t="n">
        <f aca="false">Sens!$I$9896+Sens!$I$9901</f>
        <v>58.2915555477481</v>
      </c>
      <c r="J9925" s="38" t="n">
        <f aca="false">Sens!$J$9896+Sens!$J$9901</f>
        <v>66.0744709709759</v>
      </c>
      <c r="K9925" s="38" t="n">
        <f aca="false">Sens!$K$9896+Sens!$K$9901</f>
        <v>72.6819180680735</v>
      </c>
      <c r="L9925" s="38" t="n">
        <f aca="false">Sens!$L$9896+Sens!$L$9901</f>
        <v>79.9501098748808</v>
      </c>
      <c r="M9925" s="38" t="n">
        <f aca="false">Sens!$M$9896+Sens!$M$9901</f>
        <v>87.9451208623689</v>
      </c>
      <c r="N9925" s="38" t="n">
        <f aca="false">Sens!$N$9896+Sens!$N$9901</f>
        <v>14.8075</v>
      </c>
      <c r="O9925" s="38" t="n">
        <f aca="false">Sens!$O$9896+Sens!$O$9901</f>
        <v>19.51</v>
      </c>
    </row>
    <row r="9926" customFormat="false" ht="17.15" hidden="false" customHeight="false" outlineLevel="0" collapsed="false">
      <c r="A9926" s="0" t="s">
        <v>747</v>
      </c>
      <c r="B9926" s="0" t="s">
        <v>86</v>
      </c>
      <c r="C9926" s="38" t="n">
        <f aca="false">Sens!$C$9900+Sens!$C$9905+Sens!$C$9921+Sens!$C$9922-Sens!$C$9925</f>
        <v>19.399</v>
      </c>
      <c r="D9926" s="38" t="n">
        <f aca="false">Sens!$D$9900+Sens!$D$9905+Sens!$D$9921+Sens!$D$9922-Sens!$D$9925</f>
        <v>20.4615</v>
      </c>
      <c r="E9926" s="38" t="n">
        <f aca="false">Sens!$E$9900+Sens!$E$9905+Sens!$E$9921+Sens!$E$9922-Sens!$E$9925</f>
        <v>13.355</v>
      </c>
      <c r="F9926" s="38" t="n">
        <f aca="false">Sens!$F$9900+Sens!$F$9905+Sens!$F$9921+Sens!$F$9922-Sens!$F$9925</f>
        <v>12.5520732018618</v>
      </c>
      <c r="G9926" s="38" t="n">
        <f aca="false">Sens!$G$9900+Sens!$G$9905+Sens!$G$9921+Sens!$G$9922-Sens!$G$9925</f>
        <v>25.9070732018618</v>
      </c>
      <c r="H9926" s="38" t="n">
        <f aca="false">Sens!$H$9900+Sens!$H$9905+Sens!$H$9921+Sens!$H$9922-Sens!$H$9925</f>
        <v>28.0233335906818</v>
      </c>
      <c r="I9926" s="38" t="n">
        <f aca="false">Sens!$I$9900+Sens!$I$9905+Sens!$I$9921+Sens!$I$9922-Sens!$I$9925</f>
        <v>30.2440066606864</v>
      </c>
      <c r="J9926" s="38" t="n">
        <f aca="false">Sens!$J$9900+Sens!$J$9905+Sens!$J$9921+Sens!$J$9922-Sens!$J$9925</f>
        <v>32.4596500296286</v>
      </c>
      <c r="K9926" s="38" t="n">
        <f aca="false">Sens!$K$9900+Sens!$K$9905+Sens!$K$9921+Sens!$K$9922-Sens!$K$9925</f>
        <v>34.8536245233336</v>
      </c>
      <c r="L9926" s="38" t="n">
        <f aca="false">Sens!$L$9900+Sens!$L$9905+Sens!$L$9921+Sens!$L$9922-Sens!$L$9925</f>
        <v>36.4990730853599</v>
      </c>
      <c r="M9926" s="38" t="n">
        <f aca="false">Sens!$M$9900+Sens!$M$9905+Sens!$M$9921+Sens!$M$9922-Sens!$M$9925</f>
        <v>38.9687393433834</v>
      </c>
      <c r="N9926" s="38" t="n">
        <f aca="false">Sens!$N$9900+Sens!$N$9905+Sens!$N$9921+Sens!$N$9922-Sens!$N$9925</f>
        <v>10.6495</v>
      </c>
      <c r="O9926" s="38" t="n">
        <f aca="false">Sens!$O$9900+Sens!$O$9905+Sens!$O$9921+Sens!$O$9922-Sens!$O$9925</f>
        <v>9.81200000000001</v>
      </c>
    </row>
    <row r="9927" customFormat="false" ht="17.15" hidden="false" customHeight="false" outlineLevel="0" collapsed="false">
      <c r="A9927" s="0" t="s">
        <v>748</v>
      </c>
      <c r="B9927" s="0" t="s">
        <v>86</v>
      </c>
      <c r="C9927" s="38" t="n">
        <f aca="false">Sens!$C$9907+Sens!$C$9923-ext_sh*Sens!$C$9842</f>
        <v>51.3470500115664</v>
      </c>
      <c r="D9927" s="38" t="n">
        <f aca="false">Sens!$D$9907+Sens!$D$9923-ext_sh*Sens!$D$9842</f>
        <v>60.2799375433739</v>
      </c>
      <c r="E9927" s="38" t="n">
        <f aca="false">Sens!$E$9907+Sens!$E$9923-ext_sh*Sens!$E$9842</f>
        <v>39.5095167090767</v>
      </c>
      <c r="F9927" s="38" t="n">
        <f aca="false">Sens!$F$9907+Sens!$F$9923-ext_sh*Sens!$F$9842</f>
        <v>37.5468918745429</v>
      </c>
      <c r="G9927" s="38" t="n">
        <f aca="false">Sens!$G$9907+Sens!$G$9923-ext_sh*Sens!$G$9842</f>
        <v>77.0564085836196</v>
      </c>
      <c r="H9927" s="38" t="n">
        <f aca="false">Sens!$H$9907+Sens!$H$9923-ext_sh*Sens!$H$9842</f>
        <v>84.2378398616123</v>
      </c>
      <c r="I9927" s="38" t="n">
        <f aca="false">Sens!$I$9907+Sens!$I$9923-ext_sh*Sens!$I$9842</f>
        <v>93.5253492849083</v>
      </c>
      <c r="J9927" s="38" t="n">
        <f aca="false">Sens!$J$9907+Sens!$J$9923-ext_sh*Sens!$J$9842</f>
        <v>102.42210777817</v>
      </c>
      <c r="K9927" s="38" t="n">
        <f aca="false">Sens!$K$9907+Sens!$K$9923-ext_sh*Sens!$K$9842</f>
        <v>110.615876400424</v>
      </c>
      <c r="L9927" s="38" t="n">
        <f aca="false">Sens!$L$9907+Sens!$L$9923-ext_sh*Sens!$L$9842</f>
        <v>119.465146512458</v>
      </c>
      <c r="M9927" s="38" t="n">
        <f aca="false">Sens!$M$9907+Sens!$M$9923-ext_sh*Sens!$M$9842</f>
        <v>129.022358233455</v>
      </c>
      <c r="N9927" s="38" t="n">
        <f aca="false">Sens!$N$9907+Sens!$N$9923-ext_sh*Sens!$N$9842</f>
        <v>28.5693781401809</v>
      </c>
      <c r="O9927" s="38" t="n">
        <f aca="false">Sens!$O$9907+Sens!$O$9923-ext_sh*Sens!$O$9842</f>
        <v>31.7105594031931</v>
      </c>
    </row>
    <row r="9928" customFormat="false" ht="17.15" hidden="false" customHeight="false" outlineLevel="0" collapsed="false">
      <c r="A9928" s="0" t="s">
        <v>749</v>
      </c>
      <c r="B9928" s="0" t="s">
        <v>86</v>
      </c>
      <c r="C9928" s="38" t="n">
        <f aca="false">Sens!$C$9845</f>
        <v>1.80694998843362</v>
      </c>
      <c r="D9928" s="38" t="n">
        <f aca="false">Sens!$D$9845</f>
        <v>6.77606245662607</v>
      </c>
      <c r="E9928" s="38" t="n">
        <f aca="false">Sens!$E$9845</f>
        <v>6.62548329092326</v>
      </c>
      <c r="F9928" s="38" t="n">
        <f aca="false">Sens!$F$9845</f>
        <v>11.7200577158706</v>
      </c>
      <c r="G9928" s="38" t="n">
        <f aca="false">Sens!$G$9845</f>
        <v>18.3455410067939</v>
      </c>
      <c r="H9928" s="38" t="n">
        <f aca="false">Sens!$H$9845</f>
        <v>47.5171727060453</v>
      </c>
      <c r="I9928" s="38" t="n">
        <f aca="false">Sens!$I$9845</f>
        <v>80.5539692643667</v>
      </c>
      <c r="J9928" s="38" t="n">
        <f aca="false">Sens!$J$9845</f>
        <v>113.759316834883</v>
      </c>
      <c r="K9928" s="38" t="n">
        <f aca="false">Sens!$K$9845</f>
        <v>141.855203603144</v>
      </c>
      <c r="L9928" s="38" t="n">
        <f aca="false">Sens!$L$9845</f>
        <v>159.789055430453</v>
      </c>
      <c r="M9928" s="38" t="n">
        <f aca="false">Sens!$M$9845</f>
        <v>167.532378081213</v>
      </c>
      <c r="N9928" s="38" t="n">
        <f aca="false">Sens!$N$9845</f>
        <v>2.37162185981912</v>
      </c>
      <c r="O9928" s="38" t="n">
        <f aca="false">Sens!$O$9845</f>
        <v>4.40444059680694</v>
      </c>
    </row>
    <row r="9929" customFormat="false" ht="17.15" hidden="false" customHeight="false" outlineLevel="0" collapsed="false">
      <c r="A9929" s="0" t="s">
        <v>750</v>
      </c>
      <c r="B9929" s="0" t="s">
        <v>86</v>
      </c>
      <c r="C9929" s="38" t="n">
        <f aca="false">Sens!$C$9910+Sens!$C$9924</f>
        <v>100.66</v>
      </c>
      <c r="D9929" s="38" t="n">
        <f aca="false">Sens!$D$9910+Sens!$D$9924</f>
        <v>121.835</v>
      </c>
      <c r="E9929" s="38" t="n">
        <f aca="false">Sens!$E$9910+Sens!$E$9924</f>
        <v>78.016</v>
      </c>
      <c r="F9929" s="38" t="n">
        <f aca="false">Sens!$F$9910+Sens!$F$9924</f>
        <v>84.8976337894826</v>
      </c>
      <c r="G9929" s="38" t="n">
        <f aca="false">Sens!$G$9910+Sens!$G$9924</f>
        <v>162.913633789483</v>
      </c>
      <c r="H9929" s="38" t="n">
        <f aca="false">Sens!$H$9910+Sens!$H$9924</f>
        <v>209.726807352288</v>
      </c>
      <c r="I9929" s="38" t="n">
        <f aca="false">Sens!$I$9910+Sens!$I$9924</f>
        <v>262.61488075771</v>
      </c>
      <c r="J9929" s="38" t="n">
        <f aca="false">Sens!$J$9910+Sens!$J$9924</f>
        <v>314.715545613658</v>
      </c>
      <c r="K9929" s="38" t="n">
        <f aca="false">Sens!$K$9910+Sens!$K$9924</f>
        <v>360.006622594975</v>
      </c>
      <c r="L9929" s="38" t="n">
        <f aca="false">Sens!$L$9910+Sens!$L$9924</f>
        <v>395.703384903152</v>
      </c>
      <c r="M9929" s="38" t="n">
        <f aca="false">Sens!$M$9910+Sens!$M$9924</f>
        <v>423.46859652042</v>
      </c>
      <c r="N9929" s="38" t="n">
        <f aca="false">Sens!$N$9910+Sens!$N$9924</f>
        <v>56.398</v>
      </c>
      <c r="O9929" s="38" t="n">
        <f aca="false">Sens!$O$9910+Sens!$O$9924</f>
        <v>65.437</v>
      </c>
    </row>
    <row r="9930" customFormat="false" ht="17.15" hidden="false" customHeight="false" outlineLevel="0" collapsed="false">
      <c r="A9930" s="1" t="s">
        <v>751</v>
      </c>
    </row>
    <row r="9931" customFormat="false" ht="15" hidden="false" customHeight="false" outlineLevel="0" collapsed="false">
      <c r="A9931" s="5" t="s">
        <v>544</v>
      </c>
      <c r="B9931" s="0" t="s">
        <v>86</v>
      </c>
      <c r="C9931" s="38" t="n">
        <f aca="false">Q!$D$34</f>
        <v>2.406</v>
      </c>
      <c r="D9931" s="38" t="n">
        <f aca="false">Q!$E$34</f>
        <v>2.274</v>
      </c>
      <c r="E9931" s="38" t="n">
        <f aca="false">Q!$P$34</f>
        <v>2.114</v>
      </c>
      <c r="F9931" s="38" t="n">
        <f aca="false">Sens!$F$9969</f>
        <v>3.24888962733561</v>
      </c>
      <c r="G9931" s="38" t="n">
        <f aca="false">Sens!$E$9931+Sens!$F$9931</f>
        <v>5.36288962733561</v>
      </c>
      <c r="H9931" s="38" t="n">
        <f aca="false">Sens!$H$9969</f>
        <v>7.42354172302123</v>
      </c>
      <c r="I9931" s="38" t="n">
        <f aca="false">Sens!$I$9969</f>
        <v>8.48968024898619</v>
      </c>
      <c r="J9931" s="38" t="n">
        <f aca="false">Sens!$J$9969</f>
        <v>9.63598826439483</v>
      </c>
      <c r="K9931" s="38" t="n">
        <f aca="false">Sens!$K$9969</f>
        <v>9.63598826439483</v>
      </c>
      <c r="L9931" s="38" t="n">
        <f aca="false">Sens!$L$9969</f>
        <v>9.63598826439483</v>
      </c>
      <c r="M9931" s="38" t="n">
        <f aca="false">Sens!$M$9969</f>
        <v>9.63598826439483</v>
      </c>
      <c r="N9931" s="38" t="n">
        <f aca="false">Q!$N$34</f>
        <v>1.057</v>
      </c>
      <c r="O9931" s="38" t="n">
        <f aca="false">Q!$O$34</f>
        <v>1.217</v>
      </c>
    </row>
    <row r="9932" customFormat="false" ht="15" hidden="false" customHeight="false" outlineLevel="0" collapsed="false">
      <c r="A9932" s="5" t="s">
        <v>752</v>
      </c>
      <c r="B9932" s="0" t="s">
        <v>86</v>
      </c>
      <c r="F9932" s="38" t="n">
        <f aca="false">Sens!$F$9970</f>
        <v>2.59</v>
      </c>
      <c r="H9932" s="38" t="n">
        <f aca="false">Sens!$H$9970</f>
        <v>3.76965165045626</v>
      </c>
      <c r="I9932" s="38" t="n">
        <f aca="false">Sens!$I$9970</f>
        <v>2.10589651022864</v>
      </c>
      <c r="J9932" s="38" t="n">
        <f aca="false">Sens!$J$9970</f>
        <v>2.10589651022864</v>
      </c>
      <c r="K9932" s="38" t="n">
        <f aca="false">Sens!$K$9970</f>
        <v>3.03184385018094</v>
      </c>
      <c r="L9932" s="38" t="n">
        <f aca="false">Sens!$L$9970</f>
        <v>8.12851579968782</v>
      </c>
      <c r="M9932" s="38" t="n">
        <f aca="false">Sens!$M$9970</f>
        <v>15.7876465675307</v>
      </c>
    </row>
    <row r="9933" customFormat="false" ht="17.15" hidden="false" customHeight="false" outlineLevel="0" collapsed="false">
      <c r="A9933" s="5" t="s">
        <v>753</v>
      </c>
      <c r="B9933" s="0" t="s">
        <v>86</v>
      </c>
      <c r="C9933" s="38" t="n">
        <f aca="false">Q!$D$39</f>
        <v>2.427</v>
      </c>
      <c r="D9933" s="38" t="n">
        <f aca="false">Q!$E$39</f>
        <v>19.61</v>
      </c>
      <c r="E9933" s="38" t="n">
        <f aca="false">Q!$P$39</f>
        <v>71.492</v>
      </c>
      <c r="F9933" s="39" t="n">
        <v>0</v>
      </c>
      <c r="G9933" s="38" t="n">
        <f aca="false">Sens!$E$9933+Sens!$F$9933</f>
        <v>71.492</v>
      </c>
      <c r="H9933" s="39" t="n">
        <v>0</v>
      </c>
      <c r="I9933" s="39" t="n">
        <v>0</v>
      </c>
      <c r="J9933" s="39" t="n">
        <v>0</v>
      </c>
      <c r="K9933" s="39" t="n">
        <v>0</v>
      </c>
      <c r="L9933" s="39" t="n">
        <v>0</v>
      </c>
      <c r="M9933" s="39" t="n">
        <v>0</v>
      </c>
      <c r="N9933" s="38" t="n">
        <f aca="false">Q!$N$39</f>
        <v>6.017</v>
      </c>
      <c r="O9933" s="38" t="n">
        <f aca="false">Q!$O$39</f>
        <v>13.593</v>
      </c>
      <c r="P9933" s="5" t="s">
        <v>754</v>
      </c>
    </row>
    <row r="9934" customFormat="false" ht="15" hidden="false" customHeight="false" outlineLevel="0" collapsed="false">
      <c r="A9934" s="5" t="s">
        <v>547</v>
      </c>
      <c r="B9934" s="0" t="s">
        <v>86</v>
      </c>
      <c r="C9934" s="38" t="n">
        <f aca="false">Q!$D$36</f>
        <v>68.614</v>
      </c>
      <c r="D9934" s="38" t="n">
        <f aca="false">Q!$E$36</f>
        <v>97.311</v>
      </c>
      <c r="E9934" s="38" t="n">
        <f aca="false">Q!$P$36</f>
        <v>120.691</v>
      </c>
      <c r="F9934" s="38" t="n">
        <f aca="false">Sens!$F$9910-Sens!$F$9931+Sens!$F$9932+Sens!$F$9933</f>
        <v>56.0316019995185</v>
      </c>
      <c r="G9934" s="38" t="n">
        <f aca="false">Sens!$E$9934+Sens!$F$9934</f>
        <v>176.722601999518</v>
      </c>
      <c r="H9934" s="38" t="n">
        <f aca="false">Sens!$H$9910-Sens!$H$9931+Sens!$H$9932+Sens!$H$9933</f>
        <v>127.892977696936</v>
      </c>
      <c r="I9934" s="38" t="n">
        <f aca="false">Sens!$I$9910-Sens!$I$9931+Sens!$I$9932+Sens!$I$9933</f>
        <v>145.059971464568</v>
      </c>
      <c r="J9934" s="38" t="n">
        <f aca="false">Sens!$J$9910-Sens!$J$9931+Sens!$J$9932+Sens!$J$9933</f>
        <v>162.301047638521</v>
      </c>
      <c r="K9934" s="38" t="n">
        <f aca="false">Sens!$K$9910-Sens!$K$9931+Sens!$K$9932+Sens!$K$9933</f>
        <v>174.596058742762</v>
      </c>
      <c r="L9934" s="38" t="n">
        <f aca="false">Sens!$L$9910-Sens!$L$9931+Sens!$L$9932+Sens!$L$9933</f>
        <v>190.244642992136</v>
      </c>
      <c r="M9934" s="38" t="n">
        <f aca="false">Sens!$M$9910-Sens!$M$9931+Sens!$M$9932+Sens!$M$9933</f>
        <v>207.65988557823</v>
      </c>
      <c r="N9934" s="38" t="n">
        <f aca="false">Q!$N$36</f>
        <v>42.536</v>
      </c>
      <c r="O9934" s="38" t="n">
        <f aca="false">Q!$O$36</f>
        <v>54.775</v>
      </c>
    </row>
    <row r="9935" customFormat="false" ht="15" hidden="false" customHeight="false" outlineLevel="0" collapsed="false">
      <c r="A9935" s="5" t="s">
        <v>548</v>
      </c>
      <c r="B9935" s="0" t="s">
        <v>86</v>
      </c>
      <c r="C9935" s="38" t="n">
        <f aca="false">Q!$D$37</f>
        <v>9.265</v>
      </c>
      <c r="D9935" s="38" t="n">
        <f aca="false">Q!$E$37</f>
        <v>19.087</v>
      </c>
      <c r="E9935" s="38" t="n">
        <f aca="false">Q!$P$37</f>
        <v>27.759</v>
      </c>
      <c r="F9935" s="38" t="n">
        <f aca="false">Sens!$F$9934*tax</f>
        <v>9.72621910890414</v>
      </c>
      <c r="G9935" s="38" t="n">
        <f aca="false">Sens!$E$9935+Sens!$F$9935</f>
        <v>37.4852191089041</v>
      </c>
      <c r="H9935" s="38" t="n">
        <f aca="false">Sens!$H$9934*tax</f>
        <v>22.2002419916761</v>
      </c>
      <c r="I9935" s="38" t="n">
        <f aca="false">Sens!$I$9934*tax</f>
        <v>25.1801664783365</v>
      </c>
      <c r="J9935" s="38" t="n">
        <f aca="false">Sens!$J$9934*tax</f>
        <v>28.1729505244292</v>
      </c>
      <c r="K9935" s="38" t="n">
        <f aca="false">Sens!$K$9934*tax</f>
        <v>30.3071742067591</v>
      </c>
      <c r="L9935" s="38" t="n">
        <f aca="false">Sens!$L$9934*tax</f>
        <v>33.0235262959761</v>
      </c>
      <c r="M9935" s="38" t="n">
        <f aca="false">Sens!$M$9934*tax</f>
        <v>36.0465429362735</v>
      </c>
      <c r="N9935" s="38" t="n">
        <f aca="false">Q!$N$37</f>
        <v>7.231</v>
      </c>
      <c r="O9935" s="38" t="n">
        <f aca="false">Q!$O$37</f>
        <v>11.856</v>
      </c>
    </row>
    <row r="9936" customFormat="false" ht="15" hidden="false" customHeight="false" outlineLevel="0" collapsed="false">
      <c r="A9936" s="3" t="s">
        <v>549</v>
      </c>
      <c r="B9936" s="8" t="s">
        <v>86</v>
      </c>
      <c r="C9936" s="38" t="n">
        <f aca="false">Q!$D$38</f>
        <v>59.248</v>
      </c>
      <c r="D9936" s="38" t="n">
        <f aca="false">Q!$E$38</f>
        <v>77.67</v>
      </c>
      <c r="E9936" s="38" t="n">
        <f aca="false">Q!$P$38</f>
        <v>92.902</v>
      </c>
      <c r="F9936" s="38" t="n">
        <f aca="false">Sens!$F$9934-Sens!$F$9935</f>
        <v>46.3053828906144</v>
      </c>
      <c r="G9936" s="38" t="n">
        <f aca="false">Sens!$E$9936+Sens!$F$9936</f>
        <v>139.207382890614</v>
      </c>
      <c r="H9936" s="38" t="n">
        <f aca="false">Sens!$H$9934-Sens!$H$9935</f>
        <v>105.69273570526</v>
      </c>
      <c r="I9936" s="38" t="n">
        <f aca="false">Sens!$I$9934-Sens!$I$9935</f>
        <v>119.879804986231</v>
      </c>
      <c r="J9936" s="38" t="n">
        <f aca="false">Sens!$J$9934-Sens!$J$9935</f>
        <v>134.128097114092</v>
      </c>
      <c r="K9936" s="38" t="n">
        <f aca="false">Sens!$K$9934-Sens!$K$9935</f>
        <v>144.288884536003</v>
      </c>
      <c r="L9936" s="38" t="n">
        <f aca="false">Sens!$L$9934-Sens!$L$9935</f>
        <v>157.22111669616</v>
      </c>
      <c r="M9936" s="38" t="n">
        <f aca="false">Sens!$M$9934-Sens!$M$9935</f>
        <v>171.613342641957</v>
      </c>
      <c r="N9936" s="38" t="n">
        <f aca="false">Q!$N$38</f>
        <v>35.291</v>
      </c>
      <c r="O9936" s="38" t="n">
        <f aca="false">Q!$O$38</f>
        <v>42.379</v>
      </c>
    </row>
    <row r="9937" customFormat="false" ht="17.15" hidden="false" customHeight="false" outlineLevel="0" collapsed="false">
      <c r="A9937" s="5" t="s">
        <v>552</v>
      </c>
      <c r="B9937" s="5" t="s">
        <v>33</v>
      </c>
      <c r="C9937" s="22" t="n">
        <f aca="false">Q!$D$41</f>
        <v>10.721</v>
      </c>
      <c r="D9937" s="22" t="n">
        <f aca="false">Q!$E$41</f>
        <v>10.827</v>
      </c>
      <c r="E9937" s="22" t="n">
        <f aca="false">(Q!$L$41+Q!$M$41)/2</f>
        <v>10.8885</v>
      </c>
      <c r="F9937" s="22" t="n">
        <f aca="false">Sens!$G$9937</f>
        <v>10.924806</v>
      </c>
      <c r="G9937" s="22" t="n">
        <f aca="false">Q!$M$41*(1+sh_g*0.25)</f>
        <v>10.924806</v>
      </c>
      <c r="H9937" s="22" t="n">
        <f aca="false">Sens!$G$9937*(1+sh_g)</f>
        <v>11.012204448</v>
      </c>
      <c r="I9937" s="22" t="n">
        <f aca="false">Sens!$H$9937*(1+sh_g)</f>
        <v>11.100302083584</v>
      </c>
      <c r="J9937" s="22" t="n">
        <f aca="false">Sens!$I$9937*(1+sh_g)</f>
        <v>11.1891045002527</v>
      </c>
      <c r="K9937" s="22" t="n">
        <f aca="false">Sens!$J$9937*(1+sh_g)</f>
        <v>11.2786173362547</v>
      </c>
      <c r="L9937" s="22" t="n">
        <f aca="false">Sens!$K$9937*(1+sh_g)</f>
        <v>11.3688462749447</v>
      </c>
      <c r="M9937" s="22" t="n">
        <f aca="false">Sens!$L$9937*(1+sh_g)</f>
        <v>11.4597970451443</v>
      </c>
      <c r="P9937" s="5" t="s">
        <v>755</v>
      </c>
    </row>
    <row r="9938" customFormat="false" ht="17.15" hidden="false" customHeight="false" outlineLevel="0" collapsed="false">
      <c r="A9938" s="5" t="s">
        <v>756</v>
      </c>
      <c r="B9938" s="0" t="s">
        <v>86</v>
      </c>
      <c r="C9938" s="38" t="n">
        <f aca="false">Sens!$C$9936+Sens!$C$9912*(1-tax)</f>
        <v>59.248</v>
      </c>
      <c r="D9938" s="38" t="n">
        <f aca="false">Sens!$D$9936+Sens!$D$9912*(1-tax)</f>
        <v>77.67</v>
      </c>
      <c r="E9938" s="38" t="n">
        <f aca="false">Sens!$E$9936+Sens!$E$9912*(1-tax)</f>
        <v>92.902</v>
      </c>
      <c r="F9938" s="38" t="n">
        <f aca="false">Sens!$F$9936+Sens!$F$9912*(1-tax)</f>
        <v>49.421977850263</v>
      </c>
      <c r="G9938" s="38" t="n">
        <f aca="false">Sens!$G$9936+Sens!$G$9912*(1-tax)</f>
        <v>142.323977850263</v>
      </c>
      <c r="H9938" s="38" t="n">
        <f aca="false">Sens!$H$9936+Sens!$H$9912*(1-tax)</f>
        <v>118.224131660605</v>
      </c>
      <c r="I9938" s="38" t="n">
        <f aca="false">Sens!$I$9936+Sens!$I$9912*(1-tax)</f>
        <v>141.02107006117</v>
      </c>
      <c r="J9938" s="38" t="n">
        <f aca="false">Sens!$J$9936+Sens!$J$9912*(1-tax)</f>
        <v>163.917534058375</v>
      </c>
      <c r="K9938" s="38" t="n">
        <f aca="false">Sens!$K$9936+Sens!$K$9912*(1-tax)</f>
        <v>181.396621505494</v>
      </c>
      <c r="L9938" s="38" t="n">
        <f aca="false">Sens!$L$9936+Sens!$L$9912*(1-tax)</f>
        <v>199.000337339004</v>
      </c>
      <c r="M9938" s="38" t="n">
        <f aca="false">Sens!$M$9936+Sens!$M$9912*(1-tax)</f>
        <v>215.410755370338</v>
      </c>
      <c r="N9938" s="38" t="n">
        <f aca="false">Sens!$N$9936+Sens!$N$9912*(1-tax)</f>
        <v>35.291</v>
      </c>
      <c r="O9938" s="38" t="n">
        <f aca="false">Sens!$O$9936+Sens!$O$9912*(1-tax)</f>
        <v>42.379</v>
      </c>
    </row>
    <row r="9939" customFormat="false" ht="17.15" hidden="false" customHeight="false" outlineLevel="0" collapsed="false">
      <c r="A9939" s="43" t="s">
        <v>757</v>
      </c>
      <c r="B9939" s="14" t="s">
        <v>27</v>
      </c>
      <c r="C9939" s="44" t="n">
        <f aca="false">Sens!$C$9938/Sens!$C$9937</f>
        <v>5.52635015390355</v>
      </c>
      <c r="D9939" s="44" t="n">
        <f aca="false">Sens!$D$9938/Sens!$D$9937</f>
        <v>7.1737323358271</v>
      </c>
      <c r="E9939" s="44" t="n">
        <f aca="false">Sens!$E$9938/Sens!$E$9937</f>
        <v>8.53212104513937</v>
      </c>
      <c r="F9939" s="14"/>
      <c r="G9939" s="44" t="n">
        <f aca="false">Sens!$G$9938/Sens!$G$9937</f>
        <v>13.0275977303636</v>
      </c>
      <c r="H9939" s="44" t="n">
        <f aca="false">Sens!$H$9938/Sens!$H$9937</f>
        <v>10.7357370832392</v>
      </c>
      <c r="I9939" s="44" t="n">
        <f aca="false">Sens!$I$9938/Sens!$I$9937</f>
        <v>12.7042551634449</v>
      </c>
      <c r="J9939" s="44" t="n">
        <f aca="false">Sens!$J$9938/Sens!$J$9937</f>
        <v>14.6497455676344</v>
      </c>
      <c r="K9939" s="44" t="n">
        <f aca="false">Sens!$K$9938/Sens!$K$9937</f>
        <v>16.083232199252</v>
      </c>
      <c r="L9939" s="44" t="n">
        <f aca="false">Sens!$L$9938/Sens!$L$9937</f>
        <v>17.504004586426</v>
      </c>
      <c r="M9939" s="44" t="n">
        <f aca="false">Sens!$M$9938/Sens!$M$9937</f>
        <v>18.7970829257932</v>
      </c>
      <c r="N9939" s="14"/>
      <c r="O9939" s="14"/>
    </row>
    <row r="9940" customFormat="false" ht="17.15" hidden="false" customHeight="false" outlineLevel="0" collapsed="false">
      <c r="A9940" s="0" t="s">
        <v>758</v>
      </c>
      <c r="B9940" s="0" t="s">
        <v>27</v>
      </c>
      <c r="C9940" s="30" t="n">
        <f aca="false">Sens!$C$9936/Sens!$C$9937</f>
        <v>5.52635015390355</v>
      </c>
      <c r="D9940" s="30" t="n">
        <f aca="false">Sens!$D$9936/Sens!$D$9937</f>
        <v>7.1737323358271</v>
      </c>
      <c r="E9940" s="30" t="n">
        <f aca="false">Sens!$E$9936/Sens!$E$9937</f>
        <v>8.53212104513937</v>
      </c>
      <c r="G9940" s="30" t="n">
        <f aca="false">Sens!$G$9936/Sens!$G$9937</f>
        <v>12.7423208147233</v>
      </c>
      <c r="H9940" s="30" t="n">
        <f aca="false">Sens!$H$9936/Sens!$H$9937</f>
        <v>9.59778182509639</v>
      </c>
      <c r="I9940" s="30" t="n">
        <f aca="false">Sens!$I$9936/Sens!$I$9937</f>
        <v>10.799688520506</v>
      </c>
      <c r="J9940" s="30" t="n">
        <f aca="false">Sens!$J$9936/Sens!$J$9937</f>
        <v>11.9873844337644</v>
      </c>
      <c r="K9940" s="30" t="n">
        <f aca="false">Sens!$K$9936/Sens!$K$9937</f>
        <v>12.7931359167751</v>
      </c>
      <c r="L9940" s="30" t="n">
        <f aca="false">Sens!$L$9936/Sens!$L$9937</f>
        <v>13.8291180031744</v>
      </c>
      <c r="M9940" s="30" t="n">
        <f aca="false">Sens!$M$9936/Sens!$M$9937</f>
        <v>14.975251478356</v>
      </c>
    </row>
    <row r="9941" customFormat="false" ht="17.15" hidden="false" customHeight="false" outlineLevel="0" collapsed="false">
      <c r="A9941" s="0" t="s">
        <v>759</v>
      </c>
      <c r="B9941" s="0" t="s">
        <v>27</v>
      </c>
      <c r="C9941" s="30" t="n">
        <f aca="false">(Sens!$C$9936-Sens!$C$9933*(1-tax))/Sens!$C$9937</f>
        <v>5.33926775917445</v>
      </c>
      <c r="D9941" s="30" t="n">
        <f aca="false">(Sens!$D$9936-Sens!$D$9933*(1-tax))/Sens!$D$9937</f>
        <v>5.67691812755503</v>
      </c>
      <c r="E9941" s="30" t="n">
        <f aca="false">(Sens!$E$9936-Sens!$E$9933*(1-tax))/Sens!$E$9937</f>
        <v>3.10602057006846</v>
      </c>
      <c r="G9941" s="30" t="n">
        <f aca="false">(Sens!$G$9936-Sens!$G$9933*(1-tax))/Sens!$G$9937</f>
        <v>7.33425269682635</v>
      </c>
      <c r="H9941" s="30" t="n">
        <f aca="false">(Sens!$H$9936-Sens!$H$9933*(1-tax))/Sens!$H$9937</f>
        <v>9.59778182509639</v>
      </c>
      <c r="I9941" s="30" t="n">
        <f aca="false">(Sens!$I$9936-Sens!$I$9933*(1-tax))/Sens!$I$9937</f>
        <v>10.799688520506</v>
      </c>
      <c r="J9941" s="30" t="n">
        <f aca="false">(Sens!$J$9936-Sens!$J$9933*(1-tax))/Sens!$J$9937</f>
        <v>11.9873844337644</v>
      </c>
      <c r="K9941" s="30" t="n">
        <f aca="false">(Sens!$K$9936-Sens!$K$9933*(1-tax))/Sens!$K$9937</f>
        <v>12.7931359167751</v>
      </c>
      <c r="L9941" s="30" t="n">
        <f aca="false">(Sens!$L$9936-Sens!$L$9933*(1-tax))/Sens!$L$9937</f>
        <v>13.8291180031744</v>
      </c>
      <c r="M9941" s="30" t="n">
        <f aca="false">(Sens!$M$9936-Sens!$M$9933*(1-tax))/Sens!$M$9937</f>
        <v>14.975251478356</v>
      </c>
      <c r="P9941" s="5" t="s">
        <v>760</v>
      </c>
    </row>
    <row r="9942" customFormat="false" ht="17.15" hidden="false" customHeight="false" outlineLevel="0" collapsed="false">
      <c r="A9942" s="0" t="s">
        <v>761</v>
      </c>
      <c r="B9942" s="0" t="s">
        <v>52</v>
      </c>
      <c r="H9942" s="13" t="n">
        <f aca="false">Sens!$H$9939/Sens!$G$9939-1</f>
        <v>-0.175923504437261</v>
      </c>
      <c r="I9942" s="13" t="n">
        <f aca="false">Sens!$I$9939/Sens!$H$9939-1</f>
        <v>0.183361241519136</v>
      </c>
      <c r="J9942" s="13" t="n">
        <f aca="false">Sens!$J$9939/Sens!$I$9939-1</f>
        <v>0.153136911936991</v>
      </c>
      <c r="K9942" s="13" t="n">
        <f aca="false">Sens!$K$9939/Sens!$J$9939-1</f>
        <v>0.0978506162444597</v>
      </c>
      <c r="L9942" s="13" t="n">
        <f aca="false">Sens!$L$9939/Sens!$K$9939-1</f>
        <v>0.088338734998803</v>
      </c>
      <c r="M9942" s="13" t="n">
        <f aca="false">Sens!$M$9939/Sens!$L$9939-1</f>
        <v>0.0738732861376219</v>
      </c>
    </row>
    <row r="9945" customFormat="false" ht="19.4" hidden="false" customHeight="false" outlineLevel="0" collapsed="false">
      <c r="A9945" s="31" t="s">
        <v>1338</v>
      </c>
    </row>
    <row r="9946" customFormat="false" ht="17.15" hidden="false" customHeight="false" outlineLevel="0" collapsed="false">
      <c r="A9946" s="6" t="s">
        <v>16</v>
      </c>
      <c r="B9946" s="6" t="s">
        <v>17</v>
      </c>
      <c r="C9946" s="20" t="s">
        <v>497</v>
      </c>
      <c r="D9946" s="20" t="s">
        <v>498</v>
      </c>
      <c r="E9946" s="20" t="s">
        <v>580</v>
      </c>
      <c r="F9946" s="20" t="s">
        <v>581</v>
      </c>
      <c r="G9946" s="20" t="s">
        <v>582</v>
      </c>
      <c r="H9946" s="20" t="s">
        <v>583</v>
      </c>
      <c r="I9946" s="20" t="s">
        <v>584</v>
      </c>
      <c r="J9946" s="20" t="s">
        <v>585</v>
      </c>
      <c r="K9946" s="20" t="s">
        <v>586</v>
      </c>
      <c r="L9946" s="20" t="s">
        <v>587</v>
      </c>
      <c r="M9946" s="20" t="s">
        <v>588</v>
      </c>
      <c r="N9946" s="20" t="s">
        <v>589</v>
      </c>
      <c r="O9946" s="20" t="s">
        <v>590</v>
      </c>
      <c r="P9946" s="6" t="s">
        <v>23</v>
      </c>
      <c r="R9946" s="20" t="n">
        <v>2023</v>
      </c>
      <c r="S9946" s="20" t="n">
        <v>2024</v>
      </c>
      <c r="T9946" s="20" t="n">
        <v>2025</v>
      </c>
      <c r="U9946" s="20" t="n">
        <v>2026</v>
      </c>
      <c r="V9946" s="20" t="n">
        <v>2027</v>
      </c>
      <c r="W9946" s="20" t="n">
        <v>2028</v>
      </c>
      <c r="X9946" s="20" t="n">
        <v>2029</v>
      </c>
      <c r="Y9946" s="20" t="n">
        <v>2030</v>
      </c>
      <c r="Z9946" s="20" t="n">
        <v>2031</v>
      </c>
      <c r="AA9946" s="20" t="n">
        <v>2032</v>
      </c>
    </row>
    <row r="9947" customFormat="false" ht="15" hidden="false" customHeight="false" outlineLevel="0" collapsed="false">
      <c r="A9947" s="5" t="s">
        <v>549</v>
      </c>
      <c r="B9947" s="0" t="s">
        <v>86</v>
      </c>
      <c r="C9947" s="38" t="n">
        <f aca="false">Sens!$C$9936</f>
        <v>59.248</v>
      </c>
      <c r="D9947" s="38" t="n">
        <f aca="false">Sens!$D$9936</f>
        <v>77.67</v>
      </c>
      <c r="E9947" s="38" t="n">
        <f aca="false">Sens!$E$9936</f>
        <v>92.902</v>
      </c>
      <c r="F9947" s="38" t="n">
        <f aca="false">Sens!$F$9936</f>
        <v>46.3053828906144</v>
      </c>
      <c r="G9947" s="38" t="n">
        <f aca="false">Sens!$G$9936</f>
        <v>139.207382890614</v>
      </c>
      <c r="H9947" s="38" t="n">
        <f aca="false">Sens!$H$9936</f>
        <v>105.69273570526</v>
      </c>
      <c r="I9947" s="38" t="n">
        <f aca="false">Sens!$I$9936</f>
        <v>119.879804986231</v>
      </c>
      <c r="J9947" s="38" t="n">
        <f aca="false">Sens!$J$9936</f>
        <v>134.128097114092</v>
      </c>
      <c r="K9947" s="38" t="n">
        <f aca="false">Sens!$K$9936</f>
        <v>144.288884536003</v>
      </c>
      <c r="L9947" s="38" t="n">
        <f aca="false">Sens!$L$9936</f>
        <v>157.22111669616</v>
      </c>
      <c r="M9947" s="38" t="n">
        <f aca="false">Sens!$M$9936</f>
        <v>171.613342641957</v>
      </c>
    </row>
    <row r="9948" customFormat="false" ht="17.15" hidden="false" customHeight="false" outlineLevel="0" collapsed="false">
      <c r="A9948" s="5" t="s">
        <v>784</v>
      </c>
      <c r="B9948" s="0" t="s">
        <v>86</v>
      </c>
      <c r="C9948" s="38" t="n">
        <f aca="false">Sens!$C$9924</f>
        <v>32.067</v>
      </c>
      <c r="D9948" s="38" t="n">
        <f aca="false">Sens!$D$9924</f>
        <v>41.86</v>
      </c>
      <c r="E9948" s="38" t="n">
        <f aca="false">Sens!$E$9924</f>
        <v>26.703</v>
      </c>
      <c r="F9948" s="38" t="n">
        <f aca="false">Sens!$F$9924</f>
        <v>28.2071421626285</v>
      </c>
      <c r="G9948" s="38" t="n">
        <f aca="false">Sens!$G$9924</f>
        <v>54.9101421626285</v>
      </c>
      <c r="H9948" s="38" t="n">
        <f aca="false">Sens!$H$9924</f>
        <v>78.1799395827871</v>
      </c>
      <c r="I9948" s="38" t="n">
        <f aca="false">Sens!$I$9924</f>
        <v>111.171125554384</v>
      </c>
      <c r="J9948" s="38" t="n">
        <f aca="false">Sens!$J$9924</f>
        <v>144.884406220971</v>
      </c>
      <c r="K9948" s="38" t="n">
        <f aca="false">Sens!$K$9924</f>
        <v>178.806419437999</v>
      </c>
      <c r="L9948" s="38" t="n">
        <f aca="false">Sens!$L$9924</f>
        <v>203.951269446309</v>
      </c>
      <c r="M9948" s="38" t="n">
        <f aca="false">Sens!$M$9924</f>
        <v>221.960369245325</v>
      </c>
    </row>
    <row r="9949" customFormat="false" ht="15" hidden="false" customHeight="false" outlineLevel="0" collapsed="false">
      <c r="A9949" s="5" t="s">
        <v>785</v>
      </c>
      <c r="B9949" s="0" t="s">
        <v>86</v>
      </c>
      <c r="C9949" s="38" t="n">
        <f aca="false">Q!$D$48</f>
        <v>22.011</v>
      </c>
      <c r="D9949" s="38" t="n">
        <f aca="false">Q!$E$48</f>
        <v>19.467</v>
      </c>
      <c r="E9949" s="38" t="n">
        <f aca="false">Q!$P$48</f>
        <v>10.07</v>
      </c>
      <c r="F9949" s="38" t="n">
        <f aca="false">sbc_r*Sens!$F$9866</f>
        <v>10.8507035798037</v>
      </c>
      <c r="G9949" s="38" t="n">
        <f aca="false">Sens!$E$9949+Sens!$F$9949</f>
        <v>20.9207035798037</v>
      </c>
      <c r="H9949" s="38" t="n">
        <f aca="false">sbc_r*Sens!$H$9866</f>
        <v>23.46224366345</v>
      </c>
      <c r="I9949" s="38" t="n">
        <f aca="false">sbc_r*Sens!$I$9866</f>
        <v>26.6125957111676</v>
      </c>
      <c r="J9949" s="38" t="n">
        <f aca="false">sbc_r*Sens!$J$9866</f>
        <v>29.6280801413323</v>
      </c>
      <c r="K9949" s="38" t="n">
        <f aca="false">sbc_r*Sens!$K$9866</f>
        <v>32.26410459716</v>
      </c>
      <c r="L9949" s="38" t="n">
        <f aca="false">sbc_r*Sens!$L$9866</f>
        <v>34.7107348734595</v>
      </c>
      <c r="M9949" s="38" t="n">
        <f aca="false">sbc_r*Sens!$M$9866</f>
        <v>36.9769023298878</v>
      </c>
    </row>
    <row r="9950" customFormat="false" ht="17.15" hidden="false" customHeight="false" outlineLevel="0" collapsed="false">
      <c r="A9950" s="5" t="s">
        <v>786</v>
      </c>
      <c r="B9950" s="0" t="s">
        <v>86</v>
      </c>
      <c r="C9950" s="38" t="n">
        <f aca="false">Q!$D$44-Sens!$C$9947-Sens!$C$9948-Sens!$C$9949</f>
        <v>2.551</v>
      </c>
      <c r="D9950" s="38" t="n">
        <f aca="false">Q!$E$44-Sens!$D$9947-Sens!$D$9948-Sens!$D$9949</f>
        <v>0.51700000000001</v>
      </c>
      <c r="E9950" s="38" t="n">
        <f aca="false">Q!$P$44-Sens!$E$9947-Sens!$E$9948-Sens!$E$9949</f>
        <v>-58.256</v>
      </c>
      <c r="F9950" s="38" t="n">
        <f aca="false">oth_r*Sens!$F$9866</f>
        <v>5.22265251035878</v>
      </c>
      <c r="G9950" s="38" t="n">
        <f aca="false">Sens!$E$9950+Sens!$F$9950</f>
        <v>-53.0333474896412</v>
      </c>
      <c r="H9950" s="38" t="n">
        <f aca="false">oth_r*Sens!$H$9866</f>
        <v>11.2928295263397</v>
      </c>
      <c r="I9950" s="38" t="n">
        <f aca="false">oth_r*Sens!$I$9866</f>
        <v>12.8091546115766</v>
      </c>
      <c r="J9950" s="38" t="n">
        <f aca="false">oth_r*Sens!$J$9866</f>
        <v>14.2605653162668</v>
      </c>
      <c r="K9950" s="38" t="n">
        <f aca="false">oth_r*Sens!$K$9866</f>
        <v>15.5293346306567</v>
      </c>
      <c r="L9950" s="38" t="n">
        <f aca="false">oth_r*Sens!$L$9866</f>
        <v>16.7069448805781</v>
      </c>
      <c r="M9950" s="38" t="n">
        <f aca="false">oth_r*Sens!$M$9866</f>
        <v>17.7976949013636</v>
      </c>
      <c r="P9950" s="8" t="s">
        <v>787</v>
      </c>
    </row>
    <row r="9951" customFormat="false" ht="15" hidden="false" customHeight="false" outlineLevel="0" collapsed="false">
      <c r="A9951" s="3" t="s">
        <v>555</v>
      </c>
      <c r="B9951" s="8" t="s">
        <v>86</v>
      </c>
      <c r="C9951" s="38" t="n">
        <f aca="false">Q!$D$44</f>
        <v>115.877</v>
      </c>
      <c r="D9951" s="38" t="n">
        <f aca="false">Q!$E$44</f>
        <v>139.514</v>
      </c>
      <c r="E9951" s="38" t="n">
        <f aca="false">Q!$P$44</f>
        <v>71.419</v>
      </c>
      <c r="F9951" s="38" t="n">
        <f aca="false">Sens!$F$9947+Sens!$F$9948+Sens!$F$9949+Sens!$F$9950</f>
        <v>90.5858811434053</v>
      </c>
      <c r="G9951" s="38" t="n">
        <f aca="false">Sens!$E$9951+Sens!$F$9951</f>
        <v>162.004881143405</v>
      </c>
      <c r="H9951" s="38" t="n">
        <f aca="false">Sens!$H$9947+Sens!$H$9948+Sens!$H$9949+Sens!$H$9950</f>
        <v>218.627748477837</v>
      </c>
      <c r="I9951" s="38" t="n">
        <f aca="false">Sens!$I$9947+Sens!$I$9948+Sens!$I$9949+Sens!$I$9950</f>
        <v>270.47268086336</v>
      </c>
      <c r="J9951" s="38" t="n">
        <f aca="false">Sens!$J$9947+Sens!$J$9948+Sens!$J$9949+Sens!$J$9950</f>
        <v>322.901148792662</v>
      </c>
      <c r="K9951" s="38" t="n">
        <f aca="false">Sens!$K$9947+Sens!$K$9948+Sens!$K$9949+Sens!$K$9950</f>
        <v>370.888743201819</v>
      </c>
      <c r="L9951" s="38" t="n">
        <f aca="false">Sens!$L$9947+Sens!$L$9948+Sens!$L$9949+Sens!$L$9950</f>
        <v>412.590065896507</v>
      </c>
      <c r="M9951" s="38" t="n">
        <f aca="false">Sens!$M$9947+Sens!$M$9948+Sens!$M$9949+Sens!$M$9950</f>
        <v>448.348309118534</v>
      </c>
    </row>
    <row r="9952" customFormat="false" ht="17.15" hidden="false" customHeight="false" outlineLevel="0" collapsed="false">
      <c r="A9952" s="5" t="s">
        <v>788</v>
      </c>
      <c r="B9952" s="0" t="s">
        <v>86</v>
      </c>
      <c r="C9952" s="38" t="n">
        <f aca="false">Sens!$C$9833</f>
        <v>25.2781053077374</v>
      </c>
      <c r="D9952" s="38" t="n">
        <f aca="false">Sens!$D$9833</f>
        <v>69.5686316310026</v>
      </c>
      <c r="E9952" s="38" t="n">
        <f aca="false">Sens!$E$9833</f>
        <v>64.1899206485108</v>
      </c>
      <c r="F9952" s="38" t="n">
        <f aca="false">Sens!$F$9833</f>
        <v>96.2481299895</v>
      </c>
      <c r="G9952" s="38" t="n">
        <f aca="false">Sens!$G$9833</f>
        <v>160.438050638011</v>
      </c>
      <c r="H9952" s="38" t="n">
        <f aca="false">Sens!$H$9833</f>
        <v>198.57136494475</v>
      </c>
      <c r="I9952" s="38" t="n">
        <f aca="false">Sens!$I$9833</f>
        <v>204.6464699105</v>
      </c>
      <c r="J9952" s="38" t="n">
        <f aca="false">Sens!$J$9833</f>
        <v>209.8832381105</v>
      </c>
      <c r="K9952" s="38" t="n">
        <f aca="false">Sens!$K$9833</f>
        <v>152.460428963578</v>
      </c>
      <c r="L9952" s="38" t="n">
        <f aca="false">Sens!$L$9833</f>
        <v>126.458229016657</v>
      </c>
      <c r="M9952" s="38" t="n">
        <f aca="false">Sens!$M$9833</f>
        <v>123.897112724985</v>
      </c>
    </row>
    <row r="9953" customFormat="false" ht="17.15" hidden="false" customHeight="false" outlineLevel="0" collapsed="false">
      <c r="A9953" s="5" t="s">
        <v>789</v>
      </c>
      <c r="B9953" s="0" t="s">
        <v>86</v>
      </c>
      <c r="C9953" s="38" t="n">
        <f aca="false">cx_awso*Sens!$C$9864</f>
        <v>21.0469989286053</v>
      </c>
      <c r="D9953" s="38" t="n">
        <f aca="false">cx_awso*Sens!$D$9864</f>
        <v>24.0042459822698</v>
      </c>
      <c r="E9953" s="38" t="n">
        <f aca="false">cx_awso*Sens!$E$9864</f>
        <v>14.261729404886</v>
      </c>
      <c r="F9953" s="38" t="n">
        <f aca="false">cx_awso*Sens!$F$9864</f>
        <v>14.3538599588493</v>
      </c>
      <c r="G9953" s="38" t="n">
        <f aca="false">Sens!$E$9953+Sens!$F$9953</f>
        <v>28.6155893637353</v>
      </c>
      <c r="H9953" s="38" t="n">
        <f aca="false">cx_awso*Sens!$H$9864</f>
        <v>32.2034154158406</v>
      </c>
      <c r="I9953" s="38" t="n">
        <f aca="false">cx_awso*Sens!$I$9864</f>
        <v>35.7539519042915</v>
      </c>
      <c r="J9953" s="38" t="n">
        <f aca="false">cx_awso*Sens!$J$9864</f>
        <v>39.1551076091815</v>
      </c>
      <c r="K9953" s="38" t="n">
        <f aca="false">cx_awso*Sens!$K$9864</f>
        <v>42.287516217916</v>
      </c>
      <c r="L9953" s="38" t="n">
        <f aca="false">cx_awso*Sens!$L$9864</f>
        <v>45.6705175153492</v>
      </c>
      <c r="M9953" s="38" t="n">
        <f aca="false">cx_awso*Sens!$M$9864</f>
        <v>49.3241589165772</v>
      </c>
    </row>
    <row r="9954" customFormat="false" ht="17.15" hidden="false" customHeight="false" outlineLevel="0" collapsed="false">
      <c r="A9954" s="5" t="s">
        <v>790</v>
      </c>
      <c r="B9954" s="0" t="s">
        <v>86</v>
      </c>
      <c r="C9954" s="38" t="n">
        <f aca="false">Q!$D$46-Sens!$C$9952-Sens!$C$9953</f>
        <v>31.3328957636573</v>
      </c>
      <c r="D9954" s="38" t="n">
        <f aca="false">Q!$E$46-Sens!$D$9952-Sens!$D$9953</f>
        <v>34.7471223867276</v>
      </c>
      <c r="E9954" s="38" t="n">
        <f aca="false">Q!$P$46-Sens!$E$9952-Sens!$E$9953</f>
        <v>17.8583499466032</v>
      </c>
      <c r="F9954" s="38" t="n">
        <f aca="false">cx_rt*Sens!$F$9796</f>
        <v>20.6195895799373</v>
      </c>
      <c r="G9954" s="38" t="n">
        <f aca="false">Sens!$E$9954+Sens!$F$9954</f>
        <v>38.4779395265405</v>
      </c>
      <c r="H9954" s="38" t="n">
        <f aca="false">cx_rt*Sens!$H$9796</f>
        <v>42.5978994743075</v>
      </c>
      <c r="I9954" s="38" t="n">
        <f aca="false">cx_rt*Sens!$I$9796</f>
        <v>46.5813904136335</v>
      </c>
      <c r="J9954" s="38" t="n">
        <f aca="false">cx_rt*Sens!$J$9796</f>
        <v>50.2781676586844</v>
      </c>
      <c r="K9954" s="38" t="n">
        <f aca="false">cx_rt*Sens!$K$9796</f>
        <v>53.5312440191755</v>
      </c>
      <c r="L9954" s="38" t="n">
        <f aca="false">cx_rt*Sens!$L$9796</f>
        <v>57.0116717051447</v>
      </c>
      <c r="M9954" s="38" t="n">
        <f aca="false">cx_rt*Sens!$M$9796</f>
        <v>60.7365554669226</v>
      </c>
    </row>
    <row r="9955" customFormat="false" ht="15" hidden="false" customHeight="false" outlineLevel="0" collapsed="false">
      <c r="A9955" s="3" t="s">
        <v>791</v>
      </c>
      <c r="B9955" s="8" t="s">
        <v>86</v>
      </c>
      <c r="C9955" s="38" t="n">
        <f aca="false">Q!$D$46</f>
        <v>77.658</v>
      </c>
      <c r="D9955" s="38" t="n">
        <f aca="false">Q!$E$46</f>
        <v>128.32</v>
      </c>
      <c r="E9955" s="38" t="n">
        <f aca="false">Q!$P$46</f>
        <v>96.31</v>
      </c>
      <c r="F9955" s="38" t="n">
        <f aca="false">Sens!$F$9952+Sens!$F$9953+Sens!$F$9954</f>
        <v>131.221579528287</v>
      </c>
      <c r="G9955" s="38" t="n">
        <f aca="false">Sens!$E$9955+Sens!$F$9955</f>
        <v>227.531579528287</v>
      </c>
      <c r="H9955" s="38" t="n">
        <f aca="false">Sens!$H$9952+Sens!$H$9953+Sens!$H$9954</f>
        <v>273.372679834898</v>
      </c>
      <c r="I9955" s="38" t="n">
        <f aca="false">Sens!$I$9952+Sens!$I$9953+Sens!$I$9954</f>
        <v>286.981812228425</v>
      </c>
      <c r="J9955" s="38" t="n">
        <f aca="false">Sens!$J$9952+Sens!$J$9953+Sens!$J$9954</f>
        <v>299.316513378366</v>
      </c>
      <c r="K9955" s="38" t="n">
        <f aca="false">Sens!$K$9952+Sens!$K$9953+Sens!$K$9954</f>
        <v>248.27918920067</v>
      </c>
      <c r="L9955" s="38" t="n">
        <f aca="false">Sens!$L$9952+Sens!$L$9953+Sens!$L$9954</f>
        <v>229.140418237151</v>
      </c>
      <c r="M9955" s="38" t="n">
        <f aca="false">Sens!$M$9952+Sens!$M$9953+Sens!$M$9954</f>
        <v>233.957827108485</v>
      </c>
    </row>
    <row r="9956" customFormat="false" ht="17.15" hidden="false" customHeight="false" outlineLevel="0" collapsed="false">
      <c r="A9956" s="5" t="s">
        <v>563</v>
      </c>
      <c r="B9956" s="0" t="s">
        <v>86</v>
      </c>
      <c r="C9956" s="38" t="n">
        <f aca="false">Q!$D$50</f>
        <v>2.043</v>
      </c>
      <c r="D9956" s="38" t="n">
        <f aca="false">Q!$E$50</f>
        <v>1.557</v>
      </c>
      <c r="E9956" s="38" t="n">
        <f aca="false">lease_pr/2</f>
        <v>0.8</v>
      </c>
      <c r="F9956" s="38" t="n">
        <f aca="false">lease_pr/2</f>
        <v>0.8</v>
      </c>
      <c r="G9956" s="38" t="n">
        <f aca="false">Sens!$E$9956+Sens!$F$9956</f>
        <v>1.6</v>
      </c>
      <c r="H9956" s="38" t="n">
        <f aca="false">lease_pr</f>
        <v>1.6</v>
      </c>
      <c r="I9956" s="38" t="n">
        <f aca="false">lease_pr</f>
        <v>1.6</v>
      </c>
      <c r="J9956" s="38" t="n">
        <f aca="false">lease_pr</f>
        <v>1.6</v>
      </c>
      <c r="K9956" s="38" t="n">
        <f aca="false">lease_pr</f>
        <v>1.6</v>
      </c>
      <c r="L9956" s="38" t="n">
        <f aca="false">lease_pr</f>
        <v>1.6</v>
      </c>
      <c r="M9956" s="38" t="n">
        <f aca="false">lease_pr</f>
        <v>1.6</v>
      </c>
      <c r="P9956" s="8" t="s">
        <v>792</v>
      </c>
    </row>
    <row r="9957" customFormat="false" ht="15" hidden="false" customHeight="false" outlineLevel="0" collapsed="false">
      <c r="A9957" s="47" t="s">
        <v>793</v>
      </c>
      <c r="B9957" s="14" t="s">
        <v>86</v>
      </c>
      <c r="C9957" s="48" t="n">
        <f aca="false">Sens!$C$9951-Sens!$C$9955-Sens!$C$9956</f>
        <v>36.176</v>
      </c>
      <c r="D9957" s="48" t="n">
        <f aca="false">Sens!$D$9951-Sens!$D$9955-Sens!$D$9956</f>
        <v>9.63700000000002</v>
      </c>
      <c r="E9957" s="48" t="n">
        <f aca="false">Sens!$E$9951-Sens!$E$9955-Sens!$E$9956</f>
        <v>-25.691</v>
      </c>
      <c r="F9957" s="48" t="n">
        <f aca="false">Sens!$F$9951-Sens!$F$9955-Sens!$F$9956</f>
        <v>-41.4356983848813</v>
      </c>
      <c r="G9957" s="48" t="n">
        <f aca="false">Sens!$G$9951-Sens!$G$9955-Sens!$G$9956</f>
        <v>-67.1266983848813</v>
      </c>
      <c r="H9957" s="48" t="n">
        <f aca="false">Sens!$H$9951-Sens!$H$9955-Sens!$H$9956</f>
        <v>-56.3449313570613</v>
      </c>
      <c r="I9957" s="48" t="n">
        <f aca="false">Sens!$I$9951-Sens!$I$9955-Sens!$I$9956</f>
        <v>-18.1091313650653</v>
      </c>
      <c r="J9957" s="48" t="n">
        <f aca="false">Sens!$J$9951-Sens!$J$9955-Sens!$J$9956</f>
        <v>21.9846354142961</v>
      </c>
      <c r="K9957" s="48" t="n">
        <f aca="false">Sens!$K$9951-Sens!$K$9955-Sens!$K$9956</f>
        <v>121.009554001149</v>
      </c>
      <c r="L9957" s="48" t="n">
        <f aca="false">Sens!$L$9951-Sens!$L$9955-Sens!$L$9956</f>
        <v>181.849647659356</v>
      </c>
      <c r="M9957" s="48" t="n">
        <f aca="false">Sens!$M$9951-Sens!$M$9955-Sens!$M$9956</f>
        <v>212.790482010049</v>
      </c>
      <c r="N9957" s="14"/>
      <c r="O9957" s="14"/>
    </row>
    <row r="9958" customFormat="false" ht="17.15" hidden="false" customHeight="false" outlineLevel="0" collapsed="false">
      <c r="A9958" s="5" t="s">
        <v>794</v>
      </c>
      <c r="B9958" s="0" t="s">
        <v>86</v>
      </c>
      <c r="C9958" s="38" t="n">
        <f aca="false">dps*Sens!$C$9937</f>
        <v>0</v>
      </c>
      <c r="D9958" s="38" t="n">
        <f aca="false">dps*Sens!$D$9937</f>
        <v>0</v>
      </c>
      <c r="E9958" s="38" t="n">
        <f aca="false">dps*Sens!$E$9937</f>
        <v>0</v>
      </c>
      <c r="F9958" s="38" t="n">
        <f aca="false">0</f>
        <v>0</v>
      </c>
      <c r="G9958" s="38" t="n">
        <f aca="false">dps*Sens!$G$9937</f>
        <v>0</v>
      </c>
      <c r="H9958" s="38" t="n">
        <f aca="false">dps*Sens!$H$9937</f>
        <v>0</v>
      </c>
      <c r="I9958" s="38" t="n">
        <f aca="false">dps*Sens!$I$9937</f>
        <v>0</v>
      </c>
      <c r="J9958" s="38" t="n">
        <f aca="false">dps*Sens!$J$9937</f>
        <v>0</v>
      </c>
      <c r="K9958" s="38" t="n">
        <f aca="false">dps*Sens!$K$9937</f>
        <v>0</v>
      </c>
      <c r="L9958" s="38" t="n">
        <f aca="false">dps*Sens!$L$9937</f>
        <v>0</v>
      </c>
      <c r="M9958" s="38" t="n">
        <f aca="false">dps*Sens!$M$9937</f>
        <v>0</v>
      </c>
      <c r="P9958" s="8" t="s">
        <v>795</v>
      </c>
    </row>
    <row r="9959" customFormat="false" ht="17.15" hidden="false" customHeight="false" outlineLevel="0" collapsed="false">
      <c r="A9959" s="5" t="s">
        <v>796</v>
      </c>
      <c r="B9959" s="0" t="s">
        <v>86</v>
      </c>
      <c r="C9959" s="38" t="n">
        <f aca="false">0</f>
        <v>0</v>
      </c>
      <c r="D9959" s="38" t="n">
        <f aca="false">0</f>
        <v>0</v>
      </c>
      <c r="E9959" s="38" t="n">
        <f aca="false">0</f>
        <v>0</v>
      </c>
      <c r="F9959" s="38" t="n">
        <f aca="false">0</f>
        <v>0</v>
      </c>
      <c r="G9959" s="38" t="n">
        <f aca="false">0</f>
        <v>0</v>
      </c>
      <c r="H9959" s="38" t="n">
        <f aca="false">0</f>
        <v>0</v>
      </c>
      <c r="I9959" s="38" t="n">
        <f aca="false">0</f>
        <v>0</v>
      </c>
      <c r="J9959" s="38" t="n">
        <f aca="false">0</f>
        <v>0</v>
      </c>
      <c r="K9959" s="38" t="n">
        <f aca="false">0</f>
        <v>0</v>
      </c>
      <c r="L9959" s="38" t="n">
        <f aca="false">0</f>
        <v>0</v>
      </c>
      <c r="M9959" s="38" t="n">
        <f aca="false">0</f>
        <v>0</v>
      </c>
      <c r="P9959" s="8" t="s">
        <v>797</v>
      </c>
    </row>
    <row r="9960" customFormat="false" ht="15" hidden="false" customHeight="false" outlineLevel="0" collapsed="false">
      <c r="A9960" s="3" t="s">
        <v>798</v>
      </c>
      <c r="B9960" s="8" t="s">
        <v>86</v>
      </c>
      <c r="C9960" s="38" t="n">
        <f aca="false">Sens!$C$9957-Sens!$C$9958</f>
        <v>36.176</v>
      </c>
      <c r="D9960" s="38" t="n">
        <f aca="false">Sens!$D$9957-Sens!$D$9958</f>
        <v>9.63700000000002</v>
      </c>
      <c r="E9960" s="38" t="n">
        <f aca="false">Sens!$E$9957-Sens!$E$9958</f>
        <v>-25.691</v>
      </c>
      <c r="F9960" s="38" t="n">
        <f aca="false">Sens!$F$9957-Sens!$F$9958</f>
        <v>-41.4356983848813</v>
      </c>
      <c r="G9960" s="38" t="n">
        <f aca="false">Sens!$G$9957-Sens!$G$9958</f>
        <v>-67.1266983848813</v>
      </c>
      <c r="H9960" s="38" t="n">
        <f aca="false">Sens!$H$9957-Sens!$H$9958</f>
        <v>-56.3449313570613</v>
      </c>
      <c r="I9960" s="38" t="n">
        <f aca="false">Sens!$I$9957-Sens!$I$9958</f>
        <v>-18.1091313650653</v>
      </c>
      <c r="J9960" s="38" t="n">
        <f aca="false">Sens!$J$9957-Sens!$J$9958</f>
        <v>21.9846354142961</v>
      </c>
      <c r="K9960" s="38" t="n">
        <f aca="false">Sens!$K$9957-Sens!$K$9958</f>
        <v>121.009554001149</v>
      </c>
      <c r="L9960" s="38" t="n">
        <f aca="false">Sens!$L$9957-Sens!$L$9958</f>
        <v>181.849647659356</v>
      </c>
      <c r="M9960" s="38" t="n">
        <f aca="false">Sens!$M$9957-Sens!$M$9958</f>
        <v>212.790482010049</v>
      </c>
    </row>
    <row r="9961" customFormat="false" ht="17.15" hidden="false" customHeight="false" outlineLevel="0" collapsed="false">
      <c r="A9961" s="5" t="s">
        <v>799</v>
      </c>
      <c r="B9961" s="0" t="s">
        <v>86</v>
      </c>
      <c r="E9961" s="38" t="n">
        <f aca="false">Q!$P$53</f>
        <v>39.767</v>
      </c>
      <c r="F9961" s="38" t="n">
        <f aca="false">inv_2h26</f>
        <v>21.3</v>
      </c>
      <c r="G9961" s="38" t="n">
        <f aca="false">Sens!$E$9961+Sens!$F$9961</f>
        <v>61.067</v>
      </c>
      <c r="H9961" s="39" t="n">
        <v>0</v>
      </c>
      <c r="I9961" s="39" t="n">
        <v>0</v>
      </c>
      <c r="J9961" s="39" t="n">
        <v>0</v>
      </c>
      <c r="K9961" s="39" t="n">
        <v>0</v>
      </c>
      <c r="L9961" s="39" t="n">
        <v>0</v>
      </c>
      <c r="M9961" s="39" t="n">
        <v>0</v>
      </c>
    </row>
    <row r="9962" customFormat="false" ht="17.15" hidden="false" customHeight="false" outlineLevel="0" collapsed="false">
      <c r="A9962" s="5" t="s">
        <v>800</v>
      </c>
      <c r="B9962" s="0" t="s">
        <v>86</v>
      </c>
      <c r="F9962" s="38" t="n">
        <f aca="false">iss_2h26</f>
        <v>29.249999</v>
      </c>
      <c r="G9962" s="38" t="n">
        <f aca="false">Sens!$F$9962</f>
        <v>29.249999</v>
      </c>
      <c r="H9962" s="39" t="n">
        <v>0</v>
      </c>
      <c r="I9962" s="39" t="n">
        <v>0</v>
      </c>
      <c r="J9962" s="39" t="n">
        <v>0</v>
      </c>
      <c r="K9962" s="39" t="n">
        <v>0</v>
      </c>
      <c r="L9962" s="39" t="n">
        <v>0</v>
      </c>
      <c r="M9962" s="39" t="n">
        <v>0</v>
      </c>
    </row>
    <row r="9963" customFormat="false" ht="17.15" hidden="false" customHeight="false" outlineLevel="0" collapsed="false">
      <c r="A9963" s="5" t="s">
        <v>801</v>
      </c>
      <c r="B9963" s="0" t="s">
        <v>86</v>
      </c>
      <c r="F9963" s="38" t="n">
        <f aca="false">cash_q2</f>
        <v>122.988</v>
      </c>
      <c r="G9963" s="38" t="n">
        <f aca="false">cash_q2</f>
        <v>122.988</v>
      </c>
      <c r="H9963" s="38" t="n">
        <f aca="false">Sens!$G$9966</f>
        <v>89.5023006151187</v>
      </c>
      <c r="I9963" s="38" t="n">
        <f aca="false">Sens!$H$9966</f>
        <v>50</v>
      </c>
      <c r="J9963" s="38" t="n">
        <f aca="false">Sens!$I$9966</f>
        <v>50</v>
      </c>
      <c r="K9963" s="38" t="n">
        <f aca="false">Sens!$J$9966</f>
        <v>71.9846354142962</v>
      </c>
      <c r="L9963" s="38" t="n">
        <f aca="false">Sens!$K$9966</f>
        <v>192.994189415445</v>
      </c>
      <c r="M9963" s="38" t="n">
        <f aca="false">Sens!$L$9966</f>
        <v>374.843837074801</v>
      </c>
    </row>
    <row r="9964" customFormat="false" ht="15" hidden="false" customHeight="false" outlineLevel="0" collapsed="false">
      <c r="A9964" s="5" t="s">
        <v>802</v>
      </c>
      <c r="B9964" s="0" t="s">
        <v>86</v>
      </c>
      <c r="F9964" s="38" t="n">
        <f aca="false">Sens!$F$9963+Sens!$F$9960-Sens!$F$9959-Sens!$F$9961+Sens!$F$9962</f>
        <v>89.5023006151187</v>
      </c>
      <c r="H9964" s="38" t="n">
        <f aca="false">Sens!$H$9963+Sens!$H$9960-Sens!$H$9959-Sens!$H$9961+Sens!$H$9962</f>
        <v>33.1573692580575</v>
      </c>
      <c r="I9964" s="38" t="n">
        <f aca="false">Sens!$I$9963+Sens!$I$9960-Sens!$I$9959-Sens!$I$9961+Sens!$I$9962</f>
        <v>31.8908686349347</v>
      </c>
      <c r="J9964" s="38" t="n">
        <f aca="false">Sens!$J$9963+Sens!$J$9960-Sens!$J$9959-Sens!$J$9961+Sens!$J$9962</f>
        <v>71.9846354142962</v>
      </c>
      <c r="K9964" s="38" t="n">
        <f aca="false">Sens!$K$9963+Sens!$K$9960-Sens!$K$9959-Sens!$K$9961+Sens!$K$9962</f>
        <v>192.994189415445</v>
      </c>
      <c r="L9964" s="38" t="n">
        <f aca="false">Sens!$L$9963+Sens!$L$9960-Sens!$L$9959-Sens!$L$9961+Sens!$L$9962</f>
        <v>374.843837074801</v>
      </c>
      <c r="M9964" s="38" t="n">
        <f aca="false">Sens!$M$9963+Sens!$M$9960-Sens!$M$9959-Sens!$M$9961+Sens!$M$9962</f>
        <v>587.63431908485</v>
      </c>
    </row>
    <row r="9965" customFormat="false" ht="17.15" hidden="false" customHeight="false" outlineLevel="0" collapsed="false">
      <c r="A9965" s="5" t="s">
        <v>803</v>
      </c>
      <c r="B9965" s="0" t="s">
        <v>86</v>
      </c>
      <c r="F9965" s="38" t="n">
        <f aca="false">MAX(0,min_cash-Sens!$F$9964)</f>
        <v>0</v>
      </c>
      <c r="G9965" s="38" t="n">
        <f aca="false">Sens!$F$9965</f>
        <v>0</v>
      </c>
      <c r="H9965" s="38" t="n">
        <f aca="false">MAX(0,min_cash-Sens!$H$9964)</f>
        <v>16.8426307419426</v>
      </c>
      <c r="I9965" s="38" t="n">
        <f aca="false">MAX(0,min_cash-Sens!$I$9964)</f>
        <v>18.1091313650653</v>
      </c>
      <c r="J9965" s="38" t="n">
        <f aca="false">MAX(0,min_cash-Sens!$J$9964)</f>
        <v>0</v>
      </c>
      <c r="K9965" s="38" t="n">
        <f aca="false">MAX(0,min_cash-Sens!$K$9964)</f>
        <v>0</v>
      </c>
      <c r="L9965" s="38" t="n">
        <f aca="false">MAX(0,min_cash-Sens!$L$9964)</f>
        <v>0</v>
      </c>
      <c r="M9965" s="38" t="n">
        <f aca="false">MAX(0,min_cash-Sens!$M$9964)</f>
        <v>0</v>
      </c>
      <c r="P9965" s="5" t="s">
        <v>804</v>
      </c>
    </row>
    <row r="9966" customFormat="false" ht="15" hidden="false" customHeight="false" outlineLevel="0" collapsed="false">
      <c r="A9966" s="5" t="s">
        <v>805</v>
      </c>
      <c r="B9966" s="0" t="s">
        <v>86</v>
      </c>
      <c r="D9966" s="38" t="n">
        <f aca="false">Q!$E$61</f>
        <v>123.029</v>
      </c>
      <c r="E9966" s="38" t="n">
        <f aca="false">Q!$M$61</f>
        <v>122.988</v>
      </c>
      <c r="F9966" s="38" t="n">
        <f aca="false">Sens!$F$9964+Sens!$F$9965</f>
        <v>89.5023006151187</v>
      </c>
      <c r="G9966" s="38" t="n">
        <f aca="false">Sens!$F$9966</f>
        <v>89.5023006151187</v>
      </c>
      <c r="H9966" s="38" t="n">
        <f aca="false">Sens!$H$9964+Sens!$H$9965</f>
        <v>50</v>
      </c>
      <c r="I9966" s="38" t="n">
        <f aca="false">Sens!$I$9964+Sens!$I$9965</f>
        <v>50</v>
      </c>
      <c r="J9966" s="38" t="n">
        <f aca="false">Sens!$J$9964+Sens!$J$9965</f>
        <v>71.9846354142962</v>
      </c>
      <c r="K9966" s="38" t="n">
        <f aca="false">Sens!$K$9964+Sens!$K$9965</f>
        <v>192.994189415445</v>
      </c>
      <c r="L9966" s="38" t="n">
        <f aca="false">Sens!$L$9964+Sens!$L$9965</f>
        <v>374.843837074801</v>
      </c>
      <c r="M9966" s="38" t="n">
        <f aca="false">Sens!$M$9964+Sens!$M$9965</f>
        <v>587.63431908485</v>
      </c>
    </row>
    <row r="9967" customFormat="false" ht="15" hidden="false" customHeight="false" outlineLevel="0" collapsed="false">
      <c r="A9967" s="5" t="s">
        <v>806</v>
      </c>
      <c r="B9967" s="0" t="s">
        <v>86</v>
      </c>
      <c r="D9967" s="38" t="n">
        <f aca="false">Q!$E$62</f>
        <v>68.836</v>
      </c>
      <c r="E9967" s="38" t="n">
        <f aca="false">Q!$M$62</f>
        <v>132.995</v>
      </c>
      <c r="F9967" s="38" t="n">
        <f aca="false">debt_q2+Sens!$F$9962+Sens!$F$9965</f>
        <v>162.244999</v>
      </c>
      <c r="G9967" s="38" t="n">
        <f aca="false">Sens!$F$9967</f>
        <v>162.244999</v>
      </c>
      <c r="H9967" s="38" t="n">
        <f aca="false">Sens!$G$9967+Sens!$H$9965</f>
        <v>179.087629741943</v>
      </c>
      <c r="I9967" s="38" t="n">
        <f aca="false">Sens!$H$9967+Sens!$I$9965</f>
        <v>197.196761107008</v>
      </c>
      <c r="J9967" s="38" t="n">
        <f aca="false">Sens!$I$9967+Sens!$J$9965</f>
        <v>197.196761107008</v>
      </c>
      <c r="K9967" s="38" t="n">
        <f aca="false">Sens!$J$9967+Sens!$K$9965</f>
        <v>197.196761107008</v>
      </c>
      <c r="L9967" s="38" t="n">
        <f aca="false">Sens!$K$9967+Sens!$L$9965</f>
        <v>197.196761107008</v>
      </c>
      <c r="M9967" s="38" t="n">
        <f aca="false">Sens!$L$9967+Sens!$M$9965</f>
        <v>197.196761107008</v>
      </c>
    </row>
    <row r="9968" customFormat="false" ht="15" hidden="false" customHeight="false" outlineLevel="0" collapsed="false">
      <c r="A9968" s="5" t="s">
        <v>807</v>
      </c>
      <c r="B9968" s="0" t="s">
        <v>86</v>
      </c>
      <c r="D9968" s="38" t="n">
        <f aca="false">Sens!$D$9967-Sens!$D$9966</f>
        <v>-54.193</v>
      </c>
      <c r="E9968" s="38" t="n">
        <f aca="false">Sens!$E$9967-Sens!$E$9966</f>
        <v>10.007</v>
      </c>
      <c r="F9968" s="38" t="n">
        <f aca="false">Sens!$F$9967-Sens!$F$9966</f>
        <v>72.7426983848813</v>
      </c>
      <c r="G9968" s="38" t="n">
        <f aca="false">Sens!$G$9967-Sens!$G$9966</f>
        <v>72.7426983848813</v>
      </c>
      <c r="H9968" s="38" t="n">
        <f aca="false">Sens!$H$9967-Sens!$H$9966</f>
        <v>129.087629741943</v>
      </c>
      <c r="I9968" s="38" t="n">
        <f aca="false">Sens!$I$9967-Sens!$I$9966</f>
        <v>147.196761107008</v>
      </c>
      <c r="J9968" s="38" t="n">
        <f aca="false">Sens!$J$9967-Sens!$J$9966</f>
        <v>125.212125692712</v>
      </c>
      <c r="K9968" s="38" t="n">
        <f aca="false">Sens!$K$9967-Sens!$K$9966</f>
        <v>4.2025716915629</v>
      </c>
      <c r="L9968" s="38" t="n">
        <f aca="false">Sens!$L$9967-Sens!$L$9966</f>
        <v>-177.647075967793</v>
      </c>
      <c r="M9968" s="38" t="n">
        <f aca="false">Sens!$M$9967-Sens!$M$9966</f>
        <v>-390.437557977842</v>
      </c>
    </row>
    <row r="9969" customFormat="false" ht="17.15" hidden="false" customHeight="false" outlineLevel="0" collapsed="false">
      <c r="A9969" s="5" t="s">
        <v>808</v>
      </c>
      <c r="B9969" s="0" t="s">
        <v>86</v>
      </c>
      <c r="F9969" s="38" t="n">
        <f aca="false">debt_q2*kd_book*0.5+iss_2h26*kd_new*iss_t</f>
        <v>3.24888962733561</v>
      </c>
      <c r="H9969" s="38" t="n">
        <f aca="false">debt_q2*kd_book+(Sens!$G$9967-debt_q2)*kd_new</f>
        <v>7.42354172302123</v>
      </c>
      <c r="I9969" s="38" t="n">
        <f aca="false">debt_q2*kd_book+(Sens!$H$9967-debt_q2)*kd_new</f>
        <v>8.48968024898619</v>
      </c>
      <c r="J9969" s="38" t="n">
        <f aca="false">debt_q2*kd_book+(Sens!$I$9967-debt_q2)*kd_new</f>
        <v>9.63598826439483</v>
      </c>
      <c r="K9969" s="38" t="n">
        <f aca="false">debt_q2*kd_book+(Sens!$J$9967-debt_q2)*kd_new</f>
        <v>9.63598826439483</v>
      </c>
      <c r="L9969" s="38" t="n">
        <f aca="false">debt_q2*kd_book+(Sens!$K$9967-debt_q2)*kd_new</f>
        <v>9.63598826439483</v>
      </c>
      <c r="M9969" s="38" t="n">
        <f aca="false">debt_q2*kd_book+(Sens!$L$9967-debt_q2)*kd_new</f>
        <v>9.63598826439483</v>
      </c>
    </row>
    <row r="9970" customFormat="false" ht="17.15" hidden="false" customHeight="false" outlineLevel="0" collapsed="false">
      <c r="A9970" s="5" t="s">
        <v>809</v>
      </c>
      <c r="B9970" s="0" t="s">
        <v>86</v>
      </c>
      <c r="F9970" s="38" t="n">
        <f aca="false">cash_q2*y_cash*0.5</f>
        <v>2.59</v>
      </c>
      <c r="H9970" s="38" t="n">
        <f aca="false">Sens!$G$9966*y_cash</f>
        <v>3.76965165045626</v>
      </c>
      <c r="I9970" s="38" t="n">
        <f aca="false">Sens!$H$9966*y_cash</f>
        <v>2.10589651022864</v>
      </c>
      <c r="J9970" s="38" t="n">
        <f aca="false">Sens!$I$9966*y_cash</f>
        <v>2.10589651022864</v>
      </c>
      <c r="K9970" s="38" t="n">
        <f aca="false">Sens!$J$9966*y_cash</f>
        <v>3.03184385018094</v>
      </c>
      <c r="L9970" s="38" t="n">
        <f aca="false">Sens!$K$9966*y_cash</f>
        <v>8.12851579968782</v>
      </c>
      <c r="M9970" s="38" t="n">
        <f aca="false">Sens!$L$9966*y_cash</f>
        <v>15.7876465675307</v>
      </c>
    </row>
    <row r="9971" customFormat="false" ht="17.15" hidden="false" customHeight="false" outlineLevel="0" collapsed="false">
      <c r="A9971" s="47" t="s">
        <v>810</v>
      </c>
      <c r="B9971" s="14" t="s">
        <v>86</v>
      </c>
      <c r="C9971" s="14"/>
      <c r="D9971" s="14"/>
      <c r="E9971" s="14"/>
      <c r="F9971" s="14"/>
      <c r="G9971" s="48" t="n">
        <f aca="false">SUM(Sens!$G$9960:$K$9960)</f>
        <v>1.41342830843709</v>
      </c>
      <c r="H9971" s="14"/>
      <c r="I9971" s="14"/>
      <c r="J9971" s="14"/>
      <c r="K9971" s="14"/>
      <c r="L9971" s="14"/>
      <c r="M9971" s="14"/>
      <c r="N9971" s="14"/>
      <c r="O9971" s="14"/>
    </row>
    <row r="9972" customFormat="false" ht="17.15" hidden="false" customHeight="false" outlineLevel="0" collapsed="false">
      <c r="A9972" s="0" t="s">
        <v>776</v>
      </c>
      <c r="B9972" s="0" t="s">
        <v>86</v>
      </c>
      <c r="G9972" s="38" t="n">
        <f aca="false">SUM(Sens!$G$9965:$K$9965)</f>
        <v>34.9517621070079</v>
      </c>
    </row>
    <row r="9973" customFormat="false" ht="17.15" hidden="false" customHeight="false" outlineLevel="0" collapsed="false">
      <c r="A9973" s="24" t="s">
        <v>813</v>
      </c>
      <c r="B9973" s="25" t="s">
        <v>86</v>
      </c>
      <c r="C9973" s="25"/>
      <c r="D9973" s="25"/>
      <c r="E9973" s="25"/>
      <c r="F9973" s="25"/>
      <c r="G9973" s="41" t="n">
        <f aca="false">Sens!$G$9971-(Sens!$G$9960+Sens!$H$9960+Sens!$I$9960+Sens!$J$9960+Sens!$K$9960)</f>
        <v>-2.8421709430404E-014</v>
      </c>
      <c r="H9973" s="25"/>
      <c r="I9973" s="25"/>
      <c r="J9973" s="25"/>
      <c r="K9973" s="25"/>
      <c r="L9973" s="25"/>
      <c r="M9973" s="25"/>
      <c r="N9973" s="25"/>
      <c r="O9973" s="25"/>
    </row>
    <row r="9976" customFormat="false" ht="19.4" hidden="false" customHeight="false" outlineLevel="0" collapsed="false">
      <c r="A9976" s="31" t="s">
        <v>1339</v>
      </c>
    </row>
    <row r="9977" customFormat="false" ht="17.15" hidden="false" customHeight="false" outlineLevel="0" collapsed="false">
      <c r="A9977" s="6" t="s">
        <v>16</v>
      </c>
      <c r="B9977" s="6" t="s">
        <v>17</v>
      </c>
      <c r="C9977" s="20" t="s">
        <v>497</v>
      </c>
      <c r="D9977" s="20" t="s">
        <v>498</v>
      </c>
      <c r="E9977" s="20" t="s">
        <v>580</v>
      </c>
      <c r="F9977" s="20" t="s">
        <v>581</v>
      </c>
      <c r="G9977" s="20" t="s">
        <v>582</v>
      </c>
      <c r="H9977" s="20" t="s">
        <v>583</v>
      </c>
      <c r="I9977" s="20" t="s">
        <v>584</v>
      </c>
      <c r="J9977" s="20" t="s">
        <v>585</v>
      </c>
      <c r="K9977" s="20" t="s">
        <v>586</v>
      </c>
      <c r="L9977" s="20" t="s">
        <v>587</v>
      </c>
      <c r="M9977" s="20" t="s">
        <v>588</v>
      </c>
      <c r="N9977" s="20" t="s">
        <v>589</v>
      </c>
      <c r="O9977" s="20" t="s">
        <v>590</v>
      </c>
      <c r="P9977" s="6" t="s">
        <v>23</v>
      </c>
      <c r="R9977" s="20" t="n">
        <v>2023</v>
      </c>
      <c r="S9977" s="20" t="n">
        <v>2024</v>
      </c>
      <c r="T9977" s="20" t="n">
        <v>2025</v>
      </c>
      <c r="U9977" s="20" t="n">
        <v>2026</v>
      </c>
      <c r="V9977" s="20" t="n">
        <v>2027</v>
      </c>
      <c r="W9977" s="20" t="n">
        <v>2028</v>
      </c>
      <c r="X9977" s="20" t="n">
        <v>2029</v>
      </c>
      <c r="Y9977" s="20" t="n">
        <v>2030</v>
      </c>
      <c r="Z9977" s="20" t="n">
        <v>2031</v>
      </c>
      <c r="AA9977" s="20" t="n">
        <v>2032</v>
      </c>
    </row>
    <row r="9978" customFormat="false" ht="17.15" hidden="false" customHeight="false" outlineLevel="0" collapsed="false">
      <c r="A9978" s="1" t="s">
        <v>915</v>
      </c>
    </row>
    <row r="9979" customFormat="false" ht="17.15" hidden="false" customHeight="false" outlineLevel="0" collapsed="false">
      <c r="A9979" s="0" t="s">
        <v>916</v>
      </c>
      <c r="B9979" s="0" t="s">
        <v>86</v>
      </c>
      <c r="H9979" s="38" t="n">
        <f aca="false">Sens!$H$9913*(1-tax)</f>
        <v>121.243762954598</v>
      </c>
      <c r="I9979" s="38" t="n">
        <f aca="false">Sens!$I$9913*(1-tax)</f>
        <v>146.296727721585</v>
      </c>
      <c r="J9979" s="38" t="n">
        <f aca="false">Sens!$J$9913*(1-tax)</f>
        <v>170.140518399982</v>
      </c>
      <c r="K9979" s="38" t="n">
        <f aca="false">Sens!$K$9913*(1-tax)</f>
        <v>186.854388637829</v>
      </c>
      <c r="L9979" s="38" t="n">
        <f aca="false">Sens!$L$9913*(1-tax)</f>
        <v>200.246135909531</v>
      </c>
      <c r="M9979" s="38" t="n">
        <f aca="false">Sens!$M$9913*(1-tax)</f>
        <v>210.326929761686</v>
      </c>
    </row>
    <row r="9980" customFormat="false" ht="15" hidden="false" customHeight="false" outlineLevel="0" collapsed="false">
      <c r="A9980" s="5" t="s">
        <v>917</v>
      </c>
      <c r="B9980" s="0" t="s">
        <v>86</v>
      </c>
      <c r="H9980" s="38" t="n">
        <f aca="false">Sens!$H$9924</f>
        <v>78.1799395827871</v>
      </c>
      <c r="I9980" s="38" t="n">
        <f aca="false">Sens!$I$9924</f>
        <v>111.171125554384</v>
      </c>
      <c r="J9980" s="38" t="n">
        <f aca="false">Sens!$J$9924</f>
        <v>144.884406220971</v>
      </c>
      <c r="K9980" s="38" t="n">
        <f aca="false">Sens!$K$9924</f>
        <v>178.806419437999</v>
      </c>
      <c r="L9980" s="38" t="n">
        <f aca="false">Sens!$L$9924</f>
        <v>203.951269446309</v>
      </c>
      <c r="M9980" s="38" t="n">
        <f aca="false">Sens!$M$9924</f>
        <v>221.960369245325</v>
      </c>
    </row>
    <row r="9981" customFormat="false" ht="15" hidden="false" customHeight="false" outlineLevel="0" collapsed="false">
      <c r="A9981" s="5" t="s">
        <v>918</v>
      </c>
      <c r="B9981" s="0" t="s">
        <v>86</v>
      </c>
      <c r="H9981" s="38" t="n">
        <f aca="false">Sens!$H$9955</f>
        <v>273.372679834898</v>
      </c>
      <c r="I9981" s="38" t="n">
        <f aca="false">Sens!$I$9955</f>
        <v>286.981812228425</v>
      </c>
      <c r="J9981" s="38" t="n">
        <f aca="false">Sens!$J$9955</f>
        <v>299.316513378366</v>
      </c>
      <c r="K9981" s="38" t="n">
        <f aca="false">Sens!$K$9955</f>
        <v>248.27918920067</v>
      </c>
      <c r="L9981" s="38" t="n">
        <f aca="false">Sens!$L$9955</f>
        <v>229.140418237151</v>
      </c>
      <c r="M9981" s="38" t="n">
        <f aca="false">Sens!$M$9955</f>
        <v>233.957827108485</v>
      </c>
    </row>
    <row r="9982" customFormat="false" ht="15" hidden="false" customHeight="false" outlineLevel="0" collapsed="false">
      <c r="A9982" s="5" t="s">
        <v>919</v>
      </c>
      <c r="B9982" s="0" t="s">
        <v>86</v>
      </c>
      <c r="H9982" s="38" t="n">
        <f aca="false">Sens!$H$9956</f>
        <v>1.6</v>
      </c>
      <c r="I9982" s="38" t="n">
        <f aca="false">Sens!$I$9956</f>
        <v>1.6</v>
      </c>
      <c r="J9982" s="38" t="n">
        <f aca="false">Sens!$J$9956</f>
        <v>1.6</v>
      </c>
      <c r="K9982" s="38" t="n">
        <f aca="false">Sens!$K$9956</f>
        <v>1.6</v>
      </c>
      <c r="L9982" s="38" t="n">
        <f aca="false">Sens!$L$9956</f>
        <v>1.6</v>
      </c>
      <c r="M9982" s="38" t="n">
        <f aca="false">Sens!$M$9956</f>
        <v>1.6</v>
      </c>
    </row>
    <row r="9983" customFormat="false" ht="15" hidden="false" customHeight="false" outlineLevel="0" collapsed="false">
      <c r="A9983" s="5" t="s">
        <v>920</v>
      </c>
      <c r="B9983" s="0" t="s">
        <v>86</v>
      </c>
      <c r="H9983" s="38" t="n">
        <f aca="false">Sens!$H$9950</f>
        <v>11.2928295263397</v>
      </c>
      <c r="I9983" s="38" t="n">
        <f aca="false">Sens!$I$9950</f>
        <v>12.8091546115766</v>
      </c>
      <c r="J9983" s="38" t="n">
        <f aca="false">Sens!$J$9950</f>
        <v>14.2605653162668</v>
      </c>
      <c r="K9983" s="38" t="n">
        <f aca="false">Sens!$K$9950</f>
        <v>15.5293346306567</v>
      </c>
      <c r="L9983" s="38" t="n">
        <f aca="false">Sens!$L$9950</f>
        <v>16.7069448805781</v>
      </c>
      <c r="M9983" s="38" t="n">
        <f aca="false">Sens!$M$9950</f>
        <v>17.7976949013636</v>
      </c>
    </row>
    <row r="9984" customFormat="false" ht="17.15" hidden="false" customHeight="false" outlineLevel="0" collapsed="false">
      <c r="A9984" s="1" t="s">
        <v>921</v>
      </c>
      <c r="B9984" s="8" t="s">
        <v>86</v>
      </c>
      <c r="H9984" s="38" t="n">
        <f aca="false">Sens!$H$9979+Sens!$H$9980-Sens!$H$9981+Sens!$H$9983</f>
        <v>-62.6561477711731</v>
      </c>
      <c r="I9984" s="38" t="n">
        <f aca="false">Sens!$I$9979+Sens!$I$9980-Sens!$I$9981+Sens!$I$9983</f>
        <v>-16.7048043408794</v>
      </c>
      <c r="J9984" s="38" t="n">
        <f aca="false">Sens!$J$9979+Sens!$J$9980-Sens!$J$9981+Sens!$J$9983</f>
        <v>29.9689765588539</v>
      </c>
      <c r="K9984" s="38" t="n">
        <f aca="false">Sens!$K$9979+Sens!$K$9980-Sens!$K$9981+Sens!$K$9983</f>
        <v>132.910953505815</v>
      </c>
      <c r="L9984" s="38" t="n">
        <f aca="false">Sens!$L$9979+Sens!$L$9980-Sens!$L$9981+Sens!$L$9983</f>
        <v>191.763931999267</v>
      </c>
      <c r="M9984" s="38" t="n">
        <f aca="false">Sens!$M$9979+Sens!$M$9980-Sens!$M$9981+Sens!$M$9983</f>
        <v>216.12716679989</v>
      </c>
    </row>
    <row r="9985" customFormat="false" ht="15" hidden="false" customHeight="false" outlineLevel="0" collapsed="false">
      <c r="A9985" s="5" t="s">
        <v>922</v>
      </c>
      <c r="B9985" s="0" t="s">
        <v>57</v>
      </c>
      <c r="H9985" s="40" t="n">
        <f aca="false">1/(1+(wacc+0.01))^(2027-2026-0.5)</f>
        <v>0.943523276903728</v>
      </c>
      <c r="I9985" s="40" t="n">
        <f aca="false">1/(1+(wacc+0.01))^(2028-2026-0.5)</f>
        <v>0.839958552166526</v>
      </c>
      <c r="J9985" s="40" t="n">
        <f aca="false">1/(1+(wacc+0.01))^(2029-2026-0.5)</f>
        <v>0.747761487848991</v>
      </c>
      <c r="K9985" s="40" t="n">
        <f aca="false">1/(1+(wacc+0.01))^(2030-2026-0.5)</f>
        <v>0.665684326051463</v>
      </c>
      <c r="L9985" s="40" t="n">
        <f aca="false">1/(1+(wacc+0.01))^(2031-2026-0.5)</f>
        <v>0.592616267555198</v>
      </c>
      <c r="M9985" s="40" t="n">
        <f aca="false">1/(1+(wacc+0.01))^(2032-2026-0.5)</f>
        <v>0.527568438713552</v>
      </c>
    </row>
    <row r="9986" customFormat="false" ht="15" hidden="false" customHeight="false" outlineLevel="0" collapsed="false">
      <c r="A9986" s="5" t="s">
        <v>923</v>
      </c>
      <c r="B9986" s="0" t="s">
        <v>86</v>
      </c>
      <c r="H9986" s="38" t="n">
        <f aca="false">Sens!$H$9984*Sens!$H$9985</f>
        <v>-59.1175338632214</v>
      </c>
      <c r="I9986" s="38" t="n">
        <f aca="false">Sens!$I$9984*Sens!$I$9985</f>
        <v>-14.0313432683902</v>
      </c>
      <c r="J9986" s="38" t="n">
        <f aca="false">Sens!$J$9984*Sens!$J$9985</f>
        <v>22.4096465009601</v>
      </c>
      <c r="K9986" s="38" t="n">
        <f aca="false">Sens!$K$9984*Sens!$K$9985</f>
        <v>88.4767385093761</v>
      </c>
      <c r="L9986" s="38" t="n">
        <f aca="false">Sens!$L$9984*Sens!$L$9985</f>
        <v>113.642425633114</v>
      </c>
      <c r="M9986" s="38" t="n">
        <f aca="false">Sens!$M$9984*Sens!$M$9985</f>
        <v>114.021871952202</v>
      </c>
    </row>
    <row r="9987" customFormat="false" ht="15" hidden="false" customHeight="false" outlineLevel="0" collapsed="false">
      <c r="A9987" s="5" t="s">
        <v>924</v>
      </c>
      <c r="B9987" s="0" t="s">
        <v>86</v>
      </c>
      <c r="C9987" s="38" t="n">
        <f aca="false">SUM(Sens!$H$9986:$M$9986)</f>
        <v>265.401805464041</v>
      </c>
    </row>
    <row r="9988" customFormat="false" ht="17.15" hidden="false" customHeight="false" outlineLevel="0" collapsed="false">
      <c r="A9988" s="5" t="s">
        <v>925</v>
      </c>
      <c r="B9988" s="0" t="s">
        <v>86</v>
      </c>
      <c r="C9988" s="38" t="n">
        <f aca="false">Sens!$M$9979*(1+tg_lo)*(1-tg_lo/ronic)/((wacc+0.01)-tg_lo)</f>
        <v>1710.23261326205</v>
      </c>
    </row>
    <row r="9989" customFormat="false" ht="15" hidden="false" customHeight="false" outlineLevel="0" collapsed="false">
      <c r="A9989" s="5" t="s">
        <v>926</v>
      </c>
      <c r="B9989" s="0" t="s">
        <v>86</v>
      </c>
      <c r="C9989" s="38" t="n">
        <f aca="false">Sens!$C$9988/(1+(wacc+0.01))^6</f>
        <v>851.307793192089</v>
      </c>
    </row>
    <row r="9990" customFormat="false" ht="17.15" hidden="false" customHeight="false" outlineLevel="0" collapsed="false">
      <c r="A9990" s="5" t="s">
        <v>927</v>
      </c>
      <c r="B9990" s="0" t="s">
        <v>86</v>
      </c>
      <c r="C9990" s="38" t="n">
        <f aca="false">Sens!$C$9987+Sens!$C$9989</f>
        <v>1116.70959865613</v>
      </c>
    </row>
    <row r="9991" customFormat="false" ht="17.15" hidden="false" customHeight="false" outlineLevel="0" collapsed="false">
      <c r="A9991" s="5" t="s">
        <v>928</v>
      </c>
      <c r="B9991" s="0" t="s">
        <v>52</v>
      </c>
      <c r="C9991" s="13" t="n">
        <f aca="false">Sens!$C$9989/Sens!$C$9990</f>
        <v>0.762335878742844</v>
      </c>
    </row>
    <row r="9992" customFormat="false" ht="17.15" hidden="false" customHeight="false" outlineLevel="0" collapsed="false">
      <c r="A9992" s="5" t="s">
        <v>929</v>
      </c>
      <c r="B9992" s="0" t="s">
        <v>86</v>
      </c>
      <c r="C9992" s="38" t="n">
        <f aca="false">Sens!$G$9968+fin_debt</f>
        <v>97.2636983848813</v>
      </c>
    </row>
    <row r="9993" customFormat="false" ht="17.15" hidden="false" customHeight="false" outlineLevel="0" collapsed="false">
      <c r="A9993" s="5" t="s">
        <v>930</v>
      </c>
      <c r="B9993" s="0" t="s">
        <v>86</v>
      </c>
      <c r="C9993" s="38" t="n">
        <f aca="false">(ant_val*ant_sh+oai_val*oai_sh)*(1-liq_disc)</f>
        <v>178.944</v>
      </c>
    </row>
    <row r="9994" customFormat="false" ht="15" hidden="false" customHeight="false" outlineLevel="0" collapsed="false">
      <c r="A9994" s="5" t="s">
        <v>931</v>
      </c>
      <c r="B9994" s="0" t="s">
        <v>86</v>
      </c>
      <c r="C9994" s="38" t="n">
        <f aca="false">Sens!$C$9990-Sens!$C$9992+Sens!$C$9993</f>
        <v>1198.38990027125</v>
      </c>
    </row>
    <row r="9995" customFormat="false" ht="17.15" hidden="false" customHeight="false" outlineLevel="0" collapsed="false">
      <c r="A9995" s="5" t="s">
        <v>932</v>
      </c>
      <c r="B9995" s="0" t="s">
        <v>27</v>
      </c>
      <c r="C9995" s="30" t="n">
        <f aca="false">Sens!$C$9994/sh_out</f>
        <v>111.102819765051</v>
      </c>
    </row>
    <row r="9996" customFormat="false" ht="17.15" hidden="false" customHeight="false" outlineLevel="0" collapsed="false">
      <c r="A9996" s="1" t="s">
        <v>933</v>
      </c>
      <c r="B9996" s="8" t="s">
        <v>27</v>
      </c>
      <c r="C9996" s="30" t="n">
        <f aca="false">Sens!$C$9995*(1+ke)^tp_yf-dps*tp_yf</f>
        <v>121.698567526123</v>
      </c>
    </row>
    <row r="9997" customFormat="false" ht="17.15" hidden="false" customHeight="false" outlineLevel="0" collapsed="false">
      <c r="A9997" s="3" t="s">
        <v>934</v>
      </c>
    </row>
    <row r="9998" customFormat="false" ht="17.15" hidden="false" customHeight="false" outlineLevel="0" collapsed="false">
      <c r="A9998" s="5" t="s">
        <v>935</v>
      </c>
      <c r="B9998" s="0" t="s">
        <v>86</v>
      </c>
      <c r="C9998" s="38" t="n">
        <f aca="false">(1-tp_yf)*(Sens!$H$9925+sbc_ab*Sens!$H$9949*Sens!$H$9789/Sens!$H$9866)+tp_yf*(Sens!$I$9925+sbc_ab*Sens!$I$9949*Sens!$I$9789/Sens!$I$9866)</f>
        <v>59.634664536349</v>
      </c>
    </row>
    <row r="9999" customFormat="false" ht="15" hidden="false" customHeight="false" outlineLevel="0" collapsed="false">
      <c r="A9999" s="5" t="s">
        <v>936</v>
      </c>
      <c r="B9999" s="0" t="s">
        <v>57</v>
      </c>
      <c r="C9999" s="30" t="n">
        <f aca="false">m_ads*m_x</f>
        <v>9.11</v>
      </c>
    </row>
    <row r="10000" customFormat="false" ht="17.15" hidden="false" customHeight="false" outlineLevel="0" collapsed="false">
      <c r="A10000" s="5" t="s">
        <v>937</v>
      </c>
      <c r="B10000" s="0" t="s">
        <v>86</v>
      </c>
      <c r="C10000" s="38" t="n">
        <f aca="false">Sens!$C$9998*Sens!$C$9999</f>
        <v>543.271793926139</v>
      </c>
    </row>
    <row r="10001" customFormat="false" ht="17.15" hidden="false" customHeight="false" outlineLevel="0" collapsed="false">
      <c r="A10001" s="5" t="s">
        <v>938</v>
      </c>
      <c r="B10001" s="0" t="s">
        <v>86</v>
      </c>
      <c r="C10001" s="38" t="n">
        <f aca="false">(1-tp_yf)*(Sens!$H$9926+sbc_ab*Sens!$H$9949*(Sens!$H$9796-Sens!$H$9789)/Sens!$H$9866+IF(internal_ai_reading=2,1,0)*(1-ext_sh)*Sens!$H$9826)+tp_yf*(Sens!$I$9926+sbc_ab*Sens!$I$9949*(Sens!$I$9796-Sens!$I$9789)/Sens!$I$9866+IF(internal_ai_reading=2,1,0)*(1-ext_sh)*Sens!$I$9826)</f>
        <v>51.2224827206816</v>
      </c>
    </row>
    <row r="10002" customFormat="false" ht="17.15" hidden="false" customHeight="false" outlineLevel="0" collapsed="false">
      <c r="A10002" s="5" t="s">
        <v>939</v>
      </c>
      <c r="B10002" s="0" t="s">
        <v>57</v>
      </c>
      <c r="C10002" s="30" t="n">
        <f aca="false">m_retail*m_x</f>
        <v>17.72</v>
      </c>
    </row>
    <row r="10003" customFormat="false" ht="17.15" hidden="false" customHeight="false" outlineLevel="0" collapsed="false">
      <c r="A10003" s="5" t="s">
        <v>940</v>
      </c>
      <c r="B10003" s="0" t="s">
        <v>86</v>
      </c>
      <c r="C10003" s="38" t="n">
        <f aca="false">Sens!$C$10001*Sens!$C$10002</f>
        <v>907.662393810478</v>
      </c>
    </row>
    <row r="10004" customFormat="false" ht="17.15" hidden="false" customHeight="false" outlineLevel="0" collapsed="false">
      <c r="A10004" s="0" t="s">
        <v>941</v>
      </c>
      <c r="B10004" s="0" t="s">
        <v>86</v>
      </c>
      <c r="C10004" s="38" t="n">
        <f aca="false">(1-tp_yf)*(Sens!$H$9927+sbc_ab*Sens!$H$9949*Sens!$H$9864/Sens!$H$9866)+tp_yf*(Sens!$I$9927+sbc_ab*Sens!$I$9949*Sens!$I$9864/Sens!$I$9866)</f>
        <v>96.2439586897193</v>
      </c>
    </row>
    <row r="10005" customFormat="false" ht="17.15" hidden="false" customHeight="false" outlineLevel="0" collapsed="false">
      <c r="A10005" s="0" t="s">
        <v>942</v>
      </c>
      <c r="B10005" s="0" t="s">
        <v>57</v>
      </c>
      <c r="C10005" s="30" t="n">
        <f aca="false">m_cloud*m_x</f>
        <v>13.82</v>
      </c>
    </row>
    <row r="10006" customFormat="false" ht="17.15" hidden="false" customHeight="false" outlineLevel="0" collapsed="false">
      <c r="A10006" s="0" t="s">
        <v>943</v>
      </c>
      <c r="B10006" s="0" t="s">
        <v>86</v>
      </c>
      <c r="C10006" s="38" t="n">
        <f aca="false">Sens!$C$10004*Sens!$C$10005</f>
        <v>1330.09150909192</v>
      </c>
    </row>
    <row r="10007" customFormat="false" ht="17.15" hidden="false" customHeight="false" outlineLevel="0" collapsed="false">
      <c r="A10007" s="0" t="s">
        <v>944</v>
      </c>
      <c r="B10007" s="0" t="s">
        <v>86</v>
      </c>
      <c r="H10007" s="38" t="n">
        <f aca="false">Sens!$H$9845-tax*Sens!$H$9846-ext_sh*Sens!$H$9833</f>
        <v>-115.885394236225</v>
      </c>
      <c r="I10007" s="38" t="n">
        <f aca="false">Sens!$I$9845-tax*Sens!$I$9846-ext_sh*Sens!$I$9833</f>
        <v>-89.5935137276694</v>
      </c>
      <c r="J10007" s="38" t="n">
        <f aca="false">Sens!$J$9845-tax*Sens!$J$9846-ext_sh*Sens!$J$9833</f>
        <v>-62.3510647460279</v>
      </c>
      <c r="K10007" s="38" t="n">
        <f aca="false">Sens!$K$9845-tax*Sens!$K$9846-ext_sh*Sens!$K$9833</f>
        <v>10.8922692439123</v>
      </c>
      <c r="L10007" s="38" t="n">
        <f aca="false">Sens!$L$9845-tax*Sens!$L$9846-ext_sh*Sens!$L$9833</f>
        <v>49.33487020824</v>
      </c>
      <c r="M10007" s="38" t="n">
        <f aca="false">Sens!$M$9845-tax*Sens!$M$9846-ext_sh*Sens!$M$9833</f>
        <v>59.5610509758268</v>
      </c>
    </row>
    <row r="10008" customFormat="false" ht="17.15" hidden="false" customHeight="false" outlineLevel="0" collapsed="false">
      <c r="A10008" s="5" t="s">
        <v>945</v>
      </c>
      <c r="B10008" s="0" t="s">
        <v>86</v>
      </c>
      <c r="H10008" s="38" t="n">
        <f aca="false">Sens!$H$10007*Sens!$H$9985</f>
        <v>-109.340566915044</v>
      </c>
      <c r="I10008" s="38" t="n">
        <f aca="false">Sens!$I$10007*Sens!$I$9985</f>
        <v>-75.254838074205</v>
      </c>
      <c r="J10008" s="38" t="n">
        <f aca="false">Sens!$J$10007*Sens!$J$9985</f>
        <v>-46.6237249434586</v>
      </c>
      <c r="K10008" s="38" t="n">
        <f aca="false">Sens!$K$10007*Sens!$K$9985</f>
        <v>7.25081291080482</v>
      </c>
      <c r="L10008" s="38" t="n">
        <f aca="false">Sens!$L$10007*Sens!$L$9985</f>
        <v>29.2366466431273</v>
      </c>
      <c r="M10008" s="38" t="n">
        <f aca="false">Sens!$M$10007*Sens!$M$9985</f>
        <v>31.4225306714552</v>
      </c>
    </row>
    <row r="10009" customFormat="false" ht="17.15" hidden="false" customHeight="false" outlineLevel="0" collapsed="false">
      <c r="A10009" s="5" t="s">
        <v>946</v>
      </c>
      <c r="B10009" s="0" t="s">
        <v>86</v>
      </c>
      <c r="C10009" s="38" t="n">
        <f aca="false">Sens!$M$9846*(1-tax)*(1+tg_lo)*(1-tg_lo/ronic)/((wacc+0.01)-tg_lo)</f>
        <v>342.743668307205</v>
      </c>
    </row>
    <row r="10010" customFormat="false" ht="17.15" hidden="false" customHeight="false" outlineLevel="0" collapsed="false">
      <c r="A10010" s="0" t="s">
        <v>947</v>
      </c>
      <c r="B10010" s="0" t="s">
        <v>86</v>
      </c>
      <c r="C10010" s="38" t="n">
        <f aca="false">(SUM(Sens!$I$10008:$M$10008)+Sens!$C$10009/(1+(wacc+0.01))^6)*(1+(wacc+0.01))^tp_yf</f>
        <v>128.336466770141</v>
      </c>
    </row>
    <row r="10011" customFormat="false" ht="17.15" hidden="false" customHeight="false" outlineLevel="0" collapsed="false">
      <c r="A10011" s="5" t="s">
        <v>948</v>
      </c>
      <c r="B10011" s="0" t="s">
        <v>86</v>
      </c>
      <c r="C10011" s="38" t="n">
        <f aca="false">(1-tp_yf)*(Sens!$H$9928)+tp_yf*(Sens!$I$9928)</f>
        <v>74.6707041238437</v>
      </c>
    </row>
    <row r="10012" customFormat="false" ht="17.15" hidden="false" customHeight="false" outlineLevel="0" collapsed="false">
      <c r="A10012" s="5" t="s">
        <v>949</v>
      </c>
      <c r="B10012" s="0" t="s">
        <v>86</v>
      </c>
      <c r="C10012" s="38" t="n">
        <f aca="false">Sens!$C$10011*m_ai</f>
        <v>448.024224743062</v>
      </c>
    </row>
    <row r="10013" customFormat="false" ht="17.15" hidden="false" customHeight="false" outlineLevel="0" collapsed="false">
      <c r="A10013" s="0" t="s">
        <v>950</v>
      </c>
      <c r="B10013" s="0" t="s">
        <v>86</v>
      </c>
      <c r="C10013" s="38" t="n">
        <f aca="false">IF(ai_leg=1,Sens!$C$10010,Sens!$C$10012)</f>
        <v>128.336466770141</v>
      </c>
    </row>
    <row r="10014" customFormat="false" ht="17.15" hidden="false" customHeight="false" outlineLevel="0" collapsed="false">
      <c r="A10014" s="5" t="s">
        <v>951</v>
      </c>
      <c r="B10014" s="0" t="s">
        <v>86</v>
      </c>
      <c r="C10014" s="38" t="n">
        <f aca="false">Sens!$C$10000+Sens!$C$10003+Sens!$C$10006+Sens!$C$10013</f>
        <v>2909.36216359868</v>
      </c>
    </row>
    <row r="10015" customFormat="false" ht="17.15" hidden="false" customHeight="false" outlineLevel="0" collapsed="false">
      <c r="A10015" s="5" t="s">
        <v>952</v>
      </c>
      <c r="B10015" s="0" t="s">
        <v>86</v>
      </c>
      <c r="C10015" s="38" t="n">
        <f aca="false">Sens!$H$9968+fin_debt</f>
        <v>153.608629741943</v>
      </c>
    </row>
    <row r="10016" customFormat="false" ht="15" hidden="false" customHeight="false" outlineLevel="0" collapsed="false">
      <c r="A10016" s="5" t="s">
        <v>953</v>
      </c>
      <c r="B10016" s="0" t="s">
        <v>86</v>
      </c>
      <c r="C10016" s="38" t="n">
        <f aca="false">Sens!$C$10014-Sens!$C$10015+Sens!$C$9993</f>
        <v>2934.69753385674</v>
      </c>
    </row>
    <row r="10017" customFormat="false" ht="15" hidden="false" customHeight="false" outlineLevel="0" collapsed="false">
      <c r="A10017" s="3" t="s">
        <v>954</v>
      </c>
      <c r="B10017" s="8" t="s">
        <v>27</v>
      </c>
      <c r="C10017" s="30" t="n">
        <f aca="false">Sens!$C$10016/sh_val</f>
        <v>266.05747885842</v>
      </c>
    </row>
    <row r="10018" customFormat="false" ht="17.15" hidden="false" customHeight="false" outlineLevel="0" collapsed="false">
      <c r="A10018" s="47" t="s">
        <v>955</v>
      </c>
      <c r="B10018" s="14" t="s">
        <v>27</v>
      </c>
      <c r="C10018" s="44" t="n">
        <f aca="false">w_dcf*Sens!$C$9996+(1-w_dcf)*Sens!$C$10017</f>
        <v>193.878023192272</v>
      </c>
      <c r="D10018" s="14"/>
      <c r="E10018" s="14"/>
      <c r="F10018" s="14"/>
      <c r="G10018" s="14"/>
      <c r="H10018" s="14"/>
      <c r="I10018" s="14"/>
      <c r="J10018" s="14"/>
      <c r="K10018" s="14"/>
      <c r="L10018" s="14"/>
      <c r="M10018" s="14"/>
      <c r="N10018" s="14"/>
      <c r="O10018" s="14"/>
    </row>
    <row r="10019" customFormat="false" ht="17.15" hidden="false" customHeight="false" outlineLevel="0" collapsed="false">
      <c r="A10019" s="5" t="s">
        <v>956</v>
      </c>
      <c r="B10019" s="0" t="s">
        <v>27</v>
      </c>
      <c r="C10019" s="30" t="n">
        <f aca="false">v022_wdcf*Sens!$C$9996+(1-v022_wdcf)*Sens!$C$10017</f>
        <v>201.095968758887</v>
      </c>
    </row>
    <row r="10020" customFormat="false" ht="17.15" hidden="false" customHeight="false" outlineLevel="0" collapsed="false">
      <c r="A10020" s="5" t="s">
        <v>957</v>
      </c>
      <c r="B10020" s="0" t="s">
        <v>27</v>
      </c>
      <c r="C10020" s="30" t="n">
        <f aca="false">(Sens!$C$10016-Sens!$C$10013+Sens!$C$10012)/sh_val</f>
        <v>295.040131389701</v>
      </c>
    </row>
    <row r="10023" customFormat="false" ht="19.4" hidden="false" customHeight="false" outlineLevel="0" collapsed="false">
      <c r="A10023" s="31" t="s">
        <v>1340</v>
      </c>
    </row>
    <row r="10024" customFormat="false" ht="17.15" hidden="false" customHeight="false" outlineLevel="0" collapsed="false">
      <c r="A10024" s="6" t="s">
        <v>16</v>
      </c>
      <c r="B10024" s="6" t="s">
        <v>17</v>
      </c>
      <c r="C10024" s="20" t="s">
        <v>497</v>
      </c>
      <c r="D10024" s="20" t="s">
        <v>498</v>
      </c>
      <c r="E10024" s="20" t="s">
        <v>580</v>
      </c>
      <c r="F10024" s="20" t="s">
        <v>581</v>
      </c>
      <c r="G10024" s="20" t="s">
        <v>582</v>
      </c>
      <c r="H10024" s="20" t="s">
        <v>583</v>
      </c>
      <c r="I10024" s="20" t="s">
        <v>584</v>
      </c>
      <c r="J10024" s="20" t="s">
        <v>585</v>
      </c>
      <c r="K10024" s="20" t="s">
        <v>586</v>
      </c>
      <c r="L10024" s="20" t="s">
        <v>587</v>
      </c>
      <c r="M10024" s="20" t="s">
        <v>588</v>
      </c>
      <c r="N10024" s="20" t="s">
        <v>589</v>
      </c>
      <c r="O10024" s="20" t="s">
        <v>590</v>
      </c>
      <c r="P10024" s="6" t="s">
        <v>23</v>
      </c>
      <c r="R10024" s="20" t="n">
        <v>2023</v>
      </c>
      <c r="S10024" s="20" t="n">
        <v>2024</v>
      </c>
      <c r="T10024" s="20" t="n">
        <v>2025</v>
      </c>
      <c r="U10024" s="20" t="n">
        <v>2026</v>
      </c>
      <c r="V10024" s="20" t="n">
        <v>2027</v>
      </c>
      <c r="W10024" s="20" t="n">
        <v>2028</v>
      </c>
      <c r="X10024" s="20" t="n">
        <v>2029</v>
      </c>
      <c r="Y10024" s="20" t="n">
        <v>2030</v>
      </c>
      <c r="Z10024" s="20" t="n">
        <v>2031</v>
      </c>
      <c r="AA10024" s="20" t="n">
        <v>2032</v>
      </c>
    </row>
    <row r="10025" customFormat="false" ht="17.15" hidden="false" customHeight="false" outlineLevel="0" collapsed="false">
      <c r="A10025" s="1" t="s">
        <v>666</v>
      </c>
    </row>
    <row r="10026" customFormat="false" ht="17.15" hidden="false" customHeight="false" outlineLevel="0" collapsed="false">
      <c r="A10026" s="0" t="s">
        <v>519</v>
      </c>
      <c r="B10026" s="0" t="s">
        <v>86</v>
      </c>
      <c r="C10026" s="38" t="n">
        <f aca="false">Q!$D$10</f>
        <v>247.029</v>
      </c>
      <c r="D10026" s="38" t="n">
        <f aca="false">Q!$E$10</f>
        <v>269.287</v>
      </c>
      <c r="E10026" s="38" t="n">
        <f aca="false">Q!$P$10</f>
        <v>134.686</v>
      </c>
      <c r="F10026" s="38" t="n">
        <f aca="false">Sens!$O$10026*(1+Sens!$F$10027)*Sens!$F$10038</f>
        <v>158.293876822267</v>
      </c>
      <c r="G10026" s="38" t="n">
        <f aca="false">Sens!$E$10026+Sens!$F$10026</f>
        <v>292.979876822267</v>
      </c>
      <c r="H10026" s="38" t="n">
        <f aca="false">Sens!$G$10026*(1+Sens!$H$10027)</f>
        <v>318.184543087396</v>
      </c>
      <c r="I10026" s="38" t="n">
        <f aca="false">Sens!$H$10026*(1+Sens!$I$10027)</f>
        <v>341.736278761793</v>
      </c>
      <c r="J10026" s="38" t="n">
        <f aca="false">Sens!$I$10026*(1+Sens!$J$10027)</f>
        <v>362.927192787048</v>
      </c>
      <c r="K10026" s="38" t="n">
        <f aca="false">Sens!$J$10026*(1+Sens!$K$10027)</f>
        <v>381.0735524264</v>
      </c>
      <c r="L10026" s="38" t="n">
        <f aca="false">Sens!$K$10026*(1+Sens!$L$10027)</f>
        <v>400.12723004772</v>
      </c>
      <c r="M10026" s="38" t="n">
        <f aca="false">Sens!$L$10026*(1+Sens!$M$10027)</f>
        <v>420.133591550106</v>
      </c>
      <c r="N10026" s="38" t="n">
        <f aca="false">Q!$N$10</f>
        <v>118.892</v>
      </c>
      <c r="O10026" s="38" t="n">
        <f aca="false">Q!$O$10</f>
        <v>150.395</v>
      </c>
      <c r="P10026" s="8" t="s">
        <v>667</v>
      </c>
    </row>
    <row r="10027" customFormat="false" ht="17.15" hidden="false" customHeight="false" outlineLevel="0" collapsed="false">
      <c r="A10027" s="0" t="s">
        <v>668</v>
      </c>
      <c r="B10027" s="0" t="s">
        <v>52</v>
      </c>
      <c r="E10027" s="13" t="n">
        <f aca="false">Sens!$E$10026/Sens!$N$10026-1</f>
        <v>0.132843252699929</v>
      </c>
      <c r="F10027" s="13" t="n">
        <f aca="false">Sens!$O$10026/(Q!$F$10+Q!$G$10)-1</f>
        <v>0.0980382135842941</v>
      </c>
      <c r="G10027" s="13" t="n">
        <f aca="false">Sens!$G$10026/Sens!$D$10026-1</f>
        <v>0.0879837378791657</v>
      </c>
      <c r="H10027" s="13" t="n">
        <f aca="false">Sens!$F$10027+(g_os-Sens!$F$10027)*1/4</f>
        <v>0.0860286601882206</v>
      </c>
      <c r="I10027" s="13" t="n">
        <f aca="false">Sens!$F$10027+(g_os-Sens!$F$10027)*2/4</f>
        <v>0.074019106792147</v>
      </c>
      <c r="J10027" s="13" t="n">
        <f aca="false">Sens!$F$10027+(g_os-Sens!$F$10027)*3/4</f>
        <v>0.0620095533960735</v>
      </c>
      <c r="K10027" s="13" t="n">
        <f aca="false">Sens!$F$10027+(g_os-Sens!$F$10027)*4/4</f>
        <v>0.05</v>
      </c>
      <c r="L10027" s="13" t="n">
        <f aca="false">g_os</f>
        <v>0.05</v>
      </c>
      <c r="M10027" s="13" t="n">
        <f aca="false">g_os</f>
        <v>0.05</v>
      </c>
      <c r="P10027" s="8" t="s">
        <v>669</v>
      </c>
    </row>
    <row r="10028" customFormat="false" ht="17.15" hidden="false" customHeight="false" outlineLevel="0" collapsed="false">
      <c r="A10028" s="0" t="s">
        <v>520</v>
      </c>
      <c r="B10028" s="0" t="s">
        <v>86</v>
      </c>
      <c r="C10028" s="38" t="n">
        <f aca="false">Q!$D$11</f>
        <v>21.215</v>
      </c>
      <c r="D10028" s="38" t="n">
        <f aca="false">Q!$E$11</f>
        <v>22.561</v>
      </c>
      <c r="E10028" s="38" t="n">
        <f aca="false">Q!$P$11</f>
        <v>11.579</v>
      </c>
      <c r="F10028" s="38" t="n">
        <f aca="false">Sens!$O$10028*(1+Sens!$F$10029)*Sens!$F$10038</f>
        <v>11.5938724610325</v>
      </c>
      <c r="G10028" s="38" t="n">
        <f aca="false">Sens!$E$10028+Sens!$F$10028</f>
        <v>23.1728724610325</v>
      </c>
      <c r="H10028" s="38" t="n">
        <f aca="false">Sens!$G$10028*(1+Sens!$H$10029)</f>
        <v>24.353392759506</v>
      </c>
      <c r="I10028" s="38" t="n">
        <f aca="false">Sens!$H$10028*(1+Sens!$I$10029)</f>
        <v>25.4240338872015</v>
      </c>
      <c r="J10028" s="38" t="n">
        <f aca="false">Sens!$I$10028*(1+Sens!$J$10029)</f>
        <v>26.3642491017174</v>
      </c>
      <c r="K10028" s="38" t="n">
        <f aca="false">Sens!$J$10028*(1+Sens!$K$10029)</f>
        <v>27.155176574769</v>
      </c>
      <c r="L10028" s="38" t="n">
        <f aca="false">Sens!$K$10028*(1+Sens!$L$10029)</f>
        <v>27.969831872012</v>
      </c>
      <c r="M10028" s="38" t="n">
        <f aca="false">Sens!$L$10028*(1+Sens!$M$10029)</f>
        <v>28.8089268281724</v>
      </c>
      <c r="N10028" s="38" t="n">
        <f aca="false">Q!$N$11</f>
        <v>11.128</v>
      </c>
      <c r="O10028" s="38" t="n">
        <f aca="false">Q!$O$11</f>
        <v>11.433</v>
      </c>
      <c r="P10028" s="8" t="s">
        <v>667</v>
      </c>
    </row>
    <row r="10029" customFormat="false" ht="17.15" hidden="false" customHeight="false" outlineLevel="0" collapsed="false">
      <c r="A10029" s="0" t="s">
        <v>670</v>
      </c>
      <c r="B10029" s="0" t="s">
        <v>52</v>
      </c>
      <c r="E10029" s="13" t="n">
        <f aca="false">Sens!$E$10028/Sens!$N$10028-1</f>
        <v>0.0405283968368082</v>
      </c>
      <c r="F10029" s="13" t="n">
        <f aca="false">Sens!$O$10028/(Q!$F$11+Q!$G$11)-1</f>
        <v>0.0579254187100955</v>
      </c>
      <c r="G10029" s="13" t="n">
        <f aca="false">Sens!$G$10028/Sens!$D$10028-1</f>
        <v>0.0271208040881397</v>
      </c>
      <c r="H10029" s="13" t="n">
        <f aca="false">Sens!$F$10029+(g_ps-Sens!$F$10029)*1/4</f>
        <v>0.0509440640325716</v>
      </c>
      <c r="I10029" s="13" t="n">
        <f aca="false">Sens!$F$10029+(g_ps-Sens!$F$10029)*2/4</f>
        <v>0.0439627093550477</v>
      </c>
      <c r="J10029" s="13" t="n">
        <f aca="false">Sens!$F$10029+(g_ps-Sens!$F$10029)*3/4</f>
        <v>0.0369813546775239</v>
      </c>
      <c r="K10029" s="13" t="n">
        <f aca="false">Sens!$F$10029+(g_ps-Sens!$F$10029)*4/4</f>
        <v>0.03</v>
      </c>
      <c r="L10029" s="13" t="n">
        <f aca="false">g_ps</f>
        <v>0.03</v>
      </c>
      <c r="M10029" s="13" t="n">
        <f aca="false">g_ps</f>
        <v>0.03</v>
      </c>
      <c r="P10029" s="8" t="s">
        <v>671</v>
      </c>
    </row>
    <row r="10030" customFormat="false" ht="17.15" hidden="false" customHeight="false" outlineLevel="0" collapsed="false">
      <c r="A10030" s="0" t="s">
        <v>521</v>
      </c>
      <c r="B10030" s="0" t="s">
        <v>86</v>
      </c>
      <c r="C10030" s="38" t="n">
        <f aca="false">Q!$D$12</f>
        <v>156.146</v>
      </c>
      <c r="D10030" s="38" t="n">
        <f aca="false">Q!$E$12</f>
        <v>172.162</v>
      </c>
      <c r="E10030" s="38" t="n">
        <f aca="false">Q!$P$12</f>
        <v>88.358</v>
      </c>
      <c r="F10030" s="38" t="n">
        <f aca="false">Sens!$O$10030*(1+Sens!$F$10031)*Sens!$F$10038</f>
        <v>102.004388260171</v>
      </c>
      <c r="G10030" s="38" t="n">
        <f aca="false">Sens!$E$10030+Sens!$F$10030</f>
        <v>190.362388260171</v>
      </c>
      <c r="H10030" s="38" t="n">
        <f aca="false">Sens!$G$10030*(1+Sens!$H$10031)</f>
        <v>210.343106588311</v>
      </c>
      <c r="I10030" s="38" t="n">
        <f aca="false">Sens!$H$10030*(1+Sens!$I$10031)</f>
        <v>229.969728494648</v>
      </c>
      <c r="J10030" s="38" t="n">
        <f aca="false">Sens!$I$10030*(1+Sens!$J$10031)</f>
        <v>248.747636972598</v>
      </c>
      <c r="K10030" s="38" t="n">
        <f aca="false">Sens!$J$10030*(1+Sens!$K$10031)</f>
        <v>266.15997156068</v>
      </c>
      <c r="L10030" s="38" t="n">
        <f aca="false">Sens!$K$10030*(1+Sens!$L$10031)</f>
        <v>284.791169569927</v>
      </c>
      <c r="M10030" s="38" t="n">
        <f aca="false">Sens!$L$10030*(1+Sens!$M$10031)</f>
        <v>304.726551439822</v>
      </c>
      <c r="N10030" s="38" t="n">
        <f aca="false">Q!$N$12</f>
        <v>76.86</v>
      </c>
      <c r="O10030" s="38" t="n">
        <f aca="false">Q!$O$12</f>
        <v>95.302</v>
      </c>
      <c r="P10030" s="8" t="s">
        <v>667</v>
      </c>
    </row>
    <row r="10031" customFormat="false" ht="17.15" hidden="false" customHeight="false" outlineLevel="0" collapsed="false">
      <c r="A10031" s="0" t="s">
        <v>672</v>
      </c>
      <c r="B10031" s="0" t="s">
        <v>52</v>
      </c>
      <c r="E10031" s="13" t="n">
        <f aca="false">Sens!$E$10030/Sens!$N$10030-1</f>
        <v>0.1495966692688</v>
      </c>
      <c r="F10031" s="13" t="n">
        <f aca="false">Sens!$O$10030/(Q!$F$12+Q!$G$12)-1</f>
        <v>0.11661530890813</v>
      </c>
      <c r="G10031" s="13" t="n">
        <f aca="false">Sens!$G$10030/Sens!$D$10030-1</f>
        <v>0.105716640490767</v>
      </c>
      <c r="H10031" s="13" t="n">
        <f aca="false">Sens!$F$10031+(g_sp-Sens!$F$10031)*1/4</f>
        <v>0.104961481681098</v>
      </c>
      <c r="I10031" s="13" t="n">
        <f aca="false">Sens!$F$10031+(g_sp-Sens!$F$10031)*2/4</f>
        <v>0.0933076544540651</v>
      </c>
      <c r="J10031" s="13" t="n">
        <f aca="false">Sens!$F$10031+(g_sp-Sens!$F$10031)*3/4</f>
        <v>0.0816538272270325</v>
      </c>
      <c r="K10031" s="13" t="n">
        <f aca="false">Sens!$F$10031+(g_sp-Sens!$F$10031)*4/4</f>
        <v>0.07</v>
      </c>
      <c r="L10031" s="13" t="n">
        <f aca="false">g_sp</f>
        <v>0.07</v>
      </c>
      <c r="M10031" s="13" t="n">
        <f aca="false">g_sp</f>
        <v>0.07</v>
      </c>
      <c r="P10031" s="8" t="s">
        <v>673</v>
      </c>
    </row>
    <row r="10032" customFormat="false" ht="17.15" hidden="false" customHeight="false" outlineLevel="0" collapsed="false">
      <c r="A10032" s="0" t="s">
        <v>522</v>
      </c>
      <c r="B10032" s="0" t="s">
        <v>86</v>
      </c>
      <c r="C10032" s="38" t="n">
        <f aca="false">Q!$D$13</f>
        <v>56.214</v>
      </c>
      <c r="D10032" s="38" t="n">
        <f aca="false">Q!$E$13</f>
        <v>68.635</v>
      </c>
      <c r="E10032" s="38" t="n">
        <f aca="false">Q!$P$13</f>
        <v>37.052</v>
      </c>
      <c r="F10032" s="38" t="n">
        <f aca="false">Sens!$O$10032*(1+Sens!$F$10033)*Sens!$F$10038</f>
        <v>46.1572219944148</v>
      </c>
      <c r="G10032" s="38" t="n">
        <f aca="false">Sens!$E$10032+Sens!$F$10032</f>
        <v>83.2092219944148</v>
      </c>
      <c r="H10032" s="38" t="n">
        <f aca="false">Sens!$G$10032*(1+Sens!$H$10033)</f>
        <v>99.8969223878976</v>
      </c>
      <c r="I10032" s="38" t="n">
        <f aca="false">Sens!$H$10032*(1+Sens!$I$10033)</f>
        <v>116.583111095496</v>
      </c>
      <c r="J10032" s="38" t="n">
        <f aca="false">Sens!$I$10032*(1+Sens!$J$10033)</f>
        <v>132.148941941952</v>
      </c>
      <c r="K10032" s="38" t="n">
        <f aca="false">Sens!$J$10032*(1+Sens!$K$10033)</f>
        <v>145.363836136147</v>
      </c>
      <c r="L10032" s="38" t="n">
        <f aca="false">Sens!$K$10032*(1+Sens!$L$10033)</f>
        <v>159.900219749762</v>
      </c>
      <c r="M10032" s="38" t="n">
        <f aca="false">Sens!$L$10032*(1+Sens!$M$10033)</f>
        <v>175.890241724738</v>
      </c>
      <c r="N10032" s="38" t="n">
        <f aca="false">Q!$N$13</f>
        <v>29.615</v>
      </c>
      <c r="O10032" s="38" t="n">
        <f aca="false">Q!$O$13</f>
        <v>39.02</v>
      </c>
      <c r="P10032" s="8" t="s">
        <v>667</v>
      </c>
    </row>
    <row r="10033" customFormat="false" ht="17.15" hidden="false" customHeight="false" outlineLevel="0" collapsed="false">
      <c r="A10033" s="0" t="s">
        <v>674</v>
      </c>
      <c r="B10033" s="0" t="s">
        <v>52</v>
      </c>
      <c r="E10033" s="13" t="n">
        <f aca="false">Sens!$E$10032/Sens!$N$10032-1</f>
        <v>0.25112274185379</v>
      </c>
      <c r="F10033" s="13" t="n">
        <f aca="false">Sens!$O$10032/(Q!$F$13+Q!$G$13)-1</f>
        <v>0.234068123596572</v>
      </c>
      <c r="G10033" s="13" t="n">
        <f aca="false">Sens!$G$10032/Sens!$D$10032-1</f>
        <v>0.212343876949294</v>
      </c>
      <c r="H10033" s="13" t="n">
        <f aca="false">Sens!$F$10033+(g_ad-Sens!$F$10033)*1/4</f>
        <v>0.200551092697429</v>
      </c>
      <c r="I10033" s="13" t="n">
        <f aca="false">Sens!$F$10033+(g_ad-Sens!$F$10033)*2/4</f>
        <v>0.167034061798286</v>
      </c>
      <c r="J10033" s="13" t="n">
        <f aca="false">Sens!$F$10033+(g_ad-Sens!$F$10033)*3/4</f>
        <v>0.133517030899143</v>
      </c>
      <c r="K10033" s="13" t="n">
        <f aca="false">Sens!$F$10033+(g_ad-Sens!$F$10033)*4/4</f>
        <v>0.1</v>
      </c>
      <c r="L10033" s="13" t="n">
        <f aca="false">g_ad</f>
        <v>0.1</v>
      </c>
      <c r="M10033" s="13" t="n">
        <f aca="false">g_ad</f>
        <v>0.1</v>
      </c>
      <c r="P10033" s="8" t="s">
        <v>675</v>
      </c>
    </row>
    <row r="10034" customFormat="false" ht="17.15" hidden="false" customHeight="false" outlineLevel="0" collapsed="false">
      <c r="A10034" s="0" t="s">
        <v>523</v>
      </c>
      <c r="B10034" s="0" t="s">
        <v>86</v>
      </c>
      <c r="C10034" s="38" t="n">
        <f aca="false">Q!$D$14</f>
        <v>44.374</v>
      </c>
      <c r="D10034" s="38" t="n">
        <f aca="false">Q!$E$14</f>
        <v>49.619</v>
      </c>
      <c r="E10034" s="38" t="n">
        <f aca="false">Q!$P$14</f>
        <v>27.157</v>
      </c>
      <c r="F10034" s="38" t="n">
        <f aca="false">Sens!$O$10034*(1+Sens!$F$10035)*Sens!$F$10038</f>
        <v>27.7764165988154</v>
      </c>
      <c r="G10034" s="38" t="n">
        <f aca="false">Sens!$E$10034+Sens!$F$10034</f>
        <v>54.9334165988154</v>
      </c>
      <c r="H10034" s="38" t="n">
        <f aca="false">Sens!$G$10034*(1+Sens!$H$10035)</f>
        <v>61.1564112561829</v>
      </c>
      <c r="I10034" s="38" t="n">
        <f aca="false">Sens!$H$10034*(1+Sens!$I$10035)</f>
        <v>67.2020282103945</v>
      </c>
      <c r="J10034" s="38" t="n">
        <f aca="false">Sens!$I$10034*(1+Sens!$J$10035)</f>
        <v>72.8757274028885</v>
      </c>
      <c r="K10034" s="38" t="n">
        <f aca="false">Sens!$J$10034*(1+Sens!$K$10035)</f>
        <v>77.9770283210907</v>
      </c>
      <c r="L10034" s="38" t="n">
        <f aca="false">Sens!$K$10034*(1+Sens!$L$10035)</f>
        <v>83.4354203035671</v>
      </c>
      <c r="M10034" s="38" t="n">
        <f aca="false">Sens!$L$10034*(1+Sens!$M$10035)</f>
        <v>89.2758997248168</v>
      </c>
      <c r="N10034" s="38" t="n">
        <f aca="false">Q!$N$14</f>
        <v>23.923</v>
      </c>
      <c r="O10034" s="38" t="n">
        <f aca="false">Q!$O$14</f>
        <v>25.696</v>
      </c>
      <c r="P10034" s="8" t="s">
        <v>667</v>
      </c>
    </row>
    <row r="10035" customFormat="false" ht="17.15" hidden="false" customHeight="false" outlineLevel="0" collapsed="false">
      <c r="A10035" s="0" t="s">
        <v>676</v>
      </c>
      <c r="B10035" s="0" t="s">
        <v>52</v>
      </c>
      <c r="E10035" s="13" t="n">
        <f aca="false">Sens!$E$10034/Sens!$N$10034-1</f>
        <v>0.135183714417088</v>
      </c>
      <c r="F10035" s="13" t="n">
        <f aca="false">Sens!$O$10034/(Q!$F$14+Q!$G$14)-1</f>
        <v>0.127709997366804</v>
      </c>
      <c r="G10035" s="13" t="n">
        <f aca="false">Sens!$G$10034/Sens!$D$10034-1</f>
        <v>0.107104468022641</v>
      </c>
      <c r="H10035" s="13" t="n">
        <f aca="false">Sens!$F$10035+(g_sub-Sens!$F$10035)*1/4</f>
        <v>0.113282498025103</v>
      </c>
      <c r="I10035" s="13" t="n">
        <f aca="false">Sens!$F$10035+(g_sub-Sens!$F$10035)*2/4</f>
        <v>0.0988549986834021</v>
      </c>
      <c r="J10035" s="13" t="n">
        <f aca="false">Sens!$F$10035+(g_sub-Sens!$F$10035)*3/4</f>
        <v>0.084427499341701</v>
      </c>
      <c r="K10035" s="13" t="n">
        <f aca="false">Sens!$F$10035+(g_sub-Sens!$F$10035)*4/4</f>
        <v>0.07</v>
      </c>
      <c r="L10035" s="13" t="n">
        <f aca="false">g_sub</f>
        <v>0.07</v>
      </c>
      <c r="M10035" s="13" t="n">
        <f aca="false">g_sub</f>
        <v>0.07</v>
      </c>
      <c r="P10035" s="8" t="s">
        <v>677</v>
      </c>
    </row>
    <row r="10036" customFormat="false" ht="17.15" hidden="false" customHeight="false" outlineLevel="0" collapsed="false">
      <c r="A10036" s="0" t="s">
        <v>524</v>
      </c>
      <c r="B10036" s="0" t="s">
        <v>86</v>
      </c>
      <c r="C10036" s="38" t="n">
        <f aca="false">Q!$D$15</f>
        <v>5.425</v>
      </c>
      <c r="D10036" s="38" t="n">
        <f aca="false">Q!$E$15</f>
        <v>5.935</v>
      </c>
      <c r="E10036" s="38" t="n">
        <f aca="false">Q!$P$15</f>
        <v>3.474</v>
      </c>
      <c r="F10036" s="38" t="n">
        <f aca="false">Sens!$O$10036*(1+Sens!$F$10037)*Sens!$F$10038</f>
        <v>3.22246550883619</v>
      </c>
      <c r="G10036" s="38" t="n">
        <f aca="false">Sens!$E$10036+Sens!$F$10036</f>
        <v>6.69646550883619</v>
      </c>
      <c r="H10036" s="38" t="n">
        <f aca="false">Sens!$G$10036*(1+Sens!$H$10037)</f>
        <v>7.16251344209196</v>
      </c>
      <c r="I10036" s="38" t="n">
        <f aca="false">Sens!$H$10036*(1+Sens!$I$10037)</f>
        <v>7.61421070299826</v>
      </c>
      <c r="J10036" s="38" t="n">
        <f aca="false">Sens!$I$10036*(1+Sens!$J$10037)</f>
        <v>8.04465753523932</v>
      </c>
      <c r="K10036" s="38" t="n">
        <f aca="false">Sens!$J$10036*(1+Sens!$K$10037)</f>
        <v>8.44689041200128</v>
      </c>
      <c r="L10036" s="38" t="n">
        <f aca="false">Sens!$K$10036*(1+Sens!$L$10037)</f>
        <v>8.86923493260135</v>
      </c>
      <c r="M10036" s="38" t="n">
        <f aca="false">Sens!$L$10036*(1+Sens!$M$10037)</f>
        <v>9.31269667923142</v>
      </c>
      <c r="N10036" s="38" t="n">
        <f aca="false">Q!$N$15</f>
        <v>2.811</v>
      </c>
      <c r="O10036" s="38" t="n">
        <f aca="false">Q!$O$15</f>
        <v>3.124</v>
      </c>
      <c r="P10036" s="8" t="s">
        <v>667</v>
      </c>
    </row>
    <row r="10037" customFormat="false" ht="17.15" hidden="false" customHeight="false" outlineLevel="0" collapsed="false">
      <c r="A10037" s="0" t="s">
        <v>678</v>
      </c>
      <c r="B10037" s="0" t="s">
        <v>52</v>
      </c>
      <c r="E10037" s="13" t="n">
        <f aca="false">Sens!$E$10036/Sens!$N$10036-1</f>
        <v>0.235859124866596</v>
      </c>
      <c r="F10037" s="13" t="n">
        <f aca="false">Sens!$O$10036/(Q!$F$15+Q!$G$15)-1</f>
        <v>0.0761281433000345</v>
      </c>
      <c r="G10037" s="13" t="n">
        <f aca="false">Sens!$G$10036/Sens!$D$10036-1</f>
        <v>0.128300843948811</v>
      </c>
      <c r="H10037" s="13" t="n">
        <f aca="false">Sens!$F$10037+(g_ot-Sens!$F$10037)*1/4</f>
        <v>0.0695961074750259</v>
      </c>
      <c r="I10037" s="13" t="n">
        <f aca="false">Sens!$F$10037+(g_ot-Sens!$F$10037)*2/4</f>
        <v>0.0630640716500172</v>
      </c>
      <c r="J10037" s="13" t="n">
        <f aca="false">Sens!$F$10037+(g_ot-Sens!$F$10037)*3/4</f>
        <v>0.0565320358250086</v>
      </c>
      <c r="K10037" s="13" t="n">
        <f aca="false">Sens!$F$10037+(g_ot-Sens!$F$10037)*4/4</f>
        <v>0.05</v>
      </c>
      <c r="L10037" s="13" t="n">
        <f aca="false">g_ot</f>
        <v>0.05</v>
      </c>
      <c r="M10037" s="13" t="n">
        <f aca="false">g_ot</f>
        <v>0.05</v>
      </c>
      <c r="P10037" s="8" t="s">
        <v>679</v>
      </c>
    </row>
    <row r="10038" customFormat="false" ht="17.15" hidden="false" customHeight="false" outlineLevel="0" collapsed="false">
      <c r="A10038" s="0" t="s">
        <v>680</v>
      </c>
      <c r="B10038" s="0" t="s">
        <v>57</v>
      </c>
      <c r="F10038" s="40" t="n">
        <f aca="false">(g26q3_mid*Q!$O$8/Q!$J$8-Thesis!$F$86-Thesis!$F$90)/(Sens!$O$10026*(1+Sens!$F$10027)+Sens!$O$10028*(1+Sens!$F$10029)+Sens!$O$10030*(1+Sens!$F$10031)+Sens!$O$10032*(1+Sens!$F$10033)+Sens!$O$10034*(1+Sens!$F$10035)+Sens!$O$10036*(1+Sens!$F$10037))</f>
        <v>0.958546670622329</v>
      </c>
      <c r="P10038" s="8" t="s">
        <v>681</v>
      </c>
    </row>
    <row r="10039" customFormat="false" ht="17.15" hidden="false" customHeight="false" outlineLevel="0" collapsed="false">
      <c r="A10039" s="3" t="s">
        <v>682</v>
      </c>
      <c r="B10039" s="8" t="s">
        <v>86</v>
      </c>
      <c r="C10039" s="38" t="n">
        <f aca="false">Sens!$C$10026+Sens!$C$10028+Sens!$C$10030+Sens!$C$10032+Sens!$C$10034+Sens!$C$10036</f>
        <v>530.403</v>
      </c>
      <c r="D10039" s="38" t="n">
        <f aca="false">Sens!$D$10026+Sens!$D$10028+Sens!$D$10030+Sens!$D$10032+Sens!$D$10034+Sens!$D$10036</f>
        <v>588.199</v>
      </c>
      <c r="E10039" s="38" t="n">
        <f aca="false">Sens!$E$10026+Sens!$E$10028+Sens!$E$10030+Sens!$E$10032+Sens!$E$10034+Sens!$E$10036</f>
        <v>302.306</v>
      </c>
      <c r="F10039" s="38" t="n">
        <f aca="false">Sens!$F$10026+Sens!$F$10028+Sens!$F$10030+Sens!$F$10032+Sens!$F$10034+Sens!$F$10036</f>
        <v>349.048241645537</v>
      </c>
      <c r="G10039" s="38" t="n">
        <f aca="false">Sens!$G$10026+Sens!$G$10028+Sens!$G$10030+Sens!$G$10032+Sens!$G$10034+Sens!$G$10036</f>
        <v>651.354241645537</v>
      </c>
      <c r="H10039" s="38" t="n">
        <f aca="false">Sens!$H$10026+Sens!$H$10028+Sens!$H$10030+Sens!$H$10032+Sens!$H$10034+Sens!$H$10036</f>
        <v>721.096889521386</v>
      </c>
      <c r="I10039" s="38" t="n">
        <f aca="false">Sens!$I$10026+Sens!$I$10028+Sens!$I$10030+Sens!$I$10032+Sens!$I$10034+Sens!$I$10036</f>
        <v>788.529391152531</v>
      </c>
      <c r="J10039" s="38" t="n">
        <f aca="false">Sens!$J$10026+Sens!$J$10028+Sens!$J$10030+Sens!$J$10032+Sens!$J$10034+Sens!$J$10036</f>
        <v>851.108405741443</v>
      </c>
      <c r="K10039" s="38" t="n">
        <f aca="false">Sens!$K$10026+Sens!$K$10028+Sens!$K$10030+Sens!$K$10032+Sens!$K$10034+Sens!$K$10036</f>
        <v>906.176455431088</v>
      </c>
      <c r="L10039" s="38" t="n">
        <f aca="false">Sens!$L$10026+Sens!$L$10028+Sens!$L$10030+Sens!$L$10032+Sens!$L$10034+Sens!$L$10036</f>
        <v>965.093106475589</v>
      </c>
      <c r="M10039" s="38" t="n">
        <f aca="false">Sens!$M$10026+Sens!$M$10028+Sens!$M$10030+Sens!$M$10032+Sens!$M$10034+Sens!$M$10036</f>
        <v>1028.14790794689</v>
      </c>
      <c r="N10039" s="38" t="n">
        <f aca="false">Sens!$N$10026+Sens!$N$10028+Sens!$N$10030+Sens!$N$10032+Sens!$N$10034+Sens!$N$10036</f>
        <v>263.229</v>
      </c>
      <c r="O10039" s="38" t="n">
        <f aca="false">Sens!$O$10026+Sens!$O$10028+Sens!$O$10030+Sens!$O$10032+Sens!$O$10034+Sens!$O$10036</f>
        <v>324.97</v>
      </c>
    </row>
    <row r="10040" customFormat="false" ht="17.15" hidden="false" customHeight="false" outlineLevel="0" collapsed="false">
      <c r="A10040" s="5" t="s">
        <v>683</v>
      </c>
      <c r="B10040" s="0" t="s">
        <v>52</v>
      </c>
      <c r="C10040" s="13" t="n">
        <f aca="false">Q!$D$5/(Q!$D$5+Q!$D$6)</f>
        <v>0.730570905519011</v>
      </c>
      <c r="D10040" s="13" t="n">
        <f aca="false">Q!$E$5/(Q!$E$5+Q!$E$6)</f>
        <v>0.724763217890544</v>
      </c>
      <c r="E10040" s="13" t="n">
        <f aca="false">Q!$P$5/(Q!$P$5+Q!$P$6)</f>
        <v>0.728797972914861</v>
      </c>
      <c r="F10040" s="13" t="n">
        <f aca="false">Sens!$O$10040</f>
        <v>0.718066283041511</v>
      </c>
      <c r="G10040" s="13" t="n">
        <f aca="false">Sens!$G$10041/Sens!$G$10039</f>
        <v>0.723047066202847</v>
      </c>
      <c r="H10040" s="13" t="n">
        <f aca="false">Sens!$G$10040</f>
        <v>0.723047066202847</v>
      </c>
      <c r="I10040" s="13" t="n">
        <f aca="false">Sens!$G$10040</f>
        <v>0.723047066202847</v>
      </c>
      <c r="J10040" s="13" t="n">
        <f aca="false">Sens!$G$10040</f>
        <v>0.723047066202847</v>
      </c>
      <c r="K10040" s="13" t="n">
        <f aca="false">Sens!$G$10040</f>
        <v>0.723047066202847</v>
      </c>
      <c r="L10040" s="13" t="n">
        <f aca="false">Sens!$G$10040</f>
        <v>0.723047066202847</v>
      </c>
      <c r="M10040" s="13" t="n">
        <f aca="false">Sens!$G$10040</f>
        <v>0.723047066202847</v>
      </c>
      <c r="N10040" s="13" t="n">
        <f aca="false">Q!$N$5/(Q!$N$5+Q!$N$6)</f>
        <v>0.733030935041352</v>
      </c>
      <c r="O10040" s="13" t="n">
        <f aca="false">Q!$O$5/(Q!$O$5+Q!$O$6)</f>
        <v>0.718066283041511</v>
      </c>
      <c r="P10040" s="8" t="s">
        <v>684</v>
      </c>
    </row>
    <row r="10041" customFormat="false" ht="17.15" hidden="false" customHeight="false" outlineLevel="0" collapsed="false">
      <c r="A10041" s="1" t="s">
        <v>512</v>
      </c>
      <c r="B10041" s="8" t="s">
        <v>86</v>
      </c>
      <c r="C10041" s="38" t="n">
        <f aca="false">Q!$D$5</f>
        <v>387.497</v>
      </c>
      <c r="D10041" s="38" t="n">
        <f aca="false">Q!$E$5</f>
        <v>426.305</v>
      </c>
      <c r="E10041" s="38" t="n">
        <f aca="false">Q!$P$5</f>
        <v>220.32</v>
      </c>
      <c r="F10041" s="38" t="n">
        <f aca="false">Sens!$F$10039*Sens!$F$10040</f>
        <v>250.639773480586</v>
      </c>
      <c r="G10041" s="38" t="n">
        <f aca="false">Sens!$E$10041+Sens!$F$10041</f>
        <v>470.959773480586</v>
      </c>
      <c r="H10041" s="38" t="n">
        <f aca="false">Sens!$H$10039*Sens!$H$10040</f>
        <v>521.386990416437</v>
      </c>
      <c r="I10041" s="38" t="n">
        <f aca="false">Sens!$I$10039*Sens!$I$10040</f>
        <v>570.143862887555</v>
      </c>
      <c r="J10041" s="38" t="n">
        <f aca="false">Sens!$J$10039*Sens!$J$10040</f>
        <v>615.391435791933</v>
      </c>
      <c r="K10041" s="38" t="n">
        <f aca="false">Sens!$K$10039*Sens!$K$10040</f>
        <v>655.208227561543</v>
      </c>
      <c r="L10041" s="38" t="n">
        <f aca="false">Sens!$L$10039*Sens!$L$10040</f>
        <v>697.807739249767</v>
      </c>
      <c r="M10041" s="38" t="n">
        <f aca="false">Sens!$M$10039*Sens!$M$10040</f>
        <v>743.399328463592</v>
      </c>
      <c r="N10041" s="38" t="n">
        <f aca="false">Q!$N$5</f>
        <v>192.955</v>
      </c>
      <c r="O10041" s="38" t="n">
        <f aca="false">Q!$O$5</f>
        <v>233.35</v>
      </c>
      <c r="P10041" s="5" t="s">
        <v>685</v>
      </c>
    </row>
    <row r="10042" customFormat="false" ht="17.15" hidden="false" customHeight="false" outlineLevel="0" collapsed="false">
      <c r="A10042" s="1" t="s">
        <v>515</v>
      </c>
      <c r="B10042" s="8" t="s">
        <v>86</v>
      </c>
      <c r="C10042" s="38" t="n">
        <f aca="false">Q!$D$6</f>
        <v>142.906</v>
      </c>
      <c r="D10042" s="38" t="n">
        <f aca="false">Q!$E$6</f>
        <v>161.894</v>
      </c>
      <c r="E10042" s="38" t="n">
        <f aca="false">Q!$P$6</f>
        <v>81.986</v>
      </c>
      <c r="F10042" s="38" t="n">
        <f aca="false">Sens!$F$10039*(1-Sens!$F$10040)</f>
        <v>98.408468164951</v>
      </c>
      <c r="G10042" s="38" t="n">
        <f aca="false">Sens!$E$10042+Sens!$F$10042</f>
        <v>180.394468164951</v>
      </c>
      <c r="H10042" s="38" t="n">
        <f aca="false">Sens!$H$10039*(1-Sens!$H$10040)</f>
        <v>199.709899104949</v>
      </c>
      <c r="I10042" s="38" t="n">
        <f aca="false">Sens!$I$10039*(1-Sens!$I$10040)</f>
        <v>218.385528264976</v>
      </c>
      <c r="J10042" s="38" t="n">
        <f aca="false">Sens!$J$10039*(1-Sens!$J$10040)</f>
        <v>235.71696994951</v>
      </c>
      <c r="K10042" s="38" t="n">
        <f aca="false">Sens!$K$10039*(1-Sens!$K$10040)</f>
        <v>250.968227869545</v>
      </c>
      <c r="L10042" s="38" t="n">
        <f aca="false">Sens!$L$10039*(1-Sens!$L$10040)</f>
        <v>267.285367225822</v>
      </c>
      <c r="M10042" s="38" t="n">
        <f aca="false">Sens!$M$10039*(1-Sens!$M$10040)</f>
        <v>284.748579483295</v>
      </c>
      <c r="N10042" s="38" t="n">
        <f aca="false">Q!$N$6</f>
        <v>70.274</v>
      </c>
      <c r="O10042" s="38" t="n">
        <f aca="false">Q!$O$6</f>
        <v>91.62</v>
      </c>
      <c r="P10042" s="5" t="s">
        <v>686</v>
      </c>
    </row>
    <row r="10043" customFormat="false" ht="17.15" hidden="false" customHeight="false" outlineLevel="0" collapsed="false">
      <c r="A10043" s="5" t="s">
        <v>687</v>
      </c>
      <c r="B10043" s="0" t="s">
        <v>86</v>
      </c>
      <c r="C10043" s="38" t="n">
        <f aca="false">Sens!$C$10032*Sens!$C$10040</f>
        <v>41.0683128828457</v>
      </c>
      <c r="D10043" s="38" t="n">
        <f aca="false">Sens!$D$10032*Sens!$D$10040</f>
        <v>49.7441234599175</v>
      </c>
      <c r="E10043" s="38" t="n">
        <f aca="false">Sens!$E$10032*Sens!$E$10040</f>
        <v>27.0034224924414</v>
      </c>
      <c r="F10043" s="38" t="n">
        <f aca="false">Sens!$F$10032*Sens!$F$10040</f>
        <v>33.1439448330513</v>
      </c>
      <c r="G10043" s="38" t="n">
        <f aca="false">Sens!$G$10032*Sens!$G$10040</f>
        <v>60.164183844083</v>
      </c>
      <c r="H10043" s="38" t="n">
        <f aca="false">Sens!$H$10032*Sens!$H$10040</f>
        <v>72.2301766552629</v>
      </c>
      <c r="I10043" s="38" t="n">
        <f aca="false">Sens!$I$10032*Sens!$I$10040</f>
        <v>84.2950764463991</v>
      </c>
      <c r="J10043" s="38" t="n">
        <f aca="false">Sens!$J$10032*Sens!$J$10040</f>
        <v>95.5499047729386</v>
      </c>
      <c r="K10043" s="38" t="n">
        <f aca="false">Sens!$K$10032*Sens!$K$10040</f>
        <v>105.104895250232</v>
      </c>
      <c r="L10043" s="38" t="n">
        <f aca="false">Sens!$L$10032*Sens!$L$10040</f>
        <v>115.615384775256</v>
      </c>
      <c r="M10043" s="38" t="n">
        <f aca="false">Sens!$M$10032*Sens!$M$10040</f>
        <v>127.176923252781</v>
      </c>
      <c r="N10043" s="38" t="n">
        <f aca="false">Sens!$N$10032*Sens!$N$10040</f>
        <v>21.7087111412496</v>
      </c>
      <c r="O10043" s="38" t="n">
        <f aca="false">Sens!$O$10032*Sens!$O$10040</f>
        <v>28.0189463642798</v>
      </c>
      <c r="P10043" s="5" t="s">
        <v>688</v>
      </c>
    </row>
    <row r="10044" customFormat="false" ht="15" hidden="false" customHeight="false" outlineLevel="0" collapsed="false">
      <c r="A10044" s="5" t="s">
        <v>689</v>
      </c>
      <c r="B10044" s="0" t="s">
        <v>86</v>
      </c>
      <c r="C10044" s="38" t="n">
        <f aca="false">Sens!$C$10032-Sens!$C$10043</f>
        <v>15.1456871171543</v>
      </c>
      <c r="D10044" s="38" t="n">
        <f aca="false">Sens!$D$10032-Sens!$D$10043</f>
        <v>18.8908765400825</v>
      </c>
      <c r="E10044" s="38" t="n">
        <f aca="false">Sens!$E$10032-Sens!$E$10043</f>
        <v>10.0485775075586</v>
      </c>
      <c r="F10044" s="38" t="n">
        <f aca="false">Sens!$F$10032-Sens!$F$10043</f>
        <v>13.0132771613635</v>
      </c>
      <c r="G10044" s="38" t="n">
        <f aca="false">Sens!$G$10032-Sens!$G$10043</f>
        <v>23.0450381503318</v>
      </c>
      <c r="H10044" s="38" t="n">
        <f aca="false">Sens!$H$10032-Sens!$H$10043</f>
        <v>27.6667457326347</v>
      </c>
      <c r="I10044" s="38" t="n">
        <f aca="false">Sens!$I$10032-Sens!$I$10043</f>
        <v>32.2880346490971</v>
      </c>
      <c r="J10044" s="38" t="n">
        <f aca="false">Sens!$J$10032-Sens!$J$10043</f>
        <v>36.5990371690132</v>
      </c>
      <c r="K10044" s="38" t="n">
        <f aca="false">Sens!$K$10032-Sens!$K$10043</f>
        <v>40.2589408859145</v>
      </c>
      <c r="L10044" s="38" t="n">
        <f aca="false">Sens!$L$10032-Sens!$L$10043</f>
        <v>44.2848349745059</v>
      </c>
      <c r="M10044" s="38" t="n">
        <f aca="false">Sens!$M$10032-Sens!$M$10043</f>
        <v>48.7133184719565</v>
      </c>
      <c r="N10044" s="38" t="n">
        <f aca="false">Sens!$N$10032-Sens!$N$10043</f>
        <v>7.90628885875037</v>
      </c>
      <c r="O10044" s="38" t="n">
        <f aca="false">Sens!$O$10032-Sens!$O$10043</f>
        <v>11.0010536357202</v>
      </c>
    </row>
    <row r="10045" customFormat="false" ht="19.4" hidden="false" customHeight="false" outlineLevel="0" collapsed="false">
      <c r="A10045" s="31" t="s">
        <v>1341</v>
      </c>
    </row>
    <row r="10046" customFormat="false" ht="17.15" hidden="false" customHeight="false" outlineLevel="0" collapsed="false">
      <c r="A10046" s="6" t="s">
        <v>16</v>
      </c>
      <c r="B10046" s="6" t="s">
        <v>17</v>
      </c>
      <c r="C10046" s="20" t="s">
        <v>497</v>
      </c>
      <c r="D10046" s="20" t="s">
        <v>498</v>
      </c>
      <c r="E10046" s="20" t="s">
        <v>580</v>
      </c>
      <c r="F10046" s="20" t="s">
        <v>581</v>
      </c>
      <c r="G10046" s="20" t="s">
        <v>582</v>
      </c>
      <c r="H10046" s="20" t="s">
        <v>583</v>
      </c>
      <c r="I10046" s="20" t="s">
        <v>584</v>
      </c>
      <c r="J10046" s="20" t="s">
        <v>585</v>
      </c>
      <c r="K10046" s="20" t="s">
        <v>586</v>
      </c>
      <c r="L10046" s="20" t="s">
        <v>587</v>
      </c>
      <c r="M10046" s="20" t="s">
        <v>588</v>
      </c>
      <c r="N10046" s="20" t="s">
        <v>589</v>
      </c>
      <c r="O10046" s="20" t="s">
        <v>590</v>
      </c>
      <c r="P10046" s="6" t="s">
        <v>23</v>
      </c>
      <c r="R10046" s="20" t="n">
        <v>2023</v>
      </c>
      <c r="S10046" s="20" t="n">
        <v>2024</v>
      </c>
      <c r="T10046" s="20" t="n">
        <v>2025</v>
      </c>
      <c r="U10046" s="20" t="n">
        <v>2026</v>
      </c>
      <c r="V10046" s="20" t="n">
        <v>2027</v>
      </c>
      <c r="W10046" s="20" t="n">
        <v>2028</v>
      </c>
      <c r="X10046" s="20" t="n">
        <v>2029</v>
      </c>
      <c r="Y10046" s="20" t="n">
        <v>2030</v>
      </c>
      <c r="Z10046" s="20" t="n">
        <v>2031</v>
      </c>
      <c r="AA10046" s="20" t="n">
        <v>2032</v>
      </c>
    </row>
    <row r="10047" customFormat="false" ht="17.15" hidden="false" customHeight="false" outlineLevel="0" collapsed="false">
      <c r="A10047" s="1" t="s">
        <v>591</v>
      </c>
    </row>
    <row r="10048" customFormat="false" ht="17.15" hidden="false" customHeight="false" outlineLevel="0" collapsed="false">
      <c r="A10048" s="5" t="s">
        <v>592</v>
      </c>
      <c r="B10048" s="0" t="s">
        <v>144</v>
      </c>
      <c r="H10048" s="32" t="n">
        <f aca="false">pace_B</f>
        <v>3634.3</v>
      </c>
      <c r="I10048" s="32" t="n">
        <f aca="false">pace_B</f>
        <v>3634.3</v>
      </c>
      <c r="J10048" s="32" t="n">
        <f aca="false">pace_B</f>
        <v>3634.3</v>
      </c>
      <c r="K10048" s="32" t="n">
        <f aca="false">pace_B+(Sens!$J$10049*tg-pace_B)*1/3</f>
        <v>2570.86716666667</v>
      </c>
      <c r="L10048" s="32" t="n">
        <f aca="false">pace_B+(Sens!$J$10049*tg-pace_B)*2/3</f>
        <v>1507.43433333333</v>
      </c>
      <c r="M10048" s="32" t="n">
        <f aca="false">pace_B+(Sens!$J$10049*tg-pace_B)*3/3</f>
        <v>444.0015</v>
      </c>
      <c r="P10048" s="5" t="s">
        <v>593</v>
      </c>
    </row>
    <row r="10049" customFormat="false" ht="17.15" hidden="false" customHeight="false" outlineLevel="0" collapsed="false">
      <c r="A10049" s="15" t="s">
        <v>594</v>
      </c>
      <c r="B10049" s="14" t="s">
        <v>129</v>
      </c>
      <c r="C10049" s="33" t="n">
        <f aca="false">mw_ye24</f>
        <v>360</v>
      </c>
      <c r="D10049" s="33" t="n">
        <f aca="false">mw_ye25</f>
        <v>1440</v>
      </c>
      <c r="E10049" s="33" t="n">
        <f aca="false">mw_open</f>
        <v>2080</v>
      </c>
      <c r="F10049" s="33" t="n">
        <f aca="false">Sens!$E$10049+pace_B*0.5</f>
        <v>3897.15</v>
      </c>
      <c r="G10049" s="33" t="n">
        <f aca="false">Sens!$F$10049</f>
        <v>3897.15</v>
      </c>
      <c r="H10049" s="33" t="n">
        <f aca="false">Sens!$G$10049+Sens!$H$10048</f>
        <v>7531.45</v>
      </c>
      <c r="I10049" s="33" t="n">
        <f aca="false">Sens!$H$10049+Sens!$I$10048</f>
        <v>11165.75</v>
      </c>
      <c r="J10049" s="33" t="n">
        <f aca="false">Sens!$I$10049+Sens!$J$10048</f>
        <v>14800.05</v>
      </c>
      <c r="K10049" s="33" t="n">
        <f aca="false">Sens!$J$10049+Sens!$K$10048</f>
        <v>17370.9171666667</v>
      </c>
      <c r="L10049" s="33" t="n">
        <f aca="false">Sens!$K$10049+Sens!$L$10048</f>
        <v>18878.3515</v>
      </c>
      <c r="M10049" s="33" t="n">
        <f aca="false">Sens!$L$10049+Sens!$M$10048</f>
        <v>19322.353</v>
      </c>
      <c r="N10049" s="33" t="n">
        <f aca="false">(mw_ye24+mw_ye25)/2</f>
        <v>900</v>
      </c>
      <c r="O10049" s="33" t="n">
        <f aca="false">mw_ye25</f>
        <v>1440</v>
      </c>
      <c r="P10049" s="5" t="s">
        <v>595</v>
      </c>
    </row>
    <row r="10050" customFormat="false" ht="17.15" hidden="false" customHeight="false" outlineLevel="0" collapsed="false">
      <c r="A10050" s="5" t="s">
        <v>596</v>
      </c>
      <c r="B10050" s="0" t="s">
        <v>129</v>
      </c>
      <c r="C10050" s="32" t="n">
        <f aca="false">(mw_ye23+mw_ye24)/2</f>
        <v>240</v>
      </c>
      <c r="D10050" s="32" t="n">
        <f aca="false">(Sens!$C$10049+Sens!$D$10049)/2</f>
        <v>900</v>
      </c>
      <c r="E10050" s="32" t="n">
        <f aca="false">(Sens!$D$10049+Sens!$E$10049)/2</f>
        <v>1760</v>
      </c>
      <c r="F10050" s="32" t="n">
        <f aca="false">(Sens!$E$10049+Sens!$F$10049)/2</f>
        <v>2988.575</v>
      </c>
      <c r="G10050" s="32" t="n">
        <f aca="false">(Sens!$E$10050+Sens!$F$10050)/2</f>
        <v>2374.2875</v>
      </c>
      <c r="H10050" s="32" t="n">
        <f aca="false">(Sens!$G$10049+Sens!$H$10049)/2</f>
        <v>5714.3</v>
      </c>
      <c r="I10050" s="32" t="n">
        <f aca="false">(Sens!$H$10049+Sens!$I$10049)/2</f>
        <v>9348.6</v>
      </c>
      <c r="J10050" s="32" t="n">
        <f aca="false">(Sens!$I$10049+Sens!$J$10049)/2</f>
        <v>12982.9</v>
      </c>
      <c r="K10050" s="32" t="n">
        <f aca="false">(Sens!$J$10049+Sens!$K$10049)/2</f>
        <v>16085.4835833333</v>
      </c>
      <c r="L10050" s="32" t="n">
        <f aca="false">(Sens!$K$10049+Sens!$L$10049)/2</f>
        <v>18124.6343333333</v>
      </c>
      <c r="M10050" s="32" t="n">
        <f aca="false">(Sens!$L$10049+Sens!$M$10049)/2</f>
        <v>19100.35225</v>
      </c>
      <c r="N10050" s="32" t="n">
        <f aca="false">(Sens!$C$10049+Sens!$N$10049)/2</f>
        <v>630</v>
      </c>
      <c r="O10050" s="32" t="n">
        <f aca="false">(Sens!$N$10049+Sens!$O$10049)/2</f>
        <v>1170</v>
      </c>
    </row>
    <row r="10051" customFormat="false" ht="15" hidden="false" customHeight="false" outlineLevel="0" collapsed="false">
      <c r="A10051" s="5" t="s">
        <v>597</v>
      </c>
      <c r="B10051" s="5" t="s">
        <v>123</v>
      </c>
      <c r="C10051" s="34" t="n">
        <v>1</v>
      </c>
      <c r="D10051" s="34" t="n">
        <v>1</v>
      </c>
      <c r="E10051" s="34" t="n">
        <v>0.5</v>
      </c>
      <c r="F10051" s="34" t="n">
        <v>0.5</v>
      </c>
      <c r="G10051" s="34" t="n">
        <v>1</v>
      </c>
      <c r="H10051" s="34" t="n">
        <v>1</v>
      </c>
      <c r="I10051" s="34" t="n">
        <v>1</v>
      </c>
      <c r="J10051" s="34" t="n">
        <v>1</v>
      </c>
      <c r="K10051" s="34" t="n">
        <v>1</v>
      </c>
      <c r="L10051" s="34" t="n">
        <v>1</v>
      </c>
      <c r="M10051" s="34" t="n">
        <v>1</v>
      </c>
      <c r="N10051" s="34" t="n">
        <v>0.5</v>
      </c>
      <c r="O10051" s="34" t="n">
        <v>0.5</v>
      </c>
    </row>
    <row r="10052" customFormat="false" ht="17.15" hidden="false" customHeight="false" outlineLevel="0" collapsed="false">
      <c r="A10052" s="5" t="s">
        <v>598</v>
      </c>
      <c r="B10052" s="0" t="s">
        <v>129</v>
      </c>
      <c r="C10052" s="32" t="n">
        <f aca="false">Sens!$C$10049-mw_ye23</f>
        <v>240</v>
      </c>
      <c r="D10052" s="32" t="n">
        <f aca="false">Sens!$D$10049-Sens!$C$10049</f>
        <v>1080</v>
      </c>
      <c r="E10052" s="32" t="n">
        <f aca="false">Sens!$E$10049-Sens!$D$10049</f>
        <v>640</v>
      </c>
      <c r="F10052" s="32" t="n">
        <f aca="false">Sens!$F$10049-Sens!$E$10049</f>
        <v>1817.15</v>
      </c>
      <c r="G10052" s="32" t="n">
        <f aca="false">Sens!$E$10052+Sens!$F$10052</f>
        <v>2457.15</v>
      </c>
      <c r="H10052" s="32" t="n">
        <f aca="false">Sens!$H$10049-Sens!$G$10049</f>
        <v>3634.3</v>
      </c>
      <c r="I10052" s="32" t="n">
        <f aca="false">Sens!$I$10049-Sens!$H$10049</f>
        <v>3634.3</v>
      </c>
      <c r="J10052" s="32" t="n">
        <f aca="false">Sens!$J$10049-Sens!$I$10049</f>
        <v>3634.3</v>
      </c>
      <c r="K10052" s="32" t="n">
        <f aca="false">Sens!$K$10049-Sens!$J$10049</f>
        <v>2570.86716666667</v>
      </c>
      <c r="L10052" s="32" t="n">
        <f aca="false">Sens!$L$10049-Sens!$K$10049</f>
        <v>1507.43433333333</v>
      </c>
      <c r="M10052" s="32" t="n">
        <f aca="false">Sens!$M$10049-Sens!$L$10049</f>
        <v>444.001499999999</v>
      </c>
      <c r="N10052" s="32" t="n">
        <f aca="false">Sens!$N$10049-Sens!$C$10049</f>
        <v>540</v>
      </c>
      <c r="O10052" s="32" t="n">
        <f aca="false">Sens!$O$10049-Sens!$N$10049</f>
        <v>540</v>
      </c>
    </row>
    <row r="10053" customFormat="false" ht="17.15" hidden="false" customHeight="false" outlineLevel="0" collapsed="false">
      <c r="A10053" s="5" t="s">
        <v>599</v>
      </c>
      <c r="B10053" s="0" t="s">
        <v>129</v>
      </c>
      <c r="C10053" s="32" t="n">
        <f aca="false">Sens!$C$10052/ext_sh</f>
        <v>300</v>
      </c>
      <c r="D10053" s="32" t="n">
        <f aca="false">Sens!$D$10052/ext_sh</f>
        <v>1350</v>
      </c>
      <c r="E10053" s="32" t="n">
        <f aca="false">Sens!$E$10052/ext_sh</f>
        <v>800</v>
      </c>
      <c r="F10053" s="32" t="n">
        <f aca="false">Sens!$F$10052/ext_sh</f>
        <v>2271.4375</v>
      </c>
      <c r="G10053" s="32" t="n">
        <f aca="false">Sens!$G$10052/ext_sh</f>
        <v>3071.4375</v>
      </c>
      <c r="H10053" s="32" t="n">
        <f aca="false">Sens!$H$10052/ext_sh</f>
        <v>4542.875</v>
      </c>
      <c r="I10053" s="32" t="n">
        <f aca="false">Sens!$I$10052/ext_sh</f>
        <v>4542.875</v>
      </c>
      <c r="J10053" s="32" t="n">
        <f aca="false">Sens!$J$10052/ext_sh</f>
        <v>4542.875</v>
      </c>
      <c r="K10053" s="32" t="n">
        <f aca="false">Sens!$K$10052/ext_sh</f>
        <v>3213.58395833333</v>
      </c>
      <c r="L10053" s="32" t="n">
        <f aca="false">Sens!$L$10052/ext_sh</f>
        <v>1884.29291666667</v>
      </c>
      <c r="M10053" s="32" t="n">
        <f aca="false">Sens!$M$10052/ext_sh</f>
        <v>555.001874999998</v>
      </c>
      <c r="N10053" s="32" t="n">
        <f aca="false">Sens!$N$10052/ext_sh</f>
        <v>675</v>
      </c>
      <c r="O10053" s="32" t="n">
        <f aca="false">Sens!$O$10052/ext_sh</f>
        <v>675</v>
      </c>
      <c r="P10053" s="8" t="s">
        <v>600</v>
      </c>
      <c r="R10053" s="32" t="n">
        <f aca="false">mw_ye23/ext_sh</f>
        <v>150</v>
      </c>
      <c r="S10053" s="32" t="n">
        <f aca="false">Sens!$C$10053</f>
        <v>300</v>
      </c>
      <c r="T10053" s="32" t="n">
        <f aca="false">Sens!$D$10053</f>
        <v>1350</v>
      </c>
      <c r="U10053" s="32" t="n">
        <f aca="false">Sens!$G$10053</f>
        <v>3071.4375</v>
      </c>
      <c r="V10053" s="32" t="n">
        <f aca="false">Sens!$H$10053</f>
        <v>4542.875</v>
      </c>
      <c r="W10053" s="32" t="n">
        <f aca="false">Sens!$I$10053</f>
        <v>4542.875</v>
      </c>
      <c r="X10053" s="32" t="n">
        <f aca="false">Sens!$J$10053</f>
        <v>4542.875</v>
      </c>
      <c r="Y10053" s="32" t="n">
        <f aca="false">Sens!$K$10053</f>
        <v>3213.58395833333</v>
      </c>
      <c r="Z10053" s="32" t="n">
        <f aca="false">Sens!$L$10053</f>
        <v>1884.29291666667</v>
      </c>
      <c r="AA10053" s="32" t="n">
        <f aca="false">Sens!$M$10053</f>
        <v>555.001874999998</v>
      </c>
    </row>
    <row r="10054" customFormat="false" ht="17.15" hidden="false" customHeight="false" outlineLevel="0" collapsed="false">
      <c r="A10054" s="1" t="s">
        <v>601</v>
      </c>
    </row>
    <row r="10055" customFormat="false" ht="17.15" hidden="false" customHeight="false" outlineLevel="0" collapsed="false">
      <c r="A10055" s="0" t="s">
        <v>602</v>
      </c>
      <c r="B10055" s="0" t="s">
        <v>52</v>
      </c>
      <c r="F10055" s="35" t="n">
        <f aca="false">na_vr26</f>
        <v>0</v>
      </c>
      <c r="G10055" s="35" t="n">
        <f aca="false">na_vr26</f>
        <v>0</v>
      </c>
      <c r="H10055" s="35" t="n">
        <f aca="false">na_vr27</f>
        <v>0.5</v>
      </c>
      <c r="I10055" s="35" t="n">
        <f aca="false">na_vr28</f>
        <v>1</v>
      </c>
      <c r="J10055" s="35" t="n">
        <f aca="false">na_vr28</f>
        <v>1</v>
      </c>
      <c r="K10055" s="35" t="n">
        <f aca="false">na_vr28</f>
        <v>1</v>
      </c>
      <c r="L10055" s="35" t="n">
        <f aca="false">na_vr28</f>
        <v>1</v>
      </c>
      <c r="M10055" s="35" t="n">
        <f aca="false">na_vr28</f>
        <v>1</v>
      </c>
    </row>
    <row r="10056" customFormat="false" ht="17.15" hidden="false" customHeight="false" outlineLevel="0" collapsed="false">
      <c r="A10056" s="5" t="s">
        <v>603</v>
      </c>
      <c r="B10056" s="0" t="s">
        <v>173</v>
      </c>
      <c r="F10056" s="36" t="n">
        <f aca="false">cust_sh*tk_he_gb300*cf_chip+(1-cust_sh)*((1-Sens!$F$10055)*tk_he_gb300+Sens!$F$10055*tk_he_vr200)</f>
        <v>10.8864110021101</v>
      </c>
      <c r="G10056" s="36" t="n">
        <f aca="false">cust_sh*tk_he_gb300*cf_chip+(1-cust_sh)*((1-Sens!$G$10055)*tk_he_gb300+Sens!$G$10055*tk_he_vr200)</f>
        <v>10.8864110021101</v>
      </c>
      <c r="H10056" s="36" t="n">
        <f aca="false">cust_sh*tk_he_gb300*cf_chip+(1-cust_sh)*((1-Sens!$H$10055)*tk_he_gb300+Sens!$H$10055*tk_he_vr200)</f>
        <v>11.2211760027286</v>
      </c>
      <c r="I10056" s="36" t="n">
        <f aca="false">cust_sh*tk_he_gb300*cf_chip+(1-cust_sh)*((1-Sens!$I$10055)*tk_he_gb300+Sens!$I$10055*tk_he_vr200)</f>
        <v>11.5559410033471</v>
      </c>
      <c r="J10056" s="36" t="n">
        <f aca="false">cust_sh*tk_he_gb300*cf_chip+(1-cust_sh)*((1-Sens!$J$10055)*tk_he_gb300+Sens!$J$10055*tk_he_vr200)</f>
        <v>11.5559410033471</v>
      </c>
      <c r="K10056" s="36" t="n">
        <f aca="false">cust_sh*tk_he_gb300*cf_chip+(1-cust_sh)*((1-Sens!$K$10055)*tk_he_gb300+Sens!$K$10055*tk_he_vr200)</f>
        <v>11.5559410033471</v>
      </c>
      <c r="L10056" s="36" t="n">
        <f aca="false">cust_sh*tk_he_gb300*cf_chip+(1-cust_sh)*((1-Sens!$L$10055)*tk_he_gb300+Sens!$L$10055*tk_he_vr200)</f>
        <v>11.5559410033471</v>
      </c>
      <c r="M10056" s="36" t="n">
        <f aca="false">cust_sh*tk_he_gb300*cf_chip+(1-cust_sh)*((1-Sens!$M$10055)*tk_he_gb300+Sens!$M$10055*tk_he_vr200)</f>
        <v>11.5559410033471</v>
      </c>
    </row>
    <row r="10057" customFormat="false" ht="17.15" hidden="false" customHeight="false" outlineLevel="0" collapsed="false">
      <c r="A10057" s="5" t="s">
        <v>604</v>
      </c>
      <c r="B10057" s="0" t="s">
        <v>173</v>
      </c>
      <c r="F10057" s="36" t="n">
        <f aca="false">cust_sh*tk_ox_gb300+(1-cust_sh)*((1-Sens!$F$10055)*tk_ox_gb300+Sens!$F$10055*tk_ox_vr200)</f>
        <v>1.98263481314457</v>
      </c>
      <c r="G10057" s="36" t="n">
        <f aca="false">cust_sh*tk_ox_gb300+(1-cust_sh)*((1-Sens!$G$10055)*tk_ox_gb300+Sens!$G$10055*tk_ox_vr200)</f>
        <v>1.98263481314457</v>
      </c>
      <c r="H10057" s="36" t="n">
        <f aca="false">cust_sh*tk_ox_gb300+(1-cust_sh)*((1-Sens!$H$10055)*tk_ox_gb300+Sens!$H$10055*tk_ox_vr200)</f>
        <v>2.01034999693694</v>
      </c>
      <c r="I10057" s="36" t="n">
        <f aca="false">cust_sh*tk_ox_gb300+(1-cust_sh)*((1-Sens!$I$10055)*tk_ox_gb300+Sens!$I$10055*tk_ox_vr200)</f>
        <v>2.0380651807293</v>
      </c>
      <c r="J10057" s="36" t="n">
        <f aca="false">cust_sh*tk_ox_gb300+(1-cust_sh)*((1-Sens!$J$10055)*tk_ox_gb300+Sens!$J$10055*tk_ox_vr200)</f>
        <v>2.0380651807293</v>
      </c>
      <c r="K10057" s="36" t="n">
        <f aca="false">cust_sh*tk_ox_gb300+(1-cust_sh)*((1-Sens!$K$10055)*tk_ox_gb300+Sens!$K$10055*tk_ox_vr200)</f>
        <v>2.0380651807293</v>
      </c>
      <c r="L10057" s="36" t="n">
        <f aca="false">cust_sh*tk_ox_gb300+(1-cust_sh)*((1-Sens!$L$10055)*tk_ox_gb300+Sens!$L$10055*tk_ox_vr200)</f>
        <v>2.0380651807293</v>
      </c>
      <c r="M10057" s="36" t="n">
        <f aca="false">cust_sh*tk_ox_gb300+(1-cust_sh)*((1-Sens!$M$10055)*tk_ox_gb300+Sens!$M$10055*tk_ox_vr200)</f>
        <v>2.0380651807293</v>
      </c>
    </row>
    <row r="10058" customFormat="false" ht="17.15" hidden="false" customHeight="false" outlineLevel="0" collapsed="false">
      <c r="A10058" s="5" t="s">
        <v>605</v>
      </c>
      <c r="B10058" s="0" t="s">
        <v>192</v>
      </c>
      <c r="F10058" s="36" t="n">
        <f aca="false">cust_sh*tk_cx_gb300*cf_cx+(1-cust_sh)*((1-Sens!$F$10055)*tk_cx_gb300+Sens!$F$10055*tk_cx_vr200)</f>
        <v>32.237224</v>
      </c>
      <c r="G10058" s="36" t="n">
        <f aca="false">cust_sh*tk_cx_gb300*cf_cx+(1-cust_sh)*((1-Sens!$G$10055)*tk_cx_gb300+Sens!$G$10055*tk_cx_vr200)</f>
        <v>32.237224</v>
      </c>
      <c r="H10058" s="36" t="n">
        <f aca="false">cust_sh*tk_cx_gb300*cf_cx+(1-cust_sh)*((1-Sens!$H$10055)*tk_cx_gb300+Sens!$H$10055*tk_cx_vr200)</f>
        <v>33.574506</v>
      </c>
      <c r="I10058" s="36" t="n">
        <f aca="false">cust_sh*tk_cx_gb300*cf_cx+(1-cust_sh)*((1-Sens!$I$10055)*tk_cx_gb300+Sens!$I$10055*tk_cx_vr200)</f>
        <v>34.911788</v>
      </c>
      <c r="J10058" s="36" t="n">
        <f aca="false">cust_sh*tk_cx_gb300*cf_cx+(1-cust_sh)*((1-Sens!$J$10055)*tk_cx_gb300+Sens!$J$10055*tk_cx_vr200)</f>
        <v>34.911788</v>
      </c>
      <c r="K10058" s="36" t="n">
        <f aca="false">cust_sh*tk_cx_gb300*cf_cx+(1-cust_sh)*((1-Sens!$K$10055)*tk_cx_gb300+Sens!$K$10055*tk_cx_vr200)</f>
        <v>34.911788</v>
      </c>
      <c r="L10058" s="36" t="n">
        <f aca="false">cust_sh*tk_cx_gb300*cf_cx+(1-cust_sh)*((1-Sens!$L$10055)*tk_cx_gb300+Sens!$L$10055*tk_cx_vr200)</f>
        <v>34.911788</v>
      </c>
      <c r="M10058" s="36" t="n">
        <f aca="false">cust_sh*tk_cx_gb300*cf_cx+(1-cust_sh)*((1-Sens!$M$10055)*tk_cx_gb300+Sens!$M$10055*tk_cx_vr200)</f>
        <v>34.911788</v>
      </c>
    </row>
    <row r="10059" customFormat="false" ht="17.15" hidden="false" customHeight="false" outlineLevel="0" collapsed="false">
      <c r="A10059" s="5" t="s">
        <v>606</v>
      </c>
      <c r="B10059" s="0" t="s">
        <v>129</v>
      </c>
      <c r="F10059" s="32" t="n">
        <f aca="false">Sens!$F$10049-mw_open</f>
        <v>1817.15</v>
      </c>
      <c r="G10059" s="32" t="n">
        <f aca="false">Sens!$F$10059</f>
        <v>1817.15</v>
      </c>
      <c r="H10059" s="32" t="n">
        <f aca="false">Sens!$H$10049-mw_open</f>
        <v>5451.45</v>
      </c>
      <c r="I10059" s="32" t="n">
        <f aca="false">Sens!$I$10049-mw_open</f>
        <v>9085.75</v>
      </c>
      <c r="J10059" s="32" t="n">
        <f aca="false">Sens!$J$10049-mw_open</f>
        <v>12720.05</v>
      </c>
      <c r="K10059" s="32" t="n">
        <f aca="false">Sens!$K$10049-mw_open</f>
        <v>15290.9171666667</v>
      </c>
      <c r="L10059" s="32" t="n">
        <f aca="false">Sens!$L$10049-mw_open</f>
        <v>16798.3515</v>
      </c>
      <c r="M10059" s="32" t="n">
        <f aca="false">Sens!$M$10049-mw_open</f>
        <v>17242.353</v>
      </c>
    </row>
    <row r="10060" customFormat="false" ht="17.15" hidden="false" customHeight="false" outlineLevel="0" collapsed="false">
      <c r="A10060" s="0" t="s">
        <v>607</v>
      </c>
      <c r="B10060" s="0" t="s">
        <v>608</v>
      </c>
      <c r="F10060" s="32" t="n">
        <f aca="false">Sens!$F$10052*Sens!$F$10056</f>
        <v>19782.2417524844</v>
      </c>
      <c r="G10060" s="32" t="n">
        <f aca="false">Sens!$F$10060</f>
        <v>19782.2417524844</v>
      </c>
      <c r="H10060" s="32" t="n">
        <f aca="false">Sens!$G$10060+Sens!$H$10052*Sens!$H$10056</f>
        <v>60563.3616992009</v>
      </c>
      <c r="I10060" s="32" t="n">
        <f aca="false">Sens!$H$10060+Sens!$I$10052*Sens!$I$10056</f>
        <v>102561.118087665</v>
      </c>
      <c r="J10060" s="32" t="n">
        <f aca="false">Sens!$I$10060+Sens!$J$10052*Sens!$J$10056</f>
        <v>144558.87447613</v>
      </c>
      <c r="K10060" s="32" t="n">
        <f aca="false">Sens!$J$10060+Sens!$K$10052*Sens!$K$10056</f>
        <v>174267.663781572</v>
      </c>
      <c r="L10060" s="32" t="n">
        <f aca="false">Sens!$K$10060+Sens!$L$10052*Sens!$L$10056</f>
        <v>191687.486003992</v>
      </c>
      <c r="M10060" s="32" t="n">
        <f aca="false">Sens!$L$10060+Sens!$M$10052*Sens!$M$10056</f>
        <v>196818.341143389</v>
      </c>
    </row>
    <row r="10061" customFormat="false" ht="17.15" hidden="false" customHeight="false" outlineLevel="0" collapsed="false">
      <c r="A10061" s="0" t="s">
        <v>609</v>
      </c>
      <c r="B10061" s="0" t="s">
        <v>608</v>
      </c>
      <c r="F10061" s="32" t="n">
        <f aca="false">Sens!$F$10052*Sens!$F$10057</f>
        <v>3602.74485070566</v>
      </c>
      <c r="G10061" s="32" t="n">
        <f aca="false">Sens!$F$10061</f>
        <v>3602.74485070566</v>
      </c>
      <c r="H10061" s="32" t="n">
        <f aca="false">Sens!$G$10061+Sens!$H$10052*Sens!$H$10057</f>
        <v>10908.9598445736</v>
      </c>
      <c r="I10061" s="32" t="n">
        <f aca="false">Sens!$H$10061+Sens!$I$10052*Sens!$I$10057</f>
        <v>18315.9001308981</v>
      </c>
      <c r="J10061" s="32" t="n">
        <f aca="false">Sens!$I$10061+Sens!$J$10052*Sens!$J$10057</f>
        <v>25722.8404172225</v>
      </c>
      <c r="K10061" s="32" t="n">
        <f aca="false">Sens!$J$10061+Sens!$K$10052*Sens!$K$10057</f>
        <v>30962.4352738861</v>
      </c>
      <c r="L10061" s="32" t="n">
        <f aca="false">Sens!$K$10061+Sens!$L$10052*Sens!$L$10057</f>
        <v>34034.6847008886</v>
      </c>
      <c r="M10061" s="32" t="n">
        <f aca="false">Sens!$L$10061+Sens!$M$10052*Sens!$M$10057</f>
        <v>34939.5886982302</v>
      </c>
    </row>
    <row r="10062" customFormat="false" ht="17.15" hidden="false" customHeight="false" outlineLevel="0" collapsed="false">
      <c r="A10062" s="5" t="s">
        <v>610</v>
      </c>
      <c r="B10062" s="0" t="s">
        <v>173</v>
      </c>
      <c r="F10062" s="36" t="n">
        <f aca="false">IF(Sens!$F$10059&gt;0,Sens!$F$10060/Sens!$F$10059,Sens!$F$10056)</f>
        <v>10.8864110021101</v>
      </c>
      <c r="G10062" s="36" t="n">
        <f aca="false">IF(Sens!$G$10059&gt;0,Sens!$G$10060/Sens!$G$10059,Sens!$G$10056)</f>
        <v>10.8864110021101</v>
      </c>
      <c r="H10062" s="36" t="n">
        <f aca="false">IF(Sens!$H$10059&gt;0,Sens!$H$10060/Sens!$H$10059,Sens!$H$10056)</f>
        <v>11.1095876691891</v>
      </c>
      <c r="I10062" s="36" t="n">
        <f aca="false">IF(Sens!$I$10059&gt;0,Sens!$I$10060/Sens!$I$10059,Sens!$I$10056)</f>
        <v>11.2881290028523</v>
      </c>
      <c r="J10062" s="36" t="n">
        <f aca="false">IF(Sens!$J$10059&gt;0,Sens!$J$10060/Sens!$J$10059,Sens!$J$10056)</f>
        <v>11.3646467172794</v>
      </c>
      <c r="K10062" s="36" t="n">
        <f aca="false">IF(Sens!$K$10059&gt;0,Sens!$K$10060/Sens!$K$10059,Sens!$K$10056)</f>
        <v>11.3968090914432</v>
      </c>
      <c r="L10062" s="36" t="n">
        <f aca="false">IF(Sens!$L$10059&gt;0,Sens!$L$10060/Sens!$L$10059,Sens!$L$10056)</f>
        <v>11.4110891181192</v>
      </c>
      <c r="M10062" s="36" t="n">
        <f aca="false">IF(Sens!$M$10059&gt;0,Sens!$M$10060/Sens!$M$10059,Sens!$M$10056)</f>
        <v>11.4148191458201</v>
      </c>
    </row>
    <row r="10063" customFormat="false" ht="17.15" hidden="false" customHeight="false" outlineLevel="0" collapsed="false">
      <c r="A10063" s="5" t="s">
        <v>611</v>
      </c>
      <c r="B10063" s="0" t="s">
        <v>173</v>
      </c>
      <c r="F10063" s="36" t="n">
        <f aca="false">IF(Sens!$F$10059&gt;0,Sens!$F$10061/Sens!$F$10059,Sens!$F$10057)</f>
        <v>1.98263481314457</v>
      </c>
      <c r="G10063" s="36" t="n">
        <f aca="false">IF(Sens!$G$10059&gt;0,Sens!$G$10061/Sens!$G$10059,Sens!$G$10057)</f>
        <v>1.98263481314457</v>
      </c>
      <c r="H10063" s="36" t="n">
        <f aca="false">IF(Sens!$H$10059&gt;0,Sens!$H$10061/Sens!$H$10059,Sens!$H$10057)</f>
        <v>2.00111160233948</v>
      </c>
      <c r="I10063" s="36" t="n">
        <f aca="false">IF(Sens!$I$10059&gt;0,Sens!$I$10061/Sens!$I$10059,Sens!$I$10057)</f>
        <v>2.01589303369541</v>
      </c>
      <c r="J10063" s="36" t="n">
        <f aca="false">IF(Sens!$J$10059&gt;0,Sens!$J$10061/Sens!$J$10059,Sens!$J$10057)</f>
        <v>2.02222793284795</v>
      </c>
      <c r="K10063" s="36" t="n">
        <f aca="false">IF(Sens!$K$10059&gt;0,Sens!$K$10061/Sens!$K$10059,Sens!$K$10057)</f>
        <v>2.02489065478573</v>
      </c>
      <c r="L10063" s="36" t="n">
        <f aca="false">IF(Sens!$L$10059&gt;0,Sens!$L$10061/Sens!$L$10059,Sens!$L$10057)</f>
        <v>2.0260728977417</v>
      </c>
      <c r="M10063" s="36" t="n">
        <f aca="false">IF(Sens!$M$10059&gt;0,Sens!$M$10061/Sens!$M$10059,Sens!$M$10057)</f>
        <v>2.02638170661685</v>
      </c>
    </row>
    <row r="10064" customFormat="false" ht="17.15" hidden="false" customHeight="false" outlineLevel="0" collapsed="false">
      <c r="A10064" s="15" t="s">
        <v>612</v>
      </c>
      <c r="B10064" s="14" t="s">
        <v>173</v>
      </c>
      <c r="C10064" s="14"/>
      <c r="D10064" s="14"/>
      <c r="E10064" s="14"/>
      <c r="F10064" s="37" t="n">
        <f aca="false">Sens!$F$10062*k_B</f>
        <v>10.7987645808025</v>
      </c>
      <c r="G10064" s="37" t="n">
        <f aca="false">Sens!$G$10062*k_B</f>
        <v>10.7987645808025</v>
      </c>
      <c r="H10064" s="37" t="n">
        <f aca="false">Sens!$H$10062*k_B</f>
        <v>11.0201444540452</v>
      </c>
      <c r="I10064" s="37" t="n">
        <f aca="false">Sens!$I$10062*k_B</f>
        <v>11.1972483526393</v>
      </c>
      <c r="J10064" s="37" t="n">
        <f aca="false">Sens!$J$10062*k_B</f>
        <v>11.2731500234653</v>
      </c>
      <c r="K10064" s="37" t="n">
        <f aca="false">Sens!$K$10062*k_B</f>
        <v>11.3050534585724</v>
      </c>
      <c r="L10064" s="37" t="n">
        <f aca="false">Sens!$L$10062*k_B</f>
        <v>11.3192185168503</v>
      </c>
      <c r="M10064" s="37" t="n">
        <f aca="false">Sens!$M$10062*k_B</f>
        <v>11.3229185141234</v>
      </c>
      <c r="N10064" s="14"/>
      <c r="O10064" s="14"/>
      <c r="P10064" s="5" t="s">
        <v>613</v>
      </c>
    </row>
    <row r="10065" customFormat="false" ht="17.15" hidden="false" customHeight="false" outlineLevel="0" collapsed="false">
      <c r="A10065" s="5" t="s">
        <v>614</v>
      </c>
      <c r="B10065" s="0" t="s">
        <v>129</v>
      </c>
      <c r="F10065" s="32" t="n">
        <f aca="false">Sens!$F$10059/2</f>
        <v>908.575</v>
      </c>
      <c r="H10065" s="32" t="n">
        <f aca="false">(Sens!$G$10059+Sens!$H$10059)/2</f>
        <v>3634.3</v>
      </c>
      <c r="I10065" s="32" t="n">
        <f aca="false">(Sens!$H$10059+Sens!$I$10059)/2</f>
        <v>7268.6</v>
      </c>
      <c r="J10065" s="32" t="n">
        <f aca="false">(Sens!$I$10059+Sens!$J$10059)/2</f>
        <v>10902.9</v>
      </c>
      <c r="K10065" s="32" t="n">
        <f aca="false">(Sens!$J$10059+Sens!$K$10059)/2</f>
        <v>14005.4835833333</v>
      </c>
      <c r="L10065" s="32" t="n">
        <f aca="false">(Sens!$K$10059+Sens!$L$10059)/2</f>
        <v>16044.6343333333</v>
      </c>
      <c r="M10065" s="32" t="n">
        <f aca="false">(Sens!$L$10059+Sens!$M$10059)/2</f>
        <v>17020.35225</v>
      </c>
    </row>
    <row r="10066" customFormat="false" ht="17.15" hidden="false" customHeight="false" outlineLevel="0" collapsed="false">
      <c r="A10066" s="1" t="s">
        <v>615</v>
      </c>
    </row>
    <row r="10067" customFormat="false" ht="17.15" hidden="false" customHeight="false" outlineLevel="0" collapsed="false">
      <c r="A10067" s="1" t="s">
        <v>616</v>
      </c>
      <c r="B10067" s="8" t="s">
        <v>86</v>
      </c>
      <c r="C10067" s="38" t="n">
        <f aca="false">Sens!$C$10050*rpm_open*Sens!$C$10051/1000</f>
        <v>2.32100535697364</v>
      </c>
      <c r="D10067" s="38" t="n">
        <f aca="false">Sens!$D$10050*rpm_open*Sens!$D$10051/1000</f>
        <v>8.70377008865116</v>
      </c>
      <c r="E10067" s="38" t="n">
        <f aca="false">Sens!$E$10050*rpm_open*Sens!$E$10051/1000</f>
        <v>8.51035297557002</v>
      </c>
      <c r="F10067" s="38" t="n">
        <f aca="false">(mw_open*rpm_open+Sens!$F$10065*Sens!$F$10064)*Sens!$F$10051/1000</f>
        <v>14.9634336447205</v>
      </c>
      <c r="G10067" s="38" t="n">
        <f aca="false">Sens!$E$10067+Sens!$F$10067</f>
        <v>23.4737866202905</v>
      </c>
      <c r="H10067" s="38" t="n">
        <f aca="false">(mw_open*rpm_open+Sens!$H$10065*Sens!$H$10064)/1000</f>
        <v>60.1658907497746</v>
      </c>
      <c r="I10067" s="38" t="n">
        <f aca="false">(mw_open*rpm_open+Sens!$I$10065*Sens!$I$10064)/1000</f>
        <v>101.503699136432</v>
      </c>
      <c r="J10067" s="38" t="n">
        <f aca="false">(mw_open*rpm_open+Sens!$J$10065*Sens!$J$10064)/1000</f>
        <v>143.025407151278</v>
      </c>
      <c r="K10067" s="38" t="n">
        <f aca="false">(mw_open*rpm_open+Sens!$K$10065*Sens!$K$10064)/1000</f>
        <v>178.44812038318</v>
      </c>
      <c r="L10067" s="38" t="n">
        <f aca="false">(mw_open*rpm_open+Sens!$L$10065*Sens!$L$10064)/1000</f>
        <v>201.728101802396</v>
      </c>
      <c r="M10067" s="38" t="n">
        <f aca="false">(mw_open*rpm_open+Sens!$M$10065*Sens!$M$10064)/1000</f>
        <v>212.835441368865</v>
      </c>
      <c r="N10067" s="38" t="n">
        <f aca="false">Sens!$N$10050*rpm_open*Sens!$N$10051/1000</f>
        <v>3.04631953102791</v>
      </c>
      <c r="O10067" s="38" t="n">
        <f aca="false">Sens!$O$10050*rpm_open*Sens!$O$10051/1000</f>
        <v>5.65745055762326</v>
      </c>
      <c r="P10067" s="5" t="s">
        <v>617</v>
      </c>
    </row>
    <row r="10068" customFormat="false" ht="17.15" hidden="false" customHeight="false" outlineLevel="0" collapsed="false">
      <c r="A10068" s="5" t="s">
        <v>618</v>
      </c>
      <c r="B10068" s="0" t="s">
        <v>173</v>
      </c>
      <c r="C10068" s="36" t="n">
        <f aca="false">Sens!$C$10067*1000/(Sens!$C$10050*Sens!$C$10051)</f>
        <v>9.67085565405685</v>
      </c>
      <c r="D10068" s="36" t="n">
        <f aca="false">Sens!$D$10067*1000/(Sens!$D$10050*Sens!$D$10051)</f>
        <v>9.67085565405685</v>
      </c>
      <c r="E10068" s="36" t="n">
        <f aca="false">Sens!$E$10067*1000/(Sens!$E$10050*Sens!$E$10051)</f>
        <v>9.67085565405685</v>
      </c>
      <c r="F10068" s="36" t="n">
        <f aca="false">Sens!$F$10067*1000/(Sens!$F$10050*Sens!$F$10051)</f>
        <v>10.0137581588017</v>
      </c>
      <c r="G10068" s="36" t="n">
        <f aca="false">Sens!$G$10067*1000/(Sens!$G$10050*Sens!$G$10051)</f>
        <v>9.88666562928478</v>
      </c>
      <c r="H10068" s="36" t="n">
        <f aca="false">Sens!$H$10067*1000/(Sens!$H$10050*Sens!$H$10051)</f>
        <v>10.5290045586992</v>
      </c>
      <c r="I10068" s="36" t="n">
        <f aca="false">Sens!$I$10067*1000/(Sens!$I$10050*Sens!$I$10051)</f>
        <v>10.8576363451674</v>
      </c>
      <c r="J10068" s="36" t="n">
        <f aca="false">Sens!$J$10067*1000/(Sens!$J$10050*Sens!$J$10051)</f>
        <v>11.0164452588619</v>
      </c>
      <c r="K10068" s="36" t="n">
        <f aca="false">Sens!$K$10067*1000/(Sens!$K$10050*Sens!$K$10051)</f>
        <v>11.0937367508227</v>
      </c>
      <c r="L10068" s="36" t="n">
        <f aca="false">Sens!$L$10067*1000/(Sens!$L$10050*Sens!$L$10051)</f>
        <v>11.1300508519168</v>
      </c>
      <c r="M10068" s="36" t="n">
        <f aca="false">Sens!$M$10067*1000/(Sens!$M$10050*Sens!$M$10051)</f>
        <v>11.1430113216297</v>
      </c>
      <c r="N10068" s="36" t="n">
        <f aca="false">Sens!$N$10067*1000/(Sens!$N$10050*Sens!$N$10051)</f>
        <v>9.67085565405685</v>
      </c>
      <c r="O10068" s="36" t="n">
        <f aca="false">Sens!$O$10067*1000/(Sens!$O$10050*Sens!$O$10051)</f>
        <v>9.67085565405685</v>
      </c>
    </row>
    <row r="10069" customFormat="false" ht="17.15" hidden="false" customHeight="false" outlineLevel="0" collapsed="false">
      <c r="A10069" s="0" t="s">
        <v>619</v>
      </c>
      <c r="B10069" s="0" t="s">
        <v>86</v>
      </c>
      <c r="C10069" s="38" t="n">
        <f aca="false">Sens!$C$10050/ext_sh*(ox_open+rent_mw)*Sens!$C$10051/1000</f>
        <v>0.642569210675032</v>
      </c>
      <c r="D10069" s="38" t="n">
        <f aca="false">Sens!$D$10050/ext_sh*(ox_open+rent_mw)*Sens!$D$10051/1000</f>
        <v>2.40963454003137</v>
      </c>
      <c r="E10069" s="38" t="n">
        <f aca="false">Sens!$E$10050/ext_sh*(ox_open+rent_mw)*Sens!$E$10051/1000</f>
        <v>2.35608710580845</v>
      </c>
      <c r="F10069" s="38" t="n">
        <f aca="false">((mw_open*ox_open+Sens!$F$10065*Sens!$F$10063)/ext_sh+Sens!$F$10050/ext_sh*rent_mw)*Sens!$F$10051/1000</f>
        <v>4.05421991106232</v>
      </c>
      <c r="G10069" s="38" t="n">
        <f aca="false">Sens!$E$10069+Sens!$F$10069</f>
        <v>6.41030701687077</v>
      </c>
      <c r="H10069" s="38" t="n">
        <f aca="false">((mw_open*ox_open+Sens!$H$10065*Sens!$H$10063)/ext_sh+Sens!$H$10050/ext_sh*rent_mw)*Sens!$H$10051/1000</f>
        <v>15.8108975546616</v>
      </c>
      <c r="I10069" s="38" t="n">
        <f aca="false">((mw_open*ox_open+Sens!$I$10065*Sens!$I$10063)/ext_sh+Sens!$I$10050/ext_sh*rent_mw)*Sens!$I$10051/1000</f>
        <v>26.1871623400817</v>
      </c>
      <c r="J10069" s="38" t="n">
        <f aca="false">((mw_open*ox_open+Sens!$J$10065*Sens!$J$10063)/ext_sh+Sens!$J$10050/ext_sh*rent_mw)*Sens!$J$10051/1000</f>
        <v>36.5826128954935</v>
      </c>
      <c r="K10069" s="38" t="n">
        <f aca="false">((mw_open*ox_open+Sens!$K$10065*Sens!$K$10063)/ext_sh+Sens!$K$10050/ext_sh*rent_mw)*Sens!$K$10051/1000</f>
        <v>45.4546361137628</v>
      </c>
      <c r="L10069" s="38" t="n">
        <f aca="false">((mw_open*ox_open+Sens!$L$10065*Sens!$L$10063)/ext_sh+Sens!$L$10050/ext_sh*rent_mw)*Sens!$L$10051/1000</f>
        <v>51.2855695554452</v>
      </c>
      <c r="M10069" s="38" t="n">
        <f aca="false">((mw_open*ox_open+Sens!$M$10065*Sens!$M$10063)/ext_sh+Sens!$M$10050/ext_sh*rent_mw)*Sens!$M$10051/1000</f>
        <v>54.0722927838398</v>
      </c>
      <c r="N10069" s="38" t="n">
        <f aca="false">Sens!$N$10050/ext_sh*(ox_open+rent_mw)*Sens!$N$10051/1000</f>
        <v>0.84337208901098</v>
      </c>
      <c r="O10069" s="38" t="n">
        <f aca="false">Sens!$O$10050/ext_sh*(ox_open+rent_mw)*Sens!$O$10051/1000</f>
        <v>1.56626245102039</v>
      </c>
    </row>
    <row r="10070" customFormat="false" ht="17.15" hidden="false" customHeight="false" outlineLevel="0" collapsed="false">
      <c r="A10070" s="0" t="s">
        <v>620</v>
      </c>
      <c r="B10070" s="0" t="s">
        <v>86</v>
      </c>
      <c r="C10070" s="38" t="n">
        <f aca="false">Q!$D$7</f>
        <v>107.556</v>
      </c>
      <c r="D10070" s="38" t="n">
        <f aca="false">Q!$E$7</f>
        <v>128.725</v>
      </c>
      <c r="E10070" s="38" t="n">
        <f aca="false">Q!$P$7</f>
        <v>79.819</v>
      </c>
      <c r="N10070" s="38" t="n">
        <f aca="false">Q!$N$7</f>
        <v>60.14</v>
      </c>
      <c r="O10070" s="38" t="n">
        <f aca="false">Q!$O$7</f>
        <v>68.585</v>
      </c>
    </row>
    <row r="10071" customFormat="false" ht="17.15" hidden="false" customHeight="false" outlineLevel="0" collapsed="false">
      <c r="A10071" s="1" t="s">
        <v>621</v>
      </c>
      <c r="B10071" s="8" t="s">
        <v>86</v>
      </c>
      <c r="C10071" s="38" t="n">
        <f aca="false">Sens!$C$10070-Sens!$C$10067</f>
        <v>105.234994643026</v>
      </c>
      <c r="D10071" s="38" t="n">
        <f aca="false">Sens!$D$10070-Sens!$D$10067</f>
        <v>120.021229911349</v>
      </c>
      <c r="E10071" s="38" t="n">
        <f aca="false">Sens!$E$10070-Sens!$E$10067</f>
        <v>71.30864702443</v>
      </c>
      <c r="F10071" s="38" t="n">
        <f aca="false">Sens!$O$10071*(1+Sens!$F$10072)</f>
        <v>71.7692997942464</v>
      </c>
      <c r="G10071" s="38" t="n">
        <f aca="false">Sens!$E$10071+Sens!$F$10071</f>
        <v>143.077946818676</v>
      </c>
      <c r="H10071" s="38" t="n">
        <f aca="false">Sens!$G$10071*(1+Sens!$H$10072)</f>
        <v>161.017077079203</v>
      </c>
      <c r="I10071" s="38" t="n">
        <f aca="false">Sens!$H$10071*(1+Sens!$I$10072)</f>
        <v>178.769759521457</v>
      </c>
      <c r="J10071" s="38" t="n">
        <f aca="false">Sens!$I$10071*(1+Sens!$J$10072)</f>
        <v>195.775538045907</v>
      </c>
      <c r="K10071" s="38" t="n">
        <f aca="false">Sens!$J$10071*(1+Sens!$K$10072)</f>
        <v>211.43758108958</v>
      </c>
      <c r="L10071" s="38" t="n">
        <f aca="false">Sens!$K$10071*(1+Sens!$L$10072)</f>
        <v>228.352587576746</v>
      </c>
      <c r="M10071" s="38" t="n">
        <f aca="false">Sens!$L$10071*(1+Sens!$M$10072)</f>
        <v>246.620794582886</v>
      </c>
      <c r="N10071" s="38" t="n">
        <f aca="false">Sens!$N$10070-Sens!$N$10067</f>
        <v>57.0936804689721</v>
      </c>
      <c r="O10071" s="38" t="n">
        <f aca="false">Sens!$O$10070-Sens!$O$10067</f>
        <v>62.9275494423768</v>
      </c>
      <c r="P10071" s="5" t="s">
        <v>622</v>
      </c>
    </row>
    <row r="10072" customFormat="false" ht="17.15" hidden="false" customHeight="false" outlineLevel="0" collapsed="false">
      <c r="A10072" s="0" t="s">
        <v>623</v>
      </c>
      <c r="B10072" s="0" t="s">
        <v>52</v>
      </c>
      <c r="D10072" s="13" t="n">
        <f aca="false">Sens!$D$10071/Sens!$C$10071-1</f>
        <v>0.140506827776062</v>
      </c>
      <c r="E10072" s="13" t="n">
        <f aca="false">Sens!$E$10071/Sens!$N$10071-1</f>
        <v>0.248976181579029</v>
      </c>
      <c r="F10072" s="13" t="n">
        <f aca="false">Sens!$D$10072</f>
        <v>0.140506827776062</v>
      </c>
      <c r="G10072" s="13" t="n">
        <f aca="false">Sens!$G$10071/Sens!$D$10071-1</f>
        <v>0.19210532106993</v>
      </c>
      <c r="H10072" s="13" t="n">
        <f aca="false">Sens!$F$10072+(g_awso_lt-Sens!$F$10072)*1/4</f>
        <v>0.125380120832046</v>
      </c>
      <c r="I10072" s="13" t="n">
        <f aca="false">Sens!$F$10072+(g_awso_lt-Sens!$F$10072)*2/4</f>
        <v>0.110253413888031</v>
      </c>
      <c r="J10072" s="13" t="n">
        <f aca="false">Sens!$F$10072+(g_awso_lt-Sens!$F$10072)*3/4</f>
        <v>0.0951267069440154</v>
      </c>
      <c r="K10072" s="13" t="n">
        <f aca="false">Sens!$F$10072+(g_awso_lt-Sens!$F$10072)*4/4</f>
        <v>0.08</v>
      </c>
      <c r="L10072" s="13" t="n">
        <f aca="false">g_awso_lt</f>
        <v>0.08</v>
      </c>
      <c r="M10072" s="13" t="n">
        <f aca="false">g_awso_lt</f>
        <v>0.08</v>
      </c>
      <c r="P10072" s="5" t="s">
        <v>624</v>
      </c>
    </row>
    <row r="10073" customFormat="false" ht="17.15" hidden="false" customHeight="false" outlineLevel="0" collapsed="false">
      <c r="A10073" s="1" t="s">
        <v>625</v>
      </c>
    </row>
    <row r="10074" customFormat="false" ht="17.15" hidden="false" customHeight="false" outlineLevel="0" collapsed="false">
      <c r="A10074" s="0" t="s">
        <v>626</v>
      </c>
      <c r="B10074" s="0" t="s">
        <v>86</v>
      </c>
      <c r="F10074" s="38" t="n">
        <f aca="false">cx_rt*Sens!$F$10039+cx_awso*Sens!$F$10071</f>
        <v>34.9734495387866</v>
      </c>
    </row>
    <row r="10075" customFormat="false" ht="17.15" hidden="false" customHeight="false" outlineLevel="0" collapsed="false">
      <c r="A10075" s="0" t="s">
        <v>627</v>
      </c>
      <c r="B10075" s="0" t="s">
        <v>52</v>
      </c>
      <c r="C10075" s="13" t="n">
        <f aca="false">tk_cx_h100/(tk_cx_h100+tk_fac*(1-colo_sh))</f>
        <v>0.730756458006641</v>
      </c>
      <c r="D10075" s="13" t="n">
        <f aca="false">tk_cx_h100/(tk_cx_h100+tk_fac*(1-colo_sh))</f>
        <v>0.730756458006641</v>
      </c>
      <c r="E10075" s="13" t="n">
        <f aca="false">Sens!$F$10075</f>
        <v>0.760792334328868</v>
      </c>
      <c r="F10075" s="13" t="n">
        <f aca="false">Sens!$F$10058/(Sens!$F$10058+tk_fac*(1-colo_sh))</f>
        <v>0.760792334328868</v>
      </c>
      <c r="G10075" s="13" t="n">
        <f aca="false">Sens!$G$10058/(Sens!$G$10058+tk_fac*(1-colo_sh))</f>
        <v>0.760792334328868</v>
      </c>
      <c r="H10075" s="13" t="n">
        <f aca="false">Sens!$H$10058/(Sens!$H$10058+tk_fac*(1-colo_sh))</f>
        <v>0.768110668862996</v>
      </c>
      <c r="I10075" s="13" t="n">
        <f aca="false">Sens!$I$10058/(Sens!$I$10058+tk_fac*(1-colo_sh))</f>
        <v>0.77499450139483</v>
      </c>
      <c r="J10075" s="13" t="n">
        <f aca="false">Sens!$J$10058/(Sens!$J$10058+tk_fac*(1-colo_sh))</f>
        <v>0.77499450139483</v>
      </c>
      <c r="K10075" s="13" t="n">
        <f aca="false">Sens!$K$10058/(Sens!$K$10058+tk_fac*(1-colo_sh))</f>
        <v>0.77499450139483</v>
      </c>
      <c r="L10075" s="13" t="n">
        <f aca="false">Sens!$L$10058/(Sens!$L$10058+tk_fac*(1-colo_sh))</f>
        <v>0.77499450139483</v>
      </c>
      <c r="M10075" s="13" t="n">
        <f aca="false">Sens!$M$10058/(Sens!$M$10058+tk_fac*(1-colo_sh))</f>
        <v>0.77499450139483</v>
      </c>
    </row>
    <row r="10076" customFormat="false" ht="17.15" hidden="false" customHeight="false" outlineLevel="0" collapsed="false">
      <c r="A10076" s="1" t="s">
        <v>628</v>
      </c>
      <c r="B10076" s="8" t="s">
        <v>86</v>
      </c>
      <c r="C10076" s="38" t="n">
        <f aca="false">Q!$D$46-cx_rt*Q!$D$16-cx_awso*Sens!$C$10071</f>
        <v>25.2781053077374</v>
      </c>
      <c r="D10076" s="38" t="n">
        <f aca="false">Q!$E$46-cx_rt*Q!$E$16-cx_awso*Sens!$D$10071</f>
        <v>69.5686316310026</v>
      </c>
      <c r="E10076" s="38" t="n">
        <f aca="false">Q!$P$46-cx_rt*Q!$P$16-cx_awso*Sens!$E$10071</f>
        <v>64.1899206485108</v>
      </c>
      <c r="F10076" s="38" t="n">
        <f aca="false">MAX(Sens!$F$10053*(Sens!$F$10058+tk_fac*(1-colo_sh))/1000,capex_g26-Q!$P$46-Sens!$F$10074)</f>
        <v>96.2481299895</v>
      </c>
      <c r="G10076" s="38" t="n">
        <f aca="false">Sens!$E$10076+Sens!$F$10076</f>
        <v>160.438050638011</v>
      </c>
      <c r="H10076" s="38" t="n">
        <f aca="false">Sens!$H$10053*(Sens!$H$10058+tk_fac*(1-colo_sh))/1000+Sens!$H$10077</f>
        <v>198.57136494475</v>
      </c>
      <c r="I10076" s="38" t="n">
        <f aca="false">Sens!$I$10053*(Sens!$I$10058+tk_fac*(1-colo_sh))/1000+Sens!$I$10077</f>
        <v>204.6464699105</v>
      </c>
      <c r="J10076" s="38" t="n">
        <f aca="false">Sens!$J$10053*(Sens!$J$10058+tk_fac*(1-colo_sh))/1000+Sens!$J$10077</f>
        <v>209.8832381105</v>
      </c>
      <c r="K10076" s="38" t="n">
        <f aca="false">Sens!$K$10053*(Sens!$K$10058+tk_fac*(1-colo_sh))/1000+Sens!$K$10077</f>
        <v>155.238385275201</v>
      </c>
      <c r="L10076" s="38" t="n">
        <f aca="false">Sens!$L$10053*(Sens!$L$10058+tk_fac*(1-colo_sh))/1000+Sens!$L$10077</f>
        <v>132.014141639902</v>
      </c>
      <c r="M10076" s="38" t="n">
        <f aca="false">Sens!$M$10053*(Sens!$M$10058+tk_fac*(1-colo_sh))/1000+Sens!$M$10077</f>
        <v>132.230981659852</v>
      </c>
      <c r="P10076" s="5" t="s">
        <v>629</v>
      </c>
      <c r="R10076" s="38" t="n">
        <f aca="false">Q!$C$46-cx_rt*Q!$C$16-cx_awso*(Q!$C$7-mw_ye23/2*rpm_open/1000)</f>
        <v>1.50429979529945</v>
      </c>
      <c r="S10076" s="38" t="n">
        <f aca="false">Sens!$C$10076</f>
        <v>25.2781053077374</v>
      </c>
      <c r="T10076" s="38" t="n">
        <f aca="false">Sens!$D$10076</f>
        <v>69.5686316310026</v>
      </c>
      <c r="U10076" s="38" t="n">
        <f aca="false">Sens!$G$10076</f>
        <v>160.438050638011</v>
      </c>
      <c r="V10076" s="38" t="n">
        <f aca="false">Sens!$H$10076</f>
        <v>198.57136494475</v>
      </c>
      <c r="W10076" s="38" t="n">
        <f aca="false">Sens!$I$10076</f>
        <v>204.6464699105</v>
      </c>
      <c r="X10076" s="38" t="n">
        <f aca="false">Sens!$J$10076</f>
        <v>209.8832381105</v>
      </c>
      <c r="Y10076" s="38" t="n">
        <f aca="false">Sens!$K$10076</f>
        <v>155.238385275201</v>
      </c>
      <c r="Z10076" s="38" t="n">
        <f aca="false">Sens!$L$10076</f>
        <v>132.014141639902</v>
      </c>
      <c r="AA10076" s="38" t="n">
        <f aca="false">Sens!$M$10076</f>
        <v>132.230981659852</v>
      </c>
    </row>
    <row r="10077" customFormat="false" ht="17.15" hidden="false" customHeight="false" outlineLevel="0" collapsed="false">
      <c r="A10077" s="0" t="s">
        <v>630</v>
      </c>
      <c r="B10077" s="0" t="s">
        <v>86</v>
      </c>
      <c r="H10077" s="38" t="n">
        <f aca="false">SUMPRODUCT(--(Sens!$R$10046:$AA$10046=2027-tk_life),Sens!$R$10053:$AA$10053)*Sens!$H$10058/1000</f>
        <v>0</v>
      </c>
      <c r="I10077" s="38" t="n">
        <f aca="false">SUMPRODUCT(--(Sens!$R$10046:$AA$10046=2028-tk_life),Sens!$R$10053:$AA$10053)*Sens!$I$10058/1000</f>
        <v>0</v>
      </c>
      <c r="J10077" s="38" t="n">
        <f aca="false">SUMPRODUCT(--(Sens!$R$10046:$AA$10046=2029-tk_life),Sens!$R$10053:$AA$10053)*Sens!$J$10058/1000</f>
        <v>5.2367682</v>
      </c>
      <c r="K10077" s="38" t="n">
        <f aca="false">SUMPRODUCT(--(Sens!$R$10046:$AA$10046=2030-tk_life),Sens!$R$10053:$AA$10053)*Sens!$K$10058/1000</f>
        <v>10.4735364</v>
      </c>
      <c r="L10077" s="38" t="n">
        <f aca="false">SUMPRODUCT(--(Sens!$R$10046:$AA$10046=2031-tk_life),Sens!$R$10053:$AA$10053)*Sens!$L$10058/1000</f>
        <v>47.1309138</v>
      </c>
      <c r="M10077" s="38" t="n">
        <f aca="false">SUMPRODUCT(--(Sens!$R$10046:$AA$10046=2032-tk_life),Sens!$R$10053:$AA$10053)*Sens!$M$10058/1000</f>
        <v>107.22937485525</v>
      </c>
    </row>
    <row r="10078" customFormat="false" ht="17.15" hidden="false" customHeight="false" outlineLevel="0" collapsed="false">
      <c r="A10078" s="0" t="s">
        <v>631</v>
      </c>
      <c r="B10078" s="0" t="s">
        <v>86</v>
      </c>
      <c r="C10078" s="38" t="n">
        <f aca="false">MIN(Sens!$C$10076,Sens!$C$10053*(tk_cx_h100+tk_fac*(1-colo_sh))/1000)</f>
        <v>11.2938642</v>
      </c>
      <c r="D10078" s="38" t="n">
        <f aca="false">MIN(Sens!$D$10076,Sens!$D$10053*(tk_cx_h100+tk_fac*(1-colo_sh))/1000)</f>
        <v>50.8223889</v>
      </c>
      <c r="E10078" s="38" t="n">
        <f aca="false">MIN(Sens!$E$10076,Sens!$E$10053*(Sens!$F$10058+tk_fac*(1-colo_sh))/1000)</f>
        <v>33.8985792</v>
      </c>
      <c r="F10078" s="38" t="n">
        <f aca="false">Sens!$F$10076</f>
        <v>96.2481299895</v>
      </c>
      <c r="G10078" s="38" t="n">
        <f aca="false">Sens!$E$10078+Sens!$F$10078</f>
        <v>130.1467091895</v>
      </c>
      <c r="H10078" s="38" t="n">
        <f aca="false">Sens!$H$10076</f>
        <v>198.57136494475</v>
      </c>
      <c r="I10078" s="38" t="n">
        <f aca="false">Sens!$I$10076</f>
        <v>204.6464699105</v>
      </c>
      <c r="J10078" s="38" t="n">
        <f aca="false">Sens!$J$10076</f>
        <v>209.8832381105</v>
      </c>
      <c r="K10078" s="38" t="n">
        <f aca="false">Sens!$K$10076</f>
        <v>155.238385275201</v>
      </c>
      <c r="L10078" s="38" t="n">
        <f aca="false">Sens!$L$10076</f>
        <v>132.014141639902</v>
      </c>
      <c r="M10078" s="38" t="n">
        <f aca="false">Sens!$M$10076</f>
        <v>132.230981659852</v>
      </c>
      <c r="P10078" s="5" t="s">
        <v>632</v>
      </c>
      <c r="R10078" s="38" t="n">
        <f aca="false">MIN(Sens!$R$10076,Sens!$R$10053*(tk_cx_h100+tk_fac*(1-colo_sh))/1000)</f>
        <v>1.50429979529945</v>
      </c>
      <c r="S10078" s="38" t="n">
        <f aca="false">Sens!$C$10078</f>
        <v>11.2938642</v>
      </c>
      <c r="T10078" s="38" t="n">
        <f aca="false">Sens!$D$10078</f>
        <v>50.8223889</v>
      </c>
      <c r="U10078" s="38" t="n">
        <f aca="false">Sens!$G$10078</f>
        <v>130.1467091895</v>
      </c>
      <c r="V10078" s="38" t="n">
        <f aca="false">Sens!$H$10078</f>
        <v>198.57136494475</v>
      </c>
      <c r="W10078" s="38" t="n">
        <f aca="false">Sens!$I$10078</f>
        <v>204.6464699105</v>
      </c>
      <c r="X10078" s="38" t="n">
        <f aca="false">Sens!$J$10078</f>
        <v>209.8832381105</v>
      </c>
      <c r="Y10078" s="38" t="n">
        <f aca="false">Sens!$K$10078</f>
        <v>155.238385275201</v>
      </c>
      <c r="Z10078" s="38" t="n">
        <f aca="false">Sens!$L$10078</f>
        <v>132.014141639902</v>
      </c>
      <c r="AA10078" s="38" t="n">
        <f aca="false">Sens!$M$10078</f>
        <v>132.230981659852</v>
      </c>
    </row>
    <row r="10079" customFormat="false" ht="17.15" hidden="false" customHeight="false" outlineLevel="0" collapsed="false">
      <c r="A10079" s="5" t="s">
        <v>633</v>
      </c>
      <c r="B10079" s="0" t="s">
        <v>86</v>
      </c>
      <c r="C10079" s="38" t="n">
        <f aca="false">Sens!$C$10076-Sens!$C$10078</f>
        <v>13.9842411077374</v>
      </c>
      <c r="D10079" s="38" t="n">
        <f aca="false">Sens!$D$10076-Sens!$D$10078</f>
        <v>18.7462427310026</v>
      </c>
      <c r="E10079" s="38" t="n">
        <f aca="false">Sens!$E$10076-Sens!$E$10078</f>
        <v>30.2913414485108</v>
      </c>
      <c r="F10079" s="38" t="n">
        <f aca="false">Sens!$F$10076-Sens!$F$10078</f>
        <v>0</v>
      </c>
      <c r="G10079" s="38" t="n">
        <f aca="false">Sens!$G$10076-Sens!$G$10078</f>
        <v>30.2913414485108</v>
      </c>
      <c r="H10079" s="38" t="n">
        <f aca="false">Sens!$H$10076-Sens!$H$10078</f>
        <v>0</v>
      </c>
      <c r="I10079" s="38" t="n">
        <f aca="false">Sens!$I$10076-Sens!$I$10078</f>
        <v>0</v>
      </c>
      <c r="J10079" s="38" t="n">
        <f aca="false">Sens!$J$10076-Sens!$J$10078</f>
        <v>0</v>
      </c>
      <c r="K10079" s="38" t="n">
        <f aca="false">Sens!$K$10076-Sens!$K$10078</f>
        <v>0</v>
      </c>
      <c r="L10079" s="38" t="n">
        <f aca="false">Sens!$L$10076-Sens!$L$10078</f>
        <v>0</v>
      </c>
      <c r="M10079" s="38" t="n">
        <f aca="false">Sens!$M$10076-Sens!$M$10078</f>
        <v>0</v>
      </c>
    </row>
    <row r="10080" customFormat="false" ht="17.15" hidden="false" customHeight="false" outlineLevel="0" collapsed="false">
      <c r="A10080" s="5" t="s">
        <v>634</v>
      </c>
      <c r="B10080" s="0" t="s">
        <v>86</v>
      </c>
      <c r="C10080" s="38" t="n">
        <f aca="false">Sens!$C$10078*Sens!$C$10075</f>
        <v>8.2530642</v>
      </c>
      <c r="D10080" s="38" t="n">
        <f aca="false">Sens!$D$10078*Sens!$D$10075</f>
        <v>37.1387889</v>
      </c>
      <c r="E10080" s="38" t="n">
        <f aca="false">Sens!$E$10078*Sens!$E$10075</f>
        <v>25.7897792</v>
      </c>
      <c r="F10080" s="38" t="n">
        <f aca="false">Sens!$F$10078*Sens!$F$10075</f>
        <v>73.2248394895</v>
      </c>
      <c r="G10080" s="38" t="n">
        <f aca="false">Sens!$E$10080+Sens!$F$10080</f>
        <v>99.0146186895</v>
      </c>
      <c r="H10080" s="38" t="n">
        <f aca="false">(Sens!$H$10078-Sens!$H$10077)*Sens!$H$10075+Sens!$H$10077</f>
        <v>152.52478394475</v>
      </c>
      <c r="I10080" s="38" t="n">
        <f aca="false">(Sens!$I$10078-Sens!$I$10077)*Sens!$I$10075+Sens!$I$10077</f>
        <v>158.5998889105</v>
      </c>
      <c r="J10080" s="38" t="n">
        <f aca="false">(Sens!$J$10078-Sens!$J$10077)*Sens!$J$10075+Sens!$J$10077</f>
        <v>163.8366571105</v>
      </c>
      <c r="K10080" s="38" t="n">
        <f aca="false">(Sens!$K$10078-Sens!$K$10077)*Sens!$K$10075+Sens!$K$10077</f>
        <v>122.665498273534</v>
      </c>
      <c r="L10080" s="38" t="n">
        <f aca="false">(Sens!$L$10078-Sens!$L$10077)*Sens!$L$10075+Sens!$L$10077</f>
        <v>112.914948636568</v>
      </c>
      <c r="M10080" s="38" t="n">
        <f aca="false">(Sens!$M$10078-Sens!$M$10077)*Sens!$M$10075+Sens!$M$10077</f>
        <v>126.605482654852</v>
      </c>
      <c r="R10080" s="38" t="n">
        <f aca="false">Sens!$R$10078*Sens!$C$10075</f>
        <v>1.09927679019314</v>
      </c>
      <c r="S10080" s="38" t="n">
        <f aca="false">Sens!$C$10080</f>
        <v>8.2530642</v>
      </c>
      <c r="T10080" s="38" t="n">
        <f aca="false">Sens!$D$10080</f>
        <v>37.1387889</v>
      </c>
      <c r="U10080" s="38" t="n">
        <f aca="false">Sens!$G$10080</f>
        <v>99.0146186895</v>
      </c>
      <c r="V10080" s="38" t="n">
        <f aca="false">Sens!$H$10080</f>
        <v>152.52478394475</v>
      </c>
      <c r="W10080" s="38" t="n">
        <f aca="false">Sens!$I$10080</f>
        <v>158.5998889105</v>
      </c>
      <c r="X10080" s="38" t="n">
        <f aca="false">Sens!$J$10080</f>
        <v>163.8366571105</v>
      </c>
      <c r="Y10080" s="38" t="n">
        <f aca="false">Sens!$K$10080</f>
        <v>122.665498273534</v>
      </c>
      <c r="Z10080" s="38" t="n">
        <f aca="false">Sens!$L$10080</f>
        <v>112.914948636568</v>
      </c>
      <c r="AA10080" s="38" t="n">
        <f aca="false">Sens!$M$10080</f>
        <v>126.605482654852</v>
      </c>
    </row>
    <row r="10081" customFormat="false" ht="15" hidden="false" customHeight="false" outlineLevel="0" collapsed="false">
      <c r="A10081" s="5" t="s">
        <v>635</v>
      </c>
      <c r="B10081" s="0" t="s">
        <v>86</v>
      </c>
      <c r="C10081" s="38" t="n">
        <f aca="false">Sens!$C$10078-Sens!$C$10080</f>
        <v>3.0408</v>
      </c>
      <c r="D10081" s="38" t="n">
        <f aca="false">Sens!$D$10078-Sens!$D$10080</f>
        <v>13.6836</v>
      </c>
      <c r="E10081" s="38" t="n">
        <f aca="false">Sens!$E$10078-Sens!$E$10080</f>
        <v>8.1088</v>
      </c>
      <c r="F10081" s="38" t="n">
        <f aca="false">Sens!$F$10078-Sens!$F$10080</f>
        <v>23.0232905</v>
      </c>
      <c r="G10081" s="38" t="n">
        <f aca="false">Sens!$G$10078-Sens!$G$10080</f>
        <v>31.1320905</v>
      </c>
      <c r="H10081" s="38" t="n">
        <f aca="false">Sens!$H$10078-Sens!$H$10080</f>
        <v>46.046581</v>
      </c>
      <c r="I10081" s="38" t="n">
        <f aca="false">Sens!$I$10078-Sens!$I$10080</f>
        <v>46.046581</v>
      </c>
      <c r="J10081" s="38" t="n">
        <f aca="false">Sens!$J$10078-Sens!$J$10080</f>
        <v>46.046581</v>
      </c>
      <c r="K10081" s="38" t="n">
        <f aca="false">Sens!$K$10078-Sens!$K$10080</f>
        <v>32.5728870016667</v>
      </c>
      <c r="L10081" s="38" t="n">
        <f aca="false">Sens!$L$10078-Sens!$L$10080</f>
        <v>19.0991930033334</v>
      </c>
      <c r="M10081" s="38" t="n">
        <f aca="false">Sens!$M$10078-Sens!$M$10080</f>
        <v>5.62549900499998</v>
      </c>
      <c r="R10081" s="38" t="n">
        <f aca="false">Sens!$R$10078-Sens!$R$10080</f>
        <v>0.405023005106309</v>
      </c>
      <c r="S10081" s="38" t="n">
        <f aca="false">Sens!$S$10078-Sens!$S$10080</f>
        <v>3.0408</v>
      </c>
      <c r="T10081" s="38" t="n">
        <f aca="false">Sens!$T$10078-Sens!$T$10080</f>
        <v>13.6836</v>
      </c>
      <c r="U10081" s="38" t="n">
        <f aca="false">Sens!$U$10078-Sens!$U$10080</f>
        <v>31.1320905</v>
      </c>
      <c r="V10081" s="38" t="n">
        <f aca="false">Sens!$V$10078-Sens!$V$10080</f>
        <v>46.046581</v>
      </c>
      <c r="W10081" s="38" t="n">
        <f aca="false">Sens!$W$10078-Sens!$W$10080</f>
        <v>46.046581</v>
      </c>
      <c r="X10081" s="38" t="n">
        <f aca="false">Sens!$X$10078-Sens!$X$10080</f>
        <v>46.046581</v>
      </c>
      <c r="Y10081" s="38" t="n">
        <f aca="false">Sens!$Y$10078-Sens!$Y$10080</f>
        <v>32.5728870016667</v>
      </c>
      <c r="Z10081" s="38" t="n">
        <f aca="false">Sens!$Z$10078-Sens!$Z$10080</f>
        <v>19.0991930033334</v>
      </c>
      <c r="AA10081" s="38" t="n">
        <f aca="false">Sens!$AA$10078-Sens!$AA$10080</f>
        <v>5.62549900499998</v>
      </c>
    </row>
    <row r="10082" customFormat="false" ht="17.15" hidden="false" customHeight="false" outlineLevel="0" collapsed="false">
      <c r="A10082" s="0" t="s">
        <v>636</v>
      </c>
      <c r="B10082" s="0" t="s">
        <v>52</v>
      </c>
      <c r="C10082" s="13" t="n">
        <f aca="false">Sens!$C$10076/Sens!$C$10198</f>
        <v>0.325505489553393</v>
      </c>
      <c r="D10082" s="13" t="n">
        <f aca="false">Sens!$D$10076/Sens!$D$10198</f>
        <v>0.54214956071542</v>
      </c>
      <c r="E10082" s="13" t="n">
        <f aca="false">Sens!$E$10076/Sens!$E$10198</f>
        <v>0.666492790452817</v>
      </c>
      <c r="F10082" s="13" t="n">
        <f aca="false">Sens!$F$10076/Sens!$F$10198</f>
        <v>0.733477910687338</v>
      </c>
      <c r="G10082" s="13" t="n">
        <f aca="false">Sens!$G$10076/Sens!$G$10198</f>
        <v>0.705124321514523</v>
      </c>
      <c r="H10082" s="13" t="n">
        <f aca="false">Sens!$H$10076/Sens!$H$10198</f>
        <v>0.726376041178204</v>
      </c>
      <c r="I10082" s="13" t="n">
        <f aca="false">Sens!$I$10076/Sens!$I$10198</f>
        <v>0.713099092661699</v>
      </c>
      <c r="J10082" s="13" t="n">
        <f aca="false">Sens!$J$10076/Sens!$J$10198</f>
        <v>0.701208348786245</v>
      </c>
      <c r="K10082" s="13" t="n">
        <f aca="false">Sens!$K$10076/Sens!$K$10198</f>
        <v>0.618338844562383</v>
      </c>
      <c r="L10082" s="13" t="n">
        <f aca="false">Sens!$L$10076/Sens!$L$10198</f>
        <v>0.562489158462506</v>
      </c>
      <c r="M10082" s="13" t="n">
        <f aca="false">Sens!$M$10076/Sens!$M$10198</f>
        <v>0.545751190895923</v>
      </c>
    </row>
    <row r="10083" customFormat="false" ht="17.15" hidden="false" customHeight="false" outlineLevel="0" collapsed="false">
      <c r="A10083" s="0" t="s">
        <v>637</v>
      </c>
      <c r="B10083" s="0" t="s">
        <v>86</v>
      </c>
      <c r="C10083" s="38" t="n">
        <f aca="false">Sens!$S$10083</f>
        <v>0.183212798365523</v>
      </c>
      <c r="D10083" s="38" t="n">
        <f aca="false">Sens!$T$10083</f>
        <v>1.55872349836552</v>
      </c>
      <c r="E10083" s="38" t="n">
        <f aca="false">Sens!$G$10083/2</f>
        <v>3.87426082418276</v>
      </c>
      <c r="F10083" s="38" t="n">
        <f aca="false">Sens!$G$10083/2</f>
        <v>3.87426082418276</v>
      </c>
      <c r="G10083" s="38" t="n">
        <f aca="false">Sens!$U$10083</f>
        <v>7.74852164836552</v>
      </c>
      <c r="H10083" s="38" t="n">
        <f aca="false">Sens!$V$10083</f>
        <v>24.2509580966155</v>
      </c>
      <c r="I10083" s="38" t="n">
        <f aca="false">Sens!$W$10083</f>
        <v>49.6717554207405</v>
      </c>
      <c r="J10083" s="38" t="n">
        <f aca="false">Sens!$X$10083</f>
        <v>76.1050702391572</v>
      </c>
      <c r="K10083" s="38" t="n">
        <f aca="false">Sens!$Y$10083</f>
        <v>103.227966959208</v>
      </c>
      <c r="L10083" s="38" t="n">
        <f aca="false">Sens!$Z$10083</f>
        <v>122.296705971464</v>
      </c>
      <c r="M10083" s="38" t="n">
        <f aca="false">Sens!$AA$10083</f>
        <v>134.926065927559</v>
      </c>
      <c r="N10083" s="38" t="n">
        <f aca="false">Sens!$D$10083/2</f>
        <v>0.779361749182762</v>
      </c>
      <c r="O10083" s="38" t="n">
        <f aca="false">Sens!$D$10083/2</f>
        <v>0.779361749182762</v>
      </c>
      <c r="R10083" s="38" t="n">
        <f aca="false">SUMPRODUCT(--(Sens!$R$10046:$AA$10046&lt;Sens!R$10046),--(Sens!$R$10046:$AA$10046&gt;=Sens!R$10046-tk_life),Sens!$R$10080:$AA$10080)/tk_life</f>
        <v>0</v>
      </c>
      <c r="S10083" s="38" t="n">
        <f aca="false">SUMPRODUCT(--(Sens!$R$10046:$AA$10046&lt;Sens!S$10046),--(Sens!$R$10046:$AA$10046&gt;=Sens!S$10046-tk_life),Sens!$R$10080:$AA$10080)/tk_life</f>
        <v>0.183212798365523</v>
      </c>
      <c r="T10083" s="38" t="n">
        <f aca="false">SUMPRODUCT(--(Sens!$R$10046:$AA$10046&lt;Sens!T$10046),--(Sens!$R$10046:$AA$10046&gt;=Sens!T$10046-tk_life),Sens!$R$10080:$AA$10080)/tk_life</f>
        <v>1.55872349836552</v>
      </c>
      <c r="U10083" s="38" t="n">
        <f aca="false">SUMPRODUCT(--(Sens!$R$10046:$AA$10046&lt;Sens!U$10046),--(Sens!$R$10046:$AA$10046&gt;=Sens!U$10046-tk_life),Sens!$R$10080:$AA$10080)/tk_life</f>
        <v>7.74852164836552</v>
      </c>
      <c r="V10083" s="38" t="n">
        <f aca="false">SUMPRODUCT(--(Sens!$R$10046:$AA$10046&lt;Sens!V$10046),--(Sens!$R$10046:$AA$10046&gt;=Sens!V$10046-tk_life),Sens!$R$10080:$AA$10080)/tk_life</f>
        <v>24.2509580966155</v>
      </c>
      <c r="W10083" s="38" t="n">
        <f aca="false">SUMPRODUCT(--(Sens!$R$10046:$AA$10046&lt;Sens!W$10046),--(Sens!$R$10046:$AA$10046&gt;=Sens!W$10046-tk_life),Sens!$R$10080:$AA$10080)/tk_life</f>
        <v>49.6717554207405</v>
      </c>
      <c r="X10083" s="38" t="n">
        <f aca="false">SUMPRODUCT(--(Sens!$R$10046:$AA$10046&lt;Sens!X$10046),--(Sens!$R$10046:$AA$10046&gt;=Sens!X$10046-tk_life),Sens!$R$10080:$AA$10080)/tk_life</f>
        <v>76.1050702391572</v>
      </c>
      <c r="Y10083" s="38" t="n">
        <f aca="false">SUMPRODUCT(--(Sens!$R$10046:$AA$10046&lt;Sens!Y$10046),--(Sens!$R$10046:$AA$10046&gt;=Sens!Y$10046-tk_life),Sens!$R$10080:$AA$10080)/tk_life</f>
        <v>103.227966959208</v>
      </c>
      <c r="Z10083" s="38" t="n">
        <f aca="false">SUMPRODUCT(--(Sens!$R$10046:$AA$10046&lt;Sens!Z$10046),--(Sens!$R$10046:$AA$10046&gt;=Sens!Z$10046-tk_life),Sens!$R$10080:$AA$10080)/tk_life</f>
        <v>122.296705971464</v>
      </c>
      <c r="AA10083" s="38" t="n">
        <f aca="false">SUMPRODUCT(--(Sens!$R$10046:$AA$10046&lt;Sens!AA$10046),--(Sens!$R$10046:$AA$10046&gt;=Sens!AA$10046-tk_life),Sens!$R$10080:$AA$10080)/tk_life</f>
        <v>134.926065927559</v>
      </c>
    </row>
    <row r="10084" customFormat="false" ht="17.15" hidden="false" customHeight="false" outlineLevel="0" collapsed="false">
      <c r="A10084" s="0" t="s">
        <v>638</v>
      </c>
      <c r="B10084" s="0" t="s">
        <v>86</v>
      </c>
      <c r="C10084" s="38" t="n">
        <f aca="false">Sens!$S$10084</f>
        <v>0.0202511502553155</v>
      </c>
      <c r="D10084" s="38" t="n">
        <f aca="false">Sens!$T$10084</f>
        <v>0.172291150255315</v>
      </c>
      <c r="E10084" s="38" t="n">
        <f aca="false">Sens!$G$10084/2</f>
        <v>0.428235575127658</v>
      </c>
      <c r="F10084" s="38" t="n">
        <f aca="false">Sens!$G$10084/2</f>
        <v>0.428235575127658</v>
      </c>
      <c r="G10084" s="38" t="n">
        <f aca="false">Sens!$U$10084</f>
        <v>0.856471150255315</v>
      </c>
      <c r="H10084" s="38" t="n">
        <f aca="false">Sens!$V$10084</f>
        <v>2.41307567525532</v>
      </c>
      <c r="I10084" s="38" t="n">
        <f aca="false">Sens!$W$10084</f>
        <v>4.71540472525532</v>
      </c>
      <c r="J10084" s="38" t="n">
        <f aca="false">Sens!$X$10084</f>
        <v>7.01773377525532</v>
      </c>
      <c r="K10084" s="38" t="n">
        <f aca="false">Sens!$Y$10084</f>
        <v>9.32006282525532</v>
      </c>
      <c r="L10084" s="38" t="n">
        <f aca="false">Sens!$Z$10084</f>
        <v>10.9487071753387</v>
      </c>
      <c r="M10084" s="38" t="n">
        <f aca="false">Sens!$AA$10084</f>
        <v>11.9036668255053</v>
      </c>
      <c r="N10084" s="38" t="n">
        <f aca="false">Sens!$D$10084/2</f>
        <v>0.0861455751276577</v>
      </c>
      <c r="O10084" s="38" t="n">
        <f aca="false">Sens!$D$10084/2</f>
        <v>0.0861455751276577</v>
      </c>
      <c r="R10084" s="38" t="n">
        <f aca="false">SUMPRODUCT(--(Sens!$R$10046:$AA$10046&lt;Sens!R$10046),Sens!$R$10081:$AA$10081)/fac_life</f>
        <v>0</v>
      </c>
      <c r="S10084" s="38" t="n">
        <f aca="false">SUMPRODUCT(--(Sens!$R$10046:$AA$10046&lt;Sens!S$10046),Sens!$R$10081:$AA$10081)/fac_life</f>
        <v>0.0202511502553155</v>
      </c>
      <c r="T10084" s="38" t="n">
        <f aca="false">SUMPRODUCT(--(Sens!$R$10046:$AA$10046&lt;Sens!T$10046),Sens!$R$10081:$AA$10081)/fac_life</f>
        <v>0.172291150255315</v>
      </c>
      <c r="U10084" s="38" t="n">
        <f aca="false">SUMPRODUCT(--(Sens!$R$10046:$AA$10046&lt;Sens!U$10046),Sens!$R$10081:$AA$10081)/fac_life</f>
        <v>0.856471150255315</v>
      </c>
      <c r="V10084" s="38" t="n">
        <f aca="false">SUMPRODUCT(--(Sens!$R$10046:$AA$10046&lt;Sens!V$10046),Sens!$R$10081:$AA$10081)/fac_life</f>
        <v>2.41307567525532</v>
      </c>
      <c r="W10084" s="38" t="n">
        <f aca="false">SUMPRODUCT(--(Sens!$R$10046:$AA$10046&lt;Sens!W$10046),Sens!$R$10081:$AA$10081)/fac_life</f>
        <v>4.71540472525532</v>
      </c>
      <c r="X10084" s="38" t="n">
        <f aca="false">SUMPRODUCT(--(Sens!$R$10046:$AA$10046&lt;Sens!X$10046),Sens!$R$10081:$AA$10081)/fac_life</f>
        <v>7.01773377525532</v>
      </c>
      <c r="Y10084" s="38" t="n">
        <f aca="false">SUMPRODUCT(--(Sens!$R$10046:$AA$10046&lt;Sens!Y$10046),Sens!$R$10081:$AA$10081)/fac_life</f>
        <v>9.32006282525532</v>
      </c>
      <c r="Z10084" s="38" t="n">
        <f aca="false">SUMPRODUCT(--(Sens!$R$10046:$AA$10046&lt;Sens!Z$10046),Sens!$R$10081:$AA$10081)/fac_life</f>
        <v>10.9487071753387</v>
      </c>
      <c r="AA10084" s="38" t="n">
        <f aca="false">SUMPRODUCT(--(Sens!$R$10046:$AA$10046&lt;Sens!AA$10046),Sens!$R$10081:$AA$10081)/fac_life</f>
        <v>11.9036668255053</v>
      </c>
    </row>
    <row r="10085" customFormat="false" ht="17.15" hidden="false" customHeight="false" outlineLevel="0" collapsed="false">
      <c r="A10085" s="1" t="s">
        <v>639</v>
      </c>
      <c r="B10085" s="8" t="s">
        <v>86</v>
      </c>
      <c r="C10085" s="38" t="n">
        <f aca="false">Sens!$C$10083+Sens!$C$10084</f>
        <v>0.203463948620839</v>
      </c>
      <c r="D10085" s="38" t="n">
        <f aca="false">Sens!$D$10083+Sens!$D$10084</f>
        <v>1.73101464862084</v>
      </c>
      <c r="E10085" s="38" t="n">
        <f aca="false">Sens!$E$10083+Sens!$E$10084</f>
        <v>4.30249639931042</v>
      </c>
      <c r="F10085" s="38" t="n">
        <f aca="false">Sens!$F$10083+Sens!$F$10084</f>
        <v>4.30249639931042</v>
      </c>
      <c r="G10085" s="38" t="n">
        <f aca="false">Sens!$G$10083+Sens!$G$10084</f>
        <v>8.60499279862084</v>
      </c>
      <c r="H10085" s="38" t="n">
        <f aca="false">Sens!$H$10083+Sens!$H$10084</f>
        <v>26.6640337718708</v>
      </c>
      <c r="I10085" s="38" t="n">
        <f aca="false">Sens!$I$10083+Sens!$I$10084</f>
        <v>54.3871601459959</v>
      </c>
      <c r="J10085" s="38" t="n">
        <f aca="false">Sens!$J$10083+Sens!$J$10084</f>
        <v>83.1228040144125</v>
      </c>
      <c r="K10085" s="38" t="n">
        <f aca="false">Sens!$K$10083+Sens!$K$10084</f>
        <v>112.548029784464</v>
      </c>
      <c r="L10085" s="38" t="n">
        <f aca="false">Sens!$L$10083+Sens!$L$10084</f>
        <v>133.245413146803</v>
      </c>
      <c r="M10085" s="38" t="n">
        <f aca="false">Sens!$M$10083+Sens!$M$10084</f>
        <v>146.829732753064</v>
      </c>
      <c r="N10085" s="38" t="n">
        <f aca="false">Sens!$N$10083+Sens!$N$10084</f>
        <v>0.865507324310419</v>
      </c>
      <c r="O10085" s="38" t="n">
        <f aca="false">Sens!$O$10083+Sens!$O$10084</f>
        <v>0.865507324310419</v>
      </c>
      <c r="R10085" s="38" t="n">
        <f aca="false">Sens!$R$10083+Sens!$R$10084</f>
        <v>0</v>
      </c>
      <c r="S10085" s="38" t="n">
        <f aca="false">Sens!$S$10083+Sens!$S$10084</f>
        <v>0.203463948620839</v>
      </c>
      <c r="T10085" s="38" t="n">
        <f aca="false">Sens!$T$10083+Sens!$T$10084</f>
        <v>1.73101464862084</v>
      </c>
      <c r="U10085" s="38" t="n">
        <f aca="false">Sens!$U$10083+Sens!$U$10084</f>
        <v>8.60499279862084</v>
      </c>
      <c r="V10085" s="38" t="n">
        <f aca="false">Sens!$V$10083+Sens!$V$10084</f>
        <v>26.6640337718708</v>
      </c>
      <c r="W10085" s="38" t="n">
        <f aca="false">Sens!$W$10083+Sens!$W$10084</f>
        <v>54.3871601459959</v>
      </c>
      <c r="X10085" s="38" t="n">
        <f aca="false">Sens!$X$10083+Sens!$X$10084</f>
        <v>83.1228040144125</v>
      </c>
      <c r="Y10085" s="38" t="n">
        <f aca="false">Sens!$Y$10083+Sens!$Y$10084</f>
        <v>112.548029784464</v>
      </c>
      <c r="Z10085" s="38" t="n">
        <f aca="false">Sens!$Z$10083+Sens!$Z$10084</f>
        <v>133.245413146803</v>
      </c>
      <c r="AA10085" s="38" t="n">
        <f aca="false">Sens!$AA$10083+Sens!$AA$10084</f>
        <v>146.829732753064</v>
      </c>
    </row>
    <row r="10086" customFormat="false" ht="17.15" hidden="false" customHeight="false" outlineLevel="0" collapsed="false">
      <c r="A10086" s="0" t="s">
        <v>640</v>
      </c>
      <c r="B10086" s="0" t="s">
        <v>86</v>
      </c>
      <c r="C10086" s="38" t="n">
        <f aca="false">Sens!$S$10086</f>
        <v>12.5947000466786</v>
      </c>
      <c r="D10086" s="38" t="n">
        <f aca="false">Sens!$T$10086</f>
        <v>61.6860742980578</v>
      </c>
      <c r="G10086" s="38" t="n">
        <f aca="false">Sens!$U$10086</f>
        <v>183.227790688937</v>
      </c>
      <c r="H10086" s="38" t="n">
        <f aca="false">Sens!$V$10086</f>
        <v>355.135121861816</v>
      </c>
      <c r="I10086" s="38" t="n">
        <f aca="false">Sens!$W$10086</f>
        <v>505.39443162632</v>
      </c>
      <c r="J10086" s="38" t="n">
        <f aca="false">Sens!$X$10086</f>
        <v>632.154865722408</v>
      </c>
      <c r="K10086" s="38" t="n">
        <f aca="false">Sens!$Y$10086</f>
        <v>674.845221213145</v>
      </c>
      <c r="L10086" s="38" t="n">
        <f aca="false">Sens!$Z$10086</f>
        <v>673.613949706244</v>
      </c>
      <c r="M10086" s="38" t="n">
        <f aca="false">Sens!$AA$10086</f>
        <v>659.015198613032</v>
      </c>
      <c r="R10086" s="38" t="n">
        <f aca="false">SUM(Sens!$R$10078:$R$10078)-SUM(Sens!$R$10085:$R$10085)</f>
        <v>1.50429979529945</v>
      </c>
      <c r="S10086" s="38" t="n">
        <f aca="false">SUM(Sens!$R$10078:$S$10078)-SUM(Sens!$R$10085:$S$10085)</f>
        <v>12.5947000466786</v>
      </c>
      <c r="T10086" s="38" t="n">
        <f aca="false">SUM(Sens!$R$10078:$T$10078)-SUM(Sens!$R$10085:$T$10085)</f>
        <v>61.6860742980578</v>
      </c>
      <c r="U10086" s="38" t="n">
        <f aca="false">SUM(Sens!$R$10078:$U$10078)-SUM(Sens!$R$10085:$U$10085)</f>
        <v>183.227790688937</v>
      </c>
      <c r="V10086" s="38" t="n">
        <f aca="false">SUM(Sens!$R$10078:$V$10078)-SUM(Sens!$R$10085:$V$10085)</f>
        <v>355.135121861816</v>
      </c>
      <c r="W10086" s="38" t="n">
        <f aca="false">SUM(Sens!$R$10078:$W$10078)-SUM(Sens!$R$10085:$W$10085)</f>
        <v>505.39443162632</v>
      </c>
      <c r="X10086" s="38" t="n">
        <f aca="false">SUM(Sens!$R$10078:$X$10078)-SUM(Sens!$R$10085:$X$10085)</f>
        <v>632.154865722408</v>
      </c>
      <c r="Y10086" s="38" t="n">
        <f aca="false">SUM(Sens!$R$10078:$Y$10078)-SUM(Sens!$R$10085:$Y$10085)</f>
        <v>674.845221213145</v>
      </c>
      <c r="Z10086" s="38" t="n">
        <f aca="false">SUM(Sens!$R$10078:$Z$10078)-SUM(Sens!$R$10085:$Z$10085)</f>
        <v>673.613949706244</v>
      </c>
      <c r="AA10086" s="38" t="n">
        <f aca="false">SUM(Sens!$R$10078:$AA$10078)-SUM(Sens!$R$10085:$AA$10085)</f>
        <v>659.015198613032</v>
      </c>
    </row>
    <row r="10087" customFormat="false" ht="17.15" hidden="false" customHeight="false" outlineLevel="0" collapsed="false">
      <c r="A10087" s="1" t="s">
        <v>641</v>
      </c>
    </row>
    <row r="10088" customFormat="false" ht="17.15" hidden="false" customHeight="false" outlineLevel="0" collapsed="false">
      <c r="A10088" s="0" t="s">
        <v>642</v>
      </c>
      <c r="B10088" s="0" t="s">
        <v>86</v>
      </c>
      <c r="C10088" s="38" t="n">
        <f aca="false">Sens!$C$10067-ext_sh*Sens!$C$10069</f>
        <v>1.80694998843362</v>
      </c>
      <c r="D10088" s="38" t="n">
        <f aca="false">Sens!$D$10067-ext_sh*Sens!$D$10069</f>
        <v>6.77606245662607</v>
      </c>
      <c r="E10088" s="38" t="n">
        <f aca="false">Sens!$E$10067-ext_sh*Sens!$E$10069</f>
        <v>6.62548329092326</v>
      </c>
      <c r="F10088" s="38" t="n">
        <f aca="false">Sens!$F$10067-ext_sh*Sens!$F$10069</f>
        <v>11.7200577158706</v>
      </c>
      <c r="G10088" s="38" t="n">
        <f aca="false">Sens!$G$10067-ext_sh*Sens!$G$10069</f>
        <v>18.3455410067939</v>
      </c>
      <c r="H10088" s="38" t="n">
        <f aca="false">Sens!$H$10067-ext_sh*Sens!$H$10069</f>
        <v>47.5171727060453</v>
      </c>
      <c r="I10088" s="38" t="n">
        <f aca="false">Sens!$I$10067-ext_sh*Sens!$I$10069</f>
        <v>80.5539692643667</v>
      </c>
      <c r="J10088" s="38" t="n">
        <f aca="false">Sens!$J$10067-ext_sh*Sens!$J$10069</f>
        <v>113.759316834883</v>
      </c>
      <c r="K10088" s="38" t="n">
        <f aca="false">Sens!$K$10067-ext_sh*Sens!$K$10069</f>
        <v>142.084411492169</v>
      </c>
      <c r="L10088" s="38" t="n">
        <f aca="false">Sens!$L$10067-ext_sh*Sens!$L$10069</f>
        <v>160.69964615804</v>
      </c>
      <c r="M10088" s="38" t="n">
        <f aca="false">Sens!$M$10067-ext_sh*Sens!$M$10069</f>
        <v>169.577607141793</v>
      </c>
      <c r="N10088" s="38" t="n">
        <f aca="false">Sens!$N$10067-ext_sh*Sens!$N$10069</f>
        <v>2.37162185981912</v>
      </c>
      <c r="O10088" s="38" t="n">
        <f aca="false">Sens!$O$10067-ext_sh*Sens!$O$10069</f>
        <v>4.40444059680694</v>
      </c>
    </row>
    <row r="10089" customFormat="false" ht="17.15" hidden="false" customHeight="false" outlineLevel="0" collapsed="false">
      <c r="A10089" s="1" t="s">
        <v>643</v>
      </c>
      <c r="B10089" s="8" t="s">
        <v>86</v>
      </c>
      <c r="C10089" s="38" t="n">
        <f aca="false">Sens!$C$10088-ext_sh*Sens!$C$10085</f>
        <v>1.64417882953695</v>
      </c>
      <c r="D10089" s="38" t="n">
        <f aca="false">Sens!$D$10088-ext_sh*Sens!$D$10085</f>
        <v>5.39125073772939</v>
      </c>
      <c r="E10089" s="38" t="n">
        <f aca="false">Sens!$E$10088-ext_sh*Sens!$E$10085</f>
        <v>3.18348617147493</v>
      </c>
      <c r="F10089" s="38" t="n">
        <f aca="false">Sens!$F$10088-ext_sh*Sens!$F$10085</f>
        <v>8.27806059642226</v>
      </c>
      <c r="G10089" s="38" t="n">
        <f aca="false">Sens!$G$10088-ext_sh*Sens!$G$10085</f>
        <v>11.4615467678972</v>
      </c>
      <c r="H10089" s="38" t="n">
        <f aca="false">Sens!$H$10088-ext_sh*Sens!$H$10085</f>
        <v>26.1859456885487</v>
      </c>
      <c r="I10089" s="38" t="n">
        <f aca="false">Sens!$I$10088-ext_sh*Sens!$I$10085</f>
        <v>37.04424114757</v>
      </c>
      <c r="J10089" s="38" t="n">
        <f aca="false">Sens!$J$10088-ext_sh*Sens!$J$10085</f>
        <v>47.2610736233534</v>
      </c>
      <c r="K10089" s="38" t="n">
        <f aca="false">Sens!$K$10088-ext_sh*Sens!$K$10085</f>
        <v>52.0459876645985</v>
      </c>
      <c r="L10089" s="38" t="n">
        <f aca="false">Sens!$L$10088-ext_sh*Sens!$L$10085</f>
        <v>54.1033156405981</v>
      </c>
      <c r="M10089" s="38" t="n">
        <f aca="false">Sens!$M$10088-ext_sh*Sens!$M$10085</f>
        <v>52.1138209393421</v>
      </c>
      <c r="N10089" s="38" t="n">
        <f aca="false">Sens!$N$10088-ext_sh*Sens!$N$10085</f>
        <v>1.67921600037079</v>
      </c>
      <c r="O10089" s="38" t="n">
        <f aca="false">Sens!$O$10088-ext_sh*Sens!$O$10085</f>
        <v>3.71203473735861</v>
      </c>
    </row>
    <row r="10090" customFormat="false" ht="17.15" hidden="false" customHeight="false" outlineLevel="0" collapsed="false">
      <c r="A10090" s="0" t="s">
        <v>644</v>
      </c>
      <c r="B10090" s="0" t="s">
        <v>52</v>
      </c>
      <c r="C10090" s="13" t="n">
        <f aca="false">Sens!$C$10089/Sens!$C$10067</f>
        <v>0.708390794789371</v>
      </c>
      <c r="D10090" s="13" t="n">
        <f aca="false">Sens!$D$10089/Sens!$D$10067</f>
        <v>0.619415573115729</v>
      </c>
      <c r="E10090" s="13" t="n">
        <f aca="false">Sens!$E$10089/Sens!$E$10067</f>
        <v>0.374072166056273</v>
      </c>
      <c r="F10090" s="13" t="n">
        <f aca="false">Sens!$F$10089/Sens!$F$10067</f>
        <v>0.553219320710057</v>
      </c>
      <c r="G10090" s="13" t="n">
        <f aca="false">Sens!$G$10089/Sens!$G$10067</f>
        <v>0.488270041527512</v>
      </c>
      <c r="H10090" s="13" t="n">
        <f aca="false">Sens!$H$10089/Sens!$H$10067</f>
        <v>0.435229086816882</v>
      </c>
      <c r="I10090" s="13" t="n">
        <f aca="false">Sens!$I$10089/Sens!$I$10067</f>
        <v>0.364954592421095</v>
      </c>
      <c r="J10090" s="13" t="n">
        <f aca="false">Sens!$J$10089/Sens!$J$10067</f>
        <v>0.330438308582232</v>
      </c>
      <c r="K10090" s="13" t="n">
        <f aca="false">Sens!$K$10089/Sens!$K$10067</f>
        <v>0.2916589289528</v>
      </c>
      <c r="L10090" s="13" t="n">
        <f aca="false">Sens!$L$10089/Sens!$L$10067</f>
        <v>0.268199200593258</v>
      </c>
      <c r="M10090" s="13" t="n">
        <f aca="false">Sens!$M$10089/Sens!$M$10067</f>
        <v>0.244854995033574</v>
      </c>
      <c r="N10090" s="13" t="n">
        <f aca="false">Sens!$N$10089/Sens!$N$10067</f>
        <v>0.551227795793364</v>
      </c>
      <c r="O10090" s="13" t="n">
        <f aca="false">Sens!$O$10089/Sens!$O$10067</f>
        <v>0.656132068597002</v>
      </c>
    </row>
    <row r="10091" customFormat="false" ht="17.15" hidden="false" customHeight="false" outlineLevel="0" collapsed="false">
      <c r="A10091" s="5" t="s">
        <v>645</v>
      </c>
      <c r="B10091" s="0" t="s">
        <v>86</v>
      </c>
      <c r="C10091" s="39" t="n">
        <v>0</v>
      </c>
      <c r="D10091" s="39" t="n">
        <v>0</v>
      </c>
      <c r="E10091" s="39" t="n">
        <v>0</v>
      </c>
      <c r="F10091" s="38" t="n">
        <f aca="false">IF(internal_ai_reading=2,1,0)*(1-ext_sh)/ext_sh*(mw_open*he_open+Sens!$F$10065*Sens!$F$10062)*Sens!$F$10051/1000</f>
        <v>3.77122048175818</v>
      </c>
      <c r="G10091" s="38" t="n">
        <f aca="false">Sens!$E$10091+Sens!$F$10091</f>
        <v>3.77122048175818</v>
      </c>
      <c r="H10091" s="38" t="n">
        <f aca="false">IF(internal_ai_reading=2,1,0)*(1-ext_sh)/ext_sh*(mw_open*he_open+Sens!$H$10065*Sens!$H$10062)*Sens!$H$10051/1000</f>
        <v>15.1635543609893</v>
      </c>
      <c r="I10091" s="38" t="n">
        <f aca="false">IF(internal_ai_reading=2,1,0)*(1-ext_sh)/ext_sh*(mw_open*he_open+Sens!$I$10065*Sens!$I$10062)*Sens!$I$10051/1000</f>
        <v>25.5818843619889</v>
      </c>
      <c r="J10091" s="38" t="n">
        <f aca="false">IF(internal_ai_reading=2,1,0)*(1-ext_sh)/ext_sh*(mw_open*he_open+Sens!$J$10065*Sens!$J$10062)*Sens!$J$10051/1000</f>
        <v>36.0465624179122</v>
      </c>
      <c r="K10091" s="38" t="n">
        <f aca="false">IF(internal_ai_reading=2,1,0)*(1-ext_sh)/ext_sh*(mw_open*he_open+Sens!$K$10065*Sens!$K$10062)*Sens!$K$10051/1000</f>
        <v>44.9741164026038</v>
      </c>
      <c r="L10091" s="38" t="n">
        <f aca="false">IF(internal_ai_reading=2,1,0)*(1-ext_sh)/ext_sh*(mw_open*he_open+Sens!$L$10065*Sens!$L$10062)*Sens!$L$10051/1000</f>
        <v>50.8413488057813</v>
      </c>
      <c r="M10091" s="38" t="n">
        <f aca="false">IF(internal_ai_reading=2,1,0)*(1-ext_sh)/ext_sh*(mw_open*he_open+Sens!$M$10065*Sens!$M$10062)*Sens!$M$10051/1000</f>
        <v>53.6407214274315</v>
      </c>
      <c r="N10091" s="39" t="n">
        <v>0</v>
      </c>
      <c r="O10091" s="39" t="n">
        <v>0</v>
      </c>
      <c r="P10091" s="8" t="s">
        <v>646</v>
      </c>
    </row>
    <row r="10092" customFormat="false" ht="17.15" hidden="false" customHeight="false" outlineLevel="0" collapsed="false">
      <c r="A10092" s="5" t="s">
        <v>647</v>
      </c>
      <c r="B10092" s="0" t="s">
        <v>86</v>
      </c>
      <c r="C10092" s="38" t="n">
        <f aca="false">(1-ext_sh)*(Sens!$C$10069+Sens!$C$10085)</f>
        <v>0.169206631859174</v>
      </c>
      <c r="D10092" s="38" t="n">
        <f aca="false">(1-ext_sh)*(Sens!$D$10069+Sens!$D$10085)</f>
        <v>0.828129837730442</v>
      </c>
      <c r="E10092" s="38" t="n">
        <f aca="false">(1-ext_sh)*(Sens!$E$10069+Sens!$E$10085)</f>
        <v>1.33171670102377</v>
      </c>
      <c r="F10092" s="38" t="n">
        <f aca="false">(1-ext_sh)*(Sens!$F$10069+Sens!$F$10085)</f>
        <v>1.67134326207455</v>
      </c>
      <c r="G10092" s="38" t="n">
        <f aca="false">(1-ext_sh)*(Sens!$G$10069+Sens!$G$10085)</f>
        <v>3.00305996309832</v>
      </c>
      <c r="H10092" s="38" t="n">
        <f aca="false">(1-ext_sh)*(Sens!$H$10069+Sens!$H$10085)</f>
        <v>8.49498626530648</v>
      </c>
      <c r="I10092" s="38" t="n">
        <f aca="false">(1-ext_sh)*(Sens!$I$10069+Sens!$I$10085)</f>
        <v>16.1148644972155</v>
      </c>
      <c r="J10092" s="38" t="n">
        <f aca="false">(1-ext_sh)*(Sens!$J$10069+Sens!$J$10085)</f>
        <v>23.9410833819812</v>
      </c>
      <c r="K10092" s="38" t="n">
        <f aca="false">(1-ext_sh)*(Sens!$K$10069+Sens!$K$10085)</f>
        <v>31.6005331796453</v>
      </c>
      <c r="L10092" s="38" t="n">
        <f aca="false">(1-ext_sh)*(Sens!$L$10069+Sens!$L$10085)</f>
        <v>36.9061965404496</v>
      </c>
      <c r="M10092" s="38" t="n">
        <f aca="false">(1-ext_sh)*(Sens!$M$10069+Sens!$M$10085)</f>
        <v>40.1804051073808</v>
      </c>
      <c r="N10092" s="38" t="n">
        <f aca="false">(1-ext_sh)*(Sens!$N$10069+Sens!$N$10085)</f>
        <v>0.34177588266428</v>
      </c>
      <c r="O10092" s="38" t="n">
        <f aca="false">(1-ext_sh)*(Sens!$O$10069+Sens!$O$10085)</f>
        <v>0.486353955066162</v>
      </c>
    </row>
    <row r="10093" customFormat="false" ht="17.15" hidden="false" customHeight="false" outlineLevel="0" collapsed="false">
      <c r="A10093" s="0" t="s">
        <v>648</v>
      </c>
      <c r="B10093" s="0" t="s">
        <v>86</v>
      </c>
      <c r="C10093" s="38" t="n">
        <f aca="false">Q!$D$24</f>
        <v>39.834</v>
      </c>
      <c r="D10093" s="38" t="n">
        <f aca="false">Q!$E$24</f>
        <v>45.606</v>
      </c>
      <c r="E10093" s="38" t="n">
        <f aca="false">Q!$P$24</f>
        <v>30.782</v>
      </c>
      <c r="N10093" s="38" t="n">
        <f aca="false">Q!$N$24</f>
        <v>21.707</v>
      </c>
      <c r="O10093" s="38" t="n">
        <f aca="false">Q!$O$24</f>
        <v>23.899</v>
      </c>
    </row>
    <row r="10094" customFormat="false" ht="17.15" hidden="false" customHeight="false" outlineLevel="0" collapsed="false">
      <c r="A10094" s="0" t="s">
        <v>649</v>
      </c>
      <c r="B10094" s="0" t="s">
        <v>86</v>
      </c>
      <c r="C10094" s="38" t="n">
        <f aca="false">Sens!$C$10093-Sens!$C$10089</f>
        <v>38.1898211704631</v>
      </c>
      <c r="D10094" s="38" t="n">
        <f aca="false">Sens!$D$10093-Sens!$D$10089</f>
        <v>40.2147492622706</v>
      </c>
      <c r="E10094" s="38" t="n">
        <f aca="false">Sens!$E$10093-Sens!$E$10089</f>
        <v>27.5985138285251</v>
      </c>
      <c r="F10094" s="38" t="n">
        <f aca="false">Sens!$F$10071*Sens!$F$10095</f>
        <v>25.5484769754606</v>
      </c>
      <c r="G10094" s="38" t="n">
        <f aca="false">Sens!$E$10094+Sens!$F$10094</f>
        <v>53.1469908039857</v>
      </c>
      <c r="H10094" s="38" t="n">
        <f aca="false">Sens!$H$10071*Sens!$H$10095</f>
        <v>57.3189525076539</v>
      </c>
      <c r="I10094" s="38" t="n">
        <f aca="false">Sens!$I$10071*Sens!$I$10095</f>
        <v>63.6385627021087</v>
      </c>
      <c r="J10094" s="38" t="n">
        <f aca="false">Sens!$J$10071*Sens!$J$10095</f>
        <v>69.6922896066105</v>
      </c>
      <c r="K10094" s="38" t="n">
        <f aca="false">Sens!$K$10071*Sens!$K$10095</f>
        <v>75.2676727751394</v>
      </c>
      <c r="L10094" s="38" t="n">
        <f aca="false">Sens!$L$10071*Sens!$L$10095</f>
        <v>81.2890865971505</v>
      </c>
      <c r="M10094" s="38" t="n">
        <f aca="false">Sens!$M$10071*Sens!$M$10095</f>
        <v>87.7922135249226</v>
      </c>
      <c r="N10094" s="38" t="n">
        <f aca="false">Sens!$N$10093-Sens!$N$10089</f>
        <v>20.0277839996292</v>
      </c>
      <c r="O10094" s="38" t="n">
        <f aca="false">Sens!$O$10093-Sens!$O$10089</f>
        <v>20.1869652626414</v>
      </c>
      <c r="P10094" s="5" t="s">
        <v>650</v>
      </c>
    </row>
    <row r="10095" customFormat="false" ht="17.15" hidden="false" customHeight="false" outlineLevel="0" collapsed="false">
      <c r="A10095" s="0" t="s">
        <v>651</v>
      </c>
      <c r="B10095" s="0" t="s">
        <v>52</v>
      </c>
      <c r="C10095" s="13" t="n">
        <f aca="false">Sens!$C$10094/Sens!$C$10071</f>
        <v>0.362900395443635</v>
      </c>
      <c r="D10095" s="13" t="n">
        <f aca="false">Sens!$D$10094/Sens!$D$10071</f>
        <v>0.335063632425483</v>
      </c>
      <c r="E10095" s="13" t="n">
        <f aca="false">Sens!$E$10094/Sens!$E$10071</f>
        <v>0.387028992698038</v>
      </c>
      <c r="F10095" s="13" t="n">
        <f aca="false">(Sens!$O$10094+Sens!$E$10094)/(Sens!$O$10071+Sens!$E$10071)</f>
        <v>0.355980580118587</v>
      </c>
      <c r="G10095" s="13" t="n">
        <f aca="false">Sens!$G$10094/Sens!$G$10071</f>
        <v>0.371454804780916</v>
      </c>
      <c r="H10095" s="13" t="n">
        <f aca="false">Sens!$F$10095</f>
        <v>0.355980580118587</v>
      </c>
      <c r="I10095" s="13" t="n">
        <f aca="false">Sens!$F$10095</f>
        <v>0.355980580118587</v>
      </c>
      <c r="J10095" s="13" t="n">
        <f aca="false">Sens!$F$10095</f>
        <v>0.355980580118587</v>
      </c>
      <c r="K10095" s="13" t="n">
        <f aca="false">Sens!$F$10095</f>
        <v>0.355980580118587</v>
      </c>
      <c r="L10095" s="13" t="n">
        <f aca="false">Sens!$F$10095</f>
        <v>0.355980580118587</v>
      </c>
      <c r="M10095" s="13" t="n">
        <f aca="false">Sens!$F$10095</f>
        <v>0.355980580118587</v>
      </c>
      <c r="N10095" s="13" t="n">
        <f aca="false">Sens!$N$10094/Sens!$N$10071</f>
        <v>0.35078810535806</v>
      </c>
      <c r="O10095" s="13" t="n">
        <f aca="false">Sens!$O$10094/Sens!$O$10071</f>
        <v>0.320796939361619</v>
      </c>
      <c r="P10095" s="8" t="s">
        <v>652</v>
      </c>
    </row>
    <row r="10096" customFormat="false" ht="17.15" hidden="false" customHeight="false" outlineLevel="0" collapsed="false">
      <c r="A10096" s="0" t="s">
        <v>653</v>
      </c>
      <c r="B10096" s="0" t="s">
        <v>52</v>
      </c>
      <c r="D10096" s="13" t="n">
        <f aca="false">(Q!$E$31-ext_sh*Sens!$D$10085)/Sens!$D$10071</f>
        <v>0.167180325480118</v>
      </c>
    </row>
    <row r="10097" customFormat="false" ht="17.15" hidden="false" customHeight="false" outlineLevel="0" collapsed="false">
      <c r="A10097" s="0" t="s">
        <v>654</v>
      </c>
      <c r="B10097" s="0" t="s">
        <v>86</v>
      </c>
      <c r="C10097" s="38" t="n">
        <f aca="false">Q!$D$31</f>
        <v>13.32</v>
      </c>
      <c r="D10097" s="38" t="n">
        <f aca="false">Q!$E$31</f>
        <v>21.45</v>
      </c>
      <c r="E10097" s="38" t="n">
        <f aca="false">Q!$P$31</f>
        <v>15.353</v>
      </c>
      <c r="F10097" s="38" t="n">
        <f aca="false">ext_sh*Sens!$F$10085+Sens!$D$10096*Sens!$F$10071</f>
        <v>15.4404120185306</v>
      </c>
      <c r="G10097" s="38" t="n">
        <f aca="false">Sens!$E$10097+Sens!$F$10097</f>
        <v>30.7934120185306</v>
      </c>
      <c r="H10097" s="38" t="n">
        <f aca="false">ext_sh*Sens!$H$10085+Sens!$D$10096*Sens!$H$10071</f>
        <v>48.250114371455</v>
      </c>
      <c r="I10097" s="38" t="n">
        <f aca="false">ext_sh*Sens!$I$10085+Sens!$D$10096*Sens!$I$10071</f>
        <v>73.3965146995963</v>
      </c>
      <c r="J10097" s="38" t="n">
        <f aca="false">ext_sh*Sens!$J$10085+Sens!$D$10096*Sens!$J$10071</f>
        <v>99.22806138309</v>
      </c>
      <c r="K10097" s="38" t="n">
        <f aca="false">ext_sh*Sens!$K$10085+Sens!$D$10096*Sens!$K$10071</f>
        <v>125.386627452856</v>
      </c>
      <c r="L10097" s="38" t="n">
        <f aca="false">ext_sh*Sens!$L$10085+Sens!$D$10096*Sens!$L$10071</f>
        <v>144.77239043275</v>
      </c>
      <c r="M10097" s="38" t="n">
        <f aca="false">ext_sh*Sens!$M$10085+Sens!$D$10096*Sens!$M$10071</f>
        <v>158.693930910983</v>
      </c>
      <c r="N10097" s="38" t="n">
        <f aca="false">Q!$N$31</f>
        <v>9.234</v>
      </c>
      <c r="O10097" s="38" t="n">
        <f aca="false">Q!$O$31</f>
        <v>12.216</v>
      </c>
    </row>
    <row r="10098" customFormat="false" ht="17.15" hidden="false" customHeight="false" outlineLevel="0" collapsed="false">
      <c r="A10098" s="1" t="s">
        <v>655</v>
      </c>
    </row>
    <row r="10099" customFormat="false" ht="17.15" hidden="false" customHeight="false" outlineLevel="0" collapsed="false">
      <c r="A10099" s="15" t="s">
        <v>656</v>
      </c>
      <c r="B10099" s="14" t="s">
        <v>52</v>
      </c>
      <c r="C10099" s="14"/>
      <c r="D10099" s="14"/>
      <c r="E10099" s="14"/>
      <c r="F10099" s="14"/>
      <c r="G10099" s="17" t="n">
        <f aca="false">Sens!$G$10089*(1-tax)/(ext_sh*(Sens!$D$10086+Sens!$G$10086)/2)</f>
        <v>0.0966870495301478</v>
      </c>
      <c r="H10099" s="17" t="n">
        <f aca="false">Sens!$H$10089*(1-tax)/(ext_sh*(Sens!$G$10086+Sens!$H$10086)/2)</f>
        <v>0.100492020334136</v>
      </c>
      <c r="I10099" s="17" t="n">
        <f aca="false">Sens!$I$10089*(1-tax)/(ext_sh*(Sens!$H$10086+Sens!$I$10086)/2)</f>
        <v>0.0889392292218236</v>
      </c>
      <c r="J10099" s="17" t="n">
        <f aca="false">Sens!$J$10089*(1-tax)/(ext_sh*(Sens!$I$10086+Sens!$J$10086)/2)</f>
        <v>0.0858364613777012</v>
      </c>
      <c r="K10099" s="17" t="n">
        <f aca="false">Sens!$K$10089*(1-tax)/(ext_sh*(Sens!$J$10086+Sens!$K$10086)/2)</f>
        <v>0.08227162714687</v>
      </c>
      <c r="L10099" s="17" t="n">
        <f aca="false">Sens!$L$10089*(1-tax)/(ext_sh*(Sens!$K$10086+Sens!$L$10086)/2)</f>
        <v>0.0828942732763872</v>
      </c>
      <c r="M10099" s="17" t="n">
        <f aca="false">Sens!$M$10089*(1-tax)/(ext_sh*(Sens!$L$10086+Sens!$M$10086)/2)</f>
        <v>0.0807945482347635</v>
      </c>
      <c r="N10099" s="14"/>
      <c r="O10099" s="14"/>
      <c r="P10099" s="8" t="s">
        <v>657</v>
      </c>
    </row>
    <row r="10100" customFormat="false" ht="17.15" hidden="false" customHeight="false" outlineLevel="0" collapsed="false">
      <c r="A10100" s="5" t="s">
        <v>658</v>
      </c>
      <c r="B10100" s="0" t="s">
        <v>57</v>
      </c>
      <c r="H10100" s="36" t="n">
        <f aca="false">Sens!$H$10067*1000/(mw_open*he_open+Sens!$H$10065*Sens!$H$10062)</f>
        <v>0.991949006767191</v>
      </c>
      <c r="I10100" s="36" t="n">
        <f aca="false">Sens!$I$10067*1000/(mw_open*he_open+Sens!$I$10065*Sens!$I$10062)</f>
        <v>0.991949006767191</v>
      </c>
      <c r="J10100" s="36" t="n">
        <f aca="false">Sens!$J$10067*1000/(mw_open*he_open+Sens!$J$10065*Sens!$J$10062)</f>
        <v>0.991949006767191</v>
      </c>
      <c r="K10100" s="36" t="n">
        <f aca="false">Sens!$K$10067*1000/(mw_open*he_open+Sens!$K$10065*Sens!$K$10062)</f>
        <v>0.991949006767191</v>
      </c>
      <c r="L10100" s="36" t="n">
        <f aca="false">Sens!$L$10067*1000/(mw_open*he_open+Sens!$L$10065*Sens!$L$10062)</f>
        <v>0.991949006767191</v>
      </c>
      <c r="M10100" s="36" t="n">
        <f aca="false">Sens!$M$10067*1000/(mw_open*he_open+Sens!$M$10065*Sens!$M$10062)</f>
        <v>0.991949006767191</v>
      </c>
    </row>
    <row r="10101" customFormat="false" ht="17.15" hidden="false" customHeight="false" outlineLevel="0" collapsed="false">
      <c r="A10101" s="5" t="s">
        <v>659</v>
      </c>
      <c r="B10101" s="0" t="s">
        <v>57</v>
      </c>
      <c r="H10101" s="36" t="n">
        <f aca="false">Sens!$H$10100*(Sens!$H$10067+(wacc+0.01)*ext_sh*(Sens!$G$10086+Sens!$H$10086)/2/(1-tax)-Sens!$H$10089)/Sens!$H$10067</f>
        <v>1.08992358944546</v>
      </c>
      <c r="I10101" s="36" t="n">
        <f aca="false">Sens!$I$10100*(Sens!$I$10067+(wacc+0.01)*ext_sh*(Sens!$H$10086+Sens!$I$10086)/2/(1-tax)-Sens!$I$10089)/Sens!$I$10067</f>
        <v>1.13179986654234</v>
      </c>
      <c r="J10101" s="36" t="n">
        <f aca="false">Sens!$J$10100*(Sens!$J$10067+(wacc+0.01)*ext_sh*(Sens!$I$10086+Sens!$J$10086)/2/(1-tax)-Sens!$J$10089)/Sens!$J$10067</f>
        <v>1.1349986737299</v>
      </c>
      <c r="K10101" s="36" t="n">
        <f aca="false">Sens!$K$10100*(Sens!$K$10067+(wacc+0.01)*ext_sh*(Sens!$J$10086+Sens!$K$10086)/2/(1-tax)-Sens!$K$10089)/Sens!$K$10067</f>
        <v>1.1362175176919</v>
      </c>
      <c r="L10101" s="36" t="n">
        <f aca="false">Sens!$L$10100*(Sens!$L$10067+(wacc+0.01)*ext_sh*(Sens!$K$10086+Sens!$L$10086)/2/(1-tax)-Sens!$L$10089)/Sens!$L$10067</f>
        <v>1.12161841179405</v>
      </c>
      <c r="M10101" s="36" t="n">
        <f aca="false">Sens!$M$10100*(Sens!$M$10067+(wacc+0.01)*ext_sh*(Sens!$L$10086+Sens!$M$10086)/2/(1-tax)-Sens!$M$10089)/Sens!$M$10067</f>
        <v>1.1197206738815</v>
      </c>
    </row>
    <row r="10102" customFormat="false" ht="17.15" hidden="false" customHeight="false" outlineLevel="0" collapsed="false">
      <c r="A10102" s="5" t="s">
        <v>660</v>
      </c>
      <c r="B10102" s="0" t="s">
        <v>52</v>
      </c>
      <c r="C10102" s="13" t="n">
        <f aca="false">Sens!$C$10068/tk_pq</f>
        <v>0.195316432429398</v>
      </c>
      <c r="D10102" s="13" t="n">
        <f aca="false">Sens!$D$10068/tk_pq</f>
        <v>0.195316432429398</v>
      </c>
      <c r="E10102" s="13" t="n">
        <f aca="false">Sens!$E$10068/tk_pq</f>
        <v>0.195316432429398</v>
      </c>
      <c r="F10102" s="13" t="n">
        <f aca="false">Sens!$F$10068/tk_pq</f>
        <v>0.202241827274866</v>
      </c>
      <c r="G10102" s="13" t="n">
        <f aca="false">Sens!$G$10068/tk_pq</f>
        <v>0.199675016194063</v>
      </c>
      <c r="H10102" s="13" t="n">
        <f aca="false">Sens!$H$10068/tk_pq</f>
        <v>0.212647947710325</v>
      </c>
      <c r="I10102" s="13" t="n">
        <f aca="false">Sens!$I$10068/tk_pq</f>
        <v>0.219285125475351</v>
      </c>
      <c r="J10102" s="13" t="n">
        <f aca="false">Sens!$J$10068/tk_pq</f>
        <v>0.222492493217189</v>
      </c>
      <c r="K10102" s="13" t="n">
        <f aca="false">Sens!$K$10068/tk_pq</f>
        <v>0.224053502812094</v>
      </c>
      <c r="L10102" s="13" t="n">
        <f aca="false">Sens!$L$10068/tk_pq</f>
        <v>0.224786916785614</v>
      </c>
      <c r="M10102" s="13" t="n">
        <f aca="false">Sens!$M$10068/tk_pq</f>
        <v>0.225048671566937</v>
      </c>
      <c r="N10102" s="13" t="n">
        <f aca="false">Sens!$N$10068/tk_pq</f>
        <v>0.195316432429398</v>
      </c>
      <c r="O10102" s="13" t="n">
        <f aca="false">Sens!$O$10068/tk_pq</f>
        <v>0.195316432429398</v>
      </c>
      <c r="P10102" s="5" t="s">
        <v>661</v>
      </c>
    </row>
    <row r="10105" customFormat="false" ht="17.15" hidden="false" customHeight="false" outlineLevel="0" collapsed="false">
      <c r="A10105" s="1" t="s">
        <v>690</v>
      </c>
    </row>
    <row r="10106" customFormat="false" ht="17.15" hidden="false" customHeight="false" outlineLevel="0" collapsed="false">
      <c r="A10106" s="0" t="s">
        <v>691</v>
      </c>
      <c r="B10106" s="0" t="s">
        <v>86</v>
      </c>
      <c r="C10106" s="38" t="n">
        <f aca="false">Sens!$C$10067</f>
        <v>2.32100535697364</v>
      </c>
      <c r="D10106" s="38" t="n">
        <f aca="false">Sens!$D$10067</f>
        <v>8.70377008865116</v>
      </c>
      <c r="E10106" s="38" t="n">
        <f aca="false">Sens!$E$10067</f>
        <v>8.51035297557002</v>
      </c>
      <c r="F10106" s="38" t="n">
        <f aca="false">Sens!$F$10067</f>
        <v>14.9634336447205</v>
      </c>
      <c r="G10106" s="38" t="n">
        <f aca="false">Sens!$G$10067</f>
        <v>23.4737866202905</v>
      </c>
      <c r="H10106" s="38" t="n">
        <f aca="false">Sens!$H$10067</f>
        <v>60.1658907497746</v>
      </c>
      <c r="I10106" s="38" t="n">
        <f aca="false">Sens!$I$10067</f>
        <v>101.503699136432</v>
      </c>
      <c r="J10106" s="38" t="n">
        <f aca="false">Sens!$J$10067</f>
        <v>143.025407151278</v>
      </c>
      <c r="K10106" s="38" t="n">
        <f aca="false">Sens!$K$10067</f>
        <v>178.44812038318</v>
      </c>
      <c r="L10106" s="38" t="n">
        <f aca="false">Sens!$L$10067</f>
        <v>201.728101802396</v>
      </c>
      <c r="M10106" s="38" t="n">
        <f aca="false">Sens!$M$10067</f>
        <v>212.835441368865</v>
      </c>
      <c r="N10106" s="38" t="n">
        <f aca="false">Sens!$N$10067</f>
        <v>3.04631953102791</v>
      </c>
      <c r="O10106" s="38" t="n">
        <f aca="false">Sens!$O$10067</f>
        <v>5.65745055762326</v>
      </c>
      <c r="P10106" s="8" t="s">
        <v>692</v>
      </c>
    </row>
    <row r="10107" customFormat="false" ht="17.15" hidden="false" customHeight="false" outlineLevel="0" collapsed="false">
      <c r="A10107" s="0" t="s">
        <v>693</v>
      </c>
      <c r="B10107" s="0" t="s">
        <v>86</v>
      </c>
      <c r="C10107" s="38" t="n">
        <f aca="false">Sens!$C$10071</f>
        <v>105.234994643026</v>
      </c>
      <c r="D10107" s="38" t="n">
        <f aca="false">Sens!$D$10071</f>
        <v>120.021229911349</v>
      </c>
      <c r="E10107" s="38" t="n">
        <f aca="false">Sens!$E$10071</f>
        <v>71.30864702443</v>
      </c>
      <c r="F10107" s="38" t="n">
        <f aca="false">Sens!$F$10071</f>
        <v>71.7692997942464</v>
      </c>
      <c r="G10107" s="38" t="n">
        <f aca="false">Sens!$G$10071</f>
        <v>143.077946818676</v>
      </c>
      <c r="H10107" s="38" t="n">
        <f aca="false">Sens!$H$10071</f>
        <v>161.017077079203</v>
      </c>
      <c r="I10107" s="38" t="n">
        <f aca="false">Sens!$I$10071</f>
        <v>178.769759521457</v>
      </c>
      <c r="J10107" s="38" t="n">
        <f aca="false">Sens!$J$10071</f>
        <v>195.775538045907</v>
      </c>
      <c r="K10107" s="38" t="n">
        <f aca="false">Sens!$K$10071</f>
        <v>211.43758108958</v>
      </c>
      <c r="L10107" s="38" t="n">
        <f aca="false">Sens!$L$10071</f>
        <v>228.352587576746</v>
      </c>
      <c r="M10107" s="38" t="n">
        <f aca="false">Sens!$M$10071</f>
        <v>246.620794582886</v>
      </c>
      <c r="N10107" s="38" t="n">
        <f aca="false">Sens!$N$10071</f>
        <v>57.0936804689721</v>
      </c>
      <c r="O10107" s="38" t="n">
        <f aca="false">Sens!$O$10071</f>
        <v>62.9275494423768</v>
      </c>
      <c r="P10107" s="8" t="s">
        <v>692</v>
      </c>
    </row>
    <row r="10108" customFormat="false" ht="17.15" hidden="false" customHeight="false" outlineLevel="0" collapsed="false">
      <c r="A10108" s="1" t="s">
        <v>516</v>
      </c>
      <c r="B10108" s="8" t="s">
        <v>86</v>
      </c>
      <c r="C10108" s="38" t="n">
        <f aca="false">Q!$D$7</f>
        <v>107.556</v>
      </c>
      <c r="D10108" s="38" t="n">
        <f aca="false">Q!$E$7</f>
        <v>128.725</v>
      </c>
      <c r="E10108" s="38" t="n">
        <f aca="false">Q!$P$7</f>
        <v>79.819</v>
      </c>
      <c r="F10108" s="38" t="n">
        <f aca="false">Sens!$F$10106+Sens!$F$10107</f>
        <v>86.7327334389669</v>
      </c>
      <c r="G10108" s="38" t="n">
        <f aca="false">Sens!$G$10106+Sens!$G$10107</f>
        <v>166.551733438967</v>
      </c>
      <c r="H10108" s="38" t="n">
        <f aca="false">Sens!$H$10106+Sens!$H$10107</f>
        <v>221.182967828978</v>
      </c>
      <c r="I10108" s="38" t="n">
        <f aca="false">Sens!$I$10106+Sens!$I$10107</f>
        <v>280.27345865789</v>
      </c>
      <c r="J10108" s="38" t="n">
        <f aca="false">Sens!$J$10106+Sens!$J$10107</f>
        <v>338.800945197185</v>
      </c>
      <c r="K10108" s="38" t="n">
        <f aca="false">Sens!$K$10106+Sens!$K$10107</f>
        <v>389.88570147276</v>
      </c>
      <c r="L10108" s="38" t="n">
        <f aca="false">Sens!$L$10106+Sens!$L$10107</f>
        <v>430.080689379143</v>
      </c>
      <c r="M10108" s="38" t="n">
        <f aca="false">Sens!$M$10106+Sens!$M$10107</f>
        <v>459.456235951751</v>
      </c>
      <c r="N10108" s="38" t="n">
        <f aca="false">Q!$N$7</f>
        <v>60.14</v>
      </c>
      <c r="O10108" s="38" t="n">
        <f aca="false">Q!$O$7</f>
        <v>68.585</v>
      </c>
      <c r="P10108" s="5" t="s">
        <v>694</v>
      </c>
    </row>
    <row r="10109" customFormat="false" ht="15" hidden="false" customHeight="false" outlineLevel="0" collapsed="false">
      <c r="A10109" s="3" t="s">
        <v>695</v>
      </c>
      <c r="B10109" s="8" t="s">
        <v>86</v>
      </c>
      <c r="C10109" s="38" t="n">
        <f aca="false">Q!$D$8</f>
        <v>637.959</v>
      </c>
      <c r="D10109" s="38" t="n">
        <f aca="false">Q!$E$8</f>
        <v>716.924</v>
      </c>
      <c r="E10109" s="38" t="n">
        <f aca="false">Q!$P$8</f>
        <v>382.125</v>
      </c>
      <c r="F10109" s="38" t="n">
        <f aca="false">Sens!$F$10039+Sens!$F$10108</f>
        <v>435.780975084504</v>
      </c>
      <c r="G10109" s="38" t="n">
        <f aca="false">Sens!$G$10039+Sens!$G$10108</f>
        <v>817.905975084504</v>
      </c>
      <c r="H10109" s="38" t="n">
        <f aca="false">Sens!$H$10039+Sens!$H$10108</f>
        <v>942.279857350364</v>
      </c>
      <c r="I10109" s="38" t="n">
        <f aca="false">Sens!$I$10039+Sens!$I$10108</f>
        <v>1068.80284981042</v>
      </c>
      <c r="J10109" s="38" t="n">
        <f aca="false">Sens!$J$10039+Sens!$J$10108</f>
        <v>1189.90935093863</v>
      </c>
      <c r="K10109" s="38" t="n">
        <f aca="false">Sens!$K$10039+Sens!$K$10108</f>
        <v>1296.06215690385</v>
      </c>
      <c r="L10109" s="38" t="n">
        <f aca="false">Sens!$L$10039+Sens!$L$10108</f>
        <v>1395.17379585473</v>
      </c>
      <c r="M10109" s="38" t="n">
        <f aca="false">Sens!$M$10039+Sens!$M$10108</f>
        <v>1487.60414389864</v>
      </c>
      <c r="N10109" s="38" t="n">
        <f aca="false">Q!$N$8</f>
        <v>323.369</v>
      </c>
      <c r="O10109" s="38" t="n">
        <f aca="false">Q!$O$8</f>
        <v>393.555</v>
      </c>
    </row>
    <row r="10110" customFormat="false" ht="17.15" hidden="false" customHeight="false" outlineLevel="0" collapsed="false">
      <c r="A10110" s="24" t="s">
        <v>703</v>
      </c>
      <c r="B10110" s="25" t="s">
        <v>86</v>
      </c>
      <c r="C10110" s="41" t="n">
        <f aca="false">Sens!$C$10039-(Sens!$C$10041+Sens!$C$10042)</f>
        <v>0</v>
      </c>
      <c r="D10110" s="41" t="n">
        <f aca="false">Sens!$D$10039-(Sens!$D$10041+Sens!$D$10042)</f>
        <v>0</v>
      </c>
      <c r="E10110" s="41" t="n">
        <f aca="false">Sens!$E$10039-(Sens!$E$10041+Sens!$E$10042)</f>
        <v>0</v>
      </c>
      <c r="F10110" s="41" t="n">
        <f aca="false">Sens!$F$10039-(Sens!$F$10041+Sens!$F$10042)</f>
        <v>0</v>
      </c>
      <c r="G10110" s="41" t="n">
        <f aca="false">Sens!$G$10039-(Sens!$G$10041+Sens!$G$10042)</f>
        <v>0</v>
      </c>
      <c r="H10110" s="41" t="n">
        <f aca="false">Sens!$H$10039-(Sens!$H$10041+Sens!$H$10042)</f>
        <v>0</v>
      </c>
      <c r="I10110" s="41" t="n">
        <f aca="false">Sens!$I$10039-(Sens!$I$10041+Sens!$I$10042)</f>
        <v>0</v>
      </c>
      <c r="J10110" s="41" t="n">
        <f aca="false">Sens!$J$10039-(Sens!$J$10041+Sens!$J$10042)</f>
        <v>0</v>
      </c>
      <c r="K10110" s="41" t="n">
        <f aca="false">Sens!$K$10039-(Sens!$K$10041+Sens!$K$10042)</f>
        <v>0</v>
      </c>
      <c r="L10110" s="41" t="n">
        <f aca="false">Sens!$L$10039-(Sens!$L$10041+Sens!$L$10042)</f>
        <v>0</v>
      </c>
      <c r="M10110" s="41" t="n">
        <f aca="false">Sens!$M$10039-(Sens!$M$10041+Sens!$M$10042)</f>
        <v>0</v>
      </c>
      <c r="N10110" s="41" t="n">
        <f aca="false">Sens!$N$10039-(Sens!$N$10041+Sens!$N$10042)</f>
        <v>0</v>
      </c>
      <c r="O10110" s="41" t="n">
        <f aca="false">Sens!$O$10039-(Sens!$O$10041+Sens!$O$10042)</f>
        <v>0</v>
      </c>
    </row>
    <row r="10111" customFormat="false" ht="17.15" hidden="false" customHeight="false" outlineLevel="0" collapsed="false">
      <c r="A10111" s="24" t="s">
        <v>704</v>
      </c>
      <c r="B10111" s="25" t="s">
        <v>86</v>
      </c>
      <c r="C10111" s="41" t="n">
        <f aca="false">Sens!$C$10106+Sens!$C$10107-Sens!$C$10108</f>
        <v>0</v>
      </c>
      <c r="D10111" s="41" t="n">
        <f aca="false">Sens!$D$10106+Sens!$D$10107-Sens!$D$10108</f>
        <v>0</v>
      </c>
      <c r="E10111" s="41" t="n">
        <f aca="false">Sens!$E$10106+Sens!$E$10107-Sens!$E$10108</f>
        <v>0</v>
      </c>
      <c r="F10111" s="41" t="n">
        <f aca="false">Sens!$F$10106+Sens!$F$10107-Sens!$F$10108</f>
        <v>0</v>
      </c>
      <c r="G10111" s="41" t="n">
        <f aca="false">Sens!$G$10106+Sens!$G$10107-Sens!$G$10108</f>
        <v>0</v>
      </c>
      <c r="H10111" s="41" t="n">
        <f aca="false">Sens!$H$10106+Sens!$H$10107-Sens!$H$10108</f>
        <v>0</v>
      </c>
      <c r="I10111" s="41" t="n">
        <f aca="false">Sens!$I$10106+Sens!$I$10107-Sens!$I$10108</f>
        <v>0</v>
      </c>
      <c r="J10111" s="41" t="n">
        <f aca="false">Sens!$J$10106+Sens!$J$10107-Sens!$J$10108</f>
        <v>0</v>
      </c>
      <c r="K10111" s="41" t="n">
        <f aca="false">Sens!$K$10106+Sens!$K$10107-Sens!$K$10108</f>
        <v>0</v>
      </c>
      <c r="L10111" s="41" t="n">
        <f aca="false">Sens!$L$10106+Sens!$L$10107-Sens!$L$10108</f>
        <v>0</v>
      </c>
      <c r="M10111" s="41" t="n">
        <f aca="false">Sens!$M$10106+Sens!$M$10107-Sens!$M$10108</f>
        <v>0</v>
      </c>
      <c r="N10111" s="41" t="n">
        <f aca="false">Sens!$N$10106+Sens!$N$10107-Sens!$N$10108</f>
        <v>0</v>
      </c>
      <c r="O10111" s="41" t="n">
        <f aca="false">Sens!$O$10106+Sens!$O$10107-Sens!$O$10108</f>
        <v>0</v>
      </c>
    </row>
    <row r="10112" customFormat="false" ht="17.15" hidden="false" customHeight="false" outlineLevel="0" collapsed="false">
      <c r="A10112" s="24" t="s">
        <v>705</v>
      </c>
      <c r="B10112" s="25" t="s">
        <v>86</v>
      </c>
      <c r="C10112" s="41" t="n">
        <f aca="false">Sens!$C$10041+Sens!$C$10042+Sens!$C$10108-Sens!$C$10109</f>
        <v>0</v>
      </c>
      <c r="D10112" s="41" t="n">
        <f aca="false">Sens!$D$10041+Sens!$D$10042+Sens!$D$10108-Sens!$D$10109</f>
        <v>0</v>
      </c>
      <c r="E10112" s="41" t="n">
        <f aca="false">Sens!$E$10041+Sens!$E$10042+Sens!$E$10108-Sens!$E$10109</f>
        <v>0</v>
      </c>
      <c r="F10112" s="41" t="n">
        <f aca="false">Sens!$F$10041+Sens!$F$10042+Sens!$F$10108-Sens!$F$10109</f>
        <v>0</v>
      </c>
      <c r="G10112" s="41" t="n">
        <f aca="false">Sens!$G$10041+Sens!$G$10042+Sens!$G$10108-Sens!$G$10109</f>
        <v>0</v>
      </c>
      <c r="H10112" s="41" t="n">
        <f aca="false">Sens!$H$10041+Sens!$H$10042+Sens!$H$10108-Sens!$H$10109</f>
        <v>0</v>
      </c>
      <c r="I10112" s="41" t="n">
        <f aca="false">Sens!$I$10041+Sens!$I$10042+Sens!$I$10108-Sens!$I$10109</f>
        <v>0</v>
      </c>
      <c r="J10112" s="41" t="n">
        <f aca="false">Sens!$J$10041+Sens!$J$10042+Sens!$J$10108-Sens!$J$10109</f>
        <v>0</v>
      </c>
      <c r="K10112" s="41" t="n">
        <f aca="false">Sens!$K$10041+Sens!$K$10042+Sens!$K$10108-Sens!$K$10109</f>
        <v>0</v>
      </c>
      <c r="L10112" s="41" t="n">
        <f aca="false">Sens!$L$10041+Sens!$L$10042+Sens!$L$10108-Sens!$L$10109</f>
        <v>0</v>
      </c>
      <c r="M10112" s="41" t="n">
        <f aca="false">Sens!$M$10041+Sens!$M$10042+Sens!$M$10108-Sens!$M$10109</f>
        <v>0</v>
      </c>
      <c r="N10112" s="41" t="n">
        <f aca="false">Sens!$N$10041+Sens!$N$10042+Sens!$N$10108-Sens!$N$10109</f>
        <v>0</v>
      </c>
      <c r="O10112" s="41" t="n">
        <f aca="false">Sens!$O$10041+Sens!$O$10042+Sens!$O$10108-Sens!$O$10109</f>
        <v>0</v>
      </c>
    </row>
    <row r="10113" customFormat="false" ht="15" hidden="false" customHeight="false" outlineLevel="0" collapsed="false">
      <c r="A10113" s="5" t="s">
        <v>699</v>
      </c>
      <c r="B10113" s="0" t="s">
        <v>52</v>
      </c>
      <c r="G10113" s="13" t="n">
        <f aca="false">Sens!$G$10109/Sens!$D$10109-1</f>
        <v>0.140854504918937</v>
      </c>
      <c r="H10113" s="13" t="n">
        <f aca="false">Sens!$H$10109/Sens!$G$10109-1</f>
        <v>0.152063789793209</v>
      </c>
      <c r="I10113" s="13" t="n">
        <f aca="false">Sens!$I$10109/Sens!$H$10109-1</f>
        <v>0.134273264437417</v>
      </c>
      <c r="J10113" s="13" t="n">
        <f aca="false">Sens!$J$10109/Sens!$I$10109-1</f>
        <v>0.113310421234083</v>
      </c>
      <c r="K10113" s="13" t="n">
        <f aca="false">Sens!$K$10109/Sens!$J$10109-1</f>
        <v>0.0892108343223652</v>
      </c>
      <c r="L10113" s="13" t="n">
        <f aca="false">Sens!$L$10109/Sens!$K$10109-1</f>
        <v>0.076471362444261</v>
      </c>
      <c r="M10113" s="13" t="n">
        <f aca="false">Sens!$M$10109/Sens!$L$10109-1</f>
        <v>0.066250060256672</v>
      </c>
    </row>
    <row r="10114" customFormat="false" ht="17.15" hidden="false" customHeight="false" outlineLevel="0" collapsed="false">
      <c r="A10114" s="0" t="s">
        <v>700</v>
      </c>
      <c r="B10114" s="0" t="s">
        <v>52</v>
      </c>
      <c r="C10114" s="13" t="n">
        <f aca="false">Sens!$C$10108/Sens!$C$10109</f>
        <v>0.168593906504964</v>
      </c>
      <c r="D10114" s="13" t="n">
        <f aca="false">Sens!$D$10108/Sens!$D$10109</f>
        <v>0.179551807444025</v>
      </c>
      <c r="E10114" s="13" t="n">
        <f aca="false">Sens!$E$10108/Sens!$E$10109</f>
        <v>0.208881910369643</v>
      </c>
      <c r="F10114" s="13" t="n">
        <f aca="false">Sens!$F$10108/Sens!$F$10109</f>
        <v>0.199028269699356</v>
      </c>
      <c r="G10114" s="13" t="n">
        <f aca="false">Sens!$G$10108/Sens!$G$10109</f>
        <v>0.203631882529968</v>
      </c>
      <c r="H10114" s="13" t="n">
        <f aca="false">Sens!$H$10108/Sens!$H$10109</f>
        <v>0.234731715958496</v>
      </c>
      <c r="I10114" s="13" t="n">
        <f aca="false">Sens!$I$10108/Sens!$I$10109</f>
        <v>0.262231204480418</v>
      </c>
      <c r="J10114" s="13" t="n">
        <f aca="false">Sens!$J$10108/Sens!$J$10109</f>
        <v>0.284728366013706</v>
      </c>
      <c r="K10114" s="13" t="n">
        <f aca="false">Sens!$K$10108/Sens!$K$10109</f>
        <v>0.300823304959505</v>
      </c>
      <c r="L10114" s="13" t="n">
        <f aca="false">Sens!$L$10108/Sens!$L$10109</f>
        <v>0.308263164529735</v>
      </c>
      <c r="M10114" s="13" t="n">
        <f aca="false">Sens!$M$10108/Sens!$M$10109</f>
        <v>0.308856517936036</v>
      </c>
      <c r="N10114" s="13" t="n">
        <f aca="false">Sens!$N$10108/Sens!$N$10109</f>
        <v>0.185979484737251</v>
      </c>
      <c r="O10114" s="13" t="n">
        <f aca="false">Sens!$O$10108/Sens!$O$10109</f>
        <v>0.174270432341096</v>
      </c>
    </row>
    <row r="10115" customFormat="false" ht="17.15" hidden="false" customHeight="false" outlineLevel="0" collapsed="false">
      <c r="A10115" s="0" t="s">
        <v>701</v>
      </c>
      <c r="B10115" s="0" t="s">
        <v>52</v>
      </c>
      <c r="C10115" s="13" t="n">
        <f aca="false">Sens!$C$10106/Sens!$C$10108</f>
        <v>0.0215795060896058</v>
      </c>
      <c r="D10115" s="13" t="n">
        <f aca="false">Sens!$D$10106/Sens!$D$10108</f>
        <v>0.0676152269462122</v>
      </c>
      <c r="E10115" s="13" t="n">
        <f aca="false">Sens!$E$10106/Sens!$E$10108</f>
        <v>0.106620641395783</v>
      </c>
      <c r="F10115" s="13" t="n">
        <f aca="false">Sens!$F$10106/Sens!$F$10108</f>
        <v>0.172523487401099</v>
      </c>
      <c r="G10115" s="13" t="n">
        <f aca="false">Sens!$G$10106/Sens!$G$10108</f>
        <v>0.140939911795589</v>
      </c>
      <c r="H10115" s="13" t="n">
        <f aca="false">Sens!$H$10106/Sens!$H$10108</f>
        <v>0.272018642937714</v>
      </c>
      <c r="I10115" s="13" t="n">
        <f aca="false">Sens!$I$10106/Sens!$I$10108</f>
        <v>0.362159512436497</v>
      </c>
      <c r="J10115" s="13" t="n">
        <f aca="false">Sens!$J$10106/Sens!$J$10108</f>
        <v>0.422151735934609</v>
      </c>
      <c r="K10115" s="13" t="n">
        <f aca="false">Sens!$K$10106/Sens!$K$10108</f>
        <v>0.45769342068485</v>
      </c>
      <c r="L10115" s="13" t="n">
        <f aca="false">Sens!$L$10106/Sens!$L$10108</f>
        <v>0.469047103913472</v>
      </c>
      <c r="M10115" s="13" t="n">
        <f aca="false">Sens!$M$10106/Sens!$M$10108</f>
        <v>0.463233328258093</v>
      </c>
      <c r="N10115" s="13" t="n">
        <f aca="false">Sens!$N$10106/Sens!$N$10108</f>
        <v>0.0506537999838362</v>
      </c>
      <c r="O10115" s="13" t="n">
        <f aca="false">Sens!$O$10106/Sens!$O$10108</f>
        <v>0.0824881615167056</v>
      </c>
    </row>
    <row r="10118" customFormat="false" ht="19.4" hidden="false" customHeight="false" outlineLevel="0" collapsed="false">
      <c r="A10118" s="31" t="s">
        <v>1342</v>
      </c>
    </row>
    <row r="10119" customFormat="false" ht="17.15" hidden="false" customHeight="false" outlineLevel="0" collapsed="false">
      <c r="A10119" s="6" t="s">
        <v>16</v>
      </c>
      <c r="B10119" s="6" t="s">
        <v>17</v>
      </c>
      <c r="C10119" s="20" t="s">
        <v>497</v>
      </c>
      <c r="D10119" s="20" t="s">
        <v>498</v>
      </c>
      <c r="E10119" s="20" t="s">
        <v>580</v>
      </c>
      <c r="F10119" s="20" t="s">
        <v>581</v>
      </c>
      <c r="G10119" s="20" t="s">
        <v>582</v>
      </c>
      <c r="H10119" s="20" t="s">
        <v>583</v>
      </c>
      <c r="I10119" s="20" t="s">
        <v>584</v>
      </c>
      <c r="J10119" s="20" t="s">
        <v>585</v>
      </c>
      <c r="K10119" s="20" t="s">
        <v>586</v>
      </c>
      <c r="L10119" s="20" t="s">
        <v>587</v>
      </c>
      <c r="M10119" s="20" t="s">
        <v>588</v>
      </c>
      <c r="N10119" s="20" t="s">
        <v>589</v>
      </c>
      <c r="O10119" s="20" t="s">
        <v>590</v>
      </c>
      <c r="P10119" s="6" t="s">
        <v>23</v>
      </c>
      <c r="R10119" s="20" t="n">
        <v>2023</v>
      </c>
      <c r="S10119" s="20" t="n">
        <v>2024</v>
      </c>
      <c r="T10119" s="20" t="n">
        <v>2025</v>
      </c>
      <c r="U10119" s="20" t="n">
        <v>2026</v>
      </c>
      <c r="V10119" s="20" t="n">
        <v>2027</v>
      </c>
      <c r="W10119" s="20" t="n">
        <v>2028</v>
      </c>
      <c r="X10119" s="20" t="n">
        <v>2029</v>
      </c>
      <c r="Y10119" s="20" t="n">
        <v>2030</v>
      </c>
      <c r="Z10119" s="20" t="n">
        <v>2031</v>
      </c>
      <c r="AA10119" s="20" t="n">
        <v>2032</v>
      </c>
    </row>
    <row r="10120" customFormat="false" ht="17.15" hidden="false" customHeight="false" outlineLevel="0" collapsed="false">
      <c r="A10120" s="1" t="s">
        <v>716</v>
      </c>
    </row>
    <row r="10121" customFormat="false" ht="15" hidden="false" customHeight="false" outlineLevel="0" collapsed="false">
      <c r="A10121" s="0" t="s">
        <v>519</v>
      </c>
      <c r="B10121" s="0" t="s">
        <v>86</v>
      </c>
      <c r="C10121" s="38" t="n">
        <f aca="false">Sens!$C$10026</f>
        <v>247.029</v>
      </c>
      <c r="D10121" s="38" t="n">
        <f aca="false">Sens!$D$10026</f>
        <v>269.287</v>
      </c>
      <c r="E10121" s="38" t="n">
        <f aca="false">Sens!$E$10026</f>
        <v>134.686</v>
      </c>
      <c r="F10121" s="38" t="n">
        <f aca="false">Sens!$F$10026</f>
        <v>158.293876822267</v>
      </c>
      <c r="G10121" s="38" t="n">
        <f aca="false">Sens!$G$10026</f>
        <v>292.979876822267</v>
      </c>
      <c r="H10121" s="38" t="n">
        <f aca="false">Sens!$H$10026</f>
        <v>318.184543087396</v>
      </c>
      <c r="I10121" s="38" t="n">
        <f aca="false">Sens!$I$10026</f>
        <v>341.736278761793</v>
      </c>
      <c r="J10121" s="38" t="n">
        <f aca="false">Sens!$J$10026</f>
        <v>362.927192787048</v>
      </c>
      <c r="K10121" s="38" t="n">
        <f aca="false">Sens!$K$10026</f>
        <v>381.0735524264</v>
      </c>
      <c r="L10121" s="38" t="n">
        <f aca="false">Sens!$L$10026</f>
        <v>400.12723004772</v>
      </c>
      <c r="M10121" s="38" t="n">
        <f aca="false">Sens!$M$10026</f>
        <v>420.133591550106</v>
      </c>
      <c r="N10121" s="38" t="n">
        <f aca="false">Sens!$N$10026</f>
        <v>118.892</v>
      </c>
      <c r="O10121" s="38" t="n">
        <f aca="false">Sens!$O$10026</f>
        <v>150.395</v>
      </c>
    </row>
    <row r="10122" customFormat="false" ht="15" hidden="false" customHeight="false" outlineLevel="0" collapsed="false">
      <c r="A10122" s="0" t="s">
        <v>520</v>
      </c>
      <c r="B10122" s="0" t="s">
        <v>86</v>
      </c>
      <c r="C10122" s="38" t="n">
        <f aca="false">Sens!$C$10028</f>
        <v>21.215</v>
      </c>
      <c r="D10122" s="38" t="n">
        <f aca="false">Sens!$D$10028</f>
        <v>22.561</v>
      </c>
      <c r="E10122" s="38" t="n">
        <f aca="false">Sens!$E$10028</f>
        <v>11.579</v>
      </c>
      <c r="F10122" s="38" t="n">
        <f aca="false">Sens!$F$10028</f>
        <v>11.5938724610325</v>
      </c>
      <c r="G10122" s="38" t="n">
        <f aca="false">Sens!$G$10028</f>
        <v>23.1728724610325</v>
      </c>
      <c r="H10122" s="38" t="n">
        <f aca="false">Sens!$H$10028</f>
        <v>24.353392759506</v>
      </c>
      <c r="I10122" s="38" t="n">
        <f aca="false">Sens!$I$10028</f>
        <v>25.4240338872015</v>
      </c>
      <c r="J10122" s="38" t="n">
        <f aca="false">Sens!$J$10028</f>
        <v>26.3642491017174</v>
      </c>
      <c r="K10122" s="38" t="n">
        <f aca="false">Sens!$K$10028</f>
        <v>27.155176574769</v>
      </c>
      <c r="L10122" s="38" t="n">
        <f aca="false">Sens!$L$10028</f>
        <v>27.969831872012</v>
      </c>
      <c r="M10122" s="38" t="n">
        <f aca="false">Sens!$M$10028</f>
        <v>28.8089268281724</v>
      </c>
      <c r="N10122" s="38" t="n">
        <f aca="false">Sens!$N$10028</f>
        <v>11.128</v>
      </c>
      <c r="O10122" s="38" t="n">
        <f aca="false">Sens!$O$10028</f>
        <v>11.433</v>
      </c>
    </row>
    <row r="10123" customFormat="false" ht="15" hidden="false" customHeight="false" outlineLevel="0" collapsed="false">
      <c r="A10123" s="0" t="s">
        <v>521</v>
      </c>
      <c r="B10123" s="0" t="s">
        <v>86</v>
      </c>
      <c r="C10123" s="38" t="n">
        <f aca="false">Sens!$C$10030</f>
        <v>156.146</v>
      </c>
      <c r="D10123" s="38" t="n">
        <f aca="false">Sens!$D$10030</f>
        <v>172.162</v>
      </c>
      <c r="E10123" s="38" t="n">
        <f aca="false">Sens!$E$10030</f>
        <v>88.358</v>
      </c>
      <c r="F10123" s="38" t="n">
        <f aca="false">Sens!$F$10030</f>
        <v>102.004388260171</v>
      </c>
      <c r="G10123" s="38" t="n">
        <f aca="false">Sens!$G$10030</f>
        <v>190.362388260171</v>
      </c>
      <c r="H10123" s="38" t="n">
        <f aca="false">Sens!$H$10030</f>
        <v>210.343106588311</v>
      </c>
      <c r="I10123" s="38" t="n">
        <f aca="false">Sens!$I$10030</f>
        <v>229.969728494648</v>
      </c>
      <c r="J10123" s="38" t="n">
        <f aca="false">Sens!$J$10030</f>
        <v>248.747636972598</v>
      </c>
      <c r="K10123" s="38" t="n">
        <f aca="false">Sens!$K$10030</f>
        <v>266.15997156068</v>
      </c>
      <c r="L10123" s="38" t="n">
        <f aca="false">Sens!$L$10030</f>
        <v>284.791169569927</v>
      </c>
      <c r="M10123" s="38" t="n">
        <f aca="false">Sens!$M$10030</f>
        <v>304.726551439822</v>
      </c>
      <c r="N10123" s="38" t="n">
        <f aca="false">Sens!$N$10030</f>
        <v>76.86</v>
      </c>
      <c r="O10123" s="38" t="n">
        <f aca="false">Sens!$O$10030</f>
        <v>95.302</v>
      </c>
    </row>
    <row r="10124" customFormat="false" ht="15" hidden="false" customHeight="false" outlineLevel="0" collapsed="false">
      <c r="A10124" s="0" t="s">
        <v>522</v>
      </c>
      <c r="B10124" s="0" t="s">
        <v>86</v>
      </c>
      <c r="C10124" s="38" t="n">
        <f aca="false">Sens!$C$10032</f>
        <v>56.214</v>
      </c>
      <c r="D10124" s="38" t="n">
        <f aca="false">Sens!$D$10032</f>
        <v>68.635</v>
      </c>
      <c r="E10124" s="38" t="n">
        <f aca="false">Sens!$E$10032</f>
        <v>37.052</v>
      </c>
      <c r="F10124" s="38" t="n">
        <f aca="false">Sens!$F$10032</f>
        <v>46.1572219944148</v>
      </c>
      <c r="G10124" s="38" t="n">
        <f aca="false">Sens!$G$10032</f>
        <v>83.2092219944148</v>
      </c>
      <c r="H10124" s="38" t="n">
        <f aca="false">Sens!$H$10032</f>
        <v>99.8969223878976</v>
      </c>
      <c r="I10124" s="38" t="n">
        <f aca="false">Sens!$I$10032</f>
        <v>116.583111095496</v>
      </c>
      <c r="J10124" s="38" t="n">
        <f aca="false">Sens!$J$10032</f>
        <v>132.148941941952</v>
      </c>
      <c r="K10124" s="38" t="n">
        <f aca="false">Sens!$K$10032</f>
        <v>145.363836136147</v>
      </c>
      <c r="L10124" s="38" t="n">
        <f aca="false">Sens!$L$10032</f>
        <v>159.900219749762</v>
      </c>
      <c r="M10124" s="38" t="n">
        <f aca="false">Sens!$M$10032</f>
        <v>175.890241724738</v>
      </c>
      <c r="N10124" s="38" t="n">
        <f aca="false">Sens!$N$10032</f>
        <v>29.615</v>
      </c>
      <c r="O10124" s="38" t="n">
        <f aca="false">Sens!$O$10032</f>
        <v>39.02</v>
      </c>
    </row>
    <row r="10125" customFormat="false" ht="15" hidden="false" customHeight="false" outlineLevel="0" collapsed="false">
      <c r="A10125" s="0" t="s">
        <v>523</v>
      </c>
      <c r="B10125" s="0" t="s">
        <v>86</v>
      </c>
      <c r="C10125" s="38" t="n">
        <f aca="false">Sens!$C$10034</f>
        <v>44.374</v>
      </c>
      <c r="D10125" s="38" t="n">
        <f aca="false">Sens!$D$10034</f>
        <v>49.619</v>
      </c>
      <c r="E10125" s="38" t="n">
        <f aca="false">Sens!$E$10034</f>
        <v>27.157</v>
      </c>
      <c r="F10125" s="38" t="n">
        <f aca="false">Sens!$F$10034</f>
        <v>27.7764165988154</v>
      </c>
      <c r="G10125" s="38" t="n">
        <f aca="false">Sens!$G$10034</f>
        <v>54.9334165988154</v>
      </c>
      <c r="H10125" s="38" t="n">
        <f aca="false">Sens!$H$10034</f>
        <v>61.1564112561829</v>
      </c>
      <c r="I10125" s="38" t="n">
        <f aca="false">Sens!$I$10034</f>
        <v>67.2020282103945</v>
      </c>
      <c r="J10125" s="38" t="n">
        <f aca="false">Sens!$J$10034</f>
        <v>72.8757274028885</v>
      </c>
      <c r="K10125" s="38" t="n">
        <f aca="false">Sens!$K$10034</f>
        <v>77.9770283210907</v>
      </c>
      <c r="L10125" s="38" t="n">
        <f aca="false">Sens!$L$10034</f>
        <v>83.4354203035671</v>
      </c>
      <c r="M10125" s="38" t="n">
        <f aca="false">Sens!$M$10034</f>
        <v>89.2758997248168</v>
      </c>
      <c r="N10125" s="38" t="n">
        <f aca="false">Sens!$N$10034</f>
        <v>23.923</v>
      </c>
      <c r="O10125" s="38" t="n">
        <f aca="false">Sens!$O$10034</f>
        <v>25.696</v>
      </c>
    </row>
    <row r="10126" customFormat="false" ht="15" hidden="false" customHeight="false" outlineLevel="0" collapsed="false">
      <c r="A10126" s="0" t="s">
        <v>524</v>
      </c>
      <c r="B10126" s="0" t="s">
        <v>86</v>
      </c>
      <c r="C10126" s="38" t="n">
        <f aca="false">Sens!$C$10036</f>
        <v>5.425</v>
      </c>
      <c r="D10126" s="38" t="n">
        <f aca="false">Sens!$D$10036</f>
        <v>5.935</v>
      </c>
      <c r="E10126" s="38" t="n">
        <f aca="false">Sens!$E$10036</f>
        <v>3.474</v>
      </c>
      <c r="F10126" s="38" t="n">
        <f aca="false">Sens!$F$10036</f>
        <v>3.22246550883619</v>
      </c>
      <c r="G10126" s="38" t="n">
        <f aca="false">Sens!$G$10036</f>
        <v>6.69646550883619</v>
      </c>
      <c r="H10126" s="38" t="n">
        <f aca="false">Sens!$H$10036</f>
        <v>7.16251344209196</v>
      </c>
      <c r="I10126" s="38" t="n">
        <f aca="false">Sens!$I$10036</f>
        <v>7.61421070299826</v>
      </c>
      <c r="J10126" s="38" t="n">
        <f aca="false">Sens!$J$10036</f>
        <v>8.04465753523932</v>
      </c>
      <c r="K10126" s="38" t="n">
        <f aca="false">Sens!$K$10036</f>
        <v>8.44689041200128</v>
      </c>
      <c r="L10126" s="38" t="n">
        <f aca="false">Sens!$L$10036</f>
        <v>8.86923493260135</v>
      </c>
      <c r="M10126" s="38" t="n">
        <f aca="false">Sens!$M$10036</f>
        <v>9.31269667923142</v>
      </c>
      <c r="N10126" s="38" t="n">
        <f aca="false">Sens!$N$10036</f>
        <v>2.811</v>
      </c>
      <c r="O10126" s="38" t="n">
        <f aca="false">Sens!$O$10036</f>
        <v>3.124</v>
      </c>
    </row>
    <row r="10127" customFormat="false" ht="17.15" hidden="false" customHeight="false" outlineLevel="0" collapsed="false">
      <c r="A10127" s="0" t="s">
        <v>717</v>
      </c>
      <c r="B10127" s="0" t="s">
        <v>86</v>
      </c>
      <c r="C10127" s="38" t="n">
        <f aca="false">Sens!$C$10108</f>
        <v>107.556</v>
      </c>
      <c r="D10127" s="38" t="n">
        <f aca="false">Sens!$D$10108</f>
        <v>128.725</v>
      </c>
      <c r="E10127" s="38" t="n">
        <f aca="false">Sens!$E$10108</f>
        <v>79.819</v>
      </c>
      <c r="F10127" s="38" t="n">
        <f aca="false">Sens!$F$10108</f>
        <v>86.7327334389669</v>
      </c>
      <c r="G10127" s="38" t="n">
        <f aca="false">Sens!$G$10108</f>
        <v>166.551733438967</v>
      </c>
      <c r="H10127" s="38" t="n">
        <f aca="false">Sens!$H$10108</f>
        <v>221.182967828978</v>
      </c>
      <c r="I10127" s="38" t="n">
        <f aca="false">Sens!$I$10108</f>
        <v>280.27345865789</v>
      </c>
      <c r="J10127" s="38" t="n">
        <f aca="false">Sens!$J$10108</f>
        <v>338.800945197185</v>
      </c>
      <c r="K10127" s="38" t="n">
        <f aca="false">Sens!$K$10108</f>
        <v>389.88570147276</v>
      </c>
      <c r="L10127" s="38" t="n">
        <f aca="false">Sens!$L$10108</f>
        <v>430.080689379143</v>
      </c>
      <c r="M10127" s="38" t="n">
        <f aca="false">Sens!$M$10108</f>
        <v>459.456235951751</v>
      </c>
      <c r="N10127" s="38" t="n">
        <f aca="false">Sens!$N$10108</f>
        <v>60.14</v>
      </c>
      <c r="O10127" s="38" t="n">
        <f aca="false">Sens!$O$10108</f>
        <v>68.585</v>
      </c>
    </row>
    <row r="10128" customFormat="false" ht="15" hidden="false" customHeight="false" outlineLevel="0" collapsed="false">
      <c r="A10128" s="1" t="s">
        <v>512</v>
      </c>
      <c r="B10128" s="8" t="s">
        <v>86</v>
      </c>
      <c r="C10128" s="38" t="n">
        <f aca="false">Sens!$C$10041</f>
        <v>387.497</v>
      </c>
      <c r="D10128" s="38" t="n">
        <f aca="false">Sens!$D$10041</f>
        <v>426.305</v>
      </c>
      <c r="E10128" s="38" t="n">
        <f aca="false">Sens!$E$10041</f>
        <v>220.32</v>
      </c>
      <c r="F10128" s="38" t="n">
        <f aca="false">Sens!$F$10041</f>
        <v>250.639773480586</v>
      </c>
      <c r="G10128" s="38" t="n">
        <f aca="false">Sens!$G$10041</f>
        <v>470.959773480586</v>
      </c>
      <c r="H10128" s="38" t="n">
        <f aca="false">Sens!$H$10041</f>
        <v>521.386990416437</v>
      </c>
      <c r="I10128" s="38" t="n">
        <f aca="false">Sens!$I$10041</f>
        <v>570.143862887555</v>
      </c>
      <c r="J10128" s="38" t="n">
        <f aca="false">Sens!$J$10041</f>
        <v>615.391435791933</v>
      </c>
      <c r="K10128" s="38" t="n">
        <f aca="false">Sens!$K$10041</f>
        <v>655.208227561543</v>
      </c>
      <c r="L10128" s="38" t="n">
        <f aca="false">Sens!$L$10041</f>
        <v>697.807739249767</v>
      </c>
      <c r="M10128" s="38" t="n">
        <f aca="false">Sens!$M$10041</f>
        <v>743.399328463592</v>
      </c>
      <c r="N10128" s="38" t="n">
        <f aca="false">Sens!$N$10041</f>
        <v>192.955</v>
      </c>
      <c r="O10128" s="38" t="n">
        <f aca="false">Sens!$O$10041</f>
        <v>233.35</v>
      </c>
    </row>
    <row r="10129" customFormat="false" ht="15" hidden="false" customHeight="false" outlineLevel="0" collapsed="false">
      <c r="A10129" s="1" t="s">
        <v>515</v>
      </c>
      <c r="B10129" s="8" t="s">
        <v>86</v>
      </c>
      <c r="C10129" s="38" t="n">
        <f aca="false">Sens!$C$10042</f>
        <v>142.906</v>
      </c>
      <c r="D10129" s="38" t="n">
        <f aca="false">Sens!$D$10042</f>
        <v>161.894</v>
      </c>
      <c r="E10129" s="38" t="n">
        <f aca="false">Sens!$E$10042</f>
        <v>81.986</v>
      </c>
      <c r="F10129" s="38" t="n">
        <f aca="false">Sens!$F$10042</f>
        <v>98.408468164951</v>
      </c>
      <c r="G10129" s="38" t="n">
        <f aca="false">Sens!$G$10042</f>
        <v>180.394468164951</v>
      </c>
      <c r="H10129" s="38" t="n">
        <f aca="false">Sens!$H$10042</f>
        <v>199.709899104949</v>
      </c>
      <c r="I10129" s="38" t="n">
        <f aca="false">Sens!$I$10042</f>
        <v>218.385528264976</v>
      </c>
      <c r="J10129" s="38" t="n">
        <f aca="false">Sens!$J$10042</f>
        <v>235.71696994951</v>
      </c>
      <c r="K10129" s="38" t="n">
        <f aca="false">Sens!$K$10042</f>
        <v>250.968227869545</v>
      </c>
      <c r="L10129" s="38" t="n">
        <f aca="false">Sens!$L$10042</f>
        <v>267.285367225822</v>
      </c>
      <c r="M10129" s="38" t="n">
        <f aca="false">Sens!$M$10042</f>
        <v>284.748579483295</v>
      </c>
      <c r="N10129" s="38" t="n">
        <f aca="false">Sens!$N$10042</f>
        <v>70.274</v>
      </c>
      <c r="O10129" s="38" t="n">
        <f aca="false">Sens!$O$10042</f>
        <v>91.62</v>
      </c>
    </row>
    <row r="10130" customFormat="false" ht="15" hidden="false" customHeight="false" outlineLevel="0" collapsed="false">
      <c r="A10130" s="1" t="s">
        <v>516</v>
      </c>
      <c r="B10130" s="8" t="s">
        <v>86</v>
      </c>
      <c r="C10130" s="38" t="n">
        <f aca="false">Sens!$C$10108</f>
        <v>107.556</v>
      </c>
      <c r="D10130" s="38" t="n">
        <f aca="false">Sens!$D$10108</f>
        <v>128.725</v>
      </c>
      <c r="E10130" s="38" t="n">
        <f aca="false">Sens!$E$10108</f>
        <v>79.819</v>
      </c>
      <c r="F10130" s="38" t="n">
        <f aca="false">Sens!$F$10108</f>
        <v>86.7327334389669</v>
      </c>
      <c r="G10130" s="38" t="n">
        <f aca="false">Sens!$G$10108</f>
        <v>166.551733438967</v>
      </c>
      <c r="H10130" s="38" t="n">
        <f aca="false">Sens!$H$10108</f>
        <v>221.182967828978</v>
      </c>
      <c r="I10130" s="38" t="n">
        <f aca="false">Sens!$I$10108</f>
        <v>280.27345865789</v>
      </c>
      <c r="J10130" s="38" t="n">
        <f aca="false">Sens!$J$10108</f>
        <v>338.800945197185</v>
      </c>
      <c r="K10130" s="38" t="n">
        <f aca="false">Sens!$K$10108</f>
        <v>389.88570147276</v>
      </c>
      <c r="L10130" s="38" t="n">
        <f aca="false">Sens!$L$10108</f>
        <v>430.080689379143</v>
      </c>
      <c r="M10130" s="38" t="n">
        <f aca="false">Sens!$M$10108</f>
        <v>459.456235951751</v>
      </c>
      <c r="N10130" s="38" t="n">
        <f aca="false">Sens!$N$10108</f>
        <v>60.14</v>
      </c>
      <c r="O10130" s="38" t="n">
        <f aca="false">Sens!$O$10108</f>
        <v>68.585</v>
      </c>
    </row>
    <row r="10131" customFormat="false" ht="17.15" hidden="false" customHeight="false" outlineLevel="0" collapsed="false">
      <c r="A10131" s="0" t="s">
        <v>691</v>
      </c>
      <c r="B10131" s="0" t="s">
        <v>86</v>
      </c>
      <c r="C10131" s="38" t="n">
        <f aca="false">Sens!$C$10106</f>
        <v>2.32100535697364</v>
      </c>
      <c r="D10131" s="38" t="n">
        <f aca="false">Sens!$D$10106</f>
        <v>8.70377008865116</v>
      </c>
      <c r="E10131" s="38" t="n">
        <f aca="false">Sens!$E$10106</f>
        <v>8.51035297557002</v>
      </c>
      <c r="F10131" s="38" t="n">
        <f aca="false">Sens!$F$10106</f>
        <v>14.9634336447205</v>
      </c>
      <c r="G10131" s="38" t="n">
        <f aca="false">Sens!$G$10106</f>
        <v>23.4737866202905</v>
      </c>
      <c r="H10131" s="38" t="n">
        <f aca="false">Sens!$H$10106</f>
        <v>60.1658907497746</v>
      </c>
      <c r="I10131" s="38" t="n">
        <f aca="false">Sens!$I$10106</f>
        <v>101.503699136432</v>
      </c>
      <c r="J10131" s="38" t="n">
        <f aca="false">Sens!$J$10106</f>
        <v>143.025407151278</v>
      </c>
      <c r="K10131" s="38" t="n">
        <f aca="false">Sens!$K$10106</f>
        <v>178.44812038318</v>
      </c>
      <c r="L10131" s="38" t="n">
        <f aca="false">Sens!$L$10106</f>
        <v>201.728101802396</v>
      </c>
      <c r="M10131" s="38" t="n">
        <f aca="false">Sens!$M$10106</f>
        <v>212.835441368865</v>
      </c>
      <c r="N10131" s="38" t="n">
        <f aca="false">Sens!$N$10106</f>
        <v>3.04631953102791</v>
      </c>
      <c r="O10131" s="38" t="n">
        <f aca="false">Sens!$O$10106</f>
        <v>5.65745055762326</v>
      </c>
    </row>
    <row r="10132" customFormat="false" ht="17.15" hidden="false" customHeight="false" outlineLevel="0" collapsed="false">
      <c r="A10132" s="0" t="s">
        <v>693</v>
      </c>
      <c r="B10132" s="0" t="s">
        <v>86</v>
      </c>
      <c r="C10132" s="38" t="n">
        <f aca="false">Sens!$C$10107</f>
        <v>105.234994643026</v>
      </c>
      <c r="D10132" s="38" t="n">
        <f aca="false">Sens!$D$10107</f>
        <v>120.021229911349</v>
      </c>
      <c r="E10132" s="38" t="n">
        <f aca="false">Sens!$E$10107</f>
        <v>71.30864702443</v>
      </c>
      <c r="F10132" s="38" t="n">
        <f aca="false">Sens!$F$10107</f>
        <v>71.7692997942464</v>
      </c>
      <c r="G10132" s="38" t="n">
        <f aca="false">Sens!$G$10107</f>
        <v>143.077946818676</v>
      </c>
      <c r="H10132" s="38" t="n">
        <f aca="false">Sens!$H$10107</f>
        <v>161.017077079203</v>
      </c>
      <c r="I10132" s="38" t="n">
        <f aca="false">Sens!$I$10107</f>
        <v>178.769759521457</v>
      </c>
      <c r="J10132" s="38" t="n">
        <f aca="false">Sens!$J$10107</f>
        <v>195.775538045907</v>
      </c>
      <c r="K10132" s="38" t="n">
        <f aca="false">Sens!$K$10107</f>
        <v>211.43758108958</v>
      </c>
      <c r="L10132" s="38" t="n">
        <f aca="false">Sens!$L$10107</f>
        <v>228.352587576746</v>
      </c>
      <c r="M10132" s="38" t="n">
        <f aca="false">Sens!$M$10107</f>
        <v>246.620794582886</v>
      </c>
      <c r="N10132" s="38" t="n">
        <f aca="false">Sens!$N$10107</f>
        <v>57.0936804689721</v>
      </c>
      <c r="O10132" s="38" t="n">
        <f aca="false">Sens!$O$10107</f>
        <v>62.9275494423768</v>
      </c>
    </row>
    <row r="10133" customFormat="false" ht="15" hidden="false" customHeight="false" outlineLevel="0" collapsed="false">
      <c r="A10133" s="3" t="s">
        <v>517</v>
      </c>
      <c r="B10133" s="8" t="s">
        <v>86</v>
      </c>
      <c r="C10133" s="38" t="n">
        <f aca="false">Sens!$C$10109</f>
        <v>637.959</v>
      </c>
      <c r="D10133" s="38" t="n">
        <f aca="false">Sens!$D$10109</f>
        <v>716.924</v>
      </c>
      <c r="E10133" s="38" t="n">
        <f aca="false">Sens!$E$10109</f>
        <v>382.125</v>
      </c>
      <c r="F10133" s="38" t="n">
        <f aca="false">Sens!$F$10109</f>
        <v>435.780975084504</v>
      </c>
      <c r="G10133" s="38" t="n">
        <f aca="false">Sens!$G$10109</f>
        <v>817.905975084504</v>
      </c>
      <c r="H10133" s="38" t="n">
        <f aca="false">Sens!$H$10109</f>
        <v>942.279857350364</v>
      </c>
      <c r="I10133" s="38" t="n">
        <f aca="false">Sens!$I$10109</f>
        <v>1068.80284981042</v>
      </c>
      <c r="J10133" s="38" t="n">
        <f aca="false">Sens!$J$10109</f>
        <v>1189.90935093863</v>
      </c>
      <c r="K10133" s="38" t="n">
        <f aca="false">Sens!$K$10109</f>
        <v>1296.06215690385</v>
      </c>
      <c r="L10133" s="38" t="n">
        <f aca="false">Sens!$L$10109</f>
        <v>1395.17379585473</v>
      </c>
      <c r="M10133" s="38" t="n">
        <f aca="false">Sens!$M$10109</f>
        <v>1487.60414389864</v>
      </c>
      <c r="N10133" s="38" t="n">
        <f aca="false">Sens!$N$10109</f>
        <v>323.369</v>
      </c>
      <c r="O10133" s="38" t="n">
        <f aca="false">Sens!$O$10109</f>
        <v>393.555</v>
      </c>
    </row>
    <row r="10134" customFormat="false" ht="17.15" hidden="false" customHeight="false" outlineLevel="0" collapsed="false">
      <c r="A10134" s="24" t="s">
        <v>703</v>
      </c>
      <c r="B10134" s="25" t="s">
        <v>86</v>
      </c>
      <c r="C10134" s="41" t="n">
        <f aca="false">Sens!$C$10121+Sens!$C$10122+Sens!$C$10123+Sens!$C$10124+Sens!$C$10125+Sens!$C$10126-(Sens!$C$10128+Sens!$C$10129)</f>
        <v>0</v>
      </c>
      <c r="D10134" s="41" t="n">
        <f aca="false">Sens!$D$10121+Sens!$D$10122+Sens!$D$10123+Sens!$D$10124+Sens!$D$10125+Sens!$D$10126-(Sens!$D$10128+Sens!$D$10129)</f>
        <v>0</v>
      </c>
      <c r="E10134" s="41" t="n">
        <f aca="false">Sens!$E$10121+Sens!$E$10122+Sens!$E$10123+Sens!$E$10124+Sens!$E$10125+Sens!$E$10126-(Sens!$E$10128+Sens!$E$10129)</f>
        <v>0</v>
      </c>
      <c r="F10134" s="41" t="n">
        <f aca="false">Sens!$F$10121+Sens!$F$10122+Sens!$F$10123+Sens!$F$10124+Sens!$F$10125+Sens!$F$10126-(Sens!$F$10128+Sens!$F$10129)</f>
        <v>0</v>
      </c>
      <c r="G10134" s="41" t="n">
        <f aca="false">Sens!$G$10121+Sens!$G$10122+Sens!$G$10123+Sens!$G$10124+Sens!$G$10125+Sens!$G$10126-(Sens!$G$10128+Sens!$G$10129)</f>
        <v>0</v>
      </c>
      <c r="H10134" s="41" t="n">
        <f aca="false">Sens!$H$10121+Sens!$H$10122+Sens!$H$10123+Sens!$H$10124+Sens!$H$10125+Sens!$H$10126-(Sens!$H$10128+Sens!$H$10129)</f>
        <v>0</v>
      </c>
      <c r="I10134" s="41" t="n">
        <f aca="false">Sens!$I$10121+Sens!$I$10122+Sens!$I$10123+Sens!$I$10124+Sens!$I$10125+Sens!$I$10126-(Sens!$I$10128+Sens!$I$10129)</f>
        <v>0</v>
      </c>
      <c r="J10134" s="41" t="n">
        <f aca="false">Sens!$J$10121+Sens!$J$10122+Sens!$J$10123+Sens!$J$10124+Sens!$J$10125+Sens!$J$10126-(Sens!$J$10128+Sens!$J$10129)</f>
        <v>0</v>
      </c>
      <c r="K10134" s="41" t="n">
        <f aca="false">Sens!$K$10121+Sens!$K$10122+Sens!$K$10123+Sens!$K$10124+Sens!$K$10125+Sens!$K$10126-(Sens!$K$10128+Sens!$K$10129)</f>
        <v>0</v>
      </c>
      <c r="L10134" s="41" t="n">
        <f aca="false">Sens!$L$10121+Sens!$L$10122+Sens!$L$10123+Sens!$L$10124+Sens!$L$10125+Sens!$L$10126-(Sens!$L$10128+Sens!$L$10129)</f>
        <v>0</v>
      </c>
      <c r="M10134" s="41" t="n">
        <f aca="false">Sens!$M$10121+Sens!$M$10122+Sens!$M$10123+Sens!$M$10124+Sens!$M$10125+Sens!$M$10126-(Sens!$M$10128+Sens!$M$10129)</f>
        <v>0</v>
      </c>
      <c r="N10134" s="41" t="n">
        <f aca="false">Sens!$N$10121+Sens!$N$10122+Sens!$N$10123+Sens!$N$10124+Sens!$N$10125+Sens!$N$10126-(Sens!$N$10128+Sens!$N$10129)</f>
        <v>0</v>
      </c>
      <c r="O10134" s="41" t="n">
        <f aca="false">Sens!$O$10121+Sens!$O$10122+Sens!$O$10123+Sens!$O$10124+Sens!$O$10125+Sens!$O$10126-(Sens!$O$10128+Sens!$O$10129)</f>
        <v>0</v>
      </c>
    </row>
    <row r="10135" customFormat="false" ht="17.15" hidden="false" customHeight="false" outlineLevel="0" collapsed="false">
      <c r="A10135" s="24" t="s">
        <v>704</v>
      </c>
      <c r="B10135" s="25" t="s">
        <v>86</v>
      </c>
      <c r="C10135" s="41" t="n">
        <f aca="false">Sens!$C$10131+Sens!$C$10132-Sens!$C$10130</f>
        <v>0</v>
      </c>
      <c r="D10135" s="41" t="n">
        <f aca="false">Sens!$D$10131+Sens!$D$10132-Sens!$D$10130</f>
        <v>0</v>
      </c>
      <c r="E10135" s="41" t="n">
        <f aca="false">Sens!$E$10131+Sens!$E$10132-Sens!$E$10130</f>
        <v>0</v>
      </c>
      <c r="F10135" s="41" t="n">
        <f aca="false">Sens!$F$10131+Sens!$F$10132-Sens!$F$10130</f>
        <v>0</v>
      </c>
      <c r="G10135" s="41" t="n">
        <f aca="false">Sens!$G$10131+Sens!$G$10132-Sens!$G$10130</f>
        <v>0</v>
      </c>
      <c r="H10135" s="41" t="n">
        <f aca="false">Sens!$H$10131+Sens!$H$10132-Sens!$H$10130</f>
        <v>0</v>
      </c>
      <c r="I10135" s="41" t="n">
        <f aca="false">Sens!$I$10131+Sens!$I$10132-Sens!$I$10130</f>
        <v>0</v>
      </c>
      <c r="J10135" s="41" t="n">
        <f aca="false">Sens!$J$10131+Sens!$J$10132-Sens!$J$10130</f>
        <v>0</v>
      </c>
      <c r="K10135" s="41" t="n">
        <f aca="false">Sens!$K$10131+Sens!$K$10132-Sens!$K$10130</f>
        <v>0</v>
      </c>
      <c r="L10135" s="41" t="n">
        <f aca="false">Sens!$L$10131+Sens!$L$10132-Sens!$L$10130</f>
        <v>0</v>
      </c>
      <c r="M10135" s="41" t="n">
        <f aca="false">Sens!$M$10131+Sens!$M$10132-Sens!$M$10130</f>
        <v>0</v>
      </c>
      <c r="N10135" s="41" t="n">
        <f aca="false">Sens!$N$10131+Sens!$N$10132-Sens!$N$10130</f>
        <v>0</v>
      </c>
      <c r="O10135" s="41" t="n">
        <f aca="false">Sens!$O$10131+Sens!$O$10132-Sens!$O$10130</f>
        <v>0</v>
      </c>
    </row>
    <row r="10136" customFormat="false" ht="17.15" hidden="false" customHeight="false" outlineLevel="0" collapsed="false">
      <c r="A10136" s="24" t="s">
        <v>763</v>
      </c>
      <c r="B10136" s="25" t="s">
        <v>86</v>
      </c>
      <c r="C10136" s="41" t="n">
        <f aca="false">Sens!$C$10121+Sens!$C$10122+Sens!$C$10123+Sens!$C$10124+Sens!$C$10125+Sens!$C$10126+Sens!$C$10127-Sens!$C$10133</f>
        <v>0</v>
      </c>
      <c r="D10136" s="41" t="n">
        <f aca="false">Sens!$D$10121+Sens!$D$10122+Sens!$D$10123+Sens!$D$10124+Sens!$D$10125+Sens!$D$10126+Sens!$D$10127-Sens!$D$10133</f>
        <v>0</v>
      </c>
      <c r="E10136" s="41" t="n">
        <f aca="false">Sens!$E$10121+Sens!$E$10122+Sens!$E$10123+Sens!$E$10124+Sens!$E$10125+Sens!$E$10126+Sens!$E$10127-Sens!$E$10133</f>
        <v>0</v>
      </c>
      <c r="F10136" s="41" t="n">
        <f aca="false">Sens!$F$10121+Sens!$F$10122+Sens!$F$10123+Sens!$F$10124+Sens!$F$10125+Sens!$F$10126+Sens!$F$10127-Sens!$F$10133</f>
        <v>0</v>
      </c>
      <c r="G10136" s="41" t="n">
        <f aca="false">Sens!$G$10121+Sens!$G$10122+Sens!$G$10123+Sens!$G$10124+Sens!$G$10125+Sens!$G$10126+Sens!$G$10127-Sens!$G$10133</f>
        <v>0</v>
      </c>
      <c r="H10136" s="41" t="n">
        <f aca="false">Sens!$H$10121+Sens!$H$10122+Sens!$H$10123+Sens!$H$10124+Sens!$H$10125+Sens!$H$10126+Sens!$H$10127-Sens!$H$10133</f>
        <v>0</v>
      </c>
      <c r="I10136" s="41" t="n">
        <f aca="false">Sens!$I$10121+Sens!$I$10122+Sens!$I$10123+Sens!$I$10124+Sens!$I$10125+Sens!$I$10126+Sens!$I$10127-Sens!$I$10133</f>
        <v>0</v>
      </c>
      <c r="J10136" s="41" t="n">
        <f aca="false">Sens!$J$10121+Sens!$J$10122+Sens!$J$10123+Sens!$J$10124+Sens!$J$10125+Sens!$J$10126+Sens!$J$10127-Sens!$J$10133</f>
        <v>0</v>
      </c>
      <c r="K10136" s="41" t="n">
        <f aca="false">Sens!$K$10121+Sens!$K$10122+Sens!$K$10123+Sens!$K$10124+Sens!$K$10125+Sens!$K$10126+Sens!$K$10127-Sens!$K$10133</f>
        <v>0</v>
      </c>
      <c r="L10136" s="41" t="n">
        <f aca="false">Sens!$L$10121+Sens!$L$10122+Sens!$L$10123+Sens!$L$10124+Sens!$L$10125+Sens!$L$10126+Sens!$L$10127-Sens!$L$10133</f>
        <v>0</v>
      </c>
      <c r="M10136" s="41" t="n">
        <f aca="false">Sens!$M$10121+Sens!$M$10122+Sens!$M$10123+Sens!$M$10124+Sens!$M$10125+Sens!$M$10126+Sens!$M$10127-Sens!$M$10133</f>
        <v>0</v>
      </c>
      <c r="N10136" s="41" t="n">
        <f aca="false">Sens!$N$10121+Sens!$N$10122+Sens!$N$10123+Sens!$N$10124+Sens!$N$10125+Sens!$N$10126+Sens!$N$10127-Sens!$N$10133</f>
        <v>0</v>
      </c>
      <c r="O10136" s="41" t="n">
        <f aca="false">Sens!$O$10121+Sens!$O$10122+Sens!$O$10123+Sens!$O$10124+Sens!$O$10125+Sens!$O$10126+Sens!$O$10127-Sens!$O$10133</f>
        <v>0</v>
      </c>
    </row>
    <row r="10137" customFormat="false" ht="17.15" hidden="false" customHeight="false" outlineLevel="0" collapsed="false">
      <c r="A10137" s="24" t="s">
        <v>705</v>
      </c>
      <c r="B10137" s="25" t="s">
        <v>86</v>
      </c>
      <c r="C10137" s="41" t="n">
        <f aca="false">Sens!$C$10128+Sens!$C$10129+Sens!$C$10130-Sens!$C$10133</f>
        <v>0</v>
      </c>
      <c r="D10137" s="41" t="n">
        <f aca="false">Sens!$D$10128+Sens!$D$10129+Sens!$D$10130-Sens!$D$10133</f>
        <v>0</v>
      </c>
      <c r="E10137" s="41" t="n">
        <f aca="false">Sens!$E$10128+Sens!$E$10129+Sens!$E$10130-Sens!$E$10133</f>
        <v>0</v>
      </c>
      <c r="F10137" s="41" t="n">
        <f aca="false">Sens!$F$10128+Sens!$F$10129+Sens!$F$10130-Sens!$F$10133</f>
        <v>0</v>
      </c>
      <c r="G10137" s="41" t="n">
        <f aca="false">Sens!$G$10128+Sens!$G$10129+Sens!$G$10130-Sens!$G$10133</f>
        <v>0</v>
      </c>
      <c r="H10137" s="41" t="n">
        <f aca="false">Sens!$H$10128+Sens!$H$10129+Sens!$H$10130-Sens!$H$10133</f>
        <v>0</v>
      </c>
      <c r="I10137" s="41" t="n">
        <f aca="false">Sens!$I$10128+Sens!$I$10129+Sens!$I$10130-Sens!$I$10133</f>
        <v>0</v>
      </c>
      <c r="J10137" s="41" t="n">
        <f aca="false">Sens!$J$10128+Sens!$J$10129+Sens!$J$10130-Sens!$J$10133</f>
        <v>0</v>
      </c>
      <c r="K10137" s="41" t="n">
        <f aca="false">Sens!$K$10128+Sens!$K$10129+Sens!$K$10130-Sens!$K$10133</f>
        <v>0</v>
      </c>
      <c r="L10137" s="41" t="n">
        <f aca="false">Sens!$L$10128+Sens!$L$10129+Sens!$L$10130-Sens!$L$10133</f>
        <v>0</v>
      </c>
      <c r="M10137" s="41" t="n">
        <f aca="false">Sens!$M$10128+Sens!$M$10129+Sens!$M$10130-Sens!$M$10133</f>
        <v>0</v>
      </c>
      <c r="N10137" s="41" t="n">
        <f aca="false">Sens!$N$10128+Sens!$N$10129+Sens!$N$10130-Sens!$N$10133</f>
        <v>0</v>
      </c>
      <c r="O10137" s="41" t="n">
        <f aca="false">Sens!$O$10128+Sens!$O$10129+Sens!$O$10130-Sens!$O$10133</f>
        <v>0</v>
      </c>
    </row>
    <row r="10138" customFormat="false" ht="17.15" hidden="false" customHeight="false" outlineLevel="0" collapsed="false">
      <c r="A10138" s="1" t="s">
        <v>719</v>
      </c>
    </row>
    <row r="10139" customFormat="false" ht="17.15" hidden="false" customHeight="false" outlineLevel="0" collapsed="false">
      <c r="A10139" s="0" t="s">
        <v>720</v>
      </c>
      <c r="B10139" s="0" t="s">
        <v>86</v>
      </c>
      <c r="C10139" s="38" t="n">
        <f aca="false">Sens!$C$10043*m_ad</f>
        <v>20.5341564414228</v>
      </c>
      <c r="D10139" s="38" t="n">
        <f aca="false">Sens!$D$10043*m_ad</f>
        <v>24.8720617299587</v>
      </c>
      <c r="E10139" s="38" t="n">
        <f aca="false">Sens!$E$10043*m_ad</f>
        <v>13.5017112462207</v>
      </c>
      <c r="F10139" s="38" t="n">
        <f aca="false">Sens!$F$10043*m_ad</f>
        <v>16.5719724165257</v>
      </c>
      <c r="G10139" s="38" t="n">
        <f aca="false">Sens!$G$10043*m_ad</f>
        <v>30.0820919220415</v>
      </c>
      <c r="H10139" s="38" t="n">
        <f aca="false">Sens!$H$10043*m_ad</f>
        <v>36.1150883276314</v>
      </c>
      <c r="I10139" s="38" t="n">
        <f aca="false">Sens!$I$10043*m_ad</f>
        <v>42.1475382231996</v>
      </c>
      <c r="J10139" s="38" t="n">
        <f aca="false">Sens!$J$10043*m_ad</f>
        <v>47.7749523864693</v>
      </c>
      <c r="K10139" s="38" t="n">
        <f aca="false">Sens!$K$10043*m_ad</f>
        <v>52.5524476251162</v>
      </c>
      <c r="L10139" s="38" t="n">
        <f aca="false">Sens!$L$10043*m_ad</f>
        <v>57.8076923876279</v>
      </c>
      <c r="M10139" s="38" t="n">
        <f aca="false">Sens!$M$10043*m_ad</f>
        <v>63.5884616263907</v>
      </c>
      <c r="N10139" s="38" t="n">
        <f aca="false">Sens!$N$10043*m_ad</f>
        <v>10.8543555706248</v>
      </c>
      <c r="O10139" s="38" t="n">
        <f aca="false">Sens!$O$10043*m_ad</f>
        <v>14.0094731821399</v>
      </c>
    </row>
    <row r="10140" customFormat="false" ht="17.15" hidden="false" customHeight="false" outlineLevel="0" collapsed="false">
      <c r="A10140" s="0" t="s">
        <v>721</v>
      </c>
      <c r="B10140" s="0" t="s">
        <v>86</v>
      </c>
      <c r="C10140" s="38" t="n">
        <f aca="false">Sens!$C$10041-Sens!$C$10043</f>
        <v>346.428687117154</v>
      </c>
      <c r="D10140" s="38" t="n">
        <f aca="false">Sens!$D$10041-Sens!$D$10043</f>
        <v>376.560876540083</v>
      </c>
      <c r="E10140" s="38" t="n">
        <f aca="false">Sens!$E$10041-Sens!$E$10043</f>
        <v>193.316577507559</v>
      </c>
      <c r="F10140" s="38" t="n">
        <f aca="false">Sens!$F$10041-Sens!$F$10043</f>
        <v>217.495828647535</v>
      </c>
      <c r="G10140" s="38" t="n">
        <f aca="false">Sens!$G$10041-Sens!$G$10043</f>
        <v>410.795589636503</v>
      </c>
      <c r="H10140" s="38" t="n">
        <f aca="false">Sens!$H$10041-Sens!$H$10043</f>
        <v>449.156813761174</v>
      </c>
      <c r="I10140" s="38" t="n">
        <f aca="false">Sens!$I$10041-Sens!$I$10043</f>
        <v>485.848786441156</v>
      </c>
      <c r="J10140" s="38" t="n">
        <f aca="false">Sens!$J$10041-Sens!$J$10043</f>
        <v>519.841531018994</v>
      </c>
      <c r="K10140" s="38" t="n">
        <f aca="false">Sens!$K$10041-Sens!$K$10043</f>
        <v>550.103332311311</v>
      </c>
      <c r="L10140" s="38" t="n">
        <f aca="false">Sens!$L$10041-Sens!$L$10043</f>
        <v>582.192354474511</v>
      </c>
      <c r="M10140" s="38" t="n">
        <f aca="false">Sens!$M$10041-Sens!$M$10043</f>
        <v>616.22240521081</v>
      </c>
      <c r="N10140" s="38" t="n">
        <f aca="false">Sens!$N$10041-Sens!$N$10043</f>
        <v>171.24628885875</v>
      </c>
      <c r="O10140" s="38" t="n">
        <f aca="false">Sens!$O$10041-Sens!$O$10043</f>
        <v>205.33105363572</v>
      </c>
    </row>
    <row r="10141" customFormat="false" ht="17.15" hidden="false" customHeight="false" outlineLevel="0" collapsed="false">
      <c r="A10141" s="0" t="s">
        <v>722</v>
      </c>
      <c r="B10141" s="0" t="s">
        <v>86</v>
      </c>
      <c r="C10141" s="38" t="n">
        <f aca="false">Sens!$C$10092*Sens!$C$10040</f>
        <v>0.123617442257179</v>
      </c>
      <c r="D10141" s="38" t="n">
        <f aca="false">Sens!$D$10092*Sens!$D$10040</f>
        <v>0.600198046024689</v>
      </c>
      <c r="E10141" s="38" t="n">
        <f aca="false">Sens!$E$10092*Sens!$E$10040</f>
        <v>0.970552432202993</v>
      </c>
      <c r="F10141" s="38" t="n">
        <f aca="false">Sens!$F$10092*Sens!$F$10040</f>
        <v>1.20013524388435</v>
      </c>
      <c r="G10141" s="38" t="n">
        <f aca="false">Sens!$G$10092*Sens!$G$10040</f>
        <v>2.17135369594947</v>
      </c>
      <c r="H10141" s="38" t="n">
        <f aca="false">Sens!$H$10092*Sens!$H$10040</f>
        <v>6.14227489656333</v>
      </c>
      <c r="I10141" s="38" t="n">
        <f aca="false">Sens!$I$10092*Sens!$I$10040</f>
        <v>11.6518054969681</v>
      </c>
      <c r="J10141" s="38" t="n">
        <f aca="false">Sens!$J$10092*Sens!$J$10040</f>
        <v>17.3105301010592</v>
      </c>
      <c r="K10141" s="38" t="n">
        <f aca="false">Sens!$K$10092*Sens!$K$10040</f>
        <v>22.8486728059883</v>
      </c>
      <c r="L10141" s="38" t="n">
        <f aca="false">Sens!$L$10092*Sens!$L$10040</f>
        <v>26.6849171332777</v>
      </c>
      <c r="M10141" s="38" t="n">
        <f aca="false">Sens!$M$10092*Sens!$M$10040</f>
        <v>29.0523240317336</v>
      </c>
      <c r="N10141" s="38" t="n">
        <f aca="false">Sens!$N$10092*Sens!$N$10040</f>
        <v>0.25053229484398</v>
      </c>
      <c r="O10141" s="38" t="n">
        <f aca="false">Sens!$O$10092*Sens!$O$10040</f>
        <v>0.349234376756897</v>
      </c>
    </row>
    <row r="10142" customFormat="false" ht="17.15" hidden="false" customHeight="false" outlineLevel="0" collapsed="false">
      <c r="A10142" s="0" t="s">
        <v>723</v>
      </c>
      <c r="B10142" s="0" t="s">
        <v>52</v>
      </c>
      <c r="C10142" s="28" t="n">
        <f aca="false">(Sens!$C$10143-Sens!$C$10139+Sens!$C$10141)/Sens!$C$10140</f>
        <v>0.0131526665379575</v>
      </c>
      <c r="D10142" s="28" t="n">
        <f aca="false">(Sens!$D$10143-Sens!$D$10139+Sens!$D$10141)/Sens!$D$10140</f>
        <v>0.0141999252954702</v>
      </c>
      <c r="E10142" s="28" t="n">
        <f aca="false">(Sens!$E$10143-Sens!$E$10139+Sens!$E$10141)/Sens!$E$10140</f>
        <v>0.0251341154940129</v>
      </c>
      <c r="F10142" s="28" t="n">
        <f aca="false">Sens!$O$10142+(Sens!$E$10142-Sens!$N$10142)</f>
        <v>0.0217171685713677</v>
      </c>
      <c r="G10142" s="28" t="n">
        <f aca="false">(Sens!$G$10143-Sens!$G$10139+Sens!$G$10141)/Sens!$G$10140</f>
        <v>0.0233071940458981</v>
      </c>
      <c r="H10142" s="28" t="n">
        <f aca="false">Sens!$G$10142+step_na</f>
        <v>0.0263071940458981</v>
      </c>
      <c r="I10142" s="28" t="n">
        <f aca="false">Sens!$H$10142+step_na</f>
        <v>0.0293071940458981</v>
      </c>
      <c r="J10142" s="28" t="n">
        <f aca="false">Sens!$I$10142+step_na</f>
        <v>0.0323071940458981</v>
      </c>
      <c r="K10142" s="28" t="n">
        <f aca="false">Sens!$J$10142+step_na</f>
        <v>0.0353071940458981</v>
      </c>
      <c r="L10142" s="28" t="n">
        <f aca="false">Sens!$K$10142</f>
        <v>0.0353071940458981</v>
      </c>
      <c r="M10142" s="28" t="n">
        <f aca="false">Sens!$L$10142</f>
        <v>0.0353071940458981</v>
      </c>
      <c r="N10142" s="28" t="n">
        <f aca="false">(Sens!$N$10143-Sens!$N$10139+Sens!$N$10141)/Sens!$N$10140</f>
        <v>0.0160831323269779</v>
      </c>
      <c r="O10142" s="28" t="n">
        <f aca="false">(Sens!$O$10143-Sens!$O$10139+Sens!$O$10141)/Sens!$O$10140</f>
        <v>0.0126661854043327</v>
      </c>
      <c r="P10142" s="8" t="s">
        <v>724</v>
      </c>
    </row>
    <row r="10143" customFormat="false" ht="17.15" hidden="false" customHeight="false" outlineLevel="0" collapsed="false">
      <c r="A10143" s="1" t="s">
        <v>725</v>
      </c>
      <c r="B10143" s="8" t="s">
        <v>86</v>
      </c>
      <c r="C10143" s="38" t="n">
        <f aca="false">Q!$D$22</f>
        <v>24.967</v>
      </c>
      <c r="D10143" s="38" t="n">
        <f aca="false">Q!$E$22</f>
        <v>29.619</v>
      </c>
      <c r="E10143" s="38" t="n">
        <f aca="false">Q!$P$22</f>
        <v>17.39</v>
      </c>
      <c r="F10143" s="38" t="n">
        <f aca="false">Sens!$F$10139+Sens!$F$10140*Sens!$F$10142-Sens!$F$10141</f>
        <v>20.0952307469491</v>
      </c>
      <c r="G10143" s="38" t="n">
        <f aca="false">Sens!$E$10143+Sens!$F$10143</f>
        <v>37.4852307469491</v>
      </c>
      <c r="H10143" s="38" t="n">
        <f aca="false">Sens!$H$10139+Sens!$H$10140*Sens!$H$10142-Sens!$H$10141</f>
        <v>41.7888688877206</v>
      </c>
      <c r="I10143" s="38" t="n">
        <f aca="false">Sens!$I$10139+Sens!$I$10140*Sens!$I$10142-Sens!$I$10141</f>
        <v>44.7345973874265</v>
      </c>
      <c r="J10143" s="38" t="n">
        <f aca="false">Sens!$J$10139+Sens!$J$10140*Sens!$J$10142-Sens!$J$10141</f>
        <v>47.2590435011574</v>
      </c>
      <c r="K10143" s="38" t="n">
        <f aca="false">Sens!$K$10139+Sens!$K$10140*Sens!$K$10142-Sens!$K$10141</f>
        <v>49.1263799183386</v>
      </c>
      <c r="L10143" s="38" t="n">
        <f aca="false">Sens!$L$10139+Sens!$L$10140*Sens!$L$10142-Sens!$L$10141</f>
        <v>51.67835368582</v>
      </c>
      <c r="M10143" s="38" t="n">
        <f aca="false">Sens!$M$10139+Sens!$M$10140*Sens!$M$10142-Sens!$M$10141</f>
        <v>56.2932216308652</v>
      </c>
      <c r="N10143" s="38" t="n">
        <f aca="false">Q!$N$22</f>
        <v>13.358</v>
      </c>
      <c r="O10143" s="38" t="n">
        <f aca="false">Q!$O$22</f>
        <v>16.261</v>
      </c>
    </row>
    <row r="10144" customFormat="false" ht="17.15" hidden="false" customHeight="false" outlineLevel="0" collapsed="false">
      <c r="A10144" s="0" t="s">
        <v>726</v>
      </c>
      <c r="B10144" s="0" t="s">
        <v>86</v>
      </c>
      <c r="C10144" s="38" t="n">
        <f aca="false">Sens!$C$10044*m_ad</f>
        <v>7.57284355857716</v>
      </c>
      <c r="D10144" s="38" t="n">
        <f aca="false">Sens!$D$10044*m_ad</f>
        <v>9.44543827004127</v>
      </c>
      <c r="E10144" s="38" t="n">
        <f aca="false">Sens!$E$10044*m_ad</f>
        <v>5.02428875377928</v>
      </c>
      <c r="F10144" s="38" t="n">
        <f aca="false">Sens!$F$10044*m_ad</f>
        <v>6.50663858068173</v>
      </c>
      <c r="G10144" s="38" t="n">
        <f aca="false">Sens!$G$10044*m_ad</f>
        <v>11.5225190751659</v>
      </c>
      <c r="H10144" s="38" t="n">
        <f aca="false">Sens!$H$10044*m_ad</f>
        <v>13.8333728663174</v>
      </c>
      <c r="I10144" s="38" t="n">
        <f aca="false">Sens!$I$10044*m_ad</f>
        <v>16.1440173245485</v>
      </c>
      <c r="J10144" s="38" t="n">
        <f aca="false">Sens!$J$10044*m_ad</f>
        <v>18.2995185845066</v>
      </c>
      <c r="K10144" s="38" t="n">
        <f aca="false">Sens!$K$10044*m_ad</f>
        <v>20.1294704429572</v>
      </c>
      <c r="L10144" s="38" t="n">
        <f aca="false">Sens!$L$10044*m_ad</f>
        <v>22.142417487253</v>
      </c>
      <c r="M10144" s="38" t="n">
        <f aca="false">Sens!$M$10044*m_ad</f>
        <v>24.3566592359783</v>
      </c>
      <c r="N10144" s="38" t="n">
        <f aca="false">Sens!$N$10044*m_ad</f>
        <v>3.95314442937518</v>
      </c>
      <c r="O10144" s="38" t="n">
        <f aca="false">Sens!$O$10044*m_ad</f>
        <v>5.50052681786011</v>
      </c>
    </row>
    <row r="10145" customFormat="false" ht="17.15" hidden="false" customHeight="false" outlineLevel="0" collapsed="false">
      <c r="A10145" s="0" t="s">
        <v>727</v>
      </c>
      <c r="B10145" s="0" t="s">
        <v>86</v>
      </c>
      <c r="C10145" s="38" t="n">
        <f aca="false">Sens!$C$10042-Sens!$C$10044</f>
        <v>127.760312882846</v>
      </c>
      <c r="D10145" s="38" t="n">
        <f aca="false">Sens!$D$10042-Sens!$D$10044</f>
        <v>143.003123459917</v>
      </c>
      <c r="E10145" s="38" t="n">
        <f aca="false">Sens!$E$10042-Sens!$E$10044</f>
        <v>71.9374224924414</v>
      </c>
      <c r="F10145" s="38" t="n">
        <f aca="false">Sens!$F$10042-Sens!$F$10044</f>
        <v>85.3951910035875</v>
      </c>
      <c r="G10145" s="38" t="n">
        <f aca="false">Sens!$G$10042-Sens!$G$10044</f>
        <v>157.349430014619</v>
      </c>
      <c r="H10145" s="38" t="n">
        <f aca="false">Sens!$H$10042-Sens!$H$10044</f>
        <v>172.043153372315</v>
      </c>
      <c r="I10145" s="38" t="n">
        <f aca="false">Sens!$I$10042-Sens!$I$10044</f>
        <v>186.097493615879</v>
      </c>
      <c r="J10145" s="38" t="n">
        <f aca="false">Sens!$J$10042-Sens!$J$10044</f>
        <v>199.117932780497</v>
      </c>
      <c r="K10145" s="38" t="n">
        <f aca="false">Sens!$K$10042-Sens!$K$10044</f>
        <v>210.70928698363</v>
      </c>
      <c r="L10145" s="38" t="n">
        <f aca="false">Sens!$L$10042-Sens!$L$10044</f>
        <v>223.000532251316</v>
      </c>
      <c r="M10145" s="38" t="n">
        <f aca="false">Sens!$M$10042-Sens!$M$10044</f>
        <v>236.035261011339</v>
      </c>
      <c r="N10145" s="38" t="n">
        <f aca="false">Sens!$N$10042-Sens!$N$10044</f>
        <v>62.3677111412496</v>
      </c>
      <c r="O10145" s="38" t="n">
        <f aca="false">Sens!$O$10042-Sens!$O$10044</f>
        <v>80.6189463642798</v>
      </c>
    </row>
    <row r="10146" customFormat="false" ht="17.15" hidden="false" customHeight="false" outlineLevel="0" collapsed="false">
      <c r="A10146" s="0" t="s">
        <v>728</v>
      </c>
      <c r="B10146" s="0" t="s">
        <v>86</v>
      </c>
      <c r="C10146" s="38" t="n">
        <f aca="false">Sens!$C$10092*(1-Sens!$C$10040)</f>
        <v>0.0455891896019953</v>
      </c>
      <c r="D10146" s="38" t="n">
        <f aca="false">Sens!$D$10092*(1-Sens!$D$10040)</f>
        <v>0.227931791705753</v>
      </c>
      <c r="E10146" s="38" t="n">
        <f aca="false">Sens!$E$10092*(1-Sens!$E$10040)</f>
        <v>0.361164268820781</v>
      </c>
      <c r="F10146" s="38" t="n">
        <f aca="false">Sens!$F$10092*(1-Sens!$F$10040)</f>
        <v>0.471208018190203</v>
      </c>
      <c r="G10146" s="38" t="n">
        <f aca="false">Sens!$G$10092*(1-Sens!$G$10040)</f>
        <v>0.83170626714885</v>
      </c>
      <c r="H10146" s="38" t="n">
        <f aca="false">Sens!$H$10092*(1-Sens!$H$10040)</f>
        <v>2.35271136874315</v>
      </c>
      <c r="I10146" s="38" t="n">
        <f aca="false">Sens!$I$10092*(1-Sens!$I$10040)</f>
        <v>4.46305900024741</v>
      </c>
      <c r="J10146" s="38" t="n">
        <f aca="false">Sens!$J$10092*(1-Sens!$J$10040)</f>
        <v>6.63055328092195</v>
      </c>
      <c r="K10146" s="38" t="n">
        <f aca="false">Sens!$K$10092*(1-Sens!$K$10040)</f>
        <v>8.75186037365703</v>
      </c>
      <c r="L10146" s="38" t="n">
        <f aca="false">Sens!$L$10092*(1-Sens!$L$10040)</f>
        <v>10.2212794071718</v>
      </c>
      <c r="M10146" s="38" t="n">
        <f aca="false">Sens!$M$10092*(1-Sens!$M$10040)</f>
        <v>11.1280810756472</v>
      </c>
      <c r="N10146" s="38" t="n">
        <f aca="false">Sens!$N$10092*(1-Sens!$N$10040)</f>
        <v>0.0912435878202994</v>
      </c>
      <c r="O10146" s="38" t="n">
        <f aca="false">Sens!$O$10092*(1-Sens!$O$10040)</f>
        <v>0.137119578309265</v>
      </c>
    </row>
    <row r="10147" customFormat="false" ht="17.15" hidden="false" customHeight="false" outlineLevel="0" collapsed="false">
      <c r="A10147" s="0" t="s">
        <v>729</v>
      </c>
      <c r="B10147" s="0" t="s">
        <v>52</v>
      </c>
      <c r="C10147" s="28" t="n">
        <f aca="false">(Sens!$C$10148-Sens!$C$10144+Sens!$C$10146)/Sens!$C$10145</f>
        <v>-0.0292364215826579</v>
      </c>
      <c r="D10147" s="28" t="n">
        <f aca="false">(Sens!$D$10148-Sens!$D$10144+Sens!$D$10146)/Sens!$D$10145</f>
        <v>-0.0312406216748665</v>
      </c>
      <c r="E10147" s="28" t="n">
        <f aca="false">(Sens!$E$10148-Sens!$E$10144+Sens!$E$10146)/Sens!$E$10145</f>
        <v>-0.0211590078184749</v>
      </c>
      <c r="F10147" s="28" t="n">
        <f aca="false">Sens!$O$10147+(Sens!$E$10147-Sens!$N$10147)</f>
        <v>-0.0382539955245511</v>
      </c>
      <c r="G10147" s="28" t="n">
        <f aca="false">(Sens!$G$10148-Sens!$G$10144+Sens!$G$10146)/Sens!$G$10145</f>
        <v>-0.030385172031133</v>
      </c>
      <c r="H10147" s="28" t="n">
        <f aca="false">Sens!$G$10147+step_in</f>
        <v>-0.030385172031133</v>
      </c>
      <c r="I10147" s="28" t="n">
        <f aca="false">Sens!$H$10147+step_in</f>
        <v>-0.030385172031133</v>
      </c>
      <c r="J10147" s="28" t="n">
        <f aca="false">Sens!$I$10147+step_in</f>
        <v>-0.030385172031133</v>
      </c>
      <c r="K10147" s="28" t="n">
        <f aca="false">Sens!$J$10147+step_in</f>
        <v>-0.030385172031133</v>
      </c>
      <c r="L10147" s="28" t="n">
        <f aca="false">Sens!$K$10147</f>
        <v>-0.030385172031133</v>
      </c>
      <c r="M10147" s="28" t="n">
        <f aca="false">Sens!$L$10147</f>
        <v>-0.030385172031133</v>
      </c>
      <c r="N10147" s="28" t="n">
        <f aca="false">(Sens!$N$10148-Sens!$N$10144+Sens!$N$10146)/Sens!$N$10145</f>
        <v>-0.0216602600421776</v>
      </c>
      <c r="O10147" s="28" t="n">
        <f aca="false">(Sens!$O$10148-Sens!$O$10144+Sens!$O$10146)/Sens!$O$10145</f>
        <v>-0.0387552477482538</v>
      </c>
      <c r="P10147" s="8" t="s">
        <v>724</v>
      </c>
    </row>
    <row r="10148" customFormat="false" ht="17.15" hidden="false" customHeight="false" outlineLevel="0" collapsed="false">
      <c r="A10148" s="1" t="s">
        <v>730</v>
      </c>
      <c r="B10148" s="8" t="s">
        <v>86</v>
      </c>
      <c r="C10148" s="38" t="n">
        <f aca="false">Q!$D$23</f>
        <v>3.792</v>
      </c>
      <c r="D10148" s="38" t="n">
        <f aca="false">Q!$E$23</f>
        <v>4.75</v>
      </c>
      <c r="E10148" s="38" t="n">
        <f aca="false">Q!$P$23</f>
        <v>3.141</v>
      </c>
      <c r="F10148" s="38" t="n">
        <f aca="false">Sens!$F$10144+Sens!$F$10145*Sens!$F$10147-Sens!$F$10146</f>
        <v>2.7687233080221</v>
      </c>
      <c r="G10148" s="38" t="n">
        <f aca="false">Sens!$E$10148+Sens!$F$10148</f>
        <v>5.9097233080221</v>
      </c>
      <c r="H10148" s="38" t="n">
        <f aca="false">Sens!$H$10144+Sens!$H$10145*Sens!$H$10147-Sens!$H$10146</f>
        <v>6.25310068557783</v>
      </c>
      <c r="I10148" s="38" t="n">
        <f aca="false">Sens!$I$10144+Sens!$I$10145*Sens!$I$10147-Sens!$I$10146</f>
        <v>6.02635396621997</v>
      </c>
      <c r="J10148" s="38" t="n">
        <f aca="false">Sens!$J$10144+Sens!$J$10145*Sens!$J$10147-Sens!$J$10146</f>
        <v>5.61873266156566</v>
      </c>
      <c r="K10148" s="38" t="n">
        <f aca="false">Sens!$K$10144+Sens!$K$10145*Sens!$K$10147-Sens!$K$10146</f>
        <v>4.97517213574524</v>
      </c>
      <c r="L10148" s="38" t="n">
        <f aca="false">Sens!$L$10144+Sens!$L$10145*Sens!$L$10147-Sens!$L$10146</f>
        <v>5.14522854459066</v>
      </c>
      <c r="M10148" s="38" t="n">
        <f aca="false">Sens!$M$10144+Sens!$M$10145*Sens!$M$10147-Sens!$M$10146</f>
        <v>6.05660614908815</v>
      </c>
      <c r="N10148" s="38" t="n">
        <f aca="false">Q!$N$23</f>
        <v>2.511</v>
      </c>
      <c r="O10148" s="38" t="n">
        <f aca="false">Q!$O$23</f>
        <v>2.239</v>
      </c>
    </row>
    <row r="10149" customFormat="false" ht="17.15" hidden="false" customHeight="false" outlineLevel="0" collapsed="false">
      <c r="A10149" s="0" t="s">
        <v>731</v>
      </c>
      <c r="B10149" s="0" t="s">
        <v>86</v>
      </c>
      <c r="C10149" s="38" t="n">
        <f aca="false">Sens!$C$10089</f>
        <v>1.64417882953695</v>
      </c>
      <c r="D10149" s="38" t="n">
        <f aca="false">Sens!$D$10089</f>
        <v>5.39125073772939</v>
      </c>
      <c r="E10149" s="38" t="n">
        <f aca="false">Sens!$E$10089</f>
        <v>3.18348617147493</v>
      </c>
      <c r="F10149" s="38" t="n">
        <f aca="false">Sens!$F$10089</f>
        <v>8.27806059642226</v>
      </c>
      <c r="G10149" s="38" t="n">
        <f aca="false">Sens!$G$10089</f>
        <v>11.4615467678972</v>
      </c>
      <c r="H10149" s="38" t="n">
        <f aca="false">Sens!$H$10089</f>
        <v>26.1859456885487</v>
      </c>
      <c r="I10149" s="38" t="n">
        <f aca="false">Sens!$I$10089</f>
        <v>37.04424114757</v>
      </c>
      <c r="J10149" s="38" t="n">
        <f aca="false">Sens!$J$10089</f>
        <v>47.2610736233534</v>
      </c>
      <c r="K10149" s="38" t="n">
        <f aca="false">Sens!$K$10089</f>
        <v>52.0459876645985</v>
      </c>
      <c r="L10149" s="38" t="n">
        <f aca="false">Sens!$L$10089</f>
        <v>54.1033156405981</v>
      </c>
      <c r="M10149" s="38" t="n">
        <f aca="false">Sens!$M$10089</f>
        <v>52.1138209393421</v>
      </c>
      <c r="N10149" s="38" t="n">
        <f aca="false">Sens!$N$10089</f>
        <v>1.67921600037079</v>
      </c>
      <c r="O10149" s="38" t="n">
        <f aca="false">Sens!$O$10089</f>
        <v>3.71203473735861</v>
      </c>
    </row>
    <row r="10150" customFormat="false" ht="17.15" hidden="false" customHeight="false" outlineLevel="0" collapsed="false">
      <c r="A10150" s="0" t="s">
        <v>649</v>
      </c>
      <c r="B10150" s="0" t="s">
        <v>86</v>
      </c>
      <c r="C10150" s="38" t="n">
        <f aca="false">Sens!$C$10094</f>
        <v>38.1898211704631</v>
      </c>
      <c r="D10150" s="38" t="n">
        <f aca="false">Sens!$D$10094</f>
        <v>40.2147492622706</v>
      </c>
      <c r="E10150" s="38" t="n">
        <f aca="false">Sens!$E$10094</f>
        <v>27.5985138285251</v>
      </c>
      <c r="F10150" s="38" t="n">
        <f aca="false">Sens!$F$10094</f>
        <v>25.5484769754606</v>
      </c>
      <c r="G10150" s="38" t="n">
        <f aca="false">Sens!$G$10094</f>
        <v>53.1469908039857</v>
      </c>
      <c r="H10150" s="38" t="n">
        <f aca="false">Sens!$H$10094</f>
        <v>57.3189525076539</v>
      </c>
      <c r="I10150" s="38" t="n">
        <f aca="false">Sens!$I$10094</f>
        <v>63.6385627021087</v>
      </c>
      <c r="J10150" s="38" t="n">
        <f aca="false">Sens!$J$10094</f>
        <v>69.6922896066105</v>
      </c>
      <c r="K10150" s="38" t="n">
        <f aca="false">Sens!$K$10094</f>
        <v>75.2676727751394</v>
      </c>
      <c r="L10150" s="38" t="n">
        <f aca="false">Sens!$L$10094</f>
        <v>81.2890865971505</v>
      </c>
      <c r="M10150" s="38" t="n">
        <f aca="false">Sens!$M$10094</f>
        <v>87.7922135249226</v>
      </c>
      <c r="N10150" s="38" t="n">
        <f aca="false">Sens!$N$10094</f>
        <v>20.0277839996292</v>
      </c>
      <c r="O10150" s="38" t="n">
        <f aca="false">Sens!$O$10094</f>
        <v>20.1869652626414</v>
      </c>
    </row>
    <row r="10151" customFormat="false" ht="17.15" hidden="false" customHeight="false" outlineLevel="0" collapsed="false">
      <c r="A10151" s="1" t="s">
        <v>732</v>
      </c>
      <c r="B10151" s="8" t="s">
        <v>86</v>
      </c>
      <c r="C10151" s="38" t="n">
        <f aca="false">Q!$D$24</f>
        <v>39.834</v>
      </c>
      <c r="D10151" s="38" t="n">
        <f aca="false">Q!$E$24</f>
        <v>45.606</v>
      </c>
      <c r="E10151" s="38" t="n">
        <f aca="false">Q!$P$24</f>
        <v>30.782</v>
      </c>
      <c r="F10151" s="38" t="n">
        <f aca="false">Sens!$F$10149+Sens!$F$10150</f>
        <v>33.8265375718829</v>
      </c>
      <c r="G10151" s="38" t="n">
        <f aca="false">Sens!$G$10149+Sens!$G$10150</f>
        <v>64.6085375718829</v>
      </c>
      <c r="H10151" s="38" t="n">
        <f aca="false">Sens!$H$10149+Sens!$H$10150</f>
        <v>83.5048981962026</v>
      </c>
      <c r="I10151" s="38" t="n">
        <f aca="false">Sens!$I$10149+Sens!$I$10150</f>
        <v>100.682803849679</v>
      </c>
      <c r="J10151" s="38" t="n">
        <f aca="false">Sens!$J$10149+Sens!$J$10150</f>
        <v>116.953363229964</v>
      </c>
      <c r="K10151" s="38" t="n">
        <f aca="false">Sens!$K$10149+Sens!$K$10150</f>
        <v>127.313660439738</v>
      </c>
      <c r="L10151" s="38" t="n">
        <f aca="false">Sens!$L$10149+Sens!$L$10150</f>
        <v>135.392402237749</v>
      </c>
      <c r="M10151" s="38" t="n">
        <f aca="false">Sens!$M$10149+Sens!$M$10150</f>
        <v>139.906034464265</v>
      </c>
      <c r="N10151" s="38" t="n">
        <f aca="false">Q!$N$24</f>
        <v>21.707</v>
      </c>
      <c r="O10151" s="38" t="n">
        <f aca="false">Q!$O$24</f>
        <v>23.899</v>
      </c>
    </row>
    <row r="10152" customFormat="false" ht="17.15" hidden="false" customHeight="false" outlineLevel="0" collapsed="false">
      <c r="A10152" s="5" t="s">
        <v>733</v>
      </c>
      <c r="B10152" s="0" t="s">
        <v>86</v>
      </c>
      <c r="C10152" s="38" t="n">
        <f aca="false">Q!$D$26</f>
        <v>0</v>
      </c>
      <c r="D10152" s="38" t="n">
        <f aca="false">Q!$E$26</f>
        <v>0</v>
      </c>
      <c r="E10152" s="38" t="n">
        <f aca="false">Q!$P$26</f>
        <v>0</v>
      </c>
      <c r="F10152" s="39" t="n">
        <v>0</v>
      </c>
      <c r="G10152" s="38" t="n">
        <f aca="false">Sens!$E$10152+Sens!$F$10152</f>
        <v>0</v>
      </c>
      <c r="H10152" s="39" t="n">
        <v>0</v>
      </c>
      <c r="I10152" s="39" t="n">
        <v>0</v>
      </c>
      <c r="J10152" s="39" t="n">
        <v>0</v>
      </c>
      <c r="K10152" s="39" t="n">
        <v>0</v>
      </c>
      <c r="L10152" s="39" t="n">
        <v>0</v>
      </c>
      <c r="M10152" s="39" t="n">
        <v>0</v>
      </c>
      <c r="N10152" s="38" t="n">
        <f aca="false">Q!$N$26</f>
        <v>0</v>
      </c>
      <c r="O10152" s="38" t="n">
        <f aca="false">Q!$O$26</f>
        <v>0</v>
      </c>
    </row>
    <row r="10153" customFormat="false" ht="15" hidden="false" customHeight="false" outlineLevel="0" collapsed="false">
      <c r="A10153" s="3" t="s">
        <v>534</v>
      </c>
      <c r="B10153" s="8" t="s">
        <v>86</v>
      </c>
      <c r="C10153" s="38" t="n">
        <f aca="false">Q!$D$25</f>
        <v>68.593</v>
      </c>
      <c r="D10153" s="38" t="n">
        <f aca="false">Q!$E$25</f>
        <v>79.975</v>
      </c>
      <c r="E10153" s="38" t="n">
        <f aca="false">Q!$P$25</f>
        <v>51.313</v>
      </c>
      <c r="F10153" s="38" t="n">
        <f aca="false">Sens!$F$10143+Sens!$F$10148+Sens!$F$10151+Sens!$F$10152</f>
        <v>56.6904916268541</v>
      </c>
      <c r="G10153" s="38" t="n">
        <f aca="false">Sens!$G$10143+Sens!$G$10148+Sens!$G$10151+Sens!$G$10152</f>
        <v>108.003491626854</v>
      </c>
      <c r="H10153" s="38" t="n">
        <f aca="false">Sens!$H$10143+Sens!$H$10148+Sens!$H$10151+Sens!$H$10152</f>
        <v>131.546867769501</v>
      </c>
      <c r="I10153" s="38" t="n">
        <f aca="false">Sens!$I$10143+Sens!$I$10148+Sens!$I$10151+Sens!$I$10152</f>
        <v>151.443755203325</v>
      </c>
      <c r="J10153" s="38" t="n">
        <f aca="false">Sens!$J$10143+Sens!$J$10148+Sens!$J$10151+Sens!$J$10152</f>
        <v>169.831139392687</v>
      </c>
      <c r="K10153" s="38" t="n">
        <f aca="false">Sens!$K$10143+Sens!$K$10148+Sens!$K$10151+Sens!$K$10152</f>
        <v>181.415212493822</v>
      </c>
      <c r="L10153" s="38" t="n">
        <f aca="false">Sens!$L$10143+Sens!$L$10148+Sens!$L$10151+Sens!$L$10152</f>
        <v>192.215984468159</v>
      </c>
      <c r="M10153" s="38" t="n">
        <f aca="false">Sens!$M$10143+Sens!$M$10148+Sens!$M$10151+Sens!$M$10152</f>
        <v>202.255862244218</v>
      </c>
      <c r="N10153" s="38" t="n">
        <f aca="false">Q!$N$25</f>
        <v>37.576</v>
      </c>
      <c r="O10153" s="38" t="n">
        <f aca="false">Q!$O$25</f>
        <v>42.399</v>
      </c>
    </row>
    <row r="10154" customFormat="false" ht="17.15" hidden="false" customHeight="false" outlineLevel="0" collapsed="false">
      <c r="A10154" s="24" t="s">
        <v>764</v>
      </c>
      <c r="B10154" s="25" t="s">
        <v>86</v>
      </c>
      <c r="C10154" s="41" t="n">
        <f aca="false">Sens!$C$10143+Sens!$C$10148+Sens!$C$10151+Sens!$C$10152-Sens!$C$10153</f>
        <v>0</v>
      </c>
      <c r="D10154" s="41" t="n">
        <f aca="false">Sens!$D$10143+Sens!$D$10148+Sens!$D$10151+Sens!$D$10152-Sens!$D$10153</f>
        <v>0</v>
      </c>
      <c r="E10154" s="41" t="n">
        <f aca="false">Sens!$E$10143+Sens!$E$10148+Sens!$E$10151+Sens!$E$10152-Sens!$E$10153</f>
        <v>0</v>
      </c>
      <c r="F10154" s="41" t="n">
        <f aca="false">Sens!$F$10143+Sens!$F$10148+Sens!$F$10151+Sens!$F$10152-Sens!$F$10153</f>
        <v>0</v>
      </c>
      <c r="G10154" s="41" t="n">
        <f aca="false">Sens!$G$10143+Sens!$G$10148+Sens!$G$10151+Sens!$G$10152-Sens!$G$10153</f>
        <v>0</v>
      </c>
      <c r="H10154" s="41" t="n">
        <f aca="false">Sens!$H$10143+Sens!$H$10148+Sens!$H$10151+Sens!$H$10152-Sens!$H$10153</f>
        <v>0</v>
      </c>
      <c r="I10154" s="41" t="n">
        <f aca="false">Sens!$I$10143+Sens!$I$10148+Sens!$I$10151+Sens!$I$10152-Sens!$I$10153</f>
        <v>0</v>
      </c>
      <c r="J10154" s="41" t="n">
        <f aca="false">Sens!$J$10143+Sens!$J$10148+Sens!$J$10151+Sens!$J$10152-Sens!$J$10153</f>
        <v>0</v>
      </c>
      <c r="K10154" s="41" t="n">
        <f aca="false">Sens!$K$10143+Sens!$K$10148+Sens!$K$10151+Sens!$K$10152-Sens!$K$10153</f>
        <v>0</v>
      </c>
      <c r="L10154" s="41" t="n">
        <f aca="false">Sens!$L$10143+Sens!$L$10148+Sens!$L$10151+Sens!$L$10152-Sens!$L$10153</f>
        <v>0</v>
      </c>
      <c r="M10154" s="41" t="n">
        <f aca="false">Sens!$M$10143+Sens!$M$10148+Sens!$M$10151+Sens!$M$10152-Sens!$M$10153</f>
        <v>0</v>
      </c>
      <c r="N10154" s="41" t="n">
        <f aca="false">Sens!$N$10143+Sens!$N$10148+Sens!$N$10151+Sens!$N$10152-Sens!$N$10153</f>
        <v>0</v>
      </c>
      <c r="O10154" s="41" t="n">
        <f aca="false">Sens!$O$10143+Sens!$O$10148+Sens!$O$10151+Sens!$O$10152-Sens!$O$10153</f>
        <v>0</v>
      </c>
    </row>
    <row r="10155" customFormat="false" ht="17.15" hidden="false" customHeight="false" outlineLevel="0" collapsed="false">
      <c r="A10155" s="5" t="s">
        <v>735</v>
      </c>
      <c r="B10155" s="0" t="s">
        <v>86</v>
      </c>
      <c r="C10155" s="38" t="n">
        <f aca="false">Sens!$C$10091</f>
        <v>0</v>
      </c>
      <c r="D10155" s="38" t="n">
        <f aca="false">Sens!$D$10091</f>
        <v>0</v>
      </c>
      <c r="E10155" s="38" t="n">
        <f aca="false">Sens!$E$10091</f>
        <v>0</v>
      </c>
      <c r="F10155" s="38" t="n">
        <f aca="false">Sens!$F$10091</f>
        <v>3.77122048175818</v>
      </c>
      <c r="G10155" s="38" t="n">
        <f aca="false">Sens!$G$10091</f>
        <v>3.77122048175818</v>
      </c>
      <c r="H10155" s="38" t="n">
        <f aca="false">Sens!$H$10091</f>
        <v>15.1635543609893</v>
      </c>
      <c r="I10155" s="38" t="n">
        <f aca="false">Sens!$I$10091</f>
        <v>25.5818843619889</v>
      </c>
      <c r="J10155" s="38" t="n">
        <f aca="false">Sens!$J$10091</f>
        <v>36.0465624179122</v>
      </c>
      <c r="K10155" s="38" t="n">
        <f aca="false">Sens!$K$10091</f>
        <v>44.9741164026038</v>
      </c>
      <c r="L10155" s="38" t="n">
        <f aca="false">Sens!$L$10091</f>
        <v>50.8413488057813</v>
      </c>
      <c r="M10155" s="38" t="n">
        <f aca="false">Sens!$M$10091</f>
        <v>53.6407214274315</v>
      </c>
      <c r="N10155" s="38" t="n">
        <f aca="false">Sens!$N$10091</f>
        <v>0</v>
      </c>
      <c r="O10155" s="38" t="n">
        <f aca="false">Sens!$O$10091</f>
        <v>0</v>
      </c>
      <c r="P10155" s="5" t="s">
        <v>736</v>
      </c>
    </row>
    <row r="10156" customFormat="false" ht="17.15" hidden="false" customHeight="false" outlineLevel="0" collapsed="false">
      <c r="A10156" s="5" t="s">
        <v>737</v>
      </c>
      <c r="B10156" s="0" t="s">
        <v>86</v>
      </c>
      <c r="C10156" s="38" t="n">
        <f aca="false">Sens!$C$10153+Sens!$C$10155</f>
        <v>68.593</v>
      </c>
      <c r="D10156" s="38" t="n">
        <f aca="false">Sens!$D$10153+Sens!$D$10155</f>
        <v>79.975</v>
      </c>
      <c r="E10156" s="38" t="n">
        <f aca="false">Sens!$E$10153+Sens!$E$10155</f>
        <v>51.313</v>
      </c>
      <c r="F10156" s="38" t="n">
        <f aca="false">Sens!$F$10153+Sens!$F$10155</f>
        <v>60.4617121086123</v>
      </c>
      <c r="G10156" s="38" t="n">
        <f aca="false">Sens!$G$10153+Sens!$G$10155</f>
        <v>111.774712108612</v>
      </c>
      <c r="H10156" s="38" t="n">
        <f aca="false">Sens!$H$10153+Sens!$H$10155</f>
        <v>146.71042213049</v>
      </c>
      <c r="I10156" s="38" t="n">
        <f aca="false">Sens!$I$10153+Sens!$I$10155</f>
        <v>177.025639565314</v>
      </c>
      <c r="J10156" s="38" t="n">
        <f aca="false">Sens!$J$10153+Sens!$J$10155</f>
        <v>205.877701810599</v>
      </c>
      <c r="K10156" s="38" t="n">
        <f aca="false">Sens!$K$10153+Sens!$K$10155</f>
        <v>226.389328896426</v>
      </c>
      <c r="L10156" s="38" t="n">
        <f aca="false">Sens!$L$10153+Sens!$L$10155</f>
        <v>243.057333273941</v>
      </c>
      <c r="M10156" s="38" t="n">
        <f aca="false">Sens!$M$10153+Sens!$M$10155</f>
        <v>255.896583671649</v>
      </c>
      <c r="N10156" s="38" t="n">
        <f aca="false">Sens!$N$10153+Sens!$N$10155</f>
        <v>37.576</v>
      </c>
      <c r="O10156" s="38" t="n">
        <f aca="false">Sens!$O$10153+Sens!$O$10155</f>
        <v>42.399</v>
      </c>
    </row>
    <row r="10157" customFormat="false" ht="17.15" hidden="false" customHeight="false" outlineLevel="0" collapsed="false">
      <c r="A10157" s="0" t="s">
        <v>738</v>
      </c>
      <c r="B10157" s="0" t="s">
        <v>52</v>
      </c>
      <c r="C10157" s="13" t="n">
        <f aca="false">Sens!$C$10143/Sens!$C$10128</f>
        <v>0.0644314665661928</v>
      </c>
      <c r="D10157" s="13" t="n">
        <f aca="false">Sens!$D$10143/Sens!$D$10128</f>
        <v>0.0694784250712518</v>
      </c>
      <c r="E10157" s="13" t="n">
        <f aca="false">Sens!$E$10143/Sens!$E$10128</f>
        <v>0.0789306463326071</v>
      </c>
      <c r="F10157" s="13" t="n">
        <f aca="false">Sens!$F$10143/Sens!$F$10128</f>
        <v>0.0801757457241943</v>
      </c>
      <c r="G10157" s="13" t="n">
        <f aca="false">Sens!$G$10143/Sens!$G$10128</f>
        <v>0.0795932749625682</v>
      </c>
      <c r="H10157" s="13" t="n">
        <f aca="false">Sens!$H$10143/Sens!$H$10128</f>
        <v>0.0801494276915951</v>
      </c>
      <c r="I10157" s="13" t="n">
        <f aca="false">Sens!$I$10143/Sens!$I$10128</f>
        <v>0.0784619467108939</v>
      </c>
      <c r="J10157" s="13" t="n">
        <f aca="false">Sens!$J$10143/Sens!$J$10128</f>
        <v>0.0767950945569155</v>
      </c>
      <c r="K10157" s="13" t="n">
        <f aca="false">Sens!$K$10143/Sens!$K$10128</f>
        <v>0.0749782708028101</v>
      </c>
      <c r="L10157" s="13" t="n">
        <f aca="false">Sens!$L$10143/Sens!$L$10128</f>
        <v>0.0740581549602486</v>
      </c>
      <c r="M10157" s="13" t="n">
        <f aca="false">Sens!$M$10143/Sens!$M$10128</f>
        <v>0.075724068445432</v>
      </c>
      <c r="N10157" s="13" t="n">
        <f aca="false">Sens!$N$10143/Sens!$N$10128</f>
        <v>0.069228576611127</v>
      </c>
      <c r="O10157" s="13" t="n">
        <f aca="false">Sens!$O$10143/Sens!$O$10128</f>
        <v>0.069685022498393</v>
      </c>
    </row>
    <row r="10158" customFormat="false" ht="17.15" hidden="false" customHeight="false" outlineLevel="0" collapsed="false">
      <c r="A10158" s="0" t="s">
        <v>739</v>
      </c>
      <c r="B10158" s="0" t="s">
        <v>52</v>
      </c>
      <c r="C10158" s="13" t="n">
        <f aca="false">Sens!$C$10148/Sens!$C$10129</f>
        <v>0.026534925055631</v>
      </c>
      <c r="D10158" s="13" t="n">
        <f aca="false">Sens!$D$10148/Sens!$D$10129</f>
        <v>0.0293401855535103</v>
      </c>
      <c r="E10158" s="13" t="n">
        <f aca="false">Sens!$E$10148/Sens!$E$10129</f>
        <v>0.03831141902276</v>
      </c>
      <c r="F10158" s="13" t="n">
        <f aca="false">Sens!$F$10148/Sens!$F$10129</f>
        <v>0.0281350107328284</v>
      </c>
      <c r="G10158" s="13" t="n">
        <f aca="false">Sens!$G$10148/Sens!$G$10129</f>
        <v>0.0327600029432073</v>
      </c>
      <c r="H10158" s="13" t="n">
        <f aca="false">Sens!$H$10148/Sens!$H$10129</f>
        <v>0.031310920057557</v>
      </c>
      <c r="I10158" s="13" t="n">
        <f aca="false">Sens!$I$10148/Sens!$I$10129</f>
        <v>0.0275950243319601</v>
      </c>
      <c r="J10158" s="13" t="n">
        <f aca="false">Sens!$J$10148/Sens!$J$10129</f>
        <v>0.0238367762099147</v>
      </c>
      <c r="K10158" s="13" t="n">
        <f aca="false">Sens!$K$10148/Sens!$K$10129</f>
        <v>0.0198239122855479</v>
      </c>
      <c r="L10158" s="13" t="n">
        <f aca="false">Sens!$L$10148/Sens!$L$10129</f>
        <v>0.0192499447238486</v>
      </c>
      <c r="M10158" s="13" t="n">
        <f aca="false">Sens!$M$10148/Sens!$M$10129</f>
        <v>0.0212700135680342</v>
      </c>
      <c r="N10158" s="13" t="n">
        <f aca="false">Sens!$N$10148/Sens!$N$10129</f>
        <v>0.0357315650169337</v>
      </c>
      <c r="O10158" s="13" t="n">
        <f aca="false">Sens!$O$10148/Sens!$O$10129</f>
        <v>0.0244378956559703</v>
      </c>
    </row>
    <row r="10159" customFormat="false" ht="17.15" hidden="false" customHeight="false" outlineLevel="0" collapsed="false">
      <c r="A10159" s="14" t="s">
        <v>740</v>
      </c>
      <c r="B10159" s="14" t="s">
        <v>52</v>
      </c>
      <c r="C10159" s="17" t="n">
        <f aca="false">Sens!$C$10151/Sens!$C$10130</f>
        <v>0.370355907620217</v>
      </c>
      <c r="D10159" s="17" t="n">
        <f aca="false">Sens!$D$10151/Sens!$D$10130</f>
        <v>0.35429015342785</v>
      </c>
      <c r="E10159" s="17" t="n">
        <f aca="false">Sens!$E$10151/Sens!$E$10130</f>
        <v>0.385647527531039</v>
      </c>
      <c r="F10159" s="17" t="n">
        <f aca="false">Sens!$F$10151/Sens!$F$10130</f>
        <v>0.390008895496028</v>
      </c>
      <c r="G10159" s="17" t="n">
        <f aca="false">Sens!$G$10151/Sens!$G$10130</f>
        <v>0.387918733944362</v>
      </c>
      <c r="H10159" s="17" t="n">
        <f aca="false">Sens!$H$10151/Sens!$H$10130</f>
        <v>0.377537651365497</v>
      </c>
      <c r="I10159" s="17" t="n">
        <f aca="false">Sens!$I$10151/Sens!$I$10130</f>
        <v>0.359230604038662</v>
      </c>
      <c r="J10159" s="17" t="n">
        <f aca="false">Sens!$J$10151/Sens!$J$10130</f>
        <v>0.345197865849801</v>
      </c>
      <c r="K10159" s="17" t="n">
        <f aca="false">Sens!$K$10151/Sens!$K$10130</f>
        <v>0.32654098357242</v>
      </c>
      <c r="L10159" s="17" t="n">
        <f aca="false">Sens!$L$10151/Sens!$L$10130</f>
        <v>0.314806978274702</v>
      </c>
      <c r="M10159" s="17" t="n">
        <f aca="false">Sens!$M$10151/Sens!$M$10130</f>
        <v>0.304503505485029</v>
      </c>
      <c r="N10159" s="17" t="n">
        <f aca="false">Sens!$N$10151/Sens!$N$10130</f>
        <v>0.360941137346192</v>
      </c>
      <c r="O10159" s="17" t="n">
        <f aca="false">Sens!$O$10151/Sens!$O$10130</f>
        <v>0.348458117664212</v>
      </c>
    </row>
    <row r="10160" customFormat="false" ht="17.15" hidden="false" customHeight="false" outlineLevel="0" collapsed="false">
      <c r="A10160" s="0" t="s">
        <v>741</v>
      </c>
      <c r="B10160" s="0" t="s">
        <v>52</v>
      </c>
      <c r="C10160" s="13" t="n">
        <f aca="false">Sens!$C$10149/Sens!$C$10131</f>
        <v>0.708390794789371</v>
      </c>
      <c r="D10160" s="13" t="n">
        <f aca="false">Sens!$D$10149/Sens!$D$10131</f>
        <v>0.619415573115729</v>
      </c>
      <c r="E10160" s="13" t="n">
        <f aca="false">Sens!$E$10149/Sens!$E$10131</f>
        <v>0.374072166056273</v>
      </c>
      <c r="F10160" s="13" t="n">
        <f aca="false">Sens!$F$10149/Sens!$F$10131</f>
        <v>0.553219320710057</v>
      </c>
      <c r="G10160" s="13" t="n">
        <f aca="false">Sens!$G$10149/Sens!$G$10131</f>
        <v>0.488270041527512</v>
      </c>
      <c r="H10160" s="13" t="n">
        <f aca="false">Sens!$H$10149/Sens!$H$10131</f>
        <v>0.435229086816882</v>
      </c>
      <c r="I10160" s="13" t="n">
        <f aca="false">Sens!$I$10149/Sens!$I$10131</f>
        <v>0.364954592421095</v>
      </c>
      <c r="J10160" s="13" t="n">
        <f aca="false">Sens!$J$10149/Sens!$J$10131</f>
        <v>0.330438308582232</v>
      </c>
      <c r="K10160" s="13" t="n">
        <f aca="false">Sens!$K$10149/Sens!$K$10131</f>
        <v>0.2916589289528</v>
      </c>
      <c r="L10160" s="13" t="n">
        <f aca="false">Sens!$L$10149/Sens!$L$10131</f>
        <v>0.268199200593258</v>
      </c>
      <c r="M10160" s="13" t="n">
        <f aca="false">Sens!$M$10149/Sens!$M$10131</f>
        <v>0.244854995033574</v>
      </c>
      <c r="N10160" s="13" t="n">
        <f aca="false">Sens!$N$10149/Sens!$N$10131</f>
        <v>0.551227795793364</v>
      </c>
      <c r="O10160" s="13" t="n">
        <f aca="false">Sens!$O$10149/Sens!$O$10131</f>
        <v>0.656132068597002</v>
      </c>
    </row>
    <row r="10161" customFormat="false" ht="15" hidden="false" customHeight="false" outlineLevel="0" collapsed="false">
      <c r="A10161" s="5" t="s">
        <v>742</v>
      </c>
      <c r="B10161" s="0" t="s">
        <v>52</v>
      </c>
      <c r="C10161" s="13" t="n">
        <f aca="false">Sens!$C$10153/Sens!$C$10133</f>
        <v>0.107519448742004</v>
      </c>
      <c r="D10161" s="13" t="n">
        <f aca="false">Sens!$D$10153/Sens!$D$10133</f>
        <v>0.111552967957552</v>
      </c>
      <c r="E10161" s="13" t="n">
        <f aca="false">Sens!$E$10153/Sens!$E$10133</f>
        <v>0.13428328426562</v>
      </c>
      <c r="F10161" s="13" t="n">
        <f aca="false">Sens!$F$10153/Sens!$F$10133</f>
        <v>0.130089413875539</v>
      </c>
      <c r="G10161" s="13" t="n">
        <f aca="false">Sens!$G$10153/Sens!$G$10133</f>
        <v>0.132048786678316</v>
      </c>
      <c r="H10161" s="13" t="n">
        <f aca="false">Sens!$H$10153/Sens!$H$10133</f>
        <v>0.139604881440853</v>
      </c>
      <c r="I10161" s="13" t="n">
        <f aca="false">Sens!$I$10153/Sens!$I$10133</f>
        <v>0.141694752432769</v>
      </c>
      <c r="J10161" s="13" t="n">
        <f aca="false">Sens!$J$10153/Sens!$J$10133</f>
        <v>0.14272611544629</v>
      </c>
      <c r="K10161" s="13" t="n">
        <f aca="false">Sens!$K$10153/Sens!$K$10133</f>
        <v>0.139974160596744</v>
      </c>
      <c r="L10161" s="13" t="n">
        <f aca="false">Sens!$L$10153/Sens!$L$10133</f>
        <v>0.137772071866073</v>
      </c>
      <c r="M10161" s="13" t="n">
        <f aca="false">Sens!$M$10153/Sens!$M$10133</f>
        <v>0.13596080857516</v>
      </c>
      <c r="N10161" s="13" t="n">
        <f aca="false">Sens!$N$10153/Sens!$N$10133</f>
        <v>0.116201614873411</v>
      </c>
      <c r="O10161" s="13" t="n">
        <f aca="false">Sens!$O$10153/Sens!$O$10133</f>
        <v>0.107733353660861</v>
      </c>
    </row>
    <row r="10162" customFormat="false" ht="17.15" hidden="false" customHeight="false" outlineLevel="0" collapsed="false">
      <c r="A10162" s="1" t="s">
        <v>743</v>
      </c>
    </row>
    <row r="10163" customFormat="false" ht="17.15" hidden="false" customHeight="false" outlineLevel="0" collapsed="false">
      <c r="A10163" s="5" t="s">
        <v>744</v>
      </c>
      <c r="B10163" s="0" t="s">
        <v>52</v>
      </c>
      <c r="D10163" s="28" t="n">
        <f aca="false">(Q!$E$29+Q!$E$30-(1-ext_sh)*Sens!$D$10085)/Sens!$D$10039</f>
        <v>0.0341105596409988</v>
      </c>
    </row>
    <row r="10164" customFormat="false" ht="17.15" hidden="false" customHeight="false" outlineLevel="0" collapsed="false">
      <c r="A10164" s="0" t="s">
        <v>538</v>
      </c>
      <c r="B10164" s="0" t="s">
        <v>86</v>
      </c>
      <c r="C10164" s="38" t="n">
        <f aca="false">Q!$D$29</f>
        <v>14.285</v>
      </c>
      <c r="D10164" s="38" t="n">
        <f aca="false">Q!$E$29</f>
        <v>15.503</v>
      </c>
      <c r="E10164" s="38" t="n">
        <f aca="false">Q!$P$29</f>
        <v>8.78</v>
      </c>
      <c r="F10164" s="38" t="n">
        <f aca="false">(Sens!$D$10163*Sens!$F$10039+(1-ext_sh)*Sens!$F$10085)*Sens!$F$10040</f>
        <v>9.16735846116642</v>
      </c>
      <c r="G10164" s="38" t="n">
        <f aca="false">Sens!$E$10164+Sens!$F$10164</f>
        <v>17.9473584611664</v>
      </c>
      <c r="H10164" s="38" t="n">
        <f aca="false">(Sens!$D$10163*Sens!$H$10039+(1-ext_sh)*Sens!$H$10085)*Sens!$H$10040</f>
        <v>21.6406723110177</v>
      </c>
      <c r="I10164" s="38" t="n">
        <f aca="false">(Sens!$D$10163*Sens!$I$10039+(1-ext_sh)*Sens!$I$10085)*Sens!$I$10040</f>
        <v>27.3128215555087</v>
      </c>
      <c r="J10164" s="38" t="n">
        <f aca="false">(Sens!$D$10163*Sens!$J$10039+(1-ext_sh)*Sens!$J$10085)*Sens!$J$10040</f>
        <v>33.0116861885756</v>
      </c>
      <c r="K10164" s="38" t="n">
        <f aca="false">(Sens!$D$10163*Sens!$K$10039+(1-ext_sh)*Sens!$K$10085)*Sens!$K$10040</f>
        <v>38.6250238720245</v>
      </c>
      <c r="L10164" s="38" t="n">
        <f aca="false">(Sens!$D$10163*Sens!$L$10039+(1-ext_sh)*Sens!$L$10085)*Sens!$L$10040</f>
        <v>43.0711535197861</v>
      </c>
      <c r="M10164" s="38" t="n">
        <f aca="false">(Sens!$D$10163*Sens!$M$10039+(1-ext_sh)*Sens!$M$10085)*Sens!$M$10040</f>
        <v>46.590728630326</v>
      </c>
      <c r="N10164" s="38" t="n">
        <f aca="false">Q!$N$29</f>
        <v>7.272</v>
      </c>
      <c r="O10164" s="38" t="n">
        <f aca="false">Q!$O$29</f>
        <v>8.231</v>
      </c>
    </row>
    <row r="10165" customFormat="false" ht="17.15" hidden="false" customHeight="false" outlineLevel="0" collapsed="false">
      <c r="A10165" s="0" t="s">
        <v>540</v>
      </c>
      <c r="B10165" s="0" t="s">
        <v>86</v>
      </c>
      <c r="C10165" s="38" t="n">
        <f aca="false">Q!$D$30</f>
        <v>4.462</v>
      </c>
      <c r="D10165" s="38" t="n">
        <f aca="false">Q!$E$30</f>
        <v>4.907</v>
      </c>
      <c r="E10165" s="38" t="n">
        <f aca="false">Q!$P$30</f>
        <v>2.57</v>
      </c>
      <c r="F10165" s="38" t="n">
        <f aca="false">(Sens!$D$10163*Sens!$F$10039+(1-ext_sh)*Sens!$F$10085)*(1-Sens!$F$10040)</f>
        <v>3.59937168293151</v>
      </c>
      <c r="G10165" s="38" t="n">
        <f aca="false">Sens!$E$10165+Sens!$F$10165</f>
        <v>6.16937168293151</v>
      </c>
      <c r="H10165" s="38" t="n">
        <f aca="false">(Sens!$D$10163*Sens!$H$10039+(1-ext_sh)*Sens!$H$10085)*(1-Sens!$H$10040)</f>
        <v>8.28915290031442</v>
      </c>
      <c r="I10165" s="38" t="n">
        <f aca="false">(Sens!$D$10163*Sens!$I$10039+(1-ext_sh)*Sens!$I$10085)*(1-Sens!$I$10040)</f>
        <v>10.4617892992793</v>
      </c>
      <c r="J10165" s="38" t="n">
        <f aca="false">(Sens!$D$10163*Sens!$J$10039+(1-ext_sh)*Sens!$J$10085)*(1-Sens!$J$10040)</f>
        <v>12.6446586493057</v>
      </c>
      <c r="K10165" s="38" t="n">
        <f aca="false">(Sens!$D$10163*Sens!$K$10039+(1-ext_sh)*Sens!$K$10085)*(1-Sens!$K$10040)</f>
        <v>14.7947681131192</v>
      </c>
      <c r="L10165" s="38" t="n">
        <f aca="false">(Sens!$D$10163*Sens!$L$10039+(1-ext_sh)*Sens!$L$10085)*(1-Sens!$L$10040)</f>
        <v>16.4977950771268</v>
      </c>
      <c r="M10165" s="38" t="n">
        <f aca="false">(Sens!$D$10163*Sens!$M$10039+(1-ext_sh)*Sens!$M$10085)*(1-Sens!$M$10040)</f>
        <v>17.8459184540772</v>
      </c>
      <c r="N10165" s="38" t="n">
        <f aca="false">Q!$N$30</f>
        <v>2.316</v>
      </c>
      <c r="O10165" s="38" t="n">
        <f aca="false">Q!$O$30</f>
        <v>2.591</v>
      </c>
    </row>
    <row r="10166" customFormat="false" ht="17.15" hidden="false" customHeight="false" outlineLevel="0" collapsed="false">
      <c r="A10166" s="0" t="s">
        <v>541</v>
      </c>
      <c r="B10166" s="0" t="s">
        <v>86</v>
      </c>
      <c r="C10166" s="38" t="n">
        <f aca="false">Sens!$C$10097</f>
        <v>13.32</v>
      </c>
      <c r="D10166" s="38" t="n">
        <f aca="false">Sens!$D$10097</f>
        <v>21.45</v>
      </c>
      <c r="E10166" s="38" t="n">
        <f aca="false">Sens!$E$10097</f>
        <v>15.353</v>
      </c>
      <c r="F10166" s="38" t="n">
        <f aca="false">Sens!$F$10097</f>
        <v>15.4404120185306</v>
      </c>
      <c r="G10166" s="38" t="n">
        <f aca="false">Sens!$G$10097</f>
        <v>30.7934120185306</v>
      </c>
      <c r="H10166" s="38" t="n">
        <f aca="false">Sens!$H$10097</f>
        <v>48.250114371455</v>
      </c>
      <c r="I10166" s="38" t="n">
        <f aca="false">Sens!$I$10097</f>
        <v>73.3965146995963</v>
      </c>
      <c r="J10166" s="38" t="n">
        <f aca="false">Sens!$J$10097</f>
        <v>99.22806138309</v>
      </c>
      <c r="K10166" s="38" t="n">
        <f aca="false">Sens!$K$10097</f>
        <v>125.386627452856</v>
      </c>
      <c r="L10166" s="38" t="n">
        <f aca="false">Sens!$L$10097</f>
        <v>144.77239043275</v>
      </c>
      <c r="M10166" s="38" t="n">
        <f aca="false">Sens!$M$10097</f>
        <v>158.693930910983</v>
      </c>
      <c r="N10166" s="38" t="n">
        <f aca="false">Sens!$N$10097</f>
        <v>9.234</v>
      </c>
      <c r="O10166" s="38" t="n">
        <f aca="false">Sens!$O$10097</f>
        <v>12.216</v>
      </c>
    </row>
    <row r="10167" customFormat="false" ht="17.15" hidden="false" customHeight="false" outlineLevel="0" collapsed="false">
      <c r="A10167" s="5" t="s">
        <v>745</v>
      </c>
      <c r="B10167" s="0" t="s">
        <v>86</v>
      </c>
      <c r="C10167" s="38" t="n">
        <f aca="false">Sens!$C$10164+Sens!$C$10165+Sens!$C$10166</f>
        <v>32.067</v>
      </c>
      <c r="D10167" s="38" t="n">
        <f aca="false">Sens!$D$10164+Sens!$D$10165+Sens!$D$10166</f>
        <v>41.86</v>
      </c>
      <c r="E10167" s="38" t="n">
        <f aca="false">Sens!$E$10164+Sens!$E$10165+Sens!$E$10166</f>
        <v>26.703</v>
      </c>
      <c r="F10167" s="38" t="n">
        <f aca="false">Sens!$F$10164+Sens!$F$10165+Sens!$F$10166</f>
        <v>28.2071421626285</v>
      </c>
      <c r="G10167" s="38" t="n">
        <f aca="false">Sens!$G$10164+Sens!$G$10165+Sens!$G$10166</f>
        <v>54.9101421626285</v>
      </c>
      <c r="H10167" s="38" t="n">
        <f aca="false">Sens!$H$10164+Sens!$H$10165+Sens!$H$10166</f>
        <v>78.1799395827871</v>
      </c>
      <c r="I10167" s="38" t="n">
        <f aca="false">Sens!$I$10164+Sens!$I$10165+Sens!$I$10166</f>
        <v>111.171125554384</v>
      </c>
      <c r="J10167" s="38" t="n">
        <f aca="false">Sens!$J$10164+Sens!$J$10165+Sens!$J$10166</f>
        <v>144.884406220971</v>
      </c>
      <c r="K10167" s="38" t="n">
        <f aca="false">Sens!$K$10164+Sens!$K$10165+Sens!$K$10166</f>
        <v>178.806419437999</v>
      </c>
      <c r="L10167" s="38" t="n">
        <f aca="false">Sens!$L$10164+Sens!$L$10165+Sens!$L$10166</f>
        <v>204.341339029663</v>
      </c>
      <c r="M10167" s="38" t="n">
        <f aca="false">Sens!$M$10164+Sens!$M$10165+Sens!$M$10166</f>
        <v>223.130577995387</v>
      </c>
      <c r="N10167" s="38" t="n">
        <f aca="false">Sens!$N$10164+Sens!$N$10165+Sens!$N$10166</f>
        <v>18.822</v>
      </c>
      <c r="O10167" s="38" t="n">
        <f aca="false">Sens!$O$10164+Sens!$O$10165+Sens!$O$10166</f>
        <v>23.038</v>
      </c>
    </row>
    <row r="10168" customFormat="false" ht="17.15" hidden="false" customHeight="false" outlineLevel="0" collapsed="false">
      <c r="A10168" s="0" t="s">
        <v>746</v>
      </c>
      <c r="B10168" s="0" t="s">
        <v>86</v>
      </c>
      <c r="C10168" s="38" t="n">
        <f aca="false">Sens!$C$10139+Sens!$C$10144</f>
        <v>28.107</v>
      </c>
      <c r="D10168" s="38" t="n">
        <f aca="false">Sens!$D$10139+Sens!$D$10144</f>
        <v>34.3175</v>
      </c>
      <c r="E10168" s="38" t="n">
        <f aca="false">Sens!$E$10139+Sens!$E$10144</f>
        <v>18.526</v>
      </c>
      <c r="F10168" s="38" t="n">
        <f aca="false">Sens!$F$10139+Sens!$F$10144</f>
        <v>23.0786109972074</v>
      </c>
      <c r="G10168" s="38" t="n">
        <f aca="false">Sens!$G$10139+Sens!$G$10144</f>
        <v>41.6046109972074</v>
      </c>
      <c r="H10168" s="38" t="n">
        <f aca="false">Sens!$H$10139+Sens!$H$10144</f>
        <v>49.9484611939488</v>
      </c>
      <c r="I10168" s="38" t="n">
        <f aca="false">Sens!$I$10139+Sens!$I$10144</f>
        <v>58.2915555477481</v>
      </c>
      <c r="J10168" s="38" t="n">
        <f aca="false">Sens!$J$10139+Sens!$J$10144</f>
        <v>66.0744709709759</v>
      </c>
      <c r="K10168" s="38" t="n">
        <f aca="false">Sens!$K$10139+Sens!$K$10144</f>
        <v>72.6819180680735</v>
      </c>
      <c r="L10168" s="38" t="n">
        <f aca="false">Sens!$L$10139+Sens!$L$10144</f>
        <v>79.9501098748808</v>
      </c>
      <c r="M10168" s="38" t="n">
        <f aca="false">Sens!$M$10139+Sens!$M$10144</f>
        <v>87.9451208623689</v>
      </c>
      <c r="N10168" s="38" t="n">
        <f aca="false">Sens!$N$10139+Sens!$N$10144</f>
        <v>14.8075</v>
      </c>
      <c r="O10168" s="38" t="n">
        <f aca="false">Sens!$O$10139+Sens!$O$10144</f>
        <v>19.51</v>
      </c>
    </row>
    <row r="10169" customFormat="false" ht="17.15" hidden="false" customHeight="false" outlineLevel="0" collapsed="false">
      <c r="A10169" s="0" t="s">
        <v>747</v>
      </c>
      <c r="B10169" s="0" t="s">
        <v>86</v>
      </c>
      <c r="C10169" s="38" t="n">
        <f aca="false">Sens!$C$10143+Sens!$C$10148+Sens!$C$10164+Sens!$C$10165-Sens!$C$10168</f>
        <v>19.399</v>
      </c>
      <c r="D10169" s="38" t="n">
        <f aca="false">Sens!$D$10143+Sens!$D$10148+Sens!$D$10164+Sens!$D$10165-Sens!$D$10168</f>
        <v>20.4615</v>
      </c>
      <c r="E10169" s="38" t="n">
        <f aca="false">Sens!$E$10143+Sens!$E$10148+Sens!$E$10164+Sens!$E$10165-Sens!$E$10168</f>
        <v>13.355</v>
      </c>
      <c r="F10169" s="38" t="n">
        <f aca="false">Sens!$F$10143+Sens!$F$10148+Sens!$F$10164+Sens!$F$10165-Sens!$F$10168</f>
        <v>12.5520732018618</v>
      </c>
      <c r="G10169" s="38" t="n">
        <f aca="false">Sens!$G$10143+Sens!$G$10148+Sens!$G$10164+Sens!$G$10165-Sens!$G$10168</f>
        <v>25.9070732018618</v>
      </c>
      <c r="H10169" s="38" t="n">
        <f aca="false">Sens!$H$10143+Sens!$H$10148+Sens!$H$10164+Sens!$H$10165-Sens!$H$10168</f>
        <v>28.0233335906818</v>
      </c>
      <c r="I10169" s="38" t="n">
        <f aca="false">Sens!$I$10143+Sens!$I$10148+Sens!$I$10164+Sens!$I$10165-Sens!$I$10168</f>
        <v>30.2440066606864</v>
      </c>
      <c r="J10169" s="38" t="n">
        <f aca="false">Sens!$J$10143+Sens!$J$10148+Sens!$J$10164+Sens!$J$10165-Sens!$J$10168</f>
        <v>32.4596500296286</v>
      </c>
      <c r="K10169" s="38" t="n">
        <f aca="false">Sens!$K$10143+Sens!$K$10148+Sens!$K$10164+Sens!$K$10165-Sens!$K$10168</f>
        <v>34.839425971154</v>
      </c>
      <c r="L10169" s="38" t="n">
        <f aca="false">Sens!$L$10143+Sens!$L$10148+Sens!$L$10164+Sens!$L$10165-Sens!$L$10168</f>
        <v>36.4424209524427</v>
      </c>
      <c r="M10169" s="38" t="n">
        <f aca="false">Sens!$M$10143+Sens!$M$10148+Sens!$M$10164+Sens!$M$10165-Sens!$M$10168</f>
        <v>38.8413540019876</v>
      </c>
      <c r="N10169" s="38" t="n">
        <f aca="false">Sens!$N$10143+Sens!$N$10148+Sens!$N$10164+Sens!$N$10165-Sens!$N$10168</f>
        <v>10.6495</v>
      </c>
      <c r="O10169" s="38" t="n">
        <f aca="false">Sens!$O$10143+Sens!$O$10148+Sens!$O$10164+Sens!$O$10165-Sens!$O$10168</f>
        <v>9.81200000000001</v>
      </c>
    </row>
    <row r="10170" customFormat="false" ht="17.15" hidden="false" customHeight="false" outlineLevel="0" collapsed="false">
      <c r="A10170" s="0" t="s">
        <v>748</v>
      </c>
      <c r="B10170" s="0" t="s">
        <v>86</v>
      </c>
      <c r="C10170" s="38" t="n">
        <f aca="false">Sens!$C$10150+Sens!$C$10166-ext_sh*Sens!$C$10085</f>
        <v>51.3470500115664</v>
      </c>
      <c r="D10170" s="38" t="n">
        <f aca="false">Sens!$D$10150+Sens!$D$10166-ext_sh*Sens!$D$10085</f>
        <v>60.2799375433739</v>
      </c>
      <c r="E10170" s="38" t="n">
        <f aca="false">Sens!$E$10150+Sens!$E$10166-ext_sh*Sens!$E$10085</f>
        <v>39.5095167090767</v>
      </c>
      <c r="F10170" s="38" t="n">
        <f aca="false">Sens!$F$10150+Sens!$F$10166-ext_sh*Sens!$F$10085</f>
        <v>37.5468918745429</v>
      </c>
      <c r="G10170" s="38" t="n">
        <f aca="false">Sens!$G$10150+Sens!$G$10166-ext_sh*Sens!$G$10085</f>
        <v>77.0564085836196</v>
      </c>
      <c r="H10170" s="38" t="n">
        <f aca="false">Sens!$H$10150+Sens!$H$10166-ext_sh*Sens!$H$10085</f>
        <v>84.2378398616123</v>
      </c>
      <c r="I10170" s="38" t="n">
        <f aca="false">Sens!$I$10150+Sens!$I$10166-ext_sh*Sens!$I$10085</f>
        <v>93.5253492849083</v>
      </c>
      <c r="J10170" s="38" t="n">
        <f aca="false">Sens!$J$10150+Sens!$J$10166-ext_sh*Sens!$J$10085</f>
        <v>102.42210777817</v>
      </c>
      <c r="K10170" s="38" t="n">
        <f aca="false">Sens!$K$10150+Sens!$K$10166-ext_sh*Sens!$K$10085</f>
        <v>110.615876400424</v>
      </c>
      <c r="L10170" s="38" t="n">
        <f aca="false">Sens!$L$10150+Sens!$L$10166-ext_sh*Sens!$L$10085</f>
        <v>119.465146512458</v>
      </c>
      <c r="M10170" s="38" t="n">
        <f aca="false">Sens!$M$10150+Sens!$M$10166-ext_sh*Sens!$M$10085</f>
        <v>129.022358233455</v>
      </c>
      <c r="N10170" s="38" t="n">
        <f aca="false">Sens!$N$10150+Sens!$N$10166-ext_sh*Sens!$N$10085</f>
        <v>28.5693781401809</v>
      </c>
      <c r="O10170" s="38" t="n">
        <f aca="false">Sens!$O$10150+Sens!$O$10166-ext_sh*Sens!$O$10085</f>
        <v>31.7105594031931</v>
      </c>
    </row>
    <row r="10171" customFormat="false" ht="17.15" hidden="false" customHeight="false" outlineLevel="0" collapsed="false">
      <c r="A10171" s="0" t="s">
        <v>749</v>
      </c>
      <c r="B10171" s="0" t="s">
        <v>86</v>
      </c>
      <c r="C10171" s="38" t="n">
        <f aca="false">Sens!$C$10088</f>
        <v>1.80694998843362</v>
      </c>
      <c r="D10171" s="38" t="n">
        <f aca="false">Sens!$D$10088</f>
        <v>6.77606245662607</v>
      </c>
      <c r="E10171" s="38" t="n">
        <f aca="false">Sens!$E$10088</f>
        <v>6.62548329092326</v>
      </c>
      <c r="F10171" s="38" t="n">
        <f aca="false">Sens!$F$10088</f>
        <v>11.7200577158706</v>
      </c>
      <c r="G10171" s="38" t="n">
        <f aca="false">Sens!$G$10088</f>
        <v>18.3455410067939</v>
      </c>
      <c r="H10171" s="38" t="n">
        <f aca="false">Sens!$H$10088</f>
        <v>47.5171727060453</v>
      </c>
      <c r="I10171" s="38" t="n">
        <f aca="false">Sens!$I$10088</f>
        <v>80.5539692643667</v>
      </c>
      <c r="J10171" s="38" t="n">
        <f aca="false">Sens!$J$10088</f>
        <v>113.759316834883</v>
      </c>
      <c r="K10171" s="38" t="n">
        <f aca="false">Sens!$K$10088</f>
        <v>142.084411492169</v>
      </c>
      <c r="L10171" s="38" t="n">
        <f aca="false">Sens!$L$10088</f>
        <v>160.69964615804</v>
      </c>
      <c r="M10171" s="38" t="n">
        <f aca="false">Sens!$M$10088</f>
        <v>169.577607141793</v>
      </c>
      <c r="N10171" s="38" t="n">
        <f aca="false">Sens!$N$10088</f>
        <v>2.37162185981912</v>
      </c>
      <c r="O10171" s="38" t="n">
        <f aca="false">Sens!$O$10088</f>
        <v>4.40444059680694</v>
      </c>
    </row>
    <row r="10172" customFormat="false" ht="17.15" hidden="false" customHeight="false" outlineLevel="0" collapsed="false">
      <c r="A10172" s="0" t="s">
        <v>750</v>
      </c>
      <c r="B10172" s="0" t="s">
        <v>86</v>
      </c>
      <c r="C10172" s="38" t="n">
        <f aca="false">Sens!$C$10153+Sens!$C$10167</f>
        <v>100.66</v>
      </c>
      <c r="D10172" s="38" t="n">
        <f aca="false">Sens!$D$10153+Sens!$D$10167</f>
        <v>121.835</v>
      </c>
      <c r="E10172" s="38" t="n">
        <f aca="false">Sens!$E$10153+Sens!$E$10167</f>
        <v>78.016</v>
      </c>
      <c r="F10172" s="38" t="n">
        <f aca="false">Sens!$F$10153+Sens!$F$10167</f>
        <v>84.8976337894826</v>
      </c>
      <c r="G10172" s="38" t="n">
        <f aca="false">Sens!$G$10153+Sens!$G$10167</f>
        <v>162.913633789483</v>
      </c>
      <c r="H10172" s="38" t="n">
        <f aca="false">Sens!$H$10153+Sens!$H$10167</f>
        <v>209.726807352288</v>
      </c>
      <c r="I10172" s="38" t="n">
        <f aca="false">Sens!$I$10153+Sens!$I$10167</f>
        <v>262.61488075771</v>
      </c>
      <c r="J10172" s="38" t="n">
        <f aca="false">Sens!$J$10153+Sens!$J$10167</f>
        <v>314.715545613658</v>
      </c>
      <c r="K10172" s="38" t="n">
        <f aca="false">Sens!$K$10153+Sens!$K$10167</f>
        <v>360.221631931821</v>
      </c>
      <c r="L10172" s="38" t="n">
        <f aca="false">Sens!$L$10153+Sens!$L$10167</f>
        <v>396.557323497822</v>
      </c>
      <c r="M10172" s="38" t="n">
        <f aca="false">Sens!$M$10153+Sens!$M$10167</f>
        <v>425.386440239605</v>
      </c>
      <c r="N10172" s="38" t="n">
        <f aca="false">Sens!$N$10153+Sens!$N$10167</f>
        <v>56.398</v>
      </c>
      <c r="O10172" s="38" t="n">
        <f aca="false">Sens!$O$10153+Sens!$O$10167</f>
        <v>65.437</v>
      </c>
    </row>
    <row r="10173" customFormat="false" ht="17.15" hidden="false" customHeight="false" outlineLevel="0" collapsed="false">
      <c r="A10173" s="1" t="s">
        <v>751</v>
      </c>
    </row>
    <row r="10174" customFormat="false" ht="15" hidden="false" customHeight="false" outlineLevel="0" collapsed="false">
      <c r="A10174" s="5" t="s">
        <v>544</v>
      </c>
      <c r="B10174" s="0" t="s">
        <v>86</v>
      </c>
      <c r="C10174" s="38" t="n">
        <f aca="false">Q!$D$34</f>
        <v>2.406</v>
      </c>
      <c r="D10174" s="38" t="n">
        <f aca="false">Q!$E$34</f>
        <v>2.274</v>
      </c>
      <c r="E10174" s="38" t="n">
        <f aca="false">Q!$P$34</f>
        <v>2.114</v>
      </c>
      <c r="F10174" s="38" t="n">
        <f aca="false">Sens!$F$10212</f>
        <v>3.24888962733561</v>
      </c>
      <c r="G10174" s="38" t="n">
        <f aca="false">Sens!$E$10174+Sens!$F$10174</f>
        <v>5.36288962733561</v>
      </c>
      <c r="H10174" s="38" t="n">
        <f aca="false">Sens!$H$10212</f>
        <v>7.42354172302123</v>
      </c>
      <c r="I10174" s="38" t="n">
        <f aca="false">Sens!$I$10212</f>
        <v>8.48968024898619</v>
      </c>
      <c r="J10174" s="38" t="n">
        <f aca="false">Sens!$J$10212</f>
        <v>9.63598826439483</v>
      </c>
      <c r="K10174" s="38" t="n">
        <f aca="false">Sens!$K$10212</f>
        <v>9.63598826439483</v>
      </c>
      <c r="L10174" s="38" t="n">
        <f aca="false">Sens!$L$10212</f>
        <v>9.63598826439483</v>
      </c>
      <c r="M10174" s="38" t="n">
        <f aca="false">Sens!$M$10212</f>
        <v>9.63598826439483</v>
      </c>
      <c r="N10174" s="38" t="n">
        <f aca="false">Q!$N$34</f>
        <v>1.057</v>
      </c>
      <c r="O10174" s="38" t="n">
        <f aca="false">Q!$O$34</f>
        <v>1.217</v>
      </c>
    </row>
    <row r="10175" customFormat="false" ht="15" hidden="false" customHeight="false" outlineLevel="0" collapsed="false">
      <c r="A10175" s="5" t="s">
        <v>752</v>
      </c>
      <c r="B10175" s="0" t="s">
        <v>86</v>
      </c>
      <c r="F10175" s="38" t="n">
        <f aca="false">Sens!$F$10213</f>
        <v>2.59</v>
      </c>
      <c r="H10175" s="38" t="n">
        <f aca="false">Sens!$H$10213</f>
        <v>3.76965165045626</v>
      </c>
      <c r="I10175" s="38" t="n">
        <f aca="false">Sens!$I$10213</f>
        <v>2.10589651022864</v>
      </c>
      <c r="J10175" s="38" t="n">
        <f aca="false">Sens!$J$10213</f>
        <v>2.10589651022864</v>
      </c>
      <c r="K10175" s="38" t="n">
        <f aca="false">Sens!$K$10213</f>
        <v>3.03184385018094</v>
      </c>
      <c r="L10175" s="38" t="n">
        <f aca="false">Sens!$L$10213</f>
        <v>8.01944213829919</v>
      </c>
      <c r="M10175" s="38" t="n">
        <f aca="false">Sens!$M$10213</f>
        <v>15.4751142339777</v>
      </c>
    </row>
    <row r="10176" customFormat="false" ht="17.15" hidden="false" customHeight="false" outlineLevel="0" collapsed="false">
      <c r="A10176" s="5" t="s">
        <v>753</v>
      </c>
      <c r="B10176" s="0" t="s">
        <v>86</v>
      </c>
      <c r="C10176" s="38" t="n">
        <f aca="false">Q!$D$39</f>
        <v>2.427</v>
      </c>
      <c r="D10176" s="38" t="n">
        <f aca="false">Q!$E$39</f>
        <v>19.61</v>
      </c>
      <c r="E10176" s="38" t="n">
        <f aca="false">Q!$P$39</f>
        <v>71.492</v>
      </c>
      <c r="F10176" s="39" t="n">
        <v>0</v>
      </c>
      <c r="G10176" s="38" t="n">
        <f aca="false">Sens!$E$10176+Sens!$F$10176</f>
        <v>71.492</v>
      </c>
      <c r="H10176" s="39" t="n">
        <v>0</v>
      </c>
      <c r="I10176" s="39" t="n">
        <v>0</v>
      </c>
      <c r="J10176" s="39" t="n">
        <v>0</v>
      </c>
      <c r="K10176" s="39" t="n">
        <v>0</v>
      </c>
      <c r="L10176" s="39" t="n">
        <v>0</v>
      </c>
      <c r="M10176" s="39" t="n">
        <v>0</v>
      </c>
      <c r="N10176" s="38" t="n">
        <f aca="false">Q!$N$39</f>
        <v>6.017</v>
      </c>
      <c r="O10176" s="38" t="n">
        <f aca="false">Q!$O$39</f>
        <v>13.593</v>
      </c>
      <c r="P10176" s="5" t="s">
        <v>754</v>
      </c>
    </row>
    <row r="10177" customFormat="false" ht="15" hidden="false" customHeight="false" outlineLevel="0" collapsed="false">
      <c r="A10177" s="5" t="s">
        <v>547</v>
      </c>
      <c r="B10177" s="0" t="s">
        <v>86</v>
      </c>
      <c r="C10177" s="38" t="n">
        <f aca="false">Q!$D$36</f>
        <v>68.614</v>
      </c>
      <c r="D10177" s="38" t="n">
        <f aca="false">Q!$E$36</f>
        <v>97.311</v>
      </c>
      <c r="E10177" s="38" t="n">
        <f aca="false">Q!$P$36</f>
        <v>120.691</v>
      </c>
      <c r="F10177" s="38" t="n">
        <f aca="false">Sens!$F$10153-Sens!$F$10174+Sens!$F$10175+Sens!$F$10176</f>
        <v>56.0316019995185</v>
      </c>
      <c r="G10177" s="38" t="n">
        <f aca="false">Sens!$E$10177+Sens!$F$10177</f>
        <v>176.722601999518</v>
      </c>
      <c r="H10177" s="38" t="n">
        <f aca="false">Sens!$H$10153-Sens!$H$10174+Sens!$H$10175+Sens!$H$10176</f>
        <v>127.892977696936</v>
      </c>
      <c r="I10177" s="38" t="n">
        <f aca="false">Sens!$I$10153-Sens!$I$10174+Sens!$I$10175+Sens!$I$10176</f>
        <v>145.059971464568</v>
      </c>
      <c r="J10177" s="38" t="n">
        <f aca="false">Sens!$J$10153-Sens!$J$10174+Sens!$J$10175+Sens!$J$10176</f>
        <v>162.301047638521</v>
      </c>
      <c r="K10177" s="38" t="n">
        <f aca="false">Sens!$K$10153-Sens!$K$10174+Sens!$K$10175+Sens!$K$10176</f>
        <v>174.811068079608</v>
      </c>
      <c r="L10177" s="38" t="n">
        <f aca="false">Sens!$L$10153-Sens!$L$10174+Sens!$L$10175+Sens!$L$10176</f>
        <v>190.599438342064</v>
      </c>
      <c r="M10177" s="38" t="n">
        <f aca="false">Sens!$M$10153-Sens!$M$10174+Sens!$M$10175+Sens!$M$10176</f>
        <v>208.094988213801</v>
      </c>
      <c r="N10177" s="38" t="n">
        <f aca="false">Q!$N$36</f>
        <v>42.536</v>
      </c>
      <c r="O10177" s="38" t="n">
        <f aca="false">Q!$O$36</f>
        <v>54.775</v>
      </c>
    </row>
    <row r="10178" customFormat="false" ht="15" hidden="false" customHeight="false" outlineLevel="0" collapsed="false">
      <c r="A10178" s="5" t="s">
        <v>548</v>
      </c>
      <c r="B10178" s="0" t="s">
        <v>86</v>
      </c>
      <c r="C10178" s="38" t="n">
        <f aca="false">Q!$D$37</f>
        <v>9.265</v>
      </c>
      <c r="D10178" s="38" t="n">
        <f aca="false">Q!$E$37</f>
        <v>19.087</v>
      </c>
      <c r="E10178" s="38" t="n">
        <f aca="false">Q!$P$37</f>
        <v>27.759</v>
      </c>
      <c r="F10178" s="38" t="n">
        <f aca="false">Sens!$F$10177*tax</f>
        <v>9.72621910890414</v>
      </c>
      <c r="G10178" s="38" t="n">
        <f aca="false">Sens!$E$10178+Sens!$F$10178</f>
        <v>37.4852191089041</v>
      </c>
      <c r="H10178" s="38" t="n">
        <f aca="false">Sens!$H$10177*tax</f>
        <v>22.2002419916761</v>
      </c>
      <c r="I10178" s="38" t="n">
        <f aca="false">Sens!$I$10177*tax</f>
        <v>25.1801664783365</v>
      </c>
      <c r="J10178" s="38" t="n">
        <f aca="false">Sens!$J$10177*tax</f>
        <v>28.1729505244292</v>
      </c>
      <c r="K10178" s="38" t="n">
        <f aca="false">Sens!$K$10177*tax</f>
        <v>30.3444965007146</v>
      </c>
      <c r="L10178" s="38" t="n">
        <f aca="false">Sens!$L$10177*tax</f>
        <v>33.0851132788405</v>
      </c>
      <c r="M10178" s="38" t="n">
        <f aca="false">Sens!$M$10177*tax</f>
        <v>36.1220700213006</v>
      </c>
      <c r="N10178" s="38" t="n">
        <f aca="false">Q!$N$37</f>
        <v>7.231</v>
      </c>
      <c r="O10178" s="38" t="n">
        <f aca="false">Q!$O$37</f>
        <v>11.856</v>
      </c>
    </row>
    <row r="10179" customFormat="false" ht="15" hidden="false" customHeight="false" outlineLevel="0" collapsed="false">
      <c r="A10179" s="3" t="s">
        <v>549</v>
      </c>
      <c r="B10179" s="8" t="s">
        <v>86</v>
      </c>
      <c r="C10179" s="38" t="n">
        <f aca="false">Q!$D$38</f>
        <v>59.248</v>
      </c>
      <c r="D10179" s="38" t="n">
        <f aca="false">Q!$E$38</f>
        <v>77.67</v>
      </c>
      <c r="E10179" s="38" t="n">
        <f aca="false">Q!$P$38</f>
        <v>92.902</v>
      </c>
      <c r="F10179" s="38" t="n">
        <f aca="false">Sens!$F$10177-Sens!$F$10178</f>
        <v>46.3053828906144</v>
      </c>
      <c r="G10179" s="38" t="n">
        <f aca="false">Sens!$E$10179+Sens!$F$10179</f>
        <v>139.207382890614</v>
      </c>
      <c r="H10179" s="38" t="n">
        <f aca="false">Sens!$H$10177-Sens!$H$10178</f>
        <v>105.69273570526</v>
      </c>
      <c r="I10179" s="38" t="n">
        <f aca="false">Sens!$I$10177-Sens!$I$10178</f>
        <v>119.879804986231</v>
      </c>
      <c r="J10179" s="38" t="n">
        <f aca="false">Sens!$J$10177-Sens!$J$10178</f>
        <v>134.128097114092</v>
      </c>
      <c r="K10179" s="38" t="n">
        <f aca="false">Sens!$K$10177-Sens!$K$10178</f>
        <v>144.466571578893</v>
      </c>
      <c r="L10179" s="38" t="n">
        <f aca="false">Sens!$L$10177-Sens!$L$10178</f>
        <v>157.514325063223</v>
      </c>
      <c r="M10179" s="38" t="n">
        <f aca="false">Sens!$M$10177-Sens!$M$10178</f>
        <v>171.9729181925</v>
      </c>
      <c r="N10179" s="38" t="n">
        <f aca="false">Q!$N$38</f>
        <v>35.291</v>
      </c>
      <c r="O10179" s="38" t="n">
        <f aca="false">Q!$O$38</f>
        <v>42.379</v>
      </c>
    </row>
    <row r="10180" customFormat="false" ht="17.15" hidden="false" customHeight="false" outlineLevel="0" collapsed="false">
      <c r="A10180" s="5" t="s">
        <v>552</v>
      </c>
      <c r="B10180" s="5" t="s">
        <v>33</v>
      </c>
      <c r="C10180" s="22" t="n">
        <f aca="false">Q!$D$41</f>
        <v>10.721</v>
      </c>
      <c r="D10180" s="22" t="n">
        <f aca="false">Q!$E$41</f>
        <v>10.827</v>
      </c>
      <c r="E10180" s="22" t="n">
        <f aca="false">(Q!$L$41+Q!$M$41)/2</f>
        <v>10.8885</v>
      </c>
      <c r="F10180" s="22" t="n">
        <f aca="false">Sens!$G$10180</f>
        <v>10.924806</v>
      </c>
      <c r="G10180" s="22" t="n">
        <f aca="false">Q!$M$41*(1+sh_g*0.25)</f>
        <v>10.924806</v>
      </c>
      <c r="H10180" s="22" t="n">
        <f aca="false">Sens!$G$10180*(1+sh_g)</f>
        <v>11.012204448</v>
      </c>
      <c r="I10180" s="22" t="n">
        <f aca="false">Sens!$H$10180*(1+sh_g)</f>
        <v>11.100302083584</v>
      </c>
      <c r="J10180" s="22" t="n">
        <f aca="false">Sens!$I$10180*(1+sh_g)</f>
        <v>11.1891045002527</v>
      </c>
      <c r="K10180" s="22" t="n">
        <f aca="false">Sens!$J$10180*(1+sh_g)</f>
        <v>11.2786173362547</v>
      </c>
      <c r="L10180" s="22" t="n">
        <f aca="false">Sens!$K$10180*(1+sh_g)</f>
        <v>11.3688462749447</v>
      </c>
      <c r="M10180" s="22" t="n">
        <f aca="false">Sens!$L$10180*(1+sh_g)</f>
        <v>11.4597970451443</v>
      </c>
      <c r="P10180" s="5" t="s">
        <v>755</v>
      </c>
    </row>
    <row r="10181" customFormat="false" ht="17.15" hidden="false" customHeight="false" outlineLevel="0" collapsed="false">
      <c r="A10181" s="5" t="s">
        <v>756</v>
      </c>
      <c r="B10181" s="0" t="s">
        <v>86</v>
      </c>
      <c r="C10181" s="38" t="n">
        <f aca="false">Sens!$C$10179+Sens!$C$10155*(1-tax)</f>
        <v>59.248</v>
      </c>
      <c r="D10181" s="38" t="n">
        <f aca="false">Sens!$D$10179+Sens!$D$10155*(1-tax)</f>
        <v>77.67</v>
      </c>
      <c r="E10181" s="38" t="n">
        <f aca="false">Sens!$E$10179+Sens!$E$10155*(1-tax)</f>
        <v>92.902</v>
      </c>
      <c r="F10181" s="38" t="n">
        <f aca="false">Sens!$F$10179+Sens!$F$10155*(1-tax)</f>
        <v>49.421977850263</v>
      </c>
      <c r="G10181" s="38" t="n">
        <f aca="false">Sens!$G$10179+Sens!$G$10155*(1-tax)</f>
        <v>142.323977850263</v>
      </c>
      <c r="H10181" s="38" t="n">
        <f aca="false">Sens!$H$10179+Sens!$H$10155*(1-tax)</f>
        <v>118.224131660605</v>
      </c>
      <c r="I10181" s="38" t="n">
        <f aca="false">Sens!$I$10179+Sens!$I$10155*(1-tax)</f>
        <v>141.02107006117</v>
      </c>
      <c r="J10181" s="38" t="n">
        <f aca="false">Sens!$J$10179+Sens!$J$10155*(1-tax)</f>
        <v>163.917534058375</v>
      </c>
      <c r="K10181" s="38" t="n">
        <f aca="false">Sens!$K$10179+Sens!$K$10155*(1-tax)</f>
        <v>181.633877275552</v>
      </c>
      <c r="L10181" s="38" t="n">
        <f aca="false">Sens!$L$10179+Sens!$L$10155*(1-tax)</f>
        <v>199.530402403778</v>
      </c>
      <c r="M10181" s="38" t="n">
        <f aca="false">Sens!$M$10179+Sens!$M$10155*(1-tax)</f>
        <v>216.302440383341</v>
      </c>
      <c r="N10181" s="38" t="n">
        <f aca="false">Sens!$N$10179+Sens!$N$10155*(1-tax)</f>
        <v>35.291</v>
      </c>
      <c r="O10181" s="38" t="n">
        <f aca="false">Sens!$O$10179+Sens!$O$10155*(1-tax)</f>
        <v>42.379</v>
      </c>
    </row>
    <row r="10182" customFormat="false" ht="17.15" hidden="false" customHeight="false" outlineLevel="0" collapsed="false">
      <c r="A10182" s="43" t="s">
        <v>757</v>
      </c>
      <c r="B10182" s="14" t="s">
        <v>27</v>
      </c>
      <c r="C10182" s="44" t="n">
        <f aca="false">Sens!$C$10181/Sens!$C$10180</f>
        <v>5.52635015390355</v>
      </c>
      <c r="D10182" s="44" t="n">
        <f aca="false">Sens!$D$10181/Sens!$D$10180</f>
        <v>7.1737323358271</v>
      </c>
      <c r="E10182" s="44" t="n">
        <f aca="false">Sens!$E$10181/Sens!$E$10180</f>
        <v>8.53212104513937</v>
      </c>
      <c r="F10182" s="14"/>
      <c r="G10182" s="44" t="n">
        <f aca="false">Sens!$G$10181/Sens!$G$10180</f>
        <v>13.0275977303636</v>
      </c>
      <c r="H10182" s="44" t="n">
        <f aca="false">Sens!$H$10181/Sens!$H$10180</f>
        <v>10.7357370832392</v>
      </c>
      <c r="I10182" s="44" t="n">
        <f aca="false">Sens!$I$10181/Sens!$I$10180</f>
        <v>12.7042551634449</v>
      </c>
      <c r="J10182" s="44" t="n">
        <f aca="false">Sens!$J$10181/Sens!$J$10180</f>
        <v>14.6497455676344</v>
      </c>
      <c r="K10182" s="44" t="n">
        <f aca="false">Sens!$K$10181/Sens!$K$10180</f>
        <v>16.104268090708</v>
      </c>
      <c r="L10182" s="44" t="n">
        <f aca="false">Sens!$L$10181/Sens!$L$10180</f>
        <v>17.5506289361581</v>
      </c>
      <c r="M10182" s="44" t="n">
        <f aca="false">Sens!$M$10181/Sens!$M$10180</f>
        <v>18.8748927691518</v>
      </c>
      <c r="N10182" s="14"/>
      <c r="O10182" s="14"/>
    </row>
    <row r="10183" customFormat="false" ht="17.15" hidden="false" customHeight="false" outlineLevel="0" collapsed="false">
      <c r="A10183" s="0" t="s">
        <v>758</v>
      </c>
      <c r="B10183" s="0" t="s">
        <v>27</v>
      </c>
      <c r="C10183" s="30" t="n">
        <f aca="false">Sens!$C$10179/Sens!$C$10180</f>
        <v>5.52635015390355</v>
      </c>
      <c r="D10183" s="30" t="n">
        <f aca="false">Sens!$D$10179/Sens!$D$10180</f>
        <v>7.1737323358271</v>
      </c>
      <c r="E10183" s="30" t="n">
        <f aca="false">Sens!$E$10179/Sens!$E$10180</f>
        <v>8.53212104513937</v>
      </c>
      <c r="G10183" s="30" t="n">
        <f aca="false">Sens!$G$10179/Sens!$G$10180</f>
        <v>12.7423208147233</v>
      </c>
      <c r="H10183" s="30" t="n">
        <f aca="false">Sens!$H$10179/Sens!$H$10180</f>
        <v>9.59778182509639</v>
      </c>
      <c r="I10183" s="30" t="n">
        <f aca="false">Sens!$I$10179/Sens!$I$10180</f>
        <v>10.799688520506</v>
      </c>
      <c r="J10183" s="30" t="n">
        <f aca="false">Sens!$J$10179/Sens!$J$10180</f>
        <v>11.9873844337644</v>
      </c>
      <c r="K10183" s="30" t="n">
        <f aca="false">Sens!$K$10179/Sens!$K$10180</f>
        <v>12.8088902453061</v>
      </c>
      <c r="L10183" s="30" t="n">
        <f aca="false">Sens!$L$10179/Sens!$L$10180</f>
        <v>13.8549085152432</v>
      </c>
      <c r="M10183" s="30" t="n">
        <f aca="false">Sens!$M$10179/Sens!$M$10180</f>
        <v>15.0066286091313</v>
      </c>
    </row>
    <row r="10184" customFormat="false" ht="17.15" hidden="false" customHeight="false" outlineLevel="0" collapsed="false">
      <c r="A10184" s="0" t="s">
        <v>759</v>
      </c>
      <c r="B10184" s="0" t="s">
        <v>27</v>
      </c>
      <c r="C10184" s="30" t="n">
        <f aca="false">(Sens!$C$10179-Sens!$C$10176*(1-tax))/Sens!$C$10180</f>
        <v>5.33926775917445</v>
      </c>
      <c r="D10184" s="30" t="n">
        <f aca="false">(Sens!$D$10179-Sens!$D$10176*(1-tax))/Sens!$D$10180</f>
        <v>5.67691812755503</v>
      </c>
      <c r="E10184" s="30" t="n">
        <f aca="false">(Sens!$E$10179-Sens!$E$10176*(1-tax))/Sens!$E$10180</f>
        <v>3.10602057006846</v>
      </c>
      <c r="G10184" s="30" t="n">
        <f aca="false">(Sens!$G$10179-Sens!$G$10176*(1-tax))/Sens!$G$10180</f>
        <v>7.33425269682635</v>
      </c>
      <c r="H10184" s="30" t="n">
        <f aca="false">(Sens!$H$10179-Sens!$H$10176*(1-tax))/Sens!$H$10180</f>
        <v>9.59778182509639</v>
      </c>
      <c r="I10184" s="30" t="n">
        <f aca="false">(Sens!$I$10179-Sens!$I$10176*(1-tax))/Sens!$I$10180</f>
        <v>10.799688520506</v>
      </c>
      <c r="J10184" s="30" t="n">
        <f aca="false">(Sens!$J$10179-Sens!$J$10176*(1-tax))/Sens!$J$10180</f>
        <v>11.9873844337644</v>
      </c>
      <c r="K10184" s="30" t="n">
        <f aca="false">(Sens!$K$10179-Sens!$K$10176*(1-tax))/Sens!$K$10180</f>
        <v>12.8088902453061</v>
      </c>
      <c r="L10184" s="30" t="n">
        <f aca="false">(Sens!$L$10179-Sens!$L$10176*(1-tax))/Sens!$L$10180</f>
        <v>13.8549085152432</v>
      </c>
      <c r="M10184" s="30" t="n">
        <f aca="false">(Sens!$M$10179-Sens!$M$10176*(1-tax))/Sens!$M$10180</f>
        <v>15.0066286091313</v>
      </c>
      <c r="P10184" s="5" t="s">
        <v>760</v>
      </c>
    </row>
    <row r="10185" customFormat="false" ht="17.15" hidden="false" customHeight="false" outlineLevel="0" collapsed="false">
      <c r="A10185" s="0" t="s">
        <v>761</v>
      </c>
      <c r="B10185" s="0" t="s">
        <v>52</v>
      </c>
      <c r="H10185" s="13" t="n">
        <f aca="false">Sens!$H$10182/Sens!$G$10182-1</f>
        <v>-0.175923504437261</v>
      </c>
      <c r="I10185" s="13" t="n">
        <f aca="false">Sens!$I$10182/Sens!$H$10182-1</f>
        <v>0.183361241519136</v>
      </c>
      <c r="J10185" s="13" t="n">
        <f aca="false">Sens!$J$10182/Sens!$I$10182-1</f>
        <v>0.153136911936991</v>
      </c>
      <c r="K10185" s="13" t="n">
        <f aca="false">Sens!$K$10182/Sens!$J$10182-1</f>
        <v>0.0992865382103958</v>
      </c>
      <c r="L10185" s="13" t="n">
        <f aca="false">Sens!$L$10182/Sens!$K$10182-1</f>
        <v>0.0898122682324627</v>
      </c>
      <c r="M10185" s="13" t="n">
        <f aca="false">Sens!$M$10182/Sens!$L$10182-1</f>
        <v>0.0754539246320329</v>
      </c>
    </row>
    <row r="10188" customFormat="false" ht="19.4" hidden="false" customHeight="false" outlineLevel="0" collapsed="false">
      <c r="A10188" s="31" t="s">
        <v>1343</v>
      </c>
    </row>
    <row r="10189" customFormat="false" ht="17.15" hidden="false" customHeight="false" outlineLevel="0" collapsed="false">
      <c r="A10189" s="6" t="s">
        <v>16</v>
      </c>
      <c r="B10189" s="6" t="s">
        <v>17</v>
      </c>
      <c r="C10189" s="20" t="s">
        <v>497</v>
      </c>
      <c r="D10189" s="20" t="s">
        <v>498</v>
      </c>
      <c r="E10189" s="20" t="s">
        <v>580</v>
      </c>
      <c r="F10189" s="20" t="s">
        <v>581</v>
      </c>
      <c r="G10189" s="20" t="s">
        <v>582</v>
      </c>
      <c r="H10189" s="20" t="s">
        <v>583</v>
      </c>
      <c r="I10189" s="20" t="s">
        <v>584</v>
      </c>
      <c r="J10189" s="20" t="s">
        <v>585</v>
      </c>
      <c r="K10189" s="20" t="s">
        <v>586</v>
      </c>
      <c r="L10189" s="20" t="s">
        <v>587</v>
      </c>
      <c r="M10189" s="20" t="s">
        <v>588</v>
      </c>
      <c r="N10189" s="20" t="s">
        <v>589</v>
      </c>
      <c r="O10189" s="20" t="s">
        <v>590</v>
      </c>
      <c r="P10189" s="6" t="s">
        <v>23</v>
      </c>
      <c r="R10189" s="20" t="n">
        <v>2023</v>
      </c>
      <c r="S10189" s="20" t="n">
        <v>2024</v>
      </c>
      <c r="T10189" s="20" t="n">
        <v>2025</v>
      </c>
      <c r="U10189" s="20" t="n">
        <v>2026</v>
      </c>
      <c r="V10189" s="20" t="n">
        <v>2027</v>
      </c>
      <c r="W10189" s="20" t="n">
        <v>2028</v>
      </c>
      <c r="X10189" s="20" t="n">
        <v>2029</v>
      </c>
      <c r="Y10189" s="20" t="n">
        <v>2030</v>
      </c>
      <c r="Z10189" s="20" t="n">
        <v>2031</v>
      </c>
      <c r="AA10189" s="20" t="n">
        <v>2032</v>
      </c>
    </row>
    <row r="10190" customFormat="false" ht="15" hidden="false" customHeight="false" outlineLevel="0" collapsed="false">
      <c r="A10190" s="5" t="s">
        <v>549</v>
      </c>
      <c r="B10190" s="0" t="s">
        <v>86</v>
      </c>
      <c r="C10190" s="38" t="n">
        <f aca="false">Sens!$C$10179</f>
        <v>59.248</v>
      </c>
      <c r="D10190" s="38" t="n">
        <f aca="false">Sens!$D$10179</f>
        <v>77.67</v>
      </c>
      <c r="E10190" s="38" t="n">
        <f aca="false">Sens!$E$10179</f>
        <v>92.902</v>
      </c>
      <c r="F10190" s="38" t="n">
        <f aca="false">Sens!$F$10179</f>
        <v>46.3053828906144</v>
      </c>
      <c r="G10190" s="38" t="n">
        <f aca="false">Sens!$G$10179</f>
        <v>139.207382890614</v>
      </c>
      <c r="H10190" s="38" t="n">
        <f aca="false">Sens!$H$10179</f>
        <v>105.69273570526</v>
      </c>
      <c r="I10190" s="38" t="n">
        <f aca="false">Sens!$I$10179</f>
        <v>119.879804986231</v>
      </c>
      <c r="J10190" s="38" t="n">
        <f aca="false">Sens!$J$10179</f>
        <v>134.128097114092</v>
      </c>
      <c r="K10190" s="38" t="n">
        <f aca="false">Sens!$K$10179</f>
        <v>144.466571578893</v>
      </c>
      <c r="L10190" s="38" t="n">
        <f aca="false">Sens!$L$10179</f>
        <v>157.514325063223</v>
      </c>
      <c r="M10190" s="38" t="n">
        <f aca="false">Sens!$M$10179</f>
        <v>171.9729181925</v>
      </c>
    </row>
    <row r="10191" customFormat="false" ht="17.15" hidden="false" customHeight="false" outlineLevel="0" collapsed="false">
      <c r="A10191" s="5" t="s">
        <v>784</v>
      </c>
      <c r="B10191" s="0" t="s">
        <v>86</v>
      </c>
      <c r="C10191" s="38" t="n">
        <f aca="false">Sens!$C$10167</f>
        <v>32.067</v>
      </c>
      <c r="D10191" s="38" t="n">
        <f aca="false">Sens!$D$10167</f>
        <v>41.86</v>
      </c>
      <c r="E10191" s="38" t="n">
        <f aca="false">Sens!$E$10167</f>
        <v>26.703</v>
      </c>
      <c r="F10191" s="38" t="n">
        <f aca="false">Sens!$F$10167</f>
        <v>28.2071421626285</v>
      </c>
      <c r="G10191" s="38" t="n">
        <f aca="false">Sens!$G$10167</f>
        <v>54.9101421626285</v>
      </c>
      <c r="H10191" s="38" t="n">
        <f aca="false">Sens!$H$10167</f>
        <v>78.1799395827871</v>
      </c>
      <c r="I10191" s="38" t="n">
        <f aca="false">Sens!$I$10167</f>
        <v>111.171125554384</v>
      </c>
      <c r="J10191" s="38" t="n">
        <f aca="false">Sens!$J$10167</f>
        <v>144.884406220971</v>
      </c>
      <c r="K10191" s="38" t="n">
        <f aca="false">Sens!$K$10167</f>
        <v>178.806419437999</v>
      </c>
      <c r="L10191" s="38" t="n">
        <f aca="false">Sens!$L$10167</f>
        <v>204.341339029663</v>
      </c>
      <c r="M10191" s="38" t="n">
        <f aca="false">Sens!$M$10167</f>
        <v>223.130577995387</v>
      </c>
    </row>
    <row r="10192" customFormat="false" ht="15" hidden="false" customHeight="false" outlineLevel="0" collapsed="false">
      <c r="A10192" s="5" t="s">
        <v>785</v>
      </c>
      <c r="B10192" s="0" t="s">
        <v>86</v>
      </c>
      <c r="C10192" s="38" t="n">
        <f aca="false">Q!$D$48</f>
        <v>22.011</v>
      </c>
      <c r="D10192" s="38" t="n">
        <f aca="false">Q!$E$48</f>
        <v>19.467</v>
      </c>
      <c r="E10192" s="38" t="n">
        <f aca="false">Q!$P$48</f>
        <v>10.07</v>
      </c>
      <c r="F10192" s="38" t="n">
        <f aca="false">sbc_r*Sens!$F$10109</f>
        <v>10.8507035798037</v>
      </c>
      <c r="G10192" s="38" t="n">
        <f aca="false">Sens!$E$10192+Sens!$F$10192</f>
        <v>20.9207035798037</v>
      </c>
      <c r="H10192" s="38" t="n">
        <f aca="false">sbc_r*Sens!$H$10109</f>
        <v>23.46224366345</v>
      </c>
      <c r="I10192" s="38" t="n">
        <f aca="false">sbc_r*Sens!$I$10109</f>
        <v>26.6125957111676</v>
      </c>
      <c r="J10192" s="38" t="n">
        <f aca="false">sbc_r*Sens!$J$10109</f>
        <v>29.6280801413323</v>
      </c>
      <c r="K10192" s="38" t="n">
        <f aca="false">sbc_r*Sens!$K$10109</f>
        <v>32.2712258901105</v>
      </c>
      <c r="L10192" s="38" t="n">
        <f aca="false">sbc_r*Sens!$L$10109</f>
        <v>34.7390505016737</v>
      </c>
      <c r="M10192" s="38" t="n">
        <f aca="false">sbc_r*Sens!$M$10109</f>
        <v>37.0405146906692</v>
      </c>
    </row>
    <row r="10193" customFormat="false" ht="17.15" hidden="false" customHeight="false" outlineLevel="0" collapsed="false">
      <c r="A10193" s="5" t="s">
        <v>786</v>
      </c>
      <c r="B10193" s="0" t="s">
        <v>86</v>
      </c>
      <c r="C10193" s="38" t="n">
        <f aca="false">Q!$D$44-Sens!$C$10190-Sens!$C$10191-Sens!$C$10192</f>
        <v>2.551</v>
      </c>
      <c r="D10193" s="38" t="n">
        <f aca="false">Q!$E$44-Sens!$D$10190-Sens!$D$10191-Sens!$D$10192</f>
        <v>0.51700000000001</v>
      </c>
      <c r="E10193" s="38" t="n">
        <f aca="false">Q!$P$44-Sens!$E$10190-Sens!$E$10191-Sens!$E$10192</f>
        <v>-58.256</v>
      </c>
      <c r="F10193" s="38" t="n">
        <f aca="false">oth_r*Sens!$F$10109</f>
        <v>5.22265251035878</v>
      </c>
      <c r="G10193" s="38" t="n">
        <f aca="false">Sens!$E$10193+Sens!$F$10193</f>
        <v>-53.0333474896412</v>
      </c>
      <c r="H10193" s="38" t="n">
        <f aca="false">oth_r*Sens!$H$10109</f>
        <v>11.2928295263397</v>
      </c>
      <c r="I10193" s="38" t="n">
        <f aca="false">oth_r*Sens!$I$10109</f>
        <v>12.8091546115766</v>
      </c>
      <c r="J10193" s="38" t="n">
        <f aca="false">oth_r*Sens!$J$10109</f>
        <v>14.2605653162668</v>
      </c>
      <c r="K10193" s="38" t="n">
        <f aca="false">oth_r*Sens!$K$10109</f>
        <v>15.5327622460396</v>
      </c>
      <c r="L10193" s="38" t="n">
        <f aca="false">oth_r*Sens!$L$10109</f>
        <v>16.720573737517</v>
      </c>
      <c r="M10193" s="38" t="n">
        <f aca="false">oth_r*Sens!$M$10109</f>
        <v>17.8283127551536</v>
      </c>
      <c r="P10193" s="8" t="s">
        <v>787</v>
      </c>
    </row>
    <row r="10194" customFormat="false" ht="15" hidden="false" customHeight="false" outlineLevel="0" collapsed="false">
      <c r="A10194" s="3" t="s">
        <v>555</v>
      </c>
      <c r="B10194" s="8" t="s">
        <v>86</v>
      </c>
      <c r="C10194" s="38" t="n">
        <f aca="false">Q!$D$44</f>
        <v>115.877</v>
      </c>
      <c r="D10194" s="38" t="n">
        <f aca="false">Q!$E$44</f>
        <v>139.514</v>
      </c>
      <c r="E10194" s="38" t="n">
        <f aca="false">Q!$P$44</f>
        <v>71.419</v>
      </c>
      <c r="F10194" s="38" t="n">
        <f aca="false">Sens!$F$10190+Sens!$F$10191+Sens!$F$10192+Sens!$F$10193</f>
        <v>90.5858811434053</v>
      </c>
      <c r="G10194" s="38" t="n">
        <f aca="false">Sens!$E$10194+Sens!$F$10194</f>
        <v>162.004881143405</v>
      </c>
      <c r="H10194" s="38" t="n">
        <f aca="false">Sens!$H$10190+Sens!$H$10191+Sens!$H$10192+Sens!$H$10193</f>
        <v>218.627748477837</v>
      </c>
      <c r="I10194" s="38" t="n">
        <f aca="false">Sens!$I$10190+Sens!$I$10191+Sens!$I$10192+Sens!$I$10193</f>
        <v>270.47268086336</v>
      </c>
      <c r="J10194" s="38" t="n">
        <f aca="false">Sens!$J$10190+Sens!$J$10191+Sens!$J$10192+Sens!$J$10193</f>
        <v>322.901148792662</v>
      </c>
      <c r="K10194" s="38" t="n">
        <f aca="false">Sens!$K$10190+Sens!$K$10191+Sens!$K$10192+Sens!$K$10193</f>
        <v>371.076979153043</v>
      </c>
      <c r="L10194" s="38" t="n">
        <f aca="false">Sens!$L$10190+Sens!$L$10191+Sens!$L$10192+Sens!$L$10193</f>
        <v>413.315288332076</v>
      </c>
      <c r="M10194" s="38" t="n">
        <f aca="false">Sens!$M$10190+Sens!$M$10191+Sens!$M$10192+Sens!$M$10193</f>
        <v>449.97232363371</v>
      </c>
    </row>
    <row r="10195" customFormat="false" ht="17.15" hidden="false" customHeight="false" outlineLevel="0" collapsed="false">
      <c r="A10195" s="5" t="s">
        <v>788</v>
      </c>
      <c r="B10195" s="0" t="s">
        <v>86</v>
      </c>
      <c r="C10195" s="38" t="n">
        <f aca="false">Sens!$C$10076</f>
        <v>25.2781053077374</v>
      </c>
      <c r="D10195" s="38" t="n">
        <f aca="false">Sens!$D$10076</f>
        <v>69.5686316310026</v>
      </c>
      <c r="E10195" s="38" t="n">
        <f aca="false">Sens!$E$10076</f>
        <v>64.1899206485108</v>
      </c>
      <c r="F10195" s="38" t="n">
        <f aca="false">Sens!$F$10076</f>
        <v>96.2481299895</v>
      </c>
      <c r="G10195" s="38" t="n">
        <f aca="false">Sens!$G$10076</f>
        <v>160.438050638011</v>
      </c>
      <c r="H10195" s="38" t="n">
        <f aca="false">Sens!$H$10076</f>
        <v>198.57136494475</v>
      </c>
      <c r="I10195" s="38" t="n">
        <f aca="false">Sens!$I$10076</f>
        <v>204.6464699105</v>
      </c>
      <c r="J10195" s="38" t="n">
        <f aca="false">Sens!$J$10076</f>
        <v>209.8832381105</v>
      </c>
      <c r="K10195" s="38" t="n">
        <f aca="false">Sens!$K$10076</f>
        <v>155.238385275201</v>
      </c>
      <c r="L10195" s="38" t="n">
        <f aca="false">Sens!$L$10076</f>
        <v>132.014141639902</v>
      </c>
      <c r="M10195" s="38" t="n">
        <f aca="false">Sens!$M$10076</f>
        <v>132.230981659852</v>
      </c>
    </row>
    <row r="10196" customFormat="false" ht="17.15" hidden="false" customHeight="false" outlineLevel="0" collapsed="false">
      <c r="A10196" s="5" t="s">
        <v>789</v>
      </c>
      <c r="B10196" s="0" t="s">
        <v>86</v>
      </c>
      <c r="C10196" s="38" t="n">
        <f aca="false">cx_awso*Sens!$C$10107</f>
        <v>21.0469989286053</v>
      </c>
      <c r="D10196" s="38" t="n">
        <f aca="false">cx_awso*Sens!$D$10107</f>
        <v>24.0042459822698</v>
      </c>
      <c r="E10196" s="38" t="n">
        <f aca="false">cx_awso*Sens!$E$10107</f>
        <v>14.261729404886</v>
      </c>
      <c r="F10196" s="38" t="n">
        <f aca="false">cx_awso*Sens!$F$10107</f>
        <v>14.3538599588493</v>
      </c>
      <c r="G10196" s="38" t="n">
        <f aca="false">Sens!$E$10196+Sens!$F$10196</f>
        <v>28.6155893637353</v>
      </c>
      <c r="H10196" s="38" t="n">
        <f aca="false">cx_awso*Sens!$H$10107</f>
        <v>32.2034154158406</v>
      </c>
      <c r="I10196" s="38" t="n">
        <f aca="false">cx_awso*Sens!$I$10107</f>
        <v>35.7539519042915</v>
      </c>
      <c r="J10196" s="38" t="n">
        <f aca="false">cx_awso*Sens!$J$10107</f>
        <v>39.1551076091815</v>
      </c>
      <c r="K10196" s="38" t="n">
        <f aca="false">cx_awso*Sens!$K$10107</f>
        <v>42.287516217916</v>
      </c>
      <c r="L10196" s="38" t="n">
        <f aca="false">cx_awso*Sens!$L$10107</f>
        <v>45.6705175153492</v>
      </c>
      <c r="M10196" s="38" t="n">
        <f aca="false">cx_awso*Sens!$M$10107</f>
        <v>49.3241589165772</v>
      </c>
    </row>
    <row r="10197" customFormat="false" ht="17.15" hidden="false" customHeight="false" outlineLevel="0" collapsed="false">
      <c r="A10197" s="5" t="s">
        <v>790</v>
      </c>
      <c r="B10197" s="0" t="s">
        <v>86</v>
      </c>
      <c r="C10197" s="38" t="n">
        <f aca="false">Q!$D$46-Sens!$C$10195-Sens!$C$10196</f>
        <v>31.3328957636573</v>
      </c>
      <c r="D10197" s="38" t="n">
        <f aca="false">Q!$E$46-Sens!$D$10195-Sens!$D$10196</f>
        <v>34.7471223867276</v>
      </c>
      <c r="E10197" s="38" t="n">
        <f aca="false">Q!$P$46-Sens!$E$10195-Sens!$E$10196</f>
        <v>17.8583499466032</v>
      </c>
      <c r="F10197" s="38" t="n">
        <f aca="false">cx_rt*Sens!$F$10039</f>
        <v>20.6195895799373</v>
      </c>
      <c r="G10197" s="38" t="n">
        <f aca="false">Sens!$E$10197+Sens!$F$10197</f>
        <v>38.4779395265405</v>
      </c>
      <c r="H10197" s="38" t="n">
        <f aca="false">cx_rt*Sens!$H$10039</f>
        <v>42.5978994743075</v>
      </c>
      <c r="I10197" s="38" t="n">
        <f aca="false">cx_rt*Sens!$I$10039</f>
        <v>46.5813904136335</v>
      </c>
      <c r="J10197" s="38" t="n">
        <f aca="false">cx_rt*Sens!$J$10039</f>
        <v>50.2781676586844</v>
      </c>
      <c r="K10197" s="38" t="n">
        <f aca="false">cx_rt*Sens!$K$10039</f>
        <v>53.5312440191755</v>
      </c>
      <c r="L10197" s="38" t="n">
        <f aca="false">cx_rt*Sens!$L$10039</f>
        <v>57.0116717051447</v>
      </c>
      <c r="M10197" s="38" t="n">
        <f aca="false">cx_rt*Sens!$M$10039</f>
        <v>60.7365554669226</v>
      </c>
    </row>
    <row r="10198" customFormat="false" ht="15" hidden="false" customHeight="false" outlineLevel="0" collapsed="false">
      <c r="A10198" s="3" t="s">
        <v>791</v>
      </c>
      <c r="B10198" s="8" t="s">
        <v>86</v>
      </c>
      <c r="C10198" s="38" t="n">
        <f aca="false">Q!$D$46</f>
        <v>77.658</v>
      </c>
      <c r="D10198" s="38" t="n">
        <f aca="false">Q!$E$46</f>
        <v>128.32</v>
      </c>
      <c r="E10198" s="38" t="n">
        <f aca="false">Q!$P$46</f>
        <v>96.31</v>
      </c>
      <c r="F10198" s="38" t="n">
        <f aca="false">Sens!$F$10195+Sens!$F$10196+Sens!$F$10197</f>
        <v>131.221579528287</v>
      </c>
      <c r="G10198" s="38" t="n">
        <f aca="false">Sens!$E$10198+Sens!$F$10198</f>
        <v>227.531579528287</v>
      </c>
      <c r="H10198" s="38" t="n">
        <f aca="false">Sens!$H$10195+Sens!$H$10196+Sens!$H$10197</f>
        <v>273.372679834898</v>
      </c>
      <c r="I10198" s="38" t="n">
        <f aca="false">Sens!$I$10195+Sens!$I$10196+Sens!$I$10197</f>
        <v>286.981812228425</v>
      </c>
      <c r="J10198" s="38" t="n">
        <f aca="false">Sens!$J$10195+Sens!$J$10196+Sens!$J$10197</f>
        <v>299.316513378366</v>
      </c>
      <c r="K10198" s="38" t="n">
        <f aca="false">Sens!$K$10195+Sens!$K$10196+Sens!$K$10197</f>
        <v>251.057145512292</v>
      </c>
      <c r="L10198" s="38" t="n">
        <f aca="false">Sens!$L$10195+Sens!$L$10196+Sens!$L$10197</f>
        <v>234.696330860396</v>
      </c>
      <c r="M10198" s="38" t="n">
        <f aca="false">Sens!$M$10195+Sens!$M$10196+Sens!$M$10197</f>
        <v>242.291696043352</v>
      </c>
    </row>
    <row r="10199" customFormat="false" ht="17.15" hidden="false" customHeight="false" outlineLevel="0" collapsed="false">
      <c r="A10199" s="5" t="s">
        <v>563</v>
      </c>
      <c r="B10199" s="0" t="s">
        <v>86</v>
      </c>
      <c r="C10199" s="38" t="n">
        <f aca="false">Q!$D$50</f>
        <v>2.043</v>
      </c>
      <c r="D10199" s="38" t="n">
        <f aca="false">Q!$E$50</f>
        <v>1.557</v>
      </c>
      <c r="E10199" s="38" t="n">
        <f aca="false">lease_pr/2</f>
        <v>0.8</v>
      </c>
      <c r="F10199" s="38" t="n">
        <f aca="false">lease_pr/2</f>
        <v>0.8</v>
      </c>
      <c r="G10199" s="38" t="n">
        <f aca="false">Sens!$E$10199+Sens!$F$10199</f>
        <v>1.6</v>
      </c>
      <c r="H10199" s="38" t="n">
        <f aca="false">lease_pr</f>
        <v>1.6</v>
      </c>
      <c r="I10199" s="38" t="n">
        <f aca="false">lease_pr</f>
        <v>1.6</v>
      </c>
      <c r="J10199" s="38" t="n">
        <f aca="false">lease_pr</f>
        <v>1.6</v>
      </c>
      <c r="K10199" s="38" t="n">
        <f aca="false">lease_pr</f>
        <v>1.6</v>
      </c>
      <c r="L10199" s="38" t="n">
        <f aca="false">lease_pr</f>
        <v>1.6</v>
      </c>
      <c r="M10199" s="38" t="n">
        <f aca="false">lease_pr</f>
        <v>1.6</v>
      </c>
      <c r="P10199" s="8" t="s">
        <v>792</v>
      </c>
    </row>
    <row r="10200" customFormat="false" ht="15" hidden="false" customHeight="false" outlineLevel="0" collapsed="false">
      <c r="A10200" s="47" t="s">
        <v>793</v>
      </c>
      <c r="B10200" s="14" t="s">
        <v>86</v>
      </c>
      <c r="C10200" s="48" t="n">
        <f aca="false">Sens!$C$10194-Sens!$C$10198-Sens!$C$10199</f>
        <v>36.176</v>
      </c>
      <c r="D10200" s="48" t="n">
        <f aca="false">Sens!$D$10194-Sens!$D$10198-Sens!$D$10199</f>
        <v>9.63700000000002</v>
      </c>
      <c r="E10200" s="48" t="n">
        <f aca="false">Sens!$E$10194-Sens!$E$10198-Sens!$E$10199</f>
        <v>-25.691</v>
      </c>
      <c r="F10200" s="48" t="n">
        <f aca="false">Sens!$F$10194-Sens!$F$10198-Sens!$F$10199</f>
        <v>-41.4356983848813</v>
      </c>
      <c r="G10200" s="48" t="n">
        <f aca="false">Sens!$G$10194-Sens!$G$10198-Sens!$G$10199</f>
        <v>-67.1266983848813</v>
      </c>
      <c r="H10200" s="48" t="n">
        <f aca="false">Sens!$H$10194-Sens!$H$10198-Sens!$H$10199</f>
        <v>-56.3449313570613</v>
      </c>
      <c r="I10200" s="48" t="n">
        <f aca="false">Sens!$I$10194-Sens!$I$10198-Sens!$I$10199</f>
        <v>-18.1091313650653</v>
      </c>
      <c r="J10200" s="48" t="n">
        <f aca="false">Sens!$J$10194-Sens!$J$10198-Sens!$J$10199</f>
        <v>21.9846354142961</v>
      </c>
      <c r="K10200" s="48" t="n">
        <f aca="false">Sens!$K$10194-Sens!$K$10198-Sens!$K$10199</f>
        <v>118.41983364075</v>
      </c>
      <c r="L10200" s="48" t="n">
        <f aca="false">Sens!$L$10194-Sens!$L$10198-Sens!$L$10199</f>
        <v>177.018957471681</v>
      </c>
      <c r="M10200" s="48" t="n">
        <f aca="false">Sens!$M$10194-Sens!$M$10198-Sens!$M$10199</f>
        <v>206.080627590357</v>
      </c>
      <c r="N10200" s="14"/>
      <c r="O10200" s="14"/>
    </row>
    <row r="10201" customFormat="false" ht="17.15" hidden="false" customHeight="false" outlineLevel="0" collapsed="false">
      <c r="A10201" s="5" t="s">
        <v>794</v>
      </c>
      <c r="B10201" s="0" t="s">
        <v>86</v>
      </c>
      <c r="C10201" s="38" t="n">
        <f aca="false">dps*Sens!$C$10180</f>
        <v>0</v>
      </c>
      <c r="D10201" s="38" t="n">
        <f aca="false">dps*Sens!$D$10180</f>
        <v>0</v>
      </c>
      <c r="E10201" s="38" t="n">
        <f aca="false">dps*Sens!$E$10180</f>
        <v>0</v>
      </c>
      <c r="F10201" s="38" t="n">
        <f aca="false">0</f>
        <v>0</v>
      </c>
      <c r="G10201" s="38" t="n">
        <f aca="false">dps*Sens!$G$10180</f>
        <v>0</v>
      </c>
      <c r="H10201" s="38" t="n">
        <f aca="false">dps*Sens!$H$10180</f>
        <v>0</v>
      </c>
      <c r="I10201" s="38" t="n">
        <f aca="false">dps*Sens!$I$10180</f>
        <v>0</v>
      </c>
      <c r="J10201" s="38" t="n">
        <f aca="false">dps*Sens!$J$10180</f>
        <v>0</v>
      </c>
      <c r="K10201" s="38" t="n">
        <f aca="false">dps*Sens!$K$10180</f>
        <v>0</v>
      </c>
      <c r="L10201" s="38" t="n">
        <f aca="false">dps*Sens!$L$10180</f>
        <v>0</v>
      </c>
      <c r="M10201" s="38" t="n">
        <f aca="false">dps*Sens!$M$10180</f>
        <v>0</v>
      </c>
      <c r="P10201" s="8" t="s">
        <v>795</v>
      </c>
    </row>
    <row r="10202" customFormat="false" ht="17.15" hidden="false" customHeight="false" outlineLevel="0" collapsed="false">
      <c r="A10202" s="5" t="s">
        <v>796</v>
      </c>
      <c r="B10202" s="0" t="s">
        <v>86</v>
      </c>
      <c r="C10202" s="38" t="n">
        <f aca="false">0</f>
        <v>0</v>
      </c>
      <c r="D10202" s="38" t="n">
        <f aca="false">0</f>
        <v>0</v>
      </c>
      <c r="E10202" s="38" t="n">
        <f aca="false">0</f>
        <v>0</v>
      </c>
      <c r="F10202" s="38" t="n">
        <f aca="false">0</f>
        <v>0</v>
      </c>
      <c r="G10202" s="38" t="n">
        <f aca="false">0</f>
        <v>0</v>
      </c>
      <c r="H10202" s="38" t="n">
        <f aca="false">0</f>
        <v>0</v>
      </c>
      <c r="I10202" s="38" t="n">
        <f aca="false">0</f>
        <v>0</v>
      </c>
      <c r="J10202" s="38" t="n">
        <f aca="false">0</f>
        <v>0</v>
      </c>
      <c r="K10202" s="38" t="n">
        <f aca="false">0</f>
        <v>0</v>
      </c>
      <c r="L10202" s="38" t="n">
        <f aca="false">0</f>
        <v>0</v>
      </c>
      <c r="M10202" s="38" t="n">
        <f aca="false">0</f>
        <v>0</v>
      </c>
      <c r="P10202" s="8" t="s">
        <v>797</v>
      </c>
    </row>
    <row r="10203" customFormat="false" ht="15" hidden="false" customHeight="false" outlineLevel="0" collapsed="false">
      <c r="A10203" s="3" t="s">
        <v>798</v>
      </c>
      <c r="B10203" s="8" t="s">
        <v>86</v>
      </c>
      <c r="C10203" s="38" t="n">
        <f aca="false">Sens!$C$10200-Sens!$C$10201</f>
        <v>36.176</v>
      </c>
      <c r="D10203" s="38" t="n">
        <f aca="false">Sens!$D$10200-Sens!$D$10201</f>
        <v>9.63700000000002</v>
      </c>
      <c r="E10203" s="38" t="n">
        <f aca="false">Sens!$E$10200-Sens!$E$10201</f>
        <v>-25.691</v>
      </c>
      <c r="F10203" s="38" t="n">
        <f aca="false">Sens!$F$10200-Sens!$F$10201</f>
        <v>-41.4356983848813</v>
      </c>
      <c r="G10203" s="38" t="n">
        <f aca="false">Sens!$G$10200-Sens!$G$10201</f>
        <v>-67.1266983848813</v>
      </c>
      <c r="H10203" s="38" t="n">
        <f aca="false">Sens!$H$10200-Sens!$H$10201</f>
        <v>-56.3449313570613</v>
      </c>
      <c r="I10203" s="38" t="n">
        <f aca="false">Sens!$I$10200-Sens!$I$10201</f>
        <v>-18.1091313650653</v>
      </c>
      <c r="J10203" s="38" t="n">
        <f aca="false">Sens!$J$10200-Sens!$J$10201</f>
        <v>21.9846354142961</v>
      </c>
      <c r="K10203" s="38" t="n">
        <f aca="false">Sens!$K$10200-Sens!$K$10201</f>
        <v>118.41983364075</v>
      </c>
      <c r="L10203" s="38" t="n">
        <f aca="false">Sens!$L$10200-Sens!$L$10201</f>
        <v>177.018957471681</v>
      </c>
      <c r="M10203" s="38" t="n">
        <f aca="false">Sens!$M$10200-Sens!$M$10201</f>
        <v>206.080627590357</v>
      </c>
    </row>
    <row r="10204" customFormat="false" ht="17.15" hidden="false" customHeight="false" outlineLevel="0" collapsed="false">
      <c r="A10204" s="5" t="s">
        <v>799</v>
      </c>
      <c r="B10204" s="0" t="s">
        <v>86</v>
      </c>
      <c r="E10204" s="38" t="n">
        <f aca="false">Q!$P$53</f>
        <v>39.767</v>
      </c>
      <c r="F10204" s="38" t="n">
        <f aca="false">inv_2h26</f>
        <v>21.3</v>
      </c>
      <c r="G10204" s="38" t="n">
        <f aca="false">Sens!$E$10204+Sens!$F$10204</f>
        <v>61.067</v>
      </c>
      <c r="H10204" s="39" t="n">
        <v>0</v>
      </c>
      <c r="I10204" s="39" t="n">
        <v>0</v>
      </c>
      <c r="J10204" s="39" t="n">
        <v>0</v>
      </c>
      <c r="K10204" s="39" t="n">
        <v>0</v>
      </c>
      <c r="L10204" s="39" t="n">
        <v>0</v>
      </c>
      <c r="M10204" s="39" t="n">
        <v>0</v>
      </c>
    </row>
    <row r="10205" customFormat="false" ht="17.15" hidden="false" customHeight="false" outlineLevel="0" collapsed="false">
      <c r="A10205" s="5" t="s">
        <v>800</v>
      </c>
      <c r="B10205" s="0" t="s">
        <v>86</v>
      </c>
      <c r="F10205" s="38" t="n">
        <f aca="false">iss_2h26</f>
        <v>29.249999</v>
      </c>
      <c r="G10205" s="38" t="n">
        <f aca="false">Sens!$F$10205</f>
        <v>29.249999</v>
      </c>
      <c r="H10205" s="39" t="n">
        <v>0</v>
      </c>
      <c r="I10205" s="39" t="n">
        <v>0</v>
      </c>
      <c r="J10205" s="39" t="n">
        <v>0</v>
      </c>
      <c r="K10205" s="39" t="n">
        <v>0</v>
      </c>
      <c r="L10205" s="39" t="n">
        <v>0</v>
      </c>
      <c r="M10205" s="39" t="n">
        <v>0</v>
      </c>
    </row>
    <row r="10206" customFormat="false" ht="17.15" hidden="false" customHeight="false" outlineLevel="0" collapsed="false">
      <c r="A10206" s="5" t="s">
        <v>801</v>
      </c>
      <c r="B10206" s="0" t="s">
        <v>86</v>
      </c>
      <c r="F10206" s="38" t="n">
        <f aca="false">cash_q2</f>
        <v>122.988</v>
      </c>
      <c r="G10206" s="38" t="n">
        <f aca="false">cash_q2</f>
        <v>122.988</v>
      </c>
      <c r="H10206" s="38" t="n">
        <f aca="false">Sens!$G$10209</f>
        <v>89.5023006151187</v>
      </c>
      <c r="I10206" s="38" t="n">
        <f aca="false">Sens!$H$10209</f>
        <v>50</v>
      </c>
      <c r="J10206" s="38" t="n">
        <f aca="false">Sens!$I$10209</f>
        <v>50</v>
      </c>
      <c r="K10206" s="38" t="n">
        <f aca="false">Sens!$J$10209</f>
        <v>71.9846354142962</v>
      </c>
      <c r="L10206" s="38" t="n">
        <f aca="false">Sens!$K$10209</f>
        <v>190.404469055046</v>
      </c>
      <c r="M10206" s="38" t="n">
        <f aca="false">Sens!$L$10209</f>
        <v>367.423426526727</v>
      </c>
    </row>
    <row r="10207" customFormat="false" ht="15" hidden="false" customHeight="false" outlineLevel="0" collapsed="false">
      <c r="A10207" s="5" t="s">
        <v>802</v>
      </c>
      <c r="B10207" s="0" t="s">
        <v>86</v>
      </c>
      <c r="F10207" s="38" t="n">
        <f aca="false">Sens!$F$10206+Sens!$F$10203-Sens!$F$10202-Sens!$F$10204+Sens!$F$10205</f>
        <v>89.5023006151187</v>
      </c>
      <c r="H10207" s="38" t="n">
        <f aca="false">Sens!$H$10206+Sens!$H$10203-Sens!$H$10202-Sens!$H$10204+Sens!$H$10205</f>
        <v>33.1573692580575</v>
      </c>
      <c r="I10207" s="38" t="n">
        <f aca="false">Sens!$I$10206+Sens!$I$10203-Sens!$I$10202-Sens!$I$10204+Sens!$I$10205</f>
        <v>31.8908686349347</v>
      </c>
      <c r="J10207" s="38" t="n">
        <f aca="false">Sens!$J$10206+Sens!$J$10203-Sens!$J$10202-Sens!$J$10204+Sens!$J$10205</f>
        <v>71.9846354142962</v>
      </c>
      <c r="K10207" s="38" t="n">
        <f aca="false">Sens!$K$10206+Sens!$K$10203-Sens!$K$10202-Sens!$K$10204+Sens!$K$10205</f>
        <v>190.404469055046</v>
      </c>
      <c r="L10207" s="38" t="n">
        <f aca="false">Sens!$L$10206+Sens!$L$10203-Sens!$L$10202-Sens!$L$10204+Sens!$L$10205</f>
        <v>367.423426526727</v>
      </c>
      <c r="M10207" s="38" t="n">
        <f aca="false">Sens!$M$10206+Sens!$M$10203-Sens!$M$10202-Sens!$M$10204+Sens!$M$10205</f>
        <v>573.504054117085</v>
      </c>
    </row>
    <row r="10208" customFormat="false" ht="17.15" hidden="false" customHeight="false" outlineLevel="0" collapsed="false">
      <c r="A10208" s="5" t="s">
        <v>803</v>
      </c>
      <c r="B10208" s="0" t="s">
        <v>86</v>
      </c>
      <c r="F10208" s="38" t="n">
        <f aca="false">MAX(0,min_cash-Sens!$F$10207)</f>
        <v>0</v>
      </c>
      <c r="G10208" s="38" t="n">
        <f aca="false">Sens!$F$10208</f>
        <v>0</v>
      </c>
      <c r="H10208" s="38" t="n">
        <f aca="false">MAX(0,min_cash-Sens!$H$10207)</f>
        <v>16.8426307419426</v>
      </c>
      <c r="I10208" s="38" t="n">
        <f aca="false">MAX(0,min_cash-Sens!$I$10207)</f>
        <v>18.1091313650653</v>
      </c>
      <c r="J10208" s="38" t="n">
        <f aca="false">MAX(0,min_cash-Sens!$J$10207)</f>
        <v>0</v>
      </c>
      <c r="K10208" s="38" t="n">
        <f aca="false">MAX(0,min_cash-Sens!$K$10207)</f>
        <v>0</v>
      </c>
      <c r="L10208" s="38" t="n">
        <f aca="false">MAX(0,min_cash-Sens!$L$10207)</f>
        <v>0</v>
      </c>
      <c r="M10208" s="38" t="n">
        <f aca="false">MAX(0,min_cash-Sens!$M$10207)</f>
        <v>0</v>
      </c>
      <c r="P10208" s="5" t="s">
        <v>804</v>
      </c>
    </row>
    <row r="10209" customFormat="false" ht="15" hidden="false" customHeight="false" outlineLevel="0" collapsed="false">
      <c r="A10209" s="5" t="s">
        <v>805</v>
      </c>
      <c r="B10209" s="0" t="s">
        <v>86</v>
      </c>
      <c r="D10209" s="38" t="n">
        <f aca="false">Q!$E$61</f>
        <v>123.029</v>
      </c>
      <c r="E10209" s="38" t="n">
        <f aca="false">Q!$M$61</f>
        <v>122.988</v>
      </c>
      <c r="F10209" s="38" t="n">
        <f aca="false">Sens!$F$10207+Sens!$F$10208</f>
        <v>89.5023006151187</v>
      </c>
      <c r="G10209" s="38" t="n">
        <f aca="false">Sens!$F$10209</f>
        <v>89.5023006151187</v>
      </c>
      <c r="H10209" s="38" t="n">
        <f aca="false">Sens!$H$10207+Sens!$H$10208</f>
        <v>50</v>
      </c>
      <c r="I10209" s="38" t="n">
        <f aca="false">Sens!$I$10207+Sens!$I$10208</f>
        <v>50</v>
      </c>
      <c r="J10209" s="38" t="n">
        <f aca="false">Sens!$J$10207+Sens!$J$10208</f>
        <v>71.9846354142962</v>
      </c>
      <c r="K10209" s="38" t="n">
        <f aca="false">Sens!$K$10207+Sens!$K$10208</f>
        <v>190.404469055046</v>
      </c>
      <c r="L10209" s="38" t="n">
        <f aca="false">Sens!$L$10207+Sens!$L$10208</f>
        <v>367.423426526727</v>
      </c>
      <c r="M10209" s="38" t="n">
        <f aca="false">Sens!$M$10207+Sens!$M$10208</f>
        <v>573.504054117085</v>
      </c>
    </row>
    <row r="10210" customFormat="false" ht="15" hidden="false" customHeight="false" outlineLevel="0" collapsed="false">
      <c r="A10210" s="5" t="s">
        <v>806</v>
      </c>
      <c r="B10210" s="0" t="s">
        <v>86</v>
      </c>
      <c r="D10210" s="38" t="n">
        <f aca="false">Q!$E$62</f>
        <v>68.836</v>
      </c>
      <c r="E10210" s="38" t="n">
        <f aca="false">Q!$M$62</f>
        <v>132.995</v>
      </c>
      <c r="F10210" s="38" t="n">
        <f aca="false">debt_q2+Sens!$F$10205+Sens!$F$10208</f>
        <v>162.244999</v>
      </c>
      <c r="G10210" s="38" t="n">
        <f aca="false">Sens!$F$10210</f>
        <v>162.244999</v>
      </c>
      <c r="H10210" s="38" t="n">
        <f aca="false">Sens!$G$10210+Sens!$H$10208</f>
        <v>179.087629741943</v>
      </c>
      <c r="I10210" s="38" t="n">
        <f aca="false">Sens!$H$10210+Sens!$I$10208</f>
        <v>197.196761107008</v>
      </c>
      <c r="J10210" s="38" t="n">
        <f aca="false">Sens!$I$10210+Sens!$J$10208</f>
        <v>197.196761107008</v>
      </c>
      <c r="K10210" s="38" t="n">
        <f aca="false">Sens!$J$10210+Sens!$K$10208</f>
        <v>197.196761107008</v>
      </c>
      <c r="L10210" s="38" t="n">
        <f aca="false">Sens!$K$10210+Sens!$L$10208</f>
        <v>197.196761107008</v>
      </c>
      <c r="M10210" s="38" t="n">
        <f aca="false">Sens!$L$10210+Sens!$M$10208</f>
        <v>197.196761107008</v>
      </c>
    </row>
    <row r="10211" customFormat="false" ht="15" hidden="false" customHeight="false" outlineLevel="0" collapsed="false">
      <c r="A10211" s="5" t="s">
        <v>807</v>
      </c>
      <c r="B10211" s="0" t="s">
        <v>86</v>
      </c>
      <c r="D10211" s="38" t="n">
        <f aca="false">Sens!$D$10210-Sens!$D$10209</f>
        <v>-54.193</v>
      </c>
      <c r="E10211" s="38" t="n">
        <f aca="false">Sens!$E$10210-Sens!$E$10209</f>
        <v>10.007</v>
      </c>
      <c r="F10211" s="38" t="n">
        <f aca="false">Sens!$F$10210-Sens!$F$10209</f>
        <v>72.7426983848813</v>
      </c>
      <c r="G10211" s="38" t="n">
        <f aca="false">Sens!$G$10210-Sens!$G$10209</f>
        <v>72.7426983848813</v>
      </c>
      <c r="H10211" s="38" t="n">
        <f aca="false">Sens!$H$10210-Sens!$H$10209</f>
        <v>129.087629741943</v>
      </c>
      <c r="I10211" s="38" t="n">
        <f aca="false">Sens!$I$10210-Sens!$I$10209</f>
        <v>147.196761107008</v>
      </c>
      <c r="J10211" s="38" t="n">
        <f aca="false">Sens!$J$10210-Sens!$J$10209</f>
        <v>125.212125692712</v>
      </c>
      <c r="K10211" s="38" t="n">
        <f aca="false">Sens!$K$10210-Sens!$K$10209</f>
        <v>6.79229205196145</v>
      </c>
      <c r="L10211" s="38" t="n">
        <f aca="false">Sens!$L$10210-Sens!$L$10209</f>
        <v>-170.226665419719</v>
      </c>
      <c r="M10211" s="38" t="n">
        <f aca="false">Sens!$M$10210-Sens!$M$10209</f>
        <v>-376.307293010077</v>
      </c>
    </row>
    <row r="10212" customFormat="false" ht="17.15" hidden="false" customHeight="false" outlineLevel="0" collapsed="false">
      <c r="A10212" s="5" t="s">
        <v>808</v>
      </c>
      <c r="B10212" s="0" t="s">
        <v>86</v>
      </c>
      <c r="F10212" s="38" t="n">
        <f aca="false">debt_q2*kd_book*0.5+iss_2h26*kd_new*iss_t</f>
        <v>3.24888962733561</v>
      </c>
      <c r="H10212" s="38" t="n">
        <f aca="false">debt_q2*kd_book+(Sens!$G$10210-debt_q2)*kd_new</f>
        <v>7.42354172302123</v>
      </c>
      <c r="I10212" s="38" t="n">
        <f aca="false">debt_q2*kd_book+(Sens!$H$10210-debt_q2)*kd_new</f>
        <v>8.48968024898619</v>
      </c>
      <c r="J10212" s="38" t="n">
        <f aca="false">debt_q2*kd_book+(Sens!$I$10210-debt_q2)*kd_new</f>
        <v>9.63598826439483</v>
      </c>
      <c r="K10212" s="38" t="n">
        <f aca="false">debt_q2*kd_book+(Sens!$J$10210-debt_q2)*kd_new</f>
        <v>9.63598826439483</v>
      </c>
      <c r="L10212" s="38" t="n">
        <f aca="false">debt_q2*kd_book+(Sens!$K$10210-debt_q2)*kd_new</f>
        <v>9.63598826439483</v>
      </c>
      <c r="M10212" s="38" t="n">
        <f aca="false">debt_q2*kd_book+(Sens!$L$10210-debt_q2)*kd_new</f>
        <v>9.63598826439483</v>
      </c>
    </row>
    <row r="10213" customFormat="false" ht="17.15" hidden="false" customHeight="false" outlineLevel="0" collapsed="false">
      <c r="A10213" s="5" t="s">
        <v>809</v>
      </c>
      <c r="B10213" s="0" t="s">
        <v>86</v>
      </c>
      <c r="F10213" s="38" t="n">
        <f aca="false">cash_q2*y_cash*0.5</f>
        <v>2.59</v>
      </c>
      <c r="H10213" s="38" t="n">
        <f aca="false">Sens!$G$10209*y_cash</f>
        <v>3.76965165045626</v>
      </c>
      <c r="I10213" s="38" t="n">
        <f aca="false">Sens!$H$10209*y_cash</f>
        <v>2.10589651022864</v>
      </c>
      <c r="J10213" s="38" t="n">
        <f aca="false">Sens!$I$10209*y_cash</f>
        <v>2.10589651022864</v>
      </c>
      <c r="K10213" s="38" t="n">
        <f aca="false">Sens!$J$10209*y_cash</f>
        <v>3.03184385018094</v>
      </c>
      <c r="L10213" s="38" t="n">
        <f aca="false">Sens!$K$10209*y_cash</f>
        <v>8.01944213829919</v>
      </c>
      <c r="M10213" s="38" t="n">
        <f aca="false">Sens!$L$10209*y_cash</f>
        <v>15.4751142339777</v>
      </c>
    </row>
    <row r="10214" customFormat="false" ht="17.15" hidden="false" customHeight="false" outlineLevel="0" collapsed="false">
      <c r="A10214" s="47" t="s">
        <v>810</v>
      </c>
      <c r="B10214" s="14" t="s">
        <v>86</v>
      </c>
      <c r="C10214" s="14"/>
      <c r="D10214" s="14"/>
      <c r="E10214" s="14"/>
      <c r="F10214" s="14"/>
      <c r="G10214" s="48" t="n">
        <f aca="false">SUM(Sens!$G$10203:$K$10203)</f>
        <v>-1.17629205196147</v>
      </c>
      <c r="H10214" s="14"/>
      <c r="I10214" s="14"/>
      <c r="J10214" s="14"/>
      <c r="K10214" s="14"/>
      <c r="L10214" s="14"/>
      <c r="M10214" s="14"/>
      <c r="N10214" s="14"/>
      <c r="O10214" s="14"/>
    </row>
    <row r="10215" customFormat="false" ht="17.15" hidden="false" customHeight="false" outlineLevel="0" collapsed="false">
      <c r="A10215" s="0" t="s">
        <v>776</v>
      </c>
      <c r="B10215" s="0" t="s">
        <v>86</v>
      </c>
      <c r="G10215" s="38" t="n">
        <f aca="false">SUM(Sens!$G$10208:$K$10208)</f>
        <v>34.9517621070079</v>
      </c>
    </row>
    <row r="10216" customFormat="false" ht="17.15" hidden="false" customHeight="false" outlineLevel="0" collapsed="false">
      <c r="A10216" s="24" t="s">
        <v>813</v>
      </c>
      <c r="B10216" s="25" t="s">
        <v>86</v>
      </c>
      <c r="C10216" s="25"/>
      <c r="D10216" s="25"/>
      <c r="E10216" s="25"/>
      <c r="F10216" s="25"/>
      <c r="G10216" s="41" t="n">
        <f aca="false">Sens!$G$10214-(Sens!$G$10203+Sens!$H$10203+Sens!$I$10203+Sens!$J$10203+Sens!$K$10203)</f>
        <v>-2.8421709430404E-014</v>
      </c>
      <c r="H10216" s="25"/>
      <c r="I10216" s="25"/>
      <c r="J10216" s="25"/>
      <c r="K10216" s="25"/>
      <c r="L10216" s="25"/>
      <c r="M10216" s="25"/>
      <c r="N10216" s="25"/>
      <c r="O10216" s="25"/>
    </row>
    <row r="10219" customFormat="false" ht="19.4" hidden="false" customHeight="false" outlineLevel="0" collapsed="false">
      <c r="A10219" s="31" t="s">
        <v>1344</v>
      </c>
    </row>
    <row r="10220" customFormat="false" ht="17.15" hidden="false" customHeight="false" outlineLevel="0" collapsed="false">
      <c r="A10220" s="6" t="s">
        <v>16</v>
      </c>
      <c r="B10220" s="6" t="s">
        <v>17</v>
      </c>
      <c r="C10220" s="20" t="s">
        <v>497</v>
      </c>
      <c r="D10220" s="20" t="s">
        <v>498</v>
      </c>
      <c r="E10220" s="20" t="s">
        <v>580</v>
      </c>
      <c r="F10220" s="20" t="s">
        <v>581</v>
      </c>
      <c r="G10220" s="20" t="s">
        <v>582</v>
      </c>
      <c r="H10220" s="20" t="s">
        <v>583</v>
      </c>
      <c r="I10220" s="20" t="s">
        <v>584</v>
      </c>
      <c r="J10220" s="20" t="s">
        <v>585</v>
      </c>
      <c r="K10220" s="20" t="s">
        <v>586</v>
      </c>
      <c r="L10220" s="20" t="s">
        <v>587</v>
      </c>
      <c r="M10220" s="20" t="s">
        <v>588</v>
      </c>
      <c r="N10220" s="20" t="s">
        <v>589</v>
      </c>
      <c r="O10220" s="20" t="s">
        <v>590</v>
      </c>
      <c r="P10220" s="6" t="s">
        <v>23</v>
      </c>
      <c r="R10220" s="20" t="n">
        <v>2023</v>
      </c>
      <c r="S10220" s="20" t="n">
        <v>2024</v>
      </c>
      <c r="T10220" s="20" t="n">
        <v>2025</v>
      </c>
      <c r="U10220" s="20" t="n">
        <v>2026</v>
      </c>
      <c r="V10220" s="20" t="n">
        <v>2027</v>
      </c>
      <c r="W10220" s="20" t="n">
        <v>2028</v>
      </c>
      <c r="X10220" s="20" t="n">
        <v>2029</v>
      </c>
      <c r="Y10220" s="20" t="n">
        <v>2030</v>
      </c>
      <c r="Z10220" s="20" t="n">
        <v>2031</v>
      </c>
      <c r="AA10220" s="20" t="n">
        <v>2032</v>
      </c>
    </row>
    <row r="10221" customFormat="false" ht="17.15" hidden="false" customHeight="false" outlineLevel="0" collapsed="false">
      <c r="A10221" s="1" t="s">
        <v>915</v>
      </c>
    </row>
    <row r="10222" customFormat="false" ht="17.15" hidden="false" customHeight="false" outlineLevel="0" collapsed="false">
      <c r="A10222" s="0" t="s">
        <v>916</v>
      </c>
      <c r="B10222" s="0" t="s">
        <v>86</v>
      </c>
      <c r="H10222" s="38" t="n">
        <f aca="false">Sens!$H$10156*(1-tax)</f>
        <v>121.243762954598</v>
      </c>
      <c r="I10222" s="38" t="n">
        <f aca="false">Sens!$I$10156*(1-tax)</f>
        <v>146.296727721585</v>
      </c>
      <c r="J10222" s="38" t="n">
        <f aca="false">Sens!$J$10156*(1-tax)</f>
        <v>170.140518399982</v>
      </c>
      <c r="K10222" s="38" t="n">
        <f aca="false">Sens!$K$10156*(1-tax)</f>
        <v>187.091644407888</v>
      </c>
      <c r="L10222" s="38" t="n">
        <f aca="false">Sens!$L$10156*(1-tax)</f>
        <v>200.866341135815</v>
      </c>
      <c r="M10222" s="38" t="n">
        <f aca="false">Sens!$M$10156*(1-tax)</f>
        <v>211.476896331068</v>
      </c>
    </row>
    <row r="10223" customFormat="false" ht="15" hidden="false" customHeight="false" outlineLevel="0" collapsed="false">
      <c r="A10223" s="5" t="s">
        <v>917</v>
      </c>
      <c r="B10223" s="0" t="s">
        <v>86</v>
      </c>
      <c r="H10223" s="38" t="n">
        <f aca="false">Sens!$H$10167</f>
        <v>78.1799395827871</v>
      </c>
      <c r="I10223" s="38" t="n">
        <f aca="false">Sens!$I$10167</f>
        <v>111.171125554384</v>
      </c>
      <c r="J10223" s="38" t="n">
        <f aca="false">Sens!$J$10167</f>
        <v>144.884406220971</v>
      </c>
      <c r="K10223" s="38" t="n">
        <f aca="false">Sens!$K$10167</f>
        <v>178.806419437999</v>
      </c>
      <c r="L10223" s="38" t="n">
        <f aca="false">Sens!$L$10167</f>
        <v>204.341339029663</v>
      </c>
      <c r="M10223" s="38" t="n">
        <f aca="false">Sens!$M$10167</f>
        <v>223.130577995387</v>
      </c>
    </row>
    <row r="10224" customFormat="false" ht="15" hidden="false" customHeight="false" outlineLevel="0" collapsed="false">
      <c r="A10224" s="5" t="s">
        <v>918</v>
      </c>
      <c r="B10224" s="0" t="s">
        <v>86</v>
      </c>
      <c r="H10224" s="38" t="n">
        <f aca="false">Sens!$H$10198</f>
        <v>273.372679834898</v>
      </c>
      <c r="I10224" s="38" t="n">
        <f aca="false">Sens!$I$10198</f>
        <v>286.981812228425</v>
      </c>
      <c r="J10224" s="38" t="n">
        <f aca="false">Sens!$J$10198</f>
        <v>299.316513378366</v>
      </c>
      <c r="K10224" s="38" t="n">
        <f aca="false">Sens!$K$10198</f>
        <v>251.057145512292</v>
      </c>
      <c r="L10224" s="38" t="n">
        <f aca="false">Sens!$L$10198</f>
        <v>234.696330860396</v>
      </c>
      <c r="M10224" s="38" t="n">
        <f aca="false">Sens!$M$10198</f>
        <v>242.291696043352</v>
      </c>
    </row>
    <row r="10225" customFormat="false" ht="15" hidden="false" customHeight="false" outlineLevel="0" collapsed="false">
      <c r="A10225" s="5" t="s">
        <v>919</v>
      </c>
      <c r="B10225" s="0" t="s">
        <v>86</v>
      </c>
      <c r="H10225" s="38" t="n">
        <f aca="false">Sens!$H$10199</f>
        <v>1.6</v>
      </c>
      <c r="I10225" s="38" t="n">
        <f aca="false">Sens!$I$10199</f>
        <v>1.6</v>
      </c>
      <c r="J10225" s="38" t="n">
        <f aca="false">Sens!$J$10199</f>
        <v>1.6</v>
      </c>
      <c r="K10225" s="38" t="n">
        <f aca="false">Sens!$K$10199</f>
        <v>1.6</v>
      </c>
      <c r="L10225" s="38" t="n">
        <f aca="false">Sens!$L$10199</f>
        <v>1.6</v>
      </c>
      <c r="M10225" s="38" t="n">
        <f aca="false">Sens!$M$10199</f>
        <v>1.6</v>
      </c>
    </row>
    <row r="10226" customFormat="false" ht="15" hidden="false" customHeight="false" outlineLevel="0" collapsed="false">
      <c r="A10226" s="5" t="s">
        <v>920</v>
      </c>
      <c r="B10226" s="0" t="s">
        <v>86</v>
      </c>
      <c r="H10226" s="38" t="n">
        <f aca="false">Sens!$H$10193</f>
        <v>11.2928295263397</v>
      </c>
      <c r="I10226" s="38" t="n">
        <f aca="false">Sens!$I$10193</f>
        <v>12.8091546115766</v>
      </c>
      <c r="J10226" s="38" t="n">
        <f aca="false">Sens!$J$10193</f>
        <v>14.2605653162668</v>
      </c>
      <c r="K10226" s="38" t="n">
        <f aca="false">Sens!$K$10193</f>
        <v>15.5327622460396</v>
      </c>
      <c r="L10226" s="38" t="n">
        <f aca="false">Sens!$L$10193</f>
        <v>16.720573737517</v>
      </c>
      <c r="M10226" s="38" t="n">
        <f aca="false">Sens!$M$10193</f>
        <v>17.8283127551536</v>
      </c>
    </row>
    <row r="10227" customFormat="false" ht="17.15" hidden="false" customHeight="false" outlineLevel="0" collapsed="false">
      <c r="A10227" s="1" t="s">
        <v>921</v>
      </c>
      <c r="B10227" s="8" t="s">
        <v>86</v>
      </c>
      <c r="H10227" s="38" t="n">
        <f aca="false">Sens!$H$10222+Sens!$H$10223-Sens!$H$10224+Sens!$H$10226</f>
        <v>-62.6561477711731</v>
      </c>
      <c r="I10227" s="38" t="n">
        <f aca="false">Sens!$I$10222+Sens!$I$10223-Sens!$I$10224+Sens!$I$10226</f>
        <v>-16.7048043408794</v>
      </c>
      <c r="J10227" s="38" t="n">
        <f aca="false">Sens!$J$10222+Sens!$J$10223-Sens!$J$10224+Sens!$J$10226</f>
        <v>29.9689765588539</v>
      </c>
      <c r="K10227" s="38" t="n">
        <f aca="false">Sens!$K$10222+Sens!$K$10223-Sens!$K$10224+Sens!$K$10226</f>
        <v>130.373680579634</v>
      </c>
      <c r="L10227" s="38" t="n">
        <f aca="false">Sens!$L$10222+Sens!$L$10223-Sens!$L$10224+Sens!$L$10226</f>
        <v>187.231923042598</v>
      </c>
      <c r="M10227" s="38" t="n">
        <f aca="false">Sens!$M$10222+Sens!$M$10223-Sens!$M$10224+Sens!$M$10226</f>
        <v>210.144091038257</v>
      </c>
    </row>
    <row r="10228" customFormat="false" ht="15" hidden="false" customHeight="false" outlineLevel="0" collapsed="false">
      <c r="A10228" s="5" t="s">
        <v>922</v>
      </c>
      <c r="B10228" s="0" t="s">
        <v>57</v>
      </c>
      <c r="H10228" s="40" t="n">
        <f aca="false">1/(1+(wacc+0.01))^(2027-2026-0.5)</f>
        <v>0.943523276903728</v>
      </c>
      <c r="I10228" s="40" t="n">
        <f aca="false">1/(1+(wacc+0.01))^(2028-2026-0.5)</f>
        <v>0.839958552166526</v>
      </c>
      <c r="J10228" s="40" t="n">
        <f aca="false">1/(1+(wacc+0.01))^(2029-2026-0.5)</f>
        <v>0.747761487848991</v>
      </c>
      <c r="K10228" s="40" t="n">
        <f aca="false">1/(1+(wacc+0.01))^(2030-2026-0.5)</f>
        <v>0.665684326051463</v>
      </c>
      <c r="L10228" s="40" t="n">
        <f aca="false">1/(1+(wacc+0.01))^(2031-2026-0.5)</f>
        <v>0.592616267555198</v>
      </c>
      <c r="M10228" s="40" t="n">
        <f aca="false">1/(1+(wacc+0.01))^(2032-2026-0.5)</f>
        <v>0.527568438713552</v>
      </c>
    </row>
    <row r="10229" customFormat="false" ht="15" hidden="false" customHeight="false" outlineLevel="0" collapsed="false">
      <c r="A10229" s="5" t="s">
        <v>923</v>
      </c>
      <c r="B10229" s="0" t="s">
        <v>86</v>
      </c>
      <c r="H10229" s="38" t="n">
        <f aca="false">Sens!$H$10227*Sens!$H$10228</f>
        <v>-59.1175338632214</v>
      </c>
      <c r="I10229" s="38" t="n">
        <f aca="false">Sens!$I$10227*Sens!$I$10228</f>
        <v>-14.0313432683902</v>
      </c>
      <c r="J10229" s="38" t="n">
        <f aca="false">Sens!$J$10227*Sens!$J$10228</f>
        <v>22.4096465009601</v>
      </c>
      <c r="K10229" s="38" t="n">
        <f aca="false">Sens!$K$10227*Sens!$K$10228</f>
        <v>86.7877156915026</v>
      </c>
      <c r="L10229" s="38" t="n">
        <f aca="false">Sens!$L$10227*Sens!$L$10228</f>
        <v>110.956683400687</v>
      </c>
      <c r="M10229" s="38" t="n">
        <f aca="false">Sens!$M$10227*Sens!$M$10228</f>
        <v>110.865390013932</v>
      </c>
    </row>
    <row r="10230" customFormat="false" ht="15" hidden="false" customHeight="false" outlineLevel="0" collapsed="false">
      <c r="A10230" s="5" t="s">
        <v>924</v>
      </c>
      <c r="B10230" s="0" t="s">
        <v>86</v>
      </c>
      <c r="C10230" s="38" t="n">
        <f aca="false">SUM(Sens!$H$10229:$M$10229)</f>
        <v>257.870558475469</v>
      </c>
    </row>
    <row r="10231" customFormat="false" ht="17.15" hidden="false" customHeight="false" outlineLevel="0" collapsed="false">
      <c r="A10231" s="5" t="s">
        <v>925</v>
      </c>
      <c r="B10231" s="0" t="s">
        <v>86</v>
      </c>
      <c r="C10231" s="38" t="n">
        <f aca="false">Sens!$M$10222*(1+tg)*(1-tg/ronic)/((wacc+0.01)-tg)</f>
        <v>1716.49301001085</v>
      </c>
    </row>
    <row r="10232" customFormat="false" ht="15" hidden="false" customHeight="false" outlineLevel="0" collapsed="false">
      <c r="A10232" s="5" t="s">
        <v>926</v>
      </c>
      <c r="B10232" s="0" t="s">
        <v>86</v>
      </c>
      <c r="C10232" s="38" t="n">
        <f aca="false">Sens!$C$10231/(1+(wacc+0.01))^6</f>
        <v>854.424050302025</v>
      </c>
    </row>
    <row r="10233" customFormat="false" ht="17.15" hidden="false" customHeight="false" outlineLevel="0" collapsed="false">
      <c r="A10233" s="5" t="s">
        <v>927</v>
      </c>
      <c r="B10233" s="0" t="s">
        <v>86</v>
      </c>
      <c r="C10233" s="38" t="n">
        <f aca="false">Sens!$C$10230+Sens!$C$10232</f>
        <v>1112.29460877749</v>
      </c>
    </row>
    <row r="10234" customFormat="false" ht="17.15" hidden="false" customHeight="false" outlineLevel="0" collapsed="false">
      <c r="A10234" s="5" t="s">
        <v>928</v>
      </c>
      <c r="B10234" s="0" t="s">
        <v>52</v>
      </c>
      <c r="C10234" s="13" t="n">
        <f aca="false">Sens!$C$10232/Sens!$C$10233</f>
        <v>0.768163437599602</v>
      </c>
    </row>
    <row r="10235" customFormat="false" ht="17.15" hidden="false" customHeight="false" outlineLevel="0" collapsed="false">
      <c r="A10235" s="5" t="s">
        <v>929</v>
      </c>
      <c r="B10235" s="0" t="s">
        <v>86</v>
      </c>
      <c r="C10235" s="38" t="n">
        <f aca="false">Sens!$G$10211+fin_debt</f>
        <v>97.2636983848813</v>
      </c>
    </row>
    <row r="10236" customFormat="false" ht="17.15" hidden="false" customHeight="false" outlineLevel="0" collapsed="false">
      <c r="A10236" s="5" t="s">
        <v>930</v>
      </c>
      <c r="B10236" s="0" t="s">
        <v>86</v>
      </c>
      <c r="C10236" s="38" t="n">
        <f aca="false">(ant_val*ant_sh+oai_val*oai_sh)*(1-liq_disc)</f>
        <v>178.944</v>
      </c>
    </row>
    <row r="10237" customFormat="false" ht="15" hidden="false" customHeight="false" outlineLevel="0" collapsed="false">
      <c r="A10237" s="5" t="s">
        <v>931</v>
      </c>
      <c r="B10237" s="0" t="s">
        <v>86</v>
      </c>
      <c r="C10237" s="38" t="n">
        <f aca="false">Sens!$C$10233-Sens!$C$10235+Sens!$C$10236</f>
        <v>1193.97491039261</v>
      </c>
    </row>
    <row r="10238" customFormat="false" ht="17.15" hidden="false" customHeight="false" outlineLevel="0" collapsed="false">
      <c r="A10238" s="5" t="s">
        <v>932</v>
      </c>
      <c r="B10238" s="0" t="s">
        <v>27</v>
      </c>
      <c r="C10238" s="30" t="n">
        <f aca="false">Sens!$C$10237/sh_out</f>
        <v>110.693505714057</v>
      </c>
    </row>
    <row r="10239" customFormat="false" ht="17.15" hidden="false" customHeight="false" outlineLevel="0" collapsed="false">
      <c r="A10239" s="1" t="s">
        <v>933</v>
      </c>
      <c r="B10239" s="8" t="s">
        <v>27</v>
      </c>
      <c r="C10239" s="30" t="n">
        <f aca="false">Sens!$C$10238*(1+ke)^tp_yf-dps*tp_yf</f>
        <v>121.25021766624</v>
      </c>
    </row>
    <row r="10240" customFormat="false" ht="17.15" hidden="false" customHeight="false" outlineLevel="0" collapsed="false">
      <c r="A10240" s="3" t="s">
        <v>934</v>
      </c>
    </row>
    <row r="10241" customFormat="false" ht="17.15" hidden="false" customHeight="false" outlineLevel="0" collapsed="false">
      <c r="A10241" s="5" t="s">
        <v>935</v>
      </c>
      <c r="B10241" s="0" t="s">
        <v>86</v>
      </c>
      <c r="C10241" s="38" t="n">
        <f aca="false">(1-tp_yf)*(Sens!$H$10168+sbc_ab*Sens!$H$10192*Sens!$H$10032/Sens!$H$10109)+tp_yf*(Sens!$I$10168+sbc_ab*Sens!$I$10192*Sens!$I$10032/Sens!$I$10109)</f>
        <v>59.634664536349</v>
      </c>
    </row>
    <row r="10242" customFormat="false" ht="15" hidden="false" customHeight="false" outlineLevel="0" collapsed="false">
      <c r="A10242" s="5" t="s">
        <v>936</v>
      </c>
      <c r="B10242" s="0" t="s">
        <v>57</v>
      </c>
      <c r="C10242" s="30" t="n">
        <f aca="false">m_ads*m_x</f>
        <v>9.11</v>
      </c>
    </row>
    <row r="10243" customFormat="false" ht="17.15" hidden="false" customHeight="false" outlineLevel="0" collapsed="false">
      <c r="A10243" s="5" t="s">
        <v>937</v>
      </c>
      <c r="B10243" s="0" t="s">
        <v>86</v>
      </c>
      <c r="C10243" s="38" t="n">
        <f aca="false">Sens!$C$10241*Sens!$C$10242</f>
        <v>543.271793926139</v>
      </c>
    </row>
    <row r="10244" customFormat="false" ht="17.15" hidden="false" customHeight="false" outlineLevel="0" collapsed="false">
      <c r="A10244" s="5" t="s">
        <v>938</v>
      </c>
      <c r="B10244" s="0" t="s">
        <v>86</v>
      </c>
      <c r="C10244" s="38" t="n">
        <f aca="false">(1-tp_yf)*(Sens!$H$10169+sbc_ab*Sens!$H$10192*(Sens!$H$10039-Sens!$H$10032)/Sens!$H$10109+IF(internal_ai_reading=2,1,0)*(1-ext_sh)*Sens!$H$10069)+tp_yf*(Sens!$I$10169+sbc_ab*Sens!$I$10192*(Sens!$I$10039-Sens!$I$10032)/Sens!$I$10109+IF(internal_ai_reading=2,1,0)*(1-ext_sh)*Sens!$I$10069)</f>
        <v>51.2224827206816</v>
      </c>
    </row>
    <row r="10245" customFormat="false" ht="17.15" hidden="false" customHeight="false" outlineLevel="0" collapsed="false">
      <c r="A10245" s="5" t="s">
        <v>939</v>
      </c>
      <c r="B10245" s="0" t="s">
        <v>57</v>
      </c>
      <c r="C10245" s="30" t="n">
        <f aca="false">m_retail*m_x</f>
        <v>17.72</v>
      </c>
    </row>
    <row r="10246" customFormat="false" ht="17.15" hidden="false" customHeight="false" outlineLevel="0" collapsed="false">
      <c r="A10246" s="5" t="s">
        <v>940</v>
      </c>
      <c r="B10246" s="0" t="s">
        <v>86</v>
      </c>
      <c r="C10246" s="38" t="n">
        <f aca="false">Sens!$C$10244*Sens!$C$10245</f>
        <v>907.662393810478</v>
      </c>
    </row>
    <row r="10247" customFormat="false" ht="17.15" hidden="false" customHeight="false" outlineLevel="0" collapsed="false">
      <c r="A10247" s="0" t="s">
        <v>941</v>
      </c>
      <c r="B10247" s="0" t="s">
        <v>86</v>
      </c>
      <c r="C10247" s="38" t="n">
        <f aca="false">(1-tp_yf)*(Sens!$H$10170+sbc_ab*Sens!$H$10192*Sens!$H$10107/Sens!$H$10109)+tp_yf*(Sens!$I$10170+sbc_ab*Sens!$I$10192*Sens!$I$10107/Sens!$I$10109)</f>
        <v>96.2439586897193</v>
      </c>
    </row>
    <row r="10248" customFormat="false" ht="17.15" hidden="false" customHeight="false" outlineLevel="0" collapsed="false">
      <c r="A10248" s="0" t="s">
        <v>942</v>
      </c>
      <c r="B10248" s="0" t="s">
        <v>57</v>
      </c>
      <c r="C10248" s="30" t="n">
        <f aca="false">m_cloud*m_x</f>
        <v>13.82</v>
      </c>
    </row>
    <row r="10249" customFormat="false" ht="17.15" hidden="false" customHeight="false" outlineLevel="0" collapsed="false">
      <c r="A10249" s="0" t="s">
        <v>943</v>
      </c>
      <c r="B10249" s="0" t="s">
        <v>86</v>
      </c>
      <c r="C10249" s="38" t="n">
        <f aca="false">Sens!$C$10247*Sens!$C$10248</f>
        <v>1330.09150909192</v>
      </c>
    </row>
    <row r="10250" customFormat="false" ht="17.15" hidden="false" customHeight="false" outlineLevel="0" collapsed="false">
      <c r="A10250" s="0" t="s">
        <v>944</v>
      </c>
      <c r="B10250" s="0" t="s">
        <v>86</v>
      </c>
      <c r="H10250" s="38" t="n">
        <f aca="false">Sens!$H$10088-tax*Sens!$H$10089-ext_sh*Sens!$H$10076</f>
        <v>-115.885394236225</v>
      </c>
      <c r="I10250" s="38" t="n">
        <f aca="false">Sens!$I$10088-tax*Sens!$I$10089-ext_sh*Sens!$I$10076</f>
        <v>-89.5935137276694</v>
      </c>
      <c r="J10250" s="38" t="n">
        <f aca="false">Sens!$J$10088-tax*Sens!$J$10089-ext_sh*Sens!$J$10076</f>
        <v>-62.3510647460279</v>
      </c>
      <c r="K10250" s="38" t="n">
        <f aca="false">Sens!$K$10088-tax*Sens!$K$10089-ext_sh*Sens!$K$10076</f>
        <v>8.85932514072565</v>
      </c>
      <c r="L10250" s="38" t="n">
        <f aca="false">Sens!$L$10088-tax*Sens!$L$10089-ext_sh*Sens!$L$10076</f>
        <v>45.6968344120177</v>
      </c>
      <c r="M10250" s="38" t="n">
        <f aca="false">Sens!$M$10088-tax*Sens!$M$10089-ext_sh*Sens!$M$10076</f>
        <v>54.7466688757428</v>
      </c>
    </row>
    <row r="10251" customFormat="false" ht="17.15" hidden="false" customHeight="false" outlineLevel="0" collapsed="false">
      <c r="A10251" s="5" t="s">
        <v>945</v>
      </c>
      <c r="B10251" s="0" t="s">
        <v>86</v>
      </c>
      <c r="H10251" s="38" t="n">
        <f aca="false">Sens!$H$10250*Sens!$H$10228</f>
        <v>-109.340566915044</v>
      </c>
      <c r="I10251" s="38" t="n">
        <f aca="false">Sens!$I$10250*Sens!$I$10228</f>
        <v>-75.254838074205</v>
      </c>
      <c r="J10251" s="38" t="n">
        <f aca="false">Sens!$J$10250*Sens!$J$10228</f>
        <v>-46.6237249434586</v>
      </c>
      <c r="K10251" s="38" t="n">
        <f aca="false">Sens!$K$10250*Sens!$K$10228</f>
        <v>5.89751388557473</v>
      </c>
      <c r="L10251" s="38" t="n">
        <f aca="false">Sens!$L$10250*Sens!$L$10228</f>
        <v>27.0806874483378</v>
      </c>
      <c r="M10251" s="38" t="n">
        <f aca="false">Sens!$M$10250*Sens!$M$10228</f>
        <v>28.8826146235434</v>
      </c>
    </row>
    <row r="10252" customFormat="false" ht="17.15" hidden="false" customHeight="false" outlineLevel="0" collapsed="false">
      <c r="A10252" s="5" t="s">
        <v>946</v>
      </c>
      <c r="B10252" s="0" t="s">
        <v>86</v>
      </c>
      <c r="C10252" s="38" t="n">
        <f aca="false">Sens!$M$10089*(1-tax)*(1+tg)*(1-tg/ronic)/((wacc+0.01)-tg)</f>
        <v>349.567032446662</v>
      </c>
    </row>
    <row r="10253" customFormat="false" ht="17.15" hidden="false" customHeight="false" outlineLevel="0" collapsed="false">
      <c r="A10253" s="0" t="s">
        <v>947</v>
      </c>
      <c r="B10253" s="0" t="s">
        <v>86</v>
      </c>
      <c r="C10253" s="38" t="n">
        <f aca="false">(SUM(Sens!$I$10251:$M$10251)+Sens!$C$10252/(1+(wacc+0.01))^6)*(1+(wacc+0.01))^tp_yf</f>
        <v>125.417772702331</v>
      </c>
    </row>
    <row r="10254" customFormat="false" ht="17.15" hidden="false" customHeight="false" outlineLevel="0" collapsed="false">
      <c r="A10254" s="5" t="s">
        <v>948</v>
      </c>
      <c r="B10254" s="0" t="s">
        <v>86</v>
      </c>
      <c r="C10254" s="38" t="n">
        <f aca="false">(1-tp_yf)*(Sens!$H$10171)+tp_yf*(Sens!$I$10171)</f>
        <v>74.6707041238437</v>
      </c>
    </row>
    <row r="10255" customFormat="false" ht="17.15" hidden="false" customHeight="false" outlineLevel="0" collapsed="false">
      <c r="A10255" s="5" t="s">
        <v>949</v>
      </c>
      <c r="B10255" s="0" t="s">
        <v>86</v>
      </c>
      <c r="C10255" s="38" t="n">
        <f aca="false">Sens!$C$10254*m_ai</f>
        <v>448.024224743062</v>
      </c>
    </row>
    <row r="10256" customFormat="false" ht="17.15" hidden="false" customHeight="false" outlineLevel="0" collapsed="false">
      <c r="A10256" s="0" t="s">
        <v>950</v>
      </c>
      <c r="B10256" s="0" t="s">
        <v>86</v>
      </c>
      <c r="C10256" s="38" t="n">
        <f aca="false">IF(ai_leg=1,Sens!$C$10253,Sens!$C$10255)</f>
        <v>125.417772702331</v>
      </c>
    </row>
    <row r="10257" customFormat="false" ht="17.15" hidden="false" customHeight="false" outlineLevel="0" collapsed="false">
      <c r="A10257" s="5" t="s">
        <v>951</v>
      </c>
      <c r="B10257" s="0" t="s">
        <v>86</v>
      </c>
      <c r="C10257" s="38" t="n">
        <f aca="false">Sens!$C$10243+Sens!$C$10246+Sens!$C$10249+Sens!$C$10256</f>
        <v>2906.44346953087</v>
      </c>
    </row>
    <row r="10258" customFormat="false" ht="17.15" hidden="false" customHeight="false" outlineLevel="0" collapsed="false">
      <c r="A10258" s="5" t="s">
        <v>952</v>
      </c>
      <c r="B10258" s="0" t="s">
        <v>86</v>
      </c>
      <c r="C10258" s="38" t="n">
        <f aca="false">Sens!$H$10211+fin_debt</f>
        <v>153.608629741943</v>
      </c>
    </row>
    <row r="10259" customFormat="false" ht="15" hidden="false" customHeight="false" outlineLevel="0" collapsed="false">
      <c r="A10259" s="5" t="s">
        <v>953</v>
      </c>
      <c r="B10259" s="0" t="s">
        <v>86</v>
      </c>
      <c r="C10259" s="38" t="n">
        <f aca="false">Sens!$C$10257-Sens!$C$10258+Sens!$C$10236</f>
        <v>2931.77883978893</v>
      </c>
    </row>
    <row r="10260" customFormat="false" ht="15" hidden="false" customHeight="false" outlineLevel="0" collapsed="false">
      <c r="A10260" s="3" t="s">
        <v>954</v>
      </c>
      <c r="B10260" s="8" t="s">
        <v>27</v>
      </c>
      <c r="C10260" s="30" t="n">
        <f aca="false">Sens!$C$10259/sh_val</f>
        <v>265.792872241799</v>
      </c>
    </row>
    <row r="10261" customFormat="false" ht="17.15" hidden="false" customHeight="false" outlineLevel="0" collapsed="false">
      <c r="A10261" s="47" t="s">
        <v>955</v>
      </c>
      <c r="B10261" s="14" t="s">
        <v>27</v>
      </c>
      <c r="C10261" s="44" t="n">
        <f aca="false">w_dcf*Sens!$C$10239+(1-w_dcf)*Sens!$C$10260</f>
        <v>193.521544954019</v>
      </c>
      <c r="D10261" s="14"/>
      <c r="E10261" s="14"/>
      <c r="F10261" s="14"/>
      <c r="G10261" s="14"/>
      <c r="H10261" s="14"/>
      <c r="I10261" s="14"/>
      <c r="J10261" s="14"/>
      <c r="K10261" s="14"/>
      <c r="L10261" s="14"/>
      <c r="M10261" s="14"/>
      <c r="N10261" s="14"/>
      <c r="O10261" s="14"/>
    </row>
    <row r="10262" customFormat="false" ht="17.15" hidden="false" customHeight="false" outlineLevel="0" collapsed="false">
      <c r="A10262" s="5" t="s">
        <v>956</v>
      </c>
      <c r="B10262" s="0" t="s">
        <v>27</v>
      </c>
      <c r="C10262" s="30" t="n">
        <f aca="false">v022_wdcf*Sens!$C$10239+(1-v022_wdcf)*Sens!$C$10260</f>
        <v>200.748677682797</v>
      </c>
    </row>
    <row r="10263" customFormat="false" ht="17.15" hidden="false" customHeight="false" outlineLevel="0" collapsed="false">
      <c r="A10263" s="5" t="s">
        <v>957</v>
      </c>
      <c r="B10263" s="0" t="s">
        <v>27</v>
      </c>
      <c r="C10263" s="30" t="n">
        <f aca="false">(Sens!$C$10259-Sens!$C$10256+Sens!$C$10255)/sh_val</f>
        <v>295.040131389701</v>
      </c>
    </row>
    <row r="10266" customFormat="false" ht="19.4" hidden="false" customHeight="false" outlineLevel="0" collapsed="false">
      <c r="A10266" s="31" t="s">
        <v>1345</v>
      </c>
    </row>
    <row r="10267" customFormat="false" ht="17.15" hidden="false" customHeight="false" outlineLevel="0" collapsed="false">
      <c r="A10267" s="6" t="s">
        <v>16</v>
      </c>
      <c r="B10267" s="6" t="s">
        <v>17</v>
      </c>
      <c r="C10267" s="20" t="s">
        <v>497</v>
      </c>
      <c r="D10267" s="20" t="s">
        <v>498</v>
      </c>
      <c r="E10267" s="20" t="s">
        <v>580</v>
      </c>
      <c r="F10267" s="20" t="s">
        <v>581</v>
      </c>
      <c r="G10267" s="20" t="s">
        <v>582</v>
      </c>
      <c r="H10267" s="20" t="s">
        <v>583</v>
      </c>
      <c r="I10267" s="20" t="s">
        <v>584</v>
      </c>
      <c r="J10267" s="20" t="s">
        <v>585</v>
      </c>
      <c r="K10267" s="20" t="s">
        <v>586</v>
      </c>
      <c r="L10267" s="20" t="s">
        <v>587</v>
      </c>
      <c r="M10267" s="20" t="s">
        <v>588</v>
      </c>
      <c r="N10267" s="20" t="s">
        <v>589</v>
      </c>
      <c r="O10267" s="20" t="s">
        <v>590</v>
      </c>
      <c r="P10267" s="6" t="s">
        <v>23</v>
      </c>
      <c r="R10267" s="20" t="n">
        <v>2023</v>
      </c>
      <c r="S10267" s="20" t="n">
        <v>2024</v>
      </c>
      <c r="T10267" s="20" t="n">
        <v>2025</v>
      </c>
      <c r="U10267" s="20" t="n">
        <v>2026</v>
      </c>
      <c r="V10267" s="20" t="n">
        <v>2027</v>
      </c>
      <c r="W10267" s="20" t="n">
        <v>2028</v>
      </c>
      <c r="X10267" s="20" t="n">
        <v>2029</v>
      </c>
      <c r="Y10267" s="20" t="n">
        <v>2030</v>
      </c>
      <c r="Z10267" s="20" t="n">
        <v>2031</v>
      </c>
      <c r="AA10267" s="20" t="n">
        <v>2032</v>
      </c>
    </row>
    <row r="10268" customFormat="false" ht="17.15" hidden="false" customHeight="false" outlineLevel="0" collapsed="false">
      <c r="A10268" s="1" t="s">
        <v>666</v>
      </c>
    </row>
    <row r="10269" customFormat="false" ht="17.15" hidden="false" customHeight="false" outlineLevel="0" collapsed="false">
      <c r="A10269" s="0" t="s">
        <v>519</v>
      </c>
      <c r="B10269" s="0" t="s">
        <v>86</v>
      </c>
      <c r="C10269" s="38" t="n">
        <f aca="false">Q!$D$10</f>
        <v>247.029</v>
      </c>
      <c r="D10269" s="38" t="n">
        <f aca="false">Q!$E$10</f>
        <v>269.287</v>
      </c>
      <c r="E10269" s="38" t="n">
        <f aca="false">Q!$P$10</f>
        <v>134.686</v>
      </c>
      <c r="F10269" s="38" t="n">
        <f aca="false">Sens!$O$10269*(1+Sens!$F$10270)*Sens!$F$10281</f>
        <v>158.293876822267</v>
      </c>
      <c r="G10269" s="38" t="n">
        <f aca="false">Sens!$E$10269+Sens!$F$10269</f>
        <v>292.979876822267</v>
      </c>
      <c r="H10269" s="38" t="n">
        <f aca="false">Sens!$G$10269*(1+Sens!$H$10270)</f>
        <v>318.184543087396</v>
      </c>
      <c r="I10269" s="38" t="n">
        <f aca="false">Sens!$H$10269*(1+Sens!$I$10270)</f>
        <v>341.736278761793</v>
      </c>
      <c r="J10269" s="38" t="n">
        <f aca="false">Sens!$I$10269*(1+Sens!$J$10270)</f>
        <v>362.927192787048</v>
      </c>
      <c r="K10269" s="38" t="n">
        <f aca="false">Sens!$J$10269*(1+Sens!$K$10270)</f>
        <v>381.0735524264</v>
      </c>
      <c r="L10269" s="38" t="n">
        <f aca="false">Sens!$K$10269*(1+Sens!$L$10270)</f>
        <v>400.12723004772</v>
      </c>
      <c r="M10269" s="38" t="n">
        <f aca="false">Sens!$L$10269*(1+Sens!$M$10270)</f>
        <v>420.133591550106</v>
      </c>
      <c r="N10269" s="38" t="n">
        <f aca="false">Q!$N$10</f>
        <v>118.892</v>
      </c>
      <c r="O10269" s="38" t="n">
        <f aca="false">Q!$O$10</f>
        <v>150.395</v>
      </c>
      <c r="P10269" s="8" t="s">
        <v>667</v>
      </c>
    </row>
    <row r="10270" customFormat="false" ht="17.15" hidden="false" customHeight="false" outlineLevel="0" collapsed="false">
      <c r="A10270" s="0" t="s">
        <v>668</v>
      </c>
      <c r="B10270" s="0" t="s">
        <v>52</v>
      </c>
      <c r="E10270" s="13" t="n">
        <f aca="false">Sens!$E$10269/Sens!$N$10269-1</f>
        <v>0.132843252699929</v>
      </c>
      <c r="F10270" s="13" t="n">
        <f aca="false">Sens!$O$10269/(Q!$F$10+Q!$G$10)-1</f>
        <v>0.0980382135842941</v>
      </c>
      <c r="G10270" s="13" t="n">
        <f aca="false">Sens!$G$10269/Sens!$D$10269-1</f>
        <v>0.0879837378791657</v>
      </c>
      <c r="H10270" s="13" t="n">
        <f aca="false">Sens!$F$10270+(g_os-Sens!$F$10270)*1/4</f>
        <v>0.0860286601882206</v>
      </c>
      <c r="I10270" s="13" t="n">
        <f aca="false">Sens!$F$10270+(g_os-Sens!$F$10270)*2/4</f>
        <v>0.074019106792147</v>
      </c>
      <c r="J10270" s="13" t="n">
        <f aca="false">Sens!$F$10270+(g_os-Sens!$F$10270)*3/4</f>
        <v>0.0620095533960735</v>
      </c>
      <c r="K10270" s="13" t="n">
        <f aca="false">Sens!$F$10270+(g_os-Sens!$F$10270)*4/4</f>
        <v>0.05</v>
      </c>
      <c r="L10270" s="13" t="n">
        <f aca="false">g_os</f>
        <v>0.05</v>
      </c>
      <c r="M10270" s="13" t="n">
        <f aca="false">g_os</f>
        <v>0.05</v>
      </c>
      <c r="P10270" s="8" t="s">
        <v>669</v>
      </c>
    </row>
    <row r="10271" customFormat="false" ht="17.15" hidden="false" customHeight="false" outlineLevel="0" collapsed="false">
      <c r="A10271" s="0" t="s">
        <v>520</v>
      </c>
      <c r="B10271" s="0" t="s">
        <v>86</v>
      </c>
      <c r="C10271" s="38" t="n">
        <f aca="false">Q!$D$11</f>
        <v>21.215</v>
      </c>
      <c r="D10271" s="38" t="n">
        <f aca="false">Q!$E$11</f>
        <v>22.561</v>
      </c>
      <c r="E10271" s="38" t="n">
        <f aca="false">Q!$P$11</f>
        <v>11.579</v>
      </c>
      <c r="F10271" s="38" t="n">
        <f aca="false">Sens!$O$10271*(1+Sens!$F$10272)*Sens!$F$10281</f>
        <v>11.5938724610325</v>
      </c>
      <c r="G10271" s="38" t="n">
        <f aca="false">Sens!$E$10271+Sens!$F$10271</f>
        <v>23.1728724610325</v>
      </c>
      <c r="H10271" s="38" t="n">
        <f aca="false">Sens!$G$10271*(1+Sens!$H$10272)</f>
        <v>24.353392759506</v>
      </c>
      <c r="I10271" s="38" t="n">
        <f aca="false">Sens!$H$10271*(1+Sens!$I$10272)</f>
        <v>25.4240338872015</v>
      </c>
      <c r="J10271" s="38" t="n">
        <f aca="false">Sens!$I$10271*(1+Sens!$J$10272)</f>
        <v>26.3642491017174</v>
      </c>
      <c r="K10271" s="38" t="n">
        <f aca="false">Sens!$J$10271*(1+Sens!$K$10272)</f>
        <v>27.155176574769</v>
      </c>
      <c r="L10271" s="38" t="n">
        <f aca="false">Sens!$K$10271*(1+Sens!$L$10272)</f>
        <v>27.969831872012</v>
      </c>
      <c r="M10271" s="38" t="n">
        <f aca="false">Sens!$L$10271*(1+Sens!$M$10272)</f>
        <v>28.8089268281724</v>
      </c>
      <c r="N10271" s="38" t="n">
        <f aca="false">Q!$N$11</f>
        <v>11.128</v>
      </c>
      <c r="O10271" s="38" t="n">
        <f aca="false">Q!$O$11</f>
        <v>11.433</v>
      </c>
      <c r="P10271" s="8" t="s">
        <v>667</v>
      </c>
    </row>
    <row r="10272" customFormat="false" ht="17.15" hidden="false" customHeight="false" outlineLevel="0" collapsed="false">
      <c r="A10272" s="0" t="s">
        <v>670</v>
      </c>
      <c r="B10272" s="0" t="s">
        <v>52</v>
      </c>
      <c r="E10272" s="13" t="n">
        <f aca="false">Sens!$E$10271/Sens!$N$10271-1</f>
        <v>0.0405283968368082</v>
      </c>
      <c r="F10272" s="13" t="n">
        <f aca="false">Sens!$O$10271/(Q!$F$11+Q!$G$11)-1</f>
        <v>0.0579254187100955</v>
      </c>
      <c r="G10272" s="13" t="n">
        <f aca="false">Sens!$G$10271/Sens!$D$10271-1</f>
        <v>0.0271208040881397</v>
      </c>
      <c r="H10272" s="13" t="n">
        <f aca="false">Sens!$F$10272+(g_ps-Sens!$F$10272)*1/4</f>
        <v>0.0509440640325716</v>
      </c>
      <c r="I10272" s="13" t="n">
        <f aca="false">Sens!$F$10272+(g_ps-Sens!$F$10272)*2/4</f>
        <v>0.0439627093550477</v>
      </c>
      <c r="J10272" s="13" t="n">
        <f aca="false">Sens!$F$10272+(g_ps-Sens!$F$10272)*3/4</f>
        <v>0.0369813546775239</v>
      </c>
      <c r="K10272" s="13" t="n">
        <f aca="false">Sens!$F$10272+(g_ps-Sens!$F$10272)*4/4</f>
        <v>0.03</v>
      </c>
      <c r="L10272" s="13" t="n">
        <f aca="false">g_ps</f>
        <v>0.03</v>
      </c>
      <c r="M10272" s="13" t="n">
        <f aca="false">g_ps</f>
        <v>0.03</v>
      </c>
      <c r="P10272" s="8" t="s">
        <v>671</v>
      </c>
    </row>
    <row r="10273" customFormat="false" ht="17.15" hidden="false" customHeight="false" outlineLevel="0" collapsed="false">
      <c r="A10273" s="0" t="s">
        <v>521</v>
      </c>
      <c r="B10273" s="0" t="s">
        <v>86</v>
      </c>
      <c r="C10273" s="38" t="n">
        <f aca="false">Q!$D$12</f>
        <v>156.146</v>
      </c>
      <c r="D10273" s="38" t="n">
        <f aca="false">Q!$E$12</f>
        <v>172.162</v>
      </c>
      <c r="E10273" s="38" t="n">
        <f aca="false">Q!$P$12</f>
        <v>88.358</v>
      </c>
      <c r="F10273" s="38" t="n">
        <f aca="false">Sens!$O$10273*(1+Sens!$F$10274)*Sens!$F$10281</f>
        <v>102.004388260171</v>
      </c>
      <c r="G10273" s="38" t="n">
        <f aca="false">Sens!$E$10273+Sens!$F$10273</f>
        <v>190.362388260171</v>
      </c>
      <c r="H10273" s="38" t="n">
        <f aca="false">Sens!$G$10273*(1+Sens!$H$10274)</f>
        <v>210.343106588311</v>
      </c>
      <c r="I10273" s="38" t="n">
        <f aca="false">Sens!$H$10273*(1+Sens!$I$10274)</f>
        <v>229.969728494648</v>
      </c>
      <c r="J10273" s="38" t="n">
        <f aca="false">Sens!$I$10273*(1+Sens!$J$10274)</f>
        <v>248.747636972598</v>
      </c>
      <c r="K10273" s="38" t="n">
        <f aca="false">Sens!$J$10273*(1+Sens!$K$10274)</f>
        <v>266.15997156068</v>
      </c>
      <c r="L10273" s="38" t="n">
        <f aca="false">Sens!$K$10273*(1+Sens!$L$10274)</f>
        <v>284.791169569927</v>
      </c>
      <c r="M10273" s="38" t="n">
        <f aca="false">Sens!$L$10273*(1+Sens!$M$10274)</f>
        <v>304.726551439822</v>
      </c>
      <c r="N10273" s="38" t="n">
        <f aca="false">Q!$N$12</f>
        <v>76.86</v>
      </c>
      <c r="O10273" s="38" t="n">
        <f aca="false">Q!$O$12</f>
        <v>95.302</v>
      </c>
      <c r="P10273" s="8" t="s">
        <v>667</v>
      </c>
    </row>
    <row r="10274" customFormat="false" ht="17.15" hidden="false" customHeight="false" outlineLevel="0" collapsed="false">
      <c r="A10274" s="0" t="s">
        <v>672</v>
      </c>
      <c r="B10274" s="0" t="s">
        <v>52</v>
      </c>
      <c r="E10274" s="13" t="n">
        <f aca="false">Sens!$E$10273/Sens!$N$10273-1</f>
        <v>0.1495966692688</v>
      </c>
      <c r="F10274" s="13" t="n">
        <f aca="false">Sens!$O$10273/(Q!$F$12+Q!$G$12)-1</f>
        <v>0.11661530890813</v>
      </c>
      <c r="G10274" s="13" t="n">
        <f aca="false">Sens!$G$10273/Sens!$D$10273-1</f>
        <v>0.105716640490767</v>
      </c>
      <c r="H10274" s="13" t="n">
        <f aca="false">Sens!$F$10274+(g_sp-Sens!$F$10274)*1/4</f>
        <v>0.104961481681098</v>
      </c>
      <c r="I10274" s="13" t="n">
        <f aca="false">Sens!$F$10274+(g_sp-Sens!$F$10274)*2/4</f>
        <v>0.0933076544540651</v>
      </c>
      <c r="J10274" s="13" t="n">
        <f aca="false">Sens!$F$10274+(g_sp-Sens!$F$10274)*3/4</f>
        <v>0.0816538272270325</v>
      </c>
      <c r="K10274" s="13" t="n">
        <f aca="false">Sens!$F$10274+(g_sp-Sens!$F$10274)*4/4</f>
        <v>0.07</v>
      </c>
      <c r="L10274" s="13" t="n">
        <f aca="false">g_sp</f>
        <v>0.07</v>
      </c>
      <c r="M10274" s="13" t="n">
        <f aca="false">g_sp</f>
        <v>0.07</v>
      </c>
      <c r="P10274" s="8" t="s">
        <v>673</v>
      </c>
    </row>
    <row r="10275" customFormat="false" ht="17.15" hidden="false" customHeight="false" outlineLevel="0" collapsed="false">
      <c r="A10275" s="0" t="s">
        <v>522</v>
      </c>
      <c r="B10275" s="0" t="s">
        <v>86</v>
      </c>
      <c r="C10275" s="38" t="n">
        <f aca="false">Q!$D$13</f>
        <v>56.214</v>
      </c>
      <c r="D10275" s="38" t="n">
        <f aca="false">Q!$E$13</f>
        <v>68.635</v>
      </c>
      <c r="E10275" s="38" t="n">
        <f aca="false">Q!$P$13</f>
        <v>37.052</v>
      </c>
      <c r="F10275" s="38" t="n">
        <f aca="false">Sens!$O$10275*(1+Sens!$F$10276)*Sens!$F$10281</f>
        <v>46.1572219944148</v>
      </c>
      <c r="G10275" s="38" t="n">
        <f aca="false">Sens!$E$10275+Sens!$F$10275</f>
        <v>83.2092219944148</v>
      </c>
      <c r="H10275" s="38" t="n">
        <f aca="false">Sens!$G$10275*(1+Sens!$H$10276)</f>
        <v>99.8969223878976</v>
      </c>
      <c r="I10275" s="38" t="n">
        <f aca="false">Sens!$H$10275*(1+Sens!$I$10276)</f>
        <v>116.583111095496</v>
      </c>
      <c r="J10275" s="38" t="n">
        <f aca="false">Sens!$I$10275*(1+Sens!$J$10276)</f>
        <v>132.148941941952</v>
      </c>
      <c r="K10275" s="38" t="n">
        <f aca="false">Sens!$J$10275*(1+Sens!$K$10276)</f>
        <v>145.363836136147</v>
      </c>
      <c r="L10275" s="38" t="n">
        <f aca="false">Sens!$K$10275*(1+Sens!$L$10276)</f>
        <v>159.900219749762</v>
      </c>
      <c r="M10275" s="38" t="n">
        <f aca="false">Sens!$L$10275*(1+Sens!$M$10276)</f>
        <v>175.890241724738</v>
      </c>
      <c r="N10275" s="38" t="n">
        <f aca="false">Q!$N$13</f>
        <v>29.615</v>
      </c>
      <c r="O10275" s="38" t="n">
        <f aca="false">Q!$O$13</f>
        <v>39.02</v>
      </c>
      <c r="P10275" s="8" t="s">
        <v>667</v>
      </c>
    </row>
    <row r="10276" customFormat="false" ht="17.15" hidden="false" customHeight="false" outlineLevel="0" collapsed="false">
      <c r="A10276" s="0" t="s">
        <v>674</v>
      </c>
      <c r="B10276" s="0" t="s">
        <v>52</v>
      </c>
      <c r="E10276" s="13" t="n">
        <f aca="false">Sens!$E$10275/Sens!$N$10275-1</f>
        <v>0.25112274185379</v>
      </c>
      <c r="F10276" s="13" t="n">
        <f aca="false">Sens!$O$10275/(Q!$F$13+Q!$G$13)-1</f>
        <v>0.234068123596572</v>
      </c>
      <c r="G10276" s="13" t="n">
        <f aca="false">Sens!$G$10275/Sens!$D$10275-1</f>
        <v>0.212343876949294</v>
      </c>
      <c r="H10276" s="13" t="n">
        <f aca="false">Sens!$F$10276+(g_ad-Sens!$F$10276)*1/4</f>
        <v>0.200551092697429</v>
      </c>
      <c r="I10276" s="13" t="n">
        <f aca="false">Sens!$F$10276+(g_ad-Sens!$F$10276)*2/4</f>
        <v>0.167034061798286</v>
      </c>
      <c r="J10276" s="13" t="n">
        <f aca="false">Sens!$F$10276+(g_ad-Sens!$F$10276)*3/4</f>
        <v>0.133517030899143</v>
      </c>
      <c r="K10276" s="13" t="n">
        <f aca="false">Sens!$F$10276+(g_ad-Sens!$F$10276)*4/4</f>
        <v>0.1</v>
      </c>
      <c r="L10276" s="13" t="n">
        <f aca="false">g_ad</f>
        <v>0.1</v>
      </c>
      <c r="M10276" s="13" t="n">
        <f aca="false">g_ad</f>
        <v>0.1</v>
      </c>
      <c r="P10276" s="8" t="s">
        <v>675</v>
      </c>
    </row>
    <row r="10277" customFormat="false" ht="17.15" hidden="false" customHeight="false" outlineLevel="0" collapsed="false">
      <c r="A10277" s="0" t="s">
        <v>523</v>
      </c>
      <c r="B10277" s="0" t="s">
        <v>86</v>
      </c>
      <c r="C10277" s="38" t="n">
        <f aca="false">Q!$D$14</f>
        <v>44.374</v>
      </c>
      <c r="D10277" s="38" t="n">
        <f aca="false">Q!$E$14</f>
        <v>49.619</v>
      </c>
      <c r="E10277" s="38" t="n">
        <f aca="false">Q!$P$14</f>
        <v>27.157</v>
      </c>
      <c r="F10277" s="38" t="n">
        <f aca="false">Sens!$O$10277*(1+Sens!$F$10278)*Sens!$F$10281</f>
        <v>27.7764165988154</v>
      </c>
      <c r="G10277" s="38" t="n">
        <f aca="false">Sens!$E$10277+Sens!$F$10277</f>
        <v>54.9334165988154</v>
      </c>
      <c r="H10277" s="38" t="n">
        <f aca="false">Sens!$G$10277*(1+Sens!$H$10278)</f>
        <v>61.1564112561829</v>
      </c>
      <c r="I10277" s="38" t="n">
        <f aca="false">Sens!$H$10277*(1+Sens!$I$10278)</f>
        <v>67.2020282103945</v>
      </c>
      <c r="J10277" s="38" t="n">
        <f aca="false">Sens!$I$10277*(1+Sens!$J$10278)</f>
        <v>72.8757274028885</v>
      </c>
      <c r="K10277" s="38" t="n">
        <f aca="false">Sens!$J$10277*(1+Sens!$K$10278)</f>
        <v>77.9770283210907</v>
      </c>
      <c r="L10277" s="38" t="n">
        <f aca="false">Sens!$K$10277*(1+Sens!$L$10278)</f>
        <v>83.4354203035671</v>
      </c>
      <c r="M10277" s="38" t="n">
        <f aca="false">Sens!$L$10277*(1+Sens!$M$10278)</f>
        <v>89.2758997248168</v>
      </c>
      <c r="N10277" s="38" t="n">
        <f aca="false">Q!$N$14</f>
        <v>23.923</v>
      </c>
      <c r="O10277" s="38" t="n">
        <f aca="false">Q!$O$14</f>
        <v>25.696</v>
      </c>
      <c r="P10277" s="8" t="s">
        <v>667</v>
      </c>
    </row>
    <row r="10278" customFormat="false" ht="17.15" hidden="false" customHeight="false" outlineLevel="0" collapsed="false">
      <c r="A10278" s="0" t="s">
        <v>676</v>
      </c>
      <c r="B10278" s="0" t="s">
        <v>52</v>
      </c>
      <c r="E10278" s="13" t="n">
        <f aca="false">Sens!$E$10277/Sens!$N$10277-1</f>
        <v>0.135183714417088</v>
      </c>
      <c r="F10278" s="13" t="n">
        <f aca="false">Sens!$O$10277/(Q!$F$14+Q!$G$14)-1</f>
        <v>0.127709997366804</v>
      </c>
      <c r="G10278" s="13" t="n">
        <f aca="false">Sens!$G$10277/Sens!$D$10277-1</f>
        <v>0.107104468022641</v>
      </c>
      <c r="H10278" s="13" t="n">
        <f aca="false">Sens!$F$10278+(g_sub-Sens!$F$10278)*1/4</f>
        <v>0.113282498025103</v>
      </c>
      <c r="I10278" s="13" t="n">
        <f aca="false">Sens!$F$10278+(g_sub-Sens!$F$10278)*2/4</f>
        <v>0.0988549986834021</v>
      </c>
      <c r="J10278" s="13" t="n">
        <f aca="false">Sens!$F$10278+(g_sub-Sens!$F$10278)*3/4</f>
        <v>0.084427499341701</v>
      </c>
      <c r="K10278" s="13" t="n">
        <f aca="false">Sens!$F$10278+(g_sub-Sens!$F$10278)*4/4</f>
        <v>0.07</v>
      </c>
      <c r="L10278" s="13" t="n">
        <f aca="false">g_sub</f>
        <v>0.07</v>
      </c>
      <c r="M10278" s="13" t="n">
        <f aca="false">g_sub</f>
        <v>0.07</v>
      </c>
      <c r="P10278" s="8" t="s">
        <v>677</v>
      </c>
    </row>
    <row r="10279" customFormat="false" ht="17.15" hidden="false" customHeight="false" outlineLevel="0" collapsed="false">
      <c r="A10279" s="0" t="s">
        <v>524</v>
      </c>
      <c r="B10279" s="0" t="s">
        <v>86</v>
      </c>
      <c r="C10279" s="38" t="n">
        <f aca="false">Q!$D$15</f>
        <v>5.425</v>
      </c>
      <c r="D10279" s="38" t="n">
        <f aca="false">Q!$E$15</f>
        <v>5.935</v>
      </c>
      <c r="E10279" s="38" t="n">
        <f aca="false">Q!$P$15</f>
        <v>3.474</v>
      </c>
      <c r="F10279" s="38" t="n">
        <f aca="false">Sens!$O$10279*(1+Sens!$F$10280)*Sens!$F$10281</f>
        <v>3.22246550883619</v>
      </c>
      <c r="G10279" s="38" t="n">
        <f aca="false">Sens!$E$10279+Sens!$F$10279</f>
        <v>6.69646550883619</v>
      </c>
      <c r="H10279" s="38" t="n">
        <f aca="false">Sens!$G$10279*(1+Sens!$H$10280)</f>
        <v>7.16251344209196</v>
      </c>
      <c r="I10279" s="38" t="n">
        <f aca="false">Sens!$H$10279*(1+Sens!$I$10280)</f>
        <v>7.61421070299826</v>
      </c>
      <c r="J10279" s="38" t="n">
        <f aca="false">Sens!$I$10279*(1+Sens!$J$10280)</f>
        <v>8.04465753523932</v>
      </c>
      <c r="K10279" s="38" t="n">
        <f aca="false">Sens!$J$10279*(1+Sens!$K$10280)</f>
        <v>8.44689041200128</v>
      </c>
      <c r="L10279" s="38" t="n">
        <f aca="false">Sens!$K$10279*(1+Sens!$L$10280)</f>
        <v>8.86923493260135</v>
      </c>
      <c r="M10279" s="38" t="n">
        <f aca="false">Sens!$L$10279*(1+Sens!$M$10280)</f>
        <v>9.31269667923142</v>
      </c>
      <c r="N10279" s="38" t="n">
        <f aca="false">Q!$N$15</f>
        <v>2.811</v>
      </c>
      <c r="O10279" s="38" t="n">
        <f aca="false">Q!$O$15</f>
        <v>3.124</v>
      </c>
      <c r="P10279" s="8" t="s">
        <v>667</v>
      </c>
    </row>
    <row r="10280" customFormat="false" ht="17.15" hidden="false" customHeight="false" outlineLevel="0" collapsed="false">
      <c r="A10280" s="0" t="s">
        <v>678</v>
      </c>
      <c r="B10280" s="0" t="s">
        <v>52</v>
      </c>
      <c r="E10280" s="13" t="n">
        <f aca="false">Sens!$E$10279/Sens!$N$10279-1</f>
        <v>0.235859124866596</v>
      </c>
      <c r="F10280" s="13" t="n">
        <f aca="false">Sens!$O$10279/(Q!$F$15+Q!$G$15)-1</f>
        <v>0.0761281433000345</v>
      </c>
      <c r="G10280" s="13" t="n">
        <f aca="false">Sens!$G$10279/Sens!$D$10279-1</f>
        <v>0.128300843948811</v>
      </c>
      <c r="H10280" s="13" t="n">
        <f aca="false">Sens!$F$10280+(g_ot-Sens!$F$10280)*1/4</f>
        <v>0.0695961074750259</v>
      </c>
      <c r="I10280" s="13" t="n">
        <f aca="false">Sens!$F$10280+(g_ot-Sens!$F$10280)*2/4</f>
        <v>0.0630640716500172</v>
      </c>
      <c r="J10280" s="13" t="n">
        <f aca="false">Sens!$F$10280+(g_ot-Sens!$F$10280)*3/4</f>
        <v>0.0565320358250086</v>
      </c>
      <c r="K10280" s="13" t="n">
        <f aca="false">Sens!$F$10280+(g_ot-Sens!$F$10280)*4/4</f>
        <v>0.05</v>
      </c>
      <c r="L10280" s="13" t="n">
        <f aca="false">g_ot</f>
        <v>0.05</v>
      </c>
      <c r="M10280" s="13" t="n">
        <f aca="false">g_ot</f>
        <v>0.05</v>
      </c>
      <c r="P10280" s="8" t="s">
        <v>679</v>
      </c>
    </row>
    <row r="10281" customFormat="false" ht="17.15" hidden="false" customHeight="false" outlineLevel="0" collapsed="false">
      <c r="A10281" s="0" t="s">
        <v>680</v>
      </c>
      <c r="B10281" s="0" t="s">
        <v>57</v>
      </c>
      <c r="F10281" s="40" t="n">
        <f aca="false">(g26q3_mid*Q!$O$8/Q!$J$8-Thesis!$F$86-Thesis!$F$90)/(Sens!$O$10269*(1+Sens!$F$10270)+Sens!$O$10271*(1+Sens!$F$10272)+Sens!$O$10273*(1+Sens!$F$10274)+Sens!$O$10275*(1+Sens!$F$10276)+Sens!$O$10277*(1+Sens!$F$10278)+Sens!$O$10279*(1+Sens!$F$10280))</f>
        <v>0.958546670622329</v>
      </c>
      <c r="P10281" s="8" t="s">
        <v>681</v>
      </c>
    </row>
    <row r="10282" customFormat="false" ht="17.15" hidden="false" customHeight="false" outlineLevel="0" collapsed="false">
      <c r="A10282" s="3" t="s">
        <v>682</v>
      </c>
      <c r="B10282" s="8" t="s">
        <v>86</v>
      </c>
      <c r="C10282" s="38" t="n">
        <f aca="false">Sens!$C$10269+Sens!$C$10271+Sens!$C$10273+Sens!$C$10275+Sens!$C$10277+Sens!$C$10279</f>
        <v>530.403</v>
      </c>
      <c r="D10282" s="38" t="n">
        <f aca="false">Sens!$D$10269+Sens!$D$10271+Sens!$D$10273+Sens!$D$10275+Sens!$D$10277+Sens!$D$10279</f>
        <v>588.199</v>
      </c>
      <c r="E10282" s="38" t="n">
        <f aca="false">Sens!$E$10269+Sens!$E$10271+Sens!$E$10273+Sens!$E$10275+Sens!$E$10277+Sens!$E$10279</f>
        <v>302.306</v>
      </c>
      <c r="F10282" s="38" t="n">
        <f aca="false">Sens!$F$10269+Sens!$F$10271+Sens!$F$10273+Sens!$F$10275+Sens!$F$10277+Sens!$F$10279</f>
        <v>349.048241645537</v>
      </c>
      <c r="G10282" s="38" t="n">
        <f aca="false">Sens!$G$10269+Sens!$G$10271+Sens!$G$10273+Sens!$G$10275+Sens!$G$10277+Sens!$G$10279</f>
        <v>651.354241645537</v>
      </c>
      <c r="H10282" s="38" t="n">
        <f aca="false">Sens!$H$10269+Sens!$H$10271+Sens!$H$10273+Sens!$H$10275+Sens!$H$10277+Sens!$H$10279</f>
        <v>721.096889521386</v>
      </c>
      <c r="I10282" s="38" t="n">
        <f aca="false">Sens!$I$10269+Sens!$I$10271+Sens!$I$10273+Sens!$I$10275+Sens!$I$10277+Sens!$I$10279</f>
        <v>788.529391152531</v>
      </c>
      <c r="J10282" s="38" t="n">
        <f aca="false">Sens!$J$10269+Sens!$J$10271+Sens!$J$10273+Sens!$J$10275+Sens!$J$10277+Sens!$J$10279</f>
        <v>851.108405741443</v>
      </c>
      <c r="K10282" s="38" t="n">
        <f aca="false">Sens!$K$10269+Sens!$K$10271+Sens!$K$10273+Sens!$K$10275+Sens!$K$10277+Sens!$K$10279</f>
        <v>906.176455431088</v>
      </c>
      <c r="L10282" s="38" t="n">
        <f aca="false">Sens!$L$10269+Sens!$L$10271+Sens!$L$10273+Sens!$L$10275+Sens!$L$10277+Sens!$L$10279</f>
        <v>965.093106475589</v>
      </c>
      <c r="M10282" s="38" t="n">
        <f aca="false">Sens!$M$10269+Sens!$M$10271+Sens!$M$10273+Sens!$M$10275+Sens!$M$10277+Sens!$M$10279</f>
        <v>1028.14790794689</v>
      </c>
      <c r="N10282" s="38" t="n">
        <f aca="false">Sens!$N$10269+Sens!$N$10271+Sens!$N$10273+Sens!$N$10275+Sens!$N$10277+Sens!$N$10279</f>
        <v>263.229</v>
      </c>
      <c r="O10282" s="38" t="n">
        <f aca="false">Sens!$O$10269+Sens!$O$10271+Sens!$O$10273+Sens!$O$10275+Sens!$O$10277+Sens!$O$10279</f>
        <v>324.97</v>
      </c>
    </row>
    <row r="10283" customFormat="false" ht="17.15" hidden="false" customHeight="false" outlineLevel="0" collapsed="false">
      <c r="A10283" s="5" t="s">
        <v>683</v>
      </c>
      <c r="B10283" s="0" t="s">
        <v>52</v>
      </c>
      <c r="C10283" s="13" t="n">
        <f aca="false">Q!$D$5/(Q!$D$5+Q!$D$6)</f>
        <v>0.730570905519011</v>
      </c>
      <c r="D10283" s="13" t="n">
        <f aca="false">Q!$E$5/(Q!$E$5+Q!$E$6)</f>
        <v>0.724763217890544</v>
      </c>
      <c r="E10283" s="13" t="n">
        <f aca="false">Q!$P$5/(Q!$P$5+Q!$P$6)</f>
        <v>0.728797972914861</v>
      </c>
      <c r="F10283" s="13" t="n">
        <f aca="false">Sens!$O$10283</f>
        <v>0.718066283041511</v>
      </c>
      <c r="G10283" s="13" t="n">
        <f aca="false">Sens!$G$10284/Sens!$G$10282</f>
        <v>0.723047066202847</v>
      </c>
      <c r="H10283" s="13" t="n">
        <f aca="false">Sens!$G$10283</f>
        <v>0.723047066202847</v>
      </c>
      <c r="I10283" s="13" t="n">
        <f aca="false">Sens!$G$10283</f>
        <v>0.723047066202847</v>
      </c>
      <c r="J10283" s="13" t="n">
        <f aca="false">Sens!$G$10283</f>
        <v>0.723047066202847</v>
      </c>
      <c r="K10283" s="13" t="n">
        <f aca="false">Sens!$G$10283</f>
        <v>0.723047066202847</v>
      </c>
      <c r="L10283" s="13" t="n">
        <f aca="false">Sens!$G$10283</f>
        <v>0.723047066202847</v>
      </c>
      <c r="M10283" s="13" t="n">
        <f aca="false">Sens!$G$10283</f>
        <v>0.723047066202847</v>
      </c>
      <c r="N10283" s="13" t="n">
        <f aca="false">Q!$N$5/(Q!$N$5+Q!$N$6)</f>
        <v>0.733030935041352</v>
      </c>
      <c r="O10283" s="13" t="n">
        <f aca="false">Q!$O$5/(Q!$O$5+Q!$O$6)</f>
        <v>0.718066283041511</v>
      </c>
      <c r="P10283" s="8" t="s">
        <v>684</v>
      </c>
    </row>
    <row r="10284" customFormat="false" ht="17.15" hidden="false" customHeight="false" outlineLevel="0" collapsed="false">
      <c r="A10284" s="1" t="s">
        <v>512</v>
      </c>
      <c r="B10284" s="8" t="s">
        <v>86</v>
      </c>
      <c r="C10284" s="38" t="n">
        <f aca="false">Q!$D$5</f>
        <v>387.497</v>
      </c>
      <c r="D10284" s="38" t="n">
        <f aca="false">Q!$E$5</f>
        <v>426.305</v>
      </c>
      <c r="E10284" s="38" t="n">
        <f aca="false">Q!$P$5</f>
        <v>220.32</v>
      </c>
      <c r="F10284" s="38" t="n">
        <f aca="false">Sens!$F$10282*Sens!$F$10283</f>
        <v>250.639773480586</v>
      </c>
      <c r="G10284" s="38" t="n">
        <f aca="false">Sens!$E$10284+Sens!$F$10284</f>
        <v>470.959773480586</v>
      </c>
      <c r="H10284" s="38" t="n">
        <f aca="false">Sens!$H$10282*Sens!$H$10283</f>
        <v>521.386990416437</v>
      </c>
      <c r="I10284" s="38" t="n">
        <f aca="false">Sens!$I$10282*Sens!$I$10283</f>
        <v>570.143862887555</v>
      </c>
      <c r="J10284" s="38" t="n">
        <f aca="false">Sens!$J$10282*Sens!$J$10283</f>
        <v>615.391435791933</v>
      </c>
      <c r="K10284" s="38" t="n">
        <f aca="false">Sens!$K$10282*Sens!$K$10283</f>
        <v>655.208227561543</v>
      </c>
      <c r="L10284" s="38" t="n">
        <f aca="false">Sens!$L$10282*Sens!$L$10283</f>
        <v>697.807739249767</v>
      </c>
      <c r="M10284" s="38" t="n">
        <f aca="false">Sens!$M$10282*Sens!$M$10283</f>
        <v>743.399328463592</v>
      </c>
      <c r="N10284" s="38" t="n">
        <f aca="false">Q!$N$5</f>
        <v>192.955</v>
      </c>
      <c r="O10284" s="38" t="n">
        <f aca="false">Q!$O$5</f>
        <v>233.35</v>
      </c>
      <c r="P10284" s="5" t="s">
        <v>685</v>
      </c>
    </row>
    <row r="10285" customFormat="false" ht="17.15" hidden="false" customHeight="false" outlineLevel="0" collapsed="false">
      <c r="A10285" s="1" t="s">
        <v>515</v>
      </c>
      <c r="B10285" s="8" t="s">
        <v>86</v>
      </c>
      <c r="C10285" s="38" t="n">
        <f aca="false">Q!$D$6</f>
        <v>142.906</v>
      </c>
      <c r="D10285" s="38" t="n">
        <f aca="false">Q!$E$6</f>
        <v>161.894</v>
      </c>
      <c r="E10285" s="38" t="n">
        <f aca="false">Q!$P$6</f>
        <v>81.986</v>
      </c>
      <c r="F10285" s="38" t="n">
        <f aca="false">Sens!$F$10282*(1-Sens!$F$10283)</f>
        <v>98.408468164951</v>
      </c>
      <c r="G10285" s="38" t="n">
        <f aca="false">Sens!$E$10285+Sens!$F$10285</f>
        <v>180.394468164951</v>
      </c>
      <c r="H10285" s="38" t="n">
        <f aca="false">Sens!$H$10282*(1-Sens!$H$10283)</f>
        <v>199.709899104949</v>
      </c>
      <c r="I10285" s="38" t="n">
        <f aca="false">Sens!$I$10282*(1-Sens!$I$10283)</f>
        <v>218.385528264976</v>
      </c>
      <c r="J10285" s="38" t="n">
        <f aca="false">Sens!$J$10282*(1-Sens!$J$10283)</f>
        <v>235.71696994951</v>
      </c>
      <c r="K10285" s="38" t="n">
        <f aca="false">Sens!$K$10282*(1-Sens!$K$10283)</f>
        <v>250.968227869545</v>
      </c>
      <c r="L10285" s="38" t="n">
        <f aca="false">Sens!$L$10282*(1-Sens!$L$10283)</f>
        <v>267.285367225822</v>
      </c>
      <c r="M10285" s="38" t="n">
        <f aca="false">Sens!$M$10282*(1-Sens!$M$10283)</f>
        <v>284.748579483295</v>
      </c>
      <c r="N10285" s="38" t="n">
        <f aca="false">Q!$N$6</f>
        <v>70.274</v>
      </c>
      <c r="O10285" s="38" t="n">
        <f aca="false">Q!$O$6</f>
        <v>91.62</v>
      </c>
      <c r="P10285" s="5" t="s">
        <v>686</v>
      </c>
    </row>
    <row r="10286" customFormat="false" ht="17.15" hidden="false" customHeight="false" outlineLevel="0" collapsed="false">
      <c r="A10286" s="5" t="s">
        <v>687</v>
      </c>
      <c r="B10286" s="0" t="s">
        <v>86</v>
      </c>
      <c r="C10286" s="38" t="n">
        <f aca="false">Sens!$C$10275*Sens!$C$10283</f>
        <v>41.0683128828457</v>
      </c>
      <c r="D10286" s="38" t="n">
        <f aca="false">Sens!$D$10275*Sens!$D$10283</f>
        <v>49.7441234599175</v>
      </c>
      <c r="E10286" s="38" t="n">
        <f aca="false">Sens!$E$10275*Sens!$E$10283</f>
        <v>27.0034224924414</v>
      </c>
      <c r="F10286" s="38" t="n">
        <f aca="false">Sens!$F$10275*Sens!$F$10283</f>
        <v>33.1439448330513</v>
      </c>
      <c r="G10286" s="38" t="n">
        <f aca="false">Sens!$G$10275*Sens!$G$10283</f>
        <v>60.164183844083</v>
      </c>
      <c r="H10286" s="38" t="n">
        <f aca="false">Sens!$H$10275*Sens!$H$10283</f>
        <v>72.2301766552629</v>
      </c>
      <c r="I10286" s="38" t="n">
        <f aca="false">Sens!$I$10275*Sens!$I$10283</f>
        <v>84.2950764463991</v>
      </c>
      <c r="J10286" s="38" t="n">
        <f aca="false">Sens!$J$10275*Sens!$J$10283</f>
        <v>95.5499047729386</v>
      </c>
      <c r="K10286" s="38" t="n">
        <f aca="false">Sens!$K$10275*Sens!$K$10283</f>
        <v>105.104895250232</v>
      </c>
      <c r="L10286" s="38" t="n">
        <f aca="false">Sens!$L$10275*Sens!$L$10283</f>
        <v>115.615384775256</v>
      </c>
      <c r="M10286" s="38" t="n">
        <f aca="false">Sens!$M$10275*Sens!$M$10283</f>
        <v>127.176923252781</v>
      </c>
      <c r="N10286" s="38" t="n">
        <f aca="false">Sens!$N$10275*Sens!$N$10283</f>
        <v>21.7087111412496</v>
      </c>
      <c r="O10286" s="38" t="n">
        <f aca="false">Sens!$O$10275*Sens!$O$10283</f>
        <v>28.0189463642798</v>
      </c>
      <c r="P10286" s="5" t="s">
        <v>688</v>
      </c>
    </row>
    <row r="10287" customFormat="false" ht="15" hidden="false" customHeight="false" outlineLevel="0" collapsed="false">
      <c r="A10287" s="5" t="s">
        <v>689</v>
      </c>
      <c r="B10287" s="0" t="s">
        <v>86</v>
      </c>
      <c r="C10287" s="38" t="n">
        <f aca="false">Sens!$C$10275-Sens!$C$10286</f>
        <v>15.1456871171543</v>
      </c>
      <c r="D10287" s="38" t="n">
        <f aca="false">Sens!$D$10275-Sens!$D$10286</f>
        <v>18.8908765400825</v>
      </c>
      <c r="E10287" s="38" t="n">
        <f aca="false">Sens!$E$10275-Sens!$E$10286</f>
        <v>10.0485775075586</v>
      </c>
      <c r="F10287" s="38" t="n">
        <f aca="false">Sens!$F$10275-Sens!$F$10286</f>
        <v>13.0132771613635</v>
      </c>
      <c r="G10287" s="38" t="n">
        <f aca="false">Sens!$G$10275-Sens!$G$10286</f>
        <v>23.0450381503318</v>
      </c>
      <c r="H10287" s="38" t="n">
        <f aca="false">Sens!$H$10275-Sens!$H$10286</f>
        <v>27.6667457326347</v>
      </c>
      <c r="I10287" s="38" t="n">
        <f aca="false">Sens!$I$10275-Sens!$I$10286</f>
        <v>32.2880346490971</v>
      </c>
      <c r="J10287" s="38" t="n">
        <f aca="false">Sens!$J$10275-Sens!$J$10286</f>
        <v>36.5990371690132</v>
      </c>
      <c r="K10287" s="38" t="n">
        <f aca="false">Sens!$K$10275-Sens!$K$10286</f>
        <v>40.2589408859145</v>
      </c>
      <c r="L10287" s="38" t="n">
        <f aca="false">Sens!$L$10275-Sens!$L$10286</f>
        <v>44.2848349745059</v>
      </c>
      <c r="M10287" s="38" t="n">
        <f aca="false">Sens!$M$10275-Sens!$M$10286</f>
        <v>48.7133184719565</v>
      </c>
      <c r="N10287" s="38" t="n">
        <f aca="false">Sens!$N$10275-Sens!$N$10286</f>
        <v>7.90628885875037</v>
      </c>
      <c r="O10287" s="38" t="n">
        <f aca="false">Sens!$O$10275-Sens!$O$10286</f>
        <v>11.0010536357202</v>
      </c>
    </row>
    <row r="10288" customFormat="false" ht="19.4" hidden="false" customHeight="false" outlineLevel="0" collapsed="false">
      <c r="A10288" s="31" t="s">
        <v>1346</v>
      </c>
    </row>
    <row r="10289" customFormat="false" ht="17.15" hidden="false" customHeight="false" outlineLevel="0" collapsed="false">
      <c r="A10289" s="6" t="s">
        <v>16</v>
      </c>
      <c r="B10289" s="6" t="s">
        <v>17</v>
      </c>
      <c r="C10289" s="20" t="s">
        <v>497</v>
      </c>
      <c r="D10289" s="20" t="s">
        <v>498</v>
      </c>
      <c r="E10289" s="20" t="s">
        <v>580</v>
      </c>
      <c r="F10289" s="20" t="s">
        <v>581</v>
      </c>
      <c r="G10289" s="20" t="s">
        <v>582</v>
      </c>
      <c r="H10289" s="20" t="s">
        <v>583</v>
      </c>
      <c r="I10289" s="20" t="s">
        <v>584</v>
      </c>
      <c r="J10289" s="20" t="s">
        <v>585</v>
      </c>
      <c r="K10289" s="20" t="s">
        <v>586</v>
      </c>
      <c r="L10289" s="20" t="s">
        <v>587</v>
      </c>
      <c r="M10289" s="20" t="s">
        <v>588</v>
      </c>
      <c r="N10289" s="20" t="s">
        <v>589</v>
      </c>
      <c r="O10289" s="20" t="s">
        <v>590</v>
      </c>
      <c r="P10289" s="6" t="s">
        <v>23</v>
      </c>
      <c r="R10289" s="20" t="n">
        <v>2023</v>
      </c>
      <c r="S10289" s="20" t="n">
        <v>2024</v>
      </c>
      <c r="T10289" s="20" t="n">
        <v>2025</v>
      </c>
      <c r="U10289" s="20" t="n">
        <v>2026</v>
      </c>
      <c r="V10289" s="20" t="n">
        <v>2027</v>
      </c>
      <c r="W10289" s="20" t="n">
        <v>2028</v>
      </c>
      <c r="X10289" s="20" t="n">
        <v>2029</v>
      </c>
      <c r="Y10289" s="20" t="n">
        <v>2030</v>
      </c>
      <c r="Z10289" s="20" t="n">
        <v>2031</v>
      </c>
      <c r="AA10289" s="20" t="n">
        <v>2032</v>
      </c>
    </row>
    <row r="10290" customFormat="false" ht="17.15" hidden="false" customHeight="false" outlineLevel="0" collapsed="false">
      <c r="A10290" s="1" t="s">
        <v>591</v>
      </c>
    </row>
    <row r="10291" customFormat="false" ht="17.15" hidden="false" customHeight="false" outlineLevel="0" collapsed="false">
      <c r="A10291" s="5" t="s">
        <v>592</v>
      </c>
      <c r="B10291" s="0" t="s">
        <v>144</v>
      </c>
      <c r="H10291" s="32" t="n">
        <f aca="false">pace_B</f>
        <v>3634.3</v>
      </c>
      <c r="I10291" s="32" t="n">
        <f aca="false">pace_B</f>
        <v>3634.3</v>
      </c>
      <c r="J10291" s="32" t="n">
        <f aca="false">pace_B</f>
        <v>3634.3</v>
      </c>
      <c r="K10291" s="32" t="n">
        <f aca="false">pace_B+(Sens!$J$10292*tg_hi-pace_B)*1/3</f>
        <v>2620.20066666667</v>
      </c>
      <c r="L10291" s="32" t="n">
        <f aca="false">pace_B+(Sens!$J$10292*tg_hi-pace_B)*2/3</f>
        <v>1606.10133333333</v>
      </c>
      <c r="M10291" s="32" t="n">
        <f aca="false">pace_B+(Sens!$J$10292*tg_hi-pace_B)*3/3</f>
        <v>592.002</v>
      </c>
      <c r="P10291" s="5" t="s">
        <v>593</v>
      </c>
    </row>
    <row r="10292" customFormat="false" ht="17.15" hidden="false" customHeight="false" outlineLevel="0" collapsed="false">
      <c r="A10292" s="15" t="s">
        <v>594</v>
      </c>
      <c r="B10292" s="14" t="s">
        <v>129</v>
      </c>
      <c r="C10292" s="33" t="n">
        <f aca="false">mw_ye24</f>
        <v>360</v>
      </c>
      <c r="D10292" s="33" t="n">
        <f aca="false">mw_ye25</f>
        <v>1440</v>
      </c>
      <c r="E10292" s="33" t="n">
        <f aca="false">mw_open</f>
        <v>2080</v>
      </c>
      <c r="F10292" s="33" t="n">
        <f aca="false">Sens!$E$10292+pace_B*0.5</f>
        <v>3897.15</v>
      </c>
      <c r="G10292" s="33" t="n">
        <f aca="false">Sens!$F$10292</f>
        <v>3897.15</v>
      </c>
      <c r="H10292" s="33" t="n">
        <f aca="false">Sens!$G$10292+Sens!$H$10291</f>
        <v>7531.45</v>
      </c>
      <c r="I10292" s="33" t="n">
        <f aca="false">Sens!$H$10292+Sens!$I$10291</f>
        <v>11165.75</v>
      </c>
      <c r="J10292" s="33" t="n">
        <f aca="false">Sens!$I$10292+Sens!$J$10291</f>
        <v>14800.05</v>
      </c>
      <c r="K10292" s="33" t="n">
        <f aca="false">Sens!$J$10292+Sens!$K$10291</f>
        <v>17420.2506666667</v>
      </c>
      <c r="L10292" s="33" t="n">
        <f aca="false">Sens!$K$10292+Sens!$L$10291</f>
        <v>19026.352</v>
      </c>
      <c r="M10292" s="33" t="n">
        <f aca="false">Sens!$L$10292+Sens!$M$10291</f>
        <v>19618.354</v>
      </c>
      <c r="N10292" s="33" t="n">
        <f aca="false">(mw_ye24+mw_ye25)/2</f>
        <v>900</v>
      </c>
      <c r="O10292" s="33" t="n">
        <f aca="false">mw_ye25</f>
        <v>1440</v>
      </c>
      <c r="P10292" s="5" t="s">
        <v>595</v>
      </c>
    </row>
    <row r="10293" customFormat="false" ht="17.15" hidden="false" customHeight="false" outlineLevel="0" collapsed="false">
      <c r="A10293" s="5" t="s">
        <v>596</v>
      </c>
      <c r="B10293" s="0" t="s">
        <v>129</v>
      </c>
      <c r="C10293" s="32" t="n">
        <f aca="false">(mw_ye23+mw_ye24)/2</f>
        <v>240</v>
      </c>
      <c r="D10293" s="32" t="n">
        <f aca="false">(Sens!$C$10292+Sens!$D$10292)/2</f>
        <v>900</v>
      </c>
      <c r="E10293" s="32" t="n">
        <f aca="false">(Sens!$D$10292+Sens!$E$10292)/2</f>
        <v>1760</v>
      </c>
      <c r="F10293" s="32" t="n">
        <f aca="false">(Sens!$E$10292+Sens!$F$10292)/2</f>
        <v>2988.575</v>
      </c>
      <c r="G10293" s="32" t="n">
        <f aca="false">(Sens!$E$10293+Sens!$F$10293)/2</f>
        <v>2374.2875</v>
      </c>
      <c r="H10293" s="32" t="n">
        <f aca="false">(Sens!$G$10292+Sens!$H$10292)/2</f>
        <v>5714.3</v>
      </c>
      <c r="I10293" s="32" t="n">
        <f aca="false">(Sens!$H$10292+Sens!$I$10292)/2</f>
        <v>9348.6</v>
      </c>
      <c r="J10293" s="32" t="n">
        <f aca="false">(Sens!$I$10292+Sens!$J$10292)/2</f>
        <v>12982.9</v>
      </c>
      <c r="K10293" s="32" t="n">
        <f aca="false">(Sens!$J$10292+Sens!$K$10292)/2</f>
        <v>16110.1503333333</v>
      </c>
      <c r="L10293" s="32" t="n">
        <f aca="false">(Sens!$K$10292+Sens!$L$10292)/2</f>
        <v>18223.3013333333</v>
      </c>
      <c r="M10293" s="32" t="n">
        <f aca="false">(Sens!$L$10292+Sens!$M$10292)/2</f>
        <v>19322.353</v>
      </c>
      <c r="N10293" s="32" t="n">
        <f aca="false">(Sens!$C$10292+Sens!$N$10292)/2</f>
        <v>630</v>
      </c>
      <c r="O10293" s="32" t="n">
        <f aca="false">(Sens!$N$10292+Sens!$O$10292)/2</f>
        <v>1170</v>
      </c>
    </row>
    <row r="10294" customFormat="false" ht="15" hidden="false" customHeight="false" outlineLevel="0" collapsed="false">
      <c r="A10294" s="5" t="s">
        <v>597</v>
      </c>
      <c r="B10294" s="5" t="s">
        <v>123</v>
      </c>
      <c r="C10294" s="34" t="n">
        <v>1</v>
      </c>
      <c r="D10294" s="34" t="n">
        <v>1</v>
      </c>
      <c r="E10294" s="34" t="n">
        <v>0.5</v>
      </c>
      <c r="F10294" s="34" t="n">
        <v>0.5</v>
      </c>
      <c r="G10294" s="34" t="n">
        <v>1</v>
      </c>
      <c r="H10294" s="34" t="n">
        <v>1</v>
      </c>
      <c r="I10294" s="34" t="n">
        <v>1</v>
      </c>
      <c r="J10294" s="34" t="n">
        <v>1</v>
      </c>
      <c r="K10294" s="34" t="n">
        <v>1</v>
      </c>
      <c r="L10294" s="34" t="n">
        <v>1</v>
      </c>
      <c r="M10294" s="34" t="n">
        <v>1</v>
      </c>
      <c r="N10294" s="34" t="n">
        <v>0.5</v>
      </c>
      <c r="O10294" s="34" t="n">
        <v>0.5</v>
      </c>
    </row>
    <row r="10295" customFormat="false" ht="17.15" hidden="false" customHeight="false" outlineLevel="0" collapsed="false">
      <c r="A10295" s="5" t="s">
        <v>598</v>
      </c>
      <c r="B10295" s="0" t="s">
        <v>129</v>
      </c>
      <c r="C10295" s="32" t="n">
        <f aca="false">Sens!$C$10292-mw_ye23</f>
        <v>240</v>
      </c>
      <c r="D10295" s="32" t="n">
        <f aca="false">Sens!$D$10292-Sens!$C$10292</f>
        <v>1080</v>
      </c>
      <c r="E10295" s="32" t="n">
        <f aca="false">Sens!$E$10292-Sens!$D$10292</f>
        <v>640</v>
      </c>
      <c r="F10295" s="32" t="n">
        <f aca="false">Sens!$F$10292-Sens!$E$10292</f>
        <v>1817.15</v>
      </c>
      <c r="G10295" s="32" t="n">
        <f aca="false">Sens!$E$10295+Sens!$F$10295</f>
        <v>2457.15</v>
      </c>
      <c r="H10295" s="32" t="n">
        <f aca="false">Sens!$H$10292-Sens!$G$10292</f>
        <v>3634.3</v>
      </c>
      <c r="I10295" s="32" t="n">
        <f aca="false">Sens!$I$10292-Sens!$H$10292</f>
        <v>3634.3</v>
      </c>
      <c r="J10295" s="32" t="n">
        <f aca="false">Sens!$J$10292-Sens!$I$10292</f>
        <v>3634.3</v>
      </c>
      <c r="K10295" s="32" t="n">
        <f aca="false">Sens!$K$10292-Sens!$J$10292</f>
        <v>2620.20066666667</v>
      </c>
      <c r="L10295" s="32" t="n">
        <f aca="false">Sens!$L$10292-Sens!$K$10292</f>
        <v>1606.10133333333</v>
      </c>
      <c r="M10295" s="32" t="n">
        <f aca="false">Sens!$M$10292-Sens!$L$10292</f>
        <v>592.002</v>
      </c>
      <c r="N10295" s="32" t="n">
        <f aca="false">Sens!$N$10292-Sens!$C$10292</f>
        <v>540</v>
      </c>
      <c r="O10295" s="32" t="n">
        <f aca="false">Sens!$O$10292-Sens!$N$10292</f>
        <v>540</v>
      </c>
    </row>
    <row r="10296" customFormat="false" ht="17.15" hidden="false" customHeight="false" outlineLevel="0" collapsed="false">
      <c r="A10296" s="5" t="s">
        <v>599</v>
      </c>
      <c r="B10296" s="0" t="s">
        <v>129</v>
      </c>
      <c r="C10296" s="32" t="n">
        <f aca="false">Sens!$C$10295/ext_sh</f>
        <v>300</v>
      </c>
      <c r="D10296" s="32" t="n">
        <f aca="false">Sens!$D$10295/ext_sh</f>
        <v>1350</v>
      </c>
      <c r="E10296" s="32" t="n">
        <f aca="false">Sens!$E$10295/ext_sh</f>
        <v>800</v>
      </c>
      <c r="F10296" s="32" t="n">
        <f aca="false">Sens!$F$10295/ext_sh</f>
        <v>2271.4375</v>
      </c>
      <c r="G10296" s="32" t="n">
        <f aca="false">Sens!$G$10295/ext_sh</f>
        <v>3071.4375</v>
      </c>
      <c r="H10296" s="32" t="n">
        <f aca="false">Sens!$H$10295/ext_sh</f>
        <v>4542.875</v>
      </c>
      <c r="I10296" s="32" t="n">
        <f aca="false">Sens!$I$10295/ext_sh</f>
        <v>4542.875</v>
      </c>
      <c r="J10296" s="32" t="n">
        <f aca="false">Sens!$J$10295/ext_sh</f>
        <v>4542.875</v>
      </c>
      <c r="K10296" s="32" t="n">
        <f aca="false">Sens!$K$10295/ext_sh</f>
        <v>3275.25083333333</v>
      </c>
      <c r="L10296" s="32" t="n">
        <f aca="false">Sens!$L$10295/ext_sh</f>
        <v>2007.62666666667</v>
      </c>
      <c r="M10296" s="32" t="n">
        <f aca="false">Sens!$M$10295/ext_sh</f>
        <v>740.002500000001</v>
      </c>
      <c r="N10296" s="32" t="n">
        <f aca="false">Sens!$N$10295/ext_sh</f>
        <v>675</v>
      </c>
      <c r="O10296" s="32" t="n">
        <f aca="false">Sens!$O$10295/ext_sh</f>
        <v>675</v>
      </c>
      <c r="P10296" s="8" t="s">
        <v>600</v>
      </c>
      <c r="R10296" s="32" t="n">
        <f aca="false">mw_ye23/ext_sh</f>
        <v>150</v>
      </c>
      <c r="S10296" s="32" t="n">
        <f aca="false">Sens!$C$10296</f>
        <v>300</v>
      </c>
      <c r="T10296" s="32" t="n">
        <f aca="false">Sens!$D$10296</f>
        <v>1350</v>
      </c>
      <c r="U10296" s="32" t="n">
        <f aca="false">Sens!$G$10296</f>
        <v>3071.4375</v>
      </c>
      <c r="V10296" s="32" t="n">
        <f aca="false">Sens!$H$10296</f>
        <v>4542.875</v>
      </c>
      <c r="W10296" s="32" t="n">
        <f aca="false">Sens!$I$10296</f>
        <v>4542.875</v>
      </c>
      <c r="X10296" s="32" t="n">
        <f aca="false">Sens!$J$10296</f>
        <v>4542.875</v>
      </c>
      <c r="Y10296" s="32" t="n">
        <f aca="false">Sens!$K$10296</f>
        <v>3275.25083333333</v>
      </c>
      <c r="Z10296" s="32" t="n">
        <f aca="false">Sens!$L$10296</f>
        <v>2007.62666666667</v>
      </c>
      <c r="AA10296" s="32" t="n">
        <f aca="false">Sens!$M$10296</f>
        <v>740.002500000001</v>
      </c>
    </row>
    <row r="10297" customFormat="false" ht="17.15" hidden="false" customHeight="false" outlineLevel="0" collapsed="false">
      <c r="A10297" s="1" t="s">
        <v>601</v>
      </c>
    </row>
    <row r="10298" customFormat="false" ht="17.15" hidden="false" customHeight="false" outlineLevel="0" collapsed="false">
      <c r="A10298" s="0" t="s">
        <v>602</v>
      </c>
      <c r="B10298" s="0" t="s">
        <v>52</v>
      </c>
      <c r="F10298" s="35" t="n">
        <f aca="false">na_vr26</f>
        <v>0</v>
      </c>
      <c r="G10298" s="35" t="n">
        <f aca="false">na_vr26</f>
        <v>0</v>
      </c>
      <c r="H10298" s="35" t="n">
        <f aca="false">na_vr27</f>
        <v>0.5</v>
      </c>
      <c r="I10298" s="35" t="n">
        <f aca="false">na_vr28</f>
        <v>1</v>
      </c>
      <c r="J10298" s="35" t="n">
        <f aca="false">na_vr28</f>
        <v>1</v>
      </c>
      <c r="K10298" s="35" t="n">
        <f aca="false">na_vr28</f>
        <v>1</v>
      </c>
      <c r="L10298" s="35" t="n">
        <f aca="false">na_vr28</f>
        <v>1</v>
      </c>
      <c r="M10298" s="35" t="n">
        <f aca="false">na_vr28</f>
        <v>1</v>
      </c>
    </row>
    <row r="10299" customFormat="false" ht="17.15" hidden="false" customHeight="false" outlineLevel="0" collapsed="false">
      <c r="A10299" s="5" t="s">
        <v>603</v>
      </c>
      <c r="B10299" s="0" t="s">
        <v>173</v>
      </c>
      <c r="F10299" s="36" t="n">
        <f aca="false">cust_sh*tk_he_gb300*cf_chip+(1-cust_sh)*((1-Sens!$F$10298)*tk_he_gb300+Sens!$F$10298*tk_he_vr200)</f>
        <v>10.8864110021101</v>
      </c>
      <c r="G10299" s="36" t="n">
        <f aca="false">cust_sh*tk_he_gb300*cf_chip+(1-cust_sh)*((1-Sens!$G$10298)*tk_he_gb300+Sens!$G$10298*tk_he_vr200)</f>
        <v>10.8864110021101</v>
      </c>
      <c r="H10299" s="36" t="n">
        <f aca="false">cust_sh*tk_he_gb300*cf_chip+(1-cust_sh)*((1-Sens!$H$10298)*tk_he_gb300+Sens!$H$10298*tk_he_vr200)</f>
        <v>11.2211760027286</v>
      </c>
      <c r="I10299" s="36" t="n">
        <f aca="false">cust_sh*tk_he_gb300*cf_chip+(1-cust_sh)*((1-Sens!$I$10298)*tk_he_gb300+Sens!$I$10298*tk_he_vr200)</f>
        <v>11.5559410033471</v>
      </c>
      <c r="J10299" s="36" t="n">
        <f aca="false">cust_sh*tk_he_gb300*cf_chip+(1-cust_sh)*((1-Sens!$J$10298)*tk_he_gb300+Sens!$J$10298*tk_he_vr200)</f>
        <v>11.5559410033471</v>
      </c>
      <c r="K10299" s="36" t="n">
        <f aca="false">cust_sh*tk_he_gb300*cf_chip+(1-cust_sh)*((1-Sens!$K$10298)*tk_he_gb300+Sens!$K$10298*tk_he_vr200)</f>
        <v>11.5559410033471</v>
      </c>
      <c r="L10299" s="36" t="n">
        <f aca="false">cust_sh*tk_he_gb300*cf_chip+(1-cust_sh)*((1-Sens!$L$10298)*tk_he_gb300+Sens!$L$10298*tk_he_vr200)</f>
        <v>11.5559410033471</v>
      </c>
      <c r="M10299" s="36" t="n">
        <f aca="false">cust_sh*tk_he_gb300*cf_chip+(1-cust_sh)*((1-Sens!$M$10298)*tk_he_gb300+Sens!$M$10298*tk_he_vr200)</f>
        <v>11.5559410033471</v>
      </c>
    </row>
    <row r="10300" customFormat="false" ht="17.15" hidden="false" customHeight="false" outlineLevel="0" collapsed="false">
      <c r="A10300" s="5" t="s">
        <v>604</v>
      </c>
      <c r="B10300" s="0" t="s">
        <v>173</v>
      </c>
      <c r="F10300" s="36" t="n">
        <f aca="false">cust_sh*tk_ox_gb300+(1-cust_sh)*((1-Sens!$F$10298)*tk_ox_gb300+Sens!$F$10298*tk_ox_vr200)</f>
        <v>1.98263481314457</v>
      </c>
      <c r="G10300" s="36" t="n">
        <f aca="false">cust_sh*tk_ox_gb300+(1-cust_sh)*((1-Sens!$G$10298)*tk_ox_gb300+Sens!$G$10298*tk_ox_vr200)</f>
        <v>1.98263481314457</v>
      </c>
      <c r="H10300" s="36" t="n">
        <f aca="false">cust_sh*tk_ox_gb300+(1-cust_sh)*((1-Sens!$H$10298)*tk_ox_gb300+Sens!$H$10298*tk_ox_vr200)</f>
        <v>2.01034999693694</v>
      </c>
      <c r="I10300" s="36" t="n">
        <f aca="false">cust_sh*tk_ox_gb300+(1-cust_sh)*((1-Sens!$I$10298)*tk_ox_gb300+Sens!$I$10298*tk_ox_vr200)</f>
        <v>2.0380651807293</v>
      </c>
      <c r="J10300" s="36" t="n">
        <f aca="false">cust_sh*tk_ox_gb300+(1-cust_sh)*((1-Sens!$J$10298)*tk_ox_gb300+Sens!$J$10298*tk_ox_vr200)</f>
        <v>2.0380651807293</v>
      </c>
      <c r="K10300" s="36" t="n">
        <f aca="false">cust_sh*tk_ox_gb300+(1-cust_sh)*((1-Sens!$K$10298)*tk_ox_gb300+Sens!$K$10298*tk_ox_vr200)</f>
        <v>2.0380651807293</v>
      </c>
      <c r="L10300" s="36" t="n">
        <f aca="false">cust_sh*tk_ox_gb300+(1-cust_sh)*((1-Sens!$L$10298)*tk_ox_gb300+Sens!$L$10298*tk_ox_vr200)</f>
        <v>2.0380651807293</v>
      </c>
      <c r="M10300" s="36" t="n">
        <f aca="false">cust_sh*tk_ox_gb300+(1-cust_sh)*((1-Sens!$M$10298)*tk_ox_gb300+Sens!$M$10298*tk_ox_vr200)</f>
        <v>2.0380651807293</v>
      </c>
    </row>
    <row r="10301" customFormat="false" ht="17.15" hidden="false" customHeight="false" outlineLevel="0" collapsed="false">
      <c r="A10301" s="5" t="s">
        <v>605</v>
      </c>
      <c r="B10301" s="0" t="s">
        <v>192</v>
      </c>
      <c r="F10301" s="36" t="n">
        <f aca="false">cust_sh*tk_cx_gb300*cf_cx+(1-cust_sh)*((1-Sens!$F$10298)*tk_cx_gb300+Sens!$F$10298*tk_cx_vr200)</f>
        <v>32.237224</v>
      </c>
      <c r="G10301" s="36" t="n">
        <f aca="false">cust_sh*tk_cx_gb300*cf_cx+(1-cust_sh)*((1-Sens!$G$10298)*tk_cx_gb300+Sens!$G$10298*tk_cx_vr200)</f>
        <v>32.237224</v>
      </c>
      <c r="H10301" s="36" t="n">
        <f aca="false">cust_sh*tk_cx_gb300*cf_cx+(1-cust_sh)*((1-Sens!$H$10298)*tk_cx_gb300+Sens!$H$10298*tk_cx_vr200)</f>
        <v>33.574506</v>
      </c>
      <c r="I10301" s="36" t="n">
        <f aca="false">cust_sh*tk_cx_gb300*cf_cx+(1-cust_sh)*((1-Sens!$I$10298)*tk_cx_gb300+Sens!$I$10298*tk_cx_vr200)</f>
        <v>34.911788</v>
      </c>
      <c r="J10301" s="36" t="n">
        <f aca="false">cust_sh*tk_cx_gb300*cf_cx+(1-cust_sh)*((1-Sens!$J$10298)*tk_cx_gb300+Sens!$J$10298*tk_cx_vr200)</f>
        <v>34.911788</v>
      </c>
      <c r="K10301" s="36" t="n">
        <f aca="false">cust_sh*tk_cx_gb300*cf_cx+(1-cust_sh)*((1-Sens!$K$10298)*tk_cx_gb300+Sens!$K$10298*tk_cx_vr200)</f>
        <v>34.911788</v>
      </c>
      <c r="L10301" s="36" t="n">
        <f aca="false">cust_sh*tk_cx_gb300*cf_cx+(1-cust_sh)*((1-Sens!$L$10298)*tk_cx_gb300+Sens!$L$10298*tk_cx_vr200)</f>
        <v>34.911788</v>
      </c>
      <c r="M10301" s="36" t="n">
        <f aca="false">cust_sh*tk_cx_gb300*cf_cx+(1-cust_sh)*((1-Sens!$M$10298)*tk_cx_gb300+Sens!$M$10298*tk_cx_vr200)</f>
        <v>34.911788</v>
      </c>
    </row>
    <row r="10302" customFormat="false" ht="17.15" hidden="false" customHeight="false" outlineLevel="0" collapsed="false">
      <c r="A10302" s="5" t="s">
        <v>606</v>
      </c>
      <c r="B10302" s="0" t="s">
        <v>129</v>
      </c>
      <c r="F10302" s="32" t="n">
        <f aca="false">Sens!$F$10292-mw_open</f>
        <v>1817.15</v>
      </c>
      <c r="G10302" s="32" t="n">
        <f aca="false">Sens!$F$10302</f>
        <v>1817.15</v>
      </c>
      <c r="H10302" s="32" t="n">
        <f aca="false">Sens!$H$10292-mw_open</f>
        <v>5451.45</v>
      </c>
      <c r="I10302" s="32" t="n">
        <f aca="false">Sens!$I$10292-mw_open</f>
        <v>9085.75</v>
      </c>
      <c r="J10302" s="32" t="n">
        <f aca="false">Sens!$J$10292-mw_open</f>
        <v>12720.05</v>
      </c>
      <c r="K10302" s="32" t="n">
        <f aca="false">Sens!$K$10292-mw_open</f>
        <v>15340.2506666667</v>
      </c>
      <c r="L10302" s="32" t="n">
        <f aca="false">Sens!$L$10292-mw_open</f>
        <v>16946.352</v>
      </c>
      <c r="M10302" s="32" t="n">
        <f aca="false">Sens!$M$10292-mw_open</f>
        <v>17538.354</v>
      </c>
    </row>
    <row r="10303" customFormat="false" ht="17.15" hidden="false" customHeight="false" outlineLevel="0" collapsed="false">
      <c r="A10303" s="0" t="s">
        <v>607</v>
      </c>
      <c r="B10303" s="0" t="s">
        <v>608</v>
      </c>
      <c r="F10303" s="32" t="n">
        <f aca="false">Sens!$F$10295*Sens!$F$10299</f>
        <v>19782.2417524844</v>
      </c>
      <c r="G10303" s="32" t="n">
        <f aca="false">Sens!$F$10303</f>
        <v>19782.2417524844</v>
      </c>
      <c r="H10303" s="32" t="n">
        <f aca="false">Sens!$G$10303+Sens!$H$10295*Sens!$H$10299</f>
        <v>60563.3616992009</v>
      </c>
      <c r="I10303" s="32" t="n">
        <f aca="false">Sens!$H$10303+Sens!$I$10295*Sens!$I$10299</f>
        <v>102561.118087665</v>
      </c>
      <c r="J10303" s="32" t="n">
        <f aca="false">Sens!$I$10303+Sens!$J$10295*Sens!$J$10299</f>
        <v>144558.87447613</v>
      </c>
      <c r="K10303" s="32" t="n">
        <f aca="false">Sens!$J$10303+Sens!$K$10295*Sens!$K$10299</f>
        <v>174837.75879706</v>
      </c>
      <c r="L10303" s="32" t="n">
        <f aca="false">Sens!$K$10303+Sens!$L$10295*Sens!$L$10299</f>
        <v>193397.771050458</v>
      </c>
      <c r="M10303" s="32" t="n">
        <f aca="false">Sens!$L$10303+Sens!$M$10295*Sens!$M$10299</f>
        <v>200238.911236321</v>
      </c>
    </row>
    <row r="10304" customFormat="false" ht="17.15" hidden="false" customHeight="false" outlineLevel="0" collapsed="false">
      <c r="A10304" s="0" t="s">
        <v>609</v>
      </c>
      <c r="B10304" s="0" t="s">
        <v>608</v>
      </c>
      <c r="F10304" s="32" t="n">
        <f aca="false">Sens!$F$10295*Sens!$F$10300</f>
        <v>3602.74485070566</v>
      </c>
      <c r="G10304" s="32" t="n">
        <f aca="false">Sens!$F$10304</f>
        <v>3602.74485070566</v>
      </c>
      <c r="H10304" s="32" t="n">
        <f aca="false">Sens!$G$10304+Sens!$H$10295*Sens!$H$10300</f>
        <v>10908.9598445736</v>
      </c>
      <c r="I10304" s="32" t="n">
        <f aca="false">Sens!$H$10304+Sens!$I$10295*Sens!$I$10300</f>
        <v>18315.9001308981</v>
      </c>
      <c r="J10304" s="32" t="n">
        <f aca="false">Sens!$I$10304+Sens!$J$10295*Sens!$J$10300</f>
        <v>25722.8404172225</v>
      </c>
      <c r="K10304" s="32" t="n">
        <f aca="false">Sens!$J$10304+Sens!$K$10295*Sens!$K$10300</f>
        <v>31062.9801624796</v>
      </c>
      <c r="L10304" s="32" t="n">
        <f aca="false">Sens!$K$10304+Sens!$L$10295*Sens!$L$10300</f>
        <v>34336.3193666691</v>
      </c>
      <c r="M10304" s="32" t="n">
        <f aca="false">Sens!$L$10304+Sens!$M$10295*Sens!$M$10300</f>
        <v>35542.8580297913</v>
      </c>
    </row>
    <row r="10305" customFormat="false" ht="17.15" hidden="false" customHeight="false" outlineLevel="0" collapsed="false">
      <c r="A10305" s="5" t="s">
        <v>610</v>
      </c>
      <c r="B10305" s="0" t="s">
        <v>173</v>
      </c>
      <c r="F10305" s="36" t="n">
        <f aca="false">IF(Sens!$F$10302&gt;0,Sens!$F$10303/Sens!$F$10302,Sens!$F$10299)</f>
        <v>10.8864110021101</v>
      </c>
      <c r="G10305" s="36" t="n">
        <f aca="false">IF(Sens!$G$10302&gt;0,Sens!$G$10303/Sens!$G$10302,Sens!$G$10299)</f>
        <v>10.8864110021101</v>
      </c>
      <c r="H10305" s="36" t="n">
        <f aca="false">IF(Sens!$H$10302&gt;0,Sens!$H$10303/Sens!$H$10302,Sens!$H$10299)</f>
        <v>11.1095876691891</v>
      </c>
      <c r="I10305" s="36" t="n">
        <f aca="false">IF(Sens!$I$10302&gt;0,Sens!$I$10303/Sens!$I$10302,Sens!$I$10299)</f>
        <v>11.2881290028523</v>
      </c>
      <c r="J10305" s="36" t="n">
        <f aca="false">IF(Sens!$J$10302&gt;0,Sens!$J$10303/Sens!$J$10302,Sens!$J$10299)</f>
        <v>11.3646467172794</v>
      </c>
      <c r="K10305" s="36" t="n">
        <f aca="false">IF(Sens!$K$10302&gt;0,Sens!$K$10303/Sens!$K$10302,Sens!$K$10299)</f>
        <v>11.3973208519318</v>
      </c>
      <c r="L10305" s="36" t="n">
        <f aca="false">IF(Sens!$L$10302&gt;0,Sens!$L$10303/Sens!$L$10302,Sens!$L$10299)</f>
        <v>11.4123541780825</v>
      </c>
      <c r="M10305" s="36" t="n">
        <f aca="false">IF(Sens!$M$10302&gt;0,Sens!$M$10303/Sens!$M$10302,Sens!$M$10299)</f>
        <v>11.4172009092941</v>
      </c>
    </row>
    <row r="10306" customFormat="false" ht="17.15" hidden="false" customHeight="false" outlineLevel="0" collapsed="false">
      <c r="A10306" s="5" t="s">
        <v>611</v>
      </c>
      <c r="B10306" s="0" t="s">
        <v>173</v>
      </c>
      <c r="F10306" s="36" t="n">
        <f aca="false">IF(Sens!$F$10302&gt;0,Sens!$F$10304/Sens!$F$10302,Sens!$F$10300)</f>
        <v>1.98263481314457</v>
      </c>
      <c r="G10306" s="36" t="n">
        <f aca="false">IF(Sens!$G$10302&gt;0,Sens!$G$10304/Sens!$G$10302,Sens!$G$10300)</f>
        <v>1.98263481314457</v>
      </c>
      <c r="H10306" s="36" t="n">
        <f aca="false">IF(Sens!$H$10302&gt;0,Sens!$H$10304/Sens!$H$10302,Sens!$H$10300)</f>
        <v>2.00111160233948</v>
      </c>
      <c r="I10306" s="36" t="n">
        <f aca="false">IF(Sens!$I$10302&gt;0,Sens!$I$10304/Sens!$I$10302,Sens!$I$10300)</f>
        <v>2.01589303369541</v>
      </c>
      <c r="J10306" s="36" t="n">
        <f aca="false">IF(Sens!$J$10302&gt;0,Sens!$J$10304/Sens!$J$10302,Sens!$J$10300)</f>
        <v>2.02222793284795</v>
      </c>
      <c r="K10306" s="36" t="n">
        <f aca="false">IF(Sens!$K$10302&gt;0,Sens!$K$10304/Sens!$K$10302,Sens!$K$10300)</f>
        <v>2.02493302342036</v>
      </c>
      <c r="L10306" s="36" t="n">
        <f aca="false">IF(Sens!$L$10302&gt;0,Sens!$L$10304/Sens!$L$10302,Sens!$L$10300)</f>
        <v>2.02617763201597</v>
      </c>
      <c r="M10306" s="36" t="n">
        <f aca="false">IF(Sens!$M$10302&gt;0,Sens!$M$10304/Sens!$M$10302,Sens!$M$10300)</f>
        <v>2.02657889273938</v>
      </c>
    </row>
    <row r="10307" customFormat="false" ht="17.15" hidden="false" customHeight="false" outlineLevel="0" collapsed="false">
      <c r="A10307" s="15" t="s">
        <v>612</v>
      </c>
      <c r="B10307" s="14" t="s">
        <v>173</v>
      </c>
      <c r="C10307" s="14"/>
      <c r="D10307" s="14"/>
      <c r="E10307" s="14"/>
      <c r="F10307" s="37" t="n">
        <f aca="false">Sens!$F$10305*k_B</f>
        <v>10.7987645808025</v>
      </c>
      <c r="G10307" s="37" t="n">
        <f aca="false">Sens!$G$10305*k_B</f>
        <v>10.7987645808025</v>
      </c>
      <c r="H10307" s="37" t="n">
        <f aca="false">Sens!$H$10305*k_B</f>
        <v>11.0201444540452</v>
      </c>
      <c r="I10307" s="37" t="n">
        <f aca="false">Sens!$I$10305*k_B</f>
        <v>11.1972483526393</v>
      </c>
      <c r="J10307" s="37" t="n">
        <f aca="false">Sens!$J$10305*k_B</f>
        <v>11.2731500234653</v>
      </c>
      <c r="K10307" s="37" t="n">
        <f aca="false">Sens!$K$10305*k_B</f>
        <v>11.3055610988807</v>
      </c>
      <c r="L10307" s="37" t="n">
        <f aca="false">Sens!$L$10305*k_B</f>
        <v>11.3204733918244</v>
      </c>
      <c r="M10307" s="37" t="n">
        <f aca="false">Sens!$M$10305*k_B</f>
        <v>11.3252811020357</v>
      </c>
      <c r="N10307" s="14"/>
      <c r="O10307" s="14"/>
      <c r="P10307" s="5" t="s">
        <v>613</v>
      </c>
    </row>
    <row r="10308" customFormat="false" ht="17.15" hidden="false" customHeight="false" outlineLevel="0" collapsed="false">
      <c r="A10308" s="5" t="s">
        <v>614</v>
      </c>
      <c r="B10308" s="0" t="s">
        <v>129</v>
      </c>
      <c r="F10308" s="32" t="n">
        <f aca="false">Sens!$F$10302/2</f>
        <v>908.575</v>
      </c>
      <c r="H10308" s="32" t="n">
        <f aca="false">(Sens!$G$10302+Sens!$H$10302)/2</f>
        <v>3634.3</v>
      </c>
      <c r="I10308" s="32" t="n">
        <f aca="false">(Sens!$H$10302+Sens!$I$10302)/2</f>
        <v>7268.6</v>
      </c>
      <c r="J10308" s="32" t="n">
        <f aca="false">(Sens!$I$10302+Sens!$J$10302)/2</f>
        <v>10902.9</v>
      </c>
      <c r="K10308" s="32" t="n">
        <f aca="false">(Sens!$J$10302+Sens!$K$10302)/2</f>
        <v>14030.1503333333</v>
      </c>
      <c r="L10308" s="32" t="n">
        <f aca="false">(Sens!$K$10302+Sens!$L$10302)/2</f>
        <v>16143.3013333333</v>
      </c>
      <c r="M10308" s="32" t="n">
        <f aca="false">(Sens!$L$10302+Sens!$M$10302)/2</f>
        <v>17242.353</v>
      </c>
    </row>
    <row r="10309" customFormat="false" ht="17.15" hidden="false" customHeight="false" outlineLevel="0" collapsed="false">
      <c r="A10309" s="1" t="s">
        <v>615</v>
      </c>
    </row>
    <row r="10310" customFormat="false" ht="17.15" hidden="false" customHeight="false" outlineLevel="0" collapsed="false">
      <c r="A10310" s="1" t="s">
        <v>616</v>
      </c>
      <c r="B10310" s="8" t="s">
        <v>86</v>
      </c>
      <c r="C10310" s="38" t="n">
        <f aca="false">Sens!$C$10293*rpm_open*Sens!$C$10294/1000</f>
        <v>2.32100535697364</v>
      </c>
      <c r="D10310" s="38" t="n">
        <f aca="false">Sens!$D$10293*rpm_open*Sens!$D$10294/1000</f>
        <v>8.70377008865116</v>
      </c>
      <c r="E10310" s="38" t="n">
        <f aca="false">Sens!$E$10293*rpm_open*Sens!$E$10294/1000</f>
        <v>8.51035297557002</v>
      </c>
      <c r="F10310" s="38" t="n">
        <f aca="false">(mw_open*rpm_open+Sens!$F$10308*Sens!$F$10307)*Sens!$F$10294/1000</f>
        <v>14.9634336447205</v>
      </c>
      <c r="G10310" s="38" t="n">
        <f aca="false">Sens!$E$10310+Sens!$F$10310</f>
        <v>23.4737866202905</v>
      </c>
      <c r="H10310" s="38" t="n">
        <f aca="false">(mw_open*rpm_open+Sens!$H$10308*Sens!$H$10307)/1000</f>
        <v>60.1658907497746</v>
      </c>
      <c r="I10310" s="38" t="n">
        <f aca="false">(mw_open*rpm_open+Sens!$I$10308*Sens!$I$10307)/1000</f>
        <v>101.503699136432</v>
      </c>
      <c r="J10310" s="38" t="n">
        <f aca="false">(mw_open*rpm_open+Sens!$J$10308*Sens!$J$10307)/1000</f>
        <v>143.025407151278</v>
      </c>
      <c r="K10310" s="38" t="n">
        <f aca="false">(mw_open*rpm_open+Sens!$K$10308*Sens!$K$10307)/1000</f>
        <v>178.73410158042</v>
      </c>
      <c r="L10310" s="38" t="n">
        <f aca="false">(mw_open*rpm_open+Sens!$L$10308*Sens!$L$10307)/1000</f>
        <v>202.865192960641</v>
      </c>
      <c r="M10310" s="38" t="n">
        <f aca="false">(mw_open*rpm_open+Sens!$M$10308*Sens!$M$10307)/1000</f>
        <v>215.389874345967</v>
      </c>
      <c r="N10310" s="38" t="n">
        <f aca="false">Sens!$N$10293*rpm_open*Sens!$N$10294/1000</f>
        <v>3.04631953102791</v>
      </c>
      <c r="O10310" s="38" t="n">
        <f aca="false">Sens!$O$10293*rpm_open*Sens!$O$10294/1000</f>
        <v>5.65745055762326</v>
      </c>
      <c r="P10310" s="5" t="s">
        <v>617</v>
      </c>
    </row>
    <row r="10311" customFormat="false" ht="17.15" hidden="false" customHeight="false" outlineLevel="0" collapsed="false">
      <c r="A10311" s="5" t="s">
        <v>618</v>
      </c>
      <c r="B10311" s="0" t="s">
        <v>173</v>
      </c>
      <c r="C10311" s="36" t="n">
        <f aca="false">Sens!$C$10310*1000/(Sens!$C$10293*Sens!$C$10294)</f>
        <v>9.67085565405685</v>
      </c>
      <c r="D10311" s="36" t="n">
        <f aca="false">Sens!$D$10310*1000/(Sens!$D$10293*Sens!$D$10294)</f>
        <v>9.67085565405685</v>
      </c>
      <c r="E10311" s="36" t="n">
        <f aca="false">Sens!$E$10310*1000/(Sens!$E$10293*Sens!$E$10294)</f>
        <v>9.67085565405685</v>
      </c>
      <c r="F10311" s="36" t="n">
        <f aca="false">Sens!$F$10310*1000/(Sens!$F$10293*Sens!$F$10294)</f>
        <v>10.0137581588017</v>
      </c>
      <c r="G10311" s="36" t="n">
        <f aca="false">Sens!$G$10310*1000/(Sens!$G$10293*Sens!$G$10294)</f>
        <v>9.88666562928478</v>
      </c>
      <c r="H10311" s="36" t="n">
        <f aca="false">Sens!$H$10310*1000/(Sens!$H$10293*Sens!$H$10294)</f>
        <v>10.5290045586992</v>
      </c>
      <c r="I10311" s="36" t="n">
        <f aca="false">Sens!$I$10310*1000/(Sens!$I$10293*Sens!$I$10294)</f>
        <v>10.8576363451674</v>
      </c>
      <c r="J10311" s="36" t="n">
        <f aca="false">Sens!$J$10310*1000/(Sens!$J$10293*Sens!$J$10294)</f>
        <v>11.0164452588619</v>
      </c>
      <c r="K10311" s="36" t="n">
        <f aca="false">Sens!$K$10310*1000/(Sens!$K$10293*Sens!$K$10294)</f>
        <v>11.0945024026625</v>
      </c>
      <c r="L10311" s="36" t="n">
        <f aca="false">Sens!$L$10310*1000/(Sens!$L$10293*Sens!$L$10294)</f>
        <v>11.1321867124904</v>
      </c>
      <c r="M10311" s="36" t="n">
        <f aca="false">Sens!$M$10310*1000/(Sens!$M$10293*Sens!$M$10294)</f>
        <v>11.1471865950263</v>
      </c>
      <c r="N10311" s="36" t="n">
        <f aca="false">Sens!$N$10310*1000/(Sens!$N$10293*Sens!$N$10294)</f>
        <v>9.67085565405685</v>
      </c>
      <c r="O10311" s="36" t="n">
        <f aca="false">Sens!$O$10310*1000/(Sens!$O$10293*Sens!$O$10294)</f>
        <v>9.67085565405685</v>
      </c>
    </row>
    <row r="10312" customFormat="false" ht="17.15" hidden="false" customHeight="false" outlineLevel="0" collapsed="false">
      <c r="A10312" s="0" t="s">
        <v>619</v>
      </c>
      <c r="B10312" s="0" t="s">
        <v>86</v>
      </c>
      <c r="C10312" s="38" t="n">
        <f aca="false">Sens!$C$10293/ext_sh*(ox_open+rent_mw)*Sens!$C$10294/1000</f>
        <v>0.642569210675032</v>
      </c>
      <c r="D10312" s="38" t="n">
        <f aca="false">Sens!$D$10293/ext_sh*(ox_open+rent_mw)*Sens!$D$10294/1000</f>
        <v>2.40963454003137</v>
      </c>
      <c r="E10312" s="38" t="n">
        <f aca="false">Sens!$E$10293/ext_sh*(ox_open+rent_mw)*Sens!$E$10294/1000</f>
        <v>2.35608710580845</v>
      </c>
      <c r="F10312" s="38" t="n">
        <f aca="false">((mw_open*ox_open+Sens!$F$10308*Sens!$F$10306)/ext_sh+Sens!$F$10293/ext_sh*rent_mw)*Sens!$F$10294/1000</f>
        <v>4.05421991106232</v>
      </c>
      <c r="G10312" s="38" t="n">
        <f aca="false">Sens!$E$10312+Sens!$F$10312</f>
        <v>6.41030701687077</v>
      </c>
      <c r="H10312" s="38" t="n">
        <f aca="false">((mw_open*ox_open+Sens!$H$10308*Sens!$H$10306)/ext_sh+Sens!$H$10293/ext_sh*rent_mw)*Sens!$H$10294/1000</f>
        <v>15.8108975546616</v>
      </c>
      <c r="I10312" s="38" t="n">
        <f aca="false">((mw_open*ox_open+Sens!$I$10308*Sens!$I$10306)/ext_sh+Sens!$I$10293/ext_sh*rent_mw)*Sens!$I$10294/1000</f>
        <v>26.1871623400817</v>
      </c>
      <c r="J10312" s="38" t="n">
        <f aca="false">((mw_open*ox_open+Sens!$J$10308*Sens!$J$10306)/ext_sh+Sens!$J$10293/ext_sh*rent_mw)*Sens!$J$10294/1000</f>
        <v>36.5826128954935</v>
      </c>
      <c r="K10312" s="38" t="n">
        <f aca="false">((mw_open*ox_open+Sens!$K$10308*Sens!$K$10306)/ext_sh+Sens!$K$10293/ext_sh*rent_mw)*Sens!$K$10294/1000</f>
        <v>45.5256266941655</v>
      </c>
      <c r="L10312" s="38" t="n">
        <f aca="false">((mw_open*ox_open+Sens!$L$10308*Sens!$L$10306)/ext_sh+Sens!$L$10293/ext_sh*rent_mw)*Sens!$L$10294/1000</f>
        <v>51.568818942134</v>
      </c>
      <c r="M10312" s="38" t="n">
        <f aca="false">((mw_open*ox_open+Sens!$M$10308*Sens!$M$10306)/ext_sh+Sens!$M$10293/ext_sh*rent_mw)*Sens!$M$10294/1000</f>
        <v>54.7091842856355</v>
      </c>
      <c r="N10312" s="38" t="n">
        <f aca="false">Sens!$N$10293/ext_sh*(ox_open+rent_mw)*Sens!$N$10294/1000</f>
        <v>0.84337208901098</v>
      </c>
      <c r="O10312" s="38" t="n">
        <f aca="false">Sens!$O$10293/ext_sh*(ox_open+rent_mw)*Sens!$O$10294/1000</f>
        <v>1.56626245102039</v>
      </c>
    </row>
    <row r="10313" customFormat="false" ht="17.15" hidden="false" customHeight="false" outlineLevel="0" collapsed="false">
      <c r="A10313" s="0" t="s">
        <v>620</v>
      </c>
      <c r="B10313" s="0" t="s">
        <v>86</v>
      </c>
      <c r="C10313" s="38" t="n">
        <f aca="false">Q!$D$7</f>
        <v>107.556</v>
      </c>
      <c r="D10313" s="38" t="n">
        <f aca="false">Q!$E$7</f>
        <v>128.725</v>
      </c>
      <c r="E10313" s="38" t="n">
        <f aca="false">Q!$P$7</f>
        <v>79.819</v>
      </c>
      <c r="N10313" s="38" t="n">
        <f aca="false">Q!$N$7</f>
        <v>60.14</v>
      </c>
      <c r="O10313" s="38" t="n">
        <f aca="false">Q!$O$7</f>
        <v>68.585</v>
      </c>
    </row>
    <row r="10314" customFormat="false" ht="17.15" hidden="false" customHeight="false" outlineLevel="0" collapsed="false">
      <c r="A10314" s="1" t="s">
        <v>621</v>
      </c>
      <c r="B10314" s="8" t="s">
        <v>86</v>
      </c>
      <c r="C10314" s="38" t="n">
        <f aca="false">Sens!$C$10313-Sens!$C$10310</f>
        <v>105.234994643026</v>
      </c>
      <c r="D10314" s="38" t="n">
        <f aca="false">Sens!$D$10313-Sens!$D$10310</f>
        <v>120.021229911349</v>
      </c>
      <c r="E10314" s="38" t="n">
        <f aca="false">Sens!$E$10313-Sens!$E$10310</f>
        <v>71.30864702443</v>
      </c>
      <c r="F10314" s="38" t="n">
        <f aca="false">Sens!$O$10314*(1+Sens!$F$10315)</f>
        <v>71.7692997942464</v>
      </c>
      <c r="G10314" s="38" t="n">
        <f aca="false">Sens!$E$10314+Sens!$F$10314</f>
        <v>143.077946818676</v>
      </c>
      <c r="H10314" s="38" t="n">
        <f aca="false">Sens!$G$10314*(1+Sens!$H$10315)</f>
        <v>161.017077079203</v>
      </c>
      <c r="I10314" s="38" t="n">
        <f aca="false">Sens!$H$10314*(1+Sens!$I$10315)</f>
        <v>178.769759521457</v>
      </c>
      <c r="J10314" s="38" t="n">
        <f aca="false">Sens!$I$10314*(1+Sens!$J$10315)</f>
        <v>195.775538045907</v>
      </c>
      <c r="K10314" s="38" t="n">
        <f aca="false">Sens!$J$10314*(1+Sens!$K$10315)</f>
        <v>211.43758108958</v>
      </c>
      <c r="L10314" s="38" t="n">
        <f aca="false">Sens!$K$10314*(1+Sens!$L$10315)</f>
        <v>228.352587576746</v>
      </c>
      <c r="M10314" s="38" t="n">
        <f aca="false">Sens!$L$10314*(1+Sens!$M$10315)</f>
        <v>246.620794582886</v>
      </c>
      <c r="N10314" s="38" t="n">
        <f aca="false">Sens!$N$10313-Sens!$N$10310</f>
        <v>57.0936804689721</v>
      </c>
      <c r="O10314" s="38" t="n">
        <f aca="false">Sens!$O$10313-Sens!$O$10310</f>
        <v>62.9275494423768</v>
      </c>
      <c r="P10314" s="5" t="s">
        <v>622</v>
      </c>
    </row>
    <row r="10315" customFormat="false" ht="17.15" hidden="false" customHeight="false" outlineLevel="0" collapsed="false">
      <c r="A10315" s="0" t="s">
        <v>623</v>
      </c>
      <c r="B10315" s="0" t="s">
        <v>52</v>
      </c>
      <c r="D10315" s="13" t="n">
        <f aca="false">Sens!$D$10314/Sens!$C$10314-1</f>
        <v>0.140506827776062</v>
      </c>
      <c r="E10315" s="13" t="n">
        <f aca="false">Sens!$E$10314/Sens!$N$10314-1</f>
        <v>0.248976181579029</v>
      </c>
      <c r="F10315" s="13" t="n">
        <f aca="false">Sens!$D$10315</f>
        <v>0.140506827776062</v>
      </c>
      <c r="G10315" s="13" t="n">
        <f aca="false">Sens!$G$10314/Sens!$D$10314-1</f>
        <v>0.19210532106993</v>
      </c>
      <c r="H10315" s="13" t="n">
        <f aca="false">Sens!$F$10315+(g_awso_lt-Sens!$F$10315)*1/4</f>
        <v>0.125380120832046</v>
      </c>
      <c r="I10315" s="13" t="n">
        <f aca="false">Sens!$F$10315+(g_awso_lt-Sens!$F$10315)*2/4</f>
        <v>0.110253413888031</v>
      </c>
      <c r="J10315" s="13" t="n">
        <f aca="false">Sens!$F$10315+(g_awso_lt-Sens!$F$10315)*3/4</f>
        <v>0.0951267069440154</v>
      </c>
      <c r="K10315" s="13" t="n">
        <f aca="false">Sens!$F$10315+(g_awso_lt-Sens!$F$10315)*4/4</f>
        <v>0.08</v>
      </c>
      <c r="L10315" s="13" t="n">
        <f aca="false">g_awso_lt</f>
        <v>0.08</v>
      </c>
      <c r="M10315" s="13" t="n">
        <f aca="false">g_awso_lt</f>
        <v>0.08</v>
      </c>
      <c r="P10315" s="5" t="s">
        <v>624</v>
      </c>
    </row>
    <row r="10316" customFormat="false" ht="17.15" hidden="false" customHeight="false" outlineLevel="0" collapsed="false">
      <c r="A10316" s="1" t="s">
        <v>625</v>
      </c>
    </row>
    <row r="10317" customFormat="false" ht="17.15" hidden="false" customHeight="false" outlineLevel="0" collapsed="false">
      <c r="A10317" s="0" t="s">
        <v>626</v>
      </c>
      <c r="B10317" s="0" t="s">
        <v>86</v>
      </c>
      <c r="F10317" s="38" t="n">
        <f aca="false">cx_rt*Sens!$F$10282+cx_awso*Sens!$F$10314</f>
        <v>34.9734495387866</v>
      </c>
    </row>
    <row r="10318" customFormat="false" ht="17.15" hidden="false" customHeight="false" outlineLevel="0" collapsed="false">
      <c r="A10318" s="0" t="s">
        <v>627</v>
      </c>
      <c r="B10318" s="0" t="s">
        <v>52</v>
      </c>
      <c r="C10318" s="13" t="n">
        <f aca="false">tk_cx_h100/(tk_cx_h100+tk_fac*(1-colo_sh))</f>
        <v>0.730756458006641</v>
      </c>
      <c r="D10318" s="13" t="n">
        <f aca="false">tk_cx_h100/(tk_cx_h100+tk_fac*(1-colo_sh))</f>
        <v>0.730756458006641</v>
      </c>
      <c r="E10318" s="13" t="n">
        <f aca="false">Sens!$F$10318</f>
        <v>0.760792334328868</v>
      </c>
      <c r="F10318" s="13" t="n">
        <f aca="false">Sens!$F$10301/(Sens!$F$10301+tk_fac*(1-colo_sh))</f>
        <v>0.760792334328868</v>
      </c>
      <c r="G10318" s="13" t="n">
        <f aca="false">Sens!$G$10301/(Sens!$G$10301+tk_fac*(1-colo_sh))</f>
        <v>0.760792334328868</v>
      </c>
      <c r="H10318" s="13" t="n">
        <f aca="false">Sens!$H$10301/(Sens!$H$10301+tk_fac*(1-colo_sh))</f>
        <v>0.768110668862996</v>
      </c>
      <c r="I10318" s="13" t="n">
        <f aca="false">Sens!$I$10301/(Sens!$I$10301+tk_fac*(1-colo_sh))</f>
        <v>0.77499450139483</v>
      </c>
      <c r="J10318" s="13" t="n">
        <f aca="false">Sens!$J$10301/(Sens!$J$10301+tk_fac*(1-colo_sh))</f>
        <v>0.77499450139483</v>
      </c>
      <c r="K10318" s="13" t="n">
        <f aca="false">Sens!$K$10301/(Sens!$K$10301+tk_fac*(1-colo_sh))</f>
        <v>0.77499450139483</v>
      </c>
      <c r="L10318" s="13" t="n">
        <f aca="false">Sens!$L$10301/(Sens!$L$10301+tk_fac*(1-colo_sh))</f>
        <v>0.77499450139483</v>
      </c>
      <c r="M10318" s="13" t="n">
        <f aca="false">Sens!$M$10301/(Sens!$M$10301+tk_fac*(1-colo_sh))</f>
        <v>0.77499450139483</v>
      </c>
    </row>
    <row r="10319" customFormat="false" ht="17.15" hidden="false" customHeight="false" outlineLevel="0" collapsed="false">
      <c r="A10319" s="1" t="s">
        <v>628</v>
      </c>
      <c r="B10319" s="8" t="s">
        <v>86</v>
      </c>
      <c r="C10319" s="38" t="n">
        <f aca="false">Q!$D$46-cx_rt*Q!$D$16-cx_awso*Sens!$C$10314</f>
        <v>25.2781053077374</v>
      </c>
      <c r="D10319" s="38" t="n">
        <f aca="false">Q!$E$46-cx_rt*Q!$E$16-cx_awso*Sens!$D$10314</f>
        <v>69.5686316310026</v>
      </c>
      <c r="E10319" s="38" t="n">
        <f aca="false">Q!$P$46-cx_rt*Q!$P$16-cx_awso*Sens!$E$10314</f>
        <v>64.1899206485108</v>
      </c>
      <c r="F10319" s="38" t="n">
        <f aca="false">MAX(Sens!$F$10296*(Sens!$F$10301+tk_fac*(1-colo_sh))/1000,capex_g26-Q!$P$46-Sens!$F$10317)</f>
        <v>96.2481299895</v>
      </c>
      <c r="G10319" s="38" t="n">
        <f aca="false">Sens!$E$10319+Sens!$F$10319</f>
        <v>160.438050638011</v>
      </c>
      <c r="H10319" s="38" t="n">
        <f aca="false">Sens!$H$10296*(Sens!$H$10301+tk_fac*(1-colo_sh))/1000+Sens!$H$10320</f>
        <v>198.57136494475</v>
      </c>
      <c r="I10319" s="38" t="n">
        <f aca="false">Sens!$I$10296*(Sens!$I$10301+tk_fac*(1-colo_sh))/1000+Sens!$I$10320</f>
        <v>204.6464699105</v>
      </c>
      <c r="J10319" s="38" t="n">
        <f aca="false">Sens!$J$10296*(Sens!$J$10301+tk_fac*(1-colo_sh))/1000+Sens!$J$10320</f>
        <v>209.8832381105</v>
      </c>
      <c r="K10319" s="38" t="n">
        <f aca="false">Sens!$K$10296*(Sens!$K$10301+tk_fac*(1-colo_sh))/1000+Sens!$K$10320</f>
        <v>158.016341586823</v>
      </c>
      <c r="L10319" s="38" t="n">
        <f aca="false">Sens!$L$10296*(Sens!$L$10301+tk_fac*(1-colo_sh))/1000+Sens!$L$10320</f>
        <v>137.570054263147</v>
      </c>
      <c r="M10319" s="38" t="n">
        <f aca="false">Sens!$M$10296*(Sens!$M$10301+tk_fac*(1-colo_sh))/1000+Sens!$M$10320</f>
        <v>140.56485059472</v>
      </c>
      <c r="P10319" s="5" t="s">
        <v>629</v>
      </c>
      <c r="R10319" s="38" t="n">
        <f aca="false">Q!$C$46-cx_rt*Q!$C$16-cx_awso*(Q!$C$7-mw_ye23/2*rpm_open/1000)</f>
        <v>1.50429979529945</v>
      </c>
      <c r="S10319" s="38" t="n">
        <f aca="false">Sens!$C$10319</f>
        <v>25.2781053077374</v>
      </c>
      <c r="T10319" s="38" t="n">
        <f aca="false">Sens!$D$10319</f>
        <v>69.5686316310026</v>
      </c>
      <c r="U10319" s="38" t="n">
        <f aca="false">Sens!$G$10319</f>
        <v>160.438050638011</v>
      </c>
      <c r="V10319" s="38" t="n">
        <f aca="false">Sens!$H$10319</f>
        <v>198.57136494475</v>
      </c>
      <c r="W10319" s="38" t="n">
        <f aca="false">Sens!$I$10319</f>
        <v>204.6464699105</v>
      </c>
      <c r="X10319" s="38" t="n">
        <f aca="false">Sens!$J$10319</f>
        <v>209.8832381105</v>
      </c>
      <c r="Y10319" s="38" t="n">
        <f aca="false">Sens!$K$10319</f>
        <v>158.016341586823</v>
      </c>
      <c r="Z10319" s="38" t="n">
        <f aca="false">Sens!$L$10319</f>
        <v>137.570054263147</v>
      </c>
      <c r="AA10319" s="38" t="n">
        <f aca="false">Sens!$M$10319</f>
        <v>140.56485059472</v>
      </c>
    </row>
    <row r="10320" customFormat="false" ht="17.15" hidden="false" customHeight="false" outlineLevel="0" collapsed="false">
      <c r="A10320" s="0" t="s">
        <v>630</v>
      </c>
      <c r="B10320" s="0" t="s">
        <v>86</v>
      </c>
      <c r="H10320" s="38" t="n">
        <f aca="false">SUMPRODUCT(--(Sens!$R$10289:$AA$10289=2027-tk_life),Sens!$R$10296:$AA$10296)*Sens!$H$10301/1000</f>
        <v>0</v>
      </c>
      <c r="I10320" s="38" t="n">
        <f aca="false">SUMPRODUCT(--(Sens!$R$10289:$AA$10289=2028-tk_life),Sens!$R$10296:$AA$10296)*Sens!$I$10301/1000</f>
        <v>0</v>
      </c>
      <c r="J10320" s="38" t="n">
        <f aca="false">SUMPRODUCT(--(Sens!$R$10289:$AA$10289=2029-tk_life),Sens!$R$10296:$AA$10296)*Sens!$J$10301/1000</f>
        <v>5.2367682</v>
      </c>
      <c r="K10320" s="38" t="n">
        <f aca="false">SUMPRODUCT(--(Sens!$R$10289:$AA$10289=2030-tk_life),Sens!$R$10296:$AA$10296)*Sens!$K$10301/1000</f>
        <v>10.4735364</v>
      </c>
      <c r="L10320" s="38" t="n">
        <f aca="false">SUMPRODUCT(--(Sens!$R$10289:$AA$10289=2031-tk_life),Sens!$R$10296:$AA$10296)*Sens!$L$10301/1000</f>
        <v>47.1309138</v>
      </c>
      <c r="M10320" s="38" t="n">
        <f aca="false">SUMPRODUCT(--(Sens!$R$10289:$AA$10289=2032-tk_life),Sens!$R$10296:$AA$10296)*Sens!$M$10301/1000</f>
        <v>107.22937485525</v>
      </c>
    </row>
    <row r="10321" customFormat="false" ht="17.15" hidden="false" customHeight="false" outlineLevel="0" collapsed="false">
      <c r="A10321" s="0" t="s">
        <v>631</v>
      </c>
      <c r="B10321" s="0" t="s">
        <v>86</v>
      </c>
      <c r="C10321" s="38" t="n">
        <f aca="false">MIN(Sens!$C$10319,Sens!$C$10296*(tk_cx_h100+tk_fac*(1-colo_sh))/1000)</f>
        <v>11.2938642</v>
      </c>
      <c r="D10321" s="38" t="n">
        <f aca="false">MIN(Sens!$D$10319,Sens!$D$10296*(tk_cx_h100+tk_fac*(1-colo_sh))/1000)</f>
        <v>50.8223889</v>
      </c>
      <c r="E10321" s="38" t="n">
        <f aca="false">MIN(Sens!$E$10319,Sens!$E$10296*(Sens!$F$10301+tk_fac*(1-colo_sh))/1000)</f>
        <v>33.8985792</v>
      </c>
      <c r="F10321" s="38" t="n">
        <f aca="false">Sens!$F$10319</f>
        <v>96.2481299895</v>
      </c>
      <c r="G10321" s="38" t="n">
        <f aca="false">Sens!$E$10321+Sens!$F$10321</f>
        <v>130.1467091895</v>
      </c>
      <c r="H10321" s="38" t="n">
        <f aca="false">Sens!$H$10319</f>
        <v>198.57136494475</v>
      </c>
      <c r="I10321" s="38" t="n">
        <f aca="false">Sens!$I$10319</f>
        <v>204.6464699105</v>
      </c>
      <c r="J10321" s="38" t="n">
        <f aca="false">Sens!$J$10319</f>
        <v>209.8832381105</v>
      </c>
      <c r="K10321" s="38" t="n">
        <f aca="false">Sens!$K$10319</f>
        <v>158.016341586823</v>
      </c>
      <c r="L10321" s="38" t="n">
        <f aca="false">Sens!$L$10319</f>
        <v>137.570054263147</v>
      </c>
      <c r="M10321" s="38" t="n">
        <f aca="false">Sens!$M$10319</f>
        <v>140.56485059472</v>
      </c>
      <c r="P10321" s="5" t="s">
        <v>632</v>
      </c>
      <c r="R10321" s="38" t="n">
        <f aca="false">MIN(Sens!$R$10319,Sens!$R$10296*(tk_cx_h100+tk_fac*(1-colo_sh))/1000)</f>
        <v>1.50429979529945</v>
      </c>
      <c r="S10321" s="38" t="n">
        <f aca="false">Sens!$C$10321</f>
        <v>11.2938642</v>
      </c>
      <c r="T10321" s="38" t="n">
        <f aca="false">Sens!$D$10321</f>
        <v>50.8223889</v>
      </c>
      <c r="U10321" s="38" t="n">
        <f aca="false">Sens!$G$10321</f>
        <v>130.1467091895</v>
      </c>
      <c r="V10321" s="38" t="n">
        <f aca="false">Sens!$H$10321</f>
        <v>198.57136494475</v>
      </c>
      <c r="W10321" s="38" t="n">
        <f aca="false">Sens!$I$10321</f>
        <v>204.6464699105</v>
      </c>
      <c r="X10321" s="38" t="n">
        <f aca="false">Sens!$J$10321</f>
        <v>209.8832381105</v>
      </c>
      <c r="Y10321" s="38" t="n">
        <f aca="false">Sens!$K$10321</f>
        <v>158.016341586823</v>
      </c>
      <c r="Z10321" s="38" t="n">
        <f aca="false">Sens!$L$10321</f>
        <v>137.570054263147</v>
      </c>
      <c r="AA10321" s="38" t="n">
        <f aca="false">Sens!$M$10321</f>
        <v>140.56485059472</v>
      </c>
    </row>
    <row r="10322" customFormat="false" ht="17.15" hidden="false" customHeight="false" outlineLevel="0" collapsed="false">
      <c r="A10322" s="5" t="s">
        <v>633</v>
      </c>
      <c r="B10322" s="0" t="s">
        <v>86</v>
      </c>
      <c r="C10322" s="38" t="n">
        <f aca="false">Sens!$C$10319-Sens!$C$10321</f>
        <v>13.9842411077374</v>
      </c>
      <c r="D10322" s="38" t="n">
        <f aca="false">Sens!$D$10319-Sens!$D$10321</f>
        <v>18.7462427310026</v>
      </c>
      <c r="E10322" s="38" t="n">
        <f aca="false">Sens!$E$10319-Sens!$E$10321</f>
        <v>30.2913414485108</v>
      </c>
      <c r="F10322" s="38" t="n">
        <f aca="false">Sens!$F$10319-Sens!$F$10321</f>
        <v>0</v>
      </c>
      <c r="G10322" s="38" t="n">
        <f aca="false">Sens!$G$10319-Sens!$G$10321</f>
        <v>30.2913414485108</v>
      </c>
      <c r="H10322" s="38" t="n">
        <f aca="false">Sens!$H$10319-Sens!$H$10321</f>
        <v>0</v>
      </c>
      <c r="I10322" s="38" t="n">
        <f aca="false">Sens!$I$10319-Sens!$I$10321</f>
        <v>0</v>
      </c>
      <c r="J10322" s="38" t="n">
        <f aca="false">Sens!$J$10319-Sens!$J$10321</f>
        <v>0</v>
      </c>
      <c r="K10322" s="38" t="n">
        <f aca="false">Sens!$K$10319-Sens!$K$10321</f>
        <v>0</v>
      </c>
      <c r="L10322" s="38" t="n">
        <f aca="false">Sens!$L$10319-Sens!$L$10321</f>
        <v>0</v>
      </c>
      <c r="M10322" s="38" t="n">
        <f aca="false">Sens!$M$10319-Sens!$M$10321</f>
        <v>0</v>
      </c>
    </row>
    <row r="10323" customFormat="false" ht="17.15" hidden="false" customHeight="false" outlineLevel="0" collapsed="false">
      <c r="A10323" s="5" t="s">
        <v>634</v>
      </c>
      <c r="B10323" s="0" t="s">
        <v>86</v>
      </c>
      <c r="C10323" s="38" t="n">
        <f aca="false">Sens!$C$10321*Sens!$C$10318</f>
        <v>8.2530642</v>
      </c>
      <c r="D10323" s="38" t="n">
        <f aca="false">Sens!$D$10321*Sens!$D$10318</f>
        <v>37.1387889</v>
      </c>
      <c r="E10323" s="38" t="n">
        <f aca="false">Sens!$E$10321*Sens!$E$10318</f>
        <v>25.7897792</v>
      </c>
      <c r="F10323" s="38" t="n">
        <f aca="false">Sens!$F$10321*Sens!$F$10318</f>
        <v>73.2248394895</v>
      </c>
      <c r="G10323" s="38" t="n">
        <f aca="false">Sens!$E$10323+Sens!$F$10323</f>
        <v>99.0146186895</v>
      </c>
      <c r="H10323" s="38" t="n">
        <f aca="false">(Sens!$H$10321-Sens!$H$10320)*Sens!$H$10318+Sens!$H$10320</f>
        <v>152.52478394475</v>
      </c>
      <c r="I10323" s="38" t="n">
        <f aca="false">(Sens!$I$10321-Sens!$I$10320)*Sens!$I$10318+Sens!$I$10320</f>
        <v>158.5998889105</v>
      </c>
      <c r="J10323" s="38" t="n">
        <f aca="false">(Sens!$J$10321-Sens!$J$10320)*Sens!$J$10318+Sens!$J$10320</f>
        <v>163.8366571105</v>
      </c>
      <c r="K10323" s="38" t="n">
        <f aca="false">(Sens!$K$10321-Sens!$K$10320)*Sens!$K$10318+Sens!$K$10320</f>
        <v>124.818399140157</v>
      </c>
      <c r="L10323" s="38" t="n">
        <f aca="false">(Sens!$L$10321-Sens!$L$10320)*Sens!$L$10318+Sens!$L$10320</f>
        <v>117.220750369813</v>
      </c>
      <c r="M10323" s="38" t="n">
        <f aca="false">(Sens!$M$10321-Sens!$M$10320)*Sens!$M$10318+Sens!$M$10320</f>
        <v>133.06418525472</v>
      </c>
      <c r="R10323" s="38" t="n">
        <f aca="false">Sens!$R$10321*Sens!$C$10318</f>
        <v>1.09927679019314</v>
      </c>
      <c r="S10323" s="38" t="n">
        <f aca="false">Sens!$C$10323</f>
        <v>8.2530642</v>
      </c>
      <c r="T10323" s="38" t="n">
        <f aca="false">Sens!$D$10323</f>
        <v>37.1387889</v>
      </c>
      <c r="U10323" s="38" t="n">
        <f aca="false">Sens!$G$10323</f>
        <v>99.0146186895</v>
      </c>
      <c r="V10323" s="38" t="n">
        <f aca="false">Sens!$H$10323</f>
        <v>152.52478394475</v>
      </c>
      <c r="W10323" s="38" t="n">
        <f aca="false">Sens!$I$10323</f>
        <v>158.5998889105</v>
      </c>
      <c r="X10323" s="38" t="n">
        <f aca="false">Sens!$J$10323</f>
        <v>163.8366571105</v>
      </c>
      <c r="Y10323" s="38" t="n">
        <f aca="false">Sens!$K$10323</f>
        <v>124.818399140157</v>
      </c>
      <c r="Z10323" s="38" t="n">
        <f aca="false">Sens!$L$10323</f>
        <v>117.220750369813</v>
      </c>
      <c r="AA10323" s="38" t="n">
        <f aca="false">Sens!$M$10323</f>
        <v>133.06418525472</v>
      </c>
    </row>
    <row r="10324" customFormat="false" ht="15" hidden="false" customHeight="false" outlineLevel="0" collapsed="false">
      <c r="A10324" s="5" t="s">
        <v>635</v>
      </c>
      <c r="B10324" s="0" t="s">
        <v>86</v>
      </c>
      <c r="C10324" s="38" t="n">
        <f aca="false">Sens!$C$10321-Sens!$C$10323</f>
        <v>3.0408</v>
      </c>
      <c r="D10324" s="38" t="n">
        <f aca="false">Sens!$D$10321-Sens!$D$10323</f>
        <v>13.6836</v>
      </c>
      <c r="E10324" s="38" t="n">
        <f aca="false">Sens!$E$10321-Sens!$E$10323</f>
        <v>8.1088</v>
      </c>
      <c r="F10324" s="38" t="n">
        <f aca="false">Sens!$F$10321-Sens!$F$10323</f>
        <v>23.0232905</v>
      </c>
      <c r="G10324" s="38" t="n">
        <f aca="false">Sens!$G$10321-Sens!$G$10323</f>
        <v>31.1320905</v>
      </c>
      <c r="H10324" s="38" t="n">
        <f aca="false">Sens!$H$10321-Sens!$H$10323</f>
        <v>46.046581</v>
      </c>
      <c r="I10324" s="38" t="n">
        <f aca="false">Sens!$I$10321-Sens!$I$10323</f>
        <v>46.046581</v>
      </c>
      <c r="J10324" s="38" t="n">
        <f aca="false">Sens!$J$10321-Sens!$J$10323</f>
        <v>46.046581</v>
      </c>
      <c r="K10324" s="38" t="n">
        <f aca="false">Sens!$K$10321-Sens!$K$10323</f>
        <v>33.1979424466667</v>
      </c>
      <c r="L10324" s="38" t="n">
        <f aca="false">Sens!$L$10321-Sens!$L$10323</f>
        <v>20.3493038933333</v>
      </c>
      <c r="M10324" s="38" t="n">
        <f aca="false">Sens!$M$10321-Sens!$M$10323</f>
        <v>7.50066534000001</v>
      </c>
      <c r="R10324" s="38" t="n">
        <f aca="false">Sens!$R$10321-Sens!$R$10323</f>
        <v>0.405023005106309</v>
      </c>
      <c r="S10324" s="38" t="n">
        <f aca="false">Sens!$S$10321-Sens!$S$10323</f>
        <v>3.0408</v>
      </c>
      <c r="T10324" s="38" t="n">
        <f aca="false">Sens!$T$10321-Sens!$T$10323</f>
        <v>13.6836</v>
      </c>
      <c r="U10324" s="38" t="n">
        <f aca="false">Sens!$U$10321-Sens!$U$10323</f>
        <v>31.1320905</v>
      </c>
      <c r="V10324" s="38" t="n">
        <f aca="false">Sens!$V$10321-Sens!$V$10323</f>
        <v>46.046581</v>
      </c>
      <c r="W10324" s="38" t="n">
        <f aca="false">Sens!$W$10321-Sens!$W$10323</f>
        <v>46.046581</v>
      </c>
      <c r="X10324" s="38" t="n">
        <f aca="false">Sens!$X$10321-Sens!$X$10323</f>
        <v>46.046581</v>
      </c>
      <c r="Y10324" s="38" t="n">
        <f aca="false">Sens!$Y$10321-Sens!$Y$10323</f>
        <v>33.1979424466667</v>
      </c>
      <c r="Z10324" s="38" t="n">
        <f aca="false">Sens!$Z$10321-Sens!$Z$10323</f>
        <v>20.3493038933333</v>
      </c>
      <c r="AA10324" s="38" t="n">
        <f aca="false">Sens!$AA$10321-Sens!$AA$10323</f>
        <v>7.50066534000001</v>
      </c>
    </row>
    <row r="10325" customFormat="false" ht="17.15" hidden="false" customHeight="false" outlineLevel="0" collapsed="false">
      <c r="A10325" s="0" t="s">
        <v>636</v>
      </c>
      <c r="B10325" s="0" t="s">
        <v>52</v>
      </c>
      <c r="C10325" s="13" t="n">
        <f aca="false">Sens!$C$10319/Sens!$C$10441</f>
        <v>0.325505489553393</v>
      </c>
      <c r="D10325" s="13" t="n">
        <f aca="false">Sens!$D$10319/Sens!$D$10441</f>
        <v>0.54214956071542</v>
      </c>
      <c r="E10325" s="13" t="n">
        <f aca="false">Sens!$E$10319/Sens!$E$10441</f>
        <v>0.666492790452817</v>
      </c>
      <c r="F10325" s="13" t="n">
        <f aca="false">Sens!$F$10319/Sens!$F$10441</f>
        <v>0.733477910687338</v>
      </c>
      <c r="G10325" s="13" t="n">
        <f aca="false">Sens!$G$10319/Sens!$G$10441</f>
        <v>0.705124321514523</v>
      </c>
      <c r="H10325" s="13" t="n">
        <f aca="false">Sens!$H$10319/Sens!$H$10441</f>
        <v>0.726376041178204</v>
      </c>
      <c r="I10325" s="13" t="n">
        <f aca="false">Sens!$I$10319/Sens!$I$10441</f>
        <v>0.713099092661699</v>
      </c>
      <c r="J10325" s="13" t="n">
        <f aca="false">Sens!$J$10319/Sens!$J$10441</f>
        <v>0.701208348786245</v>
      </c>
      <c r="K10325" s="13" t="n">
        <f aca="false">Sens!$K$10319/Sens!$K$10441</f>
        <v>0.622515721629545</v>
      </c>
      <c r="L10325" s="13" t="n">
        <f aca="false">Sens!$L$10319/Sens!$L$10441</f>
        <v>0.572606741433048</v>
      </c>
      <c r="M10325" s="13" t="n">
        <f aca="false">Sens!$M$10319/Sens!$M$10441</f>
        <v>0.560855994905929</v>
      </c>
    </row>
    <row r="10326" customFormat="false" ht="17.15" hidden="false" customHeight="false" outlineLevel="0" collapsed="false">
      <c r="A10326" s="0" t="s">
        <v>637</v>
      </c>
      <c r="B10326" s="0" t="s">
        <v>86</v>
      </c>
      <c r="C10326" s="38" t="n">
        <f aca="false">Sens!$S$10326</f>
        <v>0.183212798365523</v>
      </c>
      <c r="D10326" s="38" t="n">
        <f aca="false">Sens!$T$10326</f>
        <v>1.55872349836552</v>
      </c>
      <c r="E10326" s="38" t="n">
        <f aca="false">Sens!$G$10326/2</f>
        <v>3.87426082418276</v>
      </c>
      <c r="F10326" s="38" t="n">
        <f aca="false">Sens!$G$10326/2</f>
        <v>3.87426082418276</v>
      </c>
      <c r="G10326" s="38" t="n">
        <f aca="false">Sens!$U$10326</f>
        <v>7.74852164836552</v>
      </c>
      <c r="H10326" s="38" t="n">
        <f aca="false">Sens!$V$10326</f>
        <v>24.2509580966155</v>
      </c>
      <c r="I10326" s="38" t="n">
        <f aca="false">Sens!$W$10326</f>
        <v>49.6717554207405</v>
      </c>
      <c r="J10326" s="38" t="n">
        <f aca="false">Sens!$X$10326</f>
        <v>76.1050702391572</v>
      </c>
      <c r="K10326" s="38" t="n">
        <f aca="false">Sens!$Y$10326</f>
        <v>103.227966959208</v>
      </c>
      <c r="L10326" s="38" t="n">
        <f aca="false">Sens!$Z$10326</f>
        <v>122.655522782568</v>
      </c>
      <c r="M10326" s="38" t="n">
        <f aca="false">Sens!$AA$10326</f>
        <v>136.00251636087</v>
      </c>
      <c r="N10326" s="38" t="n">
        <f aca="false">Sens!$D$10326/2</f>
        <v>0.779361749182762</v>
      </c>
      <c r="O10326" s="38" t="n">
        <f aca="false">Sens!$D$10326/2</f>
        <v>0.779361749182762</v>
      </c>
      <c r="R10326" s="38" t="n">
        <f aca="false">SUMPRODUCT(--(Sens!$R$10289:$AA$10289&lt;Sens!R$10289),--(Sens!$R$10289:$AA$10289&gt;=Sens!R$10289-tk_life),Sens!$R$10323:$AA$10323)/tk_life</f>
        <v>0</v>
      </c>
      <c r="S10326" s="38" t="n">
        <f aca="false">SUMPRODUCT(--(Sens!$R$10289:$AA$10289&lt;Sens!S$10289),--(Sens!$R$10289:$AA$10289&gt;=Sens!S$10289-tk_life),Sens!$R$10323:$AA$10323)/tk_life</f>
        <v>0.183212798365523</v>
      </c>
      <c r="T10326" s="38" t="n">
        <f aca="false">SUMPRODUCT(--(Sens!$R$10289:$AA$10289&lt;Sens!T$10289),--(Sens!$R$10289:$AA$10289&gt;=Sens!T$10289-tk_life),Sens!$R$10323:$AA$10323)/tk_life</f>
        <v>1.55872349836552</v>
      </c>
      <c r="U10326" s="38" t="n">
        <f aca="false">SUMPRODUCT(--(Sens!$R$10289:$AA$10289&lt;Sens!U$10289),--(Sens!$R$10289:$AA$10289&gt;=Sens!U$10289-tk_life),Sens!$R$10323:$AA$10323)/tk_life</f>
        <v>7.74852164836552</v>
      </c>
      <c r="V10326" s="38" t="n">
        <f aca="false">SUMPRODUCT(--(Sens!$R$10289:$AA$10289&lt;Sens!V$10289),--(Sens!$R$10289:$AA$10289&gt;=Sens!V$10289-tk_life),Sens!$R$10323:$AA$10323)/tk_life</f>
        <v>24.2509580966155</v>
      </c>
      <c r="W10326" s="38" t="n">
        <f aca="false">SUMPRODUCT(--(Sens!$R$10289:$AA$10289&lt;Sens!W$10289),--(Sens!$R$10289:$AA$10289&gt;=Sens!W$10289-tk_life),Sens!$R$10323:$AA$10323)/tk_life</f>
        <v>49.6717554207405</v>
      </c>
      <c r="X10326" s="38" t="n">
        <f aca="false">SUMPRODUCT(--(Sens!$R$10289:$AA$10289&lt;Sens!X$10289),--(Sens!$R$10289:$AA$10289&gt;=Sens!X$10289-tk_life),Sens!$R$10323:$AA$10323)/tk_life</f>
        <v>76.1050702391572</v>
      </c>
      <c r="Y10326" s="38" t="n">
        <f aca="false">SUMPRODUCT(--(Sens!$R$10289:$AA$10289&lt;Sens!Y$10289),--(Sens!$R$10289:$AA$10289&gt;=Sens!Y$10289-tk_life),Sens!$R$10323:$AA$10323)/tk_life</f>
        <v>103.227966959208</v>
      </c>
      <c r="Z10326" s="38" t="n">
        <f aca="false">SUMPRODUCT(--(Sens!$R$10289:$AA$10289&lt;Sens!Z$10289),--(Sens!$R$10289:$AA$10289&gt;=Sens!Z$10289-tk_life),Sens!$R$10323:$AA$10323)/tk_life</f>
        <v>122.655522782568</v>
      </c>
      <c r="AA10326" s="38" t="n">
        <f aca="false">SUMPRODUCT(--(Sens!$R$10289:$AA$10289&lt;Sens!AA$10289),--(Sens!$R$10289:$AA$10289&gt;=Sens!AA$10289-tk_life),Sens!$R$10323:$AA$10323)/tk_life</f>
        <v>136.00251636087</v>
      </c>
    </row>
    <row r="10327" customFormat="false" ht="17.15" hidden="false" customHeight="false" outlineLevel="0" collapsed="false">
      <c r="A10327" s="0" t="s">
        <v>638</v>
      </c>
      <c r="B10327" s="0" t="s">
        <v>86</v>
      </c>
      <c r="C10327" s="38" t="n">
        <f aca="false">Sens!$S$10327</f>
        <v>0.0202511502553155</v>
      </c>
      <c r="D10327" s="38" t="n">
        <f aca="false">Sens!$T$10327</f>
        <v>0.172291150255315</v>
      </c>
      <c r="E10327" s="38" t="n">
        <f aca="false">Sens!$G$10327/2</f>
        <v>0.428235575127658</v>
      </c>
      <c r="F10327" s="38" t="n">
        <f aca="false">Sens!$G$10327/2</f>
        <v>0.428235575127658</v>
      </c>
      <c r="G10327" s="38" t="n">
        <f aca="false">Sens!$U$10327</f>
        <v>0.856471150255315</v>
      </c>
      <c r="H10327" s="38" t="n">
        <f aca="false">Sens!$V$10327</f>
        <v>2.41307567525532</v>
      </c>
      <c r="I10327" s="38" t="n">
        <f aca="false">Sens!$W$10327</f>
        <v>4.71540472525532</v>
      </c>
      <c r="J10327" s="38" t="n">
        <f aca="false">Sens!$X$10327</f>
        <v>7.01773377525532</v>
      </c>
      <c r="K10327" s="38" t="n">
        <f aca="false">Sens!$Y$10327</f>
        <v>9.32006282525532</v>
      </c>
      <c r="L10327" s="38" t="n">
        <f aca="false">Sens!$Z$10327</f>
        <v>10.9799599475887</v>
      </c>
      <c r="M10327" s="38" t="n">
        <f aca="false">Sens!$AA$10327</f>
        <v>11.9974251422553</v>
      </c>
      <c r="N10327" s="38" t="n">
        <f aca="false">Sens!$D$10327/2</f>
        <v>0.0861455751276577</v>
      </c>
      <c r="O10327" s="38" t="n">
        <f aca="false">Sens!$D$10327/2</f>
        <v>0.0861455751276577</v>
      </c>
      <c r="R10327" s="38" t="n">
        <f aca="false">SUMPRODUCT(--(Sens!$R$10289:$AA$10289&lt;Sens!R$10289),Sens!$R$10324:$AA$10324)/fac_life</f>
        <v>0</v>
      </c>
      <c r="S10327" s="38" t="n">
        <f aca="false">SUMPRODUCT(--(Sens!$R$10289:$AA$10289&lt;Sens!S$10289),Sens!$R$10324:$AA$10324)/fac_life</f>
        <v>0.0202511502553155</v>
      </c>
      <c r="T10327" s="38" t="n">
        <f aca="false">SUMPRODUCT(--(Sens!$R$10289:$AA$10289&lt;Sens!T$10289),Sens!$R$10324:$AA$10324)/fac_life</f>
        <v>0.172291150255315</v>
      </c>
      <c r="U10327" s="38" t="n">
        <f aca="false">SUMPRODUCT(--(Sens!$R$10289:$AA$10289&lt;Sens!U$10289),Sens!$R$10324:$AA$10324)/fac_life</f>
        <v>0.856471150255315</v>
      </c>
      <c r="V10327" s="38" t="n">
        <f aca="false">SUMPRODUCT(--(Sens!$R$10289:$AA$10289&lt;Sens!V$10289),Sens!$R$10324:$AA$10324)/fac_life</f>
        <v>2.41307567525532</v>
      </c>
      <c r="W10327" s="38" t="n">
        <f aca="false">SUMPRODUCT(--(Sens!$R$10289:$AA$10289&lt;Sens!W$10289),Sens!$R$10324:$AA$10324)/fac_life</f>
        <v>4.71540472525532</v>
      </c>
      <c r="X10327" s="38" t="n">
        <f aca="false">SUMPRODUCT(--(Sens!$R$10289:$AA$10289&lt;Sens!X$10289),Sens!$R$10324:$AA$10324)/fac_life</f>
        <v>7.01773377525532</v>
      </c>
      <c r="Y10327" s="38" t="n">
        <f aca="false">SUMPRODUCT(--(Sens!$R$10289:$AA$10289&lt;Sens!Y$10289),Sens!$R$10324:$AA$10324)/fac_life</f>
        <v>9.32006282525532</v>
      </c>
      <c r="Z10327" s="38" t="n">
        <f aca="false">SUMPRODUCT(--(Sens!$R$10289:$AA$10289&lt;Sens!Z$10289),Sens!$R$10324:$AA$10324)/fac_life</f>
        <v>10.9799599475887</v>
      </c>
      <c r="AA10327" s="38" t="n">
        <f aca="false">SUMPRODUCT(--(Sens!$R$10289:$AA$10289&lt;Sens!AA$10289),Sens!$R$10324:$AA$10324)/fac_life</f>
        <v>11.9974251422553</v>
      </c>
    </row>
    <row r="10328" customFormat="false" ht="17.15" hidden="false" customHeight="false" outlineLevel="0" collapsed="false">
      <c r="A10328" s="1" t="s">
        <v>639</v>
      </c>
      <c r="B10328" s="8" t="s">
        <v>86</v>
      </c>
      <c r="C10328" s="38" t="n">
        <f aca="false">Sens!$C$10326+Sens!$C$10327</f>
        <v>0.203463948620839</v>
      </c>
      <c r="D10328" s="38" t="n">
        <f aca="false">Sens!$D$10326+Sens!$D$10327</f>
        <v>1.73101464862084</v>
      </c>
      <c r="E10328" s="38" t="n">
        <f aca="false">Sens!$E$10326+Sens!$E$10327</f>
        <v>4.30249639931042</v>
      </c>
      <c r="F10328" s="38" t="n">
        <f aca="false">Sens!$F$10326+Sens!$F$10327</f>
        <v>4.30249639931042</v>
      </c>
      <c r="G10328" s="38" t="n">
        <f aca="false">Sens!$G$10326+Sens!$G$10327</f>
        <v>8.60499279862084</v>
      </c>
      <c r="H10328" s="38" t="n">
        <f aca="false">Sens!$H$10326+Sens!$H$10327</f>
        <v>26.6640337718708</v>
      </c>
      <c r="I10328" s="38" t="n">
        <f aca="false">Sens!$I$10326+Sens!$I$10327</f>
        <v>54.3871601459959</v>
      </c>
      <c r="J10328" s="38" t="n">
        <f aca="false">Sens!$J$10326+Sens!$J$10327</f>
        <v>83.1228040144125</v>
      </c>
      <c r="K10328" s="38" t="n">
        <f aca="false">Sens!$K$10326+Sens!$K$10327</f>
        <v>112.548029784464</v>
      </c>
      <c r="L10328" s="38" t="n">
        <f aca="false">Sens!$L$10326+Sens!$L$10327</f>
        <v>133.635482730156</v>
      </c>
      <c r="M10328" s="38" t="n">
        <f aca="false">Sens!$M$10326+Sens!$M$10327</f>
        <v>147.999941503125</v>
      </c>
      <c r="N10328" s="38" t="n">
        <f aca="false">Sens!$N$10326+Sens!$N$10327</f>
        <v>0.865507324310419</v>
      </c>
      <c r="O10328" s="38" t="n">
        <f aca="false">Sens!$O$10326+Sens!$O$10327</f>
        <v>0.865507324310419</v>
      </c>
      <c r="R10328" s="38" t="n">
        <f aca="false">Sens!$R$10326+Sens!$R$10327</f>
        <v>0</v>
      </c>
      <c r="S10328" s="38" t="n">
        <f aca="false">Sens!$S$10326+Sens!$S$10327</f>
        <v>0.203463948620839</v>
      </c>
      <c r="T10328" s="38" t="n">
        <f aca="false">Sens!$T$10326+Sens!$T$10327</f>
        <v>1.73101464862084</v>
      </c>
      <c r="U10328" s="38" t="n">
        <f aca="false">Sens!$U$10326+Sens!$U$10327</f>
        <v>8.60499279862084</v>
      </c>
      <c r="V10328" s="38" t="n">
        <f aca="false">Sens!$V$10326+Sens!$V$10327</f>
        <v>26.6640337718708</v>
      </c>
      <c r="W10328" s="38" t="n">
        <f aca="false">Sens!$W$10326+Sens!$W$10327</f>
        <v>54.3871601459959</v>
      </c>
      <c r="X10328" s="38" t="n">
        <f aca="false">Sens!$X$10326+Sens!$X$10327</f>
        <v>83.1228040144125</v>
      </c>
      <c r="Y10328" s="38" t="n">
        <f aca="false">Sens!$Y$10326+Sens!$Y$10327</f>
        <v>112.548029784464</v>
      </c>
      <c r="Z10328" s="38" t="n">
        <f aca="false">Sens!$Z$10326+Sens!$Z$10327</f>
        <v>133.635482730156</v>
      </c>
      <c r="AA10328" s="38" t="n">
        <f aca="false">Sens!$AA$10326+Sens!$AA$10327</f>
        <v>147.999941503125</v>
      </c>
    </row>
    <row r="10329" customFormat="false" ht="17.15" hidden="false" customHeight="false" outlineLevel="0" collapsed="false">
      <c r="A10329" s="0" t="s">
        <v>640</v>
      </c>
      <c r="B10329" s="0" t="s">
        <v>86</v>
      </c>
      <c r="C10329" s="38" t="n">
        <f aca="false">Sens!$S$10329</f>
        <v>12.5947000466786</v>
      </c>
      <c r="D10329" s="38" t="n">
        <f aca="false">Sens!$T$10329</f>
        <v>61.6860742980578</v>
      </c>
      <c r="G10329" s="38" t="n">
        <f aca="false">Sens!$U$10329</f>
        <v>183.227790688937</v>
      </c>
      <c r="H10329" s="38" t="n">
        <f aca="false">Sens!$V$10329</f>
        <v>355.135121861816</v>
      </c>
      <c r="I10329" s="38" t="n">
        <f aca="false">Sens!$W$10329</f>
        <v>505.39443162632</v>
      </c>
      <c r="J10329" s="38" t="n">
        <f aca="false">Sens!$X$10329</f>
        <v>632.154865722408</v>
      </c>
      <c r="K10329" s="38" t="n">
        <f aca="false">Sens!$Y$10329</f>
        <v>677.623177524768</v>
      </c>
      <c r="L10329" s="38" t="n">
        <f aca="false">Sens!$Z$10329</f>
        <v>681.557749057758</v>
      </c>
      <c r="M10329" s="38" t="n">
        <f aca="false">Sens!$AA$10329</f>
        <v>674.122658149352</v>
      </c>
      <c r="R10329" s="38" t="n">
        <f aca="false">SUM(Sens!$R$10321:$R$10321)-SUM(Sens!$R$10328:$R$10328)</f>
        <v>1.50429979529945</v>
      </c>
      <c r="S10329" s="38" t="n">
        <f aca="false">SUM(Sens!$R$10321:$S$10321)-SUM(Sens!$R$10328:$S$10328)</f>
        <v>12.5947000466786</v>
      </c>
      <c r="T10329" s="38" t="n">
        <f aca="false">SUM(Sens!$R$10321:$T$10321)-SUM(Sens!$R$10328:$T$10328)</f>
        <v>61.6860742980578</v>
      </c>
      <c r="U10329" s="38" t="n">
        <f aca="false">SUM(Sens!$R$10321:$U$10321)-SUM(Sens!$R$10328:$U$10328)</f>
        <v>183.227790688937</v>
      </c>
      <c r="V10329" s="38" t="n">
        <f aca="false">SUM(Sens!$R$10321:$V$10321)-SUM(Sens!$R$10328:$V$10328)</f>
        <v>355.135121861816</v>
      </c>
      <c r="W10329" s="38" t="n">
        <f aca="false">SUM(Sens!$R$10321:$W$10321)-SUM(Sens!$R$10328:$W$10328)</f>
        <v>505.39443162632</v>
      </c>
      <c r="X10329" s="38" t="n">
        <f aca="false">SUM(Sens!$R$10321:$X$10321)-SUM(Sens!$R$10328:$X$10328)</f>
        <v>632.154865722408</v>
      </c>
      <c r="Y10329" s="38" t="n">
        <f aca="false">SUM(Sens!$R$10321:$Y$10321)-SUM(Sens!$R$10328:$Y$10328)</f>
        <v>677.623177524768</v>
      </c>
      <c r="Z10329" s="38" t="n">
        <f aca="false">SUM(Sens!$R$10321:$Z$10321)-SUM(Sens!$R$10328:$Z$10328)</f>
        <v>681.557749057758</v>
      </c>
      <c r="AA10329" s="38" t="n">
        <f aca="false">SUM(Sens!$R$10321:$AA$10321)-SUM(Sens!$R$10328:$AA$10328)</f>
        <v>674.122658149352</v>
      </c>
    </row>
    <row r="10330" customFormat="false" ht="17.15" hidden="false" customHeight="false" outlineLevel="0" collapsed="false">
      <c r="A10330" s="1" t="s">
        <v>641</v>
      </c>
    </row>
    <row r="10331" customFormat="false" ht="17.15" hidden="false" customHeight="false" outlineLevel="0" collapsed="false">
      <c r="A10331" s="0" t="s">
        <v>642</v>
      </c>
      <c r="B10331" s="0" t="s">
        <v>86</v>
      </c>
      <c r="C10331" s="38" t="n">
        <f aca="false">Sens!$C$10310-ext_sh*Sens!$C$10312</f>
        <v>1.80694998843362</v>
      </c>
      <c r="D10331" s="38" t="n">
        <f aca="false">Sens!$D$10310-ext_sh*Sens!$D$10312</f>
        <v>6.77606245662607</v>
      </c>
      <c r="E10331" s="38" t="n">
        <f aca="false">Sens!$E$10310-ext_sh*Sens!$E$10312</f>
        <v>6.62548329092326</v>
      </c>
      <c r="F10331" s="38" t="n">
        <f aca="false">Sens!$F$10310-ext_sh*Sens!$F$10312</f>
        <v>11.7200577158706</v>
      </c>
      <c r="G10331" s="38" t="n">
        <f aca="false">Sens!$G$10310-ext_sh*Sens!$G$10312</f>
        <v>18.3455410067939</v>
      </c>
      <c r="H10331" s="38" t="n">
        <f aca="false">Sens!$H$10310-ext_sh*Sens!$H$10312</f>
        <v>47.5171727060453</v>
      </c>
      <c r="I10331" s="38" t="n">
        <f aca="false">Sens!$I$10310-ext_sh*Sens!$I$10312</f>
        <v>80.5539692643667</v>
      </c>
      <c r="J10331" s="38" t="n">
        <f aca="false">Sens!$J$10310-ext_sh*Sens!$J$10312</f>
        <v>113.759316834883</v>
      </c>
      <c r="K10331" s="38" t="n">
        <f aca="false">Sens!$K$10310-ext_sh*Sens!$K$10312</f>
        <v>142.313600225088</v>
      </c>
      <c r="L10331" s="38" t="n">
        <f aca="false">Sens!$L$10310-ext_sh*Sens!$L$10312</f>
        <v>161.610137806934</v>
      </c>
      <c r="M10331" s="38" t="n">
        <f aca="false">Sens!$M$10310-ext_sh*Sens!$M$10312</f>
        <v>171.622526917459</v>
      </c>
      <c r="N10331" s="38" t="n">
        <f aca="false">Sens!$N$10310-ext_sh*Sens!$N$10312</f>
        <v>2.37162185981912</v>
      </c>
      <c r="O10331" s="38" t="n">
        <f aca="false">Sens!$O$10310-ext_sh*Sens!$O$10312</f>
        <v>4.40444059680694</v>
      </c>
    </row>
    <row r="10332" customFormat="false" ht="17.15" hidden="false" customHeight="false" outlineLevel="0" collapsed="false">
      <c r="A10332" s="1" t="s">
        <v>643</v>
      </c>
      <c r="B10332" s="8" t="s">
        <v>86</v>
      </c>
      <c r="C10332" s="38" t="n">
        <f aca="false">Sens!$C$10331-ext_sh*Sens!$C$10328</f>
        <v>1.64417882953695</v>
      </c>
      <c r="D10332" s="38" t="n">
        <f aca="false">Sens!$D$10331-ext_sh*Sens!$D$10328</f>
        <v>5.39125073772939</v>
      </c>
      <c r="E10332" s="38" t="n">
        <f aca="false">Sens!$E$10331-ext_sh*Sens!$E$10328</f>
        <v>3.18348617147493</v>
      </c>
      <c r="F10332" s="38" t="n">
        <f aca="false">Sens!$F$10331-ext_sh*Sens!$F$10328</f>
        <v>8.27806059642226</v>
      </c>
      <c r="G10332" s="38" t="n">
        <f aca="false">Sens!$G$10331-ext_sh*Sens!$G$10328</f>
        <v>11.4615467678972</v>
      </c>
      <c r="H10332" s="38" t="n">
        <f aca="false">Sens!$H$10331-ext_sh*Sens!$H$10328</f>
        <v>26.1859456885487</v>
      </c>
      <c r="I10332" s="38" t="n">
        <f aca="false">Sens!$I$10331-ext_sh*Sens!$I$10328</f>
        <v>37.04424114757</v>
      </c>
      <c r="J10332" s="38" t="n">
        <f aca="false">Sens!$J$10331-ext_sh*Sens!$J$10328</f>
        <v>47.2610736233534</v>
      </c>
      <c r="K10332" s="38" t="n">
        <f aca="false">Sens!$K$10331-ext_sh*Sens!$K$10328</f>
        <v>52.2751763975167</v>
      </c>
      <c r="L10332" s="38" t="n">
        <f aca="false">Sens!$L$10331-ext_sh*Sens!$L$10328</f>
        <v>54.701751622809</v>
      </c>
      <c r="M10332" s="38" t="n">
        <f aca="false">Sens!$M$10331-ext_sh*Sens!$M$10328</f>
        <v>53.2225737149584</v>
      </c>
      <c r="N10332" s="38" t="n">
        <f aca="false">Sens!$N$10331-ext_sh*Sens!$N$10328</f>
        <v>1.67921600037079</v>
      </c>
      <c r="O10332" s="38" t="n">
        <f aca="false">Sens!$O$10331-ext_sh*Sens!$O$10328</f>
        <v>3.71203473735861</v>
      </c>
    </row>
    <row r="10333" customFormat="false" ht="17.15" hidden="false" customHeight="false" outlineLevel="0" collapsed="false">
      <c r="A10333" s="0" t="s">
        <v>644</v>
      </c>
      <c r="B10333" s="0" t="s">
        <v>52</v>
      </c>
      <c r="C10333" s="13" t="n">
        <f aca="false">Sens!$C$10332/Sens!$C$10310</f>
        <v>0.708390794789371</v>
      </c>
      <c r="D10333" s="13" t="n">
        <f aca="false">Sens!$D$10332/Sens!$D$10310</f>
        <v>0.619415573115729</v>
      </c>
      <c r="E10333" s="13" t="n">
        <f aca="false">Sens!$E$10332/Sens!$E$10310</f>
        <v>0.374072166056273</v>
      </c>
      <c r="F10333" s="13" t="n">
        <f aca="false">Sens!$F$10332/Sens!$F$10310</f>
        <v>0.553219320710057</v>
      </c>
      <c r="G10333" s="13" t="n">
        <f aca="false">Sens!$G$10332/Sens!$G$10310</f>
        <v>0.488270041527512</v>
      </c>
      <c r="H10333" s="13" t="n">
        <f aca="false">Sens!$H$10332/Sens!$H$10310</f>
        <v>0.435229086816882</v>
      </c>
      <c r="I10333" s="13" t="n">
        <f aca="false">Sens!$I$10332/Sens!$I$10310</f>
        <v>0.364954592421095</v>
      </c>
      <c r="J10333" s="13" t="n">
        <f aca="false">Sens!$J$10332/Sens!$J$10310</f>
        <v>0.330438308582232</v>
      </c>
      <c r="K10333" s="13" t="n">
        <f aca="false">Sens!$K$10332/Sens!$K$10310</f>
        <v>0.292474552619137</v>
      </c>
      <c r="L10333" s="13" t="n">
        <f aca="false">Sens!$L$10332/Sens!$L$10310</f>
        <v>0.269645821564974</v>
      </c>
      <c r="M10333" s="13" t="n">
        <f aca="false">Sens!$M$10332/Sens!$M$10310</f>
        <v>0.247098773220278</v>
      </c>
      <c r="N10333" s="13" t="n">
        <f aca="false">Sens!$N$10332/Sens!$N$10310</f>
        <v>0.551227795793364</v>
      </c>
      <c r="O10333" s="13" t="n">
        <f aca="false">Sens!$O$10332/Sens!$O$10310</f>
        <v>0.656132068597002</v>
      </c>
    </row>
    <row r="10334" customFormat="false" ht="17.15" hidden="false" customHeight="false" outlineLevel="0" collapsed="false">
      <c r="A10334" s="5" t="s">
        <v>645</v>
      </c>
      <c r="B10334" s="0" t="s">
        <v>86</v>
      </c>
      <c r="C10334" s="39" t="n">
        <v>0</v>
      </c>
      <c r="D10334" s="39" t="n">
        <v>0</v>
      </c>
      <c r="E10334" s="39" t="n">
        <v>0</v>
      </c>
      <c r="F10334" s="38" t="n">
        <f aca="false">IF(internal_ai_reading=2,1,0)*(1-ext_sh)/ext_sh*(mw_open*he_open+Sens!$F$10308*Sens!$F$10305)*Sens!$F$10294/1000</f>
        <v>3.77122048175818</v>
      </c>
      <c r="G10334" s="38" t="n">
        <f aca="false">Sens!$E$10334+Sens!$F$10334</f>
        <v>3.77122048175818</v>
      </c>
      <c r="H10334" s="38" t="n">
        <f aca="false">IF(internal_ai_reading=2,1,0)*(1-ext_sh)/ext_sh*(mw_open*he_open+Sens!$H$10308*Sens!$H$10305)*Sens!$H$10294/1000</f>
        <v>15.1635543609893</v>
      </c>
      <c r="I10334" s="38" t="n">
        <f aca="false">IF(internal_ai_reading=2,1,0)*(1-ext_sh)/ext_sh*(mw_open*he_open+Sens!$I$10308*Sens!$I$10305)*Sens!$I$10294/1000</f>
        <v>25.5818843619889</v>
      </c>
      <c r="J10334" s="38" t="n">
        <f aca="false">IF(internal_ai_reading=2,1,0)*(1-ext_sh)/ext_sh*(mw_open*he_open+Sens!$J$10308*Sens!$J$10305)*Sens!$J$10294/1000</f>
        <v>36.0465624179122</v>
      </c>
      <c r="K10334" s="38" t="n">
        <f aca="false">IF(internal_ai_reading=2,1,0)*(1-ext_sh)/ext_sh*(mw_open*he_open+Sens!$K$10308*Sens!$K$10305)*Sens!$K$10294/1000</f>
        <v>45.0461919819152</v>
      </c>
      <c r="L10334" s="38" t="n">
        <f aca="false">IF(internal_ai_reading=2,1,0)*(1-ext_sh)/ext_sh*(mw_open*he_open+Sens!$L$10308*Sens!$L$10305)*Sens!$L$10294/1000</f>
        <v>51.1279288493339</v>
      </c>
      <c r="M10334" s="38" t="n">
        <f aca="false">IF(internal_ai_reading=2,1,0)*(1-ext_sh)/ext_sh*(mw_open*he_open+Sens!$M$10308*Sens!$M$10305)*Sens!$M$10294/1000</f>
        <v>54.2845128319481</v>
      </c>
      <c r="N10334" s="39" t="n">
        <v>0</v>
      </c>
      <c r="O10334" s="39" t="n">
        <v>0</v>
      </c>
      <c r="P10334" s="8" t="s">
        <v>646</v>
      </c>
    </row>
    <row r="10335" customFormat="false" ht="17.15" hidden="false" customHeight="false" outlineLevel="0" collapsed="false">
      <c r="A10335" s="5" t="s">
        <v>647</v>
      </c>
      <c r="B10335" s="0" t="s">
        <v>86</v>
      </c>
      <c r="C10335" s="38" t="n">
        <f aca="false">(1-ext_sh)*(Sens!$C$10312+Sens!$C$10328)</f>
        <v>0.169206631859174</v>
      </c>
      <c r="D10335" s="38" t="n">
        <f aca="false">(1-ext_sh)*(Sens!$D$10312+Sens!$D$10328)</f>
        <v>0.828129837730442</v>
      </c>
      <c r="E10335" s="38" t="n">
        <f aca="false">(1-ext_sh)*(Sens!$E$10312+Sens!$E$10328)</f>
        <v>1.33171670102377</v>
      </c>
      <c r="F10335" s="38" t="n">
        <f aca="false">(1-ext_sh)*(Sens!$F$10312+Sens!$F$10328)</f>
        <v>1.67134326207455</v>
      </c>
      <c r="G10335" s="38" t="n">
        <f aca="false">(1-ext_sh)*(Sens!$G$10312+Sens!$G$10328)</f>
        <v>3.00305996309832</v>
      </c>
      <c r="H10335" s="38" t="n">
        <f aca="false">(1-ext_sh)*(Sens!$H$10312+Sens!$H$10328)</f>
        <v>8.49498626530648</v>
      </c>
      <c r="I10335" s="38" t="n">
        <f aca="false">(1-ext_sh)*(Sens!$I$10312+Sens!$I$10328)</f>
        <v>16.1148644972155</v>
      </c>
      <c r="J10335" s="38" t="n">
        <f aca="false">(1-ext_sh)*(Sens!$J$10312+Sens!$J$10328)</f>
        <v>23.9410833819812</v>
      </c>
      <c r="K10335" s="38" t="n">
        <f aca="false">(1-ext_sh)*(Sens!$K$10312+Sens!$K$10328)</f>
        <v>31.6147312957258</v>
      </c>
      <c r="L10335" s="38" t="n">
        <f aca="false">(1-ext_sh)*(Sens!$L$10312+Sens!$L$10328)</f>
        <v>37.0408603344581</v>
      </c>
      <c r="M10335" s="38" t="n">
        <f aca="false">(1-ext_sh)*(Sens!$M$10312+Sens!$M$10328)</f>
        <v>40.5418251577522</v>
      </c>
      <c r="N10335" s="38" t="n">
        <f aca="false">(1-ext_sh)*(Sens!$N$10312+Sens!$N$10328)</f>
        <v>0.34177588266428</v>
      </c>
      <c r="O10335" s="38" t="n">
        <f aca="false">(1-ext_sh)*(Sens!$O$10312+Sens!$O$10328)</f>
        <v>0.486353955066162</v>
      </c>
    </row>
    <row r="10336" customFormat="false" ht="17.15" hidden="false" customHeight="false" outlineLevel="0" collapsed="false">
      <c r="A10336" s="0" t="s">
        <v>648</v>
      </c>
      <c r="B10336" s="0" t="s">
        <v>86</v>
      </c>
      <c r="C10336" s="38" t="n">
        <f aca="false">Q!$D$24</f>
        <v>39.834</v>
      </c>
      <c r="D10336" s="38" t="n">
        <f aca="false">Q!$E$24</f>
        <v>45.606</v>
      </c>
      <c r="E10336" s="38" t="n">
        <f aca="false">Q!$P$24</f>
        <v>30.782</v>
      </c>
      <c r="N10336" s="38" t="n">
        <f aca="false">Q!$N$24</f>
        <v>21.707</v>
      </c>
      <c r="O10336" s="38" t="n">
        <f aca="false">Q!$O$24</f>
        <v>23.899</v>
      </c>
    </row>
    <row r="10337" customFormat="false" ht="17.15" hidden="false" customHeight="false" outlineLevel="0" collapsed="false">
      <c r="A10337" s="0" t="s">
        <v>649</v>
      </c>
      <c r="B10337" s="0" t="s">
        <v>86</v>
      </c>
      <c r="C10337" s="38" t="n">
        <f aca="false">Sens!$C$10336-Sens!$C$10332</f>
        <v>38.1898211704631</v>
      </c>
      <c r="D10337" s="38" t="n">
        <f aca="false">Sens!$D$10336-Sens!$D$10332</f>
        <v>40.2147492622706</v>
      </c>
      <c r="E10337" s="38" t="n">
        <f aca="false">Sens!$E$10336-Sens!$E$10332</f>
        <v>27.5985138285251</v>
      </c>
      <c r="F10337" s="38" t="n">
        <f aca="false">Sens!$F$10314*Sens!$F$10338</f>
        <v>25.5484769754606</v>
      </c>
      <c r="G10337" s="38" t="n">
        <f aca="false">Sens!$E$10337+Sens!$F$10337</f>
        <v>53.1469908039857</v>
      </c>
      <c r="H10337" s="38" t="n">
        <f aca="false">Sens!$H$10314*Sens!$H$10338</f>
        <v>57.3189525076539</v>
      </c>
      <c r="I10337" s="38" t="n">
        <f aca="false">Sens!$I$10314*Sens!$I$10338</f>
        <v>63.6385627021087</v>
      </c>
      <c r="J10337" s="38" t="n">
        <f aca="false">Sens!$J$10314*Sens!$J$10338</f>
        <v>69.6922896066105</v>
      </c>
      <c r="K10337" s="38" t="n">
        <f aca="false">Sens!$K$10314*Sens!$K$10338</f>
        <v>75.2676727751394</v>
      </c>
      <c r="L10337" s="38" t="n">
        <f aca="false">Sens!$L$10314*Sens!$L$10338</f>
        <v>81.2890865971505</v>
      </c>
      <c r="M10337" s="38" t="n">
        <f aca="false">Sens!$M$10314*Sens!$M$10338</f>
        <v>87.7922135249226</v>
      </c>
      <c r="N10337" s="38" t="n">
        <f aca="false">Sens!$N$10336-Sens!$N$10332</f>
        <v>20.0277839996292</v>
      </c>
      <c r="O10337" s="38" t="n">
        <f aca="false">Sens!$O$10336-Sens!$O$10332</f>
        <v>20.1869652626414</v>
      </c>
      <c r="P10337" s="5" t="s">
        <v>650</v>
      </c>
    </row>
    <row r="10338" customFormat="false" ht="17.15" hidden="false" customHeight="false" outlineLevel="0" collapsed="false">
      <c r="A10338" s="0" t="s">
        <v>651</v>
      </c>
      <c r="B10338" s="0" t="s">
        <v>52</v>
      </c>
      <c r="C10338" s="13" t="n">
        <f aca="false">Sens!$C$10337/Sens!$C$10314</f>
        <v>0.362900395443635</v>
      </c>
      <c r="D10338" s="13" t="n">
        <f aca="false">Sens!$D$10337/Sens!$D$10314</f>
        <v>0.335063632425483</v>
      </c>
      <c r="E10338" s="13" t="n">
        <f aca="false">Sens!$E$10337/Sens!$E$10314</f>
        <v>0.387028992698038</v>
      </c>
      <c r="F10338" s="13" t="n">
        <f aca="false">(Sens!$O$10337+Sens!$E$10337)/(Sens!$O$10314+Sens!$E$10314)</f>
        <v>0.355980580118587</v>
      </c>
      <c r="G10338" s="13" t="n">
        <f aca="false">Sens!$G$10337/Sens!$G$10314</f>
        <v>0.371454804780916</v>
      </c>
      <c r="H10338" s="13" t="n">
        <f aca="false">Sens!$F$10338</f>
        <v>0.355980580118587</v>
      </c>
      <c r="I10338" s="13" t="n">
        <f aca="false">Sens!$F$10338</f>
        <v>0.355980580118587</v>
      </c>
      <c r="J10338" s="13" t="n">
        <f aca="false">Sens!$F$10338</f>
        <v>0.355980580118587</v>
      </c>
      <c r="K10338" s="13" t="n">
        <f aca="false">Sens!$F$10338</f>
        <v>0.355980580118587</v>
      </c>
      <c r="L10338" s="13" t="n">
        <f aca="false">Sens!$F$10338</f>
        <v>0.355980580118587</v>
      </c>
      <c r="M10338" s="13" t="n">
        <f aca="false">Sens!$F$10338</f>
        <v>0.355980580118587</v>
      </c>
      <c r="N10338" s="13" t="n">
        <f aca="false">Sens!$N$10337/Sens!$N$10314</f>
        <v>0.35078810535806</v>
      </c>
      <c r="O10338" s="13" t="n">
        <f aca="false">Sens!$O$10337/Sens!$O$10314</f>
        <v>0.320796939361619</v>
      </c>
      <c r="P10338" s="8" t="s">
        <v>652</v>
      </c>
    </row>
    <row r="10339" customFormat="false" ht="17.15" hidden="false" customHeight="false" outlineLevel="0" collapsed="false">
      <c r="A10339" s="0" t="s">
        <v>653</v>
      </c>
      <c r="B10339" s="0" t="s">
        <v>52</v>
      </c>
      <c r="D10339" s="13" t="n">
        <f aca="false">(Q!$E$31-ext_sh*Sens!$D$10328)/Sens!$D$10314</f>
        <v>0.167180325480118</v>
      </c>
    </row>
    <row r="10340" customFormat="false" ht="17.15" hidden="false" customHeight="false" outlineLevel="0" collapsed="false">
      <c r="A10340" s="0" t="s">
        <v>654</v>
      </c>
      <c r="B10340" s="0" t="s">
        <v>86</v>
      </c>
      <c r="C10340" s="38" t="n">
        <f aca="false">Q!$D$31</f>
        <v>13.32</v>
      </c>
      <c r="D10340" s="38" t="n">
        <f aca="false">Q!$E$31</f>
        <v>21.45</v>
      </c>
      <c r="E10340" s="38" t="n">
        <f aca="false">Q!$P$31</f>
        <v>15.353</v>
      </c>
      <c r="F10340" s="38" t="n">
        <f aca="false">ext_sh*Sens!$F$10328+Sens!$D$10339*Sens!$F$10314</f>
        <v>15.4404120185306</v>
      </c>
      <c r="G10340" s="38" t="n">
        <f aca="false">Sens!$E$10340+Sens!$F$10340</f>
        <v>30.7934120185306</v>
      </c>
      <c r="H10340" s="38" t="n">
        <f aca="false">ext_sh*Sens!$H$10328+Sens!$D$10339*Sens!$H$10314</f>
        <v>48.250114371455</v>
      </c>
      <c r="I10340" s="38" t="n">
        <f aca="false">ext_sh*Sens!$I$10328+Sens!$D$10339*Sens!$I$10314</f>
        <v>73.3965146995963</v>
      </c>
      <c r="J10340" s="38" t="n">
        <f aca="false">ext_sh*Sens!$J$10328+Sens!$D$10339*Sens!$J$10314</f>
        <v>99.22806138309</v>
      </c>
      <c r="K10340" s="38" t="n">
        <f aca="false">ext_sh*Sens!$K$10328+Sens!$D$10339*Sens!$K$10314</f>
        <v>125.386627452856</v>
      </c>
      <c r="L10340" s="38" t="n">
        <f aca="false">ext_sh*Sens!$L$10328+Sens!$D$10339*Sens!$L$10314</f>
        <v>145.084446099433</v>
      </c>
      <c r="M10340" s="38" t="n">
        <f aca="false">ext_sh*Sens!$M$10328+Sens!$D$10339*Sens!$M$10314</f>
        <v>159.630097911032</v>
      </c>
      <c r="N10340" s="38" t="n">
        <f aca="false">Q!$N$31</f>
        <v>9.234</v>
      </c>
      <c r="O10340" s="38" t="n">
        <f aca="false">Q!$O$31</f>
        <v>12.216</v>
      </c>
    </row>
    <row r="10341" customFormat="false" ht="17.15" hidden="false" customHeight="false" outlineLevel="0" collapsed="false">
      <c r="A10341" s="1" t="s">
        <v>655</v>
      </c>
    </row>
    <row r="10342" customFormat="false" ht="17.15" hidden="false" customHeight="false" outlineLevel="0" collapsed="false">
      <c r="A10342" s="15" t="s">
        <v>656</v>
      </c>
      <c r="B10342" s="14" t="s">
        <v>52</v>
      </c>
      <c r="C10342" s="14"/>
      <c r="D10342" s="14"/>
      <c r="E10342" s="14"/>
      <c r="F10342" s="14"/>
      <c r="G10342" s="17" t="n">
        <f aca="false">Sens!$G$10332*(1-tax)/(ext_sh*(Sens!$D$10329+Sens!$G$10329)/2)</f>
        <v>0.0966870495301478</v>
      </c>
      <c r="H10342" s="17" t="n">
        <f aca="false">Sens!$H$10332*(1-tax)/(ext_sh*(Sens!$G$10329+Sens!$H$10329)/2)</f>
        <v>0.100492020334136</v>
      </c>
      <c r="I10342" s="17" t="n">
        <f aca="false">Sens!$I$10332*(1-tax)/(ext_sh*(Sens!$H$10329+Sens!$I$10329)/2)</f>
        <v>0.0889392292218236</v>
      </c>
      <c r="J10342" s="17" t="n">
        <f aca="false">Sens!$J$10332*(1-tax)/(ext_sh*(Sens!$I$10329+Sens!$J$10329)/2)</f>
        <v>0.0858364613777012</v>
      </c>
      <c r="K10342" s="17" t="n">
        <f aca="false">Sens!$K$10332*(1-tax)/(ext_sh*(Sens!$J$10329+Sens!$K$10329)/2)</f>
        <v>0.0824586556311099</v>
      </c>
      <c r="L10342" s="17" t="n">
        <f aca="false">Sens!$L$10332*(1-tax)/(ext_sh*(Sens!$K$10329+Sens!$L$10329)/2)</f>
        <v>0.083150030062017</v>
      </c>
      <c r="M10342" s="17" t="n">
        <f aca="false">Sens!$M$10332*(1-tax)/(ext_sh*(Sens!$L$10329+Sens!$M$10329)/2)</f>
        <v>0.0811104855858095</v>
      </c>
      <c r="N10342" s="14"/>
      <c r="O10342" s="14"/>
      <c r="P10342" s="8" t="s">
        <v>657</v>
      </c>
    </row>
    <row r="10343" customFormat="false" ht="17.15" hidden="false" customHeight="false" outlineLevel="0" collapsed="false">
      <c r="A10343" s="5" t="s">
        <v>658</v>
      </c>
      <c r="B10343" s="0" t="s">
        <v>57</v>
      </c>
      <c r="H10343" s="36" t="n">
        <f aca="false">Sens!$H$10310*1000/(mw_open*he_open+Sens!$H$10308*Sens!$H$10305)</f>
        <v>0.991949006767191</v>
      </c>
      <c r="I10343" s="36" t="n">
        <f aca="false">Sens!$I$10310*1000/(mw_open*he_open+Sens!$I$10308*Sens!$I$10305)</f>
        <v>0.991949006767191</v>
      </c>
      <c r="J10343" s="36" t="n">
        <f aca="false">Sens!$J$10310*1000/(mw_open*he_open+Sens!$J$10308*Sens!$J$10305)</f>
        <v>0.991949006767191</v>
      </c>
      <c r="K10343" s="36" t="n">
        <f aca="false">Sens!$K$10310*1000/(mw_open*he_open+Sens!$K$10308*Sens!$K$10305)</f>
        <v>0.991949006767191</v>
      </c>
      <c r="L10343" s="36" t="n">
        <f aca="false">Sens!$L$10310*1000/(mw_open*he_open+Sens!$L$10308*Sens!$L$10305)</f>
        <v>0.991949006767191</v>
      </c>
      <c r="M10343" s="36" t="n">
        <f aca="false">Sens!$M$10310*1000/(mw_open*he_open+Sens!$M$10308*Sens!$M$10305)</f>
        <v>0.991949006767191</v>
      </c>
    </row>
    <row r="10344" customFormat="false" ht="17.15" hidden="false" customHeight="false" outlineLevel="0" collapsed="false">
      <c r="A10344" s="5" t="s">
        <v>659</v>
      </c>
      <c r="B10344" s="0" t="s">
        <v>57</v>
      </c>
      <c r="H10344" s="36" t="n">
        <f aca="false">Sens!$H$10343*(Sens!$H$10310+(wacc+0.01)*ext_sh*(Sens!$G$10329+Sens!$H$10329)/2/(1-tax)-Sens!$H$10332)/Sens!$H$10310</f>
        <v>1.08992358944546</v>
      </c>
      <c r="I10344" s="36" t="n">
        <f aca="false">Sens!$I$10343*(Sens!$I$10310+(wacc+0.01)*ext_sh*(Sens!$H$10329+Sens!$I$10329)/2/(1-tax)-Sens!$I$10332)/Sens!$I$10310</f>
        <v>1.13179986654234</v>
      </c>
      <c r="J10344" s="36" t="n">
        <f aca="false">Sens!$J$10343*(Sens!$J$10310+(wacc+0.01)*ext_sh*(Sens!$I$10329+Sens!$J$10329)/2/(1-tax)-Sens!$J$10332)/Sens!$J$10310</f>
        <v>1.1349986737299</v>
      </c>
      <c r="K10344" s="36" t="n">
        <f aca="false">Sens!$K$10343*(Sens!$K$10310+(wacc+0.01)*ext_sh*(Sens!$J$10329+Sens!$K$10329)/2/(1-tax)-Sens!$K$10332)/Sens!$K$10310</f>
        <v>1.13563479191036</v>
      </c>
      <c r="L10344" s="36" t="n">
        <f aca="false">Sens!$L$10343*(Sens!$L$10310+(wacc+0.01)*ext_sh*(Sens!$K$10329+Sens!$L$10329)/2/(1-tax)-Sens!$L$10332)/Sens!$L$10310</f>
        <v>1.12109412005916</v>
      </c>
      <c r="M10344" s="36" t="n">
        <f aca="false">Sens!$M$10343*(Sens!$M$10310+(wacc+0.01)*ext_sh*(Sens!$L$10329+Sens!$M$10329)/2/(1-tax)-Sens!$M$10332)/Sens!$M$10310</f>
        <v>1.11943454777339</v>
      </c>
    </row>
    <row r="10345" customFormat="false" ht="17.15" hidden="false" customHeight="false" outlineLevel="0" collapsed="false">
      <c r="A10345" s="5" t="s">
        <v>660</v>
      </c>
      <c r="B10345" s="0" t="s">
        <v>52</v>
      </c>
      <c r="C10345" s="13" t="n">
        <f aca="false">Sens!$C$10311/tk_pq</f>
        <v>0.195316432429398</v>
      </c>
      <c r="D10345" s="13" t="n">
        <f aca="false">Sens!$D$10311/tk_pq</f>
        <v>0.195316432429398</v>
      </c>
      <c r="E10345" s="13" t="n">
        <f aca="false">Sens!$E$10311/tk_pq</f>
        <v>0.195316432429398</v>
      </c>
      <c r="F10345" s="13" t="n">
        <f aca="false">Sens!$F$10311/tk_pq</f>
        <v>0.202241827274866</v>
      </c>
      <c r="G10345" s="13" t="n">
        <f aca="false">Sens!$G$10311/tk_pq</f>
        <v>0.199675016194063</v>
      </c>
      <c r="H10345" s="13" t="n">
        <f aca="false">Sens!$H$10311/tk_pq</f>
        <v>0.212647947710325</v>
      </c>
      <c r="I10345" s="13" t="n">
        <f aca="false">Sens!$I$10311/tk_pq</f>
        <v>0.219285125475351</v>
      </c>
      <c r="J10345" s="13" t="n">
        <f aca="false">Sens!$J$10311/tk_pq</f>
        <v>0.222492493217189</v>
      </c>
      <c r="K10345" s="13" t="n">
        <f aca="false">Sens!$K$10311/tk_pq</f>
        <v>0.224068966220005</v>
      </c>
      <c r="L10345" s="13" t="n">
        <f aca="false">Sens!$L$10311/tk_pq</f>
        <v>0.224830053471997</v>
      </c>
      <c r="M10345" s="13" t="n">
        <f aca="false">Sens!$M$10311/tk_pq</f>
        <v>0.22513299704272</v>
      </c>
      <c r="N10345" s="13" t="n">
        <f aca="false">Sens!$N$10311/tk_pq</f>
        <v>0.195316432429398</v>
      </c>
      <c r="O10345" s="13" t="n">
        <f aca="false">Sens!$O$10311/tk_pq</f>
        <v>0.195316432429398</v>
      </c>
      <c r="P10345" s="5" t="s">
        <v>661</v>
      </c>
    </row>
    <row r="10348" customFormat="false" ht="17.15" hidden="false" customHeight="false" outlineLevel="0" collapsed="false">
      <c r="A10348" s="1" t="s">
        <v>690</v>
      </c>
    </row>
    <row r="10349" customFormat="false" ht="17.15" hidden="false" customHeight="false" outlineLevel="0" collapsed="false">
      <c r="A10349" s="0" t="s">
        <v>691</v>
      </c>
      <c r="B10349" s="0" t="s">
        <v>86</v>
      </c>
      <c r="C10349" s="38" t="n">
        <f aca="false">Sens!$C$10310</f>
        <v>2.32100535697364</v>
      </c>
      <c r="D10349" s="38" t="n">
        <f aca="false">Sens!$D$10310</f>
        <v>8.70377008865116</v>
      </c>
      <c r="E10349" s="38" t="n">
        <f aca="false">Sens!$E$10310</f>
        <v>8.51035297557002</v>
      </c>
      <c r="F10349" s="38" t="n">
        <f aca="false">Sens!$F$10310</f>
        <v>14.9634336447205</v>
      </c>
      <c r="G10349" s="38" t="n">
        <f aca="false">Sens!$G$10310</f>
        <v>23.4737866202905</v>
      </c>
      <c r="H10349" s="38" t="n">
        <f aca="false">Sens!$H$10310</f>
        <v>60.1658907497746</v>
      </c>
      <c r="I10349" s="38" t="n">
        <f aca="false">Sens!$I$10310</f>
        <v>101.503699136432</v>
      </c>
      <c r="J10349" s="38" t="n">
        <f aca="false">Sens!$J$10310</f>
        <v>143.025407151278</v>
      </c>
      <c r="K10349" s="38" t="n">
        <f aca="false">Sens!$K$10310</f>
        <v>178.73410158042</v>
      </c>
      <c r="L10349" s="38" t="n">
        <f aca="false">Sens!$L$10310</f>
        <v>202.865192960641</v>
      </c>
      <c r="M10349" s="38" t="n">
        <f aca="false">Sens!$M$10310</f>
        <v>215.389874345967</v>
      </c>
      <c r="N10349" s="38" t="n">
        <f aca="false">Sens!$N$10310</f>
        <v>3.04631953102791</v>
      </c>
      <c r="O10349" s="38" t="n">
        <f aca="false">Sens!$O$10310</f>
        <v>5.65745055762326</v>
      </c>
      <c r="P10349" s="8" t="s">
        <v>692</v>
      </c>
    </row>
    <row r="10350" customFormat="false" ht="17.15" hidden="false" customHeight="false" outlineLevel="0" collapsed="false">
      <c r="A10350" s="0" t="s">
        <v>693</v>
      </c>
      <c r="B10350" s="0" t="s">
        <v>86</v>
      </c>
      <c r="C10350" s="38" t="n">
        <f aca="false">Sens!$C$10314</f>
        <v>105.234994643026</v>
      </c>
      <c r="D10350" s="38" t="n">
        <f aca="false">Sens!$D$10314</f>
        <v>120.021229911349</v>
      </c>
      <c r="E10350" s="38" t="n">
        <f aca="false">Sens!$E$10314</f>
        <v>71.30864702443</v>
      </c>
      <c r="F10350" s="38" t="n">
        <f aca="false">Sens!$F$10314</f>
        <v>71.7692997942464</v>
      </c>
      <c r="G10350" s="38" t="n">
        <f aca="false">Sens!$G$10314</f>
        <v>143.077946818676</v>
      </c>
      <c r="H10350" s="38" t="n">
        <f aca="false">Sens!$H$10314</f>
        <v>161.017077079203</v>
      </c>
      <c r="I10350" s="38" t="n">
        <f aca="false">Sens!$I$10314</f>
        <v>178.769759521457</v>
      </c>
      <c r="J10350" s="38" t="n">
        <f aca="false">Sens!$J$10314</f>
        <v>195.775538045907</v>
      </c>
      <c r="K10350" s="38" t="n">
        <f aca="false">Sens!$K$10314</f>
        <v>211.43758108958</v>
      </c>
      <c r="L10350" s="38" t="n">
        <f aca="false">Sens!$L$10314</f>
        <v>228.352587576746</v>
      </c>
      <c r="M10350" s="38" t="n">
        <f aca="false">Sens!$M$10314</f>
        <v>246.620794582886</v>
      </c>
      <c r="N10350" s="38" t="n">
        <f aca="false">Sens!$N$10314</f>
        <v>57.0936804689721</v>
      </c>
      <c r="O10350" s="38" t="n">
        <f aca="false">Sens!$O$10314</f>
        <v>62.9275494423768</v>
      </c>
      <c r="P10350" s="8" t="s">
        <v>692</v>
      </c>
    </row>
    <row r="10351" customFormat="false" ht="17.15" hidden="false" customHeight="false" outlineLevel="0" collapsed="false">
      <c r="A10351" s="1" t="s">
        <v>516</v>
      </c>
      <c r="B10351" s="8" t="s">
        <v>86</v>
      </c>
      <c r="C10351" s="38" t="n">
        <f aca="false">Q!$D$7</f>
        <v>107.556</v>
      </c>
      <c r="D10351" s="38" t="n">
        <f aca="false">Q!$E$7</f>
        <v>128.725</v>
      </c>
      <c r="E10351" s="38" t="n">
        <f aca="false">Q!$P$7</f>
        <v>79.819</v>
      </c>
      <c r="F10351" s="38" t="n">
        <f aca="false">Sens!$F$10349+Sens!$F$10350</f>
        <v>86.7327334389669</v>
      </c>
      <c r="G10351" s="38" t="n">
        <f aca="false">Sens!$G$10349+Sens!$G$10350</f>
        <v>166.551733438967</v>
      </c>
      <c r="H10351" s="38" t="n">
        <f aca="false">Sens!$H$10349+Sens!$H$10350</f>
        <v>221.182967828978</v>
      </c>
      <c r="I10351" s="38" t="n">
        <f aca="false">Sens!$I$10349+Sens!$I$10350</f>
        <v>280.27345865789</v>
      </c>
      <c r="J10351" s="38" t="n">
        <f aca="false">Sens!$J$10349+Sens!$J$10350</f>
        <v>338.800945197185</v>
      </c>
      <c r="K10351" s="38" t="n">
        <f aca="false">Sens!$K$10349+Sens!$K$10350</f>
        <v>390.17168267</v>
      </c>
      <c r="L10351" s="38" t="n">
        <f aca="false">Sens!$L$10349+Sens!$L$10350</f>
        <v>431.217780537388</v>
      </c>
      <c r="M10351" s="38" t="n">
        <f aca="false">Sens!$M$10349+Sens!$M$10350</f>
        <v>462.010668928853</v>
      </c>
      <c r="N10351" s="38" t="n">
        <f aca="false">Q!$N$7</f>
        <v>60.14</v>
      </c>
      <c r="O10351" s="38" t="n">
        <f aca="false">Q!$O$7</f>
        <v>68.585</v>
      </c>
      <c r="P10351" s="5" t="s">
        <v>694</v>
      </c>
    </row>
    <row r="10352" customFormat="false" ht="15" hidden="false" customHeight="false" outlineLevel="0" collapsed="false">
      <c r="A10352" s="3" t="s">
        <v>695</v>
      </c>
      <c r="B10352" s="8" t="s">
        <v>86</v>
      </c>
      <c r="C10352" s="38" t="n">
        <f aca="false">Q!$D$8</f>
        <v>637.959</v>
      </c>
      <c r="D10352" s="38" t="n">
        <f aca="false">Q!$E$8</f>
        <v>716.924</v>
      </c>
      <c r="E10352" s="38" t="n">
        <f aca="false">Q!$P$8</f>
        <v>382.125</v>
      </c>
      <c r="F10352" s="38" t="n">
        <f aca="false">Sens!$F$10282+Sens!$F$10351</f>
        <v>435.780975084504</v>
      </c>
      <c r="G10352" s="38" t="n">
        <f aca="false">Sens!$G$10282+Sens!$G$10351</f>
        <v>817.905975084504</v>
      </c>
      <c r="H10352" s="38" t="n">
        <f aca="false">Sens!$H$10282+Sens!$H$10351</f>
        <v>942.279857350364</v>
      </c>
      <c r="I10352" s="38" t="n">
        <f aca="false">Sens!$I$10282+Sens!$I$10351</f>
        <v>1068.80284981042</v>
      </c>
      <c r="J10352" s="38" t="n">
        <f aca="false">Sens!$J$10282+Sens!$J$10351</f>
        <v>1189.90935093863</v>
      </c>
      <c r="K10352" s="38" t="n">
        <f aca="false">Sens!$K$10282+Sens!$K$10351</f>
        <v>1296.34813810109</v>
      </c>
      <c r="L10352" s="38" t="n">
        <f aca="false">Sens!$L$10282+Sens!$L$10351</f>
        <v>1396.31088701298</v>
      </c>
      <c r="M10352" s="38" t="n">
        <f aca="false">Sens!$M$10282+Sens!$M$10351</f>
        <v>1490.15857687574</v>
      </c>
      <c r="N10352" s="38" t="n">
        <f aca="false">Q!$N$8</f>
        <v>323.369</v>
      </c>
      <c r="O10352" s="38" t="n">
        <f aca="false">Q!$O$8</f>
        <v>393.555</v>
      </c>
    </row>
    <row r="10353" customFormat="false" ht="17.15" hidden="false" customHeight="false" outlineLevel="0" collapsed="false">
      <c r="A10353" s="24" t="s">
        <v>703</v>
      </c>
      <c r="B10353" s="25" t="s">
        <v>86</v>
      </c>
      <c r="C10353" s="41" t="n">
        <f aca="false">Sens!$C$10282-(Sens!$C$10284+Sens!$C$10285)</f>
        <v>0</v>
      </c>
      <c r="D10353" s="41" t="n">
        <f aca="false">Sens!$D$10282-(Sens!$D$10284+Sens!$D$10285)</f>
        <v>0</v>
      </c>
      <c r="E10353" s="41" t="n">
        <f aca="false">Sens!$E$10282-(Sens!$E$10284+Sens!$E$10285)</f>
        <v>0</v>
      </c>
      <c r="F10353" s="41" t="n">
        <f aca="false">Sens!$F$10282-(Sens!$F$10284+Sens!$F$10285)</f>
        <v>0</v>
      </c>
      <c r="G10353" s="41" t="n">
        <f aca="false">Sens!$G$10282-(Sens!$G$10284+Sens!$G$10285)</f>
        <v>0</v>
      </c>
      <c r="H10353" s="41" t="n">
        <f aca="false">Sens!$H$10282-(Sens!$H$10284+Sens!$H$10285)</f>
        <v>0</v>
      </c>
      <c r="I10353" s="41" t="n">
        <f aca="false">Sens!$I$10282-(Sens!$I$10284+Sens!$I$10285)</f>
        <v>0</v>
      </c>
      <c r="J10353" s="41" t="n">
        <f aca="false">Sens!$J$10282-(Sens!$J$10284+Sens!$J$10285)</f>
        <v>0</v>
      </c>
      <c r="K10353" s="41" t="n">
        <f aca="false">Sens!$K$10282-(Sens!$K$10284+Sens!$K$10285)</f>
        <v>0</v>
      </c>
      <c r="L10353" s="41" t="n">
        <f aca="false">Sens!$L$10282-(Sens!$L$10284+Sens!$L$10285)</f>
        <v>0</v>
      </c>
      <c r="M10353" s="41" t="n">
        <f aca="false">Sens!$M$10282-(Sens!$M$10284+Sens!$M$10285)</f>
        <v>0</v>
      </c>
      <c r="N10353" s="41" t="n">
        <f aca="false">Sens!$N$10282-(Sens!$N$10284+Sens!$N$10285)</f>
        <v>0</v>
      </c>
      <c r="O10353" s="41" t="n">
        <f aca="false">Sens!$O$10282-(Sens!$O$10284+Sens!$O$10285)</f>
        <v>0</v>
      </c>
    </row>
    <row r="10354" customFormat="false" ht="17.15" hidden="false" customHeight="false" outlineLevel="0" collapsed="false">
      <c r="A10354" s="24" t="s">
        <v>704</v>
      </c>
      <c r="B10354" s="25" t="s">
        <v>86</v>
      </c>
      <c r="C10354" s="41" t="n">
        <f aca="false">Sens!$C$10349+Sens!$C$10350-Sens!$C$10351</f>
        <v>0</v>
      </c>
      <c r="D10354" s="41" t="n">
        <f aca="false">Sens!$D$10349+Sens!$D$10350-Sens!$D$10351</f>
        <v>0</v>
      </c>
      <c r="E10354" s="41" t="n">
        <f aca="false">Sens!$E$10349+Sens!$E$10350-Sens!$E$10351</f>
        <v>0</v>
      </c>
      <c r="F10354" s="41" t="n">
        <f aca="false">Sens!$F$10349+Sens!$F$10350-Sens!$F$10351</f>
        <v>0</v>
      </c>
      <c r="G10354" s="41" t="n">
        <f aca="false">Sens!$G$10349+Sens!$G$10350-Sens!$G$10351</f>
        <v>0</v>
      </c>
      <c r="H10354" s="41" t="n">
        <f aca="false">Sens!$H$10349+Sens!$H$10350-Sens!$H$10351</f>
        <v>0</v>
      </c>
      <c r="I10354" s="41" t="n">
        <f aca="false">Sens!$I$10349+Sens!$I$10350-Sens!$I$10351</f>
        <v>0</v>
      </c>
      <c r="J10354" s="41" t="n">
        <f aca="false">Sens!$J$10349+Sens!$J$10350-Sens!$J$10351</f>
        <v>0</v>
      </c>
      <c r="K10354" s="41" t="n">
        <f aca="false">Sens!$K$10349+Sens!$K$10350-Sens!$K$10351</f>
        <v>0</v>
      </c>
      <c r="L10354" s="41" t="n">
        <f aca="false">Sens!$L$10349+Sens!$L$10350-Sens!$L$10351</f>
        <v>0</v>
      </c>
      <c r="M10354" s="41" t="n">
        <f aca="false">Sens!$M$10349+Sens!$M$10350-Sens!$M$10351</f>
        <v>0</v>
      </c>
      <c r="N10354" s="41" t="n">
        <f aca="false">Sens!$N$10349+Sens!$N$10350-Sens!$N$10351</f>
        <v>0</v>
      </c>
      <c r="O10354" s="41" t="n">
        <f aca="false">Sens!$O$10349+Sens!$O$10350-Sens!$O$10351</f>
        <v>0</v>
      </c>
    </row>
    <row r="10355" customFormat="false" ht="17.15" hidden="false" customHeight="false" outlineLevel="0" collapsed="false">
      <c r="A10355" s="24" t="s">
        <v>705</v>
      </c>
      <c r="B10355" s="25" t="s">
        <v>86</v>
      </c>
      <c r="C10355" s="41" t="n">
        <f aca="false">Sens!$C$10284+Sens!$C$10285+Sens!$C$10351-Sens!$C$10352</f>
        <v>0</v>
      </c>
      <c r="D10355" s="41" t="n">
        <f aca="false">Sens!$D$10284+Sens!$D$10285+Sens!$D$10351-Sens!$D$10352</f>
        <v>0</v>
      </c>
      <c r="E10355" s="41" t="n">
        <f aca="false">Sens!$E$10284+Sens!$E$10285+Sens!$E$10351-Sens!$E$10352</f>
        <v>0</v>
      </c>
      <c r="F10355" s="41" t="n">
        <f aca="false">Sens!$F$10284+Sens!$F$10285+Sens!$F$10351-Sens!$F$10352</f>
        <v>0</v>
      </c>
      <c r="G10355" s="41" t="n">
        <f aca="false">Sens!$G$10284+Sens!$G$10285+Sens!$G$10351-Sens!$G$10352</f>
        <v>0</v>
      </c>
      <c r="H10355" s="41" t="n">
        <f aca="false">Sens!$H$10284+Sens!$H$10285+Sens!$H$10351-Sens!$H$10352</f>
        <v>0</v>
      </c>
      <c r="I10355" s="41" t="n">
        <f aca="false">Sens!$I$10284+Sens!$I$10285+Sens!$I$10351-Sens!$I$10352</f>
        <v>0</v>
      </c>
      <c r="J10355" s="41" t="n">
        <f aca="false">Sens!$J$10284+Sens!$J$10285+Sens!$J$10351-Sens!$J$10352</f>
        <v>0</v>
      </c>
      <c r="K10355" s="41" t="n">
        <f aca="false">Sens!$K$10284+Sens!$K$10285+Sens!$K$10351-Sens!$K$10352</f>
        <v>0</v>
      </c>
      <c r="L10355" s="41" t="n">
        <f aca="false">Sens!$L$10284+Sens!$L$10285+Sens!$L$10351-Sens!$L$10352</f>
        <v>0</v>
      </c>
      <c r="M10355" s="41" t="n">
        <f aca="false">Sens!$M$10284+Sens!$M$10285+Sens!$M$10351-Sens!$M$10352</f>
        <v>0</v>
      </c>
      <c r="N10355" s="41" t="n">
        <f aca="false">Sens!$N$10284+Sens!$N$10285+Sens!$N$10351-Sens!$N$10352</f>
        <v>0</v>
      </c>
      <c r="O10355" s="41" t="n">
        <f aca="false">Sens!$O$10284+Sens!$O$10285+Sens!$O$10351-Sens!$O$10352</f>
        <v>0</v>
      </c>
    </row>
    <row r="10356" customFormat="false" ht="15" hidden="false" customHeight="false" outlineLevel="0" collapsed="false">
      <c r="A10356" s="5" t="s">
        <v>699</v>
      </c>
      <c r="B10356" s="0" t="s">
        <v>52</v>
      </c>
      <c r="G10356" s="13" t="n">
        <f aca="false">Sens!$G$10352/Sens!$D$10352-1</f>
        <v>0.140854504918937</v>
      </c>
      <c r="H10356" s="13" t="n">
        <f aca="false">Sens!$H$10352/Sens!$G$10352-1</f>
        <v>0.152063789793209</v>
      </c>
      <c r="I10356" s="13" t="n">
        <f aca="false">Sens!$I$10352/Sens!$H$10352-1</f>
        <v>0.134273264437417</v>
      </c>
      <c r="J10356" s="13" t="n">
        <f aca="false">Sens!$J$10352/Sens!$I$10352-1</f>
        <v>0.113310421234083</v>
      </c>
      <c r="K10356" s="13" t="n">
        <f aca="false">Sens!$K$10352/Sens!$J$10352-1</f>
        <v>0.0894511729641407</v>
      </c>
      <c r="L10356" s="13" t="n">
        <f aca="false">Sens!$L$10352/Sens!$K$10352-1</f>
        <v>0.077111036745358</v>
      </c>
      <c r="M10356" s="13" t="n">
        <f aca="false">Sens!$M$10352/Sens!$L$10352-1</f>
        <v>0.067211171047677</v>
      </c>
    </row>
    <row r="10357" customFormat="false" ht="17.15" hidden="false" customHeight="false" outlineLevel="0" collapsed="false">
      <c r="A10357" s="0" t="s">
        <v>700</v>
      </c>
      <c r="B10357" s="0" t="s">
        <v>52</v>
      </c>
      <c r="C10357" s="13" t="n">
        <f aca="false">Sens!$C$10351/Sens!$C$10352</f>
        <v>0.168593906504964</v>
      </c>
      <c r="D10357" s="13" t="n">
        <f aca="false">Sens!$D$10351/Sens!$D$10352</f>
        <v>0.179551807444025</v>
      </c>
      <c r="E10357" s="13" t="n">
        <f aca="false">Sens!$E$10351/Sens!$E$10352</f>
        <v>0.208881910369643</v>
      </c>
      <c r="F10357" s="13" t="n">
        <f aca="false">Sens!$F$10351/Sens!$F$10352</f>
        <v>0.199028269699356</v>
      </c>
      <c r="G10357" s="13" t="n">
        <f aca="false">Sens!$G$10351/Sens!$G$10352</f>
        <v>0.203631882529968</v>
      </c>
      <c r="H10357" s="13" t="n">
        <f aca="false">Sens!$H$10351/Sens!$H$10352</f>
        <v>0.234731715958496</v>
      </c>
      <c r="I10357" s="13" t="n">
        <f aca="false">Sens!$I$10351/Sens!$I$10352</f>
        <v>0.262231204480418</v>
      </c>
      <c r="J10357" s="13" t="n">
        <f aca="false">Sens!$J$10351/Sens!$J$10352</f>
        <v>0.284728366013706</v>
      </c>
      <c r="K10357" s="13" t="n">
        <f aca="false">Sens!$K$10351/Sens!$K$10352</f>
        <v>0.300977547004873</v>
      </c>
      <c r="L10357" s="13" t="n">
        <f aca="false">Sens!$L$10351/Sens!$L$10352</f>
        <v>0.308826483090639</v>
      </c>
      <c r="M10357" s="13" t="n">
        <f aca="false">Sens!$M$10351/Sens!$M$10352</f>
        <v>0.310041277551482</v>
      </c>
      <c r="N10357" s="13" t="n">
        <f aca="false">Sens!$N$10351/Sens!$N$10352</f>
        <v>0.185979484737251</v>
      </c>
      <c r="O10357" s="13" t="n">
        <f aca="false">Sens!$O$10351/Sens!$O$10352</f>
        <v>0.174270432341096</v>
      </c>
    </row>
    <row r="10358" customFormat="false" ht="17.15" hidden="false" customHeight="false" outlineLevel="0" collapsed="false">
      <c r="A10358" s="0" t="s">
        <v>701</v>
      </c>
      <c r="B10358" s="0" t="s">
        <v>52</v>
      </c>
      <c r="C10358" s="13" t="n">
        <f aca="false">Sens!$C$10349/Sens!$C$10351</f>
        <v>0.0215795060896058</v>
      </c>
      <c r="D10358" s="13" t="n">
        <f aca="false">Sens!$D$10349/Sens!$D$10351</f>
        <v>0.0676152269462122</v>
      </c>
      <c r="E10358" s="13" t="n">
        <f aca="false">Sens!$E$10349/Sens!$E$10351</f>
        <v>0.106620641395783</v>
      </c>
      <c r="F10358" s="13" t="n">
        <f aca="false">Sens!$F$10349/Sens!$F$10351</f>
        <v>0.172523487401099</v>
      </c>
      <c r="G10358" s="13" t="n">
        <f aca="false">Sens!$G$10349/Sens!$G$10351</f>
        <v>0.140939911795589</v>
      </c>
      <c r="H10358" s="13" t="n">
        <f aca="false">Sens!$H$10349/Sens!$H$10351</f>
        <v>0.272018642937714</v>
      </c>
      <c r="I10358" s="13" t="n">
        <f aca="false">Sens!$I$10349/Sens!$I$10351</f>
        <v>0.362159512436497</v>
      </c>
      <c r="J10358" s="13" t="n">
        <f aca="false">Sens!$J$10349/Sens!$J$10351</f>
        <v>0.422151735934609</v>
      </c>
      <c r="K10358" s="13" t="n">
        <f aca="false">Sens!$K$10349/Sens!$K$10351</f>
        <v>0.458090911050534</v>
      </c>
      <c r="L10358" s="13" t="n">
        <f aca="false">Sens!$L$10349/Sens!$L$10351</f>
        <v>0.470447189602963</v>
      </c>
      <c r="M10358" s="13" t="n">
        <f aca="false">Sens!$M$10349/Sens!$M$10351</f>
        <v>0.466201083289563</v>
      </c>
      <c r="N10358" s="13" t="n">
        <f aca="false">Sens!$N$10349/Sens!$N$10351</f>
        <v>0.0506537999838362</v>
      </c>
      <c r="O10358" s="13" t="n">
        <f aca="false">Sens!$O$10349/Sens!$O$10351</f>
        <v>0.0824881615167056</v>
      </c>
    </row>
    <row r="10361" customFormat="false" ht="19.4" hidden="false" customHeight="false" outlineLevel="0" collapsed="false">
      <c r="A10361" s="31" t="s">
        <v>1347</v>
      </c>
    </row>
    <row r="10362" customFormat="false" ht="17.15" hidden="false" customHeight="false" outlineLevel="0" collapsed="false">
      <c r="A10362" s="6" t="s">
        <v>16</v>
      </c>
      <c r="B10362" s="6" t="s">
        <v>17</v>
      </c>
      <c r="C10362" s="20" t="s">
        <v>497</v>
      </c>
      <c r="D10362" s="20" t="s">
        <v>498</v>
      </c>
      <c r="E10362" s="20" t="s">
        <v>580</v>
      </c>
      <c r="F10362" s="20" t="s">
        <v>581</v>
      </c>
      <c r="G10362" s="20" t="s">
        <v>582</v>
      </c>
      <c r="H10362" s="20" t="s">
        <v>583</v>
      </c>
      <c r="I10362" s="20" t="s">
        <v>584</v>
      </c>
      <c r="J10362" s="20" t="s">
        <v>585</v>
      </c>
      <c r="K10362" s="20" t="s">
        <v>586</v>
      </c>
      <c r="L10362" s="20" t="s">
        <v>587</v>
      </c>
      <c r="M10362" s="20" t="s">
        <v>588</v>
      </c>
      <c r="N10362" s="20" t="s">
        <v>589</v>
      </c>
      <c r="O10362" s="20" t="s">
        <v>590</v>
      </c>
      <c r="P10362" s="6" t="s">
        <v>23</v>
      </c>
      <c r="R10362" s="20" t="n">
        <v>2023</v>
      </c>
      <c r="S10362" s="20" t="n">
        <v>2024</v>
      </c>
      <c r="T10362" s="20" t="n">
        <v>2025</v>
      </c>
      <c r="U10362" s="20" t="n">
        <v>2026</v>
      </c>
      <c r="V10362" s="20" t="n">
        <v>2027</v>
      </c>
      <c r="W10362" s="20" t="n">
        <v>2028</v>
      </c>
      <c r="X10362" s="20" t="n">
        <v>2029</v>
      </c>
      <c r="Y10362" s="20" t="n">
        <v>2030</v>
      </c>
      <c r="Z10362" s="20" t="n">
        <v>2031</v>
      </c>
      <c r="AA10362" s="20" t="n">
        <v>2032</v>
      </c>
    </row>
    <row r="10363" customFormat="false" ht="17.15" hidden="false" customHeight="false" outlineLevel="0" collapsed="false">
      <c r="A10363" s="1" t="s">
        <v>716</v>
      </c>
    </row>
    <row r="10364" customFormat="false" ht="15" hidden="false" customHeight="false" outlineLevel="0" collapsed="false">
      <c r="A10364" s="0" t="s">
        <v>519</v>
      </c>
      <c r="B10364" s="0" t="s">
        <v>86</v>
      </c>
      <c r="C10364" s="38" t="n">
        <f aca="false">Sens!$C$10269</f>
        <v>247.029</v>
      </c>
      <c r="D10364" s="38" t="n">
        <f aca="false">Sens!$D$10269</f>
        <v>269.287</v>
      </c>
      <c r="E10364" s="38" t="n">
        <f aca="false">Sens!$E$10269</f>
        <v>134.686</v>
      </c>
      <c r="F10364" s="38" t="n">
        <f aca="false">Sens!$F$10269</f>
        <v>158.293876822267</v>
      </c>
      <c r="G10364" s="38" t="n">
        <f aca="false">Sens!$G$10269</f>
        <v>292.979876822267</v>
      </c>
      <c r="H10364" s="38" t="n">
        <f aca="false">Sens!$H$10269</f>
        <v>318.184543087396</v>
      </c>
      <c r="I10364" s="38" t="n">
        <f aca="false">Sens!$I$10269</f>
        <v>341.736278761793</v>
      </c>
      <c r="J10364" s="38" t="n">
        <f aca="false">Sens!$J$10269</f>
        <v>362.927192787048</v>
      </c>
      <c r="K10364" s="38" t="n">
        <f aca="false">Sens!$K$10269</f>
        <v>381.0735524264</v>
      </c>
      <c r="L10364" s="38" t="n">
        <f aca="false">Sens!$L$10269</f>
        <v>400.12723004772</v>
      </c>
      <c r="M10364" s="38" t="n">
        <f aca="false">Sens!$M$10269</f>
        <v>420.133591550106</v>
      </c>
      <c r="N10364" s="38" t="n">
        <f aca="false">Sens!$N$10269</f>
        <v>118.892</v>
      </c>
      <c r="O10364" s="38" t="n">
        <f aca="false">Sens!$O$10269</f>
        <v>150.395</v>
      </c>
    </row>
    <row r="10365" customFormat="false" ht="15" hidden="false" customHeight="false" outlineLevel="0" collapsed="false">
      <c r="A10365" s="0" t="s">
        <v>520</v>
      </c>
      <c r="B10365" s="0" t="s">
        <v>86</v>
      </c>
      <c r="C10365" s="38" t="n">
        <f aca="false">Sens!$C$10271</f>
        <v>21.215</v>
      </c>
      <c r="D10365" s="38" t="n">
        <f aca="false">Sens!$D$10271</f>
        <v>22.561</v>
      </c>
      <c r="E10365" s="38" t="n">
        <f aca="false">Sens!$E$10271</f>
        <v>11.579</v>
      </c>
      <c r="F10365" s="38" t="n">
        <f aca="false">Sens!$F$10271</f>
        <v>11.5938724610325</v>
      </c>
      <c r="G10365" s="38" t="n">
        <f aca="false">Sens!$G$10271</f>
        <v>23.1728724610325</v>
      </c>
      <c r="H10365" s="38" t="n">
        <f aca="false">Sens!$H$10271</f>
        <v>24.353392759506</v>
      </c>
      <c r="I10365" s="38" t="n">
        <f aca="false">Sens!$I$10271</f>
        <v>25.4240338872015</v>
      </c>
      <c r="J10365" s="38" t="n">
        <f aca="false">Sens!$J$10271</f>
        <v>26.3642491017174</v>
      </c>
      <c r="K10365" s="38" t="n">
        <f aca="false">Sens!$K$10271</f>
        <v>27.155176574769</v>
      </c>
      <c r="L10365" s="38" t="n">
        <f aca="false">Sens!$L$10271</f>
        <v>27.969831872012</v>
      </c>
      <c r="M10365" s="38" t="n">
        <f aca="false">Sens!$M$10271</f>
        <v>28.8089268281724</v>
      </c>
      <c r="N10365" s="38" t="n">
        <f aca="false">Sens!$N$10271</f>
        <v>11.128</v>
      </c>
      <c r="O10365" s="38" t="n">
        <f aca="false">Sens!$O$10271</f>
        <v>11.433</v>
      </c>
    </row>
    <row r="10366" customFormat="false" ht="15" hidden="false" customHeight="false" outlineLevel="0" collapsed="false">
      <c r="A10366" s="0" t="s">
        <v>521</v>
      </c>
      <c r="B10366" s="0" t="s">
        <v>86</v>
      </c>
      <c r="C10366" s="38" t="n">
        <f aca="false">Sens!$C$10273</f>
        <v>156.146</v>
      </c>
      <c r="D10366" s="38" t="n">
        <f aca="false">Sens!$D$10273</f>
        <v>172.162</v>
      </c>
      <c r="E10366" s="38" t="n">
        <f aca="false">Sens!$E$10273</f>
        <v>88.358</v>
      </c>
      <c r="F10366" s="38" t="n">
        <f aca="false">Sens!$F$10273</f>
        <v>102.004388260171</v>
      </c>
      <c r="G10366" s="38" t="n">
        <f aca="false">Sens!$G$10273</f>
        <v>190.362388260171</v>
      </c>
      <c r="H10366" s="38" t="n">
        <f aca="false">Sens!$H$10273</f>
        <v>210.343106588311</v>
      </c>
      <c r="I10366" s="38" t="n">
        <f aca="false">Sens!$I$10273</f>
        <v>229.969728494648</v>
      </c>
      <c r="J10366" s="38" t="n">
        <f aca="false">Sens!$J$10273</f>
        <v>248.747636972598</v>
      </c>
      <c r="K10366" s="38" t="n">
        <f aca="false">Sens!$K$10273</f>
        <v>266.15997156068</v>
      </c>
      <c r="L10366" s="38" t="n">
        <f aca="false">Sens!$L$10273</f>
        <v>284.791169569927</v>
      </c>
      <c r="M10366" s="38" t="n">
        <f aca="false">Sens!$M$10273</f>
        <v>304.726551439822</v>
      </c>
      <c r="N10366" s="38" t="n">
        <f aca="false">Sens!$N$10273</f>
        <v>76.86</v>
      </c>
      <c r="O10366" s="38" t="n">
        <f aca="false">Sens!$O$10273</f>
        <v>95.302</v>
      </c>
    </row>
    <row r="10367" customFormat="false" ht="15" hidden="false" customHeight="false" outlineLevel="0" collapsed="false">
      <c r="A10367" s="0" t="s">
        <v>522</v>
      </c>
      <c r="B10367" s="0" t="s">
        <v>86</v>
      </c>
      <c r="C10367" s="38" t="n">
        <f aca="false">Sens!$C$10275</f>
        <v>56.214</v>
      </c>
      <c r="D10367" s="38" t="n">
        <f aca="false">Sens!$D$10275</f>
        <v>68.635</v>
      </c>
      <c r="E10367" s="38" t="n">
        <f aca="false">Sens!$E$10275</f>
        <v>37.052</v>
      </c>
      <c r="F10367" s="38" t="n">
        <f aca="false">Sens!$F$10275</f>
        <v>46.1572219944148</v>
      </c>
      <c r="G10367" s="38" t="n">
        <f aca="false">Sens!$G$10275</f>
        <v>83.2092219944148</v>
      </c>
      <c r="H10367" s="38" t="n">
        <f aca="false">Sens!$H$10275</f>
        <v>99.8969223878976</v>
      </c>
      <c r="I10367" s="38" t="n">
        <f aca="false">Sens!$I$10275</f>
        <v>116.583111095496</v>
      </c>
      <c r="J10367" s="38" t="n">
        <f aca="false">Sens!$J$10275</f>
        <v>132.148941941952</v>
      </c>
      <c r="K10367" s="38" t="n">
        <f aca="false">Sens!$K$10275</f>
        <v>145.363836136147</v>
      </c>
      <c r="L10367" s="38" t="n">
        <f aca="false">Sens!$L$10275</f>
        <v>159.900219749762</v>
      </c>
      <c r="M10367" s="38" t="n">
        <f aca="false">Sens!$M$10275</f>
        <v>175.890241724738</v>
      </c>
      <c r="N10367" s="38" t="n">
        <f aca="false">Sens!$N$10275</f>
        <v>29.615</v>
      </c>
      <c r="O10367" s="38" t="n">
        <f aca="false">Sens!$O$10275</f>
        <v>39.02</v>
      </c>
    </row>
    <row r="10368" customFormat="false" ht="15" hidden="false" customHeight="false" outlineLevel="0" collapsed="false">
      <c r="A10368" s="0" t="s">
        <v>523</v>
      </c>
      <c r="B10368" s="0" t="s">
        <v>86</v>
      </c>
      <c r="C10368" s="38" t="n">
        <f aca="false">Sens!$C$10277</f>
        <v>44.374</v>
      </c>
      <c r="D10368" s="38" t="n">
        <f aca="false">Sens!$D$10277</f>
        <v>49.619</v>
      </c>
      <c r="E10368" s="38" t="n">
        <f aca="false">Sens!$E$10277</f>
        <v>27.157</v>
      </c>
      <c r="F10368" s="38" t="n">
        <f aca="false">Sens!$F$10277</f>
        <v>27.7764165988154</v>
      </c>
      <c r="G10368" s="38" t="n">
        <f aca="false">Sens!$G$10277</f>
        <v>54.9334165988154</v>
      </c>
      <c r="H10368" s="38" t="n">
        <f aca="false">Sens!$H$10277</f>
        <v>61.1564112561829</v>
      </c>
      <c r="I10368" s="38" t="n">
        <f aca="false">Sens!$I$10277</f>
        <v>67.2020282103945</v>
      </c>
      <c r="J10368" s="38" t="n">
        <f aca="false">Sens!$J$10277</f>
        <v>72.8757274028885</v>
      </c>
      <c r="K10368" s="38" t="n">
        <f aca="false">Sens!$K$10277</f>
        <v>77.9770283210907</v>
      </c>
      <c r="L10368" s="38" t="n">
        <f aca="false">Sens!$L$10277</f>
        <v>83.4354203035671</v>
      </c>
      <c r="M10368" s="38" t="n">
        <f aca="false">Sens!$M$10277</f>
        <v>89.2758997248168</v>
      </c>
      <c r="N10368" s="38" t="n">
        <f aca="false">Sens!$N$10277</f>
        <v>23.923</v>
      </c>
      <c r="O10368" s="38" t="n">
        <f aca="false">Sens!$O$10277</f>
        <v>25.696</v>
      </c>
    </row>
    <row r="10369" customFormat="false" ht="15" hidden="false" customHeight="false" outlineLevel="0" collapsed="false">
      <c r="A10369" s="0" t="s">
        <v>524</v>
      </c>
      <c r="B10369" s="0" t="s">
        <v>86</v>
      </c>
      <c r="C10369" s="38" t="n">
        <f aca="false">Sens!$C$10279</f>
        <v>5.425</v>
      </c>
      <c r="D10369" s="38" t="n">
        <f aca="false">Sens!$D$10279</f>
        <v>5.935</v>
      </c>
      <c r="E10369" s="38" t="n">
        <f aca="false">Sens!$E$10279</f>
        <v>3.474</v>
      </c>
      <c r="F10369" s="38" t="n">
        <f aca="false">Sens!$F$10279</f>
        <v>3.22246550883619</v>
      </c>
      <c r="G10369" s="38" t="n">
        <f aca="false">Sens!$G$10279</f>
        <v>6.69646550883619</v>
      </c>
      <c r="H10369" s="38" t="n">
        <f aca="false">Sens!$H$10279</f>
        <v>7.16251344209196</v>
      </c>
      <c r="I10369" s="38" t="n">
        <f aca="false">Sens!$I$10279</f>
        <v>7.61421070299826</v>
      </c>
      <c r="J10369" s="38" t="n">
        <f aca="false">Sens!$J$10279</f>
        <v>8.04465753523932</v>
      </c>
      <c r="K10369" s="38" t="n">
        <f aca="false">Sens!$K$10279</f>
        <v>8.44689041200128</v>
      </c>
      <c r="L10369" s="38" t="n">
        <f aca="false">Sens!$L$10279</f>
        <v>8.86923493260135</v>
      </c>
      <c r="M10369" s="38" t="n">
        <f aca="false">Sens!$M$10279</f>
        <v>9.31269667923142</v>
      </c>
      <c r="N10369" s="38" t="n">
        <f aca="false">Sens!$N$10279</f>
        <v>2.811</v>
      </c>
      <c r="O10369" s="38" t="n">
        <f aca="false">Sens!$O$10279</f>
        <v>3.124</v>
      </c>
    </row>
    <row r="10370" customFormat="false" ht="17.15" hidden="false" customHeight="false" outlineLevel="0" collapsed="false">
      <c r="A10370" s="0" t="s">
        <v>717</v>
      </c>
      <c r="B10370" s="0" t="s">
        <v>86</v>
      </c>
      <c r="C10370" s="38" t="n">
        <f aca="false">Sens!$C$10351</f>
        <v>107.556</v>
      </c>
      <c r="D10370" s="38" t="n">
        <f aca="false">Sens!$D$10351</f>
        <v>128.725</v>
      </c>
      <c r="E10370" s="38" t="n">
        <f aca="false">Sens!$E$10351</f>
        <v>79.819</v>
      </c>
      <c r="F10370" s="38" t="n">
        <f aca="false">Sens!$F$10351</f>
        <v>86.7327334389669</v>
      </c>
      <c r="G10370" s="38" t="n">
        <f aca="false">Sens!$G$10351</f>
        <v>166.551733438967</v>
      </c>
      <c r="H10370" s="38" t="n">
        <f aca="false">Sens!$H$10351</f>
        <v>221.182967828978</v>
      </c>
      <c r="I10370" s="38" t="n">
        <f aca="false">Sens!$I$10351</f>
        <v>280.27345865789</v>
      </c>
      <c r="J10370" s="38" t="n">
        <f aca="false">Sens!$J$10351</f>
        <v>338.800945197185</v>
      </c>
      <c r="K10370" s="38" t="n">
        <f aca="false">Sens!$K$10351</f>
        <v>390.17168267</v>
      </c>
      <c r="L10370" s="38" t="n">
        <f aca="false">Sens!$L$10351</f>
        <v>431.217780537388</v>
      </c>
      <c r="M10370" s="38" t="n">
        <f aca="false">Sens!$M$10351</f>
        <v>462.010668928853</v>
      </c>
      <c r="N10370" s="38" t="n">
        <f aca="false">Sens!$N$10351</f>
        <v>60.14</v>
      </c>
      <c r="O10370" s="38" t="n">
        <f aca="false">Sens!$O$10351</f>
        <v>68.585</v>
      </c>
    </row>
    <row r="10371" customFormat="false" ht="15" hidden="false" customHeight="false" outlineLevel="0" collapsed="false">
      <c r="A10371" s="1" t="s">
        <v>512</v>
      </c>
      <c r="B10371" s="8" t="s">
        <v>86</v>
      </c>
      <c r="C10371" s="38" t="n">
        <f aca="false">Sens!$C$10284</f>
        <v>387.497</v>
      </c>
      <c r="D10371" s="38" t="n">
        <f aca="false">Sens!$D$10284</f>
        <v>426.305</v>
      </c>
      <c r="E10371" s="38" t="n">
        <f aca="false">Sens!$E$10284</f>
        <v>220.32</v>
      </c>
      <c r="F10371" s="38" t="n">
        <f aca="false">Sens!$F$10284</f>
        <v>250.639773480586</v>
      </c>
      <c r="G10371" s="38" t="n">
        <f aca="false">Sens!$G$10284</f>
        <v>470.959773480586</v>
      </c>
      <c r="H10371" s="38" t="n">
        <f aca="false">Sens!$H$10284</f>
        <v>521.386990416437</v>
      </c>
      <c r="I10371" s="38" t="n">
        <f aca="false">Sens!$I$10284</f>
        <v>570.143862887555</v>
      </c>
      <c r="J10371" s="38" t="n">
        <f aca="false">Sens!$J$10284</f>
        <v>615.391435791933</v>
      </c>
      <c r="K10371" s="38" t="n">
        <f aca="false">Sens!$K$10284</f>
        <v>655.208227561543</v>
      </c>
      <c r="L10371" s="38" t="n">
        <f aca="false">Sens!$L$10284</f>
        <v>697.807739249767</v>
      </c>
      <c r="M10371" s="38" t="n">
        <f aca="false">Sens!$M$10284</f>
        <v>743.399328463592</v>
      </c>
      <c r="N10371" s="38" t="n">
        <f aca="false">Sens!$N$10284</f>
        <v>192.955</v>
      </c>
      <c r="O10371" s="38" t="n">
        <f aca="false">Sens!$O$10284</f>
        <v>233.35</v>
      </c>
    </row>
    <row r="10372" customFormat="false" ht="15" hidden="false" customHeight="false" outlineLevel="0" collapsed="false">
      <c r="A10372" s="1" t="s">
        <v>515</v>
      </c>
      <c r="B10372" s="8" t="s">
        <v>86</v>
      </c>
      <c r="C10372" s="38" t="n">
        <f aca="false">Sens!$C$10285</f>
        <v>142.906</v>
      </c>
      <c r="D10372" s="38" t="n">
        <f aca="false">Sens!$D$10285</f>
        <v>161.894</v>
      </c>
      <c r="E10372" s="38" t="n">
        <f aca="false">Sens!$E$10285</f>
        <v>81.986</v>
      </c>
      <c r="F10372" s="38" t="n">
        <f aca="false">Sens!$F$10285</f>
        <v>98.408468164951</v>
      </c>
      <c r="G10372" s="38" t="n">
        <f aca="false">Sens!$G$10285</f>
        <v>180.394468164951</v>
      </c>
      <c r="H10372" s="38" t="n">
        <f aca="false">Sens!$H$10285</f>
        <v>199.709899104949</v>
      </c>
      <c r="I10372" s="38" t="n">
        <f aca="false">Sens!$I$10285</f>
        <v>218.385528264976</v>
      </c>
      <c r="J10372" s="38" t="n">
        <f aca="false">Sens!$J$10285</f>
        <v>235.71696994951</v>
      </c>
      <c r="K10372" s="38" t="n">
        <f aca="false">Sens!$K$10285</f>
        <v>250.968227869545</v>
      </c>
      <c r="L10372" s="38" t="n">
        <f aca="false">Sens!$L$10285</f>
        <v>267.285367225822</v>
      </c>
      <c r="M10372" s="38" t="n">
        <f aca="false">Sens!$M$10285</f>
        <v>284.748579483295</v>
      </c>
      <c r="N10372" s="38" t="n">
        <f aca="false">Sens!$N$10285</f>
        <v>70.274</v>
      </c>
      <c r="O10372" s="38" t="n">
        <f aca="false">Sens!$O$10285</f>
        <v>91.62</v>
      </c>
    </row>
    <row r="10373" customFormat="false" ht="15" hidden="false" customHeight="false" outlineLevel="0" collapsed="false">
      <c r="A10373" s="1" t="s">
        <v>516</v>
      </c>
      <c r="B10373" s="8" t="s">
        <v>86</v>
      </c>
      <c r="C10373" s="38" t="n">
        <f aca="false">Sens!$C$10351</f>
        <v>107.556</v>
      </c>
      <c r="D10373" s="38" t="n">
        <f aca="false">Sens!$D$10351</f>
        <v>128.725</v>
      </c>
      <c r="E10373" s="38" t="n">
        <f aca="false">Sens!$E$10351</f>
        <v>79.819</v>
      </c>
      <c r="F10373" s="38" t="n">
        <f aca="false">Sens!$F$10351</f>
        <v>86.7327334389669</v>
      </c>
      <c r="G10373" s="38" t="n">
        <f aca="false">Sens!$G$10351</f>
        <v>166.551733438967</v>
      </c>
      <c r="H10373" s="38" t="n">
        <f aca="false">Sens!$H$10351</f>
        <v>221.182967828978</v>
      </c>
      <c r="I10373" s="38" t="n">
        <f aca="false">Sens!$I$10351</f>
        <v>280.27345865789</v>
      </c>
      <c r="J10373" s="38" t="n">
        <f aca="false">Sens!$J$10351</f>
        <v>338.800945197185</v>
      </c>
      <c r="K10373" s="38" t="n">
        <f aca="false">Sens!$K$10351</f>
        <v>390.17168267</v>
      </c>
      <c r="L10373" s="38" t="n">
        <f aca="false">Sens!$L$10351</f>
        <v>431.217780537388</v>
      </c>
      <c r="M10373" s="38" t="n">
        <f aca="false">Sens!$M$10351</f>
        <v>462.010668928853</v>
      </c>
      <c r="N10373" s="38" t="n">
        <f aca="false">Sens!$N$10351</f>
        <v>60.14</v>
      </c>
      <c r="O10373" s="38" t="n">
        <f aca="false">Sens!$O$10351</f>
        <v>68.585</v>
      </c>
    </row>
    <row r="10374" customFormat="false" ht="17.15" hidden="false" customHeight="false" outlineLevel="0" collapsed="false">
      <c r="A10374" s="0" t="s">
        <v>691</v>
      </c>
      <c r="B10374" s="0" t="s">
        <v>86</v>
      </c>
      <c r="C10374" s="38" t="n">
        <f aca="false">Sens!$C$10349</f>
        <v>2.32100535697364</v>
      </c>
      <c r="D10374" s="38" t="n">
        <f aca="false">Sens!$D$10349</f>
        <v>8.70377008865116</v>
      </c>
      <c r="E10374" s="38" t="n">
        <f aca="false">Sens!$E$10349</f>
        <v>8.51035297557002</v>
      </c>
      <c r="F10374" s="38" t="n">
        <f aca="false">Sens!$F$10349</f>
        <v>14.9634336447205</v>
      </c>
      <c r="G10374" s="38" t="n">
        <f aca="false">Sens!$G$10349</f>
        <v>23.4737866202905</v>
      </c>
      <c r="H10374" s="38" t="n">
        <f aca="false">Sens!$H$10349</f>
        <v>60.1658907497746</v>
      </c>
      <c r="I10374" s="38" t="n">
        <f aca="false">Sens!$I$10349</f>
        <v>101.503699136432</v>
      </c>
      <c r="J10374" s="38" t="n">
        <f aca="false">Sens!$J$10349</f>
        <v>143.025407151278</v>
      </c>
      <c r="K10374" s="38" t="n">
        <f aca="false">Sens!$K$10349</f>
        <v>178.73410158042</v>
      </c>
      <c r="L10374" s="38" t="n">
        <f aca="false">Sens!$L$10349</f>
        <v>202.865192960641</v>
      </c>
      <c r="M10374" s="38" t="n">
        <f aca="false">Sens!$M$10349</f>
        <v>215.389874345967</v>
      </c>
      <c r="N10374" s="38" t="n">
        <f aca="false">Sens!$N$10349</f>
        <v>3.04631953102791</v>
      </c>
      <c r="O10374" s="38" t="n">
        <f aca="false">Sens!$O$10349</f>
        <v>5.65745055762326</v>
      </c>
    </row>
    <row r="10375" customFormat="false" ht="17.15" hidden="false" customHeight="false" outlineLevel="0" collapsed="false">
      <c r="A10375" s="0" t="s">
        <v>693</v>
      </c>
      <c r="B10375" s="0" t="s">
        <v>86</v>
      </c>
      <c r="C10375" s="38" t="n">
        <f aca="false">Sens!$C$10350</f>
        <v>105.234994643026</v>
      </c>
      <c r="D10375" s="38" t="n">
        <f aca="false">Sens!$D$10350</f>
        <v>120.021229911349</v>
      </c>
      <c r="E10375" s="38" t="n">
        <f aca="false">Sens!$E$10350</f>
        <v>71.30864702443</v>
      </c>
      <c r="F10375" s="38" t="n">
        <f aca="false">Sens!$F$10350</f>
        <v>71.7692997942464</v>
      </c>
      <c r="G10375" s="38" t="n">
        <f aca="false">Sens!$G$10350</f>
        <v>143.077946818676</v>
      </c>
      <c r="H10375" s="38" t="n">
        <f aca="false">Sens!$H$10350</f>
        <v>161.017077079203</v>
      </c>
      <c r="I10375" s="38" t="n">
        <f aca="false">Sens!$I$10350</f>
        <v>178.769759521457</v>
      </c>
      <c r="J10375" s="38" t="n">
        <f aca="false">Sens!$J$10350</f>
        <v>195.775538045907</v>
      </c>
      <c r="K10375" s="38" t="n">
        <f aca="false">Sens!$K$10350</f>
        <v>211.43758108958</v>
      </c>
      <c r="L10375" s="38" t="n">
        <f aca="false">Sens!$L$10350</f>
        <v>228.352587576746</v>
      </c>
      <c r="M10375" s="38" t="n">
        <f aca="false">Sens!$M$10350</f>
        <v>246.620794582886</v>
      </c>
      <c r="N10375" s="38" t="n">
        <f aca="false">Sens!$N$10350</f>
        <v>57.0936804689721</v>
      </c>
      <c r="O10375" s="38" t="n">
        <f aca="false">Sens!$O$10350</f>
        <v>62.9275494423768</v>
      </c>
    </row>
    <row r="10376" customFormat="false" ht="15" hidden="false" customHeight="false" outlineLevel="0" collapsed="false">
      <c r="A10376" s="3" t="s">
        <v>517</v>
      </c>
      <c r="B10376" s="8" t="s">
        <v>86</v>
      </c>
      <c r="C10376" s="38" t="n">
        <f aca="false">Sens!$C$10352</f>
        <v>637.959</v>
      </c>
      <c r="D10376" s="38" t="n">
        <f aca="false">Sens!$D$10352</f>
        <v>716.924</v>
      </c>
      <c r="E10376" s="38" t="n">
        <f aca="false">Sens!$E$10352</f>
        <v>382.125</v>
      </c>
      <c r="F10376" s="38" t="n">
        <f aca="false">Sens!$F$10352</f>
        <v>435.780975084504</v>
      </c>
      <c r="G10376" s="38" t="n">
        <f aca="false">Sens!$G$10352</f>
        <v>817.905975084504</v>
      </c>
      <c r="H10376" s="38" t="n">
        <f aca="false">Sens!$H$10352</f>
        <v>942.279857350364</v>
      </c>
      <c r="I10376" s="38" t="n">
        <f aca="false">Sens!$I$10352</f>
        <v>1068.80284981042</v>
      </c>
      <c r="J10376" s="38" t="n">
        <f aca="false">Sens!$J$10352</f>
        <v>1189.90935093863</v>
      </c>
      <c r="K10376" s="38" t="n">
        <f aca="false">Sens!$K$10352</f>
        <v>1296.34813810109</v>
      </c>
      <c r="L10376" s="38" t="n">
        <f aca="false">Sens!$L$10352</f>
        <v>1396.31088701298</v>
      </c>
      <c r="M10376" s="38" t="n">
        <f aca="false">Sens!$M$10352</f>
        <v>1490.15857687574</v>
      </c>
      <c r="N10376" s="38" t="n">
        <f aca="false">Sens!$N$10352</f>
        <v>323.369</v>
      </c>
      <c r="O10376" s="38" t="n">
        <f aca="false">Sens!$O$10352</f>
        <v>393.555</v>
      </c>
    </row>
    <row r="10377" customFormat="false" ht="17.15" hidden="false" customHeight="false" outlineLevel="0" collapsed="false">
      <c r="A10377" s="24" t="s">
        <v>703</v>
      </c>
      <c r="B10377" s="25" t="s">
        <v>86</v>
      </c>
      <c r="C10377" s="41" t="n">
        <f aca="false">Sens!$C$10364+Sens!$C$10365+Sens!$C$10366+Sens!$C$10367+Sens!$C$10368+Sens!$C$10369-(Sens!$C$10371+Sens!$C$10372)</f>
        <v>0</v>
      </c>
      <c r="D10377" s="41" t="n">
        <f aca="false">Sens!$D$10364+Sens!$D$10365+Sens!$D$10366+Sens!$D$10367+Sens!$D$10368+Sens!$D$10369-(Sens!$D$10371+Sens!$D$10372)</f>
        <v>0</v>
      </c>
      <c r="E10377" s="41" t="n">
        <f aca="false">Sens!$E$10364+Sens!$E$10365+Sens!$E$10366+Sens!$E$10367+Sens!$E$10368+Sens!$E$10369-(Sens!$E$10371+Sens!$E$10372)</f>
        <v>0</v>
      </c>
      <c r="F10377" s="41" t="n">
        <f aca="false">Sens!$F$10364+Sens!$F$10365+Sens!$F$10366+Sens!$F$10367+Sens!$F$10368+Sens!$F$10369-(Sens!$F$10371+Sens!$F$10372)</f>
        <v>0</v>
      </c>
      <c r="G10377" s="41" t="n">
        <f aca="false">Sens!$G$10364+Sens!$G$10365+Sens!$G$10366+Sens!$G$10367+Sens!$G$10368+Sens!$G$10369-(Sens!$G$10371+Sens!$G$10372)</f>
        <v>0</v>
      </c>
      <c r="H10377" s="41" t="n">
        <f aca="false">Sens!$H$10364+Sens!$H$10365+Sens!$H$10366+Sens!$H$10367+Sens!$H$10368+Sens!$H$10369-(Sens!$H$10371+Sens!$H$10372)</f>
        <v>0</v>
      </c>
      <c r="I10377" s="41" t="n">
        <f aca="false">Sens!$I$10364+Sens!$I$10365+Sens!$I$10366+Sens!$I$10367+Sens!$I$10368+Sens!$I$10369-(Sens!$I$10371+Sens!$I$10372)</f>
        <v>0</v>
      </c>
      <c r="J10377" s="41" t="n">
        <f aca="false">Sens!$J$10364+Sens!$J$10365+Sens!$J$10366+Sens!$J$10367+Sens!$J$10368+Sens!$J$10369-(Sens!$J$10371+Sens!$J$10372)</f>
        <v>0</v>
      </c>
      <c r="K10377" s="41" t="n">
        <f aca="false">Sens!$K$10364+Sens!$K$10365+Sens!$K$10366+Sens!$K$10367+Sens!$K$10368+Sens!$K$10369-(Sens!$K$10371+Sens!$K$10372)</f>
        <v>0</v>
      </c>
      <c r="L10377" s="41" t="n">
        <f aca="false">Sens!$L$10364+Sens!$L$10365+Sens!$L$10366+Sens!$L$10367+Sens!$L$10368+Sens!$L$10369-(Sens!$L$10371+Sens!$L$10372)</f>
        <v>0</v>
      </c>
      <c r="M10377" s="41" t="n">
        <f aca="false">Sens!$M$10364+Sens!$M$10365+Sens!$M$10366+Sens!$M$10367+Sens!$M$10368+Sens!$M$10369-(Sens!$M$10371+Sens!$M$10372)</f>
        <v>0</v>
      </c>
      <c r="N10377" s="41" t="n">
        <f aca="false">Sens!$N$10364+Sens!$N$10365+Sens!$N$10366+Sens!$N$10367+Sens!$N$10368+Sens!$N$10369-(Sens!$N$10371+Sens!$N$10372)</f>
        <v>0</v>
      </c>
      <c r="O10377" s="41" t="n">
        <f aca="false">Sens!$O$10364+Sens!$O$10365+Sens!$O$10366+Sens!$O$10367+Sens!$O$10368+Sens!$O$10369-(Sens!$O$10371+Sens!$O$10372)</f>
        <v>0</v>
      </c>
    </row>
    <row r="10378" customFormat="false" ht="17.15" hidden="false" customHeight="false" outlineLevel="0" collapsed="false">
      <c r="A10378" s="24" t="s">
        <v>704</v>
      </c>
      <c r="B10378" s="25" t="s">
        <v>86</v>
      </c>
      <c r="C10378" s="41" t="n">
        <f aca="false">Sens!$C$10374+Sens!$C$10375-Sens!$C$10373</f>
        <v>0</v>
      </c>
      <c r="D10378" s="41" t="n">
        <f aca="false">Sens!$D$10374+Sens!$D$10375-Sens!$D$10373</f>
        <v>0</v>
      </c>
      <c r="E10378" s="41" t="n">
        <f aca="false">Sens!$E$10374+Sens!$E$10375-Sens!$E$10373</f>
        <v>0</v>
      </c>
      <c r="F10378" s="41" t="n">
        <f aca="false">Sens!$F$10374+Sens!$F$10375-Sens!$F$10373</f>
        <v>0</v>
      </c>
      <c r="G10378" s="41" t="n">
        <f aca="false">Sens!$G$10374+Sens!$G$10375-Sens!$G$10373</f>
        <v>0</v>
      </c>
      <c r="H10378" s="41" t="n">
        <f aca="false">Sens!$H$10374+Sens!$H$10375-Sens!$H$10373</f>
        <v>0</v>
      </c>
      <c r="I10378" s="41" t="n">
        <f aca="false">Sens!$I$10374+Sens!$I$10375-Sens!$I$10373</f>
        <v>0</v>
      </c>
      <c r="J10378" s="41" t="n">
        <f aca="false">Sens!$J$10374+Sens!$J$10375-Sens!$J$10373</f>
        <v>0</v>
      </c>
      <c r="K10378" s="41" t="n">
        <f aca="false">Sens!$K$10374+Sens!$K$10375-Sens!$K$10373</f>
        <v>0</v>
      </c>
      <c r="L10378" s="41" t="n">
        <f aca="false">Sens!$L$10374+Sens!$L$10375-Sens!$L$10373</f>
        <v>0</v>
      </c>
      <c r="M10378" s="41" t="n">
        <f aca="false">Sens!$M$10374+Sens!$M$10375-Sens!$M$10373</f>
        <v>0</v>
      </c>
      <c r="N10378" s="41" t="n">
        <f aca="false">Sens!$N$10374+Sens!$N$10375-Sens!$N$10373</f>
        <v>0</v>
      </c>
      <c r="O10378" s="41" t="n">
        <f aca="false">Sens!$O$10374+Sens!$O$10375-Sens!$O$10373</f>
        <v>0</v>
      </c>
    </row>
    <row r="10379" customFormat="false" ht="17.15" hidden="false" customHeight="false" outlineLevel="0" collapsed="false">
      <c r="A10379" s="24" t="s">
        <v>763</v>
      </c>
      <c r="B10379" s="25" t="s">
        <v>86</v>
      </c>
      <c r="C10379" s="41" t="n">
        <f aca="false">Sens!$C$10364+Sens!$C$10365+Sens!$C$10366+Sens!$C$10367+Sens!$C$10368+Sens!$C$10369+Sens!$C$10370-Sens!$C$10376</f>
        <v>0</v>
      </c>
      <c r="D10379" s="41" t="n">
        <f aca="false">Sens!$D$10364+Sens!$D$10365+Sens!$D$10366+Sens!$D$10367+Sens!$D$10368+Sens!$D$10369+Sens!$D$10370-Sens!$D$10376</f>
        <v>0</v>
      </c>
      <c r="E10379" s="41" t="n">
        <f aca="false">Sens!$E$10364+Sens!$E$10365+Sens!$E$10366+Sens!$E$10367+Sens!$E$10368+Sens!$E$10369+Sens!$E$10370-Sens!$E$10376</f>
        <v>0</v>
      </c>
      <c r="F10379" s="41" t="n">
        <f aca="false">Sens!$F$10364+Sens!$F$10365+Sens!$F$10366+Sens!$F$10367+Sens!$F$10368+Sens!$F$10369+Sens!$F$10370-Sens!$F$10376</f>
        <v>0</v>
      </c>
      <c r="G10379" s="41" t="n">
        <f aca="false">Sens!$G$10364+Sens!$G$10365+Sens!$G$10366+Sens!$G$10367+Sens!$G$10368+Sens!$G$10369+Sens!$G$10370-Sens!$G$10376</f>
        <v>0</v>
      </c>
      <c r="H10379" s="41" t="n">
        <f aca="false">Sens!$H$10364+Sens!$H$10365+Sens!$H$10366+Sens!$H$10367+Sens!$H$10368+Sens!$H$10369+Sens!$H$10370-Sens!$H$10376</f>
        <v>0</v>
      </c>
      <c r="I10379" s="41" t="n">
        <f aca="false">Sens!$I$10364+Sens!$I$10365+Sens!$I$10366+Sens!$I$10367+Sens!$I$10368+Sens!$I$10369+Sens!$I$10370-Sens!$I$10376</f>
        <v>0</v>
      </c>
      <c r="J10379" s="41" t="n">
        <f aca="false">Sens!$J$10364+Sens!$J$10365+Sens!$J$10366+Sens!$J$10367+Sens!$J$10368+Sens!$J$10369+Sens!$J$10370-Sens!$J$10376</f>
        <v>0</v>
      </c>
      <c r="K10379" s="41" t="n">
        <f aca="false">Sens!$K$10364+Sens!$K$10365+Sens!$K$10366+Sens!$K$10367+Sens!$K$10368+Sens!$K$10369+Sens!$K$10370-Sens!$K$10376</f>
        <v>0</v>
      </c>
      <c r="L10379" s="41" t="n">
        <f aca="false">Sens!$L$10364+Sens!$L$10365+Sens!$L$10366+Sens!$L$10367+Sens!$L$10368+Sens!$L$10369+Sens!$L$10370-Sens!$L$10376</f>
        <v>0</v>
      </c>
      <c r="M10379" s="41" t="n">
        <f aca="false">Sens!$M$10364+Sens!$M$10365+Sens!$M$10366+Sens!$M$10367+Sens!$M$10368+Sens!$M$10369+Sens!$M$10370-Sens!$M$10376</f>
        <v>0</v>
      </c>
      <c r="N10379" s="41" t="n">
        <f aca="false">Sens!$N$10364+Sens!$N$10365+Sens!$N$10366+Sens!$N$10367+Sens!$N$10368+Sens!$N$10369+Sens!$N$10370-Sens!$N$10376</f>
        <v>0</v>
      </c>
      <c r="O10379" s="41" t="n">
        <f aca="false">Sens!$O$10364+Sens!$O$10365+Sens!$O$10366+Sens!$O$10367+Sens!$O$10368+Sens!$O$10369+Sens!$O$10370-Sens!$O$10376</f>
        <v>0</v>
      </c>
    </row>
    <row r="10380" customFormat="false" ht="17.15" hidden="false" customHeight="false" outlineLevel="0" collapsed="false">
      <c r="A10380" s="24" t="s">
        <v>705</v>
      </c>
      <c r="B10380" s="25" t="s">
        <v>86</v>
      </c>
      <c r="C10380" s="41" t="n">
        <f aca="false">Sens!$C$10371+Sens!$C$10372+Sens!$C$10373-Sens!$C$10376</f>
        <v>0</v>
      </c>
      <c r="D10380" s="41" t="n">
        <f aca="false">Sens!$D$10371+Sens!$D$10372+Sens!$D$10373-Sens!$D$10376</f>
        <v>0</v>
      </c>
      <c r="E10380" s="41" t="n">
        <f aca="false">Sens!$E$10371+Sens!$E$10372+Sens!$E$10373-Sens!$E$10376</f>
        <v>0</v>
      </c>
      <c r="F10380" s="41" t="n">
        <f aca="false">Sens!$F$10371+Sens!$F$10372+Sens!$F$10373-Sens!$F$10376</f>
        <v>0</v>
      </c>
      <c r="G10380" s="41" t="n">
        <f aca="false">Sens!$G$10371+Sens!$G$10372+Sens!$G$10373-Sens!$G$10376</f>
        <v>0</v>
      </c>
      <c r="H10380" s="41" t="n">
        <f aca="false">Sens!$H$10371+Sens!$H$10372+Sens!$H$10373-Sens!$H$10376</f>
        <v>0</v>
      </c>
      <c r="I10380" s="41" t="n">
        <f aca="false">Sens!$I$10371+Sens!$I$10372+Sens!$I$10373-Sens!$I$10376</f>
        <v>0</v>
      </c>
      <c r="J10380" s="41" t="n">
        <f aca="false">Sens!$J$10371+Sens!$J$10372+Sens!$J$10373-Sens!$J$10376</f>
        <v>0</v>
      </c>
      <c r="K10380" s="41" t="n">
        <f aca="false">Sens!$K$10371+Sens!$K$10372+Sens!$K$10373-Sens!$K$10376</f>
        <v>0</v>
      </c>
      <c r="L10380" s="41" t="n">
        <f aca="false">Sens!$L$10371+Sens!$L$10372+Sens!$L$10373-Sens!$L$10376</f>
        <v>0</v>
      </c>
      <c r="M10380" s="41" t="n">
        <f aca="false">Sens!$M$10371+Sens!$M$10372+Sens!$M$10373-Sens!$M$10376</f>
        <v>0</v>
      </c>
      <c r="N10380" s="41" t="n">
        <f aca="false">Sens!$N$10371+Sens!$N$10372+Sens!$N$10373-Sens!$N$10376</f>
        <v>0</v>
      </c>
      <c r="O10380" s="41" t="n">
        <f aca="false">Sens!$O$10371+Sens!$O$10372+Sens!$O$10373-Sens!$O$10376</f>
        <v>0</v>
      </c>
    </row>
    <row r="10381" customFormat="false" ht="17.15" hidden="false" customHeight="false" outlineLevel="0" collapsed="false">
      <c r="A10381" s="1" t="s">
        <v>719</v>
      </c>
    </row>
    <row r="10382" customFormat="false" ht="17.15" hidden="false" customHeight="false" outlineLevel="0" collapsed="false">
      <c r="A10382" s="0" t="s">
        <v>720</v>
      </c>
      <c r="B10382" s="0" t="s">
        <v>86</v>
      </c>
      <c r="C10382" s="38" t="n">
        <f aca="false">Sens!$C$10286*m_ad</f>
        <v>20.5341564414228</v>
      </c>
      <c r="D10382" s="38" t="n">
        <f aca="false">Sens!$D$10286*m_ad</f>
        <v>24.8720617299587</v>
      </c>
      <c r="E10382" s="38" t="n">
        <f aca="false">Sens!$E$10286*m_ad</f>
        <v>13.5017112462207</v>
      </c>
      <c r="F10382" s="38" t="n">
        <f aca="false">Sens!$F$10286*m_ad</f>
        <v>16.5719724165257</v>
      </c>
      <c r="G10382" s="38" t="n">
        <f aca="false">Sens!$G$10286*m_ad</f>
        <v>30.0820919220415</v>
      </c>
      <c r="H10382" s="38" t="n">
        <f aca="false">Sens!$H$10286*m_ad</f>
        <v>36.1150883276314</v>
      </c>
      <c r="I10382" s="38" t="n">
        <f aca="false">Sens!$I$10286*m_ad</f>
        <v>42.1475382231996</v>
      </c>
      <c r="J10382" s="38" t="n">
        <f aca="false">Sens!$J$10286*m_ad</f>
        <v>47.7749523864693</v>
      </c>
      <c r="K10382" s="38" t="n">
        <f aca="false">Sens!$K$10286*m_ad</f>
        <v>52.5524476251162</v>
      </c>
      <c r="L10382" s="38" t="n">
        <f aca="false">Sens!$L$10286*m_ad</f>
        <v>57.8076923876279</v>
      </c>
      <c r="M10382" s="38" t="n">
        <f aca="false">Sens!$M$10286*m_ad</f>
        <v>63.5884616263907</v>
      </c>
      <c r="N10382" s="38" t="n">
        <f aca="false">Sens!$N$10286*m_ad</f>
        <v>10.8543555706248</v>
      </c>
      <c r="O10382" s="38" t="n">
        <f aca="false">Sens!$O$10286*m_ad</f>
        <v>14.0094731821399</v>
      </c>
    </row>
    <row r="10383" customFormat="false" ht="17.15" hidden="false" customHeight="false" outlineLevel="0" collapsed="false">
      <c r="A10383" s="0" t="s">
        <v>721</v>
      </c>
      <c r="B10383" s="0" t="s">
        <v>86</v>
      </c>
      <c r="C10383" s="38" t="n">
        <f aca="false">Sens!$C$10284-Sens!$C$10286</f>
        <v>346.428687117154</v>
      </c>
      <c r="D10383" s="38" t="n">
        <f aca="false">Sens!$D$10284-Sens!$D$10286</f>
        <v>376.560876540083</v>
      </c>
      <c r="E10383" s="38" t="n">
        <f aca="false">Sens!$E$10284-Sens!$E$10286</f>
        <v>193.316577507559</v>
      </c>
      <c r="F10383" s="38" t="n">
        <f aca="false">Sens!$F$10284-Sens!$F$10286</f>
        <v>217.495828647535</v>
      </c>
      <c r="G10383" s="38" t="n">
        <f aca="false">Sens!$G$10284-Sens!$G$10286</f>
        <v>410.795589636503</v>
      </c>
      <c r="H10383" s="38" t="n">
        <f aca="false">Sens!$H$10284-Sens!$H$10286</f>
        <v>449.156813761174</v>
      </c>
      <c r="I10383" s="38" t="n">
        <f aca="false">Sens!$I$10284-Sens!$I$10286</f>
        <v>485.848786441156</v>
      </c>
      <c r="J10383" s="38" t="n">
        <f aca="false">Sens!$J$10284-Sens!$J$10286</f>
        <v>519.841531018994</v>
      </c>
      <c r="K10383" s="38" t="n">
        <f aca="false">Sens!$K$10284-Sens!$K$10286</f>
        <v>550.103332311311</v>
      </c>
      <c r="L10383" s="38" t="n">
        <f aca="false">Sens!$L$10284-Sens!$L$10286</f>
        <v>582.192354474511</v>
      </c>
      <c r="M10383" s="38" t="n">
        <f aca="false">Sens!$M$10284-Sens!$M$10286</f>
        <v>616.22240521081</v>
      </c>
      <c r="N10383" s="38" t="n">
        <f aca="false">Sens!$N$10284-Sens!$N$10286</f>
        <v>171.24628885875</v>
      </c>
      <c r="O10383" s="38" t="n">
        <f aca="false">Sens!$O$10284-Sens!$O$10286</f>
        <v>205.33105363572</v>
      </c>
    </row>
    <row r="10384" customFormat="false" ht="17.15" hidden="false" customHeight="false" outlineLevel="0" collapsed="false">
      <c r="A10384" s="0" t="s">
        <v>722</v>
      </c>
      <c r="B10384" s="0" t="s">
        <v>86</v>
      </c>
      <c r="C10384" s="38" t="n">
        <f aca="false">Sens!$C$10335*Sens!$C$10283</f>
        <v>0.123617442257179</v>
      </c>
      <c r="D10384" s="38" t="n">
        <f aca="false">Sens!$D$10335*Sens!$D$10283</f>
        <v>0.600198046024689</v>
      </c>
      <c r="E10384" s="38" t="n">
        <f aca="false">Sens!$E$10335*Sens!$E$10283</f>
        <v>0.970552432202993</v>
      </c>
      <c r="F10384" s="38" t="n">
        <f aca="false">Sens!$F$10335*Sens!$F$10283</f>
        <v>1.20013524388435</v>
      </c>
      <c r="G10384" s="38" t="n">
        <f aca="false">Sens!$G$10335*Sens!$G$10283</f>
        <v>2.17135369594947</v>
      </c>
      <c r="H10384" s="38" t="n">
        <f aca="false">Sens!$H$10335*Sens!$H$10283</f>
        <v>6.14227489656333</v>
      </c>
      <c r="I10384" s="38" t="n">
        <f aca="false">Sens!$I$10335*Sens!$I$10283</f>
        <v>11.6518054969681</v>
      </c>
      <c r="J10384" s="38" t="n">
        <f aca="false">Sens!$J$10335*Sens!$J$10283</f>
        <v>17.3105301010592</v>
      </c>
      <c r="K10384" s="38" t="n">
        <f aca="false">Sens!$K$10335*Sens!$K$10283</f>
        <v>22.8589387121659</v>
      </c>
      <c r="L10384" s="38" t="n">
        <f aca="false">Sens!$L$10335*Sens!$L$10283</f>
        <v>26.7822853944593</v>
      </c>
      <c r="M10384" s="38" t="n">
        <f aca="false">Sens!$M$10335*Sens!$M$10283</f>
        <v>29.3136477388215</v>
      </c>
      <c r="N10384" s="38" t="n">
        <f aca="false">Sens!$N$10335*Sens!$N$10283</f>
        <v>0.25053229484398</v>
      </c>
      <c r="O10384" s="38" t="n">
        <f aca="false">Sens!$O$10335*Sens!$O$10283</f>
        <v>0.349234376756897</v>
      </c>
    </row>
    <row r="10385" customFormat="false" ht="17.15" hidden="false" customHeight="false" outlineLevel="0" collapsed="false">
      <c r="A10385" s="0" t="s">
        <v>723</v>
      </c>
      <c r="B10385" s="0" t="s">
        <v>52</v>
      </c>
      <c r="C10385" s="28" t="n">
        <f aca="false">(Sens!$C$10386-Sens!$C$10382+Sens!$C$10384)/Sens!$C$10383</f>
        <v>0.0131526665379575</v>
      </c>
      <c r="D10385" s="28" t="n">
        <f aca="false">(Sens!$D$10386-Sens!$D$10382+Sens!$D$10384)/Sens!$D$10383</f>
        <v>0.0141999252954702</v>
      </c>
      <c r="E10385" s="28" t="n">
        <f aca="false">(Sens!$E$10386-Sens!$E$10382+Sens!$E$10384)/Sens!$E$10383</f>
        <v>0.0251341154940129</v>
      </c>
      <c r="F10385" s="28" t="n">
        <f aca="false">Sens!$O$10385+(Sens!$E$10385-Sens!$N$10385)</f>
        <v>0.0217171685713677</v>
      </c>
      <c r="G10385" s="28" t="n">
        <f aca="false">(Sens!$G$10386-Sens!$G$10382+Sens!$G$10384)/Sens!$G$10383</f>
        <v>0.0233071940458981</v>
      </c>
      <c r="H10385" s="28" t="n">
        <f aca="false">Sens!$G$10385+step_na</f>
        <v>0.0263071940458981</v>
      </c>
      <c r="I10385" s="28" t="n">
        <f aca="false">Sens!$H$10385+step_na</f>
        <v>0.0293071940458981</v>
      </c>
      <c r="J10385" s="28" t="n">
        <f aca="false">Sens!$I$10385+step_na</f>
        <v>0.0323071940458981</v>
      </c>
      <c r="K10385" s="28" t="n">
        <f aca="false">Sens!$J$10385+step_na</f>
        <v>0.0353071940458981</v>
      </c>
      <c r="L10385" s="28" t="n">
        <f aca="false">Sens!$K$10385</f>
        <v>0.0353071940458981</v>
      </c>
      <c r="M10385" s="28" t="n">
        <f aca="false">Sens!$L$10385</f>
        <v>0.0353071940458981</v>
      </c>
      <c r="N10385" s="28" t="n">
        <f aca="false">(Sens!$N$10386-Sens!$N$10382+Sens!$N$10384)/Sens!$N$10383</f>
        <v>0.0160831323269779</v>
      </c>
      <c r="O10385" s="28" t="n">
        <f aca="false">(Sens!$O$10386-Sens!$O$10382+Sens!$O$10384)/Sens!$O$10383</f>
        <v>0.0126661854043327</v>
      </c>
      <c r="P10385" s="8" t="s">
        <v>724</v>
      </c>
    </row>
    <row r="10386" customFormat="false" ht="17.15" hidden="false" customHeight="false" outlineLevel="0" collapsed="false">
      <c r="A10386" s="1" t="s">
        <v>725</v>
      </c>
      <c r="B10386" s="8" t="s">
        <v>86</v>
      </c>
      <c r="C10386" s="38" t="n">
        <f aca="false">Q!$D$22</f>
        <v>24.967</v>
      </c>
      <c r="D10386" s="38" t="n">
        <f aca="false">Q!$E$22</f>
        <v>29.619</v>
      </c>
      <c r="E10386" s="38" t="n">
        <f aca="false">Q!$P$22</f>
        <v>17.39</v>
      </c>
      <c r="F10386" s="38" t="n">
        <f aca="false">Sens!$F$10382+Sens!$F$10383*Sens!$F$10385-Sens!$F$10384</f>
        <v>20.0952307469491</v>
      </c>
      <c r="G10386" s="38" t="n">
        <f aca="false">Sens!$E$10386+Sens!$F$10386</f>
        <v>37.4852307469491</v>
      </c>
      <c r="H10386" s="38" t="n">
        <f aca="false">Sens!$H$10382+Sens!$H$10383*Sens!$H$10385-Sens!$H$10384</f>
        <v>41.7888688877206</v>
      </c>
      <c r="I10386" s="38" t="n">
        <f aca="false">Sens!$I$10382+Sens!$I$10383*Sens!$I$10385-Sens!$I$10384</f>
        <v>44.7345973874265</v>
      </c>
      <c r="J10386" s="38" t="n">
        <f aca="false">Sens!$J$10382+Sens!$J$10383*Sens!$J$10385-Sens!$J$10384</f>
        <v>47.2590435011574</v>
      </c>
      <c r="K10386" s="38" t="n">
        <f aca="false">Sens!$K$10382+Sens!$K$10383*Sens!$K$10385-Sens!$K$10384</f>
        <v>49.1161140121609</v>
      </c>
      <c r="L10386" s="38" t="n">
        <f aca="false">Sens!$L$10382+Sens!$L$10383*Sens!$L$10385-Sens!$L$10384</f>
        <v>51.5809854246384</v>
      </c>
      <c r="M10386" s="38" t="n">
        <f aca="false">Sens!$M$10382+Sens!$M$10383*Sens!$M$10385-Sens!$M$10384</f>
        <v>56.0318979237773</v>
      </c>
      <c r="N10386" s="38" t="n">
        <f aca="false">Q!$N$22</f>
        <v>13.358</v>
      </c>
      <c r="O10386" s="38" t="n">
        <f aca="false">Q!$O$22</f>
        <v>16.261</v>
      </c>
    </row>
    <row r="10387" customFormat="false" ht="17.15" hidden="false" customHeight="false" outlineLevel="0" collapsed="false">
      <c r="A10387" s="0" t="s">
        <v>726</v>
      </c>
      <c r="B10387" s="0" t="s">
        <v>86</v>
      </c>
      <c r="C10387" s="38" t="n">
        <f aca="false">Sens!$C$10287*m_ad</f>
        <v>7.57284355857716</v>
      </c>
      <c r="D10387" s="38" t="n">
        <f aca="false">Sens!$D$10287*m_ad</f>
        <v>9.44543827004127</v>
      </c>
      <c r="E10387" s="38" t="n">
        <f aca="false">Sens!$E$10287*m_ad</f>
        <v>5.02428875377928</v>
      </c>
      <c r="F10387" s="38" t="n">
        <f aca="false">Sens!$F$10287*m_ad</f>
        <v>6.50663858068173</v>
      </c>
      <c r="G10387" s="38" t="n">
        <f aca="false">Sens!$G$10287*m_ad</f>
        <v>11.5225190751659</v>
      </c>
      <c r="H10387" s="38" t="n">
        <f aca="false">Sens!$H$10287*m_ad</f>
        <v>13.8333728663174</v>
      </c>
      <c r="I10387" s="38" t="n">
        <f aca="false">Sens!$I$10287*m_ad</f>
        <v>16.1440173245485</v>
      </c>
      <c r="J10387" s="38" t="n">
        <f aca="false">Sens!$J$10287*m_ad</f>
        <v>18.2995185845066</v>
      </c>
      <c r="K10387" s="38" t="n">
        <f aca="false">Sens!$K$10287*m_ad</f>
        <v>20.1294704429572</v>
      </c>
      <c r="L10387" s="38" t="n">
        <f aca="false">Sens!$L$10287*m_ad</f>
        <v>22.142417487253</v>
      </c>
      <c r="M10387" s="38" t="n">
        <f aca="false">Sens!$M$10287*m_ad</f>
        <v>24.3566592359783</v>
      </c>
      <c r="N10387" s="38" t="n">
        <f aca="false">Sens!$N$10287*m_ad</f>
        <v>3.95314442937518</v>
      </c>
      <c r="O10387" s="38" t="n">
        <f aca="false">Sens!$O$10287*m_ad</f>
        <v>5.50052681786011</v>
      </c>
    </row>
    <row r="10388" customFormat="false" ht="17.15" hidden="false" customHeight="false" outlineLevel="0" collapsed="false">
      <c r="A10388" s="0" t="s">
        <v>727</v>
      </c>
      <c r="B10388" s="0" t="s">
        <v>86</v>
      </c>
      <c r="C10388" s="38" t="n">
        <f aca="false">Sens!$C$10285-Sens!$C$10287</f>
        <v>127.760312882846</v>
      </c>
      <c r="D10388" s="38" t="n">
        <f aca="false">Sens!$D$10285-Sens!$D$10287</f>
        <v>143.003123459917</v>
      </c>
      <c r="E10388" s="38" t="n">
        <f aca="false">Sens!$E$10285-Sens!$E$10287</f>
        <v>71.9374224924414</v>
      </c>
      <c r="F10388" s="38" t="n">
        <f aca="false">Sens!$F$10285-Sens!$F$10287</f>
        <v>85.3951910035875</v>
      </c>
      <c r="G10388" s="38" t="n">
        <f aca="false">Sens!$G$10285-Sens!$G$10287</f>
        <v>157.349430014619</v>
      </c>
      <c r="H10388" s="38" t="n">
        <f aca="false">Sens!$H$10285-Sens!$H$10287</f>
        <v>172.043153372315</v>
      </c>
      <c r="I10388" s="38" t="n">
        <f aca="false">Sens!$I$10285-Sens!$I$10287</f>
        <v>186.097493615879</v>
      </c>
      <c r="J10388" s="38" t="n">
        <f aca="false">Sens!$J$10285-Sens!$J$10287</f>
        <v>199.117932780497</v>
      </c>
      <c r="K10388" s="38" t="n">
        <f aca="false">Sens!$K$10285-Sens!$K$10287</f>
        <v>210.70928698363</v>
      </c>
      <c r="L10388" s="38" t="n">
        <f aca="false">Sens!$L$10285-Sens!$L$10287</f>
        <v>223.000532251316</v>
      </c>
      <c r="M10388" s="38" t="n">
        <f aca="false">Sens!$M$10285-Sens!$M$10287</f>
        <v>236.035261011339</v>
      </c>
      <c r="N10388" s="38" t="n">
        <f aca="false">Sens!$N$10285-Sens!$N$10287</f>
        <v>62.3677111412496</v>
      </c>
      <c r="O10388" s="38" t="n">
        <f aca="false">Sens!$O$10285-Sens!$O$10287</f>
        <v>80.6189463642798</v>
      </c>
    </row>
    <row r="10389" customFormat="false" ht="17.15" hidden="false" customHeight="false" outlineLevel="0" collapsed="false">
      <c r="A10389" s="0" t="s">
        <v>728</v>
      </c>
      <c r="B10389" s="0" t="s">
        <v>86</v>
      </c>
      <c r="C10389" s="38" t="n">
        <f aca="false">Sens!$C$10335*(1-Sens!$C$10283)</f>
        <v>0.0455891896019953</v>
      </c>
      <c r="D10389" s="38" t="n">
        <f aca="false">Sens!$D$10335*(1-Sens!$D$10283)</f>
        <v>0.227931791705753</v>
      </c>
      <c r="E10389" s="38" t="n">
        <f aca="false">Sens!$E$10335*(1-Sens!$E$10283)</f>
        <v>0.361164268820781</v>
      </c>
      <c r="F10389" s="38" t="n">
        <f aca="false">Sens!$F$10335*(1-Sens!$F$10283)</f>
        <v>0.471208018190203</v>
      </c>
      <c r="G10389" s="38" t="n">
        <f aca="false">Sens!$G$10335*(1-Sens!$G$10283)</f>
        <v>0.83170626714885</v>
      </c>
      <c r="H10389" s="38" t="n">
        <f aca="false">Sens!$H$10335*(1-Sens!$H$10283)</f>
        <v>2.35271136874315</v>
      </c>
      <c r="I10389" s="38" t="n">
        <f aca="false">Sens!$I$10335*(1-Sens!$I$10283)</f>
        <v>4.46305900024741</v>
      </c>
      <c r="J10389" s="38" t="n">
        <f aca="false">Sens!$J$10335*(1-Sens!$J$10283)</f>
        <v>6.63055328092195</v>
      </c>
      <c r="K10389" s="38" t="n">
        <f aca="false">Sens!$K$10335*(1-Sens!$K$10283)</f>
        <v>8.75579258355993</v>
      </c>
      <c r="L10389" s="38" t="n">
        <f aca="false">Sens!$L$10335*(1-Sens!$L$10283)</f>
        <v>10.2585749399988</v>
      </c>
      <c r="M10389" s="38" t="n">
        <f aca="false">Sens!$M$10335*(1-Sens!$M$10283)</f>
        <v>11.2281774189307</v>
      </c>
      <c r="N10389" s="38" t="n">
        <f aca="false">Sens!$N$10335*(1-Sens!$N$10283)</f>
        <v>0.0912435878202994</v>
      </c>
      <c r="O10389" s="38" t="n">
        <f aca="false">Sens!$O$10335*(1-Sens!$O$10283)</f>
        <v>0.137119578309265</v>
      </c>
    </row>
    <row r="10390" customFormat="false" ht="17.15" hidden="false" customHeight="false" outlineLevel="0" collapsed="false">
      <c r="A10390" s="0" t="s">
        <v>729</v>
      </c>
      <c r="B10390" s="0" t="s">
        <v>52</v>
      </c>
      <c r="C10390" s="28" t="n">
        <f aca="false">(Sens!$C$10391-Sens!$C$10387+Sens!$C$10389)/Sens!$C$10388</f>
        <v>-0.0292364215826579</v>
      </c>
      <c r="D10390" s="28" t="n">
        <f aca="false">(Sens!$D$10391-Sens!$D$10387+Sens!$D$10389)/Sens!$D$10388</f>
        <v>-0.0312406216748665</v>
      </c>
      <c r="E10390" s="28" t="n">
        <f aca="false">(Sens!$E$10391-Sens!$E$10387+Sens!$E$10389)/Sens!$E$10388</f>
        <v>-0.0211590078184749</v>
      </c>
      <c r="F10390" s="28" t="n">
        <f aca="false">Sens!$O$10390+(Sens!$E$10390-Sens!$N$10390)</f>
        <v>-0.0382539955245511</v>
      </c>
      <c r="G10390" s="28" t="n">
        <f aca="false">(Sens!$G$10391-Sens!$G$10387+Sens!$G$10389)/Sens!$G$10388</f>
        <v>-0.030385172031133</v>
      </c>
      <c r="H10390" s="28" t="n">
        <f aca="false">Sens!$G$10390+step_in</f>
        <v>-0.030385172031133</v>
      </c>
      <c r="I10390" s="28" t="n">
        <f aca="false">Sens!$H$10390+step_in</f>
        <v>-0.030385172031133</v>
      </c>
      <c r="J10390" s="28" t="n">
        <f aca="false">Sens!$I$10390+step_in</f>
        <v>-0.030385172031133</v>
      </c>
      <c r="K10390" s="28" t="n">
        <f aca="false">Sens!$J$10390+step_in</f>
        <v>-0.030385172031133</v>
      </c>
      <c r="L10390" s="28" t="n">
        <f aca="false">Sens!$K$10390</f>
        <v>-0.030385172031133</v>
      </c>
      <c r="M10390" s="28" t="n">
        <f aca="false">Sens!$L$10390</f>
        <v>-0.030385172031133</v>
      </c>
      <c r="N10390" s="28" t="n">
        <f aca="false">(Sens!$N$10391-Sens!$N$10387+Sens!$N$10389)/Sens!$N$10388</f>
        <v>-0.0216602600421776</v>
      </c>
      <c r="O10390" s="28" t="n">
        <f aca="false">(Sens!$O$10391-Sens!$O$10387+Sens!$O$10389)/Sens!$O$10388</f>
        <v>-0.0387552477482538</v>
      </c>
      <c r="P10390" s="8" t="s">
        <v>724</v>
      </c>
    </row>
    <row r="10391" customFormat="false" ht="17.15" hidden="false" customHeight="false" outlineLevel="0" collapsed="false">
      <c r="A10391" s="1" t="s">
        <v>730</v>
      </c>
      <c r="B10391" s="8" t="s">
        <v>86</v>
      </c>
      <c r="C10391" s="38" t="n">
        <f aca="false">Q!$D$23</f>
        <v>3.792</v>
      </c>
      <c r="D10391" s="38" t="n">
        <f aca="false">Q!$E$23</f>
        <v>4.75</v>
      </c>
      <c r="E10391" s="38" t="n">
        <f aca="false">Q!$P$23</f>
        <v>3.141</v>
      </c>
      <c r="F10391" s="38" t="n">
        <f aca="false">Sens!$F$10387+Sens!$F$10388*Sens!$F$10390-Sens!$F$10389</f>
        <v>2.7687233080221</v>
      </c>
      <c r="G10391" s="38" t="n">
        <f aca="false">Sens!$E$10391+Sens!$F$10391</f>
        <v>5.9097233080221</v>
      </c>
      <c r="H10391" s="38" t="n">
        <f aca="false">Sens!$H$10387+Sens!$H$10388*Sens!$H$10390-Sens!$H$10389</f>
        <v>6.25310068557783</v>
      </c>
      <c r="I10391" s="38" t="n">
        <f aca="false">Sens!$I$10387+Sens!$I$10388*Sens!$I$10390-Sens!$I$10389</f>
        <v>6.02635396621997</v>
      </c>
      <c r="J10391" s="38" t="n">
        <f aca="false">Sens!$J$10387+Sens!$J$10388*Sens!$J$10390-Sens!$J$10389</f>
        <v>5.61873266156566</v>
      </c>
      <c r="K10391" s="38" t="n">
        <f aca="false">Sens!$K$10387+Sens!$K$10388*Sens!$K$10390-Sens!$K$10389</f>
        <v>4.97123992584234</v>
      </c>
      <c r="L10391" s="38" t="n">
        <f aca="false">Sens!$L$10387+Sens!$L$10388*Sens!$L$10390-Sens!$L$10389</f>
        <v>5.10793301176375</v>
      </c>
      <c r="M10391" s="38" t="n">
        <f aca="false">Sens!$M$10387+Sens!$M$10388*Sens!$M$10390-Sens!$M$10389</f>
        <v>5.95650980580469</v>
      </c>
      <c r="N10391" s="38" t="n">
        <f aca="false">Q!$N$23</f>
        <v>2.511</v>
      </c>
      <c r="O10391" s="38" t="n">
        <f aca="false">Q!$O$23</f>
        <v>2.239</v>
      </c>
    </row>
    <row r="10392" customFormat="false" ht="17.15" hidden="false" customHeight="false" outlineLevel="0" collapsed="false">
      <c r="A10392" s="0" t="s">
        <v>731</v>
      </c>
      <c r="B10392" s="0" t="s">
        <v>86</v>
      </c>
      <c r="C10392" s="38" t="n">
        <f aca="false">Sens!$C$10332</f>
        <v>1.64417882953695</v>
      </c>
      <c r="D10392" s="38" t="n">
        <f aca="false">Sens!$D$10332</f>
        <v>5.39125073772939</v>
      </c>
      <c r="E10392" s="38" t="n">
        <f aca="false">Sens!$E$10332</f>
        <v>3.18348617147493</v>
      </c>
      <c r="F10392" s="38" t="n">
        <f aca="false">Sens!$F$10332</f>
        <v>8.27806059642226</v>
      </c>
      <c r="G10392" s="38" t="n">
        <f aca="false">Sens!$G$10332</f>
        <v>11.4615467678972</v>
      </c>
      <c r="H10392" s="38" t="n">
        <f aca="false">Sens!$H$10332</f>
        <v>26.1859456885487</v>
      </c>
      <c r="I10392" s="38" t="n">
        <f aca="false">Sens!$I$10332</f>
        <v>37.04424114757</v>
      </c>
      <c r="J10392" s="38" t="n">
        <f aca="false">Sens!$J$10332</f>
        <v>47.2610736233534</v>
      </c>
      <c r="K10392" s="38" t="n">
        <f aca="false">Sens!$K$10332</f>
        <v>52.2751763975167</v>
      </c>
      <c r="L10392" s="38" t="n">
        <f aca="false">Sens!$L$10332</f>
        <v>54.701751622809</v>
      </c>
      <c r="M10392" s="38" t="n">
        <f aca="false">Sens!$M$10332</f>
        <v>53.2225737149584</v>
      </c>
      <c r="N10392" s="38" t="n">
        <f aca="false">Sens!$N$10332</f>
        <v>1.67921600037079</v>
      </c>
      <c r="O10392" s="38" t="n">
        <f aca="false">Sens!$O$10332</f>
        <v>3.71203473735861</v>
      </c>
    </row>
    <row r="10393" customFormat="false" ht="17.15" hidden="false" customHeight="false" outlineLevel="0" collapsed="false">
      <c r="A10393" s="0" t="s">
        <v>649</v>
      </c>
      <c r="B10393" s="0" t="s">
        <v>86</v>
      </c>
      <c r="C10393" s="38" t="n">
        <f aca="false">Sens!$C$10337</f>
        <v>38.1898211704631</v>
      </c>
      <c r="D10393" s="38" t="n">
        <f aca="false">Sens!$D$10337</f>
        <v>40.2147492622706</v>
      </c>
      <c r="E10393" s="38" t="n">
        <f aca="false">Sens!$E$10337</f>
        <v>27.5985138285251</v>
      </c>
      <c r="F10393" s="38" t="n">
        <f aca="false">Sens!$F$10337</f>
        <v>25.5484769754606</v>
      </c>
      <c r="G10393" s="38" t="n">
        <f aca="false">Sens!$G$10337</f>
        <v>53.1469908039857</v>
      </c>
      <c r="H10393" s="38" t="n">
        <f aca="false">Sens!$H$10337</f>
        <v>57.3189525076539</v>
      </c>
      <c r="I10393" s="38" t="n">
        <f aca="false">Sens!$I$10337</f>
        <v>63.6385627021087</v>
      </c>
      <c r="J10393" s="38" t="n">
        <f aca="false">Sens!$J$10337</f>
        <v>69.6922896066105</v>
      </c>
      <c r="K10393" s="38" t="n">
        <f aca="false">Sens!$K$10337</f>
        <v>75.2676727751394</v>
      </c>
      <c r="L10393" s="38" t="n">
        <f aca="false">Sens!$L$10337</f>
        <v>81.2890865971505</v>
      </c>
      <c r="M10393" s="38" t="n">
        <f aca="false">Sens!$M$10337</f>
        <v>87.7922135249226</v>
      </c>
      <c r="N10393" s="38" t="n">
        <f aca="false">Sens!$N$10337</f>
        <v>20.0277839996292</v>
      </c>
      <c r="O10393" s="38" t="n">
        <f aca="false">Sens!$O$10337</f>
        <v>20.1869652626414</v>
      </c>
    </row>
    <row r="10394" customFormat="false" ht="17.15" hidden="false" customHeight="false" outlineLevel="0" collapsed="false">
      <c r="A10394" s="1" t="s">
        <v>732</v>
      </c>
      <c r="B10394" s="8" t="s">
        <v>86</v>
      </c>
      <c r="C10394" s="38" t="n">
        <f aca="false">Q!$D$24</f>
        <v>39.834</v>
      </c>
      <c r="D10394" s="38" t="n">
        <f aca="false">Q!$E$24</f>
        <v>45.606</v>
      </c>
      <c r="E10394" s="38" t="n">
        <f aca="false">Q!$P$24</f>
        <v>30.782</v>
      </c>
      <c r="F10394" s="38" t="n">
        <f aca="false">Sens!$F$10392+Sens!$F$10393</f>
        <v>33.8265375718829</v>
      </c>
      <c r="G10394" s="38" t="n">
        <f aca="false">Sens!$G$10392+Sens!$G$10393</f>
        <v>64.6085375718829</v>
      </c>
      <c r="H10394" s="38" t="n">
        <f aca="false">Sens!$H$10392+Sens!$H$10393</f>
        <v>83.5048981962026</v>
      </c>
      <c r="I10394" s="38" t="n">
        <f aca="false">Sens!$I$10392+Sens!$I$10393</f>
        <v>100.682803849679</v>
      </c>
      <c r="J10394" s="38" t="n">
        <f aca="false">Sens!$J$10392+Sens!$J$10393</f>
        <v>116.953363229964</v>
      </c>
      <c r="K10394" s="38" t="n">
        <f aca="false">Sens!$K$10392+Sens!$K$10393</f>
        <v>127.542849172656</v>
      </c>
      <c r="L10394" s="38" t="n">
        <f aca="false">Sens!$L$10392+Sens!$L$10393</f>
        <v>135.99083821996</v>
      </c>
      <c r="M10394" s="38" t="n">
        <f aca="false">Sens!$M$10392+Sens!$M$10393</f>
        <v>141.014787239881</v>
      </c>
      <c r="N10394" s="38" t="n">
        <f aca="false">Q!$N$24</f>
        <v>21.707</v>
      </c>
      <c r="O10394" s="38" t="n">
        <f aca="false">Q!$O$24</f>
        <v>23.899</v>
      </c>
    </row>
    <row r="10395" customFormat="false" ht="17.15" hidden="false" customHeight="false" outlineLevel="0" collapsed="false">
      <c r="A10395" s="5" t="s">
        <v>733</v>
      </c>
      <c r="B10395" s="0" t="s">
        <v>86</v>
      </c>
      <c r="C10395" s="38" t="n">
        <f aca="false">Q!$D$26</f>
        <v>0</v>
      </c>
      <c r="D10395" s="38" t="n">
        <f aca="false">Q!$E$26</f>
        <v>0</v>
      </c>
      <c r="E10395" s="38" t="n">
        <f aca="false">Q!$P$26</f>
        <v>0</v>
      </c>
      <c r="F10395" s="39" t="n">
        <v>0</v>
      </c>
      <c r="G10395" s="38" t="n">
        <f aca="false">Sens!$E$10395+Sens!$F$10395</f>
        <v>0</v>
      </c>
      <c r="H10395" s="39" t="n">
        <v>0</v>
      </c>
      <c r="I10395" s="39" t="n">
        <v>0</v>
      </c>
      <c r="J10395" s="39" t="n">
        <v>0</v>
      </c>
      <c r="K10395" s="39" t="n">
        <v>0</v>
      </c>
      <c r="L10395" s="39" t="n">
        <v>0</v>
      </c>
      <c r="M10395" s="39" t="n">
        <v>0</v>
      </c>
      <c r="N10395" s="38" t="n">
        <f aca="false">Q!$N$26</f>
        <v>0</v>
      </c>
      <c r="O10395" s="38" t="n">
        <f aca="false">Q!$O$26</f>
        <v>0</v>
      </c>
    </row>
    <row r="10396" customFormat="false" ht="15" hidden="false" customHeight="false" outlineLevel="0" collapsed="false">
      <c r="A10396" s="3" t="s">
        <v>534</v>
      </c>
      <c r="B10396" s="8" t="s">
        <v>86</v>
      </c>
      <c r="C10396" s="38" t="n">
        <f aca="false">Q!$D$25</f>
        <v>68.593</v>
      </c>
      <c r="D10396" s="38" t="n">
        <f aca="false">Q!$E$25</f>
        <v>79.975</v>
      </c>
      <c r="E10396" s="38" t="n">
        <f aca="false">Q!$P$25</f>
        <v>51.313</v>
      </c>
      <c r="F10396" s="38" t="n">
        <f aca="false">Sens!$F$10386+Sens!$F$10391+Sens!$F$10394+Sens!$F$10395</f>
        <v>56.6904916268541</v>
      </c>
      <c r="G10396" s="38" t="n">
        <f aca="false">Sens!$G$10386+Sens!$G$10391+Sens!$G$10394+Sens!$G$10395</f>
        <v>108.003491626854</v>
      </c>
      <c r="H10396" s="38" t="n">
        <f aca="false">Sens!$H$10386+Sens!$H$10391+Sens!$H$10394+Sens!$H$10395</f>
        <v>131.546867769501</v>
      </c>
      <c r="I10396" s="38" t="n">
        <f aca="false">Sens!$I$10386+Sens!$I$10391+Sens!$I$10394+Sens!$I$10395</f>
        <v>151.443755203325</v>
      </c>
      <c r="J10396" s="38" t="n">
        <f aca="false">Sens!$J$10386+Sens!$J$10391+Sens!$J$10394+Sens!$J$10395</f>
        <v>169.831139392687</v>
      </c>
      <c r="K10396" s="38" t="n">
        <f aca="false">Sens!$K$10386+Sens!$K$10391+Sens!$K$10394+Sens!$K$10395</f>
        <v>181.630203110659</v>
      </c>
      <c r="L10396" s="38" t="n">
        <f aca="false">Sens!$L$10386+Sens!$L$10391+Sens!$L$10394+Sens!$L$10395</f>
        <v>192.679756656362</v>
      </c>
      <c r="M10396" s="38" t="n">
        <f aca="false">Sens!$M$10386+Sens!$M$10391+Sens!$M$10394+Sens!$M$10395</f>
        <v>203.003194969463</v>
      </c>
      <c r="N10396" s="38" t="n">
        <f aca="false">Q!$N$25</f>
        <v>37.576</v>
      </c>
      <c r="O10396" s="38" t="n">
        <f aca="false">Q!$O$25</f>
        <v>42.399</v>
      </c>
    </row>
    <row r="10397" customFormat="false" ht="17.15" hidden="false" customHeight="false" outlineLevel="0" collapsed="false">
      <c r="A10397" s="24" t="s">
        <v>764</v>
      </c>
      <c r="B10397" s="25" t="s">
        <v>86</v>
      </c>
      <c r="C10397" s="41" t="n">
        <f aca="false">Sens!$C$10386+Sens!$C$10391+Sens!$C$10394+Sens!$C$10395-Sens!$C$10396</f>
        <v>0</v>
      </c>
      <c r="D10397" s="41" t="n">
        <f aca="false">Sens!$D$10386+Sens!$D$10391+Sens!$D$10394+Sens!$D$10395-Sens!$D$10396</f>
        <v>0</v>
      </c>
      <c r="E10397" s="41" t="n">
        <f aca="false">Sens!$E$10386+Sens!$E$10391+Sens!$E$10394+Sens!$E$10395-Sens!$E$10396</f>
        <v>0</v>
      </c>
      <c r="F10397" s="41" t="n">
        <f aca="false">Sens!$F$10386+Sens!$F$10391+Sens!$F$10394+Sens!$F$10395-Sens!$F$10396</f>
        <v>0</v>
      </c>
      <c r="G10397" s="41" t="n">
        <f aca="false">Sens!$G$10386+Sens!$G$10391+Sens!$G$10394+Sens!$G$10395-Sens!$G$10396</f>
        <v>0</v>
      </c>
      <c r="H10397" s="41" t="n">
        <f aca="false">Sens!$H$10386+Sens!$H$10391+Sens!$H$10394+Sens!$H$10395-Sens!$H$10396</f>
        <v>0</v>
      </c>
      <c r="I10397" s="41" t="n">
        <f aca="false">Sens!$I$10386+Sens!$I$10391+Sens!$I$10394+Sens!$I$10395-Sens!$I$10396</f>
        <v>0</v>
      </c>
      <c r="J10397" s="41" t="n">
        <f aca="false">Sens!$J$10386+Sens!$J$10391+Sens!$J$10394+Sens!$J$10395-Sens!$J$10396</f>
        <v>0</v>
      </c>
      <c r="K10397" s="41" t="n">
        <f aca="false">Sens!$K$10386+Sens!$K$10391+Sens!$K$10394+Sens!$K$10395-Sens!$K$10396</f>
        <v>0</v>
      </c>
      <c r="L10397" s="41" t="n">
        <f aca="false">Sens!$L$10386+Sens!$L$10391+Sens!$L$10394+Sens!$L$10395-Sens!$L$10396</f>
        <v>0</v>
      </c>
      <c r="M10397" s="41" t="n">
        <f aca="false">Sens!$M$10386+Sens!$M$10391+Sens!$M$10394+Sens!$M$10395-Sens!$M$10396</f>
        <v>0</v>
      </c>
      <c r="N10397" s="41" t="n">
        <f aca="false">Sens!$N$10386+Sens!$N$10391+Sens!$N$10394+Sens!$N$10395-Sens!$N$10396</f>
        <v>0</v>
      </c>
      <c r="O10397" s="41" t="n">
        <f aca="false">Sens!$O$10386+Sens!$O$10391+Sens!$O$10394+Sens!$O$10395-Sens!$O$10396</f>
        <v>0</v>
      </c>
    </row>
    <row r="10398" customFormat="false" ht="17.15" hidden="false" customHeight="false" outlineLevel="0" collapsed="false">
      <c r="A10398" s="5" t="s">
        <v>735</v>
      </c>
      <c r="B10398" s="0" t="s">
        <v>86</v>
      </c>
      <c r="C10398" s="38" t="n">
        <f aca="false">Sens!$C$10334</f>
        <v>0</v>
      </c>
      <c r="D10398" s="38" t="n">
        <f aca="false">Sens!$D$10334</f>
        <v>0</v>
      </c>
      <c r="E10398" s="38" t="n">
        <f aca="false">Sens!$E$10334</f>
        <v>0</v>
      </c>
      <c r="F10398" s="38" t="n">
        <f aca="false">Sens!$F$10334</f>
        <v>3.77122048175818</v>
      </c>
      <c r="G10398" s="38" t="n">
        <f aca="false">Sens!$G$10334</f>
        <v>3.77122048175818</v>
      </c>
      <c r="H10398" s="38" t="n">
        <f aca="false">Sens!$H$10334</f>
        <v>15.1635543609893</v>
      </c>
      <c r="I10398" s="38" t="n">
        <f aca="false">Sens!$I$10334</f>
        <v>25.5818843619889</v>
      </c>
      <c r="J10398" s="38" t="n">
        <f aca="false">Sens!$J$10334</f>
        <v>36.0465624179122</v>
      </c>
      <c r="K10398" s="38" t="n">
        <f aca="false">Sens!$K$10334</f>
        <v>45.0461919819152</v>
      </c>
      <c r="L10398" s="38" t="n">
        <f aca="false">Sens!$L$10334</f>
        <v>51.1279288493339</v>
      </c>
      <c r="M10398" s="38" t="n">
        <f aca="false">Sens!$M$10334</f>
        <v>54.2845128319481</v>
      </c>
      <c r="N10398" s="38" t="n">
        <f aca="false">Sens!$N$10334</f>
        <v>0</v>
      </c>
      <c r="O10398" s="38" t="n">
        <f aca="false">Sens!$O$10334</f>
        <v>0</v>
      </c>
      <c r="P10398" s="5" t="s">
        <v>736</v>
      </c>
    </row>
    <row r="10399" customFormat="false" ht="17.15" hidden="false" customHeight="false" outlineLevel="0" collapsed="false">
      <c r="A10399" s="5" t="s">
        <v>737</v>
      </c>
      <c r="B10399" s="0" t="s">
        <v>86</v>
      </c>
      <c r="C10399" s="38" t="n">
        <f aca="false">Sens!$C$10396+Sens!$C$10398</f>
        <v>68.593</v>
      </c>
      <c r="D10399" s="38" t="n">
        <f aca="false">Sens!$D$10396+Sens!$D$10398</f>
        <v>79.975</v>
      </c>
      <c r="E10399" s="38" t="n">
        <f aca="false">Sens!$E$10396+Sens!$E$10398</f>
        <v>51.313</v>
      </c>
      <c r="F10399" s="38" t="n">
        <f aca="false">Sens!$F$10396+Sens!$F$10398</f>
        <v>60.4617121086123</v>
      </c>
      <c r="G10399" s="38" t="n">
        <f aca="false">Sens!$G$10396+Sens!$G$10398</f>
        <v>111.774712108612</v>
      </c>
      <c r="H10399" s="38" t="n">
        <f aca="false">Sens!$H$10396+Sens!$H$10398</f>
        <v>146.71042213049</v>
      </c>
      <c r="I10399" s="38" t="n">
        <f aca="false">Sens!$I$10396+Sens!$I$10398</f>
        <v>177.025639565314</v>
      </c>
      <c r="J10399" s="38" t="n">
        <f aca="false">Sens!$J$10396+Sens!$J$10398</f>
        <v>205.877701810599</v>
      </c>
      <c r="K10399" s="38" t="n">
        <f aca="false">Sens!$K$10396+Sens!$K$10398</f>
        <v>226.676395092575</v>
      </c>
      <c r="L10399" s="38" t="n">
        <f aca="false">Sens!$L$10396+Sens!$L$10398</f>
        <v>243.807685505696</v>
      </c>
      <c r="M10399" s="38" t="n">
        <f aca="false">Sens!$M$10396+Sens!$M$10398</f>
        <v>257.287707801411</v>
      </c>
      <c r="N10399" s="38" t="n">
        <f aca="false">Sens!$N$10396+Sens!$N$10398</f>
        <v>37.576</v>
      </c>
      <c r="O10399" s="38" t="n">
        <f aca="false">Sens!$O$10396+Sens!$O$10398</f>
        <v>42.399</v>
      </c>
    </row>
    <row r="10400" customFormat="false" ht="17.15" hidden="false" customHeight="false" outlineLevel="0" collapsed="false">
      <c r="A10400" s="0" t="s">
        <v>738</v>
      </c>
      <c r="B10400" s="0" t="s">
        <v>52</v>
      </c>
      <c r="C10400" s="13" t="n">
        <f aca="false">Sens!$C$10386/Sens!$C$10371</f>
        <v>0.0644314665661928</v>
      </c>
      <c r="D10400" s="13" t="n">
        <f aca="false">Sens!$D$10386/Sens!$D$10371</f>
        <v>0.0694784250712518</v>
      </c>
      <c r="E10400" s="13" t="n">
        <f aca="false">Sens!$E$10386/Sens!$E$10371</f>
        <v>0.0789306463326071</v>
      </c>
      <c r="F10400" s="13" t="n">
        <f aca="false">Sens!$F$10386/Sens!$F$10371</f>
        <v>0.0801757457241943</v>
      </c>
      <c r="G10400" s="13" t="n">
        <f aca="false">Sens!$G$10386/Sens!$G$10371</f>
        <v>0.0795932749625682</v>
      </c>
      <c r="H10400" s="13" t="n">
        <f aca="false">Sens!$H$10386/Sens!$H$10371</f>
        <v>0.0801494276915951</v>
      </c>
      <c r="I10400" s="13" t="n">
        <f aca="false">Sens!$I$10386/Sens!$I$10371</f>
        <v>0.0784619467108939</v>
      </c>
      <c r="J10400" s="13" t="n">
        <f aca="false">Sens!$J$10386/Sens!$J$10371</f>
        <v>0.0767950945569155</v>
      </c>
      <c r="K10400" s="13" t="n">
        <f aca="false">Sens!$K$10386/Sens!$K$10371</f>
        <v>0.0749626026445883</v>
      </c>
      <c r="L10400" s="13" t="n">
        <f aca="false">Sens!$L$10386/Sens!$L$10371</f>
        <v>0.073918620449946</v>
      </c>
      <c r="M10400" s="13" t="n">
        <f aca="false">Sens!$M$10386/Sens!$M$10371</f>
        <v>0.0753725430981762</v>
      </c>
      <c r="N10400" s="13" t="n">
        <f aca="false">Sens!$N$10386/Sens!$N$10371</f>
        <v>0.069228576611127</v>
      </c>
      <c r="O10400" s="13" t="n">
        <f aca="false">Sens!$O$10386/Sens!$O$10371</f>
        <v>0.069685022498393</v>
      </c>
    </row>
    <row r="10401" customFormat="false" ht="17.15" hidden="false" customHeight="false" outlineLevel="0" collapsed="false">
      <c r="A10401" s="0" t="s">
        <v>739</v>
      </c>
      <c r="B10401" s="0" t="s">
        <v>52</v>
      </c>
      <c r="C10401" s="13" t="n">
        <f aca="false">Sens!$C$10391/Sens!$C$10372</f>
        <v>0.026534925055631</v>
      </c>
      <c r="D10401" s="13" t="n">
        <f aca="false">Sens!$D$10391/Sens!$D$10372</f>
        <v>0.0293401855535103</v>
      </c>
      <c r="E10401" s="13" t="n">
        <f aca="false">Sens!$E$10391/Sens!$E$10372</f>
        <v>0.03831141902276</v>
      </c>
      <c r="F10401" s="13" t="n">
        <f aca="false">Sens!$F$10391/Sens!$F$10372</f>
        <v>0.0281350107328284</v>
      </c>
      <c r="G10401" s="13" t="n">
        <f aca="false">Sens!$G$10391/Sens!$G$10372</f>
        <v>0.0327600029432073</v>
      </c>
      <c r="H10401" s="13" t="n">
        <f aca="false">Sens!$H$10391/Sens!$H$10372</f>
        <v>0.031310920057557</v>
      </c>
      <c r="I10401" s="13" t="n">
        <f aca="false">Sens!$I$10391/Sens!$I$10372</f>
        <v>0.0275950243319601</v>
      </c>
      <c r="J10401" s="13" t="n">
        <f aca="false">Sens!$J$10391/Sens!$J$10372</f>
        <v>0.0238367762099147</v>
      </c>
      <c r="K10401" s="13" t="n">
        <f aca="false">Sens!$K$10391/Sens!$K$10372</f>
        <v>0.0198082441273261</v>
      </c>
      <c r="L10401" s="13" t="n">
        <f aca="false">Sens!$L$10391/Sens!$L$10372</f>
        <v>0.019110410213546</v>
      </c>
      <c r="M10401" s="13" t="n">
        <f aca="false">Sens!$M$10391/Sens!$M$10372</f>
        <v>0.0209184882207784</v>
      </c>
      <c r="N10401" s="13" t="n">
        <f aca="false">Sens!$N$10391/Sens!$N$10372</f>
        <v>0.0357315650169337</v>
      </c>
      <c r="O10401" s="13" t="n">
        <f aca="false">Sens!$O$10391/Sens!$O$10372</f>
        <v>0.0244378956559703</v>
      </c>
    </row>
    <row r="10402" customFormat="false" ht="17.15" hidden="false" customHeight="false" outlineLevel="0" collapsed="false">
      <c r="A10402" s="14" t="s">
        <v>740</v>
      </c>
      <c r="B10402" s="14" t="s">
        <v>52</v>
      </c>
      <c r="C10402" s="17" t="n">
        <f aca="false">Sens!$C$10394/Sens!$C$10373</f>
        <v>0.370355907620217</v>
      </c>
      <c r="D10402" s="17" t="n">
        <f aca="false">Sens!$D$10394/Sens!$D$10373</f>
        <v>0.35429015342785</v>
      </c>
      <c r="E10402" s="17" t="n">
        <f aca="false">Sens!$E$10394/Sens!$E$10373</f>
        <v>0.385647527531039</v>
      </c>
      <c r="F10402" s="17" t="n">
        <f aca="false">Sens!$F$10394/Sens!$F$10373</f>
        <v>0.390008895496028</v>
      </c>
      <c r="G10402" s="17" t="n">
        <f aca="false">Sens!$G$10394/Sens!$G$10373</f>
        <v>0.387918733944362</v>
      </c>
      <c r="H10402" s="17" t="n">
        <f aca="false">Sens!$H$10394/Sens!$H$10373</f>
        <v>0.377537651365497</v>
      </c>
      <c r="I10402" s="17" t="n">
        <f aca="false">Sens!$I$10394/Sens!$I$10373</f>
        <v>0.359230604038662</v>
      </c>
      <c r="J10402" s="17" t="n">
        <f aca="false">Sens!$J$10394/Sens!$J$10373</f>
        <v>0.345197865849801</v>
      </c>
      <c r="K10402" s="17" t="n">
        <f aca="false">Sens!$K$10394/Sens!$K$10373</f>
        <v>0.326889046124164</v>
      </c>
      <c r="L10402" s="17" t="n">
        <f aca="false">Sens!$L$10394/Sens!$L$10373</f>
        <v>0.315364635591989</v>
      </c>
      <c r="M10402" s="17" t="n">
        <f aca="false">Sens!$M$10394/Sens!$M$10373</f>
        <v>0.30521976379207</v>
      </c>
      <c r="N10402" s="17" t="n">
        <f aca="false">Sens!$N$10394/Sens!$N$10373</f>
        <v>0.360941137346192</v>
      </c>
      <c r="O10402" s="17" t="n">
        <f aca="false">Sens!$O$10394/Sens!$O$10373</f>
        <v>0.348458117664212</v>
      </c>
    </row>
    <row r="10403" customFormat="false" ht="17.15" hidden="false" customHeight="false" outlineLevel="0" collapsed="false">
      <c r="A10403" s="0" t="s">
        <v>741</v>
      </c>
      <c r="B10403" s="0" t="s">
        <v>52</v>
      </c>
      <c r="C10403" s="13" t="n">
        <f aca="false">Sens!$C$10392/Sens!$C$10374</f>
        <v>0.708390794789371</v>
      </c>
      <c r="D10403" s="13" t="n">
        <f aca="false">Sens!$D$10392/Sens!$D$10374</f>
        <v>0.619415573115729</v>
      </c>
      <c r="E10403" s="13" t="n">
        <f aca="false">Sens!$E$10392/Sens!$E$10374</f>
        <v>0.374072166056273</v>
      </c>
      <c r="F10403" s="13" t="n">
        <f aca="false">Sens!$F$10392/Sens!$F$10374</f>
        <v>0.553219320710057</v>
      </c>
      <c r="G10403" s="13" t="n">
        <f aca="false">Sens!$G$10392/Sens!$G$10374</f>
        <v>0.488270041527512</v>
      </c>
      <c r="H10403" s="13" t="n">
        <f aca="false">Sens!$H$10392/Sens!$H$10374</f>
        <v>0.435229086816882</v>
      </c>
      <c r="I10403" s="13" t="n">
        <f aca="false">Sens!$I$10392/Sens!$I$10374</f>
        <v>0.364954592421095</v>
      </c>
      <c r="J10403" s="13" t="n">
        <f aca="false">Sens!$J$10392/Sens!$J$10374</f>
        <v>0.330438308582232</v>
      </c>
      <c r="K10403" s="13" t="n">
        <f aca="false">Sens!$K$10392/Sens!$K$10374</f>
        <v>0.292474552619137</v>
      </c>
      <c r="L10403" s="13" t="n">
        <f aca="false">Sens!$L$10392/Sens!$L$10374</f>
        <v>0.269645821564974</v>
      </c>
      <c r="M10403" s="13" t="n">
        <f aca="false">Sens!$M$10392/Sens!$M$10374</f>
        <v>0.247098773220278</v>
      </c>
      <c r="N10403" s="13" t="n">
        <f aca="false">Sens!$N$10392/Sens!$N$10374</f>
        <v>0.551227795793364</v>
      </c>
      <c r="O10403" s="13" t="n">
        <f aca="false">Sens!$O$10392/Sens!$O$10374</f>
        <v>0.656132068597002</v>
      </c>
    </row>
    <row r="10404" customFormat="false" ht="15" hidden="false" customHeight="false" outlineLevel="0" collapsed="false">
      <c r="A10404" s="5" t="s">
        <v>742</v>
      </c>
      <c r="B10404" s="0" t="s">
        <v>52</v>
      </c>
      <c r="C10404" s="13" t="n">
        <f aca="false">Sens!$C$10396/Sens!$C$10376</f>
        <v>0.107519448742004</v>
      </c>
      <c r="D10404" s="13" t="n">
        <f aca="false">Sens!$D$10396/Sens!$D$10376</f>
        <v>0.111552967957552</v>
      </c>
      <c r="E10404" s="13" t="n">
        <f aca="false">Sens!$E$10396/Sens!$E$10376</f>
        <v>0.13428328426562</v>
      </c>
      <c r="F10404" s="13" t="n">
        <f aca="false">Sens!$F$10396/Sens!$F$10376</f>
        <v>0.130089413875539</v>
      </c>
      <c r="G10404" s="13" t="n">
        <f aca="false">Sens!$G$10396/Sens!$G$10376</f>
        <v>0.132048786678316</v>
      </c>
      <c r="H10404" s="13" t="n">
        <f aca="false">Sens!$H$10396/Sens!$H$10376</f>
        <v>0.139604881440853</v>
      </c>
      <c r="I10404" s="13" t="n">
        <f aca="false">Sens!$I$10396/Sens!$I$10376</f>
        <v>0.141694752432769</v>
      </c>
      <c r="J10404" s="13" t="n">
        <f aca="false">Sens!$J$10396/Sens!$J$10376</f>
        <v>0.14272611544629</v>
      </c>
      <c r="K10404" s="13" t="n">
        <f aca="false">Sens!$K$10396/Sens!$K$10376</f>
        <v>0.140109124834872</v>
      </c>
      <c r="L10404" s="13" t="n">
        <f aca="false">Sens!$L$10396/Sens!$L$10376</f>
        <v>0.137992017715014</v>
      </c>
      <c r="M10404" s="13" t="n">
        <f aca="false">Sens!$M$10396/Sens!$M$10376</f>
        <v>0.136229256482943</v>
      </c>
      <c r="N10404" s="13" t="n">
        <f aca="false">Sens!$N$10396/Sens!$N$10376</f>
        <v>0.116201614873411</v>
      </c>
      <c r="O10404" s="13" t="n">
        <f aca="false">Sens!$O$10396/Sens!$O$10376</f>
        <v>0.107733353660861</v>
      </c>
    </row>
    <row r="10405" customFormat="false" ht="17.15" hidden="false" customHeight="false" outlineLevel="0" collapsed="false">
      <c r="A10405" s="1" t="s">
        <v>743</v>
      </c>
    </row>
    <row r="10406" customFormat="false" ht="17.15" hidden="false" customHeight="false" outlineLevel="0" collapsed="false">
      <c r="A10406" s="5" t="s">
        <v>744</v>
      </c>
      <c r="B10406" s="0" t="s">
        <v>52</v>
      </c>
      <c r="D10406" s="28" t="n">
        <f aca="false">(Q!$E$29+Q!$E$30-(1-ext_sh)*Sens!$D$10328)/Sens!$D$10282</f>
        <v>0.0341105596409988</v>
      </c>
    </row>
    <row r="10407" customFormat="false" ht="17.15" hidden="false" customHeight="false" outlineLevel="0" collapsed="false">
      <c r="A10407" s="0" t="s">
        <v>538</v>
      </c>
      <c r="B10407" s="0" t="s">
        <v>86</v>
      </c>
      <c r="C10407" s="38" t="n">
        <f aca="false">Q!$D$29</f>
        <v>14.285</v>
      </c>
      <c r="D10407" s="38" t="n">
        <f aca="false">Q!$E$29</f>
        <v>15.503</v>
      </c>
      <c r="E10407" s="38" t="n">
        <f aca="false">Q!$P$29</f>
        <v>8.78</v>
      </c>
      <c r="F10407" s="38" t="n">
        <f aca="false">(Sens!$D$10406*Sens!$F$10282+(1-ext_sh)*Sens!$F$10328)*Sens!$F$10283</f>
        <v>9.16735846116642</v>
      </c>
      <c r="G10407" s="38" t="n">
        <f aca="false">Sens!$E$10407+Sens!$F$10407</f>
        <v>17.9473584611664</v>
      </c>
      <c r="H10407" s="38" t="n">
        <f aca="false">(Sens!$D$10406*Sens!$H$10282+(1-ext_sh)*Sens!$H$10328)*Sens!$H$10283</f>
        <v>21.6406723110177</v>
      </c>
      <c r="I10407" s="38" t="n">
        <f aca="false">(Sens!$D$10406*Sens!$I$10282+(1-ext_sh)*Sens!$I$10328)*Sens!$I$10283</f>
        <v>27.3128215555087</v>
      </c>
      <c r="J10407" s="38" t="n">
        <f aca="false">(Sens!$D$10406*Sens!$J$10282+(1-ext_sh)*Sens!$J$10328)*Sens!$J$10283</f>
        <v>33.0116861885756</v>
      </c>
      <c r="K10407" s="38" t="n">
        <f aca="false">(Sens!$D$10406*Sens!$K$10282+(1-ext_sh)*Sens!$K$10328)*Sens!$K$10283</f>
        <v>38.6250238720245</v>
      </c>
      <c r="L10407" s="38" t="n">
        <f aca="false">(Sens!$D$10406*Sens!$L$10282+(1-ext_sh)*Sens!$L$10328)*Sens!$L$10283</f>
        <v>43.1275612533579</v>
      </c>
      <c r="M10407" s="38" t="n">
        <f aca="false">(Sens!$D$10406*Sens!$M$10282+(1-ext_sh)*Sens!$M$10328)*Sens!$M$10283</f>
        <v>46.7599518310413</v>
      </c>
      <c r="N10407" s="38" t="n">
        <f aca="false">Q!$N$29</f>
        <v>7.272</v>
      </c>
      <c r="O10407" s="38" t="n">
        <f aca="false">Q!$O$29</f>
        <v>8.231</v>
      </c>
    </row>
    <row r="10408" customFormat="false" ht="17.15" hidden="false" customHeight="false" outlineLevel="0" collapsed="false">
      <c r="A10408" s="0" t="s">
        <v>540</v>
      </c>
      <c r="B10408" s="0" t="s">
        <v>86</v>
      </c>
      <c r="C10408" s="38" t="n">
        <f aca="false">Q!$D$30</f>
        <v>4.462</v>
      </c>
      <c r="D10408" s="38" t="n">
        <f aca="false">Q!$E$30</f>
        <v>4.907</v>
      </c>
      <c r="E10408" s="38" t="n">
        <f aca="false">Q!$P$30</f>
        <v>2.57</v>
      </c>
      <c r="F10408" s="38" t="n">
        <f aca="false">(Sens!$D$10406*Sens!$F$10282+(1-ext_sh)*Sens!$F$10328)*(1-Sens!$F$10283)</f>
        <v>3.59937168293151</v>
      </c>
      <c r="G10408" s="38" t="n">
        <f aca="false">Sens!$E$10408+Sens!$F$10408</f>
        <v>6.16937168293151</v>
      </c>
      <c r="H10408" s="38" t="n">
        <f aca="false">(Sens!$D$10406*Sens!$H$10282+(1-ext_sh)*Sens!$H$10328)*(1-Sens!$H$10283)</f>
        <v>8.28915290031442</v>
      </c>
      <c r="I10408" s="38" t="n">
        <f aca="false">(Sens!$D$10406*Sens!$I$10282+(1-ext_sh)*Sens!$I$10328)*(1-Sens!$I$10283)</f>
        <v>10.4617892992793</v>
      </c>
      <c r="J10408" s="38" t="n">
        <f aca="false">(Sens!$D$10406*Sens!$J$10282+(1-ext_sh)*Sens!$J$10328)*(1-Sens!$J$10283)</f>
        <v>12.6446586493057</v>
      </c>
      <c r="K10408" s="38" t="n">
        <f aca="false">(Sens!$D$10406*Sens!$K$10282+(1-ext_sh)*Sens!$K$10328)*(1-Sens!$K$10283)</f>
        <v>14.7947681131192</v>
      </c>
      <c r="L10408" s="38" t="n">
        <f aca="false">(Sens!$D$10406*Sens!$L$10282+(1-ext_sh)*Sens!$L$10328)*(1-Sens!$L$10283)</f>
        <v>16.5194012602258</v>
      </c>
      <c r="M10408" s="38" t="n">
        <f aca="false">(Sens!$D$10406*Sens!$M$10282+(1-ext_sh)*Sens!$M$10328)*(1-Sens!$M$10283)</f>
        <v>17.9107370033741</v>
      </c>
      <c r="N10408" s="38" t="n">
        <f aca="false">Q!$N$30</f>
        <v>2.316</v>
      </c>
      <c r="O10408" s="38" t="n">
        <f aca="false">Q!$O$30</f>
        <v>2.591</v>
      </c>
    </row>
    <row r="10409" customFormat="false" ht="17.15" hidden="false" customHeight="false" outlineLevel="0" collapsed="false">
      <c r="A10409" s="0" t="s">
        <v>541</v>
      </c>
      <c r="B10409" s="0" t="s">
        <v>86</v>
      </c>
      <c r="C10409" s="38" t="n">
        <f aca="false">Sens!$C$10340</f>
        <v>13.32</v>
      </c>
      <c r="D10409" s="38" t="n">
        <f aca="false">Sens!$D$10340</f>
        <v>21.45</v>
      </c>
      <c r="E10409" s="38" t="n">
        <f aca="false">Sens!$E$10340</f>
        <v>15.353</v>
      </c>
      <c r="F10409" s="38" t="n">
        <f aca="false">Sens!$F$10340</f>
        <v>15.4404120185306</v>
      </c>
      <c r="G10409" s="38" t="n">
        <f aca="false">Sens!$G$10340</f>
        <v>30.7934120185306</v>
      </c>
      <c r="H10409" s="38" t="n">
        <f aca="false">Sens!$H$10340</f>
        <v>48.250114371455</v>
      </c>
      <c r="I10409" s="38" t="n">
        <f aca="false">Sens!$I$10340</f>
        <v>73.3965146995963</v>
      </c>
      <c r="J10409" s="38" t="n">
        <f aca="false">Sens!$J$10340</f>
        <v>99.22806138309</v>
      </c>
      <c r="K10409" s="38" t="n">
        <f aca="false">Sens!$K$10340</f>
        <v>125.386627452856</v>
      </c>
      <c r="L10409" s="38" t="n">
        <f aca="false">Sens!$L$10340</f>
        <v>145.084446099433</v>
      </c>
      <c r="M10409" s="38" t="n">
        <f aca="false">Sens!$M$10340</f>
        <v>159.630097911032</v>
      </c>
      <c r="N10409" s="38" t="n">
        <f aca="false">Sens!$N$10340</f>
        <v>9.234</v>
      </c>
      <c r="O10409" s="38" t="n">
        <f aca="false">Sens!$O$10340</f>
        <v>12.216</v>
      </c>
    </row>
    <row r="10410" customFormat="false" ht="17.15" hidden="false" customHeight="false" outlineLevel="0" collapsed="false">
      <c r="A10410" s="5" t="s">
        <v>745</v>
      </c>
      <c r="B10410" s="0" t="s">
        <v>86</v>
      </c>
      <c r="C10410" s="38" t="n">
        <f aca="false">Sens!$C$10407+Sens!$C$10408+Sens!$C$10409</f>
        <v>32.067</v>
      </c>
      <c r="D10410" s="38" t="n">
        <f aca="false">Sens!$D$10407+Sens!$D$10408+Sens!$D$10409</f>
        <v>41.86</v>
      </c>
      <c r="E10410" s="38" t="n">
        <f aca="false">Sens!$E$10407+Sens!$E$10408+Sens!$E$10409</f>
        <v>26.703</v>
      </c>
      <c r="F10410" s="38" t="n">
        <f aca="false">Sens!$F$10407+Sens!$F$10408+Sens!$F$10409</f>
        <v>28.2071421626285</v>
      </c>
      <c r="G10410" s="38" t="n">
        <f aca="false">Sens!$G$10407+Sens!$G$10408+Sens!$G$10409</f>
        <v>54.9101421626285</v>
      </c>
      <c r="H10410" s="38" t="n">
        <f aca="false">Sens!$H$10407+Sens!$H$10408+Sens!$H$10409</f>
        <v>78.1799395827871</v>
      </c>
      <c r="I10410" s="38" t="n">
        <f aca="false">Sens!$I$10407+Sens!$I$10408+Sens!$I$10409</f>
        <v>111.171125554384</v>
      </c>
      <c r="J10410" s="38" t="n">
        <f aca="false">Sens!$J$10407+Sens!$J$10408+Sens!$J$10409</f>
        <v>144.884406220971</v>
      </c>
      <c r="K10410" s="38" t="n">
        <f aca="false">Sens!$K$10407+Sens!$K$10408+Sens!$K$10409</f>
        <v>178.806419437999</v>
      </c>
      <c r="L10410" s="38" t="n">
        <f aca="false">Sens!$L$10407+Sens!$L$10408+Sens!$L$10409</f>
        <v>204.731408613016</v>
      </c>
      <c r="M10410" s="38" t="n">
        <f aca="false">Sens!$M$10407+Sens!$M$10408+Sens!$M$10409</f>
        <v>224.300786745448</v>
      </c>
      <c r="N10410" s="38" t="n">
        <f aca="false">Sens!$N$10407+Sens!$N$10408+Sens!$N$10409</f>
        <v>18.822</v>
      </c>
      <c r="O10410" s="38" t="n">
        <f aca="false">Sens!$O$10407+Sens!$O$10408+Sens!$O$10409</f>
        <v>23.038</v>
      </c>
    </row>
    <row r="10411" customFormat="false" ht="17.15" hidden="false" customHeight="false" outlineLevel="0" collapsed="false">
      <c r="A10411" s="0" t="s">
        <v>746</v>
      </c>
      <c r="B10411" s="0" t="s">
        <v>86</v>
      </c>
      <c r="C10411" s="38" t="n">
        <f aca="false">Sens!$C$10382+Sens!$C$10387</f>
        <v>28.107</v>
      </c>
      <c r="D10411" s="38" t="n">
        <f aca="false">Sens!$D$10382+Sens!$D$10387</f>
        <v>34.3175</v>
      </c>
      <c r="E10411" s="38" t="n">
        <f aca="false">Sens!$E$10382+Sens!$E$10387</f>
        <v>18.526</v>
      </c>
      <c r="F10411" s="38" t="n">
        <f aca="false">Sens!$F$10382+Sens!$F$10387</f>
        <v>23.0786109972074</v>
      </c>
      <c r="G10411" s="38" t="n">
        <f aca="false">Sens!$G$10382+Sens!$G$10387</f>
        <v>41.6046109972074</v>
      </c>
      <c r="H10411" s="38" t="n">
        <f aca="false">Sens!$H$10382+Sens!$H$10387</f>
        <v>49.9484611939488</v>
      </c>
      <c r="I10411" s="38" t="n">
        <f aca="false">Sens!$I$10382+Sens!$I$10387</f>
        <v>58.2915555477481</v>
      </c>
      <c r="J10411" s="38" t="n">
        <f aca="false">Sens!$J$10382+Sens!$J$10387</f>
        <v>66.0744709709759</v>
      </c>
      <c r="K10411" s="38" t="n">
        <f aca="false">Sens!$K$10382+Sens!$K$10387</f>
        <v>72.6819180680735</v>
      </c>
      <c r="L10411" s="38" t="n">
        <f aca="false">Sens!$L$10382+Sens!$L$10387</f>
        <v>79.9501098748808</v>
      </c>
      <c r="M10411" s="38" t="n">
        <f aca="false">Sens!$M$10382+Sens!$M$10387</f>
        <v>87.9451208623689</v>
      </c>
      <c r="N10411" s="38" t="n">
        <f aca="false">Sens!$N$10382+Sens!$N$10387</f>
        <v>14.8075</v>
      </c>
      <c r="O10411" s="38" t="n">
        <f aca="false">Sens!$O$10382+Sens!$O$10387</f>
        <v>19.51</v>
      </c>
    </row>
    <row r="10412" customFormat="false" ht="17.15" hidden="false" customHeight="false" outlineLevel="0" collapsed="false">
      <c r="A10412" s="0" t="s">
        <v>747</v>
      </c>
      <c r="B10412" s="0" t="s">
        <v>86</v>
      </c>
      <c r="C10412" s="38" t="n">
        <f aca="false">Sens!$C$10386+Sens!$C$10391+Sens!$C$10407+Sens!$C$10408-Sens!$C$10411</f>
        <v>19.399</v>
      </c>
      <c r="D10412" s="38" t="n">
        <f aca="false">Sens!$D$10386+Sens!$D$10391+Sens!$D$10407+Sens!$D$10408-Sens!$D$10411</f>
        <v>20.4615</v>
      </c>
      <c r="E10412" s="38" t="n">
        <f aca="false">Sens!$E$10386+Sens!$E$10391+Sens!$E$10407+Sens!$E$10408-Sens!$E$10411</f>
        <v>13.355</v>
      </c>
      <c r="F10412" s="38" t="n">
        <f aca="false">Sens!$F$10386+Sens!$F$10391+Sens!$F$10407+Sens!$F$10408-Sens!$F$10411</f>
        <v>12.5520732018618</v>
      </c>
      <c r="G10412" s="38" t="n">
        <f aca="false">Sens!$G$10386+Sens!$G$10391+Sens!$G$10407+Sens!$G$10408-Sens!$G$10411</f>
        <v>25.9070732018618</v>
      </c>
      <c r="H10412" s="38" t="n">
        <f aca="false">Sens!$H$10386+Sens!$H$10391+Sens!$H$10407+Sens!$H$10408-Sens!$H$10411</f>
        <v>28.0233335906818</v>
      </c>
      <c r="I10412" s="38" t="n">
        <f aca="false">Sens!$I$10386+Sens!$I$10391+Sens!$I$10407+Sens!$I$10408-Sens!$I$10411</f>
        <v>30.2440066606864</v>
      </c>
      <c r="J10412" s="38" t="n">
        <f aca="false">Sens!$J$10386+Sens!$J$10391+Sens!$J$10407+Sens!$J$10408-Sens!$J$10411</f>
        <v>32.4596500296286</v>
      </c>
      <c r="K10412" s="38" t="n">
        <f aca="false">Sens!$K$10386+Sens!$K$10391+Sens!$K$10407+Sens!$K$10408-Sens!$K$10411</f>
        <v>34.8252278550735</v>
      </c>
      <c r="L10412" s="38" t="n">
        <f aca="false">Sens!$L$10386+Sens!$L$10391+Sens!$L$10407+Sens!$L$10408-Sens!$L$10411</f>
        <v>36.385771075105</v>
      </c>
      <c r="M10412" s="38" t="n">
        <f aca="false">Sens!$M$10386+Sens!$M$10391+Sens!$M$10407+Sens!$M$10408-Sens!$M$10411</f>
        <v>38.7139757016285</v>
      </c>
      <c r="N10412" s="38" t="n">
        <f aca="false">Sens!$N$10386+Sens!$N$10391+Sens!$N$10407+Sens!$N$10408-Sens!$N$10411</f>
        <v>10.6495</v>
      </c>
      <c r="O10412" s="38" t="n">
        <f aca="false">Sens!$O$10386+Sens!$O$10391+Sens!$O$10407+Sens!$O$10408-Sens!$O$10411</f>
        <v>9.81200000000001</v>
      </c>
    </row>
    <row r="10413" customFormat="false" ht="17.15" hidden="false" customHeight="false" outlineLevel="0" collapsed="false">
      <c r="A10413" s="0" t="s">
        <v>748</v>
      </c>
      <c r="B10413" s="0" t="s">
        <v>86</v>
      </c>
      <c r="C10413" s="38" t="n">
        <f aca="false">Sens!$C$10393+Sens!$C$10409-ext_sh*Sens!$C$10328</f>
        <v>51.3470500115664</v>
      </c>
      <c r="D10413" s="38" t="n">
        <f aca="false">Sens!$D$10393+Sens!$D$10409-ext_sh*Sens!$D$10328</f>
        <v>60.2799375433739</v>
      </c>
      <c r="E10413" s="38" t="n">
        <f aca="false">Sens!$E$10393+Sens!$E$10409-ext_sh*Sens!$E$10328</f>
        <v>39.5095167090767</v>
      </c>
      <c r="F10413" s="38" t="n">
        <f aca="false">Sens!$F$10393+Sens!$F$10409-ext_sh*Sens!$F$10328</f>
        <v>37.5468918745429</v>
      </c>
      <c r="G10413" s="38" t="n">
        <f aca="false">Sens!$G$10393+Sens!$G$10409-ext_sh*Sens!$G$10328</f>
        <v>77.0564085836196</v>
      </c>
      <c r="H10413" s="38" t="n">
        <f aca="false">Sens!$H$10393+Sens!$H$10409-ext_sh*Sens!$H$10328</f>
        <v>84.2378398616123</v>
      </c>
      <c r="I10413" s="38" t="n">
        <f aca="false">Sens!$I$10393+Sens!$I$10409-ext_sh*Sens!$I$10328</f>
        <v>93.5253492849083</v>
      </c>
      <c r="J10413" s="38" t="n">
        <f aca="false">Sens!$J$10393+Sens!$J$10409-ext_sh*Sens!$J$10328</f>
        <v>102.42210777817</v>
      </c>
      <c r="K10413" s="38" t="n">
        <f aca="false">Sens!$K$10393+Sens!$K$10409-ext_sh*Sens!$K$10328</f>
        <v>110.615876400424</v>
      </c>
      <c r="L10413" s="38" t="n">
        <f aca="false">Sens!$L$10393+Sens!$L$10409-ext_sh*Sens!$L$10328</f>
        <v>119.465146512458</v>
      </c>
      <c r="M10413" s="38" t="n">
        <f aca="false">Sens!$M$10393+Sens!$M$10409-ext_sh*Sens!$M$10328</f>
        <v>129.022358233455</v>
      </c>
      <c r="N10413" s="38" t="n">
        <f aca="false">Sens!$N$10393+Sens!$N$10409-ext_sh*Sens!$N$10328</f>
        <v>28.5693781401809</v>
      </c>
      <c r="O10413" s="38" t="n">
        <f aca="false">Sens!$O$10393+Sens!$O$10409-ext_sh*Sens!$O$10328</f>
        <v>31.7105594031931</v>
      </c>
    </row>
    <row r="10414" customFormat="false" ht="17.15" hidden="false" customHeight="false" outlineLevel="0" collapsed="false">
      <c r="A10414" s="0" t="s">
        <v>749</v>
      </c>
      <c r="B10414" s="0" t="s">
        <v>86</v>
      </c>
      <c r="C10414" s="38" t="n">
        <f aca="false">Sens!$C$10331</f>
        <v>1.80694998843362</v>
      </c>
      <c r="D10414" s="38" t="n">
        <f aca="false">Sens!$D$10331</f>
        <v>6.77606245662607</v>
      </c>
      <c r="E10414" s="38" t="n">
        <f aca="false">Sens!$E$10331</f>
        <v>6.62548329092326</v>
      </c>
      <c r="F10414" s="38" t="n">
        <f aca="false">Sens!$F$10331</f>
        <v>11.7200577158706</v>
      </c>
      <c r="G10414" s="38" t="n">
        <f aca="false">Sens!$G$10331</f>
        <v>18.3455410067939</v>
      </c>
      <c r="H10414" s="38" t="n">
        <f aca="false">Sens!$H$10331</f>
        <v>47.5171727060453</v>
      </c>
      <c r="I10414" s="38" t="n">
        <f aca="false">Sens!$I$10331</f>
        <v>80.5539692643667</v>
      </c>
      <c r="J10414" s="38" t="n">
        <f aca="false">Sens!$J$10331</f>
        <v>113.759316834883</v>
      </c>
      <c r="K10414" s="38" t="n">
        <f aca="false">Sens!$K$10331</f>
        <v>142.313600225088</v>
      </c>
      <c r="L10414" s="38" t="n">
        <f aca="false">Sens!$L$10331</f>
        <v>161.610137806934</v>
      </c>
      <c r="M10414" s="38" t="n">
        <f aca="false">Sens!$M$10331</f>
        <v>171.622526917459</v>
      </c>
      <c r="N10414" s="38" t="n">
        <f aca="false">Sens!$N$10331</f>
        <v>2.37162185981912</v>
      </c>
      <c r="O10414" s="38" t="n">
        <f aca="false">Sens!$O$10331</f>
        <v>4.40444059680694</v>
      </c>
    </row>
    <row r="10415" customFormat="false" ht="17.15" hidden="false" customHeight="false" outlineLevel="0" collapsed="false">
      <c r="A10415" s="0" t="s">
        <v>750</v>
      </c>
      <c r="B10415" s="0" t="s">
        <v>86</v>
      </c>
      <c r="C10415" s="38" t="n">
        <f aca="false">Sens!$C$10396+Sens!$C$10410</f>
        <v>100.66</v>
      </c>
      <c r="D10415" s="38" t="n">
        <f aca="false">Sens!$D$10396+Sens!$D$10410</f>
        <v>121.835</v>
      </c>
      <c r="E10415" s="38" t="n">
        <f aca="false">Sens!$E$10396+Sens!$E$10410</f>
        <v>78.016</v>
      </c>
      <c r="F10415" s="38" t="n">
        <f aca="false">Sens!$F$10396+Sens!$F$10410</f>
        <v>84.8976337894826</v>
      </c>
      <c r="G10415" s="38" t="n">
        <f aca="false">Sens!$G$10396+Sens!$G$10410</f>
        <v>162.913633789483</v>
      </c>
      <c r="H10415" s="38" t="n">
        <f aca="false">Sens!$H$10396+Sens!$H$10410</f>
        <v>209.726807352288</v>
      </c>
      <c r="I10415" s="38" t="n">
        <f aca="false">Sens!$I$10396+Sens!$I$10410</f>
        <v>262.61488075771</v>
      </c>
      <c r="J10415" s="38" t="n">
        <f aca="false">Sens!$J$10396+Sens!$J$10410</f>
        <v>314.715545613658</v>
      </c>
      <c r="K10415" s="38" t="n">
        <f aca="false">Sens!$K$10396+Sens!$K$10410</f>
        <v>360.436622548659</v>
      </c>
      <c r="L10415" s="38" t="n">
        <f aca="false">Sens!$L$10396+Sens!$L$10410</f>
        <v>397.411165269378</v>
      </c>
      <c r="M10415" s="38" t="n">
        <f aca="false">Sens!$M$10396+Sens!$M$10410</f>
        <v>427.303981714911</v>
      </c>
      <c r="N10415" s="38" t="n">
        <f aca="false">Sens!$N$10396+Sens!$N$10410</f>
        <v>56.398</v>
      </c>
      <c r="O10415" s="38" t="n">
        <f aca="false">Sens!$O$10396+Sens!$O$10410</f>
        <v>65.437</v>
      </c>
    </row>
    <row r="10416" customFormat="false" ht="17.15" hidden="false" customHeight="false" outlineLevel="0" collapsed="false">
      <c r="A10416" s="1" t="s">
        <v>751</v>
      </c>
    </row>
    <row r="10417" customFormat="false" ht="15" hidden="false" customHeight="false" outlineLevel="0" collapsed="false">
      <c r="A10417" s="5" t="s">
        <v>544</v>
      </c>
      <c r="B10417" s="0" t="s">
        <v>86</v>
      </c>
      <c r="C10417" s="38" t="n">
        <f aca="false">Q!$D$34</f>
        <v>2.406</v>
      </c>
      <c r="D10417" s="38" t="n">
        <f aca="false">Q!$E$34</f>
        <v>2.274</v>
      </c>
      <c r="E10417" s="38" t="n">
        <f aca="false">Q!$P$34</f>
        <v>2.114</v>
      </c>
      <c r="F10417" s="38" t="n">
        <f aca="false">Sens!$F$10455</f>
        <v>3.24888962733561</v>
      </c>
      <c r="G10417" s="38" t="n">
        <f aca="false">Sens!$E$10417+Sens!$F$10417</f>
        <v>5.36288962733561</v>
      </c>
      <c r="H10417" s="38" t="n">
        <f aca="false">Sens!$H$10455</f>
        <v>7.42354172302123</v>
      </c>
      <c r="I10417" s="38" t="n">
        <f aca="false">Sens!$I$10455</f>
        <v>8.48968024898619</v>
      </c>
      <c r="J10417" s="38" t="n">
        <f aca="false">Sens!$J$10455</f>
        <v>9.63598826439483</v>
      </c>
      <c r="K10417" s="38" t="n">
        <f aca="false">Sens!$K$10455</f>
        <v>9.63598826439483</v>
      </c>
      <c r="L10417" s="38" t="n">
        <f aca="false">Sens!$L$10455</f>
        <v>9.63598826439483</v>
      </c>
      <c r="M10417" s="38" t="n">
        <f aca="false">Sens!$M$10455</f>
        <v>9.63598826439483</v>
      </c>
      <c r="N10417" s="38" t="n">
        <f aca="false">Q!$N$34</f>
        <v>1.057</v>
      </c>
      <c r="O10417" s="38" t="n">
        <f aca="false">Q!$O$34</f>
        <v>1.217</v>
      </c>
    </row>
    <row r="10418" customFormat="false" ht="15" hidden="false" customHeight="false" outlineLevel="0" collapsed="false">
      <c r="A10418" s="5" t="s">
        <v>752</v>
      </c>
      <c r="B10418" s="0" t="s">
        <v>86</v>
      </c>
      <c r="F10418" s="38" t="n">
        <f aca="false">Sens!$F$10456</f>
        <v>2.59</v>
      </c>
      <c r="H10418" s="38" t="n">
        <f aca="false">Sens!$H$10456</f>
        <v>3.76965165045626</v>
      </c>
      <c r="I10418" s="38" t="n">
        <f aca="false">Sens!$I$10456</f>
        <v>2.10589651022864</v>
      </c>
      <c r="J10418" s="38" t="n">
        <f aca="false">Sens!$J$10456</f>
        <v>2.10589651022864</v>
      </c>
      <c r="K10418" s="38" t="n">
        <f aca="false">Sens!$K$10456</f>
        <v>3.03184385018094</v>
      </c>
      <c r="L10418" s="38" t="n">
        <f aca="false">Sens!$L$10456</f>
        <v>7.91036779285643</v>
      </c>
      <c r="M10418" s="38" t="n">
        <f aca="false">Sens!$M$10456</f>
        <v>15.1625776545148</v>
      </c>
    </row>
    <row r="10419" customFormat="false" ht="17.15" hidden="false" customHeight="false" outlineLevel="0" collapsed="false">
      <c r="A10419" s="5" t="s">
        <v>753</v>
      </c>
      <c r="B10419" s="0" t="s">
        <v>86</v>
      </c>
      <c r="C10419" s="38" t="n">
        <f aca="false">Q!$D$39</f>
        <v>2.427</v>
      </c>
      <c r="D10419" s="38" t="n">
        <f aca="false">Q!$E$39</f>
        <v>19.61</v>
      </c>
      <c r="E10419" s="38" t="n">
        <f aca="false">Q!$P$39</f>
        <v>71.492</v>
      </c>
      <c r="F10419" s="39" t="n">
        <v>0</v>
      </c>
      <c r="G10419" s="38" t="n">
        <f aca="false">Sens!$E$10419+Sens!$F$10419</f>
        <v>71.492</v>
      </c>
      <c r="H10419" s="39" t="n">
        <v>0</v>
      </c>
      <c r="I10419" s="39" t="n">
        <v>0</v>
      </c>
      <c r="J10419" s="39" t="n">
        <v>0</v>
      </c>
      <c r="K10419" s="39" t="n">
        <v>0</v>
      </c>
      <c r="L10419" s="39" t="n">
        <v>0</v>
      </c>
      <c r="M10419" s="39" t="n">
        <v>0</v>
      </c>
      <c r="N10419" s="38" t="n">
        <f aca="false">Q!$N$39</f>
        <v>6.017</v>
      </c>
      <c r="O10419" s="38" t="n">
        <f aca="false">Q!$O$39</f>
        <v>13.593</v>
      </c>
      <c r="P10419" s="5" t="s">
        <v>754</v>
      </c>
    </row>
    <row r="10420" customFormat="false" ht="15" hidden="false" customHeight="false" outlineLevel="0" collapsed="false">
      <c r="A10420" s="5" t="s">
        <v>547</v>
      </c>
      <c r="B10420" s="0" t="s">
        <v>86</v>
      </c>
      <c r="C10420" s="38" t="n">
        <f aca="false">Q!$D$36</f>
        <v>68.614</v>
      </c>
      <c r="D10420" s="38" t="n">
        <f aca="false">Q!$E$36</f>
        <v>97.311</v>
      </c>
      <c r="E10420" s="38" t="n">
        <f aca="false">Q!$P$36</f>
        <v>120.691</v>
      </c>
      <c r="F10420" s="38" t="n">
        <f aca="false">Sens!$F$10396-Sens!$F$10417+Sens!$F$10418+Sens!$F$10419</f>
        <v>56.0316019995185</v>
      </c>
      <c r="G10420" s="38" t="n">
        <f aca="false">Sens!$E$10420+Sens!$F$10420</f>
        <v>176.722601999518</v>
      </c>
      <c r="H10420" s="38" t="n">
        <f aca="false">Sens!$H$10396-Sens!$H$10417+Sens!$H$10418+Sens!$H$10419</f>
        <v>127.892977696936</v>
      </c>
      <c r="I10420" s="38" t="n">
        <f aca="false">Sens!$I$10396-Sens!$I$10417+Sens!$I$10418+Sens!$I$10419</f>
        <v>145.059971464568</v>
      </c>
      <c r="J10420" s="38" t="n">
        <f aca="false">Sens!$J$10396-Sens!$J$10417+Sens!$J$10418+Sens!$J$10419</f>
        <v>162.301047638521</v>
      </c>
      <c r="K10420" s="38" t="n">
        <f aca="false">Sens!$K$10396-Sens!$K$10417+Sens!$K$10418+Sens!$K$10419</f>
        <v>175.026058696445</v>
      </c>
      <c r="L10420" s="38" t="n">
        <f aca="false">Sens!$L$10396-Sens!$L$10417+Sens!$L$10418+Sens!$L$10419</f>
        <v>190.954136184823</v>
      </c>
      <c r="M10420" s="38" t="n">
        <f aca="false">Sens!$M$10396-Sens!$M$10417+Sens!$M$10418+Sens!$M$10419</f>
        <v>208.529784359583</v>
      </c>
      <c r="N10420" s="38" t="n">
        <f aca="false">Q!$N$36</f>
        <v>42.536</v>
      </c>
      <c r="O10420" s="38" t="n">
        <f aca="false">Q!$O$36</f>
        <v>54.775</v>
      </c>
    </row>
    <row r="10421" customFormat="false" ht="15" hidden="false" customHeight="false" outlineLevel="0" collapsed="false">
      <c r="A10421" s="5" t="s">
        <v>548</v>
      </c>
      <c r="B10421" s="0" t="s">
        <v>86</v>
      </c>
      <c r="C10421" s="38" t="n">
        <f aca="false">Q!$D$37</f>
        <v>9.265</v>
      </c>
      <c r="D10421" s="38" t="n">
        <f aca="false">Q!$E$37</f>
        <v>19.087</v>
      </c>
      <c r="E10421" s="38" t="n">
        <f aca="false">Q!$P$37</f>
        <v>27.759</v>
      </c>
      <c r="F10421" s="38" t="n">
        <f aca="false">Sens!$F$10420*tax</f>
        <v>9.72621910890414</v>
      </c>
      <c r="G10421" s="38" t="n">
        <f aca="false">Sens!$E$10421+Sens!$F$10421</f>
        <v>37.4852191089041</v>
      </c>
      <c r="H10421" s="38" t="n">
        <f aca="false">Sens!$H$10420*tax</f>
        <v>22.2002419916761</v>
      </c>
      <c r="I10421" s="38" t="n">
        <f aca="false">Sens!$I$10420*tax</f>
        <v>25.1801664783365</v>
      </c>
      <c r="J10421" s="38" t="n">
        <f aca="false">Sens!$J$10420*tax</f>
        <v>28.1729505244292</v>
      </c>
      <c r="K10421" s="38" t="n">
        <f aca="false">Sens!$K$10420*tax</f>
        <v>30.3818155451664</v>
      </c>
      <c r="L10421" s="38" t="n">
        <f aca="false">Sens!$L$10420*tax</f>
        <v>33.1466833359695</v>
      </c>
      <c r="M10421" s="38" t="n">
        <f aca="false">Sens!$M$10420*tax</f>
        <v>36.1975439044428</v>
      </c>
      <c r="N10421" s="38" t="n">
        <f aca="false">Q!$N$37</f>
        <v>7.231</v>
      </c>
      <c r="O10421" s="38" t="n">
        <f aca="false">Q!$O$37</f>
        <v>11.856</v>
      </c>
    </row>
    <row r="10422" customFormat="false" ht="15" hidden="false" customHeight="false" outlineLevel="0" collapsed="false">
      <c r="A10422" s="3" t="s">
        <v>549</v>
      </c>
      <c r="B10422" s="8" t="s">
        <v>86</v>
      </c>
      <c r="C10422" s="38" t="n">
        <f aca="false">Q!$D$38</f>
        <v>59.248</v>
      </c>
      <c r="D10422" s="38" t="n">
        <f aca="false">Q!$E$38</f>
        <v>77.67</v>
      </c>
      <c r="E10422" s="38" t="n">
        <f aca="false">Q!$P$38</f>
        <v>92.902</v>
      </c>
      <c r="F10422" s="38" t="n">
        <f aca="false">Sens!$F$10420-Sens!$F$10421</f>
        <v>46.3053828906144</v>
      </c>
      <c r="G10422" s="38" t="n">
        <f aca="false">Sens!$E$10422+Sens!$F$10422</f>
        <v>139.207382890614</v>
      </c>
      <c r="H10422" s="38" t="n">
        <f aca="false">Sens!$H$10420-Sens!$H$10421</f>
        <v>105.69273570526</v>
      </c>
      <c r="I10422" s="38" t="n">
        <f aca="false">Sens!$I$10420-Sens!$I$10421</f>
        <v>119.879804986231</v>
      </c>
      <c r="J10422" s="38" t="n">
        <f aca="false">Sens!$J$10420-Sens!$J$10421</f>
        <v>134.128097114092</v>
      </c>
      <c r="K10422" s="38" t="n">
        <f aca="false">Sens!$K$10420-Sens!$K$10421</f>
        <v>144.644243151279</v>
      </c>
      <c r="L10422" s="38" t="n">
        <f aca="false">Sens!$L$10420-Sens!$L$10421</f>
        <v>157.807452848854</v>
      </c>
      <c r="M10422" s="38" t="n">
        <f aca="false">Sens!$M$10420-Sens!$M$10421</f>
        <v>172.33224045514</v>
      </c>
      <c r="N10422" s="38" t="n">
        <f aca="false">Q!$N$38</f>
        <v>35.291</v>
      </c>
      <c r="O10422" s="38" t="n">
        <f aca="false">Q!$O$38</f>
        <v>42.379</v>
      </c>
    </row>
    <row r="10423" customFormat="false" ht="17.15" hidden="false" customHeight="false" outlineLevel="0" collapsed="false">
      <c r="A10423" s="5" t="s">
        <v>552</v>
      </c>
      <c r="B10423" s="5" t="s">
        <v>33</v>
      </c>
      <c r="C10423" s="22" t="n">
        <f aca="false">Q!$D$41</f>
        <v>10.721</v>
      </c>
      <c r="D10423" s="22" t="n">
        <f aca="false">Q!$E$41</f>
        <v>10.827</v>
      </c>
      <c r="E10423" s="22" t="n">
        <f aca="false">(Q!$L$41+Q!$M$41)/2</f>
        <v>10.8885</v>
      </c>
      <c r="F10423" s="22" t="n">
        <f aca="false">Sens!$G$10423</f>
        <v>10.924806</v>
      </c>
      <c r="G10423" s="22" t="n">
        <f aca="false">Q!$M$41*(1+sh_g*0.25)</f>
        <v>10.924806</v>
      </c>
      <c r="H10423" s="22" t="n">
        <f aca="false">Sens!$G$10423*(1+sh_g)</f>
        <v>11.012204448</v>
      </c>
      <c r="I10423" s="22" t="n">
        <f aca="false">Sens!$H$10423*(1+sh_g)</f>
        <v>11.100302083584</v>
      </c>
      <c r="J10423" s="22" t="n">
        <f aca="false">Sens!$I$10423*(1+sh_g)</f>
        <v>11.1891045002527</v>
      </c>
      <c r="K10423" s="22" t="n">
        <f aca="false">Sens!$J$10423*(1+sh_g)</f>
        <v>11.2786173362547</v>
      </c>
      <c r="L10423" s="22" t="n">
        <f aca="false">Sens!$K$10423*(1+sh_g)</f>
        <v>11.3688462749447</v>
      </c>
      <c r="M10423" s="22" t="n">
        <f aca="false">Sens!$L$10423*(1+sh_g)</f>
        <v>11.4597970451443</v>
      </c>
      <c r="P10423" s="5" t="s">
        <v>755</v>
      </c>
    </row>
    <row r="10424" customFormat="false" ht="17.15" hidden="false" customHeight="false" outlineLevel="0" collapsed="false">
      <c r="A10424" s="5" t="s">
        <v>756</v>
      </c>
      <c r="B10424" s="0" t="s">
        <v>86</v>
      </c>
      <c r="C10424" s="38" t="n">
        <f aca="false">Sens!$C$10422+Sens!$C$10398*(1-tax)</f>
        <v>59.248</v>
      </c>
      <c r="D10424" s="38" t="n">
        <f aca="false">Sens!$D$10422+Sens!$D$10398*(1-tax)</f>
        <v>77.67</v>
      </c>
      <c r="E10424" s="38" t="n">
        <f aca="false">Sens!$E$10422+Sens!$E$10398*(1-tax)</f>
        <v>92.902</v>
      </c>
      <c r="F10424" s="38" t="n">
        <f aca="false">Sens!$F$10422+Sens!$F$10398*(1-tax)</f>
        <v>49.421977850263</v>
      </c>
      <c r="G10424" s="38" t="n">
        <f aca="false">Sens!$G$10422+Sens!$G$10398*(1-tax)</f>
        <v>142.323977850263</v>
      </c>
      <c r="H10424" s="38" t="n">
        <f aca="false">Sens!$H$10422+Sens!$H$10398*(1-tax)</f>
        <v>118.224131660605</v>
      </c>
      <c r="I10424" s="38" t="n">
        <f aca="false">Sens!$I$10422+Sens!$I$10398*(1-tax)</f>
        <v>141.02107006117</v>
      </c>
      <c r="J10424" s="38" t="n">
        <f aca="false">Sens!$J$10422+Sens!$J$10398*(1-tax)</f>
        <v>163.917534058375</v>
      </c>
      <c r="K10424" s="38" t="n">
        <f aca="false">Sens!$K$10422+Sens!$K$10398*(1-tax)</f>
        <v>181.871113221934</v>
      </c>
      <c r="L10424" s="38" t="n">
        <f aca="false">Sens!$L$10422+Sens!$L$10398*(1-tax)</f>
        <v>200.060364371763</v>
      </c>
      <c r="M10424" s="38" t="n">
        <f aca="false">Sens!$M$10422+Sens!$M$10398*(1-tax)</f>
        <v>217.193801824301</v>
      </c>
      <c r="N10424" s="38" t="n">
        <f aca="false">Sens!$N$10422+Sens!$N$10398*(1-tax)</f>
        <v>35.291</v>
      </c>
      <c r="O10424" s="38" t="n">
        <f aca="false">Sens!$O$10422+Sens!$O$10398*(1-tax)</f>
        <v>42.379</v>
      </c>
    </row>
    <row r="10425" customFormat="false" ht="17.15" hidden="false" customHeight="false" outlineLevel="0" collapsed="false">
      <c r="A10425" s="43" t="s">
        <v>757</v>
      </c>
      <c r="B10425" s="14" t="s">
        <v>27</v>
      </c>
      <c r="C10425" s="44" t="n">
        <f aca="false">Sens!$C$10424/Sens!$C$10423</f>
        <v>5.52635015390355</v>
      </c>
      <c r="D10425" s="44" t="n">
        <f aca="false">Sens!$D$10424/Sens!$D$10423</f>
        <v>7.1737323358271</v>
      </c>
      <c r="E10425" s="44" t="n">
        <f aca="false">Sens!$E$10424/Sens!$E$10423</f>
        <v>8.53212104513937</v>
      </c>
      <c r="F10425" s="14"/>
      <c r="G10425" s="44" t="n">
        <f aca="false">Sens!$G$10424/Sens!$G$10423</f>
        <v>13.0275977303636</v>
      </c>
      <c r="H10425" s="44" t="n">
        <f aca="false">Sens!$H$10424/Sens!$H$10423</f>
        <v>10.7357370832392</v>
      </c>
      <c r="I10425" s="44" t="n">
        <f aca="false">Sens!$I$10424/Sens!$I$10423</f>
        <v>12.7042551634449</v>
      </c>
      <c r="J10425" s="44" t="n">
        <f aca="false">Sens!$J$10424/Sens!$J$10423</f>
        <v>14.6497455676344</v>
      </c>
      <c r="K10425" s="44" t="n">
        <f aca="false">Sens!$K$10424/Sens!$K$10423</f>
        <v>16.1253022245303</v>
      </c>
      <c r="L10425" s="44" t="n">
        <f aca="false">Sens!$L$10424/Sens!$L$10423</f>
        <v>17.5972442175303</v>
      </c>
      <c r="M10425" s="44" t="n">
        <f aca="false">Sens!$M$10424/Sens!$M$10423</f>
        <v>18.9526743771025</v>
      </c>
      <c r="N10425" s="14"/>
      <c r="O10425" s="14"/>
    </row>
    <row r="10426" customFormat="false" ht="17.15" hidden="false" customHeight="false" outlineLevel="0" collapsed="false">
      <c r="A10426" s="0" t="s">
        <v>758</v>
      </c>
      <c r="B10426" s="0" t="s">
        <v>27</v>
      </c>
      <c r="C10426" s="30" t="n">
        <f aca="false">Sens!$C$10422/Sens!$C$10423</f>
        <v>5.52635015390355</v>
      </c>
      <c r="D10426" s="30" t="n">
        <f aca="false">Sens!$D$10422/Sens!$D$10423</f>
        <v>7.1737323358271</v>
      </c>
      <c r="E10426" s="30" t="n">
        <f aca="false">Sens!$E$10422/Sens!$E$10423</f>
        <v>8.53212104513937</v>
      </c>
      <c r="G10426" s="30" t="n">
        <f aca="false">Sens!$G$10422/Sens!$G$10423</f>
        <v>12.7423208147233</v>
      </c>
      <c r="H10426" s="30" t="n">
        <f aca="false">Sens!$H$10422/Sens!$H$10423</f>
        <v>9.59778182509639</v>
      </c>
      <c r="I10426" s="30" t="n">
        <f aca="false">Sens!$I$10422/Sens!$I$10423</f>
        <v>10.799688520506</v>
      </c>
      <c r="J10426" s="30" t="n">
        <f aca="false">Sens!$J$10422/Sens!$J$10423</f>
        <v>11.9873844337644</v>
      </c>
      <c r="K10426" s="30" t="n">
        <f aca="false">Sens!$K$10422/Sens!$K$10423</f>
        <v>12.8246432021703</v>
      </c>
      <c r="L10426" s="30" t="n">
        <f aca="false">Sens!$L$10422/Sens!$L$10423</f>
        <v>13.8806919393957</v>
      </c>
      <c r="M10426" s="30" t="n">
        <f aca="false">Sens!$M$10422/Sens!$M$10423</f>
        <v>15.0379836376038</v>
      </c>
    </row>
    <row r="10427" customFormat="false" ht="17.15" hidden="false" customHeight="false" outlineLevel="0" collapsed="false">
      <c r="A10427" s="0" t="s">
        <v>759</v>
      </c>
      <c r="B10427" s="0" t="s">
        <v>27</v>
      </c>
      <c r="C10427" s="30" t="n">
        <f aca="false">(Sens!$C$10422-Sens!$C$10419*(1-tax))/Sens!$C$10423</f>
        <v>5.33926775917445</v>
      </c>
      <c r="D10427" s="30" t="n">
        <f aca="false">(Sens!$D$10422-Sens!$D$10419*(1-tax))/Sens!$D$10423</f>
        <v>5.67691812755503</v>
      </c>
      <c r="E10427" s="30" t="n">
        <f aca="false">(Sens!$E$10422-Sens!$E$10419*(1-tax))/Sens!$E$10423</f>
        <v>3.10602057006846</v>
      </c>
      <c r="G10427" s="30" t="n">
        <f aca="false">(Sens!$G$10422-Sens!$G$10419*(1-tax))/Sens!$G$10423</f>
        <v>7.33425269682635</v>
      </c>
      <c r="H10427" s="30" t="n">
        <f aca="false">(Sens!$H$10422-Sens!$H$10419*(1-tax))/Sens!$H$10423</f>
        <v>9.59778182509639</v>
      </c>
      <c r="I10427" s="30" t="n">
        <f aca="false">(Sens!$I$10422-Sens!$I$10419*(1-tax))/Sens!$I$10423</f>
        <v>10.799688520506</v>
      </c>
      <c r="J10427" s="30" t="n">
        <f aca="false">(Sens!$J$10422-Sens!$J$10419*(1-tax))/Sens!$J$10423</f>
        <v>11.9873844337644</v>
      </c>
      <c r="K10427" s="30" t="n">
        <f aca="false">(Sens!$K$10422-Sens!$K$10419*(1-tax))/Sens!$K$10423</f>
        <v>12.8246432021703</v>
      </c>
      <c r="L10427" s="30" t="n">
        <f aca="false">(Sens!$L$10422-Sens!$L$10419*(1-tax))/Sens!$L$10423</f>
        <v>13.8806919393957</v>
      </c>
      <c r="M10427" s="30" t="n">
        <f aca="false">(Sens!$M$10422-Sens!$M$10419*(1-tax))/Sens!$M$10423</f>
        <v>15.0379836376038</v>
      </c>
      <c r="P10427" s="5" t="s">
        <v>760</v>
      </c>
    </row>
    <row r="10428" customFormat="false" ht="17.15" hidden="false" customHeight="false" outlineLevel="0" collapsed="false">
      <c r="A10428" s="0" t="s">
        <v>761</v>
      </c>
      <c r="B10428" s="0" t="s">
        <v>52</v>
      </c>
      <c r="H10428" s="13" t="n">
        <f aca="false">Sens!$H$10425/Sens!$G$10425-1</f>
        <v>-0.175923504437261</v>
      </c>
      <c r="I10428" s="13" t="n">
        <f aca="false">Sens!$I$10425/Sens!$H$10425-1</f>
        <v>0.183361241519136</v>
      </c>
      <c r="J10428" s="13" t="n">
        <f aca="false">Sens!$J$10425/Sens!$I$10425-1</f>
        <v>0.153136911936991</v>
      </c>
      <c r="K10428" s="13" t="n">
        <f aca="false">Sens!$K$10425/Sens!$J$10425-1</f>
        <v>0.100722340199257</v>
      </c>
      <c r="L10428" s="13" t="n">
        <f aca="false">Sens!$L$10425/Sens!$K$10425-1</f>
        <v>0.0912815135186056</v>
      </c>
      <c r="M10428" s="13" t="n">
        <f aca="false">Sens!$M$10425/Sens!$L$10425-1</f>
        <v>0.0770251377327536</v>
      </c>
    </row>
    <row r="10431" customFormat="false" ht="19.4" hidden="false" customHeight="false" outlineLevel="0" collapsed="false">
      <c r="A10431" s="31" t="s">
        <v>1348</v>
      </c>
    </row>
    <row r="10432" customFormat="false" ht="17.15" hidden="false" customHeight="false" outlineLevel="0" collapsed="false">
      <c r="A10432" s="6" t="s">
        <v>16</v>
      </c>
      <c r="B10432" s="6" t="s">
        <v>17</v>
      </c>
      <c r="C10432" s="20" t="s">
        <v>497</v>
      </c>
      <c r="D10432" s="20" t="s">
        <v>498</v>
      </c>
      <c r="E10432" s="20" t="s">
        <v>580</v>
      </c>
      <c r="F10432" s="20" t="s">
        <v>581</v>
      </c>
      <c r="G10432" s="20" t="s">
        <v>582</v>
      </c>
      <c r="H10432" s="20" t="s">
        <v>583</v>
      </c>
      <c r="I10432" s="20" t="s">
        <v>584</v>
      </c>
      <c r="J10432" s="20" t="s">
        <v>585</v>
      </c>
      <c r="K10432" s="20" t="s">
        <v>586</v>
      </c>
      <c r="L10432" s="20" t="s">
        <v>587</v>
      </c>
      <c r="M10432" s="20" t="s">
        <v>588</v>
      </c>
      <c r="N10432" s="20" t="s">
        <v>589</v>
      </c>
      <c r="O10432" s="20" t="s">
        <v>590</v>
      </c>
      <c r="P10432" s="6" t="s">
        <v>23</v>
      </c>
      <c r="R10432" s="20" t="n">
        <v>2023</v>
      </c>
      <c r="S10432" s="20" t="n">
        <v>2024</v>
      </c>
      <c r="T10432" s="20" t="n">
        <v>2025</v>
      </c>
      <c r="U10432" s="20" t="n">
        <v>2026</v>
      </c>
      <c r="V10432" s="20" t="n">
        <v>2027</v>
      </c>
      <c r="W10432" s="20" t="n">
        <v>2028</v>
      </c>
      <c r="X10432" s="20" t="n">
        <v>2029</v>
      </c>
      <c r="Y10432" s="20" t="n">
        <v>2030</v>
      </c>
      <c r="Z10432" s="20" t="n">
        <v>2031</v>
      </c>
      <c r="AA10432" s="20" t="n">
        <v>2032</v>
      </c>
    </row>
    <row r="10433" customFormat="false" ht="15" hidden="false" customHeight="false" outlineLevel="0" collapsed="false">
      <c r="A10433" s="5" t="s">
        <v>549</v>
      </c>
      <c r="B10433" s="0" t="s">
        <v>86</v>
      </c>
      <c r="C10433" s="38" t="n">
        <f aca="false">Sens!$C$10422</f>
        <v>59.248</v>
      </c>
      <c r="D10433" s="38" t="n">
        <f aca="false">Sens!$D$10422</f>
        <v>77.67</v>
      </c>
      <c r="E10433" s="38" t="n">
        <f aca="false">Sens!$E$10422</f>
        <v>92.902</v>
      </c>
      <c r="F10433" s="38" t="n">
        <f aca="false">Sens!$F$10422</f>
        <v>46.3053828906144</v>
      </c>
      <c r="G10433" s="38" t="n">
        <f aca="false">Sens!$G$10422</f>
        <v>139.207382890614</v>
      </c>
      <c r="H10433" s="38" t="n">
        <f aca="false">Sens!$H$10422</f>
        <v>105.69273570526</v>
      </c>
      <c r="I10433" s="38" t="n">
        <f aca="false">Sens!$I$10422</f>
        <v>119.879804986231</v>
      </c>
      <c r="J10433" s="38" t="n">
        <f aca="false">Sens!$J$10422</f>
        <v>134.128097114092</v>
      </c>
      <c r="K10433" s="38" t="n">
        <f aca="false">Sens!$K$10422</f>
        <v>144.644243151279</v>
      </c>
      <c r="L10433" s="38" t="n">
        <f aca="false">Sens!$L$10422</f>
        <v>157.807452848854</v>
      </c>
      <c r="M10433" s="38" t="n">
        <f aca="false">Sens!$M$10422</f>
        <v>172.33224045514</v>
      </c>
    </row>
    <row r="10434" customFormat="false" ht="17.15" hidden="false" customHeight="false" outlineLevel="0" collapsed="false">
      <c r="A10434" s="5" t="s">
        <v>784</v>
      </c>
      <c r="B10434" s="0" t="s">
        <v>86</v>
      </c>
      <c r="C10434" s="38" t="n">
        <f aca="false">Sens!$C$10410</f>
        <v>32.067</v>
      </c>
      <c r="D10434" s="38" t="n">
        <f aca="false">Sens!$D$10410</f>
        <v>41.86</v>
      </c>
      <c r="E10434" s="38" t="n">
        <f aca="false">Sens!$E$10410</f>
        <v>26.703</v>
      </c>
      <c r="F10434" s="38" t="n">
        <f aca="false">Sens!$F$10410</f>
        <v>28.2071421626285</v>
      </c>
      <c r="G10434" s="38" t="n">
        <f aca="false">Sens!$G$10410</f>
        <v>54.9101421626285</v>
      </c>
      <c r="H10434" s="38" t="n">
        <f aca="false">Sens!$H$10410</f>
        <v>78.1799395827871</v>
      </c>
      <c r="I10434" s="38" t="n">
        <f aca="false">Sens!$I$10410</f>
        <v>111.171125554384</v>
      </c>
      <c r="J10434" s="38" t="n">
        <f aca="false">Sens!$J$10410</f>
        <v>144.884406220971</v>
      </c>
      <c r="K10434" s="38" t="n">
        <f aca="false">Sens!$K$10410</f>
        <v>178.806419437999</v>
      </c>
      <c r="L10434" s="38" t="n">
        <f aca="false">Sens!$L$10410</f>
        <v>204.731408613016</v>
      </c>
      <c r="M10434" s="38" t="n">
        <f aca="false">Sens!$M$10410</f>
        <v>224.300786745448</v>
      </c>
    </row>
    <row r="10435" customFormat="false" ht="15" hidden="false" customHeight="false" outlineLevel="0" collapsed="false">
      <c r="A10435" s="5" t="s">
        <v>785</v>
      </c>
      <c r="B10435" s="0" t="s">
        <v>86</v>
      </c>
      <c r="C10435" s="38" t="n">
        <f aca="false">Q!$D$48</f>
        <v>22.011</v>
      </c>
      <c r="D10435" s="38" t="n">
        <f aca="false">Q!$E$48</f>
        <v>19.467</v>
      </c>
      <c r="E10435" s="38" t="n">
        <f aca="false">Q!$P$48</f>
        <v>10.07</v>
      </c>
      <c r="F10435" s="38" t="n">
        <f aca="false">sbc_r*Sens!$F$10352</f>
        <v>10.8507035798037</v>
      </c>
      <c r="G10435" s="38" t="n">
        <f aca="false">Sens!$E$10435+Sens!$F$10435</f>
        <v>20.9207035798037</v>
      </c>
      <c r="H10435" s="38" t="n">
        <f aca="false">sbc_r*Sens!$H$10352</f>
        <v>23.46224366345</v>
      </c>
      <c r="I10435" s="38" t="n">
        <f aca="false">sbc_r*Sens!$I$10352</f>
        <v>26.6125957111676</v>
      </c>
      <c r="J10435" s="38" t="n">
        <f aca="false">sbc_r*Sens!$J$10352</f>
        <v>29.6280801413323</v>
      </c>
      <c r="K10435" s="38" t="n">
        <f aca="false">sbc_r*Sens!$K$10352</f>
        <v>32.2783466626501</v>
      </c>
      <c r="L10435" s="38" t="n">
        <f aca="false">sbc_r*Sens!$L$10352</f>
        <v>34.7673634382331</v>
      </c>
      <c r="M10435" s="38" t="n">
        <f aca="false">sbc_r*Sens!$M$10352</f>
        <v>37.1041186491569</v>
      </c>
    </row>
    <row r="10436" customFormat="false" ht="17.15" hidden="false" customHeight="false" outlineLevel="0" collapsed="false">
      <c r="A10436" s="5" t="s">
        <v>786</v>
      </c>
      <c r="B10436" s="0" t="s">
        <v>86</v>
      </c>
      <c r="C10436" s="38" t="n">
        <f aca="false">Q!$D$44-Sens!$C$10433-Sens!$C$10434-Sens!$C$10435</f>
        <v>2.551</v>
      </c>
      <c r="D10436" s="38" t="n">
        <f aca="false">Q!$E$44-Sens!$D$10433-Sens!$D$10434-Sens!$D$10435</f>
        <v>0.51700000000001</v>
      </c>
      <c r="E10436" s="38" t="n">
        <f aca="false">Q!$P$44-Sens!$E$10433-Sens!$E$10434-Sens!$E$10435</f>
        <v>-58.256</v>
      </c>
      <c r="F10436" s="38" t="n">
        <f aca="false">oth_r*Sens!$F$10352</f>
        <v>5.22265251035878</v>
      </c>
      <c r="G10436" s="38" t="n">
        <f aca="false">Sens!$E$10436+Sens!$F$10436</f>
        <v>-53.0333474896412</v>
      </c>
      <c r="H10436" s="38" t="n">
        <f aca="false">oth_r*Sens!$H$10352</f>
        <v>11.2928295263397</v>
      </c>
      <c r="I10436" s="38" t="n">
        <f aca="false">oth_r*Sens!$I$10352</f>
        <v>12.8091546115766</v>
      </c>
      <c r="J10436" s="38" t="n">
        <f aca="false">oth_r*Sens!$J$10352</f>
        <v>14.2605653162668</v>
      </c>
      <c r="K10436" s="38" t="n">
        <f aca="false">oth_r*Sens!$K$10352</f>
        <v>15.5361896109386</v>
      </c>
      <c r="L10436" s="38" t="n">
        <f aca="false">oth_r*Sens!$L$10352</f>
        <v>16.7342012989106</v>
      </c>
      <c r="M10436" s="38" t="n">
        <f aca="false">oth_r*Sens!$M$10352</f>
        <v>17.8589265647579</v>
      </c>
      <c r="P10436" s="8" t="s">
        <v>787</v>
      </c>
    </row>
    <row r="10437" customFormat="false" ht="15" hidden="false" customHeight="false" outlineLevel="0" collapsed="false">
      <c r="A10437" s="3" t="s">
        <v>555</v>
      </c>
      <c r="B10437" s="8" t="s">
        <v>86</v>
      </c>
      <c r="C10437" s="38" t="n">
        <f aca="false">Q!$D$44</f>
        <v>115.877</v>
      </c>
      <c r="D10437" s="38" t="n">
        <f aca="false">Q!$E$44</f>
        <v>139.514</v>
      </c>
      <c r="E10437" s="38" t="n">
        <f aca="false">Q!$P$44</f>
        <v>71.419</v>
      </c>
      <c r="F10437" s="38" t="n">
        <f aca="false">Sens!$F$10433+Sens!$F$10434+Sens!$F$10435+Sens!$F$10436</f>
        <v>90.5858811434053</v>
      </c>
      <c r="G10437" s="38" t="n">
        <f aca="false">Sens!$E$10437+Sens!$F$10437</f>
        <v>162.004881143405</v>
      </c>
      <c r="H10437" s="38" t="n">
        <f aca="false">Sens!$H$10433+Sens!$H$10434+Sens!$H$10435+Sens!$H$10436</f>
        <v>218.627748477837</v>
      </c>
      <c r="I10437" s="38" t="n">
        <f aca="false">Sens!$I$10433+Sens!$I$10434+Sens!$I$10435+Sens!$I$10436</f>
        <v>270.47268086336</v>
      </c>
      <c r="J10437" s="38" t="n">
        <f aca="false">Sens!$J$10433+Sens!$J$10434+Sens!$J$10435+Sens!$J$10436</f>
        <v>322.901148792662</v>
      </c>
      <c r="K10437" s="38" t="n">
        <f aca="false">Sens!$K$10433+Sens!$K$10434+Sens!$K$10435+Sens!$K$10436</f>
        <v>371.265198862867</v>
      </c>
      <c r="L10437" s="38" t="n">
        <f aca="false">Sens!$L$10433+Sens!$L$10434+Sens!$L$10435+Sens!$L$10436</f>
        <v>414.040426199014</v>
      </c>
      <c r="M10437" s="38" t="n">
        <f aca="false">Sens!$M$10433+Sens!$M$10434+Sens!$M$10435+Sens!$M$10436</f>
        <v>451.596072414503</v>
      </c>
    </row>
    <row r="10438" customFormat="false" ht="17.15" hidden="false" customHeight="false" outlineLevel="0" collapsed="false">
      <c r="A10438" s="5" t="s">
        <v>788</v>
      </c>
      <c r="B10438" s="0" t="s">
        <v>86</v>
      </c>
      <c r="C10438" s="38" t="n">
        <f aca="false">Sens!$C$10319</f>
        <v>25.2781053077374</v>
      </c>
      <c r="D10438" s="38" t="n">
        <f aca="false">Sens!$D$10319</f>
        <v>69.5686316310026</v>
      </c>
      <c r="E10438" s="38" t="n">
        <f aca="false">Sens!$E$10319</f>
        <v>64.1899206485108</v>
      </c>
      <c r="F10438" s="38" t="n">
        <f aca="false">Sens!$F$10319</f>
        <v>96.2481299895</v>
      </c>
      <c r="G10438" s="38" t="n">
        <f aca="false">Sens!$G$10319</f>
        <v>160.438050638011</v>
      </c>
      <c r="H10438" s="38" t="n">
        <f aca="false">Sens!$H$10319</f>
        <v>198.57136494475</v>
      </c>
      <c r="I10438" s="38" t="n">
        <f aca="false">Sens!$I$10319</f>
        <v>204.6464699105</v>
      </c>
      <c r="J10438" s="38" t="n">
        <f aca="false">Sens!$J$10319</f>
        <v>209.8832381105</v>
      </c>
      <c r="K10438" s="38" t="n">
        <f aca="false">Sens!$K$10319</f>
        <v>158.016341586823</v>
      </c>
      <c r="L10438" s="38" t="n">
        <f aca="false">Sens!$L$10319</f>
        <v>137.570054263147</v>
      </c>
      <c r="M10438" s="38" t="n">
        <f aca="false">Sens!$M$10319</f>
        <v>140.56485059472</v>
      </c>
    </row>
    <row r="10439" customFormat="false" ht="17.15" hidden="false" customHeight="false" outlineLevel="0" collapsed="false">
      <c r="A10439" s="5" t="s">
        <v>789</v>
      </c>
      <c r="B10439" s="0" t="s">
        <v>86</v>
      </c>
      <c r="C10439" s="38" t="n">
        <f aca="false">cx_awso*Sens!$C$10350</f>
        <v>21.0469989286053</v>
      </c>
      <c r="D10439" s="38" t="n">
        <f aca="false">cx_awso*Sens!$D$10350</f>
        <v>24.0042459822698</v>
      </c>
      <c r="E10439" s="38" t="n">
        <f aca="false">cx_awso*Sens!$E$10350</f>
        <v>14.261729404886</v>
      </c>
      <c r="F10439" s="38" t="n">
        <f aca="false">cx_awso*Sens!$F$10350</f>
        <v>14.3538599588493</v>
      </c>
      <c r="G10439" s="38" t="n">
        <f aca="false">Sens!$E$10439+Sens!$F$10439</f>
        <v>28.6155893637353</v>
      </c>
      <c r="H10439" s="38" t="n">
        <f aca="false">cx_awso*Sens!$H$10350</f>
        <v>32.2034154158406</v>
      </c>
      <c r="I10439" s="38" t="n">
        <f aca="false">cx_awso*Sens!$I$10350</f>
        <v>35.7539519042915</v>
      </c>
      <c r="J10439" s="38" t="n">
        <f aca="false">cx_awso*Sens!$J$10350</f>
        <v>39.1551076091815</v>
      </c>
      <c r="K10439" s="38" t="n">
        <f aca="false">cx_awso*Sens!$K$10350</f>
        <v>42.287516217916</v>
      </c>
      <c r="L10439" s="38" t="n">
        <f aca="false">cx_awso*Sens!$L$10350</f>
        <v>45.6705175153492</v>
      </c>
      <c r="M10439" s="38" t="n">
        <f aca="false">cx_awso*Sens!$M$10350</f>
        <v>49.3241589165772</v>
      </c>
    </row>
    <row r="10440" customFormat="false" ht="17.15" hidden="false" customHeight="false" outlineLevel="0" collapsed="false">
      <c r="A10440" s="5" t="s">
        <v>790</v>
      </c>
      <c r="B10440" s="0" t="s">
        <v>86</v>
      </c>
      <c r="C10440" s="38" t="n">
        <f aca="false">Q!$D$46-Sens!$C$10438-Sens!$C$10439</f>
        <v>31.3328957636573</v>
      </c>
      <c r="D10440" s="38" t="n">
        <f aca="false">Q!$E$46-Sens!$D$10438-Sens!$D$10439</f>
        <v>34.7471223867276</v>
      </c>
      <c r="E10440" s="38" t="n">
        <f aca="false">Q!$P$46-Sens!$E$10438-Sens!$E$10439</f>
        <v>17.8583499466032</v>
      </c>
      <c r="F10440" s="38" t="n">
        <f aca="false">cx_rt*Sens!$F$10282</f>
        <v>20.6195895799373</v>
      </c>
      <c r="G10440" s="38" t="n">
        <f aca="false">Sens!$E$10440+Sens!$F$10440</f>
        <v>38.4779395265405</v>
      </c>
      <c r="H10440" s="38" t="n">
        <f aca="false">cx_rt*Sens!$H$10282</f>
        <v>42.5978994743075</v>
      </c>
      <c r="I10440" s="38" t="n">
        <f aca="false">cx_rt*Sens!$I$10282</f>
        <v>46.5813904136335</v>
      </c>
      <c r="J10440" s="38" t="n">
        <f aca="false">cx_rt*Sens!$J$10282</f>
        <v>50.2781676586844</v>
      </c>
      <c r="K10440" s="38" t="n">
        <f aca="false">cx_rt*Sens!$K$10282</f>
        <v>53.5312440191755</v>
      </c>
      <c r="L10440" s="38" t="n">
        <f aca="false">cx_rt*Sens!$L$10282</f>
        <v>57.0116717051447</v>
      </c>
      <c r="M10440" s="38" t="n">
        <f aca="false">cx_rt*Sens!$M$10282</f>
        <v>60.7365554669226</v>
      </c>
    </row>
    <row r="10441" customFormat="false" ht="15" hidden="false" customHeight="false" outlineLevel="0" collapsed="false">
      <c r="A10441" s="3" t="s">
        <v>791</v>
      </c>
      <c r="B10441" s="8" t="s">
        <v>86</v>
      </c>
      <c r="C10441" s="38" t="n">
        <f aca="false">Q!$D$46</f>
        <v>77.658</v>
      </c>
      <c r="D10441" s="38" t="n">
        <f aca="false">Q!$E$46</f>
        <v>128.32</v>
      </c>
      <c r="E10441" s="38" t="n">
        <f aca="false">Q!$P$46</f>
        <v>96.31</v>
      </c>
      <c r="F10441" s="38" t="n">
        <f aca="false">Sens!$F$10438+Sens!$F$10439+Sens!$F$10440</f>
        <v>131.221579528287</v>
      </c>
      <c r="G10441" s="38" t="n">
        <f aca="false">Sens!$E$10441+Sens!$F$10441</f>
        <v>227.531579528287</v>
      </c>
      <c r="H10441" s="38" t="n">
        <f aca="false">Sens!$H$10438+Sens!$H$10439+Sens!$H$10440</f>
        <v>273.372679834898</v>
      </c>
      <c r="I10441" s="38" t="n">
        <f aca="false">Sens!$I$10438+Sens!$I$10439+Sens!$I$10440</f>
        <v>286.981812228425</v>
      </c>
      <c r="J10441" s="38" t="n">
        <f aca="false">Sens!$J$10438+Sens!$J$10439+Sens!$J$10440</f>
        <v>299.316513378366</v>
      </c>
      <c r="K10441" s="38" t="n">
        <f aca="false">Sens!$K$10438+Sens!$K$10439+Sens!$K$10440</f>
        <v>253.835101823915</v>
      </c>
      <c r="L10441" s="38" t="n">
        <f aca="false">Sens!$L$10438+Sens!$L$10439+Sens!$L$10440</f>
        <v>240.252243483641</v>
      </c>
      <c r="M10441" s="38" t="n">
        <f aca="false">Sens!$M$10438+Sens!$M$10439+Sens!$M$10440</f>
        <v>250.62556497822</v>
      </c>
    </row>
    <row r="10442" customFormat="false" ht="17.15" hidden="false" customHeight="false" outlineLevel="0" collapsed="false">
      <c r="A10442" s="5" t="s">
        <v>563</v>
      </c>
      <c r="B10442" s="0" t="s">
        <v>86</v>
      </c>
      <c r="C10442" s="38" t="n">
        <f aca="false">Q!$D$50</f>
        <v>2.043</v>
      </c>
      <c r="D10442" s="38" t="n">
        <f aca="false">Q!$E$50</f>
        <v>1.557</v>
      </c>
      <c r="E10442" s="38" t="n">
        <f aca="false">lease_pr/2</f>
        <v>0.8</v>
      </c>
      <c r="F10442" s="38" t="n">
        <f aca="false">lease_pr/2</f>
        <v>0.8</v>
      </c>
      <c r="G10442" s="38" t="n">
        <f aca="false">Sens!$E$10442+Sens!$F$10442</f>
        <v>1.6</v>
      </c>
      <c r="H10442" s="38" t="n">
        <f aca="false">lease_pr</f>
        <v>1.6</v>
      </c>
      <c r="I10442" s="38" t="n">
        <f aca="false">lease_pr</f>
        <v>1.6</v>
      </c>
      <c r="J10442" s="38" t="n">
        <f aca="false">lease_pr</f>
        <v>1.6</v>
      </c>
      <c r="K10442" s="38" t="n">
        <f aca="false">lease_pr</f>
        <v>1.6</v>
      </c>
      <c r="L10442" s="38" t="n">
        <f aca="false">lease_pr</f>
        <v>1.6</v>
      </c>
      <c r="M10442" s="38" t="n">
        <f aca="false">lease_pr</f>
        <v>1.6</v>
      </c>
      <c r="P10442" s="8" t="s">
        <v>792</v>
      </c>
    </row>
    <row r="10443" customFormat="false" ht="15" hidden="false" customHeight="false" outlineLevel="0" collapsed="false">
      <c r="A10443" s="47" t="s">
        <v>793</v>
      </c>
      <c r="B10443" s="14" t="s">
        <v>86</v>
      </c>
      <c r="C10443" s="48" t="n">
        <f aca="false">Sens!$C$10437-Sens!$C$10441-Sens!$C$10442</f>
        <v>36.176</v>
      </c>
      <c r="D10443" s="48" t="n">
        <f aca="false">Sens!$D$10437-Sens!$D$10441-Sens!$D$10442</f>
        <v>9.63700000000002</v>
      </c>
      <c r="E10443" s="48" t="n">
        <f aca="false">Sens!$E$10437-Sens!$E$10441-Sens!$E$10442</f>
        <v>-25.691</v>
      </c>
      <c r="F10443" s="48" t="n">
        <f aca="false">Sens!$F$10437-Sens!$F$10441-Sens!$F$10442</f>
        <v>-41.4356983848813</v>
      </c>
      <c r="G10443" s="48" t="n">
        <f aca="false">Sens!$G$10437-Sens!$G$10441-Sens!$G$10442</f>
        <v>-67.1266983848813</v>
      </c>
      <c r="H10443" s="48" t="n">
        <f aca="false">Sens!$H$10437-Sens!$H$10441-Sens!$H$10442</f>
        <v>-56.3449313570613</v>
      </c>
      <c r="I10443" s="48" t="n">
        <f aca="false">Sens!$I$10437-Sens!$I$10441-Sens!$I$10442</f>
        <v>-18.1091313650653</v>
      </c>
      <c r="J10443" s="48" t="n">
        <f aca="false">Sens!$J$10437-Sens!$J$10441-Sens!$J$10442</f>
        <v>21.9846354142961</v>
      </c>
      <c r="K10443" s="48" t="n">
        <f aca="false">Sens!$K$10437-Sens!$K$10441-Sens!$K$10442</f>
        <v>115.830097038952</v>
      </c>
      <c r="L10443" s="48" t="n">
        <f aca="false">Sens!$L$10437-Sens!$L$10441-Sens!$L$10442</f>
        <v>172.188182715373</v>
      </c>
      <c r="M10443" s="48" t="n">
        <f aca="false">Sens!$M$10437-Sens!$M$10441-Sens!$M$10442</f>
        <v>199.370507436283</v>
      </c>
      <c r="N10443" s="14"/>
      <c r="O10443" s="14"/>
    </row>
    <row r="10444" customFormat="false" ht="17.15" hidden="false" customHeight="false" outlineLevel="0" collapsed="false">
      <c r="A10444" s="5" t="s">
        <v>794</v>
      </c>
      <c r="B10444" s="0" t="s">
        <v>86</v>
      </c>
      <c r="C10444" s="38" t="n">
        <f aca="false">dps*Sens!$C$10423</f>
        <v>0</v>
      </c>
      <c r="D10444" s="38" t="n">
        <f aca="false">dps*Sens!$D$10423</f>
        <v>0</v>
      </c>
      <c r="E10444" s="38" t="n">
        <f aca="false">dps*Sens!$E$10423</f>
        <v>0</v>
      </c>
      <c r="F10444" s="38" t="n">
        <f aca="false">0</f>
        <v>0</v>
      </c>
      <c r="G10444" s="38" t="n">
        <f aca="false">dps*Sens!$G$10423</f>
        <v>0</v>
      </c>
      <c r="H10444" s="38" t="n">
        <f aca="false">dps*Sens!$H$10423</f>
        <v>0</v>
      </c>
      <c r="I10444" s="38" t="n">
        <f aca="false">dps*Sens!$I$10423</f>
        <v>0</v>
      </c>
      <c r="J10444" s="38" t="n">
        <f aca="false">dps*Sens!$J$10423</f>
        <v>0</v>
      </c>
      <c r="K10444" s="38" t="n">
        <f aca="false">dps*Sens!$K$10423</f>
        <v>0</v>
      </c>
      <c r="L10444" s="38" t="n">
        <f aca="false">dps*Sens!$L$10423</f>
        <v>0</v>
      </c>
      <c r="M10444" s="38" t="n">
        <f aca="false">dps*Sens!$M$10423</f>
        <v>0</v>
      </c>
      <c r="P10444" s="8" t="s">
        <v>795</v>
      </c>
    </row>
    <row r="10445" customFormat="false" ht="17.15" hidden="false" customHeight="false" outlineLevel="0" collapsed="false">
      <c r="A10445" s="5" t="s">
        <v>796</v>
      </c>
      <c r="B10445" s="0" t="s">
        <v>86</v>
      </c>
      <c r="C10445" s="38" t="n">
        <f aca="false">0</f>
        <v>0</v>
      </c>
      <c r="D10445" s="38" t="n">
        <f aca="false">0</f>
        <v>0</v>
      </c>
      <c r="E10445" s="38" t="n">
        <f aca="false">0</f>
        <v>0</v>
      </c>
      <c r="F10445" s="38" t="n">
        <f aca="false">0</f>
        <v>0</v>
      </c>
      <c r="G10445" s="38" t="n">
        <f aca="false">0</f>
        <v>0</v>
      </c>
      <c r="H10445" s="38" t="n">
        <f aca="false">0</f>
        <v>0</v>
      </c>
      <c r="I10445" s="38" t="n">
        <f aca="false">0</f>
        <v>0</v>
      </c>
      <c r="J10445" s="38" t="n">
        <f aca="false">0</f>
        <v>0</v>
      </c>
      <c r="K10445" s="38" t="n">
        <f aca="false">0</f>
        <v>0</v>
      </c>
      <c r="L10445" s="38" t="n">
        <f aca="false">0</f>
        <v>0</v>
      </c>
      <c r="M10445" s="38" t="n">
        <f aca="false">0</f>
        <v>0</v>
      </c>
      <c r="P10445" s="8" t="s">
        <v>797</v>
      </c>
    </row>
    <row r="10446" customFormat="false" ht="15" hidden="false" customHeight="false" outlineLevel="0" collapsed="false">
      <c r="A10446" s="3" t="s">
        <v>798</v>
      </c>
      <c r="B10446" s="8" t="s">
        <v>86</v>
      </c>
      <c r="C10446" s="38" t="n">
        <f aca="false">Sens!$C$10443-Sens!$C$10444</f>
        <v>36.176</v>
      </c>
      <c r="D10446" s="38" t="n">
        <f aca="false">Sens!$D$10443-Sens!$D$10444</f>
        <v>9.63700000000002</v>
      </c>
      <c r="E10446" s="38" t="n">
        <f aca="false">Sens!$E$10443-Sens!$E$10444</f>
        <v>-25.691</v>
      </c>
      <c r="F10446" s="38" t="n">
        <f aca="false">Sens!$F$10443-Sens!$F$10444</f>
        <v>-41.4356983848813</v>
      </c>
      <c r="G10446" s="38" t="n">
        <f aca="false">Sens!$G$10443-Sens!$G$10444</f>
        <v>-67.1266983848813</v>
      </c>
      <c r="H10446" s="38" t="n">
        <f aca="false">Sens!$H$10443-Sens!$H$10444</f>
        <v>-56.3449313570613</v>
      </c>
      <c r="I10446" s="38" t="n">
        <f aca="false">Sens!$I$10443-Sens!$I$10444</f>
        <v>-18.1091313650653</v>
      </c>
      <c r="J10446" s="38" t="n">
        <f aca="false">Sens!$J$10443-Sens!$J$10444</f>
        <v>21.9846354142961</v>
      </c>
      <c r="K10446" s="38" t="n">
        <f aca="false">Sens!$K$10443-Sens!$K$10444</f>
        <v>115.830097038952</v>
      </c>
      <c r="L10446" s="38" t="n">
        <f aca="false">Sens!$L$10443-Sens!$L$10444</f>
        <v>172.188182715373</v>
      </c>
      <c r="M10446" s="38" t="n">
        <f aca="false">Sens!$M$10443-Sens!$M$10444</f>
        <v>199.370507436283</v>
      </c>
    </row>
    <row r="10447" customFormat="false" ht="17.15" hidden="false" customHeight="false" outlineLevel="0" collapsed="false">
      <c r="A10447" s="5" t="s">
        <v>799</v>
      </c>
      <c r="B10447" s="0" t="s">
        <v>86</v>
      </c>
      <c r="E10447" s="38" t="n">
        <f aca="false">Q!$P$53</f>
        <v>39.767</v>
      </c>
      <c r="F10447" s="38" t="n">
        <f aca="false">inv_2h26</f>
        <v>21.3</v>
      </c>
      <c r="G10447" s="38" t="n">
        <f aca="false">Sens!$E$10447+Sens!$F$10447</f>
        <v>61.067</v>
      </c>
      <c r="H10447" s="39" t="n">
        <v>0</v>
      </c>
      <c r="I10447" s="39" t="n">
        <v>0</v>
      </c>
      <c r="J10447" s="39" t="n">
        <v>0</v>
      </c>
      <c r="K10447" s="39" t="n">
        <v>0</v>
      </c>
      <c r="L10447" s="39" t="n">
        <v>0</v>
      </c>
      <c r="M10447" s="39" t="n">
        <v>0</v>
      </c>
    </row>
    <row r="10448" customFormat="false" ht="17.15" hidden="false" customHeight="false" outlineLevel="0" collapsed="false">
      <c r="A10448" s="5" t="s">
        <v>800</v>
      </c>
      <c r="B10448" s="0" t="s">
        <v>86</v>
      </c>
      <c r="F10448" s="38" t="n">
        <f aca="false">iss_2h26</f>
        <v>29.249999</v>
      </c>
      <c r="G10448" s="38" t="n">
        <f aca="false">Sens!$F$10448</f>
        <v>29.249999</v>
      </c>
      <c r="H10448" s="39" t="n">
        <v>0</v>
      </c>
      <c r="I10448" s="39" t="n">
        <v>0</v>
      </c>
      <c r="J10448" s="39" t="n">
        <v>0</v>
      </c>
      <c r="K10448" s="39" t="n">
        <v>0</v>
      </c>
      <c r="L10448" s="39" t="n">
        <v>0</v>
      </c>
      <c r="M10448" s="39" t="n">
        <v>0</v>
      </c>
    </row>
    <row r="10449" customFormat="false" ht="17.15" hidden="false" customHeight="false" outlineLevel="0" collapsed="false">
      <c r="A10449" s="5" t="s">
        <v>801</v>
      </c>
      <c r="B10449" s="0" t="s">
        <v>86</v>
      </c>
      <c r="F10449" s="38" t="n">
        <f aca="false">cash_q2</f>
        <v>122.988</v>
      </c>
      <c r="G10449" s="38" t="n">
        <f aca="false">cash_q2</f>
        <v>122.988</v>
      </c>
      <c r="H10449" s="38" t="n">
        <f aca="false">Sens!$G$10452</f>
        <v>89.5023006151187</v>
      </c>
      <c r="I10449" s="38" t="n">
        <f aca="false">Sens!$H$10452</f>
        <v>50</v>
      </c>
      <c r="J10449" s="38" t="n">
        <f aca="false">Sens!$I$10452</f>
        <v>50</v>
      </c>
      <c r="K10449" s="38" t="n">
        <f aca="false">Sens!$J$10452</f>
        <v>71.9846354142962</v>
      </c>
      <c r="L10449" s="38" t="n">
        <f aca="false">Sens!$K$10452</f>
        <v>187.814732453248</v>
      </c>
      <c r="M10449" s="38" t="n">
        <f aca="false">Sens!$L$10452</f>
        <v>360.002915168622</v>
      </c>
    </row>
    <row r="10450" customFormat="false" ht="15" hidden="false" customHeight="false" outlineLevel="0" collapsed="false">
      <c r="A10450" s="5" t="s">
        <v>802</v>
      </c>
      <c r="B10450" s="0" t="s">
        <v>86</v>
      </c>
      <c r="F10450" s="38" t="n">
        <f aca="false">Sens!$F$10449+Sens!$F$10446-Sens!$F$10445-Sens!$F$10447+Sens!$F$10448</f>
        <v>89.5023006151187</v>
      </c>
      <c r="H10450" s="38" t="n">
        <f aca="false">Sens!$H$10449+Sens!$H$10446-Sens!$H$10445-Sens!$H$10447+Sens!$H$10448</f>
        <v>33.1573692580575</v>
      </c>
      <c r="I10450" s="38" t="n">
        <f aca="false">Sens!$I$10449+Sens!$I$10446-Sens!$I$10445-Sens!$I$10447+Sens!$I$10448</f>
        <v>31.8908686349347</v>
      </c>
      <c r="J10450" s="38" t="n">
        <f aca="false">Sens!$J$10449+Sens!$J$10446-Sens!$J$10445-Sens!$J$10447+Sens!$J$10448</f>
        <v>71.9846354142962</v>
      </c>
      <c r="K10450" s="38" t="n">
        <f aca="false">Sens!$K$10449+Sens!$K$10446-Sens!$K$10445-Sens!$K$10447+Sens!$K$10448</f>
        <v>187.814732453248</v>
      </c>
      <c r="L10450" s="38" t="n">
        <f aca="false">Sens!$L$10449+Sens!$L$10446-Sens!$L$10445-Sens!$L$10447+Sens!$L$10448</f>
        <v>360.002915168622</v>
      </c>
      <c r="M10450" s="38" t="n">
        <f aca="false">Sens!$M$10449+Sens!$M$10446-Sens!$M$10445-Sens!$M$10447+Sens!$M$10448</f>
        <v>559.373422604905</v>
      </c>
    </row>
    <row r="10451" customFormat="false" ht="17.15" hidden="false" customHeight="false" outlineLevel="0" collapsed="false">
      <c r="A10451" s="5" t="s">
        <v>803</v>
      </c>
      <c r="B10451" s="0" t="s">
        <v>86</v>
      </c>
      <c r="F10451" s="38" t="n">
        <f aca="false">MAX(0,min_cash-Sens!$F$10450)</f>
        <v>0</v>
      </c>
      <c r="G10451" s="38" t="n">
        <f aca="false">Sens!$F$10451</f>
        <v>0</v>
      </c>
      <c r="H10451" s="38" t="n">
        <f aca="false">MAX(0,min_cash-Sens!$H$10450)</f>
        <v>16.8426307419426</v>
      </c>
      <c r="I10451" s="38" t="n">
        <f aca="false">MAX(0,min_cash-Sens!$I$10450)</f>
        <v>18.1091313650653</v>
      </c>
      <c r="J10451" s="38" t="n">
        <f aca="false">MAX(0,min_cash-Sens!$J$10450)</f>
        <v>0</v>
      </c>
      <c r="K10451" s="38" t="n">
        <f aca="false">MAX(0,min_cash-Sens!$K$10450)</f>
        <v>0</v>
      </c>
      <c r="L10451" s="38" t="n">
        <f aca="false">MAX(0,min_cash-Sens!$L$10450)</f>
        <v>0</v>
      </c>
      <c r="M10451" s="38" t="n">
        <f aca="false">MAX(0,min_cash-Sens!$M$10450)</f>
        <v>0</v>
      </c>
      <c r="P10451" s="5" t="s">
        <v>804</v>
      </c>
    </row>
    <row r="10452" customFormat="false" ht="15" hidden="false" customHeight="false" outlineLevel="0" collapsed="false">
      <c r="A10452" s="5" t="s">
        <v>805</v>
      </c>
      <c r="B10452" s="0" t="s">
        <v>86</v>
      </c>
      <c r="D10452" s="38" t="n">
        <f aca="false">Q!$E$61</f>
        <v>123.029</v>
      </c>
      <c r="E10452" s="38" t="n">
        <f aca="false">Q!$M$61</f>
        <v>122.988</v>
      </c>
      <c r="F10452" s="38" t="n">
        <f aca="false">Sens!$F$10450+Sens!$F$10451</f>
        <v>89.5023006151187</v>
      </c>
      <c r="G10452" s="38" t="n">
        <f aca="false">Sens!$F$10452</f>
        <v>89.5023006151187</v>
      </c>
      <c r="H10452" s="38" t="n">
        <f aca="false">Sens!$H$10450+Sens!$H$10451</f>
        <v>50</v>
      </c>
      <c r="I10452" s="38" t="n">
        <f aca="false">Sens!$I$10450+Sens!$I$10451</f>
        <v>50</v>
      </c>
      <c r="J10452" s="38" t="n">
        <f aca="false">Sens!$J$10450+Sens!$J$10451</f>
        <v>71.9846354142962</v>
      </c>
      <c r="K10452" s="38" t="n">
        <f aca="false">Sens!$K$10450+Sens!$K$10451</f>
        <v>187.814732453248</v>
      </c>
      <c r="L10452" s="38" t="n">
        <f aca="false">Sens!$L$10450+Sens!$L$10451</f>
        <v>360.002915168622</v>
      </c>
      <c r="M10452" s="38" t="n">
        <f aca="false">Sens!$M$10450+Sens!$M$10451</f>
        <v>559.373422604905</v>
      </c>
    </row>
    <row r="10453" customFormat="false" ht="15" hidden="false" customHeight="false" outlineLevel="0" collapsed="false">
      <c r="A10453" s="5" t="s">
        <v>806</v>
      </c>
      <c r="B10453" s="0" t="s">
        <v>86</v>
      </c>
      <c r="D10453" s="38" t="n">
        <f aca="false">Q!$E$62</f>
        <v>68.836</v>
      </c>
      <c r="E10453" s="38" t="n">
        <f aca="false">Q!$M$62</f>
        <v>132.995</v>
      </c>
      <c r="F10453" s="38" t="n">
        <f aca="false">debt_q2+Sens!$F$10448+Sens!$F$10451</f>
        <v>162.244999</v>
      </c>
      <c r="G10453" s="38" t="n">
        <f aca="false">Sens!$F$10453</f>
        <v>162.244999</v>
      </c>
      <c r="H10453" s="38" t="n">
        <f aca="false">Sens!$G$10453+Sens!$H$10451</f>
        <v>179.087629741943</v>
      </c>
      <c r="I10453" s="38" t="n">
        <f aca="false">Sens!$H$10453+Sens!$I$10451</f>
        <v>197.196761107008</v>
      </c>
      <c r="J10453" s="38" t="n">
        <f aca="false">Sens!$I$10453+Sens!$J$10451</f>
        <v>197.196761107008</v>
      </c>
      <c r="K10453" s="38" t="n">
        <f aca="false">Sens!$J$10453+Sens!$K$10451</f>
        <v>197.196761107008</v>
      </c>
      <c r="L10453" s="38" t="n">
        <f aca="false">Sens!$K$10453+Sens!$L$10451</f>
        <v>197.196761107008</v>
      </c>
      <c r="M10453" s="38" t="n">
        <f aca="false">Sens!$L$10453+Sens!$M$10451</f>
        <v>197.196761107008</v>
      </c>
    </row>
    <row r="10454" customFormat="false" ht="15" hidden="false" customHeight="false" outlineLevel="0" collapsed="false">
      <c r="A10454" s="5" t="s">
        <v>807</v>
      </c>
      <c r="B10454" s="0" t="s">
        <v>86</v>
      </c>
      <c r="D10454" s="38" t="n">
        <f aca="false">Sens!$D$10453-Sens!$D$10452</f>
        <v>-54.193</v>
      </c>
      <c r="E10454" s="38" t="n">
        <f aca="false">Sens!$E$10453-Sens!$E$10452</f>
        <v>10.007</v>
      </c>
      <c r="F10454" s="38" t="n">
        <f aca="false">Sens!$F$10453-Sens!$F$10452</f>
        <v>72.7426983848813</v>
      </c>
      <c r="G10454" s="38" t="n">
        <f aca="false">Sens!$G$10453-Sens!$G$10452</f>
        <v>72.7426983848813</v>
      </c>
      <c r="H10454" s="38" t="n">
        <f aca="false">Sens!$H$10453-Sens!$H$10452</f>
        <v>129.087629741943</v>
      </c>
      <c r="I10454" s="38" t="n">
        <f aca="false">Sens!$I$10453-Sens!$I$10452</f>
        <v>147.196761107008</v>
      </c>
      <c r="J10454" s="38" t="n">
        <f aca="false">Sens!$J$10453-Sens!$J$10452</f>
        <v>125.212125692712</v>
      </c>
      <c r="K10454" s="38" t="n">
        <f aca="false">Sens!$K$10453-Sens!$K$10452</f>
        <v>9.38202865375945</v>
      </c>
      <c r="L10454" s="38" t="n">
        <f aca="false">Sens!$L$10453-Sens!$L$10452</f>
        <v>-162.806154061614</v>
      </c>
      <c r="M10454" s="38" t="n">
        <f aca="false">Sens!$M$10453-Sens!$M$10452</f>
        <v>-362.176661497897</v>
      </c>
    </row>
    <row r="10455" customFormat="false" ht="17.15" hidden="false" customHeight="false" outlineLevel="0" collapsed="false">
      <c r="A10455" s="5" t="s">
        <v>808</v>
      </c>
      <c r="B10455" s="0" t="s">
        <v>86</v>
      </c>
      <c r="F10455" s="38" t="n">
        <f aca="false">debt_q2*kd_book*0.5+iss_2h26*kd_new*iss_t</f>
        <v>3.24888962733561</v>
      </c>
      <c r="H10455" s="38" t="n">
        <f aca="false">debt_q2*kd_book+(Sens!$G$10453-debt_q2)*kd_new</f>
        <v>7.42354172302123</v>
      </c>
      <c r="I10455" s="38" t="n">
        <f aca="false">debt_q2*kd_book+(Sens!$H$10453-debt_q2)*kd_new</f>
        <v>8.48968024898619</v>
      </c>
      <c r="J10455" s="38" t="n">
        <f aca="false">debt_q2*kd_book+(Sens!$I$10453-debt_q2)*kd_new</f>
        <v>9.63598826439483</v>
      </c>
      <c r="K10455" s="38" t="n">
        <f aca="false">debt_q2*kd_book+(Sens!$J$10453-debt_q2)*kd_new</f>
        <v>9.63598826439483</v>
      </c>
      <c r="L10455" s="38" t="n">
        <f aca="false">debt_q2*kd_book+(Sens!$K$10453-debt_q2)*kd_new</f>
        <v>9.63598826439483</v>
      </c>
      <c r="M10455" s="38" t="n">
        <f aca="false">debt_q2*kd_book+(Sens!$L$10453-debt_q2)*kd_new</f>
        <v>9.63598826439483</v>
      </c>
    </row>
    <row r="10456" customFormat="false" ht="17.15" hidden="false" customHeight="false" outlineLevel="0" collapsed="false">
      <c r="A10456" s="5" t="s">
        <v>809</v>
      </c>
      <c r="B10456" s="0" t="s">
        <v>86</v>
      </c>
      <c r="F10456" s="38" t="n">
        <f aca="false">cash_q2*y_cash*0.5</f>
        <v>2.59</v>
      </c>
      <c r="H10456" s="38" t="n">
        <f aca="false">Sens!$G$10452*y_cash</f>
        <v>3.76965165045626</v>
      </c>
      <c r="I10456" s="38" t="n">
        <f aca="false">Sens!$H$10452*y_cash</f>
        <v>2.10589651022864</v>
      </c>
      <c r="J10456" s="38" t="n">
        <f aca="false">Sens!$I$10452*y_cash</f>
        <v>2.10589651022864</v>
      </c>
      <c r="K10456" s="38" t="n">
        <f aca="false">Sens!$J$10452*y_cash</f>
        <v>3.03184385018094</v>
      </c>
      <c r="L10456" s="38" t="n">
        <f aca="false">Sens!$K$10452*y_cash</f>
        <v>7.91036779285643</v>
      </c>
      <c r="M10456" s="38" t="n">
        <f aca="false">Sens!$L$10452*y_cash</f>
        <v>15.1625776545148</v>
      </c>
    </row>
    <row r="10457" customFormat="false" ht="17.15" hidden="false" customHeight="false" outlineLevel="0" collapsed="false">
      <c r="A10457" s="47" t="s">
        <v>810</v>
      </c>
      <c r="B10457" s="14" t="s">
        <v>86</v>
      </c>
      <c r="C10457" s="14"/>
      <c r="D10457" s="14"/>
      <c r="E10457" s="14"/>
      <c r="F10457" s="14"/>
      <c r="G10457" s="48" t="n">
        <f aca="false">SUM(Sens!$G$10446:$K$10446)</f>
        <v>-3.76602865375946</v>
      </c>
      <c r="H10457" s="14"/>
      <c r="I10457" s="14"/>
      <c r="J10457" s="14"/>
      <c r="K10457" s="14"/>
      <c r="L10457" s="14"/>
      <c r="M10457" s="14"/>
      <c r="N10457" s="14"/>
      <c r="O10457" s="14"/>
    </row>
    <row r="10458" customFormat="false" ht="17.15" hidden="false" customHeight="false" outlineLevel="0" collapsed="false">
      <c r="A10458" s="0" t="s">
        <v>776</v>
      </c>
      <c r="B10458" s="0" t="s">
        <v>86</v>
      </c>
      <c r="G10458" s="38" t="n">
        <f aca="false">SUM(Sens!$G$10451:$K$10451)</f>
        <v>34.9517621070079</v>
      </c>
    </row>
    <row r="10459" customFormat="false" ht="17.15" hidden="false" customHeight="false" outlineLevel="0" collapsed="false">
      <c r="A10459" s="24" t="s">
        <v>813</v>
      </c>
      <c r="B10459" s="25" t="s">
        <v>86</v>
      </c>
      <c r="C10459" s="25"/>
      <c r="D10459" s="25"/>
      <c r="E10459" s="25"/>
      <c r="F10459" s="25"/>
      <c r="G10459" s="41" t="n">
        <f aca="false">Sens!$G$10457-(Sens!$G$10446+Sens!$H$10446+Sens!$I$10446+Sens!$J$10446+Sens!$K$10446)</f>
        <v>-2.8421709430404E-014</v>
      </c>
      <c r="H10459" s="25"/>
      <c r="I10459" s="25"/>
      <c r="J10459" s="25"/>
      <c r="K10459" s="25"/>
      <c r="L10459" s="25"/>
      <c r="M10459" s="25"/>
      <c r="N10459" s="25"/>
      <c r="O10459" s="25"/>
    </row>
    <row r="10462" customFormat="false" ht="19.4" hidden="false" customHeight="false" outlineLevel="0" collapsed="false">
      <c r="A10462" s="31" t="s">
        <v>1349</v>
      </c>
    </row>
    <row r="10463" customFormat="false" ht="17.15" hidden="false" customHeight="false" outlineLevel="0" collapsed="false">
      <c r="A10463" s="6" t="s">
        <v>16</v>
      </c>
      <c r="B10463" s="6" t="s">
        <v>17</v>
      </c>
      <c r="C10463" s="20" t="s">
        <v>497</v>
      </c>
      <c r="D10463" s="20" t="s">
        <v>498</v>
      </c>
      <c r="E10463" s="20" t="s">
        <v>580</v>
      </c>
      <c r="F10463" s="20" t="s">
        <v>581</v>
      </c>
      <c r="G10463" s="20" t="s">
        <v>582</v>
      </c>
      <c r="H10463" s="20" t="s">
        <v>583</v>
      </c>
      <c r="I10463" s="20" t="s">
        <v>584</v>
      </c>
      <c r="J10463" s="20" t="s">
        <v>585</v>
      </c>
      <c r="K10463" s="20" t="s">
        <v>586</v>
      </c>
      <c r="L10463" s="20" t="s">
        <v>587</v>
      </c>
      <c r="M10463" s="20" t="s">
        <v>588</v>
      </c>
      <c r="N10463" s="20" t="s">
        <v>589</v>
      </c>
      <c r="O10463" s="20" t="s">
        <v>590</v>
      </c>
      <c r="P10463" s="6" t="s">
        <v>23</v>
      </c>
      <c r="R10463" s="20" t="n">
        <v>2023</v>
      </c>
      <c r="S10463" s="20" t="n">
        <v>2024</v>
      </c>
      <c r="T10463" s="20" t="n">
        <v>2025</v>
      </c>
      <c r="U10463" s="20" t="n">
        <v>2026</v>
      </c>
      <c r="V10463" s="20" t="n">
        <v>2027</v>
      </c>
      <c r="W10463" s="20" t="n">
        <v>2028</v>
      </c>
      <c r="X10463" s="20" t="n">
        <v>2029</v>
      </c>
      <c r="Y10463" s="20" t="n">
        <v>2030</v>
      </c>
      <c r="Z10463" s="20" t="n">
        <v>2031</v>
      </c>
      <c r="AA10463" s="20" t="n">
        <v>2032</v>
      </c>
    </row>
    <row r="10464" customFormat="false" ht="17.15" hidden="false" customHeight="false" outlineLevel="0" collapsed="false">
      <c r="A10464" s="1" t="s">
        <v>915</v>
      </c>
    </row>
    <row r="10465" customFormat="false" ht="17.15" hidden="false" customHeight="false" outlineLevel="0" collapsed="false">
      <c r="A10465" s="0" t="s">
        <v>916</v>
      </c>
      <c r="B10465" s="0" t="s">
        <v>86</v>
      </c>
      <c r="H10465" s="38" t="n">
        <f aca="false">Sens!$H$10399*(1-tax)</f>
        <v>121.243762954598</v>
      </c>
      <c r="I10465" s="38" t="n">
        <f aca="false">Sens!$I$10399*(1-tax)</f>
        <v>146.296727721585</v>
      </c>
      <c r="J10465" s="38" t="n">
        <f aca="false">Sens!$J$10399*(1-tax)</f>
        <v>170.140518399982</v>
      </c>
      <c r="K10465" s="38" t="n">
        <f aca="false">Sens!$K$10399*(1-tax)</f>
        <v>187.328880354269</v>
      </c>
      <c r="L10465" s="38" t="n">
        <f aca="false">Sens!$L$10399*(1-tax)</f>
        <v>201.486443830621</v>
      </c>
      <c r="M10465" s="38" t="n">
        <f aca="false">Sens!$M$10399*(1-tax)</f>
        <v>212.626542837294</v>
      </c>
    </row>
    <row r="10466" customFormat="false" ht="15" hidden="false" customHeight="false" outlineLevel="0" collapsed="false">
      <c r="A10466" s="5" t="s">
        <v>917</v>
      </c>
      <c r="B10466" s="0" t="s">
        <v>86</v>
      </c>
      <c r="H10466" s="38" t="n">
        <f aca="false">Sens!$H$10410</f>
        <v>78.1799395827871</v>
      </c>
      <c r="I10466" s="38" t="n">
        <f aca="false">Sens!$I$10410</f>
        <v>111.171125554384</v>
      </c>
      <c r="J10466" s="38" t="n">
        <f aca="false">Sens!$J$10410</f>
        <v>144.884406220971</v>
      </c>
      <c r="K10466" s="38" t="n">
        <f aca="false">Sens!$K$10410</f>
        <v>178.806419437999</v>
      </c>
      <c r="L10466" s="38" t="n">
        <f aca="false">Sens!$L$10410</f>
        <v>204.731408613016</v>
      </c>
      <c r="M10466" s="38" t="n">
        <f aca="false">Sens!$M$10410</f>
        <v>224.300786745448</v>
      </c>
    </row>
    <row r="10467" customFormat="false" ht="15" hidden="false" customHeight="false" outlineLevel="0" collapsed="false">
      <c r="A10467" s="5" t="s">
        <v>918</v>
      </c>
      <c r="B10467" s="0" t="s">
        <v>86</v>
      </c>
      <c r="H10467" s="38" t="n">
        <f aca="false">Sens!$H$10441</f>
        <v>273.372679834898</v>
      </c>
      <c r="I10467" s="38" t="n">
        <f aca="false">Sens!$I$10441</f>
        <v>286.981812228425</v>
      </c>
      <c r="J10467" s="38" t="n">
        <f aca="false">Sens!$J$10441</f>
        <v>299.316513378366</v>
      </c>
      <c r="K10467" s="38" t="n">
        <f aca="false">Sens!$K$10441</f>
        <v>253.835101823915</v>
      </c>
      <c r="L10467" s="38" t="n">
        <f aca="false">Sens!$L$10441</f>
        <v>240.252243483641</v>
      </c>
      <c r="M10467" s="38" t="n">
        <f aca="false">Sens!$M$10441</f>
        <v>250.62556497822</v>
      </c>
    </row>
    <row r="10468" customFormat="false" ht="15" hidden="false" customHeight="false" outlineLevel="0" collapsed="false">
      <c r="A10468" s="5" t="s">
        <v>919</v>
      </c>
      <c r="B10468" s="0" t="s">
        <v>86</v>
      </c>
      <c r="H10468" s="38" t="n">
        <f aca="false">Sens!$H$10442</f>
        <v>1.6</v>
      </c>
      <c r="I10468" s="38" t="n">
        <f aca="false">Sens!$I$10442</f>
        <v>1.6</v>
      </c>
      <c r="J10468" s="38" t="n">
        <f aca="false">Sens!$J$10442</f>
        <v>1.6</v>
      </c>
      <c r="K10468" s="38" t="n">
        <f aca="false">Sens!$K$10442</f>
        <v>1.6</v>
      </c>
      <c r="L10468" s="38" t="n">
        <f aca="false">Sens!$L$10442</f>
        <v>1.6</v>
      </c>
      <c r="M10468" s="38" t="n">
        <f aca="false">Sens!$M$10442</f>
        <v>1.6</v>
      </c>
    </row>
    <row r="10469" customFormat="false" ht="15" hidden="false" customHeight="false" outlineLevel="0" collapsed="false">
      <c r="A10469" s="5" t="s">
        <v>920</v>
      </c>
      <c r="B10469" s="0" t="s">
        <v>86</v>
      </c>
      <c r="H10469" s="38" t="n">
        <f aca="false">Sens!$H$10436</f>
        <v>11.2928295263397</v>
      </c>
      <c r="I10469" s="38" t="n">
        <f aca="false">Sens!$I$10436</f>
        <v>12.8091546115766</v>
      </c>
      <c r="J10469" s="38" t="n">
        <f aca="false">Sens!$J$10436</f>
        <v>14.2605653162668</v>
      </c>
      <c r="K10469" s="38" t="n">
        <f aca="false">Sens!$K$10436</f>
        <v>15.5361896109386</v>
      </c>
      <c r="L10469" s="38" t="n">
        <f aca="false">Sens!$L$10436</f>
        <v>16.7342012989106</v>
      </c>
      <c r="M10469" s="38" t="n">
        <f aca="false">Sens!$M$10436</f>
        <v>17.8589265647579</v>
      </c>
    </row>
    <row r="10470" customFormat="false" ht="17.15" hidden="false" customHeight="false" outlineLevel="0" collapsed="false">
      <c r="A10470" s="1" t="s">
        <v>921</v>
      </c>
      <c r="B10470" s="8" t="s">
        <v>86</v>
      </c>
      <c r="H10470" s="38" t="n">
        <f aca="false">Sens!$H$10465+Sens!$H$10466-Sens!$H$10467+Sens!$H$10469</f>
        <v>-62.6561477711731</v>
      </c>
      <c r="I10470" s="38" t="n">
        <f aca="false">Sens!$I$10465+Sens!$I$10466-Sens!$I$10467+Sens!$I$10469</f>
        <v>-16.7048043408794</v>
      </c>
      <c r="J10470" s="38" t="n">
        <f aca="false">Sens!$J$10465+Sens!$J$10466-Sens!$J$10467+Sens!$J$10469</f>
        <v>29.9689765588539</v>
      </c>
      <c r="K10470" s="38" t="n">
        <f aca="false">Sens!$K$10465+Sens!$K$10466-Sens!$K$10467+Sens!$K$10469</f>
        <v>127.836387579293</v>
      </c>
      <c r="L10470" s="38" t="n">
        <f aca="false">Sens!$L$10465+Sens!$L$10466-Sens!$L$10467+Sens!$L$10469</f>
        <v>182.699810258908</v>
      </c>
      <c r="M10470" s="38" t="n">
        <f aca="false">Sens!$M$10465+Sens!$M$10466-Sens!$M$10467+Sens!$M$10469</f>
        <v>204.16069116928</v>
      </c>
    </row>
    <row r="10471" customFormat="false" ht="15" hidden="false" customHeight="false" outlineLevel="0" collapsed="false">
      <c r="A10471" s="5" t="s">
        <v>922</v>
      </c>
      <c r="B10471" s="0" t="s">
        <v>57</v>
      </c>
      <c r="H10471" s="40" t="n">
        <f aca="false">1/(1+(wacc+0.01))^(2027-2026-0.5)</f>
        <v>0.943523276903728</v>
      </c>
      <c r="I10471" s="40" t="n">
        <f aca="false">1/(1+(wacc+0.01))^(2028-2026-0.5)</f>
        <v>0.839958552166526</v>
      </c>
      <c r="J10471" s="40" t="n">
        <f aca="false">1/(1+(wacc+0.01))^(2029-2026-0.5)</f>
        <v>0.747761487848991</v>
      </c>
      <c r="K10471" s="40" t="n">
        <f aca="false">1/(1+(wacc+0.01))^(2030-2026-0.5)</f>
        <v>0.665684326051463</v>
      </c>
      <c r="L10471" s="40" t="n">
        <f aca="false">1/(1+(wacc+0.01))^(2031-2026-0.5)</f>
        <v>0.592616267555198</v>
      </c>
      <c r="M10471" s="40" t="n">
        <f aca="false">1/(1+(wacc+0.01))^(2032-2026-0.5)</f>
        <v>0.527568438713552</v>
      </c>
    </row>
    <row r="10472" customFormat="false" ht="15" hidden="false" customHeight="false" outlineLevel="0" collapsed="false">
      <c r="A10472" s="5" t="s">
        <v>923</v>
      </c>
      <c r="B10472" s="0" t="s">
        <v>86</v>
      </c>
      <c r="H10472" s="38" t="n">
        <f aca="false">Sens!$H$10470*Sens!$H$10471</f>
        <v>-59.1175338632214</v>
      </c>
      <c r="I10472" s="38" t="n">
        <f aca="false">Sens!$I$10470*Sens!$I$10471</f>
        <v>-14.0313432683902</v>
      </c>
      <c r="J10472" s="38" t="n">
        <f aca="false">Sens!$J$10470*Sens!$J$10471</f>
        <v>22.4096465009601</v>
      </c>
      <c r="K10472" s="38" t="n">
        <f aca="false">Sens!$K$10470*Sens!$K$10471</f>
        <v>85.0986795105749</v>
      </c>
      <c r="L10472" s="38" t="n">
        <f aca="false">Sens!$L$10470*Sens!$L$10471</f>
        <v>108.270879638677</v>
      </c>
      <c r="M10472" s="38" t="n">
        <f aca="false">Sens!$M$10470*Sens!$M$10471</f>
        <v>107.708737086857</v>
      </c>
    </row>
    <row r="10473" customFormat="false" ht="15" hidden="false" customHeight="false" outlineLevel="0" collapsed="false">
      <c r="A10473" s="5" t="s">
        <v>924</v>
      </c>
      <c r="B10473" s="0" t="s">
        <v>86</v>
      </c>
      <c r="C10473" s="38" t="n">
        <f aca="false">SUM(Sens!$H$10472:$M$10472)</f>
        <v>250.339065605457</v>
      </c>
    </row>
    <row r="10474" customFormat="false" ht="17.15" hidden="false" customHeight="false" outlineLevel="0" collapsed="false">
      <c r="A10474" s="5" t="s">
        <v>925</v>
      </c>
      <c r="B10474" s="0" t="s">
        <v>86</v>
      </c>
      <c r="C10474" s="38" t="n">
        <f aca="false">Sens!$M$10465*(1+tg_hi)*(1-tg_hi/ronic)/((wacc+0.01)-tg_hi)</f>
        <v>1717.46512231898</v>
      </c>
    </row>
    <row r="10475" customFormat="false" ht="15" hidden="false" customHeight="false" outlineLevel="0" collapsed="false">
      <c r="A10475" s="5" t="s">
        <v>926</v>
      </c>
      <c r="B10475" s="0" t="s">
        <v>86</v>
      </c>
      <c r="C10475" s="38" t="n">
        <f aca="false">Sens!$C$10474/(1+(wacc+0.01))^6</f>
        <v>854.907941661222</v>
      </c>
    </row>
    <row r="10476" customFormat="false" ht="17.15" hidden="false" customHeight="false" outlineLevel="0" collapsed="false">
      <c r="A10476" s="5" t="s">
        <v>927</v>
      </c>
      <c r="B10476" s="0" t="s">
        <v>86</v>
      </c>
      <c r="C10476" s="38" t="n">
        <f aca="false">Sens!$C$10473+Sens!$C$10475</f>
        <v>1105.24700726668</v>
      </c>
    </row>
    <row r="10477" customFormat="false" ht="17.15" hidden="false" customHeight="false" outlineLevel="0" collapsed="false">
      <c r="A10477" s="5" t="s">
        <v>928</v>
      </c>
      <c r="B10477" s="0" t="s">
        <v>52</v>
      </c>
      <c r="C10477" s="13" t="n">
        <f aca="false">Sens!$C$10475/Sens!$C$10476</f>
        <v>0.773499440433179</v>
      </c>
    </row>
    <row r="10478" customFormat="false" ht="17.15" hidden="false" customHeight="false" outlineLevel="0" collapsed="false">
      <c r="A10478" s="5" t="s">
        <v>929</v>
      </c>
      <c r="B10478" s="0" t="s">
        <v>86</v>
      </c>
      <c r="C10478" s="38" t="n">
        <f aca="false">Sens!$G$10454+fin_debt</f>
        <v>97.2636983848813</v>
      </c>
    </row>
    <row r="10479" customFormat="false" ht="17.15" hidden="false" customHeight="false" outlineLevel="0" collapsed="false">
      <c r="A10479" s="5" t="s">
        <v>930</v>
      </c>
      <c r="B10479" s="0" t="s">
        <v>86</v>
      </c>
      <c r="C10479" s="38" t="n">
        <f aca="false">(ant_val*ant_sh+oai_val*oai_sh)*(1-liq_disc)</f>
        <v>178.944</v>
      </c>
    </row>
    <row r="10480" customFormat="false" ht="15" hidden="false" customHeight="false" outlineLevel="0" collapsed="false">
      <c r="A10480" s="5" t="s">
        <v>931</v>
      </c>
      <c r="B10480" s="0" t="s">
        <v>86</v>
      </c>
      <c r="C10480" s="38" t="n">
        <f aca="false">Sens!$C$10476-Sens!$C$10478+Sens!$C$10479</f>
        <v>1186.9273088818</v>
      </c>
    </row>
    <row r="10481" customFormat="false" ht="17.15" hidden="false" customHeight="false" outlineLevel="0" collapsed="false">
      <c r="A10481" s="5" t="s">
        <v>932</v>
      </c>
      <c r="B10481" s="0" t="s">
        <v>27</v>
      </c>
      <c r="C10481" s="30" t="n">
        <f aca="false">Sens!$C$10480/sh_out</f>
        <v>110.040122036295</v>
      </c>
    </row>
    <row r="10482" customFormat="false" ht="17.15" hidden="false" customHeight="false" outlineLevel="0" collapsed="false">
      <c r="A10482" s="1" t="s">
        <v>933</v>
      </c>
      <c r="B10482" s="8" t="s">
        <v>27</v>
      </c>
      <c r="C10482" s="30" t="n">
        <f aca="false">Sens!$C$10481*(1+ke)^tp_yf-dps*tp_yf</f>
        <v>120.534521540825</v>
      </c>
    </row>
    <row r="10483" customFormat="false" ht="17.15" hidden="false" customHeight="false" outlineLevel="0" collapsed="false">
      <c r="A10483" s="3" t="s">
        <v>934</v>
      </c>
    </row>
    <row r="10484" customFormat="false" ht="17.15" hidden="false" customHeight="false" outlineLevel="0" collapsed="false">
      <c r="A10484" s="5" t="s">
        <v>935</v>
      </c>
      <c r="B10484" s="0" t="s">
        <v>86</v>
      </c>
      <c r="C10484" s="38" t="n">
        <f aca="false">(1-tp_yf)*(Sens!$H$10411+sbc_ab*Sens!$H$10435*Sens!$H$10275/Sens!$H$10352)+tp_yf*(Sens!$I$10411+sbc_ab*Sens!$I$10435*Sens!$I$10275/Sens!$I$10352)</f>
        <v>59.634664536349</v>
      </c>
    </row>
    <row r="10485" customFormat="false" ht="15" hidden="false" customHeight="false" outlineLevel="0" collapsed="false">
      <c r="A10485" s="5" t="s">
        <v>936</v>
      </c>
      <c r="B10485" s="0" t="s">
        <v>57</v>
      </c>
      <c r="C10485" s="30" t="n">
        <f aca="false">m_ads*m_x</f>
        <v>9.11</v>
      </c>
    </row>
    <row r="10486" customFormat="false" ht="17.15" hidden="false" customHeight="false" outlineLevel="0" collapsed="false">
      <c r="A10486" s="5" t="s">
        <v>937</v>
      </c>
      <c r="B10486" s="0" t="s">
        <v>86</v>
      </c>
      <c r="C10486" s="38" t="n">
        <f aca="false">Sens!$C$10484*Sens!$C$10485</f>
        <v>543.271793926139</v>
      </c>
    </row>
    <row r="10487" customFormat="false" ht="17.15" hidden="false" customHeight="false" outlineLevel="0" collapsed="false">
      <c r="A10487" s="5" t="s">
        <v>938</v>
      </c>
      <c r="B10487" s="0" t="s">
        <v>86</v>
      </c>
      <c r="C10487" s="38" t="n">
        <f aca="false">(1-tp_yf)*(Sens!$H$10412+sbc_ab*Sens!$H$10435*(Sens!$H$10282-Sens!$H$10275)/Sens!$H$10352+IF(internal_ai_reading=2,1,0)*(1-ext_sh)*Sens!$H$10312)+tp_yf*(Sens!$I$10412+sbc_ab*Sens!$I$10435*(Sens!$I$10282-Sens!$I$10275)/Sens!$I$10352+IF(internal_ai_reading=2,1,0)*(1-ext_sh)*Sens!$I$10312)</f>
        <v>51.2224827206816</v>
      </c>
    </row>
    <row r="10488" customFormat="false" ht="17.15" hidden="false" customHeight="false" outlineLevel="0" collapsed="false">
      <c r="A10488" s="5" t="s">
        <v>939</v>
      </c>
      <c r="B10488" s="0" t="s">
        <v>57</v>
      </c>
      <c r="C10488" s="30" t="n">
        <f aca="false">m_retail*m_x</f>
        <v>17.72</v>
      </c>
    </row>
    <row r="10489" customFormat="false" ht="17.15" hidden="false" customHeight="false" outlineLevel="0" collapsed="false">
      <c r="A10489" s="5" t="s">
        <v>940</v>
      </c>
      <c r="B10489" s="0" t="s">
        <v>86</v>
      </c>
      <c r="C10489" s="38" t="n">
        <f aca="false">Sens!$C$10487*Sens!$C$10488</f>
        <v>907.662393810478</v>
      </c>
    </row>
    <row r="10490" customFormat="false" ht="17.15" hidden="false" customHeight="false" outlineLevel="0" collapsed="false">
      <c r="A10490" s="0" t="s">
        <v>941</v>
      </c>
      <c r="B10490" s="0" t="s">
        <v>86</v>
      </c>
      <c r="C10490" s="38" t="n">
        <f aca="false">(1-tp_yf)*(Sens!$H$10413+sbc_ab*Sens!$H$10435*Sens!$H$10350/Sens!$H$10352)+tp_yf*(Sens!$I$10413+sbc_ab*Sens!$I$10435*Sens!$I$10350/Sens!$I$10352)</f>
        <v>96.2439586897193</v>
      </c>
    </row>
    <row r="10491" customFormat="false" ht="17.15" hidden="false" customHeight="false" outlineLevel="0" collapsed="false">
      <c r="A10491" s="0" t="s">
        <v>942</v>
      </c>
      <c r="B10491" s="0" t="s">
        <v>57</v>
      </c>
      <c r="C10491" s="30" t="n">
        <f aca="false">m_cloud*m_x</f>
        <v>13.82</v>
      </c>
    </row>
    <row r="10492" customFormat="false" ht="17.15" hidden="false" customHeight="false" outlineLevel="0" collapsed="false">
      <c r="A10492" s="0" t="s">
        <v>943</v>
      </c>
      <c r="B10492" s="0" t="s">
        <v>86</v>
      </c>
      <c r="C10492" s="38" t="n">
        <f aca="false">Sens!$C$10490*Sens!$C$10491</f>
        <v>1330.09150909192</v>
      </c>
    </row>
    <row r="10493" customFormat="false" ht="17.15" hidden="false" customHeight="false" outlineLevel="0" collapsed="false">
      <c r="A10493" s="0" t="s">
        <v>944</v>
      </c>
      <c r="B10493" s="0" t="s">
        <v>86</v>
      </c>
      <c r="H10493" s="38" t="n">
        <f aca="false">Sens!$H$10331-tax*Sens!$H$10332-ext_sh*Sens!$H$10319</f>
        <v>-115.885394236225</v>
      </c>
      <c r="I10493" s="38" t="n">
        <f aca="false">Sens!$I$10331-tax*Sens!$I$10332-ext_sh*Sens!$I$10319</f>
        <v>-89.5935137276694</v>
      </c>
      <c r="J10493" s="38" t="n">
        <f aca="false">Sens!$J$10331-tax*Sens!$J$10332-ext_sh*Sens!$J$10319</f>
        <v>-62.3510647460279</v>
      </c>
      <c r="K10493" s="38" t="n">
        <f aca="false">Sens!$K$10331-tax*Sens!$K$10332-ext_sh*Sens!$K$10319</f>
        <v>6.82636520663533</v>
      </c>
      <c r="L10493" s="38" t="n">
        <f aca="false">Sens!$L$10331-tax*Sens!$L$10332-ext_sh*Sens!$L$10319</f>
        <v>42.0587167356307</v>
      </c>
      <c r="M10493" s="38" t="n">
        <f aca="false">Sens!$M$10331-tax*Sens!$M$10332-ext_sh*Sens!$M$10319</f>
        <v>49.9320311778189</v>
      </c>
    </row>
    <row r="10494" customFormat="false" ht="17.15" hidden="false" customHeight="false" outlineLevel="0" collapsed="false">
      <c r="A10494" s="5" t="s">
        <v>945</v>
      </c>
      <c r="B10494" s="0" t="s">
        <v>86</v>
      </c>
      <c r="H10494" s="38" t="n">
        <f aca="false">Sens!$H$10493*Sens!$H$10471</f>
        <v>-109.340566915044</v>
      </c>
      <c r="I10494" s="38" t="n">
        <f aca="false">Sens!$I$10493*Sens!$I$10471</f>
        <v>-75.254838074205</v>
      </c>
      <c r="J10494" s="38" t="n">
        <f aca="false">Sens!$J$10493*Sens!$J$10471</f>
        <v>-46.6237249434586</v>
      </c>
      <c r="K10494" s="38" t="n">
        <f aca="false">Sens!$K$10493*Sens!$K$10471</f>
        <v>4.54420432196019</v>
      </c>
      <c r="L10494" s="38" t="n">
        <f aca="false">Sens!$L$10493*Sens!$L$10471</f>
        <v>24.9246797300308</v>
      </c>
      <c r="M10494" s="38" t="n">
        <f aca="false">Sens!$M$10493*Sens!$M$10471</f>
        <v>26.3425637302783</v>
      </c>
    </row>
    <row r="10495" customFormat="false" ht="17.15" hidden="false" customHeight="false" outlineLevel="0" collapsed="false">
      <c r="A10495" s="5" t="s">
        <v>946</v>
      </c>
      <c r="B10495" s="0" t="s">
        <v>86</v>
      </c>
      <c r="C10495" s="38" t="n">
        <f aca="false">Sens!$M$10332*(1-tax)*(1+tg_hi)*(1-tg_hi/ronic)/((wacc+0.01)-tg_hi)</f>
        <v>355.275092061708</v>
      </c>
    </row>
    <row r="10496" customFormat="false" ht="17.15" hidden="false" customHeight="false" outlineLevel="0" collapsed="false">
      <c r="A10496" s="0" t="s">
        <v>947</v>
      </c>
      <c r="B10496" s="0" t="s">
        <v>86</v>
      </c>
      <c r="C10496" s="38" t="n">
        <f aca="false">(SUM(Sens!$I$10494:$M$10494)+Sens!$C$10495/(1+(wacc+0.01))^6)*(1+(wacc+0.01))^tp_yf</f>
        <v>121.888025331575</v>
      </c>
    </row>
    <row r="10497" customFormat="false" ht="17.15" hidden="false" customHeight="false" outlineLevel="0" collapsed="false">
      <c r="A10497" s="5" t="s">
        <v>948</v>
      </c>
      <c r="B10497" s="0" t="s">
        <v>86</v>
      </c>
      <c r="C10497" s="38" t="n">
        <f aca="false">(1-tp_yf)*(Sens!$H$10414)+tp_yf*(Sens!$I$10414)</f>
        <v>74.6707041238437</v>
      </c>
    </row>
    <row r="10498" customFormat="false" ht="17.15" hidden="false" customHeight="false" outlineLevel="0" collapsed="false">
      <c r="A10498" s="5" t="s">
        <v>949</v>
      </c>
      <c r="B10498" s="0" t="s">
        <v>86</v>
      </c>
      <c r="C10498" s="38" t="n">
        <f aca="false">Sens!$C$10497*m_ai</f>
        <v>448.024224743062</v>
      </c>
    </row>
    <row r="10499" customFormat="false" ht="17.15" hidden="false" customHeight="false" outlineLevel="0" collapsed="false">
      <c r="A10499" s="0" t="s">
        <v>950</v>
      </c>
      <c r="B10499" s="0" t="s">
        <v>86</v>
      </c>
      <c r="C10499" s="38" t="n">
        <f aca="false">IF(ai_leg=1,Sens!$C$10496,Sens!$C$10498)</f>
        <v>121.888025331575</v>
      </c>
    </row>
    <row r="10500" customFormat="false" ht="17.15" hidden="false" customHeight="false" outlineLevel="0" collapsed="false">
      <c r="A10500" s="5" t="s">
        <v>951</v>
      </c>
      <c r="B10500" s="0" t="s">
        <v>86</v>
      </c>
      <c r="C10500" s="38" t="n">
        <f aca="false">Sens!$C$10486+Sens!$C$10489+Sens!$C$10492+Sens!$C$10499</f>
        <v>2902.91372216011</v>
      </c>
    </row>
    <row r="10501" customFormat="false" ht="17.15" hidden="false" customHeight="false" outlineLevel="0" collapsed="false">
      <c r="A10501" s="5" t="s">
        <v>952</v>
      </c>
      <c r="B10501" s="0" t="s">
        <v>86</v>
      </c>
      <c r="C10501" s="38" t="n">
        <f aca="false">Sens!$H$10454+fin_debt</f>
        <v>153.608629741943</v>
      </c>
    </row>
    <row r="10502" customFormat="false" ht="15" hidden="false" customHeight="false" outlineLevel="0" collapsed="false">
      <c r="A10502" s="5" t="s">
        <v>953</v>
      </c>
      <c r="B10502" s="0" t="s">
        <v>86</v>
      </c>
      <c r="C10502" s="38" t="n">
        <f aca="false">Sens!$C$10500-Sens!$C$10501+Sens!$C$10479</f>
        <v>2928.24909241817</v>
      </c>
    </row>
    <row r="10503" customFormat="false" ht="15" hidden="false" customHeight="false" outlineLevel="0" collapsed="false">
      <c r="A10503" s="3" t="s">
        <v>954</v>
      </c>
      <c r="B10503" s="8" t="s">
        <v>27</v>
      </c>
      <c r="C10503" s="30" t="n">
        <f aca="false">Sens!$C$10502/sh_val</f>
        <v>265.472867990718</v>
      </c>
    </row>
    <row r="10504" customFormat="false" ht="17.15" hidden="false" customHeight="false" outlineLevel="0" collapsed="false">
      <c r="A10504" s="47" t="s">
        <v>955</v>
      </c>
      <c r="B10504" s="14" t="s">
        <v>27</v>
      </c>
      <c r="C10504" s="44" t="n">
        <f aca="false">w_dcf*Sens!$C$10482+(1-w_dcf)*Sens!$C$10503</f>
        <v>193.003694765771</v>
      </c>
      <c r="D10504" s="14"/>
      <c r="E10504" s="14"/>
      <c r="F10504" s="14"/>
      <c r="G10504" s="14"/>
      <c r="H10504" s="14"/>
      <c r="I10504" s="14"/>
      <c r="J10504" s="14"/>
      <c r="K10504" s="14"/>
      <c r="L10504" s="14"/>
      <c r="M10504" s="14"/>
      <c r="N10504" s="14"/>
      <c r="O10504" s="14"/>
    </row>
    <row r="10505" customFormat="false" ht="17.15" hidden="false" customHeight="false" outlineLevel="0" collapsed="false">
      <c r="A10505" s="5" t="s">
        <v>956</v>
      </c>
      <c r="B10505" s="0" t="s">
        <v>27</v>
      </c>
      <c r="C10505" s="30" t="n">
        <f aca="false">v022_wdcf*Sens!$C$10482+(1-v022_wdcf)*Sens!$C$10503</f>
        <v>200.250612088266</v>
      </c>
    </row>
    <row r="10506" customFormat="false" ht="17.15" hidden="false" customHeight="false" outlineLevel="0" collapsed="false">
      <c r="A10506" s="5" t="s">
        <v>957</v>
      </c>
      <c r="B10506" s="0" t="s">
        <v>27</v>
      </c>
      <c r="C10506" s="30" t="n">
        <f aca="false">(Sens!$C$10502-Sens!$C$10499+Sens!$C$10498)/sh_val</f>
        <v>295.040131389701</v>
      </c>
    </row>
    <row r="10509" customFormat="false" ht="19.4" hidden="false" customHeight="false" outlineLevel="0" collapsed="false">
      <c r="A10509" s="31" t="s">
        <v>1350</v>
      </c>
    </row>
    <row r="10510" customFormat="false" ht="17.15" hidden="false" customHeight="false" outlineLevel="0" collapsed="false">
      <c r="A10510" s="6" t="s">
        <v>16</v>
      </c>
      <c r="B10510" s="6" t="s">
        <v>17</v>
      </c>
      <c r="C10510" s="20" t="s">
        <v>497</v>
      </c>
      <c r="D10510" s="20" t="s">
        <v>498</v>
      </c>
      <c r="E10510" s="20" t="s">
        <v>580</v>
      </c>
      <c r="F10510" s="20" t="s">
        <v>581</v>
      </c>
      <c r="G10510" s="20" t="s">
        <v>582</v>
      </c>
      <c r="H10510" s="20" t="s">
        <v>583</v>
      </c>
      <c r="I10510" s="20" t="s">
        <v>584</v>
      </c>
      <c r="J10510" s="20" t="s">
        <v>585</v>
      </c>
      <c r="K10510" s="20" t="s">
        <v>586</v>
      </c>
      <c r="L10510" s="20" t="s">
        <v>587</v>
      </c>
      <c r="M10510" s="20" t="s">
        <v>588</v>
      </c>
      <c r="N10510" s="20" t="s">
        <v>589</v>
      </c>
      <c r="O10510" s="20" t="s">
        <v>590</v>
      </c>
      <c r="P10510" s="6" t="s">
        <v>23</v>
      </c>
      <c r="R10510" s="20" t="n">
        <v>2023</v>
      </c>
      <c r="S10510" s="20" t="n">
        <v>2024</v>
      </c>
      <c r="T10510" s="20" t="n">
        <v>2025</v>
      </c>
      <c r="U10510" s="20" t="n">
        <v>2026</v>
      </c>
      <c r="V10510" s="20" t="n">
        <v>2027</v>
      </c>
      <c r="W10510" s="20" t="n">
        <v>2028</v>
      </c>
      <c r="X10510" s="20" t="n">
        <v>2029</v>
      </c>
      <c r="Y10510" s="20" t="n">
        <v>2030</v>
      </c>
      <c r="Z10510" s="20" t="n">
        <v>2031</v>
      </c>
      <c r="AA10510" s="20" t="n">
        <v>2032</v>
      </c>
    </row>
    <row r="10511" customFormat="false" ht="17.15" hidden="false" customHeight="false" outlineLevel="0" collapsed="false">
      <c r="A10511" s="1" t="s">
        <v>666</v>
      </c>
    </row>
    <row r="10512" customFormat="false" ht="17.15" hidden="false" customHeight="false" outlineLevel="0" collapsed="false">
      <c r="A10512" s="0" t="s">
        <v>519</v>
      </c>
      <c r="B10512" s="0" t="s">
        <v>86</v>
      </c>
      <c r="C10512" s="38" t="n">
        <f aca="false">Q!$D$10</f>
        <v>247.029</v>
      </c>
      <c r="D10512" s="38" t="n">
        <f aca="false">Q!$E$10</f>
        <v>269.287</v>
      </c>
      <c r="E10512" s="38" t="n">
        <f aca="false">Q!$P$10</f>
        <v>134.686</v>
      </c>
      <c r="F10512" s="38" t="n">
        <f aca="false">Sens!$O$10512*(1+Sens!$F$10513)*Sens!$F$10524</f>
        <v>158.293876822267</v>
      </c>
      <c r="G10512" s="38" t="n">
        <f aca="false">Sens!$E$10512+Sens!$F$10512</f>
        <v>292.979876822267</v>
      </c>
      <c r="H10512" s="38" t="n">
        <f aca="false">Sens!$G$10512*(1+Sens!$H$10513)</f>
        <v>318.184543087396</v>
      </c>
      <c r="I10512" s="38" t="n">
        <f aca="false">Sens!$H$10512*(1+Sens!$I$10513)</f>
        <v>341.736278761793</v>
      </c>
      <c r="J10512" s="38" t="n">
        <f aca="false">Sens!$I$10512*(1+Sens!$J$10513)</f>
        <v>362.927192787048</v>
      </c>
      <c r="K10512" s="38" t="n">
        <f aca="false">Sens!$J$10512*(1+Sens!$K$10513)</f>
        <v>381.0735524264</v>
      </c>
      <c r="L10512" s="38" t="n">
        <f aca="false">Sens!$K$10512*(1+Sens!$L$10513)</f>
        <v>400.12723004772</v>
      </c>
      <c r="M10512" s="38" t="n">
        <f aca="false">Sens!$L$10512*(1+Sens!$M$10513)</f>
        <v>420.133591550106</v>
      </c>
      <c r="N10512" s="38" t="n">
        <f aca="false">Q!$N$10</f>
        <v>118.892</v>
      </c>
      <c r="O10512" s="38" t="n">
        <f aca="false">Q!$O$10</f>
        <v>150.395</v>
      </c>
      <c r="P10512" s="8" t="s">
        <v>667</v>
      </c>
    </row>
    <row r="10513" customFormat="false" ht="17.15" hidden="false" customHeight="false" outlineLevel="0" collapsed="false">
      <c r="A10513" s="0" t="s">
        <v>668</v>
      </c>
      <c r="B10513" s="0" t="s">
        <v>52</v>
      </c>
      <c r="E10513" s="13" t="n">
        <f aca="false">Sens!$E$10512/Sens!$N$10512-1</f>
        <v>0.132843252699929</v>
      </c>
      <c r="F10513" s="13" t="n">
        <f aca="false">Sens!$O$10512/(Q!$F$10+Q!$G$10)-1</f>
        <v>0.0980382135842941</v>
      </c>
      <c r="G10513" s="13" t="n">
        <f aca="false">Sens!$G$10512/Sens!$D$10512-1</f>
        <v>0.0879837378791657</v>
      </c>
      <c r="H10513" s="13" t="n">
        <f aca="false">Sens!$F$10513+(g_os-Sens!$F$10513)*1/4</f>
        <v>0.0860286601882206</v>
      </c>
      <c r="I10513" s="13" t="n">
        <f aca="false">Sens!$F$10513+(g_os-Sens!$F$10513)*2/4</f>
        <v>0.074019106792147</v>
      </c>
      <c r="J10513" s="13" t="n">
        <f aca="false">Sens!$F$10513+(g_os-Sens!$F$10513)*3/4</f>
        <v>0.0620095533960735</v>
      </c>
      <c r="K10513" s="13" t="n">
        <f aca="false">Sens!$F$10513+(g_os-Sens!$F$10513)*4/4</f>
        <v>0.05</v>
      </c>
      <c r="L10513" s="13" t="n">
        <f aca="false">g_os</f>
        <v>0.05</v>
      </c>
      <c r="M10513" s="13" t="n">
        <f aca="false">g_os</f>
        <v>0.05</v>
      </c>
      <c r="P10513" s="8" t="s">
        <v>669</v>
      </c>
    </row>
    <row r="10514" customFormat="false" ht="17.15" hidden="false" customHeight="false" outlineLevel="0" collapsed="false">
      <c r="A10514" s="0" t="s">
        <v>520</v>
      </c>
      <c r="B10514" s="0" t="s">
        <v>86</v>
      </c>
      <c r="C10514" s="38" t="n">
        <f aca="false">Q!$D$11</f>
        <v>21.215</v>
      </c>
      <c r="D10514" s="38" t="n">
        <f aca="false">Q!$E$11</f>
        <v>22.561</v>
      </c>
      <c r="E10514" s="38" t="n">
        <f aca="false">Q!$P$11</f>
        <v>11.579</v>
      </c>
      <c r="F10514" s="38" t="n">
        <f aca="false">Sens!$O$10514*(1+Sens!$F$10515)*Sens!$F$10524</f>
        <v>11.5938724610325</v>
      </c>
      <c r="G10514" s="38" t="n">
        <f aca="false">Sens!$E$10514+Sens!$F$10514</f>
        <v>23.1728724610325</v>
      </c>
      <c r="H10514" s="38" t="n">
        <f aca="false">Sens!$G$10514*(1+Sens!$H$10515)</f>
        <v>24.353392759506</v>
      </c>
      <c r="I10514" s="38" t="n">
        <f aca="false">Sens!$H$10514*(1+Sens!$I$10515)</f>
        <v>25.4240338872015</v>
      </c>
      <c r="J10514" s="38" t="n">
        <f aca="false">Sens!$I$10514*(1+Sens!$J$10515)</f>
        <v>26.3642491017174</v>
      </c>
      <c r="K10514" s="38" t="n">
        <f aca="false">Sens!$J$10514*(1+Sens!$K$10515)</f>
        <v>27.155176574769</v>
      </c>
      <c r="L10514" s="38" t="n">
        <f aca="false">Sens!$K$10514*(1+Sens!$L$10515)</f>
        <v>27.969831872012</v>
      </c>
      <c r="M10514" s="38" t="n">
        <f aca="false">Sens!$L$10514*(1+Sens!$M$10515)</f>
        <v>28.8089268281724</v>
      </c>
      <c r="N10514" s="38" t="n">
        <f aca="false">Q!$N$11</f>
        <v>11.128</v>
      </c>
      <c r="O10514" s="38" t="n">
        <f aca="false">Q!$O$11</f>
        <v>11.433</v>
      </c>
      <c r="P10514" s="8" t="s">
        <v>667</v>
      </c>
    </row>
    <row r="10515" customFormat="false" ht="17.15" hidden="false" customHeight="false" outlineLevel="0" collapsed="false">
      <c r="A10515" s="0" t="s">
        <v>670</v>
      </c>
      <c r="B10515" s="0" t="s">
        <v>52</v>
      </c>
      <c r="E10515" s="13" t="n">
        <f aca="false">Sens!$E$10514/Sens!$N$10514-1</f>
        <v>0.0405283968368082</v>
      </c>
      <c r="F10515" s="13" t="n">
        <f aca="false">Sens!$O$10514/(Q!$F$11+Q!$G$11)-1</f>
        <v>0.0579254187100955</v>
      </c>
      <c r="G10515" s="13" t="n">
        <f aca="false">Sens!$G$10514/Sens!$D$10514-1</f>
        <v>0.0271208040881397</v>
      </c>
      <c r="H10515" s="13" t="n">
        <f aca="false">Sens!$F$10515+(g_ps-Sens!$F$10515)*1/4</f>
        <v>0.0509440640325716</v>
      </c>
      <c r="I10515" s="13" t="n">
        <f aca="false">Sens!$F$10515+(g_ps-Sens!$F$10515)*2/4</f>
        <v>0.0439627093550477</v>
      </c>
      <c r="J10515" s="13" t="n">
        <f aca="false">Sens!$F$10515+(g_ps-Sens!$F$10515)*3/4</f>
        <v>0.0369813546775239</v>
      </c>
      <c r="K10515" s="13" t="n">
        <f aca="false">Sens!$F$10515+(g_ps-Sens!$F$10515)*4/4</f>
        <v>0.03</v>
      </c>
      <c r="L10515" s="13" t="n">
        <f aca="false">g_ps</f>
        <v>0.03</v>
      </c>
      <c r="M10515" s="13" t="n">
        <f aca="false">g_ps</f>
        <v>0.03</v>
      </c>
      <c r="P10515" s="8" t="s">
        <v>671</v>
      </c>
    </row>
    <row r="10516" customFormat="false" ht="17.15" hidden="false" customHeight="false" outlineLevel="0" collapsed="false">
      <c r="A10516" s="0" t="s">
        <v>521</v>
      </c>
      <c r="B10516" s="0" t="s">
        <v>86</v>
      </c>
      <c r="C10516" s="38" t="n">
        <f aca="false">Q!$D$12</f>
        <v>156.146</v>
      </c>
      <c r="D10516" s="38" t="n">
        <f aca="false">Q!$E$12</f>
        <v>172.162</v>
      </c>
      <c r="E10516" s="38" t="n">
        <f aca="false">Q!$P$12</f>
        <v>88.358</v>
      </c>
      <c r="F10516" s="38" t="n">
        <f aca="false">Sens!$O$10516*(1+Sens!$F$10517)*Sens!$F$10524</f>
        <v>102.004388260171</v>
      </c>
      <c r="G10516" s="38" t="n">
        <f aca="false">Sens!$E$10516+Sens!$F$10516</f>
        <v>190.362388260171</v>
      </c>
      <c r="H10516" s="38" t="n">
        <f aca="false">Sens!$G$10516*(1+Sens!$H$10517)</f>
        <v>210.343106588311</v>
      </c>
      <c r="I10516" s="38" t="n">
        <f aca="false">Sens!$H$10516*(1+Sens!$I$10517)</f>
        <v>229.969728494648</v>
      </c>
      <c r="J10516" s="38" t="n">
        <f aca="false">Sens!$I$10516*(1+Sens!$J$10517)</f>
        <v>248.747636972598</v>
      </c>
      <c r="K10516" s="38" t="n">
        <f aca="false">Sens!$J$10516*(1+Sens!$K$10517)</f>
        <v>266.15997156068</v>
      </c>
      <c r="L10516" s="38" t="n">
        <f aca="false">Sens!$K$10516*(1+Sens!$L$10517)</f>
        <v>284.791169569927</v>
      </c>
      <c r="M10516" s="38" t="n">
        <f aca="false">Sens!$L$10516*(1+Sens!$M$10517)</f>
        <v>304.726551439822</v>
      </c>
      <c r="N10516" s="38" t="n">
        <f aca="false">Q!$N$12</f>
        <v>76.86</v>
      </c>
      <c r="O10516" s="38" t="n">
        <f aca="false">Q!$O$12</f>
        <v>95.302</v>
      </c>
      <c r="P10516" s="8" t="s">
        <v>667</v>
      </c>
    </row>
    <row r="10517" customFormat="false" ht="17.15" hidden="false" customHeight="false" outlineLevel="0" collapsed="false">
      <c r="A10517" s="0" t="s">
        <v>672</v>
      </c>
      <c r="B10517" s="0" t="s">
        <v>52</v>
      </c>
      <c r="E10517" s="13" t="n">
        <f aca="false">Sens!$E$10516/Sens!$N$10516-1</f>
        <v>0.1495966692688</v>
      </c>
      <c r="F10517" s="13" t="n">
        <f aca="false">Sens!$O$10516/(Q!$F$12+Q!$G$12)-1</f>
        <v>0.11661530890813</v>
      </c>
      <c r="G10517" s="13" t="n">
        <f aca="false">Sens!$G$10516/Sens!$D$10516-1</f>
        <v>0.105716640490767</v>
      </c>
      <c r="H10517" s="13" t="n">
        <f aca="false">Sens!$F$10517+(g_sp-Sens!$F$10517)*1/4</f>
        <v>0.104961481681098</v>
      </c>
      <c r="I10517" s="13" t="n">
        <f aca="false">Sens!$F$10517+(g_sp-Sens!$F$10517)*2/4</f>
        <v>0.0933076544540651</v>
      </c>
      <c r="J10517" s="13" t="n">
        <f aca="false">Sens!$F$10517+(g_sp-Sens!$F$10517)*3/4</f>
        <v>0.0816538272270325</v>
      </c>
      <c r="K10517" s="13" t="n">
        <f aca="false">Sens!$F$10517+(g_sp-Sens!$F$10517)*4/4</f>
        <v>0.07</v>
      </c>
      <c r="L10517" s="13" t="n">
        <f aca="false">g_sp</f>
        <v>0.07</v>
      </c>
      <c r="M10517" s="13" t="n">
        <f aca="false">g_sp</f>
        <v>0.07</v>
      </c>
      <c r="P10517" s="8" t="s">
        <v>673</v>
      </c>
    </row>
    <row r="10518" customFormat="false" ht="17.15" hidden="false" customHeight="false" outlineLevel="0" collapsed="false">
      <c r="A10518" s="0" t="s">
        <v>522</v>
      </c>
      <c r="B10518" s="0" t="s">
        <v>86</v>
      </c>
      <c r="C10518" s="38" t="n">
        <f aca="false">Q!$D$13</f>
        <v>56.214</v>
      </c>
      <c r="D10518" s="38" t="n">
        <f aca="false">Q!$E$13</f>
        <v>68.635</v>
      </c>
      <c r="E10518" s="38" t="n">
        <f aca="false">Q!$P$13</f>
        <v>37.052</v>
      </c>
      <c r="F10518" s="38" t="n">
        <f aca="false">Sens!$O$10518*(1+Sens!$F$10519)*Sens!$F$10524</f>
        <v>46.1572219944148</v>
      </c>
      <c r="G10518" s="38" t="n">
        <f aca="false">Sens!$E$10518+Sens!$F$10518</f>
        <v>83.2092219944148</v>
      </c>
      <c r="H10518" s="38" t="n">
        <f aca="false">Sens!$G$10518*(1+Sens!$H$10519)</f>
        <v>99.8969223878976</v>
      </c>
      <c r="I10518" s="38" t="n">
        <f aca="false">Sens!$H$10518*(1+Sens!$I$10519)</f>
        <v>116.583111095496</v>
      </c>
      <c r="J10518" s="38" t="n">
        <f aca="false">Sens!$I$10518*(1+Sens!$J$10519)</f>
        <v>132.148941941952</v>
      </c>
      <c r="K10518" s="38" t="n">
        <f aca="false">Sens!$J$10518*(1+Sens!$K$10519)</f>
        <v>145.363836136147</v>
      </c>
      <c r="L10518" s="38" t="n">
        <f aca="false">Sens!$K$10518*(1+Sens!$L$10519)</f>
        <v>159.900219749762</v>
      </c>
      <c r="M10518" s="38" t="n">
        <f aca="false">Sens!$L$10518*(1+Sens!$M$10519)</f>
        <v>175.890241724738</v>
      </c>
      <c r="N10518" s="38" t="n">
        <f aca="false">Q!$N$13</f>
        <v>29.615</v>
      </c>
      <c r="O10518" s="38" t="n">
        <f aca="false">Q!$O$13</f>
        <v>39.02</v>
      </c>
      <c r="P10518" s="8" t="s">
        <v>667</v>
      </c>
    </row>
    <row r="10519" customFormat="false" ht="17.15" hidden="false" customHeight="false" outlineLevel="0" collapsed="false">
      <c r="A10519" s="0" t="s">
        <v>674</v>
      </c>
      <c r="B10519" s="0" t="s">
        <v>52</v>
      </c>
      <c r="E10519" s="13" t="n">
        <f aca="false">Sens!$E$10518/Sens!$N$10518-1</f>
        <v>0.25112274185379</v>
      </c>
      <c r="F10519" s="13" t="n">
        <f aca="false">Sens!$O$10518/(Q!$F$13+Q!$G$13)-1</f>
        <v>0.234068123596572</v>
      </c>
      <c r="G10519" s="13" t="n">
        <f aca="false">Sens!$G$10518/Sens!$D$10518-1</f>
        <v>0.212343876949294</v>
      </c>
      <c r="H10519" s="13" t="n">
        <f aca="false">Sens!$F$10519+(g_ad-Sens!$F$10519)*1/4</f>
        <v>0.200551092697429</v>
      </c>
      <c r="I10519" s="13" t="n">
        <f aca="false">Sens!$F$10519+(g_ad-Sens!$F$10519)*2/4</f>
        <v>0.167034061798286</v>
      </c>
      <c r="J10519" s="13" t="n">
        <f aca="false">Sens!$F$10519+(g_ad-Sens!$F$10519)*3/4</f>
        <v>0.133517030899143</v>
      </c>
      <c r="K10519" s="13" t="n">
        <f aca="false">Sens!$F$10519+(g_ad-Sens!$F$10519)*4/4</f>
        <v>0.1</v>
      </c>
      <c r="L10519" s="13" t="n">
        <f aca="false">g_ad</f>
        <v>0.1</v>
      </c>
      <c r="M10519" s="13" t="n">
        <f aca="false">g_ad</f>
        <v>0.1</v>
      </c>
      <c r="P10519" s="8" t="s">
        <v>675</v>
      </c>
    </row>
    <row r="10520" customFormat="false" ht="17.15" hidden="false" customHeight="false" outlineLevel="0" collapsed="false">
      <c r="A10520" s="0" t="s">
        <v>523</v>
      </c>
      <c r="B10520" s="0" t="s">
        <v>86</v>
      </c>
      <c r="C10520" s="38" t="n">
        <f aca="false">Q!$D$14</f>
        <v>44.374</v>
      </c>
      <c r="D10520" s="38" t="n">
        <f aca="false">Q!$E$14</f>
        <v>49.619</v>
      </c>
      <c r="E10520" s="38" t="n">
        <f aca="false">Q!$P$14</f>
        <v>27.157</v>
      </c>
      <c r="F10520" s="38" t="n">
        <f aca="false">Sens!$O$10520*(1+Sens!$F$10521)*Sens!$F$10524</f>
        <v>27.7764165988154</v>
      </c>
      <c r="G10520" s="38" t="n">
        <f aca="false">Sens!$E$10520+Sens!$F$10520</f>
        <v>54.9334165988154</v>
      </c>
      <c r="H10520" s="38" t="n">
        <f aca="false">Sens!$G$10520*(1+Sens!$H$10521)</f>
        <v>61.1564112561829</v>
      </c>
      <c r="I10520" s="38" t="n">
        <f aca="false">Sens!$H$10520*(1+Sens!$I$10521)</f>
        <v>67.2020282103945</v>
      </c>
      <c r="J10520" s="38" t="n">
        <f aca="false">Sens!$I$10520*(1+Sens!$J$10521)</f>
        <v>72.8757274028885</v>
      </c>
      <c r="K10520" s="38" t="n">
        <f aca="false">Sens!$J$10520*(1+Sens!$K$10521)</f>
        <v>77.9770283210907</v>
      </c>
      <c r="L10520" s="38" t="n">
        <f aca="false">Sens!$K$10520*(1+Sens!$L$10521)</f>
        <v>83.4354203035671</v>
      </c>
      <c r="M10520" s="38" t="n">
        <f aca="false">Sens!$L$10520*(1+Sens!$M$10521)</f>
        <v>89.2758997248168</v>
      </c>
      <c r="N10520" s="38" t="n">
        <f aca="false">Q!$N$14</f>
        <v>23.923</v>
      </c>
      <c r="O10520" s="38" t="n">
        <f aca="false">Q!$O$14</f>
        <v>25.696</v>
      </c>
      <c r="P10520" s="8" t="s">
        <v>667</v>
      </c>
    </row>
    <row r="10521" customFormat="false" ht="17.15" hidden="false" customHeight="false" outlineLevel="0" collapsed="false">
      <c r="A10521" s="0" t="s">
        <v>676</v>
      </c>
      <c r="B10521" s="0" t="s">
        <v>52</v>
      </c>
      <c r="E10521" s="13" t="n">
        <f aca="false">Sens!$E$10520/Sens!$N$10520-1</f>
        <v>0.135183714417088</v>
      </c>
      <c r="F10521" s="13" t="n">
        <f aca="false">Sens!$O$10520/(Q!$F$14+Q!$G$14)-1</f>
        <v>0.127709997366804</v>
      </c>
      <c r="G10521" s="13" t="n">
        <f aca="false">Sens!$G$10520/Sens!$D$10520-1</f>
        <v>0.107104468022641</v>
      </c>
      <c r="H10521" s="13" t="n">
        <f aca="false">Sens!$F$10521+(g_sub-Sens!$F$10521)*1/4</f>
        <v>0.113282498025103</v>
      </c>
      <c r="I10521" s="13" t="n">
        <f aca="false">Sens!$F$10521+(g_sub-Sens!$F$10521)*2/4</f>
        <v>0.0988549986834021</v>
      </c>
      <c r="J10521" s="13" t="n">
        <f aca="false">Sens!$F$10521+(g_sub-Sens!$F$10521)*3/4</f>
        <v>0.084427499341701</v>
      </c>
      <c r="K10521" s="13" t="n">
        <f aca="false">Sens!$F$10521+(g_sub-Sens!$F$10521)*4/4</f>
        <v>0.07</v>
      </c>
      <c r="L10521" s="13" t="n">
        <f aca="false">g_sub</f>
        <v>0.07</v>
      </c>
      <c r="M10521" s="13" t="n">
        <f aca="false">g_sub</f>
        <v>0.07</v>
      </c>
      <c r="P10521" s="8" t="s">
        <v>677</v>
      </c>
    </row>
    <row r="10522" customFormat="false" ht="17.15" hidden="false" customHeight="false" outlineLevel="0" collapsed="false">
      <c r="A10522" s="0" t="s">
        <v>524</v>
      </c>
      <c r="B10522" s="0" t="s">
        <v>86</v>
      </c>
      <c r="C10522" s="38" t="n">
        <f aca="false">Q!$D$15</f>
        <v>5.425</v>
      </c>
      <c r="D10522" s="38" t="n">
        <f aca="false">Q!$E$15</f>
        <v>5.935</v>
      </c>
      <c r="E10522" s="38" t="n">
        <f aca="false">Q!$P$15</f>
        <v>3.474</v>
      </c>
      <c r="F10522" s="38" t="n">
        <f aca="false">Sens!$O$10522*(1+Sens!$F$10523)*Sens!$F$10524</f>
        <v>3.22246550883619</v>
      </c>
      <c r="G10522" s="38" t="n">
        <f aca="false">Sens!$E$10522+Sens!$F$10522</f>
        <v>6.69646550883619</v>
      </c>
      <c r="H10522" s="38" t="n">
        <f aca="false">Sens!$G$10522*(1+Sens!$H$10523)</f>
        <v>7.16251344209196</v>
      </c>
      <c r="I10522" s="38" t="n">
        <f aca="false">Sens!$H$10522*(1+Sens!$I$10523)</f>
        <v>7.61421070299826</v>
      </c>
      <c r="J10522" s="38" t="n">
        <f aca="false">Sens!$I$10522*(1+Sens!$J$10523)</f>
        <v>8.04465753523932</v>
      </c>
      <c r="K10522" s="38" t="n">
        <f aca="false">Sens!$J$10522*(1+Sens!$K$10523)</f>
        <v>8.44689041200128</v>
      </c>
      <c r="L10522" s="38" t="n">
        <f aca="false">Sens!$K$10522*(1+Sens!$L$10523)</f>
        <v>8.86923493260135</v>
      </c>
      <c r="M10522" s="38" t="n">
        <f aca="false">Sens!$L$10522*(1+Sens!$M$10523)</f>
        <v>9.31269667923142</v>
      </c>
      <c r="N10522" s="38" t="n">
        <f aca="false">Q!$N$15</f>
        <v>2.811</v>
      </c>
      <c r="O10522" s="38" t="n">
        <f aca="false">Q!$O$15</f>
        <v>3.124</v>
      </c>
      <c r="P10522" s="8" t="s">
        <v>667</v>
      </c>
    </row>
    <row r="10523" customFormat="false" ht="17.15" hidden="false" customHeight="false" outlineLevel="0" collapsed="false">
      <c r="A10523" s="0" t="s">
        <v>678</v>
      </c>
      <c r="B10523" s="0" t="s">
        <v>52</v>
      </c>
      <c r="E10523" s="13" t="n">
        <f aca="false">Sens!$E$10522/Sens!$N$10522-1</f>
        <v>0.235859124866596</v>
      </c>
      <c r="F10523" s="13" t="n">
        <f aca="false">Sens!$O$10522/(Q!$F$15+Q!$G$15)-1</f>
        <v>0.0761281433000345</v>
      </c>
      <c r="G10523" s="13" t="n">
        <f aca="false">Sens!$G$10522/Sens!$D$10522-1</f>
        <v>0.128300843948811</v>
      </c>
      <c r="H10523" s="13" t="n">
        <f aca="false">Sens!$F$10523+(g_ot-Sens!$F$10523)*1/4</f>
        <v>0.0695961074750259</v>
      </c>
      <c r="I10523" s="13" t="n">
        <f aca="false">Sens!$F$10523+(g_ot-Sens!$F$10523)*2/4</f>
        <v>0.0630640716500172</v>
      </c>
      <c r="J10523" s="13" t="n">
        <f aca="false">Sens!$F$10523+(g_ot-Sens!$F$10523)*3/4</f>
        <v>0.0565320358250086</v>
      </c>
      <c r="K10523" s="13" t="n">
        <f aca="false">Sens!$F$10523+(g_ot-Sens!$F$10523)*4/4</f>
        <v>0.05</v>
      </c>
      <c r="L10523" s="13" t="n">
        <f aca="false">g_ot</f>
        <v>0.05</v>
      </c>
      <c r="M10523" s="13" t="n">
        <f aca="false">g_ot</f>
        <v>0.05</v>
      </c>
      <c r="P10523" s="8" t="s">
        <v>679</v>
      </c>
    </row>
    <row r="10524" customFormat="false" ht="17.15" hidden="false" customHeight="false" outlineLevel="0" collapsed="false">
      <c r="A10524" s="0" t="s">
        <v>680</v>
      </c>
      <c r="B10524" s="0" t="s">
        <v>57</v>
      </c>
      <c r="F10524" s="40" t="n">
        <f aca="false">(g26q3_mid*Q!$O$8/Q!$J$8-Thesis!$F$86-Thesis!$F$90)/(Sens!$O$10512*(1+Sens!$F$10513)+Sens!$O$10514*(1+Sens!$F$10515)+Sens!$O$10516*(1+Sens!$F$10517)+Sens!$O$10518*(1+Sens!$F$10519)+Sens!$O$10520*(1+Sens!$F$10521)+Sens!$O$10522*(1+Sens!$F$10523))</f>
        <v>0.958546670622329</v>
      </c>
      <c r="P10524" s="8" t="s">
        <v>681</v>
      </c>
    </row>
    <row r="10525" customFormat="false" ht="17.15" hidden="false" customHeight="false" outlineLevel="0" collapsed="false">
      <c r="A10525" s="3" t="s">
        <v>682</v>
      </c>
      <c r="B10525" s="8" t="s">
        <v>86</v>
      </c>
      <c r="C10525" s="38" t="n">
        <f aca="false">Sens!$C$10512+Sens!$C$10514+Sens!$C$10516+Sens!$C$10518+Sens!$C$10520+Sens!$C$10522</f>
        <v>530.403</v>
      </c>
      <c r="D10525" s="38" t="n">
        <f aca="false">Sens!$D$10512+Sens!$D$10514+Sens!$D$10516+Sens!$D$10518+Sens!$D$10520+Sens!$D$10522</f>
        <v>588.199</v>
      </c>
      <c r="E10525" s="38" t="n">
        <f aca="false">Sens!$E$10512+Sens!$E$10514+Sens!$E$10516+Sens!$E$10518+Sens!$E$10520+Sens!$E$10522</f>
        <v>302.306</v>
      </c>
      <c r="F10525" s="38" t="n">
        <f aca="false">Sens!$F$10512+Sens!$F$10514+Sens!$F$10516+Sens!$F$10518+Sens!$F$10520+Sens!$F$10522</f>
        <v>349.048241645537</v>
      </c>
      <c r="G10525" s="38" t="n">
        <f aca="false">Sens!$G$10512+Sens!$G$10514+Sens!$G$10516+Sens!$G$10518+Sens!$G$10520+Sens!$G$10522</f>
        <v>651.354241645537</v>
      </c>
      <c r="H10525" s="38" t="n">
        <f aca="false">Sens!$H$10512+Sens!$H$10514+Sens!$H$10516+Sens!$H$10518+Sens!$H$10520+Sens!$H$10522</f>
        <v>721.096889521386</v>
      </c>
      <c r="I10525" s="38" t="n">
        <f aca="false">Sens!$I$10512+Sens!$I$10514+Sens!$I$10516+Sens!$I$10518+Sens!$I$10520+Sens!$I$10522</f>
        <v>788.529391152531</v>
      </c>
      <c r="J10525" s="38" t="n">
        <f aca="false">Sens!$J$10512+Sens!$J$10514+Sens!$J$10516+Sens!$J$10518+Sens!$J$10520+Sens!$J$10522</f>
        <v>851.108405741443</v>
      </c>
      <c r="K10525" s="38" t="n">
        <f aca="false">Sens!$K$10512+Sens!$K$10514+Sens!$K$10516+Sens!$K$10518+Sens!$K$10520+Sens!$K$10522</f>
        <v>906.176455431088</v>
      </c>
      <c r="L10525" s="38" t="n">
        <f aca="false">Sens!$L$10512+Sens!$L$10514+Sens!$L$10516+Sens!$L$10518+Sens!$L$10520+Sens!$L$10522</f>
        <v>965.093106475589</v>
      </c>
      <c r="M10525" s="38" t="n">
        <f aca="false">Sens!$M$10512+Sens!$M$10514+Sens!$M$10516+Sens!$M$10518+Sens!$M$10520+Sens!$M$10522</f>
        <v>1028.14790794689</v>
      </c>
      <c r="N10525" s="38" t="n">
        <f aca="false">Sens!$N$10512+Sens!$N$10514+Sens!$N$10516+Sens!$N$10518+Sens!$N$10520+Sens!$N$10522</f>
        <v>263.229</v>
      </c>
      <c r="O10525" s="38" t="n">
        <f aca="false">Sens!$O$10512+Sens!$O$10514+Sens!$O$10516+Sens!$O$10518+Sens!$O$10520+Sens!$O$10522</f>
        <v>324.97</v>
      </c>
    </row>
    <row r="10526" customFormat="false" ht="17.15" hidden="false" customHeight="false" outlineLevel="0" collapsed="false">
      <c r="A10526" s="5" t="s">
        <v>683</v>
      </c>
      <c r="B10526" s="0" t="s">
        <v>52</v>
      </c>
      <c r="C10526" s="13" t="n">
        <f aca="false">Q!$D$5/(Q!$D$5+Q!$D$6)</f>
        <v>0.730570905519011</v>
      </c>
      <c r="D10526" s="13" t="n">
        <f aca="false">Q!$E$5/(Q!$E$5+Q!$E$6)</f>
        <v>0.724763217890544</v>
      </c>
      <c r="E10526" s="13" t="n">
        <f aca="false">Q!$P$5/(Q!$P$5+Q!$P$6)</f>
        <v>0.728797972914861</v>
      </c>
      <c r="F10526" s="13" t="n">
        <f aca="false">Sens!$O$10526</f>
        <v>0.718066283041511</v>
      </c>
      <c r="G10526" s="13" t="n">
        <f aca="false">Sens!$G$10527/Sens!$G$10525</f>
        <v>0.723047066202847</v>
      </c>
      <c r="H10526" s="13" t="n">
        <f aca="false">Sens!$G$10526</f>
        <v>0.723047066202847</v>
      </c>
      <c r="I10526" s="13" t="n">
        <f aca="false">Sens!$G$10526</f>
        <v>0.723047066202847</v>
      </c>
      <c r="J10526" s="13" t="n">
        <f aca="false">Sens!$G$10526</f>
        <v>0.723047066202847</v>
      </c>
      <c r="K10526" s="13" t="n">
        <f aca="false">Sens!$G$10526</f>
        <v>0.723047066202847</v>
      </c>
      <c r="L10526" s="13" t="n">
        <f aca="false">Sens!$G$10526</f>
        <v>0.723047066202847</v>
      </c>
      <c r="M10526" s="13" t="n">
        <f aca="false">Sens!$G$10526</f>
        <v>0.723047066202847</v>
      </c>
      <c r="N10526" s="13" t="n">
        <f aca="false">Q!$N$5/(Q!$N$5+Q!$N$6)</f>
        <v>0.733030935041352</v>
      </c>
      <c r="O10526" s="13" t="n">
        <f aca="false">Q!$O$5/(Q!$O$5+Q!$O$6)</f>
        <v>0.718066283041511</v>
      </c>
      <c r="P10526" s="8" t="s">
        <v>684</v>
      </c>
    </row>
    <row r="10527" customFormat="false" ht="17.15" hidden="false" customHeight="false" outlineLevel="0" collapsed="false">
      <c r="A10527" s="1" t="s">
        <v>512</v>
      </c>
      <c r="B10527" s="8" t="s">
        <v>86</v>
      </c>
      <c r="C10527" s="38" t="n">
        <f aca="false">Q!$D$5</f>
        <v>387.497</v>
      </c>
      <c r="D10527" s="38" t="n">
        <f aca="false">Q!$E$5</f>
        <v>426.305</v>
      </c>
      <c r="E10527" s="38" t="n">
        <f aca="false">Q!$P$5</f>
        <v>220.32</v>
      </c>
      <c r="F10527" s="38" t="n">
        <f aca="false">Sens!$F$10525*Sens!$F$10526</f>
        <v>250.639773480586</v>
      </c>
      <c r="G10527" s="38" t="n">
        <f aca="false">Sens!$E$10527+Sens!$F$10527</f>
        <v>470.959773480586</v>
      </c>
      <c r="H10527" s="38" t="n">
        <f aca="false">Sens!$H$10525*Sens!$H$10526</f>
        <v>521.386990416437</v>
      </c>
      <c r="I10527" s="38" t="n">
        <f aca="false">Sens!$I$10525*Sens!$I$10526</f>
        <v>570.143862887555</v>
      </c>
      <c r="J10527" s="38" t="n">
        <f aca="false">Sens!$J$10525*Sens!$J$10526</f>
        <v>615.391435791933</v>
      </c>
      <c r="K10527" s="38" t="n">
        <f aca="false">Sens!$K$10525*Sens!$K$10526</f>
        <v>655.208227561543</v>
      </c>
      <c r="L10527" s="38" t="n">
        <f aca="false">Sens!$L$10525*Sens!$L$10526</f>
        <v>697.807739249767</v>
      </c>
      <c r="M10527" s="38" t="n">
        <f aca="false">Sens!$M$10525*Sens!$M$10526</f>
        <v>743.399328463592</v>
      </c>
      <c r="N10527" s="38" t="n">
        <f aca="false">Q!$N$5</f>
        <v>192.955</v>
      </c>
      <c r="O10527" s="38" t="n">
        <f aca="false">Q!$O$5</f>
        <v>233.35</v>
      </c>
      <c r="P10527" s="5" t="s">
        <v>685</v>
      </c>
    </row>
    <row r="10528" customFormat="false" ht="17.15" hidden="false" customHeight="false" outlineLevel="0" collapsed="false">
      <c r="A10528" s="1" t="s">
        <v>515</v>
      </c>
      <c r="B10528" s="8" t="s">
        <v>86</v>
      </c>
      <c r="C10528" s="38" t="n">
        <f aca="false">Q!$D$6</f>
        <v>142.906</v>
      </c>
      <c r="D10528" s="38" t="n">
        <f aca="false">Q!$E$6</f>
        <v>161.894</v>
      </c>
      <c r="E10528" s="38" t="n">
        <f aca="false">Q!$P$6</f>
        <v>81.986</v>
      </c>
      <c r="F10528" s="38" t="n">
        <f aca="false">Sens!$F$10525*(1-Sens!$F$10526)</f>
        <v>98.408468164951</v>
      </c>
      <c r="G10528" s="38" t="n">
        <f aca="false">Sens!$E$10528+Sens!$F$10528</f>
        <v>180.394468164951</v>
      </c>
      <c r="H10528" s="38" t="n">
        <f aca="false">Sens!$H$10525*(1-Sens!$H$10526)</f>
        <v>199.709899104949</v>
      </c>
      <c r="I10528" s="38" t="n">
        <f aca="false">Sens!$I$10525*(1-Sens!$I$10526)</f>
        <v>218.385528264976</v>
      </c>
      <c r="J10528" s="38" t="n">
        <f aca="false">Sens!$J$10525*(1-Sens!$J$10526)</f>
        <v>235.71696994951</v>
      </c>
      <c r="K10528" s="38" t="n">
        <f aca="false">Sens!$K$10525*(1-Sens!$K$10526)</f>
        <v>250.968227869545</v>
      </c>
      <c r="L10528" s="38" t="n">
        <f aca="false">Sens!$L$10525*(1-Sens!$L$10526)</f>
        <v>267.285367225822</v>
      </c>
      <c r="M10528" s="38" t="n">
        <f aca="false">Sens!$M$10525*(1-Sens!$M$10526)</f>
        <v>284.748579483295</v>
      </c>
      <c r="N10528" s="38" t="n">
        <f aca="false">Q!$N$6</f>
        <v>70.274</v>
      </c>
      <c r="O10528" s="38" t="n">
        <f aca="false">Q!$O$6</f>
        <v>91.62</v>
      </c>
      <c r="P10528" s="5" t="s">
        <v>686</v>
      </c>
    </row>
    <row r="10529" customFormat="false" ht="17.15" hidden="false" customHeight="false" outlineLevel="0" collapsed="false">
      <c r="A10529" s="5" t="s">
        <v>687</v>
      </c>
      <c r="B10529" s="0" t="s">
        <v>86</v>
      </c>
      <c r="C10529" s="38" t="n">
        <f aca="false">Sens!$C$10518*Sens!$C$10526</f>
        <v>41.0683128828457</v>
      </c>
      <c r="D10529" s="38" t="n">
        <f aca="false">Sens!$D$10518*Sens!$D$10526</f>
        <v>49.7441234599175</v>
      </c>
      <c r="E10529" s="38" t="n">
        <f aca="false">Sens!$E$10518*Sens!$E$10526</f>
        <v>27.0034224924414</v>
      </c>
      <c r="F10529" s="38" t="n">
        <f aca="false">Sens!$F$10518*Sens!$F$10526</f>
        <v>33.1439448330513</v>
      </c>
      <c r="G10529" s="38" t="n">
        <f aca="false">Sens!$G$10518*Sens!$G$10526</f>
        <v>60.164183844083</v>
      </c>
      <c r="H10529" s="38" t="n">
        <f aca="false">Sens!$H$10518*Sens!$H$10526</f>
        <v>72.2301766552629</v>
      </c>
      <c r="I10529" s="38" t="n">
        <f aca="false">Sens!$I$10518*Sens!$I$10526</f>
        <v>84.2950764463991</v>
      </c>
      <c r="J10529" s="38" t="n">
        <f aca="false">Sens!$J$10518*Sens!$J$10526</f>
        <v>95.5499047729386</v>
      </c>
      <c r="K10529" s="38" t="n">
        <f aca="false">Sens!$K$10518*Sens!$K$10526</f>
        <v>105.104895250232</v>
      </c>
      <c r="L10529" s="38" t="n">
        <f aca="false">Sens!$L$10518*Sens!$L$10526</f>
        <v>115.615384775256</v>
      </c>
      <c r="M10529" s="38" t="n">
        <f aca="false">Sens!$M$10518*Sens!$M$10526</f>
        <v>127.176923252781</v>
      </c>
      <c r="N10529" s="38" t="n">
        <f aca="false">Sens!$N$10518*Sens!$N$10526</f>
        <v>21.7087111412496</v>
      </c>
      <c r="O10529" s="38" t="n">
        <f aca="false">Sens!$O$10518*Sens!$O$10526</f>
        <v>28.0189463642798</v>
      </c>
      <c r="P10529" s="5" t="s">
        <v>688</v>
      </c>
    </row>
    <row r="10530" customFormat="false" ht="15" hidden="false" customHeight="false" outlineLevel="0" collapsed="false">
      <c r="A10530" s="5" t="s">
        <v>689</v>
      </c>
      <c r="B10530" s="0" t="s">
        <v>86</v>
      </c>
      <c r="C10530" s="38" t="n">
        <f aca="false">Sens!$C$10518-Sens!$C$10529</f>
        <v>15.1456871171543</v>
      </c>
      <c r="D10530" s="38" t="n">
        <f aca="false">Sens!$D$10518-Sens!$D$10529</f>
        <v>18.8908765400825</v>
      </c>
      <c r="E10530" s="38" t="n">
        <f aca="false">Sens!$E$10518-Sens!$E$10529</f>
        <v>10.0485775075586</v>
      </c>
      <c r="F10530" s="38" t="n">
        <f aca="false">Sens!$F$10518-Sens!$F$10529</f>
        <v>13.0132771613635</v>
      </c>
      <c r="G10530" s="38" t="n">
        <f aca="false">Sens!$G$10518-Sens!$G$10529</f>
        <v>23.0450381503318</v>
      </c>
      <c r="H10530" s="38" t="n">
        <f aca="false">Sens!$H$10518-Sens!$H$10529</f>
        <v>27.6667457326347</v>
      </c>
      <c r="I10530" s="38" t="n">
        <f aca="false">Sens!$I$10518-Sens!$I$10529</f>
        <v>32.2880346490971</v>
      </c>
      <c r="J10530" s="38" t="n">
        <f aca="false">Sens!$J$10518-Sens!$J$10529</f>
        <v>36.5990371690132</v>
      </c>
      <c r="K10530" s="38" t="n">
        <f aca="false">Sens!$K$10518-Sens!$K$10529</f>
        <v>40.2589408859145</v>
      </c>
      <c r="L10530" s="38" t="n">
        <f aca="false">Sens!$L$10518-Sens!$L$10529</f>
        <v>44.2848349745059</v>
      </c>
      <c r="M10530" s="38" t="n">
        <f aca="false">Sens!$M$10518-Sens!$M$10529</f>
        <v>48.7133184719565</v>
      </c>
      <c r="N10530" s="38" t="n">
        <f aca="false">Sens!$N$10518-Sens!$N$10529</f>
        <v>7.90628885875037</v>
      </c>
      <c r="O10530" s="38" t="n">
        <f aca="false">Sens!$O$10518-Sens!$O$10529</f>
        <v>11.0010536357202</v>
      </c>
    </row>
    <row r="10531" customFormat="false" ht="19.4" hidden="false" customHeight="false" outlineLevel="0" collapsed="false">
      <c r="A10531" s="31" t="s">
        <v>1351</v>
      </c>
    </row>
    <row r="10532" customFormat="false" ht="17.15" hidden="false" customHeight="false" outlineLevel="0" collapsed="false">
      <c r="A10532" s="6" t="s">
        <v>16</v>
      </c>
      <c r="B10532" s="6" t="s">
        <v>17</v>
      </c>
      <c r="C10532" s="20" t="s">
        <v>497</v>
      </c>
      <c r="D10532" s="20" t="s">
        <v>498</v>
      </c>
      <c r="E10532" s="20" t="s">
        <v>580</v>
      </c>
      <c r="F10532" s="20" t="s">
        <v>581</v>
      </c>
      <c r="G10532" s="20" t="s">
        <v>582</v>
      </c>
      <c r="H10532" s="20" t="s">
        <v>583</v>
      </c>
      <c r="I10532" s="20" t="s">
        <v>584</v>
      </c>
      <c r="J10532" s="20" t="s">
        <v>585</v>
      </c>
      <c r="K10532" s="20" t="s">
        <v>586</v>
      </c>
      <c r="L10532" s="20" t="s">
        <v>587</v>
      </c>
      <c r="M10532" s="20" t="s">
        <v>588</v>
      </c>
      <c r="N10532" s="20" t="s">
        <v>589</v>
      </c>
      <c r="O10532" s="20" t="s">
        <v>590</v>
      </c>
      <c r="P10532" s="6" t="s">
        <v>23</v>
      </c>
      <c r="R10532" s="20" t="n">
        <v>2023</v>
      </c>
      <c r="S10532" s="20" t="n">
        <v>2024</v>
      </c>
      <c r="T10532" s="20" t="n">
        <v>2025</v>
      </c>
      <c r="U10532" s="20" t="n">
        <v>2026</v>
      </c>
      <c r="V10532" s="20" t="n">
        <v>2027</v>
      </c>
      <c r="W10532" s="20" t="n">
        <v>2028</v>
      </c>
      <c r="X10532" s="20" t="n">
        <v>2029</v>
      </c>
      <c r="Y10532" s="20" t="n">
        <v>2030</v>
      </c>
      <c r="Z10532" s="20" t="n">
        <v>2031</v>
      </c>
      <c r="AA10532" s="20" t="n">
        <v>2032</v>
      </c>
    </row>
    <row r="10533" customFormat="false" ht="17.15" hidden="false" customHeight="false" outlineLevel="0" collapsed="false">
      <c r="A10533" s="1" t="s">
        <v>591</v>
      </c>
    </row>
    <row r="10534" customFormat="false" ht="17.15" hidden="false" customHeight="false" outlineLevel="0" collapsed="false">
      <c r="A10534" s="5" t="s">
        <v>592</v>
      </c>
      <c r="B10534" s="0" t="s">
        <v>144</v>
      </c>
      <c r="H10534" s="32" t="n">
        <f aca="false">pace_A</f>
        <v>3733</v>
      </c>
      <c r="I10534" s="32" t="n">
        <f aca="false">pace_A</f>
        <v>3733</v>
      </c>
      <c r="J10534" s="32" t="n">
        <f aca="false">pace_A</f>
        <v>3733</v>
      </c>
      <c r="K10534" s="32" t="n">
        <f aca="false">pace_A+(Sens!$J$10535*tg-pace_A)*1/3</f>
        <v>2640.12166666667</v>
      </c>
      <c r="L10534" s="32" t="n">
        <f aca="false">pace_A+(Sens!$J$10535*tg-pace_A)*2/3</f>
        <v>1547.24333333333</v>
      </c>
      <c r="M10534" s="32" t="n">
        <f aca="false">pace_A+(Sens!$J$10535*tg-pace_A)*3/3</f>
        <v>454.365</v>
      </c>
      <c r="P10534" s="5" t="s">
        <v>593</v>
      </c>
    </row>
    <row r="10535" customFormat="false" ht="17.15" hidden="false" customHeight="false" outlineLevel="0" collapsed="false">
      <c r="A10535" s="15" t="s">
        <v>594</v>
      </c>
      <c r="B10535" s="14" t="s">
        <v>129</v>
      </c>
      <c r="C10535" s="33" t="n">
        <f aca="false">mw_ye24</f>
        <v>360</v>
      </c>
      <c r="D10535" s="33" t="n">
        <f aca="false">mw_ye25</f>
        <v>1440</v>
      </c>
      <c r="E10535" s="33" t="n">
        <f aca="false">mw_open</f>
        <v>2080</v>
      </c>
      <c r="F10535" s="33" t="n">
        <f aca="false">Sens!$E$10535+pace_A*0.5</f>
        <v>3946.5</v>
      </c>
      <c r="G10535" s="33" t="n">
        <f aca="false">Sens!$F$10535</f>
        <v>3946.5</v>
      </c>
      <c r="H10535" s="33" t="n">
        <f aca="false">Sens!$G$10535+Sens!$H$10534</f>
        <v>7679.5</v>
      </c>
      <c r="I10535" s="33" t="n">
        <f aca="false">Sens!$H$10535+Sens!$I$10534</f>
        <v>11412.5</v>
      </c>
      <c r="J10535" s="33" t="n">
        <f aca="false">Sens!$I$10535+Sens!$J$10534</f>
        <v>15145.5</v>
      </c>
      <c r="K10535" s="33" t="n">
        <f aca="false">Sens!$J$10535+Sens!$K$10534</f>
        <v>17785.6216666667</v>
      </c>
      <c r="L10535" s="33" t="n">
        <f aca="false">Sens!$K$10535+Sens!$L$10534</f>
        <v>19332.865</v>
      </c>
      <c r="M10535" s="33" t="n">
        <f aca="false">Sens!$L$10535+Sens!$M$10534</f>
        <v>19787.23</v>
      </c>
      <c r="N10535" s="33" t="n">
        <f aca="false">(mw_ye24+mw_ye25)/2</f>
        <v>900</v>
      </c>
      <c r="O10535" s="33" t="n">
        <f aca="false">mw_ye25</f>
        <v>1440</v>
      </c>
      <c r="P10535" s="5" t="s">
        <v>595</v>
      </c>
    </row>
    <row r="10536" customFormat="false" ht="17.15" hidden="false" customHeight="false" outlineLevel="0" collapsed="false">
      <c r="A10536" s="5" t="s">
        <v>596</v>
      </c>
      <c r="B10536" s="0" t="s">
        <v>129</v>
      </c>
      <c r="C10536" s="32" t="n">
        <f aca="false">(mw_ye23+mw_ye24)/2</f>
        <v>240</v>
      </c>
      <c r="D10536" s="32" t="n">
        <f aca="false">(Sens!$C$10535+Sens!$D$10535)/2</f>
        <v>900</v>
      </c>
      <c r="E10536" s="32" t="n">
        <f aca="false">(Sens!$D$10535+Sens!$E$10535)/2</f>
        <v>1760</v>
      </c>
      <c r="F10536" s="32" t="n">
        <f aca="false">(Sens!$E$10535+Sens!$F$10535)/2</f>
        <v>3013.25</v>
      </c>
      <c r="G10536" s="32" t="n">
        <f aca="false">(Sens!$E$10536+Sens!$F$10536)/2</f>
        <v>2386.625</v>
      </c>
      <c r="H10536" s="32" t="n">
        <f aca="false">(Sens!$G$10535+Sens!$H$10535)/2</f>
        <v>5813</v>
      </c>
      <c r="I10536" s="32" t="n">
        <f aca="false">(Sens!$H$10535+Sens!$I$10535)/2</f>
        <v>9546</v>
      </c>
      <c r="J10536" s="32" t="n">
        <f aca="false">(Sens!$I$10535+Sens!$J$10535)/2</f>
        <v>13279</v>
      </c>
      <c r="K10536" s="32" t="n">
        <f aca="false">(Sens!$J$10535+Sens!$K$10535)/2</f>
        <v>16465.5608333333</v>
      </c>
      <c r="L10536" s="32" t="n">
        <f aca="false">(Sens!$K$10535+Sens!$L$10535)/2</f>
        <v>18559.2433333333</v>
      </c>
      <c r="M10536" s="32" t="n">
        <f aca="false">(Sens!$L$10535+Sens!$M$10535)/2</f>
        <v>19560.0475</v>
      </c>
      <c r="N10536" s="32" t="n">
        <f aca="false">(Sens!$C$10535+Sens!$N$10535)/2</f>
        <v>630</v>
      </c>
      <c r="O10536" s="32" t="n">
        <f aca="false">(Sens!$N$10535+Sens!$O$10535)/2</f>
        <v>1170</v>
      </c>
    </row>
    <row r="10537" customFormat="false" ht="15" hidden="false" customHeight="false" outlineLevel="0" collapsed="false">
      <c r="A10537" s="5" t="s">
        <v>597</v>
      </c>
      <c r="B10537" s="5" t="s">
        <v>123</v>
      </c>
      <c r="C10537" s="34" t="n">
        <v>1</v>
      </c>
      <c r="D10537" s="34" t="n">
        <v>1</v>
      </c>
      <c r="E10537" s="34" t="n">
        <v>0.5</v>
      </c>
      <c r="F10537" s="34" t="n">
        <v>0.5</v>
      </c>
      <c r="G10537" s="34" t="n">
        <v>1</v>
      </c>
      <c r="H10537" s="34" t="n">
        <v>1</v>
      </c>
      <c r="I10537" s="34" t="n">
        <v>1</v>
      </c>
      <c r="J10537" s="34" t="n">
        <v>1</v>
      </c>
      <c r="K10537" s="34" t="n">
        <v>1</v>
      </c>
      <c r="L10537" s="34" t="n">
        <v>1</v>
      </c>
      <c r="M10537" s="34" t="n">
        <v>1</v>
      </c>
      <c r="N10537" s="34" t="n">
        <v>0.5</v>
      </c>
      <c r="O10537" s="34" t="n">
        <v>0.5</v>
      </c>
    </row>
    <row r="10538" customFormat="false" ht="17.15" hidden="false" customHeight="false" outlineLevel="0" collapsed="false">
      <c r="A10538" s="5" t="s">
        <v>598</v>
      </c>
      <c r="B10538" s="0" t="s">
        <v>129</v>
      </c>
      <c r="C10538" s="32" t="n">
        <f aca="false">Sens!$C$10535-mw_ye23</f>
        <v>240</v>
      </c>
      <c r="D10538" s="32" t="n">
        <f aca="false">Sens!$D$10535-Sens!$C$10535</f>
        <v>1080</v>
      </c>
      <c r="E10538" s="32" t="n">
        <f aca="false">Sens!$E$10535-Sens!$D$10535</f>
        <v>640</v>
      </c>
      <c r="F10538" s="32" t="n">
        <f aca="false">Sens!$F$10535-Sens!$E$10535</f>
        <v>1866.5</v>
      </c>
      <c r="G10538" s="32" t="n">
        <f aca="false">Sens!$E$10538+Sens!$F$10538</f>
        <v>2506.5</v>
      </c>
      <c r="H10538" s="32" t="n">
        <f aca="false">Sens!$H$10535-Sens!$G$10535</f>
        <v>3733</v>
      </c>
      <c r="I10538" s="32" t="n">
        <f aca="false">Sens!$I$10535-Sens!$H$10535</f>
        <v>3733</v>
      </c>
      <c r="J10538" s="32" t="n">
        <f aca="false">Sens!$J$10535-Sens!$I$10535</f>
        <v>3733</v>
      </c>
      <c r="K10538" s="32" t="n">
        <f aca="false">Sens!$K$10535-Sens!$J$10535</f>
        <v>2640.12166666667</v>
      </c>
      <c r="L10538" s="32" t="n">
        <f aca="false">Sens!$L$10535-Sens!$K$10535</f>
        <v>1547.24333333333</v>
      </c>
      <c r="M10538" s="32" t="n">
        <f aca="false">Sens!$M$10535-Sens!$L$10535</f>
        <v>454.364999999998</v>
      </c>
      <c r="N10538" s="32" t="n">
        <f aca="false">Sens!$N$10535-Sens!$C$10535</f>
        <v>540</v>
      </c>
      <c r="O10538" s="32" t="n">
        <f aca="false">Sens!$O$10535-Sens!$N$10535</f>
        <v>540</v>
      </c>
    </row>
    <row r="10539" customFormat="false" ht="17.15" hidden="false" customHeight="false" outlineLevel="0" collapsed="false">
      <c r="A10539" s="5" t="s">
        <v>599</v>
      </c>
      <c r="B10539" s="0" t="s">
        <v>129</v>
      </c>
      <c r="C10539" s="32" t="n">
        <f aca="false">Sens!$C$10538/ext_sh</f>
        <v>300</v>
      </c>
      <c r="D10539" s="32" t="n">
        <f aca="false">Sens!$D$10538/ext_sh</f>
        <v>1350</v>
      </c>
      <c r="E10539" s="32" t="n">
        <f aca="false">Sens!$E$10538/ext_sh</f>
        <v>800</v>
      </c>
      <c r="F10539" s="32" t="n">
        <f aca="false">Sens!$F$10538/ext_sh</f>
        <v>2333.125</v>
      </c>
      <c r="G10539" s="32" t="n">
        <f aca="false">Sens!$G$10538/ext_sh</f>
        <v>3133.125</v>
      </c>
      <c r="H10539" s="32" t="n">
        <f aca="false">Sens!$H$10538/ext_sh</f>
        <v>4666.25</v>
      </c>
      <c r="I10539" s="32" t="n">
        <f aca="false">Sens!$I$10538/ext_sh</f>
        <v>4666.25</v>
      </c>
      <c r="J10539" s="32" t="n">
        <f aca="false">Sens!$J$10538/ext_sh</f>
        <v>4666.25</v>
      </c>
      <c r="K10539" s="32" t="n">
        <f aca="false">Sens!$K$10538/ext_sh</f>
        <v>3300.15208333333</v>
      </c>
      <c r="L10539" s="32" t="n">
        <f aca="false">Sens!$L$10538/ext_sh</f>
        <v>1934.05416666667</v>
      </c>
      <c r="M10539" s="32" t="n">
        <f aca="false">Sens!$M$10538/ext_sh</f>
        <v>567.956249999998</v>
      </c>
      <c r="N10539" s="32" t="n">
        <f aca="false">Sens!$N$10538/ext_sh</f>
        <v>675</v>
      </c>
      <c r="O10539" s="32" t="n">
        <f aca="false">Sens!$O$10538/ext_sh</f>
        <v>675</v>
      </c>
      <c r="P10539" s="8" t="s">
        <v>600</v>
      </c>
      <c r="R10539" s="32" t="n">
        <f aca="false">mw_ye23/ext_sh</f>
        <v>150</v>
      </c>
      <c r="S10539" s="32" t="n">
        <f aca="false">Sens!$C$10539</f>
        <v>300</v>
      </c>
      <c r="T10539" s="32" t="n">
        <f aca="false">Sens!$D$10539</f>
        <v>1350</v>
      </c>
      <c r="U10539" s="32" t="n">
        <f aca="false">Sens!$G$10539</f>
        <v>3133.125</v>
      </c>
      <c r="V10539" s="32" t="n">
        <f aca="false">Sens!$H$10539</f>
        <v>4666.25</v>
      </c>
      <c r="W10539" s="32" t="n">
        <f aca="false">Sens!$I$10539</f>
        <v>4666.25</v>
      </c>
      <c r="X10539" s="32" t="n">
        <f aca="false">Sens!$J$10539</f>
        <v>4666.25</v>
      </c>
      <c r="Y10539" s="32" t="n">
        <f aca="false">Sens!$K$10539</f>
        <v>3300.15208333333</v>
      </c>
      <c r="Z10539" s="32" t="n">
        <f aca="false">Sens!$L$10539</f>
        <v>1934.05416666667</v>
      </c>
      <c r="AA10539" s="32" t="n">
        <f aca="false">Sens!$M$10539</f>
        <v>567.956249999998</v>
      </c>
    </row>
    <row r="10540" customFormat="false" ht="17.15" hidden="false" customHeight="false" outlineLevel="0" collapsed="false">
      <c r="A10540" s="1" t="s">
        <v>601</v>
      </c>
    </row>
    <row r="10541" customFormat="false" ht="17.15" hidden="false" customHeight="false" outlineLevel="0" collapsed="false">
      <c r="A10541" s="0" t="s">
        <v>602</v>
      </c>
      <c r="B10541" s="0" t="s">
        <v>52</v>
      </c>
      <c r="F10541" s="35" t="n">
        <f aca="false">na_vr26</f>
        <v>0</v>
      </c>
      <c r="G10541" s="35" t="n">
        <f aca="false">na_vr26</f>
        <v>0</v>
      </c>
      <c r="H10541" s="35" t="n">
        <f aca="false">na_vr27</f>
        <v>0.5</v>
      </c>
      <c r="I10541" s="35" t="n">
        <f aca="false">na_vr28</f>
        <v>1</v>
      </c>
      <c r="J10541" s="35" t="n">
        <f aca="false">na_vr28</f>
        <v>1</v>
      </c>
      <c r="K10541" s="35" t="n">
        <f aca="false">na_vr28</f>
        <v>1</v>
      </c>
      <c r="L10541" s="35" t="n">
        <f aca="false">na_vr28</f>
        <v>1</v>
      </c>
      <c r="M10541" s="35" t="n">
        <f aca="false">na_vr28</f>
        <v>1</v>
      </c>
    </row>
    <row r="10542" customFormat="false" ht="17.15" hidden="false" customHeight="false" outlineLevel="0" collapsed="false">
      <c r="A10542" s="5" t="s">
        <v>603</v>
      </c>
      <c r="B10542" s="0" t="s">
        <v>173</v>
      </c>
      <c r="F10542" s="36" t="n">
        <f aca="false">cust_sh*tk_he_gb300*cf_chip+(1-cust_sh)*((1-Sens!$F$10541)*tk_he_gb300+Sens!$F$10541*tk_he_vr200)</f>
        <v>10.8864110021101</v>
      </c>
      <c r="G10542" s="36" t="n">
        <f aca="false">cust_sh*tk_he_gb300*cf_chip+(1-cust_sh)*((1-Sens!$G$10541)*tk_he_gb300+Sens!$G$10541*tk_he_vr200)</f>
        <v>10.8864110021101</v>
      </c>
      <c r="H10542" s="36" t="n">
        <f aca="false">cust_sh*tk_he_gb300*cf_chip+(1-cust_sh)*((1-Sens!$H$10541)*tk_he_gb300+Sens!$H$10541*tk_he_vr200)</f>
        <v>11.2211760027286</v>
      </c>
      <c r="I10542" s="36" t="n">
        <f aca="false">cust_sh*tk_he_gb300*cf_chip+(1-cust_sh)*((1-Sens!$I$10541)*tk_he_gb300+Sens!$I$10541*tk_he_vr200)</f>
        <v>11.5559410033471</v>
      </c>
      <c r="J10542" s="36" t="n">
        <f aca="false">cust_sh*tk_he_gb300*cf_chip+(1-cust_sh)*((1-Sens!$J$10541)*tk_he_gb300+Sens!$J$10541*tk_he_vr200)</f>
        <v>11.5559410033471</v>
      </c>
      <c r="K10542" s="36" t="n">
        <f aca="false">cust_sh*tk_he_gb300*cf_chip+(1-cust_sh)*((1-Sens!$K$10541)*tk_he_gb300+Sens!$K$10541*tk_he_vr200)</f>
        <v>11.5559410033471</v>
      </c>
      <c r="L10542" s="36" t="n">
        <f aca="false">cust_sh*tk_he_gb300*cf_chip+(1-cust_sh)*((1-Sens!$L$10541)*tk_he_gb300+Sens!$L$10541*tk_he_vr200)</f>
        <v>11.5559410033471</v>
      </c>
      <c r="M10542" s="36" t="n">
        <f aca="false">cust_sh*tk_he_gb300*cf_chip+(1-cust_sh)*((1-Sens!$M$10541)*tk_he_gb300+Sens!$M$10541*tk_he_vr200)</f>
        <v>11.5559410033471</v>
      </c>
    </row>
    <row r="10543" customFormat="false" ht="17.15" hidden="false" customHeight="false" outlineLevel="0" collapsed="false">
      <c r="A10543" s="5" t="s">
        <v>604</v>
      </c>
      <c r="B10543" s="0" t="s">
        <v>173</v>
      </c>
      <c r="F10543" s="36" t="n">
        <f aca="false">cust_sh*tk_ox_gb300+(1-cust_sh)*((1-Sens!$F$10541)*tk_ox_gb300+Sens!$F$10541*tk_ox_vr200)</f>
        <v>1.98263481314457</v>
      </c>
      <c r="G10543" s="36" t="n">
        <f aca="false">cust_sh*tk_ox_gb300+(1-cust_sh)*((1-Sens!$G$10541)*tk_ox_gb300+Sens!$G$10541*tk_ox_vr200)</f>
        <v>1.98263481314457</v>
      </c>
      <c r="H10543" s="36" t="n">
        <f aca="false">cust_sh*tk_ox_gb300+(1-cust_sh)*((1-Sens!$H$10541)*tk_ox_gb300+Sens!$H$10541*tk_ox_vr200)</f>
        <v>2.01034999693694</v>
      </c>
      <c r="I10543" s="36" t="n">
        <f aca="false">cust_sh*tk_ox_gb300+(1-cust_sh)*((1-Sens!$I$10541)*tk_ox_gb300+Sens!$I$10541*tk_ox_vr200)</f>
        <v>2.0380651807293</v>
      </c>
      <c r="J10543" s="36" t="n">
        <f aca="false">cust_sh*tk_ox_gb300+(1-cust_sh)*((1-Sens!$J$10541)*tk_ox_gb300+Sens!$J$10541*tk_ox_vr200)</f>
        <v>2.0380651807293</v>
      </c>
      <c r="K10543" s="36" t="n">
        <f aca="false">cust_sh*tk_ox_gb300+(1-cust_sh)*((1-Sens!$K$10541)*tk_ox_gb300+Sens!$K$10541*tk_ox_vr200)</f>
        <v>2.0380651807293</v>
      </c>
      <c r="L10543" s="36" t="n">
        <f aca="false">cust_sh*tk_ox_gb300+(1-cust_sh)*((1-Sens!$L$10541)*tk_ox_gb300+Sens!$L$10541*tk_ox_vr200)</f>
        <v>2.0380651807293</v>
      </c>
      <c r="M10543" s="36" t="n">
        <f aca="false">cust_sh*tk_ox_gb300+(1-cust_sh)*((1-Sens!$M$10541)*tk_ox_gb300+Sens!$M$10541*tk_ox_vr200)</f>
        <v>2.0380651807293</v>
      </c>
    </row>
    <row r="10544" customFormat="false" ht="17.15" hidden="false" customHeight="false" outlineLevel="0" collapsed="false">
      <c r="A10544" s="5" t="s">
        <v>605</v>
      </c>
      <c r="B10544" s="0" t="s">
        <v>192</v>
      </c>
      <c r="F10544" s="36" t="n">
        <f aca="false">cust_sh*tk_cx_gb300*cf_cx+(1-cust_sh)*((1-Sens!$F$10541)*tk_cx_gb300+Sens!$F$10541*tk_cx_vr200)</f>
        <v>32.237224</v>
      </c>
      <c r="G10544" s="36" t="n">
        <f aca="false">cust_sh*tk_cx_gb300*cf_cx+(1-cust_sh)*((1-Sens!$G$10541)*tk_cx_gb300+Sens!$G$10541*tk_cx_vr200)</f>
        <v>32.237224</v>
      </c>
      <c r="H10544" s="36" t="n">
        <f aca="false">cust_sh*tk_cx_gb300*cf_cx+(1-cust_sh)*((1-Sens!$H$10541)*tk_cx_gb300+Sens!$H$10541*tk_cx_vr200)</f>
        <v>33.574506</v>
      </c>
      <c r="I10544" s="36" t="n">
        <f aca="false">cust_sh*tk_cx_gb300*cf_cx+(1-cust_sh)*((1-Sens!$I$10541)*tk_cx_gb300+Sens!$I$10541*tk_cx_vr200)</f>
        <v>34.911788</v>
      </c>
      <c r="J10544" s="36" t="n">
        <f aca="false">cust_sh*tk_cx_gb300*cf_cx+(1-cust_sh)*((1-Sens!$J$10541)*tk_cx_gb300+Sens!$J$10541*tk_cx_vr200)</f>
        <v>34.911788</v>
      </c>
      <c r="K10544" s="36" t="n">
        <f aca="false">cust_sh*tk_cx_gb300*cf_cx+(1-cust_sh)*((1-Sens!$K$10541)*tk_cx_gb300+Sens!$K$10541*tk_cx_vr200)</f>
        <v>34.911788</v>
      </c>
      <c r="L10544" s="36" t="n">
        <f aca="false">cust_sh*tk_cx_gb300*cf_cx+(1-cust_sh)*((1-Sens!$L$10541)*tk_cx_gb300+Sens!$L$10541*tk_cx_vr200)</f>
        <v>34.911788</v>
      </c>
      <c r="M10544" s="36" t="n">
        <f aca="false">cust_sh*tk_cx_gb300*cf_cx+(1-cust_sh)*((1-Sens!$M$10541)*tk_cx_gb300+Sens!$M$10541*tk_cx_vr200)</f>
        <v>34.911788</v>
      </c>
    </row>
    <row r="10545" customFormat="false" ht="17.15" hidden="false" customHeight="false" outlineLevel="0" collapsed="false">
      <c r="A10545" s="5" t="s">
        <v>606</v>
      </c>
      <c r="B10545" s="0" t="s">
        <v>129</v>
      </c>
      <c r="F10545" s="32" t="n">
        <f aca="false">Sens!$F$10535-mw_open</f>
        <v>1866.5</v>
      </c>
      <c r="G10545" s="32" t="n">
        <f aca="false">Sens!$F$10545</f>
        <v>1866.5</v>
      </c>
      <c r="H10545" s="32" t="n">
        <f aca="false">Sens!$H$10535-mw_open</f>
        <v>5599.5</v>
      </c>
      <c r="I10545" s="32" t="n">
        <f aca="false">Sens!$I$10535-mw_open</f>
        <v>9332.5</v>
      </c>
      <c r="J10545" s="32" t="n">
        <f aca="false">Sens!$J$10535-mw_open</f>
        <v>13065.5</v>
      </c>
      <c r="K10545" s="32" t="n">
        <f aca="false">Sens!$K$10535-mw_open</f>
        <v>15705.6216666667</v>
      </c>
      <c r="L10545" s="32" t="n">
        <f aca="false">Sens!$L$10535-mw_open</f>
        <v>17252.865</v>
      </c>
      <c r="M10545" s="32" t="n">
        <f aca="false">Sens!$M$10535-mw_open</f>
        <v>17707.23</v>
      </c>
    </row>
    <row r="10546" customFormat="false" ht="17.15" hidden="false" customHeight="false" outlineLevel="0" collapsed="false">
      <c r="A10546" s="0" t="s">
        <v>607</v>
      </c>
      <c r="B10546" s="0" t="s">
        <v>608</v>
      </c>
      <c r="F10546" s="32" t="n">
        <f aca="false">Sens!$F$10538*Sens!$F$10542</f>
        <v>20319.4861354385</v>
      </c>
      <c r="G10546" s="32" t="n">
        <f aca="false">Sens!$F$10546</f>
        <v>20319.4861354385</v>
      </c>
      <c r="H10546" s="32" t="n">
        <f aca="false">Sens!$G$10546+Sens!$H$10538*Sens!$H$10542</f>
        <v>62208.1361536244</v>
      </c>
      <c r="I10546" s="32" t="n">
        <f aca="false">Sens!$H$10546+Sens!$I$10538*Sens!$I$10542</f>
        <v>105346.463919119</v>
      </c>
      <c r="J10546" s="32" t="n">
        <f aca="false">Sens!$I$10546+Sens!$J$10538*Sens!$J$10542</f>
        <v>148484.791684614</v>
      </c>
      <c r="K10546" s="32" t="n">
        <f aca="false">Sens!$J$10546+Sens!$K$10538*Sens!$K$10542</f>
        <v>178993.881906272</v>
      </c>
      <c r="L10546" s="32" t="n">
        <f aca="false">Sens!$K$10546+Sens!$L$10538*Sens!$L$10542</f>
        <v>196873.734584094</v>
      </c>
      <c r="M10546" s="32" t="n">
        <f aca="false">Sens!$L$10546+Sens!$M$10538*Sens!$M$10542</f>
        <v>202124.34971808</v>
      </c>
    </row>
    <row r="10547" customFormat="false" ht="17.15" hidden="false" customHeight="false" outlineLevel="0" collapsed="false">
      <c r="A10547" s="0" t="s">
        <v>609</v>
      </c>
      <c r="B10547" s="0" t="s">
        <v>608</v>
      </c>
      <c r="F10547" s="32" t="n">
        <f aca="false">Sens!$F$10538*Sens!$F$10543</f>
        <v>3700.58787873434</v>
      </c>
      <c r="G10547" s="32" t="n">
        <f aca="false">Sens!$F$10547</f>
        <v>3700.58787873434</v>
      </c>
      <c r="H10547" s="32" t="n">
        <f aca="false">Sens!$G$10547+Sens!$H$10538*Sens!$H$10543</f>
        <v>11205.2244172999</v>
      </c>
      <c r="I10547" s="32" t="n">
        <f aca="false">Sens!$H$10547+Sens!$I$10538*Sens!$I$10543</f>
        <v>18813.3217369624</v>
      </c>
      <c r="J10547" s="32" t="n">
        <f aca="false">Sens!$I$10547+Sens!$J$10538*Sens!$J$10543</f>
        <v>26421.4190566249</v>
      </c>
      <c r="K10547" s="32" t="n">
        <f aca="false">Sens!$J$10547+Sens!$K$10538*Sens!$K$10543</f>
        <v>31802.1590983472</v>
      </c>
      <c r="L10547" s="32" t="n">
        <f aca="false">Sens!$K$10547+Sens!$L$10538*Sens!$L$10543</f>
        <v>34955.5418621294</v>
      </c>
      <c r="M10547" s="32" t="n">
        <f aca="false">Sens!$L$10547+Sens!$M$10538*Sens!$M$10543</f>
        <v>35881.5673479715</v>
      </c>
    </row>
    <row r="10548" customFormat="false" ht="17.15" hidden="false" customHeight="false" outlineLevel="0" collapsed="false">
      <c r="A10548" s="5" t="s">
        <v>610</v>
      </c>
      <c r="B10548" s="0" t="s">
        <v>173</v>
      </c>
      <c r="F10548" s="36" t="n">
        <f aca="false">IF(Sens!$F$10545&gt;0,Sens!$F$10546/Sens!$F$10545,Sens!$F$10542)</f>
        <v>10.8864110021101</v>
      </c>
      <c r="G10548" s="36" t="n">
        <f aca="false">IF(Sens!$G$10545&gt;0,Sens!$G$10546/Sens!$G$10545,Sens!$G$10542)</f>
        <v>10.8864110021101</v>
      </c>
      <c r="H10548" s="36" t="n">
        <f aca="false">IF(Sens!$H$10545&gt;0,Sens!$H$10546/Sens!$H$10545,Sens!$H$10542)</f>
        <v>11.1095876691891</v>
      </c>
      <c r="I10548" s="36" t="n">
        <f aca="false">IF(Sens!$I$10545&gt;0,Sens!$I$10546/Sens!$I$10545,Sens!$I$10542)</f>
        <v>11.2881290028523</v>
      </c>
      <c r="J10548" s="36" t="n">
        <f aca="false">IF(Sens!$J$10545&gt;0,Sens!$J$10546/Sens!$J$10545,Sens!$J$10542)</f>
        <v>11.3646467172794</v>
      </c>
      <c r="K10548" s="36" t="n">
        <f aca="false">IF(Sens!$K$10545&gt;0,Sens!$K$10546/Sens!$K$10545,Sens!$K$10542)</f>
        <v>11.3968033679409</v>
      </c>
      <c r="L10548" s="36" t="n">
        <f aca="false">IF(Sens!$L$10545&gt;0,Sens!$L$10546/Sens!$L$10545,Sens!$L$10542)</f>
        <v>11.4110748901179</v>
      </c>
      <c r="M10548" s="36" t="n">
        <f aca="false">IF(Sens!$M$10545&gt;0,Sens!$M$10546/Sens!$M$10545,Sens!$M$10542)</f>
        <v>11.4147921339521</v>
      </c>
    </row>
    <row r="10549" customFormat="false" ht="17.15" hidden="false" customHeight="false" outlineLevel="0" collapsed="false">
      <c r="A10549" s="5" t="s">
        <v>611</v>
      </c>
      <c r="B10549" s="0" t="s">
        <v>173</v>
      </c>
      <c r="F10549" s="36" t="n">
        <f aca="false">IF(Sens!$F$10545&gt;0,Sens!$F$10547/Sens!$F$10545,Sens!$F$10543)</f>
        <v>1.98263481314457</v>
      </c>
      <c r="G10549" s="36" t="n">
        <f aca="false">IF(Sens!$G$10545&gt;0,Sens!$G$10547/Sens!$G$10545,Sens!$G$10543)</f>
        <v>1.98263481314457</v>
      </c>
      <c r="H10549" s="36" t="n">
        <f aca="false">IF(Sens!$H$10545&gt;0,Sens!$H$10547/Sens!$H$10545,Sens!$H$10543)</f>
        <v>2.00111160233948</v>
      </c>
      <c r="I10549" s="36" t="n">
        <f aca="false">IF(Sens!$I$10545&gt;0,Sens!$I$10547/Sens!$I$10545,Sens!$I$10543)</f>
        <v>2.01589303369541</v>
      </c>
      <c r="J10549" s="36" t="n">
        <f aca="false">IF(Sens!$J$10545&gt;0,Sens!$J$10547/Sens!$J$10545,Sens!$J$10543)</f>
        <v>2.02222793284795</v>
      </c>
      <c r="K10549" s="36" t="n">
        <f aca="false">IF(Sens!$K$10545&gt;0,Sens!$K$10547/Sens!$K$10545,Sens!$K$10543)</f>
        <v>2.02489018093716</v>
      </c>
      <c r="L10549" s="36" t="n">
        <f aca="false">IF(Sens!$L$10545&gt;0,Sens!$L$10547/Sens!$L$10545,Sens!$L$10543)</f>
        <v>2.02607171980592</v>
      </c>
      <c r="M10549" s="36" t="n">
        <f aca="false">IF(Sens!$M$10545&gt;0,Sens!$M$10547/Sens!$M$10545,Sens!$M$10543)</f>
        <v>2.02637947030515</v>
      </c>
    </row>
    <row r="10550" customFormat="false" ht="17.15" hidden="false" customHeight="false" outlineLevel="0" collapsed="false">
      <c r="A10550" s="15" t="s">
        <v>612</v>
      </c>
      <c r="B10550" s="14" t="s">
        <v>173</v>
      </c>
      <c r="C10550" s="14"/>
      <c r="D10550" s="14"/>
      <c r="E10550" s="14"/>
      <c r="F10550" s="37" t="n">
        <f aca="false">Sens!$F$10548*k_A</f>
        <v>16.5292102673303</v>
      </c>
      <c r="G10550" s="37" t="n">
        <f aca="false">Sens!$G$10548*k_A</f>
        <v>16.5292102673303</v>
      </c>
      <c r="H10550" s="37" t="n">
        <f aca="false">Sens!$H$10548*k_A</f>
        <v>16.8680670362136</v>
      </c>
      <c r="I10550" s="37" t="n">
        <f aca="false">Sens!$I$10548*k_A</f>
        <v>17.1391524513203</v>
      </c>
      <c r="J10550" s="37" t="n">
        <f aca="false">Sens!$J$10548*k_A</f>
        <v>17.2553319149374</v>
      </c>
      <c r="K10550" s="37" t="n">
        <f aca="false">Sens!$K$10548*k_A</f>
        <v>17.304156457771</v>
      </c>
      <c r="L10550" s="37" t="n">
        <f aca="false">Sens!$L$10548*k_A</f>
        <v>17.3258253981457</v>
      </c>
      <c r="M10550" s="37" t="n">
        <f aca="false">Sens!$M$10548*k_A</f>
        <v>17.3314694166324</v>
      </c>
      <c r="N10550" s="14"/>
      <c r="O10550" s="14"/>
      <c r="P10550" s="5" t="s">
        <v>613</v>
      </c>
    </row>
    <row r="10551" customFormat="false" ht="17.15" hidden="false" customHeight="false" outlineLevel="0" collapsed="false">
      <c r="A10551" s="5" t="s">
        <v>614</v>
      </c>
      <c r="B10551" s="0" t="s">
        <v>129</v>
      </c>
      <c r="F10551" s="32" t="n">
        <f aca="false">Sens!$F$10545/2</f>
        <v>933.25</v>
      </c>
      <c r="H10551" s="32" t="n">
        <f aca="false">(Sens!$G$10545+Sens!$H$10545)/2</f>
        <v>3733</v>
      </c>
      <c r="I10551" s="32" t="n">
        <f aca="false">(Sens!$H$10545+Sens!$I$10545)/2</f>
        <v>7466</v>
      </c>
      <c r="J10551" s="32" t="n">
        <f aca="false">(Sens!$I$10545+Sens!$J$10545)/2</f>
        <v>11199</v>
      </c>
      <c r="K10551" s="32" t="n">
        <f aca="false">(Sens!$J$10545+Sens!$K$10545)/2</f>
        <v>14385.5608333333</v>
      </c>
      <c r="L10551" s="32" t="n">
        <f aca="false">(Sens!$K$10545+Sens!$L$10545)/2</f>
        <v>16479.2433333333</v>
      </c>
      <c r="M10551" s="32" t="n">
        <f aca="false">(Sens!$L$10545+Sens!$M$10545)/2</f>
        <v>17480.0475</v>
      </c>
    </row>
    <row r="10552" customFormat="false" ht="17.15" hidden="false" customHeight="false" outlineLevel="0" collapsed="false">
      <c r="A10552" s="1" t="s">
        <v>615</v>
      </c>
    </row>
    <row r="10553" customFormat="false" ht="17.15" hidden="false" customHeight="false" outlineLevel="0" collapsed="false">
      <c r="A10553" s="1" t="s">
        <v>616</v>
      </c>
      <c r="B10553" s="8" t="s">
        <v>86</v>
      </c>
      <c r="C10553" s="38" t="n">
        <f aca="false">Sens!$C$10536*rpm_open*Sens!$C$10537/1000</f>
        <v>2.32100535697364</v>
      </c>
      <c r="D10553" s="38" t="n">
        <f aca="false">Sens!$D$10536*rpm_open*Sens!$D$10537/1000</f>
        <v>8.70377008865116</v>
      </c>
      <c r="E10553" s="38" t="n">
        <f aca="false">Sens!$E$10536*rpm_open*Sens!$E$10537/1000</f>
        <v>8.51035297557002</v>
      </c>
      <c r="F10553" s="38" t="n">
        <f aca="false">(mw_open*rpm_open+Sens!$F$10551*Sens!$F$10550)*Sens!$F$10537/1000</f>
        <v>17.7706326212121</v>
      </c>
      <c r="G10553" s="38" t="n">
        <f aca="false">Sens!$E$10553+Sens!$F$10553</f>
        <v>26.2809855967821</v>
      </c>
      <c r="H10553" s="38" t="n">
        <f aca="false">(mw_open*rpm_open+Sens!$H$10551*Sens!$H$10550)/1000</f>
        <v>83.0838740066237</v>
      </c>
      <c r="I10553" s="38" t="n">
        <f aca="false">(mw_open*rpm_open+Sens!$I$10551*Sens!$I$10550)/1000</f>
        <v>148.076291961995</v>
      </c>
      <c r="J10553" s="38" t="n">
        <f aca="false">(mw_open*rpm_open+Sens!$J$10551*Sens!$J$10550)/1000</f>
        <v>213.357841875822</v>
      </c>
      <c r="K10553" s="38" t="n">
        <f aca="false">(mw_open*rpm_open+Sens!$K$10551*Sens!$K$10550)/1000</f>
        <v>269.045375153221</v>
      </c>
      <c r="L10553" s="38" t="n">
        <f aca="false">(mw_open*rpm_open+Sens!$L$10551*Sens!$L$10550)/1000</f>
        <v>305.631872447328</v>
      </c>
      <c r="M10553" s="38" t="n">
        <f aca="false">(mw_open*rpm_open+Sens!$M$10551*Sens!$M$10550)/1000</f>
        <v>323.07028840797</v>
      </c>
      <c r="N10553" s="38" t="n">
        <f aca="false">Sens!$N$10536*rpm_open*Sens!$N$10537/1000</f>
        <v>3.04631953102791</v>
      </c>
      <c r="O10553" s="38" t="n">
        <f aca="false">Sens!$O$10536*rpm_open*Sens!$O$10537/1000</f>
        <v>5.65745055762326</v>
      </c>
      <c r="P10553" s="5" t="s">
        <v>617</v>
      </c>
    </row>
    <row r="10554" customFormat="false" ht="17.15" hidden="false" customHeight="false" outlineLevel="0" collapsed="false">
      <c r="A10554" s="5" t="s">
        <v>618</v>
      </c>
      <c r="B10554" s="0" t="s">
        <v>173</v>
      </c>
      <c r="C10554" s="36" t="n">
        <f aca="false">Sens!$C$10553*1000/(Sens!$C$10536*Sens!$C$10537)</f>
        <v>9.67085565405685</v>
      </c>
      <c r="D10554" s="36" t="n">
        <f aca="false">Sens!$D$10553*1000/(Sens!$D$10536*Sens!$D$10537)</f>
        <v>9.67085565405685</v>
      </c>
      <c r="E10554" s="36" t="n">
        <f aca="false">Sens!$E$10553*1000/(Sens!$E$10536*Sens!$E$10537)</f>
        <v>9.67085565405685</v>
      </c>
      <c r="F10554" s="36" t="n">
        <f aca="false">Sens!$F$10553*1000/(Sens!$F$10536*Sens!$F$10537)</f>
        <v>11.7949938579355</v>
      </c>
      <c r="G10554" s="36" t="n">
        <f aca="false">Sens!$G$10553*1000/(Sens!$G$10536*Sens!$G$10537)</f>
        <v>11.0117783886376</v>
      </c>
      <c r="H10554" s="36" t="n">
        <f aca="false">Sens!$H$10553*1000/(Sens!$H$10536*Sens!$H$10537)</f>
        <v>14.2927703434756</v>
      </c>
      <c r="I10554" s="36" t="n">
        <f aca="false">Sens!$I$10553*1000/(Sens!$I$10536*Sens!$I$10537)</f>
        <v>15.5118680035612</v>
      </c>
      <c r="J10554" s="36" t="n">
        <f aca="false">Sens!$J$10553*1000/(Sens!$J$10536*Sens!$J$10537)</f>
        <v>16.0673124388751</v>
      </c>
      <c r="K10554" s="36" t="n">
        <f aca="false">Sens!$K$10553*1000/(Sens!$K$10536*Sens!$K$10537)</f>
        <v>16.3398852839898</v>
      </c>
      <c r="L10554" s="36" t="n">
        <f aca="false">Sens!$L$10553*1000/(Sens!$L$10536*Sens!$L$10537)</f>
        <v>16.4679058816152</v>
      </c>
      <c r="M10554" s="36" t="n">
        <f aca="false">Sens!$M$10553*1000/(Sens!$M$10536*Sens!$M$10537)</f>
        <v>16.5168458005007</v>
      </c>
      <c r="N10554" s="36" t="n">
        <f aca="false">Sens!$N$10553*1000/(Sens!$N$10536*Sens!$N$10537)</f>
        <v>9.67085565405685</v>
      </c>
      <c r="O10554" s="36" t="n">
        <f aca="false">Sens!$O$10553*1000/(Sens!$O$10536*Sens!$O$10537)</f>
        <v>9.67085565405685</v>
      </c>
    </row>
    <row r="10555" customFormat="false" ht="17.15" hidden="false" customHeight="false" outlineLevel="0" collapsed="false">
      <c r="A10555" s="0" t="s">
        <v>619</v>
      </c>
      <c r="B10555" s="0" t="s">
        <v>86</v>
      </c>
      <c r="C10555" s="38" t="n">
        <f aca="false">Sens!$C$10536/ext_sh*(ox_open+rent_mw)*Sens!$C$10537/1000</f>
        <v>0.642569210675032</v>
      </c>
      <c r="D10555" s="38" t="n">
        <f aca="false">Sens!$D$10536/ext_sh*(ox_open+rent_mw)*Sens!$D$10537/1000</f>
        <v>2.40963454003137</v>
      </c>
      <c r="E10555" s="38" t="n">
        <f aca="false">Sens!$E$10536/ext_sh*(ox_open+rent_mw)*Sens!$E$10537/1000</f>
        <v>2.35608710580845</v>
      </c>
      <c r="F10555" s="38" t="n">
        <f aca="false">((mw_open*ox_open+Sens!$F$10551*Sens!$F$10549)/ext_sh+Sens!$F$10536/ext_sh*rent_mw)*Sens!$F$10537/1000</f>
        <v>4.08870376044629</v>
      </c>
      <c r="G10555" s="38" t="n">
        <f aca="false">Sens!$E$10555+Sens!$F$10555</f>
        <v>6.44479086625474</v>
      </c>
      <c r="H10555" s="38" t="n">
        <f aca="false">((mw_open*ox_open+Sens!$H$10551*Sens!$H$10549)/ext_sh+Sens!$H$10536/ext_sh*rent_mw)*Sens!$H$10537/1000</f>
        <v>16.0890479236002</v>
      </c>
      <c r="I10555" s="38" t="n">
        <f aca="false">((mw_open*ox_open+Sens!$I$10551*Sens!$I$10549)/ext_sh+Sens!$I$10536/ext_sh*rent_mw)*Sens!$I$10537/1000</f>
        <v>26.747110396146</v>
      </c>
      <c r="J10555" s="38" t="n">
        <f aca="false">((mw_open*ox_open+Sens!$J$10551*Sens!$J$10549)/ext_sh+Sens!$J$10536/ext_sh*rent_mw)*Sens!$J$10537/1000</f>
        <v>37.4248796841388</v>
      </c>
      <c r="K10555" s="38" t="n">
        <f aca="false">((mw_open*ox_open+Sens!$K$10551*Sens!$K$10549)/ext_sh+Sens!$K$10536/ext_sh*rent_mw)*Sens!$K$10537/1000</f>
        <v>46.5370356515055</v>
      </c>
      <c r="L10555" s="38" t="n">
        <f aca="false">((mw_open*ox_open+Sens!$L$10551*Sens!$L$10549)/ext_sh+Sens!$L$10536/ext_sh*rent_mw)*Sens!$L$10537/1000</f>
        <v>52.5238945868506</v>
      </c>
      <c r="M10555" s="38" t="n">
        <f aca="false">((mw_open*ox_open+Sens!$M$10551*Sens!$M$10549)/ext_sh+Sens!$M$10536/ext_sh*rent_mw)*Sens!$M$10537/1000</f>
        <v>55.3822499472572</v>
      </c>
      <c r="N10555" s="38" t="n">
        <f aca="false">Sens!$N$10536/ext_sh*(ox_open+rent_mw)*Sens!$N$10537/1000</f>
        <v>0.84337208901098</v>
      </c>
      <c r="O10555" s="38" t="n">
        <f aca="false">Sens!$O$10536/ext_sh*(ox_open+rent_mw)*Sens!$O$10537/1000</f>
        <v>1.56626245102039</v>
      </c>
    </row>
    <row r="10556" customFormat="false" ht="17.15" hidden="false" customHeight="false" outlineLevel="0" collapsed="false">
      <c r="A10556" s="0" t="s">
        <v>620</v>
      </c>
      <c r="B10556" s="0" t="s">
        <v>86</v>
      </c>
      <c r="C10556" s="38" t="n">
        <f aca="false">Q!$D$7</f>
        <v>107.556</v>
      </c>
      <c r="D10556" s="38" t="n">
        <f aca="false">Q!$E$7</f>
        <v>128.725</v>
      </c>
      <c r="E10556" s="38" t="n">
        <f aca="false">Q!$P$7</f>
        <v>79.819</v>
      </c>
      <c r="N10556" s="38" t="n">
        <f aca="false">Q!$N$7</f>
        <v>60.14</v>
      </c>
      <c r="O10556" s="38" t="n">
        <f aca="false">Q!$O$7</f>
        <v>68.585</v>
      </c>
    </row>
    <row r="10557" customFormat="false" ht="17.15" hidden="false" customHeight="false" outlineLevel="0" collapsed="false">
      <c r="A10557" s="1" t="s">
        <v>621</v>
      </c>
      <c r="B10557" s="8" t="s">
        <v>86</v>
      </c>
      <c r="C10557" s="38" t="n">
        <f aca="false">Sens!$C$10556-Sens!$C$10553</f>
        <v>105.234994643026</v>
      </c>
      <c r="D10557" s="38" t="n">
        <f aca="false">Sens!$D$10556-Sens!$D$10553</f>
        <v>120.021229911349</v>
      </c>
      <c r="E10557" s="38" t="n">
        <f aca="false">Sens!$E$10556-Sens!$E$10553</f>
        <v>71.30864702443</v>
      </c>
      <c r="F10557" s="38" t="n">
        <f aca="false">Sens!$O$10557*(1+Sens!$F$10558)</f>
        <v>71.7692997942464</v>
      </c>
      <c r="G10557" s="38" t="n">
        <f aca="false">Sens!$E$10557+Sens!$F$10557</f>
        <v>143.077946818676</v>
      </c>
      <c r="H10557" s="38" t="n">
        <f aca="false">Sens!$G$10557*(1+Sens!$H$10558)</f>
        <v>161.017077079203</v>
      </c>
      <c r="I10557" s="38" t="n">
        <f aca="false">Sens!$H$10557*(1+Sens!$I$10558)</f>
        <v>178.769759521457</v>
      </c>
      <c r="J10557" s="38" t="n">
        <f aca="false">Sens!$I$10557*(1+Sens!$J$10558)</f>
        <v>195.775538045907</v>
      </c>
      <c r="K10557" s="38" t="n">
        <f aca="false">Sens!$J$10557*(1+Sens!$K$10558)</f>
        <v>211.43758108958</v>
      </c>
      <c r="L10557" s="38" t="n">
        <f aca="false">Sens!$K$10557*(1+Sens!$L$10558)</f>
        <v>228.352587576746</v>
      </c>
      <c r="M10557" s="38" t="n">
        <f aca="false">Sens!$L$10557*(1+Sens!$M$10558)</f>
        <v>246.620794582886</v>
      </c>
      <c r="N10557" s="38" t="n">
        <f aca="false">Sens!$N$10556-Sens!$N$10553</f>
        <v>57.0936804689721</v>
      </c>
      <c r="O10557" s="38" t="n">
        <f aca="false">Sens!$O$10556-Sens!$O$10553</f>
        <v>62.9275494423768</v>
      </c>
      <c r="P10557" s="5" t="s">
        <v>622</v>
      </c>
    </row>
    <row r="10558" customFormat="false" ht="17.15" hidden="false" customHeight="false" outlineLevel="0" collapsed="false">
      <c r="A10558" s="0" t="s">
        <v>623</v>
      </c>
      <c r="B10558" s="0" t="s">
        <v>52</v>
      </c>
      <c r="D10558" s="13" t="n">
        <f aca="false">Sens!$D$10557/Sens!$C$10557-1</f>
        <v>0.140506827776062</v>
      </c>
      <c r="E10558" s="13" t="n">
        <f aca="false">Sens!$E$10557/Sens!$N$10557-1</f>
        <v>0.248976181579029</v>
      </c>
      <c r="F10558" s="13" t="n">
        <f aca="false">Sens!$D$10558</f>
        <v>0.140506827776062</v>
      </c>
      <c r="G10558" s="13" t="n">
        <f aca="false">Sens!$G$10557/Sens!$D$10557-1</f>
        <v>0.19210532106993</v>
      </c>
      <c r="H10558" s="13" t="n">
        <f aca="false">Sens!$F$10558+(g_awso_lt-Sens!$F$10558)*1/4</f>
        <v>0.125380120832046</v>
      </c>
      <c r="I10558" s="13" t="n">
        <f aca="false">Sens!$F$10558+(g_awso_lt-Sens!$F$10558)*2/4</f>
        <v>0.110253413888031</v>
      </c>
      <c r="J10558" s="13" t="n">
        <f aca="false">Sens!$F$10558+(g_awso_lt-Sens!$F$10558)*3/4</f>
        <v>0.0951267069440154</v>
      </c>
      <c r="K10558" s="13" t="n">
        <f aca="false">Sens!$F$10558+(g_awso_lt-Sens!$F$10558)*4/4</f>
        <v>0.08</v>
      </c>
      <c r="L10558" s="13" t="n">
        <f aca="false">g_awso_lt</f>
        <v>0.08</v>
      </c>
      <c r="M10558" s="13" t="n">
        <f aca="false">g_awso_lt</f>
        <v>0.08</v>
      </c>
      <c r="P10558" s="5" t="s">
        <v>624</v>
      </c>
    </row>
    <row r="10559" customFormat="false" ht="17.15" hidden="false" customHeight="false" outlineLevel="0" collapsed="false">
      <c r="A10559" s="1" t="s">
        <v>625</v>
      </c>
    </row>
    <row r="10560" customFormat="false" ht="17.15" hidden="false" customHeight="false" outlineLevel="0" collapsed="false">
      <c r="A10560" s="0" t="s">
        <v>626</v>
      </c>
      <c r="B10560" s="0" t="s">
        <v>86</v>
      </c>
      <c r="F10560" s="38" t="n">
        <f aca="false">cx_rt*Sens!$F$10525+cx_awso*Sens!$F$10557</f>
        <v>34.9734495387866</v>
      </c>
    </row>
    <row r="10561" customFormat="false" ht="17.15" hidden="false" customHeight="false" outlineLevel="0" collapsed="false">
      <c r="A10561" s="0" t="s">
        <v>627</v>
      </c>
      <c r="B10561" s="0" t="s">
        <v>52</v>
      </c>
      <c r="C10561" s="13" t="n">
        <f aca="false">tk_cx_h100/(tk_cx_h100+tk_fac*(1-colo_sh))</f>
        <v>0.730756458006641</v>
      </c>
      <c r="D10561" s="13" t="n">
        <f aca="false">tk_cx_h100/(tk_cx_h100+tk_fac*(1-colo_sh))</f>
        <v>0.730756458006641</v>
      </c>
      <c r="E10561" s="13" t="n">
        <f aca="false">Sens!$F$10561</f>
        <v>0.760792334328868</v>
      </c>
      <c r="F10561" s="13" t="n">
        <f aca="false">Sens!$F$10544/(Sens!$F$10544+tk_fac*(1-colo_sh))</f>
        <v>0.760792334328868</v>
      </c>
      <c r="G10561" s="13" t="n">
        <f aca="false">Sens!$G$10544/(Sens!$G$10544+tk_fac*(1-colo_sh))</f>
        <v>0.760792334328868</v>
      </c>
      <c r="H10561" s="13" t="n">
        <f aca="false">Sens!$H$10544/(Sens!$H$10544+tk_fac*(1-colo_sh))</f>
        <v>0.768110668862996</v>
      </c>
      <c r="I10561" s="13" t="n">
        <f aca="false">Sens!$I$10544/(Sens!$I$10544+tk_fac*(1-colo_sh))</f>
        <v>0.77499450139483</v>
      </c>
      <c r="J10561" s="13" t="n">
        <f aca="false">Sens!$J$10544/(Sens!$J$10544+tk_fac*(1-colo_sh))</f>
        <v>0.77499450139483</v>
      </c>
      <c r="K10561" s="13" t="n">
        <f aca="false">Sens!$K$10544/(Sens!$K$10544+tk_fac*(1-colo_sh))</f>
        <v>0.77499450139483</v>
      </c>
      <c r="L10561" s="13" t="n">
        <f aca="false">Sens!$L$10544/(Sens!$L$10544+tk_fac*(1-colo_sh))</f>
        <v>0.77499450139483</v>
      </c>
      <c r="M10561" s="13" t="n">
        <f aca="false">Sens!$M$10544/(Sens!$M$10544+tk_fac*(1-colo_sh))</f>
        <v>0.77499450139483</v>
      </c>
    </row>
    <row r="10562" customFormat="false" ht="17.15" hidden="false" customHeight="false" outlineLevel="0" collapsed="false">
      <c r="A10562" s="1" t="s">
        <v>628</v>
      </c>
      <c r="B10562" s="8" t="s">
        <v>86</v>
      </c>
      <c r="C10562" s="38" t="n">
        <f aca="false">Q!$D$46-cx_rt*Q!$D$16-cx_awso*Sens!$C$10557</f>
        <v>25.2781053077374</v>
      </c>
      <c r="D10562" s="38" t="n">
        <f aca="false">Q!$E$46-cx_rt*Q!$E$16-cx_awso*Sens!$D$10557</f>
        <v>69.5686316310026</v>
      </c>
      <c r="E10562" s="38" t="n">
        <f aca="false">Q!$P$46-cx_rt*Q!$P$16-cx_awso*Sens!$E$10557</f>
        <v>64.1899206485108</v>
      </c>
      <c r="F10562" s="38" t="n">
        <f aca="false">MAX(Sens!$F$10539*(Sens!$F$10544+tk_fac*(1-colo_sh))/1000,capex_g26-Q!$P$46-Sens!$F$10560)</f>
        <v>98.862028245</v>
      </c>
      <c r="G10562" s="38" t="n">
        <f aca="false">Sens!$E$10562+Sens!$F$10562</f>
        <v>163.051948893511</v>
      </c>
      <c r="H10562" s="38" t="n">
        <f aca="false">Sens!$H$10539*(Sens!$H$10544+tk_fac*(1-colo_sh))/1000+Sens!$H$10563</f>
        <v>203.9641486225</v>
      </c>
      <c r="I10562" s="38" t="n">
        <f aca="false">Sens!$I$10539*(Sens!$I$10544+tk_fac*(1-colo_sh))/1000+Sens!$I$10563</f>
        <v>210.204240755</v>
      </c>
      <c r="J10562" s="38" t="n">
        <f aca="false">Sens!$J$10539*(Sens!$J$10544+tk_fac*(1-colo_sh))/1000+Sens!$J$10563</f>
        <v>215.441008955</v>
      </c>
      <c r="K10562" s="38" t="n">
        <f aca="false">Sens!$K$10539*(Sens!$K$10544+tk_fac*(1-colo_sh))/1000+Sens!$K$10563</f>
        <v>159.138087817758</v>
      </c>
      <c r="L10562" s="38" t="n">
        <f aca="false">Sens!$L$10539*(Sens!$L$10544+tk_fac*(1-colo_sh))/1000+Sens!$L$10563</f>
        <v>134.255775880517</v>
      </c>
      <c r="M10562" s="38" t="n">
        <f aca="false">Sens!$M$10539*(Sens!$M$10544+tk_fac*(1-colo_sh))/1000+Sens!$M$10563</f>
        <v>134.968168520775</v>
      </c>
      <c r="P10562" s="5" t="s">
        <v>629</v>
      </c>
      <c r="R10562" s="38" t="n">
        <f aca="false">Q!$C$46-cx_rt*Q!$C$16-cx_awso*(Q!$C$7-mw_ye23/2*rpm_open/1000)</f>
        <v>1.50429979529945</v>
      </c>
      <c r="S10562" s="38" t="n">
        <f aca="false">Sens!$C$10562</f>
        <v>25.2781053077374</v>
      </c>
      <c r="T10562" s="38" t="n">
        <f aca="false">Sens!$D$10562</f>
        <v>69.5686316310026</v>
      </c>
      <c r="U10562" s="38" t="n">
        <f aca="false">Sens!$G$10562</f>
        <v>163.051948893511</v>
      </c>
      <c r="V10562" s="38" t="n">
        <f aca="false">Sens!$H$10562</f>
        <v>203.9641486225</v>
      </c>
      <c r="W10562" s="38" t="n">
        <f aca="false">Sens!$I$10562</f>
        <v>210.204240755</v>
      </c>
      <c r="X10562" s="38" t="n">
        <f aca="false">Sens!$J$10562</f>
        <v>215.441008955</v>
      </c>
      <c r="Y10562" s="38" t="n">
        <f aca="false">Sens!$K$10562</f>
        <v>159.138087817758</v>
      </c>
      <c r="Z10562" s="38" t="n">
        <f aca="false">Sens!$L$10562</f>
        <v>134.255775880517</v>
      </c>
      <c r="AA10562" s="38" t="n">
        <f aca="false">Sens!$M$10562</f>
        <v>134.968168520775</v>
      </c>
    </row>
    <row r="10563" customFormat="false" ht="17.15" hidden="false" customHeight="false" outlineLevel="0" collapsed="false">
      <c r="A10563" s="0" t="s">
        <v>630</v>
      </c>
      <c r="B10563" s="0" t="s">
        <v>86</v>
      </c>
      <c r="H10563" s="38" t="n">
        <f aca="false">SUMPRODUCT(--(Sens!$R$10532:$AA$10532=2027-tk_life),Sens!$R$10539:$AA$10539)*Sens!$H$10544/1000</f>
        <v>0</v>
      </c>
      <c r="I10563" s="38" t="n">
        <f aca="false">SUMPRODUCT(--(Sens!$R$10532:$AA$10532=2028-tk_life),Sens!$R$10539:$AA$10539)*Sens!$I$10544/1000</f>
        <v>0</v>
      </c>
      <c r="J10563" s="38" t="n">
        <f aca="false">SUMPRODUCT(--(Sens!$R$10532:$AA$10532=2029-tk_life),Sens!$R$10539:$AA$10539)*Sens!$J$10544/1000</f>
        <v>5.2367682</v>
      </c>
      <c r="K10563" s="38" t="n">
        <f aca="false">SUMPRODUCT(--(Sens!$R$10532:$AA$10532=2030-tk_life),Sens!$R$10539:$AA$10539)*Sens!$K$10544/1000</f>
        <v>10.4735364</v>
      </c>
      <c r="L10563" s="38" t="n">
        <f aca="false">SUMPRODUCT(--(Sens!$R$10532:$AA$10532=2031-tk_life),Sens!$R$10539:$AA$10539)*Sens!$L$10544/1000</f>
        <v>47.1309138</v>
      </c>
      <c r="M10563" s="38" t="n">
        <f aca="false">SUMPRODUCT(--(Sens!$R$10532:$AA$10532=2032-tk_life),Sens!$R$10539:$AA$10539)*Sens!$M$10544/1000</f>
        <v>109.3829957775</v>
      </c>
    </row>
    <row r="10564" customFormat="false" ht="17.15" hidden="false" customHeight="false" outlineLevel="0" collapsed="false">
      <c r="A10564" s="0" t="s">
        <v>631</v>
      </c>
      <c r="B10564" s="0" t="s">
        <v>86</v>
      </c>
      <c r="C10564" s="38" t="n">
        <f aca="false">MIN(Sens!$C$10562,Sens!$C$10539*(tk_cx_h100+tk_fac*(1-colo_sh))/1000)</f>
        <v>11.2938642</v>
      </c>
      <c r="D10564" s="38" t="n">
        <f aca="false">MIN(Sens!$D$10562,Sens!$D$10539*(tk_cx_h100+tk_fac*(1-colo_sh))/1000)</f>
        <v>50.8223889</v>
      </c>
      <c r="E10564" s="38" t="n">
        <f aca="false">MIN(Sens!$E$10562,Sens!$E$10539*(Sens!$F$10544+tk_fac*(1-colo_sh))/1000)</f>
        <v>33.8985792</v>
      </c>
      <c r="F10564" s="38" t="n">
        <f aca="false">Sens!$F$10562</f>
        <v>98.862028245</v>
      </c>
      <c r="G10564" s="38" t="n">
        <f aca="false">Sens!$E$10564+Sens!$F$10564</f>
        <v>132.760607445</v>
      </c>
      <c r="H10564" s="38" t="n">
        <f aca="false">Sens!$H$10562</f>
        <v>203.9641486225</v>
      </c>
      <c r="I10564" s="38" t="n">
        <f aca="false">Sens!$I$10562</f>
        <v>210.204240755</v>
      </c>
      <c r="J10564" s="38" t="n">
        <f aca="false">Sens!$J$10562</f>
        <v>215.441008955</v>
      </c>
      <c r="K10564" s="38" t="n">
        <f aca="false">Sens!$K$10562</f>
        <v>159.138087817758</v>
      </c>
      <c r="L10564" s="38" t="n">
        <f aca="false">Sens!$L$10562</f>
        <v>134.255775880517</v>
      </c>
      <c r="M10564" s="38" t="n">
        <f aca="false">Sens!$M$10562</f>
        <v>134.968168520775</v>
      </c>
      <c r="P10564" s="5" t="s">
        <v>632</v>
      </c>
      <c r="R10564" s="38" t="n">
        <f aca="false">MIN(Sens!$R$10562,Sens!$R$10539*(tk_cx_h100+tk_fac*(1-colo_sh))/1000)</f>
        <v>1.50429979529945</v>
      </c>
      <c r="S10564" s="38" t="n">
        <f aca="false">Sens!$C$10564</f>
        <v>11.2938642</v>
      </c>
      <c r="T10564" s="38" t="n">
        <f aca="false">Sens!$D$10564</f>
        <v>50.8223889</v>
      </c>
      <c r="U10564" s="38" t="n">
        <f aca="false">Sens!$G$10564</f>
        <v>132.760607445</v>
      </c>
      <c r="V10564" s="38" t="n">
        <f aca="false">Sens!$H$10564</f>
        <v>203.9641486225</v>
      </c>
      <c r="W10564" s="38" t="n">
        <f aca="false">Sens!$I$10564</f>
        <v>210.204240755</v>
      </c>
      <c r="X10564" s="38" t="n">
        <f aca="false">Sens!$J$10564</f>
        <v>215.441008955</v>
      </c>
      <c r="Y10564" s="38" t="n">
        <f aca="false">Sens!$K$10564</f>
        <v>159.138087817758</v>
      </c>
      <c r="Z10564" s="38" t="n">
        <f aca="false">Sens!$L$10564</f>
        <v>134.255775880517</v>
      </c>
      <c r="AA10564" s="38" t="n">
        <f aca="false">Sens!$M$10564</f>
        <v>134.968168520775</v>
      </c>
    </row>
    <row r="10565" customFormat="false" ht="17.15" hidden="false" customHeight="false" outlineLevel="0" collapsed="false">
      <c r="A10565" s="5" t="s">
        <v>633</v>
      </c>
      <c r="B10565" s="0" t="s">
        <v>86</v>
      </c>
      <c r="C10565" s="38" t="n">
        <f aca="false">Sens!$C$10562-Sens!$C$10564</f>
        <v>13.9842411077374</v>
      </c>
      <c r="D10565" s="38" t="n">
        <f aca="false">Sens!$D$10562-Sens!$D$10564</f>
        <v>18.7462427310026</v>
      </c>
      <c r="E10565" s="38" t="n">
        <f aca="false">Sens!$E$10562-Sens!$E$10564</f>
        <v>30.2913414485108</v>
      </c>
      <c r="F10565" s="38" t="n">
        <f aca="false">Sens!$F$10562-Sens!$F$10564</f>
        <v>0</v>
      </c>
      <c r="G10565" s="38" t="n">
        <f aca="false">Sens!$G$10562-Sens!$G$10564</f>
        <v>30.2913414485108</v>
      </c>
      <c r="H10565" s="38" t="n">
        <f aca="false">Sens!$H$10562-Sens!$H$10564</f>
        <v>0</v>
      </c>
      <c r="I10565" s="38" t="n">
        <f aca="false">Sens!$I$10562-Sens!$I$10564</f>
        <v>0</v>
      </c>
      <c r="J10565" s="38" t="n">
        <f aca="false">Sens!$J$10562-Sens!$J$10564</f>
        <v>0</v>
      </c>
      <c r="K10565" s="38" t="n">
        <f aca="false">Sens!$K$10562-Sens!$K$10564</f>
        <v>0</v>
      </c>
      <c r="L10565" s="38" t="n">
        <f aca="false">Sens!$L$10562-Sens!$L$10564</f>
        <v>0</v>
      </c>
      <c r="M10565" s="38" t="n">
        <f aca="false">Sens!$M$10562-Sens!$M$10564</f>
        <v>0</v>
      </c>
    </row>
    <row r="10566" customFormat="false" ht="17.15" hidden="false" customHeight="false" outlineLevel="0" collapsed="false">
      <c r="A10566" s="5" t="s">
        <v>634</v>
      </c>
      <c r="B10566" s="0" t="s">
        <v>86</v>
      </c>
      <c r="C10566" s="38" t="n">
        <f aca="false">Sens!$C$10564*Sens!$C$10561</f>
        <v>8.2530642</v>
      </c>
      <c r="D10566" s="38" t="n">
        <f aca="false">Sens!$D$10564*Sens!$D$10561</f>
        <v>37.1387889</v>
      </c>
      <c r="E10566" s="38" t="n">
        <f aca="false">Sens!$E$10564*Sens!$E$10561</f>
        <v>25.7897792</v>
      </c>
      <c r="F10566" s="38" t="n">
        <f aca="false">Sens!$F$10564*Sens!$F$10561</f>
        <v>75.213473245</v>
      </c>
      <c r="G10566" s="38" t="n">
        <f aca="false">Sens!$E$10566+Sens!$F$10566</f>
        <v>101.003252445</v>
      </c>
      <c r="H10566" s="38" t="n">
        <f aca="false">(Sens!$H$10564-Sens!$H$10563)*Sens!$H$10561+Sens!$H$10563</f>
        <v>156.6670386225</v>
      </c>
      <c r="I10566" s="38" t="n">
        <f aca="false">(Sens!$I$10564-Sens!$I$10563)*Sens!$I$10561+Sens!$I$10563</f>
        <v>162.907130755</v>
      </c>
      <c r="J10566" s="38" t="n">
        <f aca="false">(Sens!$J$10564-Sens!$J$10563)*Sens!$J$10561+Sens!$J$10563</f>
        <v>168.143898955</v>
      </c>
      <c r="K10566" s="38" t="n">
        <f aca="false">(Sens!$K$10564-Sens!$K$10563)*Sens!$K$10561+Sens!$K$10563</f>
        <v>125.687746301092</v>
      </c>
      <c r="L10566" s="38" t="n">
        <f aca="false">(Sens!$L$10564-Sens!$L$10563)*Sens!$L$10561+Sens!$L$10563</f>
        <v>114.652202847183</v>
      </c>
      <c r="M10566" s="38" t="n">
        <f aca="false">(Sens!$M$10564-Sens!$M$10563)*Sens!$M$10561+Sens!$M$10563</f>
        <v>129.211363970775</v>
      </c>
      <c r="R10566" s="38" t="n">
        <f aca="false">Sens!$R$10564*Sens!$C$10561</f>
        <v>1.09927679019314</v>
      </c>
      <c r="S10566" s="38" t="n">
        <f aca="false">Sens!$C$10566</f>
        <v>8.2530642</v>
      </c>
      <c r="T10566" s="38" t="n">
        <f aca="false">Sens!$D$10566</f>
        <v>37.1387889</v>
      </c>
      <c r="U10566" s="38" t="n">
        <f aca="false">Sens!$G$10566</f>
        <v>101.003252445</v>
      </c>
      <c r="V10566" s="38" t="n">
        <f aca="false">Sens!$H$10566</f>
        <v>156.6670386225</v>
      </c>
      <c r="W10566" s="38" t="n">
        <f aca="false">Sens!$I$10566</f>
        <v>162.907130755</v>
      </c>
      <c r="X10566" s="38" t="n">
        <f aca="false">Sens!$J$10566</f>
        <v>168.143898955</v>
      </c>
      <c r="Y10566" s="38" t="n">
        <f aca="false">Sens!$K$10566</f>
        <v>125.687746301092</v>
      </c>
      <c r="Z10566" s="38" t="n">
        <f aca="false">Sens!$L$10566</f>
        <v>114.652202847183</v>
      </c>
      <c r="AA10566" s="38" t="n">
        <f aca="false">Sens!$M$10566</f>
        <v>129.211363970775</v>
      </c>
    </row>
    <row r="10567" customFormat="false" ht="15" hidden="false" customHeight="false" outlineLevel="0" collapsed="false">
      <c r="A10567" s="5" t="s">
        <v>635</v>
      </c>
      <c r="B10567" s="0" t="s">
        <v>86</v>
      </c>
      <c r="C10567" s="38" t="n">
        <f aca="false">Sens!$C$10564-Sens!$C$10566</f>
        <v>3.0408</v>
      </c>
      <c r="D10567" s="38" t="n">
        <f aca="false">Sens!$D$10564-Sens!$D$10566</f>
        <v>13.6836</v>
      </c>
      <c r="E10567" s="38" t="n">
        <f aca="false">Sens!$E$10564-Sens!$E$10566</f>
        <v>8.1088</v>
      </c>
      <c r="F10567" s="38" t="n">
        <f aca="false">Sens!$F$10564-Sens!$F$10566</f>
        <v>23.648555</v>
      </c>
      <c r="G10567" s="38" t="n">
        <f aca="false">Sens!$G$10564-Sens!$G$10566</f>
        <v>31.757355</v>
      </c>
      <c r="H10567" s="38" t="n">
        <f aca="false">Sens!$H$10564-Sens!$H$10566</f>
        <v>47.29711</v>
      </c>
      <c r="I10567" s="38" t="n">
        <f aca="false">Sens!$I$10564-Sens!$I$10566</f>
        <v>47.29711</v>
      </c>
      <c r="J10567" s="38" t="n">
        <f aca="false">Sens!$J$10564-Sens!$J$10566</f>
        <v>47.29711</v>
      </c>
      <c r="K10567" s="38" t="n">
        <f aca="false">Sens!$K$10564-Sens!$K$10566</f>
        <v>33.4503415166667</v>
      </c>
      <c r="L10567" s="38" t="n">
        <f aca="false">Sens!$L$10564-Sens!$L$10566</f>
        <v>19.6035730333333</v>
      </c>
      <c r="M10567" s="38" t="n">
        <f aca="false">Sens!$M$10564-Sens!$M$10566</f>
        <v>5.75680454999997</v>
      </c>
      <c r="R10567" s="38" t="n">
        <f aca="false">Sens!$R$10564-Sens!$R$10566</f>
        <v>0.405023005106309</v>
      </c>
      <c r="S10567" s="38" t="n">
        <f aca="false">Sens!$S$10564-Sens!$S$10566</f>
        <v>3.0408</v>
      </c>
      <c r="T10567" s="38" t="n">
        <f aca="false">Sens!$T$10564-Sens!$T$10566</f>
        <v>13.6836</v>
      </c>
      <c r="U10567" s="38" t="n">
        <f aca="false">Sens!$U$10564-Sens!$U$10566</f>
        <v>31.757355</v>
      </c>
      <c r="V10567" s="38" t="n">
        <f aca="false">Sens!$V$10564-Sens!$V$10566</f>
        <v>47.29711</v>
      </c>
      <c r="W10567" s="38" t="n">
        <f aca="false">Sens!$W$10564-Sens!$W$10566</f>
        <v>47.29711</v>
      </c>
      <c r="X10567" s="38" t="n">
        <f aca="false">Sens!$X$10564-Sens!$X$10566</f>
        <v>47.29711</v>
      </c>
      <c r="Y10567" s="38" t="n">
        <f aca="false">Sens!$Y$10564-Sens!$Y$10566</f>
        <v>33.4503415166667</v>
      </c>
      <c r="Z10567" s="38" t="n">
        <f aca="false">Sens!$Z$10564-Sens!$Z$10566</f>
        <v>19.6035730333333</v>
      </c>
      <c r="AA10567" s="38" t="n">
        <f aca="false">Sens!$AA$10564-Sens!$AA$10566</f>
        <v>5.75680454999997</v>
      </c>
    </row>
    <row r="10568" customFormat="false" ht="17.15" hidden="false" customHeight="false" outlineLevel="0" collapsed="false">
      <c r="A10568" s="0" t="s">
        <v>636</v>
      </c>
      <c r="B10568" s="0" t="s">
        <v>52</v>
      </c>
      <c r="C10568" s="13" t="n">
        <f aca="false">Sens!$C$10562/Sens!$C$10684</f>
        <v>0.325505489553393</v>
      </c>
      <c r="D10568" s="13" t="n">
        <f aca="false">Sens!$D$10562/Sens!$D$10684</f>
        <v>0.54214956071542</v>
      </c>
      <c r="E10568" s="13" t="n">
        <f aca="false">Sens!$E$10562/Sens!$E$10684</f>
        <v>0.666492790452817</v>
      </c>
      <c r="F10568" s="13" t="n">
        <f aca="false">Sens!$F$10562/Sens!$F$10684</f>
        <v>0.738683269056006</v>
      </c>
      <c r="G10568" s="13" t="n">
        <f aca="false">Sens!$G$10562/Sens!$G$10684</f>
        <v>0.708473398928534</v>
      </c>
      <c r="H10568" s="13" t="n">
        <f aca="false">Sens!$H$10562/Sens!$H$10684</f>
        <v>0.731669361234362</v>
      </c>
      <c r="I10568" s="13" t="n">
        <f aca="false">Sens!$I$10562/Sens!$I$10684</f>
        <v>0.718549737942984</v>
      </c>
      <c r="J10568" s="13" t="n">
        <f aca="false">Sens!$J$10562/Sens!$J$10684</f>
        <v>0.706655234973871</v>
      </c>
      <c r="K10568" s="13" t="n">
        <f aca="false">Sens!$K$10562/Sens!$K$10684</f>
        <v>0.624176557844496</v>
      </c>
      <c r="L10568" s="13" t="n">
        <f aca="false">Sens!$L$10562/Sens!$L$10684</f>
        <v>0.566628382341687</v>
      </c>
      <c r="M10568" s="13" t="n">
        <f aca="false">Sens!$M$10562/Sens!$M$10684</f>
        <v>0.550825547262128</v>
      </c>
    </row>
    <row r="10569" customFormat="false" ht="17.15" hidden="false" customHeight="false" outlineLevel="0" collapsed="false">
      <c r="A10569" s="0" t="s">
        <v>637</v>
      </c>
      <c r="B10569" s="0" t="s">
        <v>86</v>
      </c>
      <c r="C10569" s="38" t="n">
        <f aca="false">Sens!$S$10569</f>
        <v>0.183212798365523</v>
      </c>
      <c r="D10569" s="38" t="n">
        <f aca="false">Sens!$T$10569</f>
        <v>1.55872349836552</v>
      </c>
      <c r="E10569" s="38" t="n">
        <f aca="false">Sens!$G$10569/2</f>
        <v>3.87426082418276</v>
      </c>
      <c r="F10569" s="38" t="n">
        <f aca="false">Sens!$G$10569/2</f>
        <v>3.87426082418276</v>
      </c>
      <c r="G10569" s="38" t="n">
        <f aca="false">Sens!$U$10569</f>
        <v>7.74852164836552</v>
      </c>
      <c r="H10569" s="38" t="n">
        <f aca="false">Sens!$V$10569</f>
        <v>24.5823970558655</v>
      </c>
      <c r="I10569" s="38" t="n">
        <f aca="false">Sens!$W$10569</f>
        <v>50.6935701596155</v>
      </c>
      <c r="J10569" s="38" t="n">
        <f aca="false">Sens!$X$10569</f>
        <v>77.8447586187822</v>
      </c>
      <c r="K10569" s="38" t="n">
        <f aca="false">Sens!$Y$10569</f>
        <v>105.685528979583</v>
      </c>
      <c r="L10569" s="38" t="n">
        <f aca="false">Sens!$Z$10569</f>
        <v>125.257975996432</v>
      </c>
      <c r="M10569" s="38" t="n">
        <f aca="false">Sens!$AA$10569</f>
        <v>138.176878320963</v>
      </c>
      <c r="N10569" s="38" t="n">
        <f aca="false">Sens!$D$10569/2</f>
        <v>0.779361749182762</v>
      </c>
      <c r="O10569" s="38" t="n">
        <f aca="false">Sens!$D$10569/2</f>
        <v>0.779361749182762</v>
      </c>
      <c r="R10569" s="38" t="n">
        <f aca="false">SUMPRODUCT(--(Sens!$R$10532:$AA$10532&lt;Sens!R$10532),--(Sens!$R$10532:$AA$10532&gt;=Sens!R$10532-tk_life),Sens!$R$10566:$AA$10566)/tk_life</f>
        <v>0</v>
      </c>
      <c r="S10569" s="38" t="n">
        <f aca="false">SUMPRODUCT(--(Sens!$R$10532:$AA$10532&lt;Sens!S$10532),--(Sens!$R$10532:$AA$10532&gt;=Sens!S$10532-tk_life),Sens!$R$10566:$AA$10566)/tk_life</f>
        <v>0.183212798365523</v>
      </c>
      <c r="T10569" s="38" t="n">
        <f aca="false">SUMPRODUCT(--(Sens!$R$10532:$AA$10532&lt;Sens!T$10532),--(Sens!$R$10532:$AA$10532&gt;=Sens!T$10532-tk_life),Sens!$R$10566:$AA$10566)/tk_life</f>
        <v>1.55872349836552</v>
      </c>
      <c r="U10569" s="38" t="n">
        <f aca="false">SUMPRODUCT(--(Sens!$R$10532:$AA$10532&lt;Sens!U$10532),--(Sens!$R$10532:$AA$10532&gt;=Sens!U$10532-tk_life),Sens!$R$10566:$AA$10566)/tk_life</f>
        <v>7.74852164836552</v>
      </c>
      <c r="V10569" s="38" t="n">
        <f aca="false">SUMPRODUCT(--(Sens!$R$10532:$AA$10532&lt;Sens!V$10532),--(Sens!$R$10532:$AA$10532&gt;=Sens!V$10532-tk_life),Sens!$R$10566:$AA$10566)/tk_life</f>
        <v>24.5823970558655</v>
      </c>
      <c r="W10569" s="38" t="n">
        <f aca="false">SUMPRODUCT(--(Sens!$R$10532:$AA$10532&lt;Sens!W$10532),--(Sens!$R$10532:$AA$10532&gt;=Sens!W$10532-tk_life),Sens!$R$10566:$AA$10566)/tk_life</f>
        <v>50.6935701596155</v>
      </c>
      <c r="X10569" s="38" t="n">
        <f aca="false">SUMPRODUCT(--(Sens!$R$10532:$AA$10532&lt;Sens!X$10532),--(Sens!$R$10532:$AA$10532&gt;=Sens!X$10532-tk_life),Sens!$R$10566:$AA$10566)/tk_life</f>
        <v>77.8447586187822</v>
      </c>
      <c r="Y10569" s="38" t="n">
        <f aca="false">SUMPRODUCT(--(Sens!$R$10532:$AA$10532&lt;Sens!Y$10532),--(Sens!$R$10532:$AA$10532&gt;=Sens!Y$10532-tk_life),Sens!$R$10566:$AA$10566)/tk_life</f>
        <v>105.685528979583</v>
      </c>
      <c r="Z10569" s="38" t="n">
        <f aca="false">SUMPRODUCT(--(Sens!$R$10532:$AA$10532&lt;Sens!Z$10532),--(Sens!$R$10532:$AA$10532&gt;=Sens!Z$10532-tk_life),Sens!$R$10566:$AA$10566)/tk_life</f>
        <v>125.257975996432</v>
      </c>
      <c r="AA10569" s="38" t="n">
        <f aca="false">SUMPRODUCT(--(Sens!$R$10532:$AA$10532&lt;Sens!AA$10532),--(Sens!$R$10532:$AA$10532&gt;=Sens!AA$10532-tk_life),Sens!$R$10566:$AA$10566)/tk_life</f>
        <v>138.176878320963</v>
      </c>
    </row>
    <row r="10570" customFormat="false" ht="17.15" hidden="false" customHeight="false" outlineLevel="0" collapsed="false">
      <c r="A10570" s="0" t="s">
        <v>638</v>
      </c>
      <c r="B10570" s="0" t="s">
        <v>86</v>
      </c>
      <c r="C10570" s="38" t="n">
        <f aca="false">Sens!$S$10570</f>
        <v>0.0202511502553155</v>
      </c>
      <c r="D10570" s="38" t="n">
        <f aca="false">Sens!$T$10570</f>
        <v>0.172291150255315</v>
      </c>
      <c r="E10570" s="38" t="n">
        <f aca="false">Sens!$G$10570/2</f>
        <v>0.428235575127658</v>
      </c>
      <c r="F10570" s="38" t="n">
        <f aca="false">Sens!$G$10570/2</f>
        <v>0.428235575127658</v>
      </c>
      <c r="G10570" s="38" t="n">
        <f aca="false">Sens!$U$10570</f>
        <v>0.856471150255315</v>
      </c>
      <c r="H10570" s="38" t="n">
        <f aca="false">Sens!$V$10570</f>
        <v>2.44433890025532</v>
      </c>
      <c r="I10570" s="38" t="n">
        <f aca="false">Sens!$W$10570</f>
        <v>4.80919440025532</v>
      </c>
      <c r="J10570" s="38" t="n">
        <f aca="false">Sens!$X$10570</f>
        <v>7.17404990025532</v>
      </c>
      <c r="K10570" s="38" t="n">
        <f aca="false">Sens!$Y$10570</f>
        <v>9.53890540025532</v>
      </c>
      <c r="L10570" s="38" t="n">
        <f aca="false">Sens!$Z$10570</f>
        <v>11.2114224760887</v>
      </c>
      <c r="M10570" s="38" t="n">
        <f aca="false">Sens!$AA$10570</f>
        <v>12.1916011277553</v>
      </c>
      <c r="N10570" s="38" t="n">
        <f aca="false">Sens!$D$10570/2</f>
        <v>0.0861455751276577</v>
      </c>
      <c r="O10570" s="38" t="n">
        <f aca="false">Sens!$D$10570/2</f>
        <v>0.0861455751276577</v>
      </c>
      <c r="R10570" s="38" t="n">
        <f aca="false">SUMPRODUCT(--(Sens!$R$10532:$AA$10532&lt;Sens!R$10532),Sens!$R$10567:$AA$10567)/fac_life</f>
        <v>0</v>
      </c>
      <c r="S10570" s="38" t="n">
        <f aca="false">SUMPRODUCT(--(Sens!$R$10532:$AA$10532&lt;Sens!S$10532),Sens!$R$10567:$AA$10567)/fac_life</f>
        <v>0.0202511502553155</v>
      </c>
      <c r="T10570" s="38" t="n">
        <f aca="false">SUMPRODUCT(--(Sens!$R$10532:$AA$10532&lt;Sens!T$10532),Sens!$R$10567:$AA$10567)/fac_life</f>
        <v>0.172291150255315</v>
      </c>
      <c r="U10570" s="38" t="n">
        <f aca="false">SUMPRODUCT(--(Sens!$R$10532:$AA$10532&lt;Sens!U$10532),Sens!$R$10567:$AA$10567)/fac_life</f>
        <v>0.856471150255315</v>
      </c>
      <c r="V10570" s="38" t="n">
        <f aca="false">SUMPRODUCT(--(Sens!$R$10532:$AA$10532&lt;Sens!V$10532),Sens!$R$10567:$AA$10567)/fac_life</f>
        <v>2.44433890025532</v>
      </c>
      <c r="W10570" s="38" t="n">
        <f aca="false">SUMPRODUCT(--(Sens!$R$10532:$AA$10532&lt;Sens!W$10532),Sens!$R$10567:$AA$10567)/fac_life</f>
        <v>4.80919440025532</v>
      </c>
      <c r="X10570" s="38" t="n">
        <f aca="false">SUMPRODUCT(--(Sens!$R$10532:$AA$10532&lt;Sens!X$10532),Sens!$R$10567:$AA$10567)/fac_life</f>
        <v>7.17404990025532</v>
      </c>
      <c r="Y10570" s="38" t="n">
        <f aca="false">SUMPRODUCT(--(Sens!$R$10532:$AA$10532&lt;Sens!Y$10532),Sens!$R$10567:$AA$10567)/fac_life</f>
        <v>9.53890540025532</v>
      </c>
      <c r="Z10570" s="38" t="n">
        <f aca="false">SUMPRODUCT(--(Sens!$R$10532:$AA$10532&lt;Sens!Z$10532),Sens!$R$10567:$AA$10567)/fac_life</f>
        <v>11.2114224760887</v>
      </c>
      <c r="AA10570" s="38" t="n">
        <f aca="false">SUMPRODUCT(--(Sens!$R$10532:$AA$10532&lt;Sens!AA$10532),Sens!$R$10567:$AA$10567)/fac_life</f>
        <v>12.1916011277553</v>
      </c>
    </row>
    <row r="10571" customFormat="false" ht="17.15" hidden="false" customHeight="false" outlineLevel="0" collapsed="false">
      <c r="A10571" s="1" t="s">
        <v>639</v>
      </c>
      <c r="B10571" s="8" t="s">
        <v>86</v>
      </c>
      <c r="C10571" s="38" t="n">
        <f aca="false">Sens!$C$10569+Sens!$C$10570</f>
        <v>0.203463948620839</v>
      </c>
      <c r="D10571" s="38" t="n">
        <f aca="false">Sens!$D$10569+Sens!$D$10570</f>
        <v>1.73101464862084</v>
      </c>
      <c r="E10571" s="38" t="n">
        <f aca="false">Sens!$E$10569+Sens!$E$10570</f>
        <v>4.30249639931042</v>
      </c>
      <c r="F10571" s="38" t="n">
        <f aca="false">Sens!$F$10569+Sens!$F$10570</f>
        <v>4.30249639931042</v>
      </c>
      <c r="G10571" s="38" t="n">
        <f aca="false">Sens!$G$10569+Sens!$G$10570</f>
        <v>8.60499279862084</v>
      </c>
      <c r="H10571" s="38" t="n">
        <f aca="false">Sens!$H$10569+Sens!$H$10570</f>
        <v>27.0267359561208</v>
      </c>
      <c r="I10571" s="38" t="n">
        <f aca="false">Sens!$I$10569+Sens!$I$10570</f>
        <v>55.5027645598708</v>
      </c>
      <c r="J10571" s="38" t="n">
        <f aca="false">Sens!$J$10569+Sens!$J$10570</f>
        <v>85.0188085190375</v>
      </c>
      <c r="K10571" s="38" t="n">
        <f aca="false">Sens!$K$10569+Sens!$K$10570</f>
        <v>115.224434379839</v>
      </c>
      <c r="L10571" s="38" t="n">
        <f aca="false">Sens!$L$10569+Sens!$L$10570</f>
        <v>136.469398472521</v>
      </c>
      <c r="M10571" s="38" t="n">
        <f aca="false">Sens!$M$10569+Sens!$M$10570</f>
        <v>150.368479448718</v>
      </c>
      <c r="N10571" s="38" t="n">
        <f aca="false">Sens!$N$10569+Sens!$N$10570</f>
        <v>0.865507324310419</v>
      </c>
      <c r="O10571" s="38" t="n">
        <f aca="false">Sens!$O$10569+Sens!$O$10570</f>
        <v>0.865507324310419</v>
      </c>
      <c r="R10571" s="38" t="n">
        <f aca="false">Sens!$R$10569+Sens!$R$10570</f>
        <v>0</v>
      </c>
      <c r="S10571" s="38" t="n">
        <f aca="false">Sens!$S$10569+Sens!$S$10570</f>
        <v>0.203463948620839</v>
      </c>
      <c r="T10571" s="38" t="n">
        <f aca="false">Sens!$T$10569+Sens!$T$10570</f>
        <v>1.73101464862084</v>
      </c>
      <c r="U10571" s="38" t="n">
        <f aca="false">Sens!$U$10569+Sens!$U$10570</f>
        <v>8.60499279862084</v>
      </c>
      <c r="V10571" s="38" t="n">
        <f aca="false">Sens!$V$10569+Sens!$V$10570</f>
        <v>27.0267359561208</v>
      </c>
      <c r="W10571" s="38" t="n">
        <f aca="false">Sens!$W$10569+Sens!$W$10570</f>
        <v>55.5027645598708</v>
      </c>
      <c r="X10571" s="38" t="n">
        <f aca="false">Sens!$X$10569+Sens!$X$10570</f>
        <v>85.0188085190375</v>
      </c>
      <c r="Y10571" s="38" t="n">
        <f aca="false">Sens!$Y$10569+Sens!$Y$10570</f>
        <v>115.224434379839</v>
      </c>
      <c r="Z10571" s="38" t="n">
        <f aca="false">Sens!$Z$10569+Sens!$Z$10570</f>
        <v>136.469398472521</v>
      </c>
      <c r="AA10571" s="38" t="n">
        <f aca="false">Sens!$AA$10569+Sens!$AA$10570</f>
        <v>150.368479448718</v>
      </c>
    </row>
    <row r="10572" customFormat="false" ht="17.15" hidden="false" customHeight="false" outlineLevel="0" collapsed="false">
      <c r="A10572" s="0" t="s">
        <v>640</v>
      </c>
      <c r="B10572" s="0" t="s">
        <v>86</v>
      </c>
      <c r="C10572" s="38" t="n">
        <f aca="false">Sens!$S$10572</f>
        <v>12.5947000466786</v>
      </c>
      <c r="D10572" s="38" t="n">
        <f aca="false">Sens!$T$10572</f>
        <v>61.6860742980578</v>
      </c>
      <c r="G10572" s="38" t="n">
        <f aca="false">Sens!$U$10572</f>
        <v>185.841688944437</v>
      </c>
      <c r="H10572" s="38" t="n">
        <f aca="false">Sens!$V$10572</f>
        <v>362.779101610816</v>
      </c>
      <c r="I10572" s="38" t="n">
        <f aca="false">Sens!$W$10572</f>
        <v>517.480577805945</v>
      </c>
      <c r="J10572" s="38" t="n">
        <f aca="false">Sens!$X$10572</f>
        <v>647.902778241908</v>
      </c>
      <c r="K10572" s="38" t="n">
        <f aca="false">Sens!$Y$10572</f>
        <v>691.816431679828</v>
      </c>
      <c r="L10572" s="38" t="n">
        <f aca="false">Sens!$Z$10572</f>
        <v>689.602809087823</v>
      </c>
      <c r="M10572" s="38" t="n">
        <f aca="false">Sens!$AA$10572</f>
        <v>674.202498159881</v>
      </c>
      <c r="R10572" s="38" t="n">
        <f aca="false">SUM(Sens!$R$10564:$R$10564)-SUM(Sens!$R$10571:$R$10571)</f>
        <v>1.50429979529945</v>
      </c>
      <c r="S10572" s="38" t="n">
        <f aca="false">SUM(Sens!$R$10564:$S$10564)-SUM(Sens!$R$10571:$S$10571)</f>
        <v>12.5947000466786</v>
      </c>
      <c r="T10572" s="38" t="n">
        <f aca="false">SUM(Sens!$R$10564:$T$10564)-SUM(Sens!$R$10571:$T$10571)</f>
        <v>61.6860742980578</v>
      </c>
      <c r="U10572" s="38" t="n">
        <f aca="false">SUM(Sens!$R$10564:$U$10564)-SUM(Sens!$R$10571:$U$10571)</f>
        <v>185.841688944437</v>
      </c>
      <c r="V10572" s="38" t="n">
        <f aca="false">SUM(Sens!$R$10564:$V$10564)-SUM(Sens!$R$10571:$V$10571)</f>
        <v>362.779101610816</v>
      </c>
      <c r="W10572" s="38" t="n">
        <f aca="false">SUM(Sens!$R$10564:$W$10564)-SUM(Sens!$R$10571:$W$10571)</f>
        <v>517.480577805945</v>
      </c>
      <c r="X10572" s="38" t="n">
        <f aca="false">SUM(Sens!$R$10564:$X$10564)-SUM(Sens!$R$10571:$X$10571)</f>
        <v>647.902778241908</v>
      </c>
      <c r="Y10572" s="38" t="n">
        <f aca="false">SUM(Sens!$R$10564:$Y$10564)-SUM(Sens!$R$10571:$Y$10571)</f>
        <v>691.816431679828</v>
      </c>
      <c r="Z10572" s="38" t="n">
        <f aca="false">SUM(Sens!$R$10564:$Z$10564)-SUM(Sens!$R$10571:$Z$10571)</f>
        <v>689.602809087823</v>
      </c>
      <c r="AA10572" s="38" t="n">
        <f aca="false">SUM(Sens!$R$10564:$AA$10564)-SUM(Sens!$R$10571:$AA$10571)</f>
        <v>674.202498159881</v>
      </c>
    </row>
    <row r="10573" customFormat="false" ht="17.15" hidden="false" customHeight="false" outlineLevel="0" collapsed="false">
      <c r="A10573" s="1" t="s">
        <v>641</v>
      </c>
    </row>
    <row r="10574" customFormat="false" ht="17.15" hidden="false" customHeight="false" outlineLevel="0" collapsed="false">
      <c r="A10574" s="0" t="s">
        <v>642</v>
      </c>
      <c r="B10574" s="0" t="s">
        <v>86</v>
      </c>
      <c r="C10574" s="38" t="n">
        <f aca="false">Sens!$C$10553-ext_sh*Sens!$C$10555</f>
        <v>1.80694998843362</v>
      </c>
      <c r="D10574" s="38" t="n">
        <f aca="false">Sens!$D$10553-ext_sh*Sens!$D$10555</f>
        <v>6.77606245662607</v>
      </c>
      <c r="E10574" s="38" t="n">
        <f aca="false">Sens!$E$10553-ext_sh*Sens!$E$10555</f>
        <v>6.62548329092326</v>
      </c>
      <c r="F10574" s="38" t="n">
        <f aca="false">Sens!$F$10553-ext_sh*Sens!$F$10555</f>
        <v>14.4996696128551</v>
      </c>
      <c r="G10574" s="38" t="n">
        <f aca="false">Sens!$G$10553-ext_sh*Sens!$G$10555</f>
        <v>21.1251529037784</v>
      </c>
      <c r="H10574" s="38" t="n">
        <f aca="false">Sens!$H$10553-ext_sh*Sens!$H$10555</f>
        <v>70.2126356677435</v>
      </c>
      <c r="I10574" s="38" t="n">
        <f aca="false">Sens!$I$10553-ext_sh*Sens!$I$10555</f>
        <v>126.678603645079</v>
      </c>
      <c r="J10574" s="38" t="n">
        <f aca="false">Sens!$J$10553-ext_sh*Sens!$J$10555</f>
        <v>183.417938128511</v>
      </c>
      <c r="K10574" s="38" t="n">
        <f aca="false">Sens!$K$10553-ext_sh*Sens!$K$10555</f>
        <v>231.815746632017</v>
      </c>
      <c r="L10574" s="38" t="n">
        <f aca="false">Sens!$L$10553-ext_sh*Sens!$L$10555</f>
        <v>263.612756777848</v>
      </c>
      <c r="M10574" s="38" t="n">
        <f aca="false">Sens!$M$10553-ext_sh*Sens!$M$10555</f>
        <v>278.764488450164</v>
      </c>
      <c r="N10574" s="38" t="n">
        <f aca="false">Sens!$N$10553-ext_sh*Sens!$N$10555</f>
        <v>2.37162185981912</v>
      </c>
      <c r="O10574" s="38" t="n">
        <f aca="false">Sens!$O$10553-ext_sh*Sens!$O$10555</f>
        <v>4.40444059680694</v>
      </c>
    </row>
    <row r="10575" customFormat="false" ht="17.15" hidden="false" customHeight="false" outlineLevel="0" collapsed="false">
      <c r="A10575" s="1" t="s">
        <v>643</v>
      </c>
      <c r="B10575" s="8" t="s">
        <v>86</v>
      </c>
      <c r="C10575" s="38" t="n">
        <f aca="false">Sens!$C$10574-ext_sh*Sens!$C$10571</f>
        <v>1.64417882953695</v>
      </c>
      <c r="D10575" s="38" t="n">
        <f aca="false">Sens!$D$10574-ext_sh*Sens!$D$10571</f>
        <v>5.39125073772939</v>
      </c>
      <c r="E10575" s="38" t="n">
        <f aca="false">Sens!$E$10574-ext_sh*Sens!$E$10571</f>
        <v>3.18348617147493</v>
      </c>
      <c r="F10575" s="38" t="n">
        <f aca="false">Sens!$F$10574-ext_sh*Sens!$F$10571</f>
        <v>11.0576724934068</v>
      </c>
      <c r="G10575" s="38" t="n">
        <f aca="false">Sens!$G$10574-ext_sh*Sens!$G$10571</f>
        <v>14.2411586648817</v>
      </c>
      <c r="H10575" s="38" t="n">
        <f aca="false">Sens!$H$10574-ext_sh*Sens!$H$10571</f>
        <v>48.5912469028468</v>
      </c>
      <c r="I10575" s="38" t="n">
        <f aca="false">Sens!$I$10574-ext_sh*Sens!$I$10571</f>
        <v>82.2763919971818</v>
      </c>
      <c r="J10575" s="38" t="n">
        <f aca="false">Sens!$J$10574-ext_sh*Sens!$J$10571</f>
        <v>115.402891313281</v>
      </c>
      <c r="K10575" s="38" t="n">
        <f aca="false">Sens!$K$10574-ext_sh*Sens!$K$10571</f>
        <v>139.636199128146</v>
      </c>
      <c r="L10575" s="38" t="n">
        <f aca="false">Sens!$L$10574-ext_sh*Sens!$L$10571</f>
        <v>154.437237999831</v>
      </c>
      <c r="M10575" s="38" t="n">
        <f aca="false">Sens!$M$10574-ext_sh*Sens!$M$10571</f>
        <v>158.46970489119</v>
      </c>
      <c r="N10575" s="38" t="n">
        <f aca="false">Sens!$N$10574-ext_sh*Sens!$N$10571</f>
        <v>1.67921600037079</v>
      </c>
      <c r="O10575" s="38" t="n">
        <f aca="false">Sens!$O$10574-ext_sh*Sens!$O$10571</f>
        <v>3.71203473735861</v>
      </c>
    </row>
    <row r="10576" customFormat="false" ht="17.15" hidden="false" customHeight="false" outlineLevel="0" collapsed="false">
      <c r="A10576" s="0" t="s">
        <v>644</v>
      </c>
      <c r="B10576" s="0" t="s">
        <v>52</v>
      </c>
      <c r="C10576" s="13" t="n">
        <f aca="false">Sens!$C$10575/Sens!$C$10553</f>
        <v>0.708390794789371</v>
      </c>
      <c r="D10576" s="13" t="n">
        <f aca="false">Sens!$D$10575/Sens!$D$10553</f>
        <v>0.619415573115729</v>
      </c>
      <c r="E10576" s="13" t="n">
        <f aca="false">Sens!$E$10575/Sens!$E$10553</f>
        <v>0.374072166056273</v>
      </c>
      <c r="F10576" s="13" t="n">
        <f aca="false">Sens!$F$10575/Sens!$F$10553</f>
        <v>0.622244167053886</v>
      </c>
      <c r="G10576" s="13" t="n">
        <f aca="false">Sens!$G$10575/Sens!$G$10553</f>
        <v>0.541880692123867</v>
      </c>
      <c r="H10576" s="13" t="n">
        <f aca="false">Sens!$H$10575/Sens!$H$10553</f>
        <v>0.584845705425014</v>
      </c>
      <c r="I10576" s="13" t="n">
        <f aca="false">Sens!$I$10575/Sens!$I$10553</f>
        <v>0.555635145282397</v>
      </c>
      <c r="J10576" s="13" t="n">
        <f aca="false">Sens!$J$10575/Sens!$J$10553</f>
        <v>0.540888913661057</v>
      </c>
      <c r="K10576" s="13" t="n">
        <f aca="false">Sens!$K$10575/Sens!$K$10553</f>
        <v>0.519006130652212</v>
      </c>
      <c r="L10576" s="13" t="n">
        <f aca="false">Sens!$L$10575/Sens!$L$10553</f>
        <v>0.505304753601726</v>
      </c>
      <c r="M10576" s="13" t="n">
        <f aca="false">Sens!$M$10575/Sens!$M$10553</f>
        <v>0.490511540606532</v>
      </c>
      <c r="N10576" s="13" t="n">
        <f aca="false">Sens!$N$10575/Sens!$N$10553</f>
        <v>0.551227795793364</v>
      </c>
      <c r="O10576" s="13" t="n">
        <f aca="false">Sens!$O$10575/Sens!$O$10553</f>
        <v>0.656132068597002</v>
      </c>
    </row>
    <row r="10577" customFormat="false" ht="17.15" hidden="false" customHeight="false" outlineLevel="0" collapsed="false">
      <c r="A10577" s="5" t="s">
        <v>645</v>
      </c>
      <c r="B10577" s="0" t="s">
        <v>86</v>
      </c>
      <c r="C10577" s="39" t="n">
        <v>0</v>
      </c>
      <c r="D10577" s="39" t="n">
        <v>0</v>
      </c>
      <c r="E10577" s="39" t="n">
        <v>0</v>
      </c>
      <c r="F10577" s="38" t="n">
        <f aca="false">IF(1=2,1,0)*(1-ext_sh)/ext_sh*(mw_open*he_open+Sens!$F$10551*Sens!$F$10548)*Sens!$F$10537/1000</f>
        <v>0</v>
      </c>
      <c r="G10577" s="38" t="n">
        <f aca="false">Sens!$E$10577+Sens!$F$10577</f>
        <v>0</v>
      </c>
      <c r="H10577" s="38" t="n">
        <f aca="false">IF(1=2,1,0)*(1-ext_sh)/ext_sh*(mw_open*he_open+Sens!$H$10551*Sens!$H$10548)*Sens!$H$10537/1000</f>
        <v>0</v>
      </c>
      <c r="I10577" s="38" t="n">
        <f aca="false">IF(1=2,1,0)*(1-ext_sh)/ext_sh*(mw_open*he_open+Sens!$I$10551*Sens!$I$10548)*Sens!$I$10537/1000</f>
        <v>0</v>
      </c>
      <c r="J10577" s="38" t="n">
        <f aca="false">IF(1=2,1,0)*(1-ext_sh)/ext_sh*(mw_open*he_open+Sens!$J$10551*Sens!$J$10548)*Sens!$J$10537/1000</f>
        <v>0</v>
      </c>
      <c r="K10577" s="38" t="n">
        <f aca="false">IF(1=2,1,0)*(1-ext_sh)/ext_sh*(mw_open*he_open+Sens!$K$10551*Sens!$K$10548)*Sens!$K$10537/1000</f>
        <v>0</v>
      </c>
      <c r="L10577" s="38" t="n">
        <f aca="false">IF(1=2,1,0)*(1-ext_sh)/ext_sh*(mw_open*he_open+Sens!$L$10551*Sens!$L$10548)*Sens!$L$10537/1000</f>
        <v>0</v>
      </c>
      <c r="M10577" s="38" t="n">
        <f aca="false">IF(1=2,1,0)*(1-ext_sh)/ext_sh*(mw_open*he_open+Sens!$M$10551*Sens!$M$10548)*Sens!$M$10537/1000</f>
        <v>0</v>
      </c>
      <c r="N10577" s="39" t="n">
        <v>0</v>
      </c>
      <c r="O10577" s="39" t="n">
        <v>0</v>
      </c>
      <c r="P10577" s="8" t="s">
        <v>646</v>
      </c>
    </row>
    <row r="10578" customFormat="false" ht="17.15" hidden="false" customHeight="false" outlineLevel="0" collapsed="false">
      <c r="A10578" s="5" t="s">
        <v>647</v>
      </c>
      <c r="B10578" s="0" t="s">
        <v>86</v>
      </c>
      <c r="C10578" s="38" t="n">
        <f aca="false">(1-ext_sh)*(Sens!$C$10555+Sens!$C$10571)</f>
        <v>0.169206631859174</v>
      </c>
      <c r="D10578" s="38" t="n">
        <f aca="false">(1-ext_sh)*(Sens!$D$10555+Sens!$D$10571)</f>
        <v>0.828129837730442</v>
      </c>
      <c r="E10578" s="38" t="n">
        <f aca="false">(1-ext_sh)*(Sens!$E$10555+Sens!$E$10571)</f>
        <v>1.33171670102377</v>
      </c>
      <c r="F10578" s="38" t="n">
        <f aca="false">(1-ext_sh)*(Sens!$F$10555+Sens!$F$10571)</f>
        <v>1.67824003195134</v>
      </c>
      <c r="G10578" s="38" t="n">
        <f aca="false">(1-ext_sh)*(Sens!$G$10555+Sens!$G$10571)</f>
        <v>3.00995673297512</v>
      </c>
      <c r="H10578" s="38" t="n">
        <f aca="false">(1-ext_sh)*(Sens!$H$10555+Sens!$H$10571)</f>
        <v>8.62315677594421</v>
      </c>
      <c r="I10578" s="38" t="n">
        <f aca="false">(1-ext_sh)*(Sens!$I$10555+Sens!$I$10571)</f>
        <v>16.4499749912034</v>
      </c>
      <c r="J10578" s="38" t="n">
        <f aca="false">(1-ext_sh)*(Sens!$J$10555+Sens!$J$10571)</f>
        <v>24.4887376406353</v>
      </c>
      <c r="K10578" s="38" t="n">
        <f aca="false">(1-ext_sh)*(Sens!$K$10555+Sens!$K$10571)</f>
        <v>32.3522940062688</v>
      </c>
      <c r="L10578" s="38" t="n">
        <f aca="false">(1-ext_sh)*(Sens!$L$10555+Sens!$L$10571)</f>
        <v>37.7986586118742</v>
      </c>
      <c r="M10578" s="38" t="n">
        <f aca="false">(1-ext_sh)*(Sens!$M$10555+Sens!$M$10571)</f>
        <v>41.150145879195</v>
      </c>
      <c r="N10578" s="38" t="n">
        <f aca="false">(1-ext_sh)*(Sens!$N$10555+Sens!$N$10571)</f>
        <v>0.34177588266428</v>
      </c>
      <c r="O10578" s="38" t="n">
        <f aca="false">(1-ext_sh)*(Sens!$O$10555+Sens!$O$10571)</f>
        <v>0.486353955066162</v>
      </c>
    </row>
    <row r="10579" customFormat="false" ht="17.15" hidden="false" customHeight="false" outlineLevel="0" collapsed="false">
      <c r="A10579" s="0" t="s">
        <v>648</v>
      </c>
      <c r="B10579" s="0" t="s">
        <v>86</v>
      </c>
      <c r="C10579" s="38" t="n">
        <f aca="false">Q!$D$24</f>
        <v>39.834</v>
      </c>
      <c r="D10579" s="38" t="n">
        <f aca="false">Q!$E$24</f>
        <v>45.606</v>
      </c>
      <c r="E10579" s="38" t="n">
        <f aca="false">Q!$P$24</f>
        <v>30.782</v>
      </c>
      <c r="N10579" s="38" t="n">
        <f aca="false">Q!$N$24</f>
        <v>21.707</v>
      </c>
      <c r="O10579" s="38" t="n">
        <f aca="false">Q!$O$24</f>
        <v>23.899</v>
      </c>
    </row>
    <row r="10580" customFormat="false" ht="17.15" hidden="false" customHeight="false" outlineLevel="0" collapsed="false">
      <c r="A10580" s="0" t="s">
        <v>649</v>
      </c>
      <c r="B10580" s="0" t="s">
        <v>86</v>
      </c>
      <c r="C10580" s="38" t="n">
        <f aca="false">Sens!$C$10579-Sens!$C$10575</f>
        <v>38.1898211704631</v>
      </c>
      <c r="D10580" s="38" t="n">
        <f aca="false">Sens!$D$10579-Sens!$D$10575</f>
        <v>40.2147492622706</v>
      </c>
      <c r="E10580" s="38" t="n">
        <f aca="false">Sens!$E$10579-Sens!$E$10575</f>
        <v>27.5985138285251</v>
      </c>
      <c r="F10580" s="38" t="n">
        <f aca="false">Sens!$F$10557*Sens!$F$10581</f>
        <v>25.5484769754606</v>
      </c>
      <c r="G10580" s="38" t="n">
        <f aca="false">Sens!$E$10580+Sens!$F$10580</f>
        <v>53.1469908039857</v>
      </c>
      <c r="H10580" s="38" t="n">
        <f aca="false">Sens!$H$10557*Sens!$H$10581</f>
        <v>57.3189525076539</v>
      </c>
      <c r="I10580" s="38" t="n">
        <f aca="false">Sens!$I$10557*Sens!$I$10581</f>
        <v>63.6385627021087</v>
      </c>
      <c r="J10580" s="38" t="n">
        <f aca="false">Sens!$J$10557*Sens!$J$10581</f>
        <v>69.6922896066105</v>
      </c>
      <c r="K10580" s="38" t="n">
        <f aca="false">Sens!$K$10557*Sens!$K$10581</f>
        <v>75.2676727751394</v>
      </c>
      <c r="L10580" s="38" t="n">
        <f aca="false">Sens!$L$10557*Sens!$L$10581</f>
        <v>81.2890865971505</v>
      </c>
      <c r="M10580" s="38" t="n">
        <f aca="false">Sens!$M$10557*Sens!$M$10581</f>
        <v>87.7922135249226</v>
      </c>
      <c r="N10580" s="38" t="n">
        <f aca="false">Sens!$N$10579-Sens!$N$10575</f>
        <v>20.0277839996292</v>
      </c>
      <c r="O10580" s="38" t="n">
        <f aca="false">Sens!$O$10579-Sens!$O$10575</f>
        <v>20.1869652626414</v>
      </c>
      <c r="P10580" s="5" t="s">
        <v>650</v>
      </c>
    </row>
    <row r="10581" customFormat="false" ht="17.15" hidden="false" customHeight="false" outlineLevel="0" collapsed="false">
      <c r="A10581" s="0" t="s">
        <v>651</v>
      </c>
      <c r="B10581" s="0" t="s">
        <v>52</v>
      </c>
      <c r="C10581" s="13" t="n">
        <f aca="false">Sens!$C$10580/Sens!$C$10557</f>
        <v>0.362900395443635</v>
      </c>
      <c r="D10581" s="13" t="n">
        <f aca="false">Sens!$D$10580/Sens!$D$10557</f>
        <v>0.335063632425483</v>
      </c>
      <c r="E10581" s="13" t="n">
        <f aca="false">Sens!$E$10580/Sens!$E$10557</f>
        <v>0.387028992698038</v>
      </c>
      <c r="F10581" s="13" t="n">
        <f aca="false">(Sens!$O$10580+Sens!$E$10580)/(Sens!$O$10557+Sens!$E$10557)</f>
        <v>0.355980580118587</v>
      </c>
      <c r="G10581" s="13" t="n">
        <f aca="false">Sens!$G$10580/Sens!$G$10557</f>
        <v>0.371454804780916</v>
      </c>
      <c r="H10581" s="13" t="n">
        <f aca="false">Sens!$F$10581</f>
        <v>0.355980580118587</v>
      </c>
      <c r="I10581" s="13" t="n">
        <f aca="false">Sens!$F$10581</f>
        <v>0.355980580118587</v>
      </c>
      <c r="J10581" s="13" t="n">
        <f aca="false">Sens!$F$10581</f>
        <v>0.355980580118587</v>
      </c>
      <c r="K10581" s="13" t="n">
        <f aca="false">Sens!$F$10581</f>
        <v>0.355980580118587</v>
      </c>
      <c r="L10581" s="13" t="n">
        <f aca="false">Sens!$F$10581</f>
        <v>0.355980580118587</v>
      </c>
      <c r="M10581" s="13" t="n">
        <f aca="false">Sens!$F$10581</f>
        <v>0.355980580118587</v>
      </c>
      <c r="N10581" s="13" t="n">
        <f aca="false">Sens!$N$10580/Sens!$N$10557</f>
        <v>0.35078810535806</v>
      </c>
      <c r="O10581" s="13" t="n">
        <f aca="false">Sens!$O$10580/Sens!$O$10557</f>
        <v>0.320796939361619</v>
      </c>
      <c r="P10581" s="8" t="s">
        <v>652</v>
      </c>
    </row>
    <row r="10582" customFormat="false" ht="17.15" hidden="false" customHeight="false" outlineLevel="0" collapsed="false">
      <c r="A10582" s="0" t="s">
        <v>653</v>
      </c>
      <c r="B10582" s="0" t="s">
        <v>52</v>
      </c>
      <c r="D10582" s="13" t="n">
        <f aca="false">(Q!$E$31-ext_sh*Sens!$D$10571)/Sens!$D$10557</f>
        <v>0.167180325480118</v>
      </c>
    </row>
    <row r="10583" customFormat="false" ht="17.15" hidden="false" customHeight="false" outlineLevel="0" collapsed="false">
      <c r="A10583" s="0" t="s">
        <v>654</v>
      </c>
      <c r="B10583" s="0" t="s">
        <v>86</v>
      </c>
      <c r="C10583" s="38" t="n">
        <f aca="false">Q!$D$31</f>
        <v>13.32</v>
      </c>
      <c r="D10583" s="38" t="n">
        <f aca="false">Q!$E$31</f>
        <v>21.45</v>
      </c>
      <c r="E10583" s="38" t="n">
        <f aca="false">Q!$P$31</f>
        <v>15.353</v>
      </c>
      <c r="F10583" s="38" t="n">
        <f aca="false">ext_sh*Sens!$F$10571+Sens!$D$10582*Sens!$F$10557</f>
        <v>15.4404120185306</v>
      </c>
      <c r="G10583" s="38" t="n">
        <f aca="false">Sens!$E$10583+Sens!$F$10583</f>
        <v>30.7934120185306</v>
      </c>
      <c r="H10583" s="38" t="n">
        <f aca="false">ext_sh*Sens!$H$10571+Sens!$D$10582*Sens!$H$10557</f>
        <v>48.540276118855</v>
      </c>
      <c r="I10583" s="38" t="n">
        <f aca="false">ext_sh*Sens!$I$10571+Sens!$D$10582*Sens!$I$10557</f>
        <v>74.2889982306963</v>
      </c>
      <c r="J10583" s="38" t="n">
        <f aca="false">ext_sh*Sens!$J$10571+Sens!$D$10582*Sens!$J$10557</f>
        <v>100.74486498679</v>
      </c>
      <c r="K10583" s="38" t="n">
        <f aca="false">ext_sh*Sens!$K$10571+Sens!$D$10582*Sens!$K$10557</f>
        <v>127.527751129156</v>
      </c>
      <c r="L10583" s="38" t="n">
        <f aca="false">ext_sh*Sens!$L$10571+Sens!$D$10582*Sens!$L$10557</f>
        <v>147.351578693324</v>
      </c>
      <c r="M10583" s="38" t="n">
        <f aca="false">ext_sh*Sens!$M$10571+Sens!$D$10582*Sens!$M$10557</f>
        <v>161.524928267506</v>
      </c>
      <c r="N10583" s="38" t="n">
        <f aca="false">Q!$N$31</f>
        <v>9.234</v>
      </c>
      <c r="O10583" s="38" t="n">
        <f aca="false">Q!$O$31</f>
        <v>12.216</v>
      </c>
    </row>
    <row r="10584" customFormat="false" ht="17.15" hidden="false" customHeight="false" outlineLevel="0" collapsed="false">
      <c r="A10584" s="1" t="s">
        <v>655</v>
      </c>
    </row>
    <row r="10585" customFormat="false" ht="17.15" hidden="false" customHeight="false" outlineLevel="0" collapsed="false">
      <c r="A10585" s="15" t="s">
        <v>656</v>
      </c>
      <c r="B10585" s="14" t="s">
        <v>52</v>
      </c>
      <c r="C10585" s="14"/>
      <c r="D10585" s="14"/>
      <c r="E10585" s="14"/>
      <c r="F10585" s="14"/>
      <c r="G10585" s="17" t="n">
        <f aca="false">Sens!$G$10575*(1-tax)/(ext_sh*(Sens!$D$10572+Sens!$G$10572)/2)</f>
        <v>0.118866604349079</v>
      </c>
      <c r="H10585" s="17" t="n">
        <f aca="false">Sens!$H$10575*(1-tax)/(ext_sh*(Sens!$G$10572+Sens!$H$10572)/2)</f>
        <v>0.182988682723128</v>
      </c>
      <c r="I10585" s="17" t="n">
        <f aca="false">Sens!$I$10575*(1-tax)/(ext_sh*(Sens!$H$10572+Sens!$I$10572)/2)</f>
        <v>0.193109161507081</v>
      </c>
      <c r="J10585" s="17" t="n">
        <f aca="false">Sens!$J$10575*(1-tax)/(ext_sh*(Sens!$I$10572+Sens!$J$10572)/2)</f>
        <v>0.204590906844158</v>
      </c>
      <c r="K10585" s="17" t="n">
        <f aca="false">Sens!$K$10575*(1-tax)/(ext_sh*(Sens!$J$10572+Sens!$K$10572)/2)</f>
        <v>0.215338995568461</v>
      </c>
      <c r="L10585" s="17" t="n">
        <f aca="false">Sens!$L$10575*(1-tax)/(ext_sh*(Sens!$K$10572+Sens!$L$10572)/2)</f>
        <v>0.230974999085087</v>
      </c>
      <c r="M10585" s="17" t="n">
        <f aca="false">Sens!$M$10575*(1-tax)/(ext_sh*(Sens!$L$10572+Sens!$M$10572)/2)</f>
        <v>0.240066920637252</v>
      </c>
      <c r="N10585" s="14"/>
      <c r="O10585" s="14"/>
      <c r="P10585" s="8" t="s">
        <v>657</v>
      </c>
    </row>
    <row r="10586" customFormat="false" ht="17.15" hidden="false" customHeight="false" outlineLevel="0" collapsed="false">
      <c r="A10586" s="5" t="s">
        <v>658</v>
      </c>
      <c r="B10586" s="0" t="s">
        <v>57</v>
      </c>
      <c r="H10586" s="36" t="n">
        <f aca="false">Sens!$H$10553*1000/(mw_open*he_open+Sens!$H$10551*Sens!$H$10548)</f>
        <v>1.34547185053953</v>
      </c>
      <c r="I10586" s="36" t="n">
        <f aca="false">Sens!$I$10553*1000/(mw_open*he_open+Sens!$I$10551*Sens!$I$10548)</f>
        <v>1.41624158558789</v>
      </c>
      <c r="J10586" s="36" t="n">
        <f aca="false">Sens!$J$10553*1000/(mw_open*he_open+Sens!$J$10551*Sens!$J$10548)</f>
        <v>1.44599072114959</v>
      </c>
      <c r="K10586" s="36" t="n">
        <f aca="false">Sens!$K$10553*1000/(mw_open*he_open+Sens!$K$10551*Sens!$K$10548)</f>
        <v>1.46039310245524</v>
      </c>
      <c r="L10586" s="36" t="n">
        <f aca="false">Sens!$L$10553*1000/(mw_open*he_open+Sens!$L$10551*Sens!$L$10548)</f>
        <v>1.46709503210944</v>
      </c>
      <c r="M10586" s="36" t="n">
        <f aca="false">Sens!$M$10553*1000/(mw_open*he_open+Sens!$M$10551*Sens!$M$10548)</f>
        <v>1.46977231872523</v>
      </c>
    </row>
    <row r="10587" customFormat="false" ht="17.15" hidden="false" customHeight="false" outlineLevel="0" collapsed="false">
      <c r="A10587" s="5" t="s">
        <v>659</v>
      </c>
      <c r="B10587" s="0" t="s">
        <v>57</v>
      </c>
      <c r="H10587" s="36" t="n">
        <f aca="false">Sens!$H$10586*(Sens!$H$10553+wacc*ext_sh*(Sens!$G$10572+Sens!$H$10572)/2/(1-tax)-Sens!$H$10575)/Sens!$H$10553</f>
        <v>1.04578339988052</v>
      </c>
      <c r="I10587" s="36" t="n">
        <f aca="false">Sens!$I$10586*(Sens!$I$10553+wacc*ext_sh*(Sens!$H$10572+Sens!$I$10572)/2/(1-tax)-Sens!$I$10575)/Sens!$I$10553</f>
        <v>1.09101132683259</v>
      </c>
      <c r="J10587" s="36" t="n">
        <f aca="false">Sens!$J$10586*(Sens!$J$10553+wacc*ext_sh*(Sens!$I$10572+Sens!$J$10572)/2/(1-tax)-Sens!$J$10575)/Sens!$J$10553</f>
        <v>1.09698942471841</v>
      </c>
      <c r="K10587" s="36" t="n">
        <f aca="false">Sens!$K$10586*(Sens!$K$10553+wacc*ext_sh*(Sens!$J$10572+Sens!$K$10572)/2/(1-tax)-Sens!$K$10575)/Sens!$K$10553</f>
        <v>1.10122585881227</v>
      </c>
      <c r="L10587" s="36" t="n">
        <f aca="false">Sens!$L$10586*(Sens!$L$10553+wacc*ext_sh*(Sens!$K$10572+Sens!$L$10572)/2/(1-tax)-Sens!$L$10575)/Sens!$L$10553</f>
        <v>1.08940078379728</v>
      </c>
      <c r="M10587" s="36" t="n">
        <f aca="false">Sens!$M$10586*(Sens!$M$10553+wacc*ext_sh*(Sens!$L$10572+Sens!$M$10572)/2/(1-tax)-Sens!$M$10575)/Sens!$M$10553</f>
        <v>1.08907331369575</v>
      </c>
    </row>
    <row r="10588" customFormat="false" ht="17.15" hidden="false" customHeight="false" outlineLevel="0" collapsed="false">
      <c r="A10588" s="5" t="s">
        <v>660</v>
      </c>
      <c r="B10588" s="0" t="s">
        <v>52</v>
      </c>
      <c r="C10588" s="13" t="n">
        <f aca="false">Sens!$C$10554/tk_pq</f>
        <v>0.195316432429398</v>
      </c>
      <c r="D10588" s="13" t="n">
        <f aca="false">Sens!$D$10554/tk_pq</f>
        <v>0.195316432429398</v>
      </c>
      <c r="E10588" s="13" t="n">
        <f aca="false">Sens!$E$10554/tk_pq</f>
        <v>0.195316432429398</v>
      </c>
      <c r="F10588" s="13" t="n">
        <f aca="false">Sens!$F$10554/tk_pq</f>
        <v>0.238216369188823</v>
      </c>
      <c r="G10588" s="13" t="n">
        <f aca="false">Sens!$G$10554/tk_pq</f>
        <v>0.222398239257102</v>
      </c>
      <c r="H10588" s="13" t="n">
        <f aca="false">Sens!$H$10554/tk_pq</f>
        <v>0.288662452721988</v>
      </c>
      <c r="I10588" s="13" t="n">
        <f aca="false">Sens!$I$10554/tk_pq</f>
        <v>0.313283832077501</v>
      </c>
      <c r="J10588" s="13" t="n">
        <f aca="false">Sens!$J$10554/tk_pq</f>
        <v>0.324501807962888</v>
      </c>
      <c r="K10588" s="13" t="n">
        <f aca="false">Sens!$K$10554/tk_pq</f>
        <v>0.330006797137512</v>
      </c>
      <c r="L10588" s="13" t="n">
        <f aca="false">Sens!$L$10554/tk_pq</f>
        <v>0.332592351849539</v>
      </c>
      <c r="M10588" s="13" t="n">
        <f aca="false">Sens!$M$10554/tk_pq</f>
        <v>0.333580761841585</v>
      </c>
      <c r="N10588" s="13" t="n">
        <f aca="false">Sens!$N$10554/tk_pq</f>
        <v>0.195316432429398</v>
      </c>
      <c r="O10588" s="13" t="n">
        <f aca="false">Sens!$O$10554/tk_pq</f>
        <v>0.195316432429398</v>
      </c>
      <c r="P10588" s="5" t="s">
        <v>661</v>
      </c>
    </row>
    <row r="10591" customFormat="false" ht="17.15" hidden="false" customHeight="false" outlineLevel="0" collapsed="false">
      <c r="A10591" s="1" t="s">
        <v>690</v>
      </c>
    </row>
    <row r="10592" customFormat="false" ht="17.15" hidden="false" customHeight="false" outlineLevel="0" collapsed="false">
      <c r="A10592" s="0" t="s">
        <v>691</v>
      </c>
      <c r="B10592" s="0" t="s">
        <v>86</v>
      </c>
      <c r="C10592" s="38" t="n">
        <f aca="false">Sens!$C$10553</f>
        <v>2.32100535697364</v>
      </c>
      <c r="D10592" s="38" t="n">
        <f aca="false">Sens!$D$10553</f>
        <v>8.70377008865116</v>
      </c>
      <c r="E10592" s="38" t="n">
        <f aca="false">Sens!$E$10553</f>
        <v>8.51035297557002</v>
      </c>
      <c r="F10592" s="38" t="n">
        <f aca="false">Sens!$F$10553</f>
        <v>17.7706326212121</v>
      </c>
      <c r="G10592" s="38" t="n">
        <f aca="false">Sens!$G$10553</f>
        <v>26.2809855967821</v>
      </c>
      <c r="H10592" s="38" t="n">
        <f aca="false">Sens!$H$10553</f>
        <v>83.0838740066237</v>
      </c>
      <c r="I10592" s="38" t="n">
        <f aca="false">Sens!$I$10553</f>
        <v>148.076291961995</v>
      </c>
      <c r="J10592" s="38" t="n">
        <f aca="false">Sens!$J$10553</f>
        <v>213.357841875822</v>
      </c>
      <c r="K10592" s="38" t="n">
        <f aca="false">Sens!$K$10553</f>
        <v>269.045375153221</v>
      </c>
      <c r="L10592" s="38" t="n">
        <f aca="false">Sens!$L$10553</f>
        <v>305.631872447328</v>
      </c>
      <c r="M10592" s="38" t="n">
        <f aca="false">Sens!$M$10553</f>
        <v>323.07028840797</v>
      </c>
      <c r="N10592" s="38" t="n">
        <f aca="false">Sens!$N$10553</f>
        <v>3.04631953102791</v>
      </c>
      <c r="O10592" s="38" t="n">
        <f aca="false">Sens!$O$10553</f>
        <v>5.65745055762326</v>
      </c>
      <c r="P10592" s="8" t="s">
        <v>692</v>
      </c>
    </row>
    <row r="10593" customFormat="false" ht="17.15" hidden="false" customHeight="false" outlineLevel="0" collapsed="false">
      <c r="A10593" s="0" t="s">
        <v>693</v>
      </c>
      <c r="B10593" s="0" t="s">
        <v>86</v>
      </c>
      <c r="C10593" s="38" t="n">
        <f aca="false">Sens!$C$10557</f>
        <v>105.234994643026</v>
      </c>
      <c r="D10593" s="38" t="n">
        <f aca="false">Sens!$D$10557</f>
        <v>120.021229911349</v>
      </c>
      <c r="E10593" s="38" t="n">
        <f aca="false">Sens!$E$10557</f>
        <v>71.30864702443</v>
      </c>
      <c r="F10593" s="38" t="n">
        <f aca="false">Sens!$F$10557</f>
        <v>71.7692997942464</v>
      </c>
      <c r="G10593" s="38" t="n">
        <f aca="false">Sens!$G$10557</f>
        <v>143.077946818676</v>
      </c>
      <c r="H10593" s="38" t="n">
        <f aca="false">Sens!$H$10557</f>
        <v>161.017077079203</v>
      </c>
      <c r="I10593" s="38" t="n">
        <f aca="false">Sens!$I$10557</f>
        <v>178.769759521457</v>
      </c>
      <c r="J10593" s="38" t="n">
        <f aca="false">Sens!$J$10557</f>
        <v>195.775538045907</v>
      </c>
      <c r="K10593" s="38" t="n">
        <f aca="false">Sens!$K$10557</f>
        <v>211.43758108958</v>
      </c>
      <c r="L10593" s="38" t="n">
        <f aca="false">Sens!$L$10557</f>
        <v>228.352587576746</v>
      </c>
      <c r="M10593" s="38" t="n">
        <f aca="false">Sens!$M$10557</f>
        <v>246.620794582886</v>
      </c>
      <c r="N10593" s="38" t="n">
        <f aca="false">Sens!$N$10557</f>
        <v>57.0936804689721</v>
      </c>
      <c r="O10593" s="38" t="n">
        <f aca="false">Sens!$O$10557</f>
        <v>62.9275494423768</v>
      </c>
      <c r="P10593" s="8" t="s">
        <v>692</v>
      </c>
    </row>
    <row r="10594" customFormat="false" ht="17.15" hidden="false" customHeight="false" outlineLevel="0" collapsed="false">
      <c r="A10594" s="1" t="s">
        <v>516</v>
      </c>
      <c r="B10594" s="8" t="s">
        <v>86</v>
      </c>
      <c r="C10594" s="38" t="n">
        <f aca="false">Q!$D$7</f>
        <v>107.556</v>
      </c>
      <c r="D10594" s="38" t="n">
        <f aca="false">Q!$E$7</f>
        <v>128.725</v>
      </c>
      <c r="E10594" s="38" t="n">
        <f aca="false">Q!$P$7</f>
        <v>79.819</v>
      </c>
      <c r="F10594" s="38" t="n">
        <f aca="false">Sens!$F$10592+Sens!$F$10593</f>
        <v>89.5399324154585</v>
      </c>
      <c r="G10594" s="38" t="n">
        <f aca="false">Sens!$G$10592+Sens!$G$10593</f>
        <v>169.358932415459</v>
      </c>
      <c r="H10594" s="38" t="n">
        <f aca="false">Sens!$H$10592+Sens!$H$10593</f>
        <v>244.100951085827</v>
      </c>
      <c r="I10594" s="38" t="n">
        <f aca="false">Sens!$I$10592+Sens!$I$10593</f>
        <v>326.846051483453</v>
      </c>
      <c r="J10594" s="38" t="n">
        <f aca="false">Sens!$J$10592+Sens!$J$10593</f>
        <v>409.133379921729</v>
      </c>
      <c r="K10594" s="38" t="n">
        <f aca="false">Sens!$K$10592+Sens!$K$10593</f>
        <v>480.482956242801</v>
      </c>
      <c r="L10594" s="38" t="n">
        <f aca="false">Sens!$L$10592+Sens!$L$10593</f>
        <v>533.984460024075</v>
      </c>
      <c r="M10594" s="38" t="n">
        <f aca="false">Sens!$M$10592+Sens!$M$10593</f>
        <v>569.691082990856</v>
      </c>
      <c r="N10594" s="38" t="n">
        <f aca="false">Q!$N$7</f>
        <v>60.14</v>
      </c>
      <c r="O10594" s="38" t="n">
        <f aca="false">Q!$O$7</f>
        <v>68.585</v>
      </c>
      <c r="P10594" s="5" t="s">
        <v>694</v>
      </c>
    </row>
    <row r="10595" customFormat="false" ht="15" hidden="false" customHeight="false" outlineLevel="0" collapsed="false">
      <c r="A10595" s="3" t="s">
        <v>695</v>
      </c>
      <c r="B10595" s="8" t="s">
        <v>86</v>
      </c>
      <c r="C10595" s="38" t="n">
        <f aca="false">Q!$D$8</f>
        <v>637.959</v>
      </c>
      <c r="D10595" s="38" t="n">
        <f aca="false">Q!$E$8</f>
        <v>716.924</v>
      </c>
      <c r="E10595" s="38" t="n">
        <f aca="false">Q!$P$8</f>
        <v>382.125</v>
      </c>
      <c r="F10595" s="38" t="n">
        <f aca="false">Sens!$F$10525+Sens!$F$10594</f>
        <v>438.588174060996</v>
      </c>
      <c r="G10595" s="38" t="n">
        <f aca="false">Sens!$G$10525+Sens!$G$10594</f>
        <v>820.713174060996</v>
      </c>
      <c r="H10595" s="38" t="n">
        <f aca="false">Sens!$H$10525+Sens!$H$10594</f>
        <v>965.197840607213</v>
      </c>
      <c r="I10595" s="38" t="n">
        <f aca="false">Sens!$I$10525+Sens!$I$10594</f>
        <v>1115.37544263598</v>
      </c>
      <c r="J10595" s="38" t="n">
        <f aca="false">Sens!$J$10525+Sens!$J$10594</f>
        <v>1260.24178566317</v>
      </c>
      <c r="K10595" s="38" t="n">
        <f aca="false">Sens!$K$10525+Sens!$K$10594</f>
        <v>1386.65941167389</v>
      </c>
      <c r="L10595" s="38" t="n">
        <f aca="false">Sens!$L$10525+Sens!$L$10594</f>
        <v>1499.07756649966</v>
      </c>
      <c r="M10595" s="38" t="n">
        <f aca="false">Sens!$M$10525+Sens!$M$10594</f>
        <v>1597.83899093774</v>
      </c>
      <c r="N10595" s="38" t="n">
        <f aca="false">Q!$N$8</f>
        <v>323.369</v>
      </c>
      <c r="O10595" s="38" t="n">
        <f aca="false">Q!$O$8</f>
        <v>393.555</v>
      </c>
    </row>
    <row r="10596" customFormat="false" ht="17.15" hidden="false" customHeight="false" outlineLevel="0" collapsed="false">
      <c r="A10596" s="24" t="s">
        <v>696</v>
      </c>
      <c r="B10596" s="25" t="s">
        <v>86</v>
      </c>
      <c r="C10596" s="41" t="n">
        <f aca="false">Sens!$C$10525-(Sens!$C$10527+Sens!$C$10528)</f>
        <v>0</v>
      </c>
      <c r="D10596" s="41" t="n">
        <f aca="false">Sens!$D$10525-(Sens!$D$10527+Sens!$D$10528)</f>
        <v>0</v>
      </c>
      <c r="E10596" s="41" t="n">
        <f aca="false">Sens!$E$10525-(Sens!$E$10527+Sens!$E$10528)</f>
        <v>0</v>
      </c>
      <c r="F10596" s="41" t="n">
        <f aca="false">Sens!$F$10525-(Sens!$F$10527+Sens!$F$10528)</f>
        <v>0</v>
      </c>
      <c r="G10596" s="41" t="n">
        <f aca="false">Sens!$G$10525-(Sens!$G$10527+Sens!$G$10528)</f>
        <v>0</v>
      </c>
      <c r="H10596" s="41" t="n">
        <f aca="false">Sens!$H$10525-(Sens!$H$10527+Sens!$H$10528)</f>
        <v>0</v>
      </c>
      <c r="I10596" s="41" t="n">
        <f aca="false">Sens!$I$10525-(Sens!$I$10527+Sens!$I$10528)</f>
        <v>0</v>
      </c>
      <c r="J10596" s="41" t="n">
        <f aca="false">Sens!$J$10525-(Sens!$J$10527+Sens!$J$10528)</f>
        <v>0</v>
      </c>
      <c r="K10596" s="41" t="n">
        <f aca="false">Sens!$K$10525-(Sens!$K$10527+Sens!$K$10528)</f>
        <v>0</v>
      </c>
      <c r="L10596" s="41" t="n">
        <f aca="false">Sens!$L$10525-(Sens!$L$10527+Sens!$L$10528)</f>
        <v>0</v>
      </c>
      <c r="M10596" s="41" t="n">
        <f aca="false">Sens!$M$10525-(Sens!$M$10527+Sens!$M$10528)</f>
        <v>0</v>
      </c>
      <c r="N10596" s="41" t="n">
        <f aca="false">Sens!$N$10525-(Sens!$N$10527+Sens!$N$10528)</f>
        <v>0</v>
      </c>
      <c r="O10596" s="41" t="n">
        <f aca="false">Sens!$O$10525-(Sens!$O$10527+Sens!$O$10528)</f>
        <v>0</v>
      </c>
    </row>
    <row r="10597" customFormat="false" ht="17.15" hidden="false" customHeight="false" outlineLevel="0" collapsed="false">
      <c r="A10597" s="24" t="s">
        <v>697</v>
      </c>
      <c r="B10597" s="25" t="s">
        <v>86</v>
      </c>
      <c r="C10597" s="41" t="n">
        <f aca="false">Sens!$C$10592+Sens!$C$10593-Sens!$C$10594</f>
        <v>0</v>
      </c>
      <c r="D10597" s="41" t="n">
        <f aca="false">Sens!$D$10592+Sens!$D$10593-Sens!$D$10594</f>
        <v>0</v>
      </c>
      <c r="E10597" s="41" t="n">
        <f aca="false">Sens!$E$10592+Sens!$E$10593-Sens!$E$10594</f>
        <v>0</v>
      </c>
      <c r="F10597" s="41" t="n">
        <f aca="false">Sens!$F$10592+Sens!$F$10593-Sens!$F$10594</f>
        <v>0</v>
      </c>
      <c r="G10597" s="41" t="n">
        <f aca="false">Sens!$G$10592+Sens!$G$10593-Sens!$G$10594</f>
        <v>0</v>
      </c>
      <c r="H10597" s="41" t="n">
        <f aca="false">Sens!$H$10592+Sens!$H$10593-Sens!$H$10594</f>
        <v>0</v>
      </c>
      <c r="I10597" s="41" t="n">
        <f aca="false">Sens!$I$10592+Sens!$I$10593-Sens!$I$10594</f>
        <v>0</v>
      </c>
      <c r="J10597" s="41" t="n">
        <f aca="false">Sens!$J$10592+Sens!$J$10593-Sens!$J$10594</f>
        <v>0</v>
      </c>
      <c r="K10597" s="41" t="n">
        <f aca="false">Sens!$K$10592+Sens!$K$10593-Sens!$K$10594</f>
        <v>0</v>
      </c>
      <c r="L10597" s="41" t="n">
        <f aca="false">Sens!$L$10592+Sens!$L$10593-Sens!$L$10594</f>
        <v>0</v>
      </c>
      <c r="M10597" s="41" t="n">
        <f aca="false">Sens!$M$10592+Sens!$M$10593-Sens!$M$10594</f>
        <v>0</v>
      </c>
      <c r="N10597" s="41" t="n">
        <f aca="false">Sens!$N$10592+Sens!$N$10593-Sens!$N$10594</f>
        <v>0</v>
      </c>
      <c r="O10597" s="41" t="n">
        <f aca="false">Sens!$O$10592+Sens!$O$10593-Sens!$O$10594</f>
        <v>0</v>
      </c>
    </row>
    <row r="10598" customFormat="false" ht="17.15" hidden="false" customHeight="false" outlineLevel="0" collapsed="false">
      <c r="A10598" s="24" t="s">
        <v>698</v>
      </c>
      <c r="B10598" s="25" t="s">
        <v>86</v>
      </c>
      <c r="C10598" s="41" t="n">
        <f aca="false">Sens!$C$10527+Sens!$C$10528+Sens!$C$10594-Sens!$C$10595</f>
        <v>0</v>
      </c>
      <c r="D10598" s="41" t="n">
        <f aca="false">Sens!$D$10527+Sens!$D$10528+Sens!$D$10594-Sens!$D$10595</f>
        <v>0</v>
      </c>
      <c r="E10598" s="41" t="n">
        <f aca="false">Sens!$E$10527+Sens!$E$10528+Sens!$E$10594-Sens!$E$10595</f>
        <v>0</v>
      </c>
      <c r="F10598" s="41" t="n">
        <f aca="false">Sens!$F$10527+Sens!$F$10528+Sens!$F$10594-Sens!$F$10595</f>
        <v>0</v>
      </c>
      <c r="G10598" s="41" t="n">
        <f aca="false">Sens!$G$10527+Sens!$G$10528+Sens!$G$10594-Sens!$G$10595</f>
        <v>0</v>
      </c>
      <c r="H10598" s="41" t="n">
        <f aca="false">Sens!$H$10527+Sens!$H$10528+Sens!$H$10594-Sens!$H$10595</f>
        <v>0</v>
      </c>
      <c r="I10598" s="41" t="n">
        <f aca="false">Sens!$I$10527+Sens!$I$10528+Sens!$I$10594-Sens!$I$10595</f>
        <v>0</v>
      </c>
      <c r="J10598" s="41" t="n">
        <f aca="false">Sens!$J$10527+Sens!$J$10528+Sens!$J$10594-Sens!$J$10595</f>
        <v>0</v>
      </c>
      <c r="K10598" s="41" t="n">
        <f aca="false">Sens!$K$10527+Sens!$K$10528+Sens!$K$10594-Sens!$K$10595</f>
        <v>0</v>
      </c>
      <c r="L10598" s="41" t="n">
        <f aca="false">Sens!$L$10527+Sens!$L$10528+Sens!$L$10594-Sens!$L$10595</f>
        <v>0</v>
      </c>
      <c r="M10598" s="41" t="n">
        <f aca="false">Sens!$M$10527+Sens!$M$10528+Sens!$M$10594-Sens!$M$10595</f>
        <v>0</v>
      </c>
      <c r="N10598" s="41" t="n">
        <f aca="false">Sens!$N$10527+Sens!$N$10528+Sens!$N$10594-Sens!$N$10595</f>
        <v>0</v>
      </c>
      <c r="O10598" s="41" t="n">
        <f aca="false">Sens!$O$10527+Sens!$O$10528+Sens!$O$10594-Sens!$O$10595</f>
        <v>0</v>
      </c>
    </row>
    <row r="10599" customFormat="false" ht="15" hidden="false" customHeight="false" outlineLevel="0" collapsed="false">
      <c r="A10599" s="5" t="s">
        <v>699</v>
      </c>
      <c r="B10599" s="0" t="s">
        <v>52</v>
      </c>
      <c r="G10599" s="13" t="n">
        <f aca="false">Sens!$G$10595/Sens!$D$10595-1</f>
        <v>0.144770120767328</v>
      </c>
      <c r="H10599" s="13" t="n">
        <f aca="false">Sens!$H$10595/Sens!$G$10595-1</f>
        <v>0.176047699869722</v>
      </c>
      <c r="I10599" s="13" t="n">
        <f aca="false">Sens!$I$10595/Sens!$H$10595-1</f>
        <v>0.155592559069852</v>
      </c>
      <c r="J10599" s="13" t="n">
        <f aca="false">Sens!$J$10595/Sens!$I$10595-1</f>
        <v>0.129881237733568</v>
      </c>
      <c r="K10599" s="13" t="n">
        <f aca="false">Sens!$K$10595/Sens!$J$10595-1</f>
        <v>0.1003121999674</v>
      </c>
      <c r="L10599" s="13" t="n">
        <f aca="false">Sens!$L$10595/Sens!$K$10595-1</f>
        <v>0.0810712088919303</v>
      </c>
      <c r="M10599" s="13" t="n">
        <f aca="false">Sens!$M$10595/Sens!$L$10595-1</f>
        <v>0.0658814638048957</v>
      </c>
    </row>
    <row r="10600" customFormat="false" ht="17.15" hidden="false" customHeight="false" outlineLevel="0" collapsed="false">
      <c r="A10600" s="0" t="s">
        <v>700</v>
      </c>
      <c r="B10600" s="0" t="s">
        <v>52</v>
      </c>
      <c r="C10600" s="13" t="n">
        <f aca="false">Sens!$C$10594/Sens!$C$10595</f>
        <v>0.168593906504964</v>
      </c>
      <c r="D10600" s="13" t="n">
        <f aca="false">Sens!$D$10594/Sens!$D$10595</f>
        <v>0.179551807444025</v>
      </c>
      <c r="E10600" s="13" t="n">
        <f aca="false">Sens!$E$10594/Sens!$E$10595</f>
        <v>0.208881910369643</v>
      </c>
      <c r="F10600" s="13" t="n">
        <f aca="false">Sens!$F$10594/Sens!$F$10595</f>
        <v>0.204154917325714</v>
      </c>
      <c r="G10600" s="13" t="n">
        <f aca="false">Sens!$G$10594/Sens!$G$10595</f>
        <v>0.20635581073647</v>
      </c>
      <c r="H10600" s="13" t="n">
        <f aca="false">Sens!$H$10594/Sens!$H$10595</f>
        <v>0.252902504353161</v>
      </c>
      <c r="I10600" s="13" t="n">
        <f aca="false">Sens!$I$10594/Sens!$I$10595</f>
        <v>0.293036800873984</v>
      </c>
      <c r="J10600" s="13" t="n">
        <f aca="false">Sens!$J$10594/Sens!$J$10595</f>
        <v>0.324646734123669</v>
      </c>
      <c r="K10600" s="13" t="n">
        <f aca="false">Sens!$K$10594/Sens!$K$10595</f>
        <v>0.346503944802705</v>
      </c>
      <c r="L10600" s="13" t="n">
        <f aca="false">Sens!$L$10594/Sens!$L$10595</f>
        <v>0.356208692570141</v>
      </c>
      <c r="M10600" s="13" t="n">
        <f aca="false">Sens!$M$10594/Sens!$M$10595</f>
        <v>0.356538478671443</v>
      </c>
      <c r="N10600" s="13" t="n">
        <f aca="false">Sens!$N$10594/Sens!$N$10595</f>
        <v>0.185979484737251</v>
      </c>
      <c r="O10600" s="13" t="n">
        <f aca="false">Sens!$O$10594/Sens!$O$10595</f>
        <v>0.174270432341096</v>
      </c>
    </row>
    <row r="10601" customFormat="false" ht="17.15" hidden="false" customHeight="false" outlineLevel="0" collapsed="false">
      <c r="A10601" s="0" t="s">
        <v>701</v>
      </c>
      <c r="B10601" s="0" t="s">
        <v>52</v>
      </c>
      <c r="C10601" s="13" t="n">
        <f aca="false">Sens!$C$10592/Sens!$C$10594</f>
        <v>0.0215795060896058</v>
      </c>
      <c r="D10601" s="13" t="n">
        <f aca="false">Sens!$D$10592/Sens!$D$10594</f>
        <v>0.0676152269462122</v>
      </c>
      <c r="E10601" s="13" t="n">
        <f aca="false">Sens!$E$10592/Sens!$E$10594</f>
        <v>0.106620641395783</v>
      </c>
      <c r="F10601" s="13" t="n">
        <f aca="false">Sens!$F$10592/Sens!$F$10594</f>
        <v>0.198466004405249</v>
      </c>
      <c r="G10601" s="13" t="n">
        <f aca="false">Sens!$G$10592/Sens!$G$10594</f>
        <v>0.155179211524029</v>
      </c>
      <c r="H10601" s="13" t="n">
        <f aca="false">Sens!$H$10592/Sens!$H$10594</f>
        <v>0.340366859027153</v>
      </c>
      <c r="I10601" s="13" t="n">
        <f aca="false">Sens!$I$10592/Sens!$I$10594</f>
        <v>0.453045986910116</v>
      </c>
      <c r="J10601" s="13" t="n">
        <f aca="false">Sens!$J$10592/Sens!$J$10594</f>
        <v>0.521487251704174</v>
      </c>
      <c r="K10601" s="13" t="n">
        <f aca="false">Sens!$K$10592/Sens!$K$10594</f>
        <v>0.559947801805618</v>
      </c>
      <c r="L10601" s="13" t="n">
        <f aca="false">Sens!$L$10592/Sens!$L$10594</f>
        <v>0.572360986747721</v>
      </c>
      <c r="M10601" s="13" t="n">
        <f aca="false">Sens!$M$10592/Sens!$M$10594</f>
        <v>0.567097323538686</v>
      </c>
      <c r="N10601" s="13" t="n">
        <f aca="false">Sens!$N$10592/Sens!$N$10594</f>
        <v>0.0506537999838362</v>
      </c>
      <c r="O10601" s="13" t="n">
        <f aca="false">Sens!$O$10592/Sens!$O$10594</f>
        <v>0.0824881615167056</v>
      </c>
    </row>
    <row r="10604" customFormat="false" ht="19.4" hidden="false" customHeight="false" outlineLevel="0" collapsed="false">
      <c r="A10604" s="31" t="s">
        <v>1352</v>
      </c>
    </row>
    <row r="10605" customFormat="false" ht="17.15" hidden="false" customHeight="false" outlineLevel="0" collapsed="false">
      <c r="A10605" s="6" t="s">
        <v>16</v>
      </c>
      <c r="B10605" s="6" t="s">
        <v>17</v>
      </c>
      <c r="C10605" s="20" t="s">
        <v>497</v>
      </c>
      <c r="D10605" s="20" t="s">
        <v>498</v>
      </c>
      <c r="E10605" s="20" t="s">
        <v>580</v>
      </c>
      <c r="F10605" s="20" t="s">
        <v>581</v>
      </c>
      <c r="G10605" s="20" t="s">
        <v>582</v>
      </c>
      <c r="H10605" s="20" t="s">
        <v>583</v>
      </c>
      <c r="I10605" s="20" t="s">
        <v>584</v>
      </c>
      <c r="J10605" s="20" t="s">
        <v>585</v>
      </c>
      <c r="K10605" s="20" t="s">
        <v>586</v>
      </c>
      <c r="L10605" s="20" t="s">
        <v>587</v>
      </c>
      <c r="M10605" s="20" t="s">
        <v>588</v>
      </c>
      <c r="N10605" s="20" t="s">
        <v>589</v>
      </c>
      <c r="O10605" s="20" t="s">
        <v>590</v>
      </c>
      <c r="P10605" s="6" t="s">
        <v>23</v>
      </c>
      <c r="R10605" s="20" t="n">
        <v>2023</v>
      </c>
      <c r="S10605" s="20" t="n">
        <v>2024</v>
      </c>
      <c r="T10605" s="20" t="n">
        <v>2025</v>
      </c>
      <c r="U10605" s="20" t="n">
        <v>2026</v>
      </c>
      <c r="V10605" s="20" t="n">
        <v>2027</v>
      </c>
      <c r="W10605" s="20" t="n">
        <v>2028</v>
      </c>
      <c r="X10605" s="20" t="n">
        <v>2029</v>
      </c>
      <c r="Y10605" s="20" t="n">
        <v>2030</v>
      </c>
      <c r="Z10605" s="20" t="n">
        <v>2031</v>
      </c>
      <c r="AA10605" s="20" t="n">
        <v>2032</v>
      </c>
    </row>
    <row r="10606" customFormat="false" ht="17.15" hidden="false" customHeight="false" outlineLevel="0" collapsed="false">
      <c r="A10606" s="1" t="s">
        <v>716</v>
      </c>
    </row>
    <row r="10607" customFormat="false" ht="15" hidden="false" customHeight="false" outlineLevel="0" collapsed="false">
      <c r="A10607" s="0" t="s">
        <v>519</v>
      </c>
      <c r="B10607" s="0" t="s">
        <v>86</v>
      </c>
      <c r="C10607" s="38" t="n">
        <f aca="false">Sens!$C$10512</f>
        <v>247.029</v>
      </c>
      <c r="D10607" s="38" t="n">
        <f aca="false">Sens!$D$10512</f>
        <v>269.287</v>
      </c>
      <c r="E10607" s="38" t="n">
        <f aca="false">Sens!$E$10512</f>
        <v>134.686</v>
      </c>
      <c r="F10607" s="38" t="n">
        <f aca="false">Sens!$F$10512</f>
        <v>158.293876822267</v>
      </c>
      <c r="G10607" s="38" t="n">
        <f aca="false">Sens!$G$10512</f>
        <v>292.979876822267</v>
      </c>
      <c r="H10607" s="38" t="n">
        <f aca="false">Sens!$H$10512</f>
        <v>318.184543087396</v>
      </c>
      <c r="I10607" s="38" t="n">
        <f aca="false">Sens!$I$10512</f>
        <v>341.736278761793</v>
      </c>
      <c r="J10607" s="38" t="n">
        <f aca="false">Sens!$J$10512</f>
        <v>362.927192787048</v>
      </c>
      <c r="K10607" s="38" t="n">
        <f aca="false">Sens!$K$10512</f>
        <v>381.0735524264</v>
      </c>
      <c r="L10607" s="38" t="n">
        <f aca="false">Sens!$L$10512</f>
        <v>400.12723004772</v>
      </c>
      <c r="M10607" s="38" t="n">
        <f aca="false">Sens!$M$10512</f>
        <v>420.133591550106</v>
      </c>
      <c r="N10607" s="38" t="n">
        <f aca="false">Sens!$N$10512</f>
        <v>118.892</v>
      </c>
      <c r="O10607" s="38" t="n">
        <f aca="false">Sens!$O$10512</f>
        <v>150.395</v>
      </c>
    </row>
    <row r="10608" customFormat="false" ht="15" hidden="false" customHeight="false" outlineLevel="0" collapsed="false">
      <c r="A10608" s="0" t="s">
        <v>520</v>
      </c>
      <c r="B10608" s="0" t="s">
        <v>86</v>
      </c>
      <c r="C10608" s="38" t="n">
        <f aca="false">Sens!$C$10514</f>
        <v>21.215</v>
      </c>
      <c r="D10608" s="38" t="n">
        <f aca="false">Sens!$D$10514</f>
        <v>22.561</v>
      </c>
      <c r="E10608" s="38" t="n">
        <f aca="false">Sens!$E$10514</f>
        <v>11.579</v>
      </c>
      <c r="F10608" s="38" t="n">
        <f aca="false">Sens!$F$10514</f>
        <v>11.5938724610325</v>
      </c>
      <c r="G10608" s="38" t="n">
        <f aca="false">Sens!$G$10514</f>
        <v>23.1728724610325</v>
      </c>
      <c r="H10608" s="38" t="n">
        <f aca="false">Sens!$H$10514</f>
        <v>24.353392759506</v>
      </c>
      <c r="I10608" s="38" t="n">
        <f aca="false">Sens!$I$10514</f>
        <v>25.4240338872015</v>
      </c>
      <c r="J10608" s="38" t="n">
        <f aca="false">Sens!$J$10514</f>
        <v>26.3642491017174</v>
      </c>
      <c r="K10608" s="38" t="n">
        <f aca="false">Sens!$K$10514</f>
        <v>27.155176574769</v>
      </c>
      <c r="L10608" s="38" t="n">
        <f aca="false">Sens!$L$10514</f>
        <v>27.969831872012</v>
      </c>
      <c r="M10608" s="38" t="n">
        <f aca="false">Sens!$M$10514</f>
        <v>28.8089268281724</v>
      </c>
      <c r="N10608" s="38" t="n">
        <f aca="false">Sens!$N$10514</f>
        <v>11.128</v>
      </c>
      <c r="O10608" s="38" t="n">
        <f aca="false">Sens!$O$10514</f>
        <v>11.433</v>
      </c>
    </row>
    <row r="10609" customFormat="false" ht="15" hidden="false" customHeight="false" outlineLevel="0" collapsed="false">
      <c r="A10609" s="0" t="s">
        <v>521</v>
      </c>
      <c r="B10609" s="0" t="s">
        <v>86</v>
      </c>
      <c r="C10609" s="38" t="n">
        <f aca="false">Sens!$C$10516</f>
        <v>156.146</v>
      </c>
      <c r="D10609" s="38" t="n">
        <f aca="false">Sens!$D$10516</f>
        <v>172.162</v>
      </c>
      <c r="E10609" s="38" t="n">
        <f aca="false">Sens!$E$10516</f>
        <v>88.358</v>
      </c>
      <c r="F10609" s="38" t="n">
        <f aca="false">Sens!$F$10516</f>
        <v>102.004388260171</v>
      </c>
      <c r="G10609" s="38" t="n">
        <f aca="false">Sens!$G$10516</f>
        <v>190.362388260171</v>
      </c>
      <c r="H10609" s="38" t="n">
        <f aca="false">Sens!$H$10516</f>
        <v>210.343106588311</v>
      </c>
      <c r="I10609" s="38" t="n">
        <f aca="false">Sens!$I$10516</f>
        <v>229.969728494648</v>
      </c>
      <c r="J10609" s="38" t="n">
        <f aca="false">Sens!$J$10516</f>
        <v>248.747636972598</v>
      </c>
      <c r="K10609" s="38" t="n">
        <f aca="false">Sens!$K$10516</f>
        <v>266.15997156068</v>
      </c>
      <c r="L10609" s="38" t="n">
        <f aca="false">Sens!$L$10516</f>
        <v>284.791169569927</v>
      </c>
      <c r="M10609" s="38" t="n">
        <f aca="false">Sens!$M$10516</f>
        <v>304.726551439822</v>
      </c>
      <c r="N10609" s="38" t="n">
        <f aca="false">Sens!$N$10516</f>
        <v>76.86</v>
      </c>
      <c r="O10609" s="38" t="n">
        <f aca="false">Sens!$O$10516</f>
        <v>95.302</v>
      </c>
    </row>
    <row r="10610" customFormat="false" ht="15" hidden="false" customHeight="false" outlineLevel="0" collapsed="false">
      <c r="A10610" s="0" t="s">
        <v>522</v>
      </c>
      <c r="B10610" s="0" t="s">
        <v>86</v>
      </c>
      <c r="C10610" s="38" t="n">
        <f aca="false">Sens!$C$10518</f>
        <v>56.214</v>
      </c>
      <c r="D10610" s="38" t="n">
        <f aca="false">Sens!$D$10518</f>
        <v>68.635</v>
      </c>
      <c r="E10610" s="38" t="n">
        <f aca="false">Sens!$E$10518</f>
        <v>37.052</v>
      </c>
      <c r="F10610" s="38" t="n">
        <f aca="false">Sens!$F$10518</f>
        <v>46.1572219944148</v>
      </c>
      <c r="G10610" s="38" t="n">
        <f aca="false">Sens!$G$10518</f>
        <v>83.2092219944148</v>
      </c>
      <c r="H10610" s="38" t="n">
        <f aca="false">Sens!$H$10518</f>
        <v>99.8969223878976</v>
      </c>
      <c r="I10610" s="38" t="n">
        <f aca="false">Sens!$I$10518</f>
        <v>116.583111095496</v>
      </c>
      <c r="J10610" s="38" t="n">
        <f aca="false">Sens!$J$10518</f>
        <v>132.148941941952</v>
      </c>
      <c r="K10610" s="38" t="n">
        <f aca="false">Sens!$K$10518</f>
        <v>145.363836136147</v>
      </c>
      <c r="L10610" s="38" t="n">
        <f aca="false">Sens!$L$10518</f>
        <v>159.900219749762</v>
      </c>
      <c r="M10610" s="38" t="n">
        <f aca="false">Sens!$M$10518</f>
        <v>175.890241724738</v>
      </c>
      <c r="N10610" s="38" t="n">
        <f aca="false">Sens!$N$10518</f>
        <v>29.615</v>
      </c>
      <c r="O10610" s="38" t="n">
        <f aca="false">Sens!$O$10518</f>
        <v>39.02</v>
      </c>
    </row>
    <row r="10611" customFormat="false" ht="15" hidden="false" customHeight="false" outlineLevel="0" collapsed="false">
      <c r="A10611" s="0" t="s">
        <v>523</v>
      </c>
      <c r="B10611" s="0" t="s">
        <v>86</v>
      </c>
      <c r="C10611" s="38" t="n">
        <f aca="false">Sens!$C$10520</f>
        <v>44.374</v>
      </c>
      <c r="D10611" s="38" t="n">
        <f aca="false">Sens!$D$10520</f>
        <v>49.619</v>
      </c>
      <c r="E10611" s="38" t="n">
        <f aca="false">Sens!$E$10520</f>
        <v>27.157</v>
      </c>
      <c r="F10611" s="38" t="n">
        <f aca="false">Sens!$F$10520</f>
        <v>27.7764165988154</v>
      </c>
      <c r="G10611" s="38" t="n">
        <f aca="false">Sens!$G$10520</f>
        <v>54.9334165988154</v>
      </c>
      <c r="H10611" s="38" t="n">
        <f aca="false">Sens!$H$10520</f>
        <v>61.1564112561829</v>
      </c>
      <c r="I10611" s="38" t="n">
        <f aca="false">Sens!$I$10520</f>
        <v>67.2020282103945</v>
      </c>
      <c r="J10611" s="38" t="n">
        <f aca="false">Sens!$J$10520</f>
        <v>72.8757274028885</v>
      </c>
      <c r="K10611" s="38" t="n">
        <f aca="false">Sens!$K$10520</f>
        <v>77.9770283210907</v>
      </c>
      <c r="L10611" s="38" t="n">
        <f aca="false">Sens!$L$10520</f>
        <v>83.4354203035671</v>
      </c>
      <c r="M10611" s="38" t="n">
        <f aca="false">Sens!$M$10520</f>
        <v>89.2758997248168</v>
      </c>
      <c r="N10611" s="38" t="n">
        <f aca="false">Sens!$N$10520</f>
        <v>23.923</v>
      </c>
      <c r="O10611" s="38" t="n">
        <f aca="false">Sens!$O$10520</f>
        <v>25.696</v>
      </c>
    </row>
    <row r="10612" customFormat="false" ht="15" hidden="false" customHeight="false" outlineLevel="0" collapsed="false">
      <c r="A10612" s="0" t="s">
        <v>524</v>
      </c>
      <c r="B10612" s="0" t="s">
        <v>86</v>
      </c>
      <c r="C10612" s="38" t="n">
        <f aca="false">Sens!$C$10522</f>
        <v>5.425</v>
      </c>
      <c r="D10612" s="38" t="n">
        <f aca="false">Sens!$D$10522</f>
        <v>5.935</v>
      </c>
      <c r="E10612" s="38" t="n">
        <f aca="false">Sens!$E$10522</f>
        <v>3.474</v>
      </c>
      <c r="F10612" s="38" t="n">
        <f aca="false">Sens!$F$10522</f>
        <v>3.22246550883619</v>
      </c>
      <c r="G10612" s="38" t="n">
        <f aca="false">Sens!$G$10522</f>
        <v>6.69646550883619</v>
      </c>
      <c r="H10612" s="38" t="n">
        <f aca="false">Sens!$H$10522</f>
        <v>7.16251344209196</v>
      </c>
      <c r="I10612" s="38" t="n">
        <f aca="false">Sens!$I$10522</f>
        <v>7.61421070299826</v>
      </c>
      <c r="J10612" s="38" t="n">
        <f aca="false">Sens!$J$10522</f>
        <v>8.04465753523932</v>
      </c>
      <c r="K10612" s="38" t="n">
        <f aca="false">Sens!$K$10522</f>
        <v>8.44689041200128</v>
      </c>
      <c r="L10612" s="38" t="n">
        <f aca="false">Sens!$L$10522</f>
        <v>8.86923493260135</v>
      </c>
      <c r="M10612" s="38" t="n">
        <f aca="false">Sens!$M$10522</f>
        <v>9.31269667923142</v>
      </c>
      <c r="N10612" s="38" t="n">
        <f aca="false">Sens!$N$10522</f>
        <v>2.811</v>
      </c>
      <c r="O10612" s="38" t="n">
        <f aca="false">Sens!$O$10522</f>
        <v>3.124</v>
      </c>
    </row>
    <row r="10613" customFormat="false" ht="17.15" hidden="false" customHeight="false" outlineLevel="0" collapsed="false">
      <c r="A10613" s="0" t="s">
        <v>717</v>
      </c>
      <c r="B10613" s="0" t="s">
        <v>86</v>
      </c>
      <c r="C10613" s="38" t="n">
        <f aca="false">Sens!$C$10594</f>
        <v>107.556</v>
      </c>
      <c r="D10613" s="38" t="n">
        <f aca="false">Sens!$D$10594</f>
        <v>128.725</v>
      </c>
      <c r="E10613" s="38" t="n">
        <f aca="false">Sens!$E$10594</f>
        <v>79.819</v>
      </c>
      <c r="F10613" s="38" t="n">
        <f aca="false">Sens!$F$10594</f>
        <v>89.5399324154585</v>
      </c>
      <c r="G10613" s="38" t="n">
        <f aca="false">Sens!$G$10594</f>
        <v>169.358932415459</v>
      </c>
      <c r="H10613" s="38" t="n">
        <f aca="false">Sens!$H$10594</f>
        <v>244.100951085827</v>
      </c>
      <c r="I10613" s="38" t="n">
        <f aca="false">Sens!$I$10594</f>
        <v>326.846051483453</v>
      </c>
      <c r="J10613" s="38" t="n">
        <f aca="false">Sens!$J$10594</f>
        <v>409.133379921729</v>
      </c>
      <c r="K10613" s="38" t="n">
        <f aca="false">Sens!$K$10594</f>
        <v>480.482956242801</v>
      </c>
      <c r="L10613" s="38" t="n">
        <f aca="false">Sens!$L$10594</f>
        <v>533.984460024075</v>
      </c>
      <c r="M10613" s="38" t="n">
        <f aca="false">Sens!$M$10594</f>
        <v>569.691082990856</v>
      </c>
      <c r="N10613" s="38" t="n">
        <f aca="false">Sens!$N$10594</f>
        <v>60.14</v>
      </c>
      <c r="O10613" s="38" t="n">
        <f aca="false">Sens!$O$10594</f>
        <v>68.585</v>
      </c>
    </row>
    <row r="10614" customFormat="false" ht="15" hidden="false" customHeight="false" outlineLevel="0" collapsed="false">
      <c r="A10614" s="1" t="s">
        <v>512</v>
      </c>
      <c r="B10614" s="8" t="s">
        <v>86</v>
      </c>
      <c r="C10614" s="38" t="n">
        <f aca="false">Sens!$C$10527</f>
        <v>387.497</v>
      </c>
      <c r="D10614" s="38" t="n">
        <f aca="false">Sens!$D$10527</f>
        <v>426.305</v>
      </c>
      <c r="E10614" s="38" t="n">
        <f aca="false">Sens!$E$10527</f>
        <v>220.32</v>
      </c>
      <c r="F10614" s="38" t="n">
        <f aca="false">Sens!$F$10527</f>
        <v>250.639773480586</v>
      </c>
      <c r="G10614" s="38" t="n">
        <f aca="false">Sens!$G$10527</f>
        <v>470.959773480586</v>
      </c>
      <c r="H10614" s="38" t="n">
        <f aca="false">Sens!$H$10527</f>
        <v>521.386990416437</v>
      </c>
      <c r="I10614" s="38" t="n">
        <f aca="false">Sens!$I$10527</f>
        <v>570.143862887555</v>
      </c>
      <c r="J10614" s="38" t="n">
        <f aca="false">Sens!$J$10527</f>
        <v>615.391435791933</v>
      </c>
      <c r="K10614" s="38" t="n">
        <f aca="false">Sens!$K$10527</f>
        <v>655.208227561543</v>
      </c>
      <c r="L10614" s="38" t="n">
        <f aca="false">Sens!$L$10527</f>
        <v>697.807739249767</v>
      </c>
      <c r="M10614" s="38" t="n">
        <f aca="false">Sens!$M$10527</f>
        <v>743.399328463592</v>
      </c>
      <c r="N10614" s="38" t="n">
        <f aca="false">Sens!$N$10527</f>
        <v>192.955</v>
      </c>
      <c r="O10614" s="38" t="n">
        <f aca="false">Sens!$O$10527</f>
        <v>233.35</v>
      </c>
    </row>
    <row r="10615" customFormat="false" ht="15" hidden="false" customHeight="false" outlineLevel="0" collapsed="false">
      <c r="A10615" s="1" t="s">
        <v>515</v>
      </c>
      <c r="B10615" s="8" t="s">
        <v>86</v>
      </c>
      <c r="C10615" s="38" t="n">
        <f aca="false">Sens!$C$10528</f>
        <v>142.906</v>
      </c>
      <c r="D10615" s="38" t="n">
        <f aca="false">Sens!$D$10528</f>
        <v>161.894</v>
      </c>
      <c r="E10615" s="38" t="n">
        <f aca="false">Sens!$E$10528</f>
        <v>81.986</v>
      </c>
      <c r="F10615" s="38" t="n">
        <f aca="false">Sens!$F$10528</f>
        <v>98.408468164951</v>
      </c>
      <c r="G10615" s="38" t="n">
        <f aca="false">Sens!$G$10528</f>
        <v>180.394468164951</v>
      </c>
      <c r="H10615" s="38" t="n">
        <f aca="false">Sens!$H$10528</f>
        <v>199.709899104949</v>
      </c>
      <c r="I10615" s="38" t="n">
        <f aca="false">Sens!$I$10528</f>
        <v>218.385528264976</v>
      </c>
      <c r="J10615" s="38" t="n">
        <f aca="false">Sens!$J$10528</f>
        <v>235.71696994951</v>
      </c>
      <c r="K10615" s="38" t="n">
        <f aca="false">Sens!$K$10528</f>
        <v>250.968227869545</v>
      </c>
      <c r="L10615" s="38" t="n">
        <f aca="false">Sens!$L$10528</f>
        <v>267.285367225822</v>
      </c>
      <c r="M10615" s="38" t="n">
        <f aca="false">Sens!$M$10528</f>
        <v>284.748579483295</v>
      </c>
      <c r="N10615" s="38" t="n">
        <f aca="false">Sens!$N$10528</f>
        <v>70.274</v>
      </c>
      <c r="O10615" s="38" t="n">
        <f aca="false">Sens!$O$10528</f>
        <v>91.62</v>
      </c>
    </row>
    <row r="10616" customFormat="false" ht="15" hidden="false" customHeight="false" outlineLevel="0" collapsed="false">
      <c r="A10616" s="1" t="s">
        <v>516</v>
      </c>
      <c r="B10616" s="8" t="s">
        <v>86</v>
      </c>
      <c r="C10616" s="38" t="n">
        <f aca="false">Sens!$C$10594</f>
        <v>107.556</v>
      </c>
      <c r="D10616" s="38" t="n">
        <f aca="false">Sens!$D$10594</f>
        <v>128.725</v>
      </c>
      <c r="E10616" s="38" t="n">
        <f aca="false">Sens!$E$10594</f>
        <v>79.819</v>
      </c>
      <c r="F10616" s="38" t="n">
        <f aca="false">Sens!$F$10594</f>
        <v>89.5399324154585</v>
      </c>
      <c r="G10616" s="38" t="n">
        <f aca="false">Sens!$G$10594</f>
        <v>169.358932415459</v>
      </c>
      <c r="H10616" s="38" t="n">
        <f aca="false">Sens!$H$10594</f>
        <v>244.100951085827</v>
      </c>
      <c r="I10616" s="38" t="n">
        <f aca="false">Sens!$I$10594</f>
        <v>326.846051483453</v>
      </c>
      <c r="J10616" s="38" t="n">
        <f aca="false">Sens!$J$10594</f>
        <v>409.133379921729</v>
      </c>
      <c r="K10616" s="38" t="n">
        <f aca="false">Sens!$K$10594</f>
        <v>480.482956242801</v>
      </c>
      <c r="L10616" s="38" t="n">
        <f aca="false">Sens!$L$10594</f>
        <v>533.984460024075</v>
      </c>
      <c r="M10616" s="38" t="n">
        <f aca="false">Sens!$M$10594</f>
        <v>569.691082990856</v>
      </c>
      <c r="N10616" s="38" t="n">
        <f aca="false">Sens!$N$10594</f>
        <v>60.14</v>
      </c>
      <c r="O10616" s="38" t="n">
        <f aca="false">Sens!$O$10594</f>
        <v>68.585</v>
      </c>
    </row>
    <row r="10617" customFormat="false" ht="17.15" hidden="false" customHeight="false" outlineLevel="0" collapsed="false">
      <c r="A10617" s="0" t="s">
        <v>691</v>
      </c>
      <c r="B10617" s="0" t="s">
        <v>86</v>
      </c>
      <c r="C10617" s="38" t="n">
        <f aca="false">Sens!$C$10592</f>
        <v>2.32100535697364</v>
      </c>
      <c r="D10617" s="38" t="n">
        <f aca="false">Sens!$D$10592</f>
        <v>8.70377008865116</v>
      </c>
      <c r="E10617" s="38" t="n">
        <f aca="false">Sens!$E$10592</f>
        <v>8.51035297557002</v>
      </c>
      <c r="F10617" s="38" t="n">
        <f aca="false">Sens!$F$10592</f>
        <v>17.7706326212121</v>
      </c>
      <c r="G10617" s="38" t="n">
        <f aca="false">Sens!$G$10592</f>
        <v>26.2809855967821</v>
      </c>
      <c r="H10617" s="38" t="n">
        <f aca="false">Sens!$H$10592</f>
        <v>83.0838740066237</v>
      </c>
      <c r="I10617" s="38" t="n">
        <f aca="false">Sens!$I$10592</f>
        <v>148.076291961995</v>
      </c>
      <c r="J10617" s="38" t="n">
        <f aca="false">Sens!$J$10592</f>
        <v>213.357841875822</v>
      </c>
      <c r="K10617" s="38" t="n">
        <f aca="false">Sens!$K$10592</f>
        <v>269.045375153221</v>
      </c>
      <c r="L10617" s="38" t="n">
        <f aca="false">Sens!$L$10592</f>
        <v>305.631872447328</v>
      </c>
      <c r="M10617" s="38" t="n">
        <f aca="false">Sens!$M$10592</f>
        <v>323.07028840797</v>
      </c>
      <c r="N10617" s="38" t="n">
        <f aca="false">Sens!$N$10592</f>
        <v>3.04631953102791</v>
      </c>
      <c r="O10617" s="38" t="n">
        <f aca="false">Sens!$O$10592</f>
        <v>5.65745055762326</v>
      </c>
    </row>
    <row r="10618" customFormat="false" ht="17.15" hidden="false" customHeight="false" outlineLevel="0" collapsed="false">
      <c r="A10618" s="0" t="s">
        <v>693</v>
      </c>
      <c r="B10618" s="0" t="s">
        <v>86</v>
      </c>
      <c r="C10618" s="38" t="n">
        <f aca="false">Sens!$C$10593</f>
        <v>105.234994643026</v>
      </c>
      <c r="D10618" s="38" t="n">
        <f aca="false">Sens!$D$10593</f>
        <v>120.021229911349</v>
      </c>
      <c r="E10618" s="38" t="n">
        <f aca="false">Sens!$E$10593</f>
        <v>71.30864702443</v>
      </c>
      <c r="F10618" s="38" t="n">
        <f aca="false">Sens!$F$10593</f>
        <v>71.7692997942464</v>
      </c>
      <c r="G10618" s="38" t="n">
        <f aca="false">Sens!$G$10593</f>
        <v>143.077946818676</v>
      </c>
      <c r="H10618" s="38" t="n">
        <f aca="false">Sens!$H$10593</f>
        <v>161.017077079203</v>
      </c>
      <c r="I10618" s="38" t="n">
        <f aca="false">Sens!$I$10593</f>
        <v>178.769759521457</v>
      </c>
      <c r="J10618" s="38" t="n">
        <f aca="false">Sens!$J$10593</f>
        <v>195.775538045907</v>
      </c>
      <c r="K10618" s="38" t="n">
        <f aca="false">Sens!$K$10593</f>
        <v>211.43758108958</v>
      </c>
      <c r="L10618" s="38" t="n">
        <f aca="false">Sens!$L$10593</f>
        <v>228.352587576746</v>
      </c>
      <c r="M10618" s="38" t="n">
        <f aca="false">Sens!$M$10593</f>
        <v>246.620794582886</v>
      </c>
      <c r="N10618" s="38" t="n">
        <f aca="false">Sens!$N$10593</f>
        <v>57.0936804689721</v>
      </c>
      <c r="O10618" s="38" t="n">
        <f aca="false">Sens!$O$10593</f>
        <v>62.9275494423768</v>
      </c>
    </row>
    <row r="10619" customFormat="false" ht="15" hidden="false" customHeight="false" outlineLevel="0" collapsed="false">
      <c r="A10619" s="3" t="s">
        <v>517</v>
      </c>
      <c r="B10619" s="8" t="s">
        <v>86</v>
      </c>
      <c r="C10619" s="38" t="n">
        <f aca="false">Sens!$C$10595</f>
        <v>637.959</v>
      </c>
      <c r="D10619" s="38" t="n">
        <f aca="false">Sens!$D$10595</f>
        <v>716.924</v>
      </c>
      <c r="E10619" s="38" t="n">
        <f aca="false">Sens!$E$10595</f>
        <v>382.125</v>
      </c>
      <c r="F10619" s="38" t="n">
        <f aca="false">Sens!$F$10595</f>
        <v>438.588174060996</v>
      </c>
      <c r="G10619" s="38" t="n">
        <f aca="false">Sens!$G$10595</f>
        <v>820.713174060996</v>
      </c>
      <c r="H10619" s="38" t="n">
        <f aca="false">Sens!$H$10595</f>
        <v>965.197840607213</v>
      </c>
      <c r="I10619" s="38" t="n">
        <f aca="false">Sens!$I$10595</f>
        <v>1115.37544263598</v>
      </c>
      <c r="J10619" s="38" t="n">
        <f aca="false">Sens!$J$10595</f>
        <v>1260.24178566317</v>
      </c>
      <c r="K10619" s="38" t="n">
        <f aca="false">Sens!$K$10595</f>
        <v>1386.65941167389</v>
      </c>
      <c r="L10619" s="38" t="n">
        <f aca="false">Sens!$L$10595</f>
        <v>1499.07756649966</v>
      </c>
      <c r="M10619" s="38" t="n">
        <f aca="false">Sens!$M$10595</f>
        <v>1597.83899093774</v>
      </c>
      <c r="N10619" s="38" t="n">
        <f aca="false">Sens!$N$10595</f>
        <v>323.369</v>
      </c>
      <c r="O10619" s="38" t="n">
        <f aca="false">Sens!$O$10595</f>
        <v>393.555</v>
      </c>
    </row>
    <row r="10620" customFormat="false" ht="17.15" hidden="false" customHeight="false" outlineLevel="0" collapsed="false">
      <c r="A10620" s="24" t="s">
        <v>696</v>
      </c>
      <c r="B10620" s="25" t="s">
        <v>86</v>
      </c>
      <c r="C10620" s="41" t="n">
        <f aca="false">Sens!$C$10607+Sens!$C$10608+Sens!$C$10609+Sens!$C$10610+Sens!$C$10611+Sens!$C$10612-(Sens!$C$10614+Sens!$C$10615)</f>
        <v>0</v>
      </c>
      <c r="D10620" s="41" t="n">
        <f aca="false">Sens!$D$10607+Sens!$D$10608+Sens!$D$10609+Sens!$D$10610+Sens!$D$10611+Sens!$D$10612-(Sens!$D$10614+Sens!$D$10615)</f>
        <v>0</v>
      </c>
      <c r="E10620" s="41" t="n">
        <f aca="false">Sens!$E$10607+Sens!$E$10608+Sens!$E$10609+Sens!$E$10610+Sens!$E$10611+Sens!$E$10612-(Sens!$E$10614+Sens!$E$10615)</f>
        <v>0</v>
      </c>
      <c r="F10620" s="41" t="n">
        <f aca="false">Sens!$F$10607+Sens!$F$10608+Sens!$F$10609+Sens!$F$10610+Sens!$F$10611+Sens!$F$10612-(Sens!$F$10614+Sens!$F$10615)</f>
        <v>0</v>
      </c>
      <c r="G10620" s="41" t="n">
        <f aca="false">Sens!$G$10607+Sens!$G$10608+Sens!$G$10609+Sens!$G$10610+Sens!$G$10611+Sens!$G$10612-(Sens!$G$10614+Sens!$G$10615)</f>
        <v>0</v>
      </c>
      <c r="H10620" s="41" t="n">
        <f aca="false">Sens!$H$10607+Sens!$H$10608+Sens!$H$10609+Sens!$H$10610+Sens!$H$10611+Sens!$H$10612-(Sens!$H$10614+Sens!$H$10615)</f>
        <v>0</v>
      </c>
      <c r="I10620" s="41" t="n">
        <f aca="false">Sens!$I$10607+Sens!$I$10608+Sens!$I$10609+Sens!$I$10610+Sens!$I$10611+Sens!$I$10612-(Sens!$I$10614+Sens!$I$10615)</f>
        <v>0</v>
      </c>
      <c r="J10620" s="41" t="n">
        <f aca="false">Sens!$J$10607+Sens!$J$10608+Sens!$J$10609+Sens!$J$10610+Sens!$J$10611+Sens!$J$10612-(Sens!$J$10614+Sens!$J$10615)</f>
        <v>0</v>
      </c>
      <c r="K10620" s="41" t="n">
        <f aca="false">Sens!$K$10607+Sens!$K$10608+Sens!$K$10609+Sens!$K$10610+Sens!$K$10611+Sens!$K$10612-(Sens!$K$10614+Sens!$K$10615)</f>
        <v>0</v>
      </c>
      <c r="L10620" s="41" t="n">
        <f aca="false">Sens!$L$10607+Sens!$L$10608+Sens!$L$10609+Sens!$L$10610+Sens!$L$10611+Sens!$L$10612-(Sens!$L$10614+Sens!$L$10615)</f>
        <v>0</v>
      </c>
      <c r="M10620" s="41" t="n">
        <f aca="false">Sens!$M$10607+Sens!$M$10608+Sens!$M$10609+Sens!$M$10610+Sens!$M$10611+Sens!$M$10612-(Sens!$M$10614+Sens!$M$10615)</f>
        <v>0</v>
      </c>
      <c r="N10620" s="41" t="n">
        <f aca="false">Sens!$N$10607+Sens!$N$10608+Sens!$N$10609+Sens!$N$10610+Sens!$N$10611+Sens!$N$10612-(Sens!$N$10614+Sens!$N$10615)</f>
        <v>0</v>
      </c>
      <c r="O10620" s="41" t="n">
        <f aca="false">Sens!$O$10607+Sens!$O$10608+Sens!$O$10609+Sens!$O$10610+Sens!$O$10611+Sens!$O$10612-(Sens!$O$10614+Sens!$O$10615)</f>
        <v>0</v>
      </c>
    </row>
    <row r="10621" customFormat="false" ht="17.15" hidden="false" customHeight="false" outlineLevel="0" collapsed="false">
      <c r="A10621" s="24" t="s">
        <v>697</v>
      </c>
      <c r="B10621" s="25" t="s">
        <v>86</v>
      </c>
      <c r="C10621" s="41" t="n">
        <f aca="false">Sens!$C$10617+Sens!$C$10618-Sens!$C$10616</f>
        <v>0</v>
      </c>
      <c r="D10621" s="41" t="n">
        <f aca="false">Sens!$D$10617+Sens!$D$10618-Sens!$D$10616</f>
        <v>0</v>
      </c>
      <c r="E10621" s="41" t="n">
        <f aca="false">Sens!$E$10617+Sens!$E$10618-Sens!$E$10616</f>
        <v>0</v>
      </c>
      <c r="F10621" s="41" t="n">
        <f aca="false">Sens!$F$10617+Sens!$F$10618-Sens!$F$10616</f>
        <v>0</v>
      </c>
      <c r="G10621" s="41" t="n">
        <f aca="false">Sens!$G$10617+Sens!$G$10618-Sens!$G$10616</f>
        <v>0</v>
      </c>
      <c r="H10621" s="41" t="n">
        <f aca="false">Sens!$H$10617+Sens!$H$10618-Sens!$H$10616</f>
        <v>0</v>
      </c>
      <c r="I10621" s="41" t="n">
        <f aca="false">Sens!$I$10617+Sens!$I$10618-Sens!$I$10616</f>
        <v>0</v>
      </c>
      <c r="J10621" s="41" t="n">
        <f aca="false">Sens!$J$10617+Sens!$J$10618-Sens!$J$10616</f>
        <v>0</v>
      </c>
      <c r="K10621" s="41" t="n">
        <f aca="false">Sens!$K$10617+Sens!$K$10618-Sens!$K$10616</f>
        <v>0</v>
      </c>
      <c r="L10621" s="41" t="n">
        <f aca="false">Sens!$L$10617+Sens!$L$10618-Sens!$L$10616</f>
        <v>0</v>
      </c>
      <c r="M10621" s="41" t="n">
        <f aca="false">Sens!$M$10617+Sens!$M$10618-Sens!$M$10616</f>
        <v>0</v>
      </c>
      <c r="N10621" s="41" t="n">
        <f aca="false">Sens!$N$10617+Sens!$N$10618-Sens!$N$10616</f>
        <v>0</v>
      </c>
      <c r="O10621" s="41" t="n">
        <f aca="false">Sens!$O$10617+Sens!$O$10618-Sens!$O$10616</f>
        <v>0</v>
      </c>
    </row>
    <row r="10622" customFormat="false" ht="17.15" hidden="false" customHeight="false" outlineLevel="0" collapsed="false">
      <c r="A10622" s="24" t="s">
        <v>718</v>
      </c>
      <c r="B10622" s="25" t="s">
        <v>86</v>
      </c>
      <c r="C10622" s="41" t="n">
        <f aca="false">Sens!$C$10607+Sens!$C$10608+Sens!$C$10609+Sens!$C$10610+Sens!$C$10611+Sens!$C$10612+Sens!$C$10613-Sens!$C$10619</f>
        <v>0</v>
      </c>
      <c r="D10622" s="41" t="n">
        <f aca="false">Sens!$D$10607+Sens!$D$10608+Sens!$D$10609+Sens!$D$10610+Sens!$D$10611+Sens!$D$10612+Sens!$D$10613-Sens!$D$10619</f>
        <v>0</v>
      </c>
      <c r="E10622" s="41" t="n">
        <f aca="false">Sens!$E$10607+Sens!$E$10608+Sens!$E$10609+Sens!$E$10610+Sens!$E$10611+Sens!$E$10612+Sens!$E$10613-Sens!$E$10619</f>
        <v>0</v>
      </c>
      <c r="F10622" s="41" t="n">
        <f aca="false">Sens!$F$10607+Sens!$F$10608+Sens!$F$10609+Sens!$F$10610+Sens!$F$10611+Sens!$F$10612+Sens!$F$10613-Sens!$F$10619</f>
        <v>0</v>
      </c>
      <c r="G10622" s="41" t="n">
        <f aca="false">Sens!$G$10607+Sens!$G$10608+Sens!$G$10609+Sens!$G$10610+Sens!$G$10611+Sens!$G$10612+Sens!$G$10613-Sens!$G$10619</f>
        <v>0</v>
      </c>
      <c r="H10622" s="41" t="n">
        <f aca="false">Sens!$H$10607+Sens!$H$10608+Sens!$H$10609+Sens!$H$10610+Sens!$H$10611+Sens!$H$10612+Sens!$H$10613-Sens!$H$10619</f>
        <v>0</v>
      </c>
      <c r="I10622" s="41" t="n">
        <f aca="false">Sens!$I$10607+Sens!$I$10608+Sens!$I$10609+Sens!$I$10610+Sens!$I$10611+Sens!$I$10612+Sens!$I$10613-Sens!$I$10619</f>
        <v>0</v>
      </c>
      <c r="J10622" s="41" t="n">
        <f aca="false">Sens!$J$10607+Sens!$J$10608+Sens!$J$10609+Sens!$J$10610+Sens!$J$10611+Sens!$J$10612+Sens!$J$10613-Sens!$J$10619</f>
        <v>0</v>
      </c>
      <c r="K10622" s="41" t="n">
        <f aca="false">Sens!$K$10607+Sens!$K$10608+Sens!$K$10609+Sens!$K$10610+Sens!$K$10611+Sens!$K$10612+Sens!$K$10613-Sens!$K$10619</f>
        <v>0</v>
      </c>
      <c r="L10622" s="41" t="n">
        <f aca="false">Sens!$L$10607+Sens!$L$10608+Sens!$L$10609+Sens!$L$10610+Sens!$L$10611+Sens!$L$10612+Sens!$L$10613-Sens!$L$10619</f>
        <v>0</v>
      </c>
      <c r="M10622" s="41" t="n">
        <f aca="false">Sens!$M$10607+Sens!$M$10608+Sens!$M$10609+Sens!$M$10610+Sens!$M$10611+Sens!$M$10612+Sens!$M$10613-Sens!$M$10619</f>
        <v>0</v>
      </c>
      <c r="N10622" s="41" t="n">
        <f aca="false">Sens!$N$10607+Sens!$N$10608+Sens!$N$10609+Sens!$N$10610+Sens!$N$10611+Sens!$N$10612+Sens!$N$10613-Sens!$N$10619</f>
        <v>0</v>
      </c>
      <c r="O10622" s="41" t="n">
        <f aca="false">Sens!$O$10607+Sens!$O$10608+Sens!$O$10609+Sens!$O$10610+Sens!$O$10611+Sens!$O$10612+Sens!$O$10613-Sens!$O$10619</f>
        <v>0</v>
      </c>
    </row>
    <row r="10623" customFormat="false" ht="17.15" hidden="false" customHeight="false" outlineLevel="0" collapsed="false">
      <c r="A10623" s="24" t="s">
        <v>698</v>
      </c>
      <c r="B10623" s="25" t="s">
        <v>86</v>
      </c>
      <c r="C10623" s="41" t="n">
        <f aca="false">Sens!$C$10614+Sens!$C$10615+Sens!$C$10616-Sens!$C$10619</f>
        <v>0</v>
      </c>
      <c r="D10623" s="41" t="n">
        <f aca="false">Sens!$D$10614+Sens!$D$10615+Sens!$D$10616-Sens!$D$10619</f>
        <v>0</v>
      </c>
      <c r="E10623" s="41" t="n">
        <f aca="false">Sens!$E$10614+Sens!$E$10615+Sens!$E$10616-Sens!$E$10619</f>
        <v>0</v>
      </c>
      <c r="F10623" s="41" t="n">
        <f aca="false">Sens!$F$10614+Sens!$F$10615+Sens!$F$10616-Sens!$F$10619</f>
        <v>0</v>
      </c>
      <c r="G10623" s="41" t="n">
        <f aca="false">Sens!$G$10614+Sens!$G$10615+Sens!$G$10616-Sens!$G$10619</f>
        <v>0</v>
      </c>
      <c r="H10623" s="41" t="n">
        <f aca="false">Sens!$H$10614+Sens!$H$10615+Sens!$H$10616-Sens!$H$10619</f>
        <v>0</v>
      </c>
      <c r="I10623" s="41" t="n">
        <f aca="false">Sens!$I$10614+Sens!$I$10615+Sens!$I$10616-Sens!$I$10619</f>
        <v>0</v>
      </c>
      <c r="J10623" s="41" t="n">
        <f aca="false">Sens!$J$10614+Sens!$J$10615+Sens!$J$10616-Sens!$J$10619</f>
        <v>0</v>
      </c>
      <c r="K10623" s="41" t="n">
        <f aca="false">Sens!$K$10614+Sens!$K$10615+Sens!$K$10616-Sens!$K$10619</f>
        <v>0</v>
      </c>
      <c r="L10623" s="41" t="n">
        <f aca="false">Sens!$L$10614+Sens!$L$10615+Sens!$L$10616-Sens!$L$10619</f>
        <v>0</v>
      </c>
      <c r="M10623" s="41" t="n">
        <f aca="false">Sens!$M$10614+Sens!$M$10615+Sens!$M$10616-Sens!$M$10619</f>
        <v>0</v>
      </c>
      <c r="N10623" s="41" t="n">
        <f aca="false">Sens!$N$10614+Sens!$N$10615+Sens!$N$10616-Sens!$N$10619</f>
        <v>0</v>
      </c>
      <c r="O10623" s="41" t="n">
        <f aca="false">Sens!$O$10614+Sens!$O$10615+Sens!$O$10616-Sens!$O$10619</f>
        <v>0</v>
      </c>
    </row>
    <row r="10624" customFormat="false" ht="17.15" hidden="false" customHeight="false" outlineLevel="0" collapsed="false">
      <c r="A10624" s="1" t="s">
        <v>719</v>
      </c>
    </row>
    <row r="10625" customFormat="false" ht="17.15" hidden="false" customHeight="false" outlineLevel="0" collapsed="false">
      <c r="A10625" s="0" t="s">
        <v>720</v>
      </c>
      <c r="B10625" s="0" t="s">
        <v>86</v>
      </c>
      <c r="C10625" s="38" t="n">
        <f aca="false">Sens!$C$10529*m_ad</f>
        <v>20.5341564414228</v>
      </c>
      <c r="D10625" s="38" t="n">
        <f aca="false">Sens!$D$10529*m_ad</f>
        <v>24.8720617299587</v>
      </c>
      <c r="E10625" s="38" t="n">
        <f aca="false">Sens!$E$10529*m_ad</f>
        <v>13.5017112462207</v>
      </c>
      <c r="F10625" s="38" t="n">
        <f aca="false">Sens!$F$10529*m_ad</f>
        <v>16.5719724165257</v>
      </c>
      <c r="G10625" s="38" t="n">
        <f aca="false">Sens!$G$10529*m_ad</f>
        <v>30.0820919220415</v>
      </c>
      <c r="H10625" s="38" t="n">
        <f aca="false">Sens!$H$10529*m_ad</f>
        <v>36.1150883276314</v>
      </c>
      <c r="I10625" s="38" t="n">
        <f aca="false">Sens!$I$10529*m_ad</f>
        <v>42.1475382231996</v>
      </c>
      <c r="J10625" s="38" t="n">
        <f aca="false">Sens!$J$10529*m_ad</f>
        <v>47.7749523864693</v>
      </c>
      <c r="K10625" s="38" t="n">
        <f aca="false">Sens!$K$10529*m_ad</f>
        <v>52.5524476251162</v>
      </c>
      <c r="L10625" s="38" t="n">
        <f aca="false">Sens!$L$10529*m_ad</f>
        <v>57.8076923876279</v>
      </c>
      <c r="M10625" s="38" t="n">
        <f aca="false">Sens!$M$10529*m_ad</f>
        <v>63.5884616263907</v>
      </c>
      <c r="N10625" s="38" t="n">
        <f aca="false">Sens!$N$10529*m_ad</f>
        <v>10.8543555706248</v>
      </c>
      <c r="O10625" s="38" t="n">
        <f aca="false">Sens!$O$10529*m_ad</f>
        <v>14.0094731821399</v>
      </c>
    </row>
    <row r="10626" customFormat="false" ht="17.15" hidden="false" customHeight="false" outlineLevel="0" collapsed="false">
      <c r="A10626" s="0" t="s">
        <v>721</v>
      </c>
      <c r="B10626" s="0" t="s">
        <v>86</v>
      </c>
      <c r="C10626" s="38" t="n">
        <f aca="false">Sens!$C$10527-Sens!$C$10529</f>
        <v>346.428687117154</v>
      </c>
      <c r="D10626" s="38" t="n">
        <f aca="false">Sens!$D$10527-Sens!$D$10529</f>
        <v>376.560876540083</v>
      </c>
      <c r="E10626" s="38" t="n">
        <f aca="false">Sens!$E$10527-Sens!$E$10529</f>
        <v>193.316577507559</v>
      </c>
      <c r="F10626" s="38" t="n">
        <f aca="false">Sens!$F$10527-Sens!$F$10529</f>
        <v>217.495828647535</v>
      </c>
      <c r="G10626" s="38" t="n">
        <f aca="false">Sens!$G$10527-Sens!$G$10529</f>
        <v>410.795589636503</v>
      </c>
      <c r="H10626" s="38" t="n">
        <f aca="false">Sens!$H$10527-Sens!$H$10529</f>
        <v>449.156813761174</v>
      </c>
      <c r="I10626" s="38" t="n">
        <f aca="false">Sens!$I$10527-Sens!$I$10529</f>
        <v>485.848786441156</v>
      </c>
      <c r="J10626" s="38" t="n">
        <f aca="false">Sens!$J$10527-Sens!$J$10529</f>
        <v>519.841531018994</v>
      </c>
      <c r="K10626" s="38" t="n">
        <f aca="false">Sens!$K$10527-Sens!$K$10529</f>
        <v>550.103332311311</v>
      </c>
      <c r="L10626" s="38" t="n">
        <f aca="false">Sens!$L$10527-Sens!$L$10529</f>
        <v>582.192354474511</v>
      </c>
      <c r="M10626" s="38" t="n">
        <f aca="false">Sens!$M$10527-Sens!$M$10529</f>
        <v>616.22240521081</v>
      </c>
      <c r="N10626" s="38" t="n">
        <f aca="false">Sens!$N$10527-Sens!$N$10529</f>
        <v>171.24628885875</v>
      </c>
      <c r="O10626" s="38" t="n">
        <f aca="false">Sens!$O$10527-Sens!$O$10529</f>
        <v>205.33105363572</v>
      </c>
    </row>
    <row r="10627" customFormat="false" ht="17.15" hidden="false" customHeight="false" outlineLevel="0" collapsed="false">
      <c r="A10627" s="0" t="s">
        <v>722</v>
      </c>
      <c r="B10627" s="0" t="s">
        <v>86</v>
      </c>
      <c r="C10627" s="38" t="n">
        <f aca="false">Sens!$C$10578*Sens!$C$10526</f>
        <v>0.123617442257179</v>
      </c>
      <c r="D10627" s="38" t="n">
        <f aca="false">Sens!$D$10578*Sens!$D$10526</f>
        <v>0.600198046024689</v>
      </c>
      <c r="E10627" s="38" t="n">
        <f aca="false">Sens!$E$10578*Sens!$E$10526</f>
        <v>0.970552432202993</v>
      </c>
      <c r="F10627" s="38" t="n">
        <f aca="false">Sens!$F$10578*Sens!$F$10526</f>
        <v>1.20508758179477</v>
      </c>
      <c r="G10627" s="38" t="n">
        <f aca="false">Sens!$G$10578*Sens!$G$10526</f>
        <v>2.17634038517516</v>
      </c>
      <c r="H10627" s="38" t="n">
        <f aca="false">Sens!$H$10578*Sens!$H$10526</f>
        <v>6.23494820825366</v>
      </c>
      <c r="I10627" s="38" t="n">
        <f aca="false">Sens!$I$10578*Sens!$I$10526</f>
        <v>11.8941061564998</v>
      </c>
      <c r="J10627" s="38" t="n">
        <f aca="false">Sens!$J$10578*Sens!$J$10526</f>
        <v>17.7065099060726</v>
      </c>
      <c r="K10627" s="38" t="n">
        <f aca="false">Sens!$K$10578*Sens!$K$10526</f>
        <v>23.3922312661646</v>
      </c>
      <c r="L10627" s="38" t="n">
        <f aca="false">Sens!$L$10578*Sens!$L$10526</f>
        <v>27.3302092157187</v>
      </c>
      <c r="M10627" s="38" t="n">
        <f aca="false">Sens!$M$10578*Sens!$M$10526</f>
        <v>29.7534922517711</v>
      </c>
      <c r="N10627" s="38" t="n">
        <f aca="false">Sens!$N$10578*Sens!$N$10526</f>
        <v>0.25053229484398</v>
      </c>
      <c r="O10627" s="38" t="n">
        <f aca="false">Sens!$O$10578*Sens!$O$10526</f>
        <v>0.349234376756897</v>
      </c>
    </row>
    <row r="10628" customFormat="false" ht="17.15" hidden="false" customHeight="false" outlineLevel="0" collapsed="false">
      <c r="A10628" s="0" t="s">
        <v>723</v>
      </c>
      <c r="B10628" s="0" t="s">
        <v>52</v>
      </c>
      <c r="C10628" s="28" t="n">
        <f aca="false">(Sens!$C$10629-Sens!$C$10625+Sens!$C$10627)/Sens!$C$10626</f>
        <v>0.0131526665379575</v>
      </c>
      <c r="D10628" s="28" t="n">
        <f aca="false">(Sens!$D$10629-Sens!$D$10625+Sens!$D$10627)/Sens!$D$10626</f>
        <v>0.0141999252954702</v>
      </c>
      <c r="E10628" s="28" t="n">
        <f aca="false">(Sens!$E$10629-Sens!$E$10625+Sens!$E$10627)/Sens!$E$10626</f>
        <v>0.0251341154940129</v>
      </c>
      <c r="F10628" s="28" t="n">
        <f aca="false">Sens!$O$10628+(Sens!$E$10628-Sens!$N$10628)</f>
        <v>0.0217171685713677</v>
      </c>
      <c r="G10628" s="28" t="n">
        <f aca="false">(Sens!$G$10629-Sens!$G$10625+Sens!$G$10627)/Sens!$G$10626</f>
        <v>0.0233072776673296</v>
      </c>
      <c r="H10628" s="28" t="n">
        <f aca="false">Sens!$G$10628+step_na</f>
        <v>0.0263072776673296</v>
      </c>
      <c r="I10628" s="28" t="n">
        <f aca="false">Sens!$H$10628+step_na</f>
        <v>0.0293072776673296</v>
      </c>
      <c r="J10628" s="28" t="n">
        <f aca="false">Sens!$I$10628+step_na</f>
        <v>0.0323072776673296</v>
      </c>
      <c r="K10628" s="28" t="n">
        <f aca="false">Sens!$J$10628+step_na</f>
        <v>0.0353072776673296</v>
      </c>
      <c r="L10628" s="28" t="n">
        <f aca="false">Sens!$K$10628</f>
        <v>0.0353072776673296</v>
      </c>
      <c r="M10628" s="28" t="n">
        <f aca="false">Sens!$L$10628</f>
        <v>0.0353072776673296</v>
      </c>
      <c r="N10628" s="28" t="n">
        <f aca="false">(Sens!$N$10629-Sens!$N$10625+Sens!$N$10627)/Sens!$N$10626</f>
        <v>0.0160831323269779</v>
      </c>
      <c r="O10628" s="28" t="n">
        <f aca="false">(Sens!$O$10629-Sens!$O$10625+Sens!$O$10627)/Sens!$O$10626</f>
        <v>0.0126661854043327</v>
      </c>
      <c r="P10628" s="8" t="s">
        <v>724</v>
      </c>
    </row>
    <row r="10629" customFormat="false" ht="17.15" hidden="false" customHeight="false" outlineLevel="0" collapsed="false">
      <c r="A10629" s="1" t="s">
        <v>725</v>
      </c>
      <c r="B10629" s="8" t="s">
        <v>86</v>
      </c>
      <c r="C10629" s="38" t="n">
        <f aca="false">Q!$D$22</f>
        <v>24.967</v>
      </c>
      <c r="D10629" s="38" t="n">
        <f aca="false">Q!$E$22</f>
        <v>29.619</v>
      </c>
      <c r="E10629" s="38" t="n">
        <f aca="false">Q!$P$22</f>
        <v>17.39</v>
      </c>
      <c r="F10629" s="38" t="n">
        <f aca="false">Sens!$F$10625+Sens!$F$10626*Sens!$F$10628-Sens!$F$10627</f>
        <v>20.0902784090387</v>
      </c>
      <c r="G10629" s="38" t="n">
        <f aca="false">Sens!$E$10629+Sens!$F$10629</f>
        <v>37.4802784090387</v>
      </c>
      <c r="H10629" s="38" t="n">
        <f aca="false">Sens!$H$10625+Sens!$H$10626*Sens!$H$10628-Sens!$H$10627</f>
        <v>41.696233135166</v>
      </c>
      <c r="I10629" s="38" t="n">
        <f aca="false">Sens!$I$10625+Sens!$I$10626*Sens!$I$10628-Sens!$I$10627</f>
        <v>44.4923373552658</v>
      </c>
      <c r="J10629" s="38" t="n">
        <f aca="false">Sens!$J$10625+Sens!$J$10626*Sens!$J$10628-Sens!$J$10627</f>
        <v>46.8631071660371</v>
      </c>
      <c r="K10629" s="38" t="n">
        <f aca="false">Sens!$K$10625+Sens!$K$10626*Sens!$K$10628-Sens!$K$10627</f>
        <v>48.5828674585903</v>
      </c>
      <c r="L10629" s="38" t="n">
        <f aca="false">Sens!$L$10625+Sens!$L$10626*Sens!$L$10628-Sens!$L$10627</f>
        <v>51.0331102871372</v>
      </c>
      <c r="M10629" s="38" t="n">
        <f aca="false">Sens!$M$10625+Sens!$M$10626*Sens!$M$10628-Sens!$M$10627</f>
        <v>55.5921049402273</v>
      </c>
      <c r="N10629" s="38" t="n">
        <f aca="false">Q!$N$22</f>
        <v>13.358</v>
      </c>
      <c r="O10629" s="38" t="n">
        <f aca="false">Q!$O$22</f>
        <v>16.261</v>
      </c>
    </row>
    <row r="10630" customFormat="false" ht="17.15" hidden="false" customHeight="false" outlineLevel="0" collapsed="false">
      <c r="A10630" s="0" t="s">
        <v>726</v>
      </c>
      <c r="B10630" s="0" t="s">
        <v>86</v>
      </c>
      <c r="C10630" s="38" t="n">
        <f aca="false">Sens!$C$10530*m_ad</f>
        <v>7.57284355857716</v>
      </c>
      <c r="D10630" s="38" t="n">
        <f aca="false">Sens!$D$10530*m_ad</f>
        <v>9.44543827004127</v>
      </c>
      <c r="E10630" s="38" t="n">
        <f aca="false">Sens!$E$10530*m_ad</f>
        <v>5.02428875377928</v>
      </c>
      <c r="F10630" s="38" t="n">
        <f aca="false">Sens!$F$10530*m_ad</f>
        <v>6.50663858068173</v>
      </c>
      <c r="G10630" s="38" t="n">
        <f aca="false">Sens!$G$10530*m_ad</f>
        <v>11.5225190751659</v>
      </c>
      <c r="H10630" s="38" t="n">
        <f aca="false">Sens!$H$10530*m_ad</f>
        <v>13.8333728663174</v>
      </c>
      <c r="I10630" s="38" t="n">
        <f aca="false">Sens!$I$10530*m_ad</f>
        <v>16.1440173245485</v>
      </c>
      <c r="J10630" s="38" t="n">
        <f aca="false">Sens!$J$10530*m_ad</f>
        <v>18.2995185845066</v>
      </c>
      <c r="K10630" s="38" t="n">
        <f aca="false">Sens!$K$10530*m_ad</f>
        <v>20.1294704429572</v>
      </c>
      <c r="L10630" s="38" t="n">
        <f aca="false">Sens!$L$10530*m_ad</f>
        <v>22.142417487253</v>
      </c>
      <c r="M10630" s="38" t="n">
        <f aca="false">Sens!$M$10530*m_ad</f>
        <v>24.3566592359783</v>
      </c>
      <c r="N10630" s="38" t="n">
        <f aca="false">Sens!$N$10530*m_ad</f>
        <v>3.95314442937518</v>
      </c>
      <c r="O10630" s="38" t="n">
        <f aca="false">Sens!$O$10530*m_ad</f>
        <v>5.50052681786011</v>
      </c>
    </row>
    <row r="10631" customFormat="false" ht="17.15" hidden="false" customHeight="false" outlineLevel="0" collapsed="false">
      <c r="A10631" s="0" t="s">
        <v>727</v>
      </c>
      <c r="B10631" s="0" t="s">
        <v>86</v>
      </c>
      <c r="C10631" s="38" t="n">
        <f aca="false">Sens!$C$10528-Sens!$C$10530</f>
        <v>127.760312882846</v>
      </c>
      <c r="D10631" s="38" t="n">
        <f aca="false">Sens!$D$10528-Sens!$D$10530</f>
        <v>143.003123459917</v>
      </c>
      <c r="E10631" s="38" t="n">
        <f aca="false">Sens!$E$10528-Sens!$E$10530</f>
        <v>71.9374224924414</v>
      </c>
      <c r="F10631" s="38" t="n">
        <f aca="false">Sens!$F$10528-Sens!$F$10530</f>
        <v>85.3951910035875</v>
      </c>
      <c r="G10631" s="38" t="n">
        <f aca="false">Sens!$G$10528-Sens!$G$10530</f>
        <v>157.349430014619</v>
      </c>
      <c r="H10631" s="38" t="n">
        <f aca="false">Sens!$H$10528-Sens!$H$10530</f>
        <v>172.043153372315</v>
      </c>
      <c r="I10631" s="38" t="n">
        <f aca="false">Sens!$I$10528-Sens!$I$10530</f>
        <v>186.097493615879</v>
      </c>
      <c r="J10631" s="38" t="n">
        <f aca="false">Sens!$J$10528-Sens!$J$10530</f>
        <v>199.117932780497</v>
      </c>
      <c r="K10631" s="38" t="n">
        <f aca="false">Sens!$K$10528-Sens!$K$10530</f>
        <v>210.70928698363</v>
      </c>
      <c r="L10631" s="38" t="n">
        <f aca="false">Sens!$L$10528-Sens!$L$10530</f>
        <v>223.000532251316</v>
      </c>
      <c r="M10631" s="38" t="n">
        <f aca="false">Sens!$M$10528-Sens!$M$10530</f>
        <v>236.035261011339</v>
      </c>
      <c r="N10631" s="38" t="n">
        <f aca="false">Sens!$N$10528-Sens!$N$10530</f>
        <v>62.3677111412496</v>
      </c>
      <c r="O10631" s="38" t="n">
        <f aca="false">Sens!$O$10528-Sens!$O$10530</f>
        <v>80.6189463642798</v>
      </c>
    </row>
    <row r="10632" customFormat="false" ht="17.15" hidden="false" customHeight="false" outlineLevel="0" collapsed="false">
      <c r="A10632" s="0" t="s">
        <v>728</v>
      </c>
      <c r="B10632" s="0" t="s">
        <v>86</v>
      </c>
      <c r="C10632" s="38" t="n">
        <f aca="false">Sens!$C$10578*(1-Sens!$C$10526)</f>
        <v>0.0455891896019953</v>
      </c>
      <c r="D10632" s="38" t="n">
        <f aca="false">Sens!$D$10578*(1-Sens!$D$10526)</f>
        <v>0.227931791705753</v>
      </c>
      <c r="E10632" s="38" t="n">
        <f aca="false">Sens!$E$10578*(1-Sens!$E$10526)</f>
        <v>0.361164268820781</v>
      </c>
      <c r="F10632" s="38" t="n">
        <f aca="false">Sens!$F$10578*(1-Sens!$F$10526)</f>
        <v>0.473152450156574</v>
      </c>
      <c r="G10632" s="38" t="n">
        <f aca="false">Sens!$G$10578*(1-Sens!$G$10526)</f>
        <v>0.833616347799951</v>
      </c>
      <c r="H10632" s="38" t="n">
        <f aca="false">Sens!$H$10578*(1-Sens!$H$10526)</f>
        <v>2.38820856769055</v>
      </c>
      <c r="I10632" s="38" t="n">
        <f aca="false">Sens!$I$10578*(1-Sens!$I$10526)</f>
        <v>4.55586883470357</v>
      </c>
      <c r="J10632" s="38" t="n">
        <f aca="false">Sens!$J$10578*(1-Sens!$J$10526)</f>
        <v>6.7822277345627</v>
      </c>
      <c r="K10632" s="38" t="n">
        <f aca="false">Sens!$K$10578*(1-Sens!$K$10526)</f>
        <v>8.96006274010419</v>
      </c>
      <c r="L10632" s="38" t="n">
        <f aca="false">Sens!$L$10578*(1-Sens!$L$10526)</f>
        <v>10.4684493961556</v>
      </c>
      <c r="M10632" s="38" t="n">
        <f aca="false">Sens!$M$10578*(1-Sens!$M$10526)</f>
        <v>11.3966536274239</v>
      </c>
      <c r="N10632" s="38" t="n">
        <f aca="false">Sens!$N$10578*(1-Sens!$N$10526)</f>
        <v>0.0912435878202994</v>
      </c>
      <c r="O10632" s="38" t="n">
        <f aca="false">Sens!$O$10578*(1-Sens!$O$10526)</f>
        <v>0.137119578309265</v>
      </c>
    </row>
    <row r="10633" customFormat="false" ht="17.15" hidden="false" customHeight="false" outlineLevel="0" collapsed="false">
      <c r="A10633" s="0" t="s">
        <v>729</v>
      </c>
      <c r="B10633" s="0" t="s">
        <v>52</v>
      </c>
      <c r="C10633" s="28" t="n">
        <f aca="false">(Sens!$C$10634-Sens!$C$10630+Sens!$C$10632)/Sens!$C$10631</f>
        <v>-0.0292364215826579</v>
      </c>
      <c r="D10633" s="28" t="n">
        <f aca="false">(Sens!$D$10634-Sens!$D$10630+Sens!$D$10632)/Sens!$D$10631</f>
        <v>-0.0312406216748665</v>
      </c>
      <c r="E10633" s="28" t="n">
        <f aca="false">(Sens!$E$10634-Sens!$E$10630+Sens!$E$10632)/Sens!$E$10631</f>
        <v>-0.0211590078184749</v>
      </c>
      <c r="F10633" s="28" t="n">
        <f aca="false">Sens!$O$10633+(Sens!$E$10633-Sens!$N$10633)</f>
        <v>-0.0382539955245511</v>
      </c>
      <c r="G10633" s="28" t="n">
        <f aca="false">(Sens!$G$10634-Sens!$G$10630+Sens!$G$10632)/Sens!$G$10631</f>
        <v>-0.0303853903434285</v>
      </c>
      <c r="H10633" s="28" t="n">
        <f aca="false">Sens!$G$10633+step_in</f>
        <v>-0.0303853903434285</v>
      </c>
      <c r="I10633" s="28" t="n">
        <f aca="false">Sens!$H$10633+step_in</f>
        <v>-0.0303853903434285</v>
      </c>
      <c r="J10633" s="28" t="n">
        <f aca="false">Sens!$I$10633+step_in</f>
        <v>-0.0303853903434285</v>
      </c>
      <c r="K10633" s="28" t="n">
        <f aca="false">Sens!$J$10633+step_in</f>
        <v>-0.0303853903434285</v>
      </c>
      <c r="L10633" s="28" t="n">
        <f aca="false">Sens!$K$10633</f>
        <v>-0.0303853903434285</v>
      </c>
      <c r="M10633" s="28" t="n">
        <f aca="false">Sens!$L$10633</f>
        <v>-0.0303853903434285</v>
      </c>
      <c r="N10633" s="28" t="n">
        <f aca="false">(Sens!$N$10634-Sens!$N$10630+Sens!$N$10632)/Sens!$N$10631</f>
        <v>-0.0216602600421776</v>
      </c>
      <c r="O10633" s="28" t="n">
        <f aca="false">(Sens!$O$10634-Sens!$O$10630+Sens!$O$10632)/Sens!$O$10631</f>
        <v>-0.0387552477482538</v>
      </c>
      <c r="P10633" s="8" t="s">
        <v>724</v>
      </c>
    </row>
    <row r="10634" customFormat="false" ht="17.15" hidden="false" customHeight="false" outlineLevel="0" collapsed="false">
      <c r="A10634" s="1" t="s">
        <v>730</v>
      </c>
      <c r="B10634" s="8" t="s">
        <v>86</v>
      </c>
      <c r="C10634" s="38" t="n">
        <f aca="false">Q!$D$23</f>
        <v>3.792</v>
      </c>
      <c r="D10634" s="38" t="n">
        <f aca="false">Q!$E$23</f>
        <v>4.75</v>
      </c>
      <c r="E10634" s="38" t="n">
        <f aca="false">Q!$P$23</f>
        <v>3.141</v>
      </c>
      <c r="F10634" s="38" t="n">
        <f aca="false">Sens!$F$10630+Sens!$F$10631*Sens!$F$10633-Sens!$F$10632</f>
        <v>2.76677887605573</v>
      </c>
      <c r="G10634" s="38" t="n">
        <f aca="false">Sens!$E$10634+Sens!$F$10634</f>
        <v>5.90777887605573</v>
      </c>
      <c r="H10634" s="38" t="n">
        <f aca="false">Sens!$H$10630+Sens!$H$10631*Sens!$H$10633-Sens!$H$10632</f>
        <v>6.21756592749469</v>
      </c>
      <c r="I10634" s="38" t="n">
        <f aca="false">Sens!$I$10630+Sens!$I$10631*Sens!$I$10633-Sens!$I$10632</f>
        <v>5.93350350439279</v>
      </c>
      <c r="J10634" s="38" t="n">
        <f aca="false">Sens!$J$10630+Sens!$J$10631*Sens!$J$10633-Sens!$J$10632</f>
        <v>5.46701473803192</v>
      </c>
      <c r="K10634" s="38" t="n">
        <f aca="false">Sens!$K$10630+Sens!$K$10631*Sens!$K$10633-Sens!$K$10632</f>
        <v>4.76692376886995</v>
      </c>
      <c r="L10634" s="38" t="n">
        <f aca="false">Sens!$L$10630+Sens!$L$10631*Sens!$L$10633-Sens!$L$10632</f>
        <v>4.89800987184881</v>
      </c>
      <c r="M10634" s="38" t="n">
        <f aca="false">Sens!$M$10630+Sens!$M$10631*Sens!$M$10633-Sens!$M$10632</f>
        <v>5.78798206791183</v>
      </c>
      <c r="N10634" s="38" t="n">
        <f aca="false">Q!$N$23</f>
        <v>2.511</v>
      </c>
      <c r="O10634" s="38" t="n">
        <f aca="false">Q!$O$23</f>
        <v>2.239</v>
      </c>
    </row>
    <row r="10635" customFormat="false" ht="17.15" hidden="false" customHeight="false" outlineLevel="0" collapsed="false">
      <c r="A10635" s="0" t="s">
        <v>731</v>
      </c>
      <c r="B10635" s="0" t="s">
        <v>86</v>
      </c>
      <c r="C10635" s="38" t="n">
        <f aca="false">Sens!$C$10575</f>
        <v>1.64417882953695</v>
      </c>
      <c r="D10635" s="38" t="n">
        <f aca="false">Sens!$D$10575</f>
        <v>5.39125073772939</v>
      </c>
      <c r="E10635" s="38" t="n">
        <f aca="false">Sens!$E$10575</f>
        <v>3.18348617147493</v>
      </c>
      <c r="F10635" s="38" t="n">
        <f aca="false">Sens!$F$10575</f>
        <v>11.0576724934068</v>
      </c>
      <c r="G10635" s="38" t="n">
        <f aca="false">Sens!$G$10575</f>
        <v>14.2411586648817</v>
      </c>
      <c r="H10635" s="38" t="n">
        <f aca="false">Sens!$H$10575</f>
        <v>48.5912469028468</v>
      </c>
      <c r="I10635" s="38" t="n">
        <f aca="false">Sens!$I$10575</f>
        <v>82.2763919971818</v>
      </c>
      <c r="J10635" s="38" t="n">
        <f aca="false">Sens!$J$10575</f>
        <v>115.402891313281</v>
      </c>
      <c r="K10635" s="38" t="n">
        <f aca="false">Sens!$K$10575</f>
        <v>139.636199128146</v>
      </c>
      <c r="L10635" s="38" t="n">
        <f aca="false">Sens!$L$10575</f>
        <v>154.437237999831</v>
      </c>
      <c r="M10635" s="38" t="n">
        <f aca="false">Sens!$M$10575</f>
        <v>158.46970489119</v>
      </c>
      <c r="N10635" s="38" t="n">
        <f aca="false">Sens!$N$10575</f>
        <v>1.67921600037079</v>
      </c>
      <c r="O10635" s="38" t="n">
        <f aca="false">Sens!$O$10575</f>
        <v>3.71203473735861</v>
      </c>
    </row>
    <row r="10636" customFormat="false" ht="17.15" hidden="false" customHeight="false" outlineLevel="0" collapsed="false">
      <c r="A10636" s="0" t="s">
        <v>649</v>
      </c>
      <c r="B10636" s="0" t="s">
        <v>86</v>
      </c>
      <c r="C10636" s="38" t="n">
        <f aca="false">Sens!$C$10580</f>
        <v>38.1898211704631</v>
      </c>
      <c r="D10636" s="38" t="n">
        <f aca="false">Sens!$D$10580</f>
        <v>40.2147492622706</v>
      </c>
      <c r="E10636" s="38" t="n">
        <f aca="false">Sens!$E$10580</f>
        <v>27.5985138285251</v>
      </c>
      <c r="F10636" s="38" t="n">
        <f aca="false">Sens!$F$10580</f>
        <v>25.5484769754606</v>
      </c>
      <c r="G10636" s="38" t="n">
        <f aca="false">Sens!$G$10580</f>
        <v>53.1469908039857</v>
      </c>
      <c r="H10636" s="38" t="n">
        <f aca="false">Sens!$H$10580</f>
        <v>57.3189525076539</v>
      </c>
      <c r="I10636" s="38" t="n">
        <f aca="false">Sens!$I$10580</f>
        <v>63.6385627021087</v>
      </c>
      <c r="J10636" s="38" t="n">
        <f aca="false">Sens!$J$10580</f>
        <v>69.6922896066105</v>
      </c>
      <c r="K10636" s="38" t="n">
        <f aca="false">Sens!$K$10580</f>
        <v>75.2676727751394</v>
      </c>
      <c r="L10636" s="38" t="n">
        <f aca="false">Sens!$L$10580</f>
        <v>81.2890865971505</v>
      </c>
      <c r="M10636" s="38" t="n">
        <f aca="false">Sens!$M$10580</f>
        <v>87.7922135249226</v>
      </c>
      <c r="N10636" s="38" t="n">
        <f aca="false">Sens!$N$10580</f>
        <v>20.0277839996292</v>
      </c>
      <c r="O10636" s="38" t="n">
        <f aca="false">Sens!$O$10580</f>
        <v>20.1869652626414</v>
      </c>
    </row>
    <row r="10637" customFormat="false" ht="17.15" hidden="false" customHeight="false" outlineLevel="0" collapsed="false">
      <c r="A10637" s="1" t="s">
        <v>732</v>
      </c>
      <c r="B10637" s="8" t="s">
        <v>86</v>
      </c>
      <c r="C10637" s="38" t="n">
        <f aca="false">Q!$D$24</f>
        <v>39.834</v>
      </c>
      <c r="D10637" s="38" t="n">
        <f aca="false">Q!$E$24</f>
        <v>45.606</v>
      </c>
      <c r="E10637" s="38" t="n">
        <f aca="false">Q!$P$24</f>
        <v>30.782</v>
      </c>
      <c r="F10637" s="38" t="n">
        <f aca="false">Sens!$F$10635+Sens!$F$10636</f>
        <v>36.6061494688674</v>
      </c>
      <c r="G10637" s="38" t="n">
        <f aca="false">Sens!$G$10635+Sens!$G$10636</f>
        <v>67.3881494688674</v>
      </c>
      <c r="H10637" s="38" t="n">
        <f aca="false">Sens!$H$10635+Sens!$H$10636</f>
        <v>105.910199410501</v>
      </c>
      <c r="I10637" s="38" t="n">
        <f aca="false">Sens!$I$10635+Sens!$I$10636</f>
        <v>145.914954699291</v>
      </c>
      <c r="J10637" s="38" t="n">
        <f aca="false">Sens!$J$10635+Sens!$J$10636</f>
        <v>185.095180919892</v>
      </c>
      <c r="K10637" s="38" t="n">
        <f aca="false">Sens!$K$10635+Sens!$K$10636</f>
        <v>214.903871903286</v>
      </c>
      <c r="L10637" s="38" t="n">
        <f aca="false">Sens!$L$10635+Sens!$L$10636</f>
        <v>235.726324596982</v>
      </c>
      <c r="M10637" s="38" t="n">
        <f aca="false">Sens!$M$10635+Sens!$M$10636</f>
        <v>246.261918416113</v>
      </c>
      <c r="N10637" s="38" t="n">
        <f aca="false">Q!$N$24</f>
        <v>21.707</v>
      </c>
      <c r="O10637" s="38" t="n">
        <f aca="false">Q!$O$24</f>
        <v>23.899</v>
      </c>
    </row>
    <row r="10638" customFormat="false" ht="17.15" hidden="false" customHeight="false" outlineLevel="0" collapsed="false">
      <c r="A10638" s="5" t="s">
        <v>733</v>
      </c>
      <c r="B10638" s="0" t="s">
        <v>86</v>
      </c>
      <c r="C10638" s="38" t="n">
        <f aca="false">Q!$D$26</f>
        <v>0</v>
      </c>
      <c r="D10638" s="38" t="n">
        <f aca="false">Q!$E$26</f>
        <v>0</v>
      </c>
      <c r="E10638" s="38" t="n">
        <f aca="false">Q!$P$26</f>
        <v>0</v>
      </c>
      <c r="F10638" s="39" t="n">
        <v>0</v>
      </c>
      <c r="G10638" s="38" t="n">
        <f aca="false">Sens!$E$10638+Sens!$F$10638</f>
        <v>0</v>
      </c>
      <c r="H10638" s="39" t="n">
        <v>0</v>
      </c>
      <c r="I10638" s="39" t="n">
        <v>0</v>
      </c>
      <c r="J10638" s="39" t="n">
        <v>0</v>
      </c>
      <c r="K10638" s="39" t="n">
        <v>0</v>
      </c>
      <c r="L10638" s="39" t="n">
        <v>0</v>
      </c>
      <c r="M10638" s="39" t="n">
        <v>0</v>
      </c>
      <c r="N10638" s="38" t="n">
        <f aca="false">Q!$N$26</f>
        <v>0</v>
      </c>
      <c r="O10638" s="38" t="n">
        <f aca="false">Q!$O$26</f>
        <v>0</v>
      </c>
    </row>
    <row r="10639" customFormat="false" ht="15" hidden="false" customHeight="false" outlineLevel="0" collapsed="false">
      <c r="A10639" s="3" t="s">
        <v>534</v>
      </c>
      <c r="B10639" s="8" t="s">
        <v>86</v>
      </c>
      <c r="C10639" s="38" t="n">
        <f aca="false">Q!$D$25</f>
        <v>68.593</v>
      </c>
      <c r="D10639" s="38" t="n">
        <f aca="false">Q!$E$25</f>
        <v>79.975</v>
      </c>
      <c r="E10639" s="38" t="n">
        <f aca="false">Q!$P$25</f>
        <v>51.313</v>
      </c>
      <c r="F10639" s="38" t="n">
        <f aca="false">Sens!$F$10629+Sens!$F$10634+Sens!$F$10637+Sens!$F$10638</f>
        <v>59.4632067539618</v>
      </c>
      <c r="G10639" s="38" t="n">
        <f aca="false">Sens!$G$10629+Sens!$G$10634+Sens!$G$10637+Sens!$G$10638</f>
        <v>110.776206753962</v>
      </c>
      <c r="H10639" s="38" t="n">
        <f aca="false">Sens!$H$10629+Sens!$H$10634+Sens!$H$10637+Sens!$H$10638</f>
        <v>153.823998473161</v>
      </c>
      <c r="I10639" s="38" t="n">
        <f aca="false">Sens!$I$10629+Sens!$I$10634+Sens!$I$10637+Sens!$I$10638</f>
        <v>196.340795558949</v>
      </c>
      <c r="J10639" s="38" t="n">
        <f aca="false">Sens!$J$10629+Sens!$J$10634+Sens!$J$10637+Sens!$J$10638</f>
        <v>237.425302823961</v>
      </c>
      <c r="K10639" s="38" t="n">
        <f aca="false">Sens!$K$10629+Sens!$K$10634+Sens!$K$10637+Sens!$K$10638</f>
        <v>268.253663130746</v>
      </c>
      <c r="L10639" s="38" t="n">
        <f aca="false">Sens!$L$10629+Sens!$L$10634+Sens!$L$10637+Sens!$L$10638</f>
        <v>291.657444755968</v>
      </c>
      <c r="M10639" s="38" t="n">
        <f aca="false">Sens!$M$10629+Sens!$M$10634+Sens!$M$10637+Sens!$M$10638</f>
        <v>307.642005424252</v>
      </c>
      <c r="N10639" s="38" t="n">
        <f aca="false">Q!$N$25</f>
        <v>37.576</v>
      </c>
      <c r="O10639" s="38" t="n">
        <f aca="false">Q!$O$25</f>
        <v>42.399</v>
      </c>
    </row>
    <row r="10640" customFormat="false" ht="17.15" hidden="false" customHeight="false" outlineLevel="0" collapsed="false">
      <c r="A10640" s="24" t="s">
        <v>734</v>
      </c>
      <c r="B10640" s="25" t="s">
        <v>86</v>
      </c>
      <c r="C10640" s="41" t="n">
        <f aca="false">Sens!$C$10629+Sens!$C$10634+Sens!$C$10637+Sens!$C$10638-Sens!$C$10639</f>
        <v>0</v>
      </c>
      <c r="D10640" s="41" t="n">
        <f aca="false">Sens!$D$10629+Sens!$D$10634+Sens!$D$10637+Sens!$D$10638-Sens!$D$10639</f>
        <v>0</v>
      </c>
      <c r="E10640" s="41" t="n">
        <f aca="false">Sens!$E$10629+Sens!$E$10634+Sens!$E$10637+Sens!$E$10638-Sens!$E$10639</f>
        <v>0</v>
      </c>
      <c r="F10640" s="41" t="n">
        <f aca="false">Sens!$F$10629+Sens!$F$10634+Sens!$F$10637+Sens!$F$10638-Sens!$F$10639</f>
        <v>0</v>
      </c>
      <c r="G10640" s="41" t="n">
        <f aca="false">Sens!$G$10629+Sens!$G$10634+Sens!$G$10637+Sens!$G$10638-Sens!$G$10639</f>
        <v>0</v>
      </c>
      <c r="H10640" s="41" t="n">
        <f aca="false">Sens!$H$10629+Sens!$H$10634+Sens!$H$10637+Sens!$H$10638-Sens!$H$10639</f>
        <v>0</v>
      </c>
      <c r="I10640" s="41" t="n">
        <f aca="false">Sens!$I$10629+Sens!$I$10634+Sens!$I$10637+Sens!$I$10638-Sens!$I$10639</f>
        <v>0</v>
      </c>
      <c r="J10640" s="41" t="n">
        <f aca="false">Sens!$J$10629+Sens!$J$10634+Sens!$J$10637+Sens!$J$10638-Sens!$J$10639</f>
        <v>0</v>
      </c>
      <c r="K10640" s="41" t="n">
        <f aca="false">Sens!$K$10629+Sens!$K$10634+Sens!$K$10637+Sens!$K$10638-Sens!$K$10639</f>
        <v>0</v>
      </c>
      <c r="L10640" s="41" t="n">
        <f aca="false">Sens!$L$10629+Sens!$L$10634+Sens!$L$10637+Sens!$L$10638-Sens!$L$10639</f>
        <v>0</v>
      </c>
      <c r="M10640" s="41" t="n">
        <f aca="false">Sens!$M$10629+Sens!$M$10634+Sens!$M$10637+Sens!$M$10638-Sens!$M$10639</f>
        <v>0</v>
      </c>
      <c r="N10640" s="41" t="n">
        <f aca="false">Sens!$N$10629+Sens!$N$10634+Sens!$N$10637+Sens!$N$10638-Sens!$N$10639</f>
        <v>0</v>
      </c>
      <c r="O10640" s="41" t="n">
        <f aca="false">Sens!$O$10629+Sens!$O$10634+Sens!$O$10637+Sens!$O$10638-Sens!$O$10639</f>
        <v>0</v>
      </c>
    </row>
    <row r="10641" customFormat="false" ht="17.15" hidden="false" customHeight="false" outlineLevel="0" collapsed="false">
      <c r="A10641" s="5" t="s">
        <v>735</v>
      </c>
      <c r="B10641" s="0" t="s">
        <v>86</v>
      </c>
      <c r="C10641" s="38" t="n">
        <f aca="false">Sens!$C$10577</f>
        <v>0</v>
      </c>
      <c r="D10641" s="38" t="n">
        <f aca="false">Sens!$D$10577</f>
        <v>0</v>
      </c>
      <c r="E10641" s="38" t="n">
        <f aca="false">Sens!$E$10577</f>
        <v>0</v>
      </c>
      <c r="F10641" s="38" t="n">
        <f aca="false">Sens!$F$10577</f>
        <v>0</v>
      </c>
      <c r="G10641" s="38" t="n">
        <f aca="false">Sens!$G$10577</f>
        <v>0</v>
      </c>
      <c r="H10641" s="38" t="n">
        <f aca="false">Sens!$H$10577</f>
        <v>0</v>
      </c>
      <c r="I10641" s="38" t="n">
        <f aca="false">Sens!$I$10577</f>
        <v>0</v>
      </c>
      <c r="J10641" s="38" t="n">
        <f aca="false">Sens!$J$10577</f>
        <v>0</v>
      </c>
      <c r="K10641" s="38" t="n">
        <f aca="false">Sens!$K$10577</f>
        <v>0</v>
      </c>
      <c r="L10641" s="38" t="n">
        <f aca="false">Sens!$L$10577</f>
        <v>0</v>
      </c>
      <c r="M10641" s="38" t="n">
        <f aca="false">Sens!$M$10577</f>
        <v>0</v>
      </c>
      <c r="N10641" s="38" t="n">
        <f aca="false">Sens!$N$10577</f>
        <v>0</v>
      </c>
      <c r="O10641" s="38" t="n">
        <f aca="false">Sens!$O$10577</f>
        <v>0</v>
      </c>
      <c r="P10641" s="5" t="s">
        <v>736</v>
      </c>
    </row>
    <row r="10642" customFormat="false" ht="17.15" hidden="false" customHeight="false" outlineLevel="0" collapsed="false">
      <c r="A10642" s="5" t="s">
        <v>737</v>
      </c>
      <c r="B10642" s="0" t="s">
        <v>86</v>
      </c>
      <c r="C10642" s="38" t="n">
        <f aca="false">Sens!$C$10639+Sens!$C$10641</f>
        <v>68.593</v>
      </c>
      <c r="D10642" s="38" t="n">
        <f aca="false">Sens!$D$10639+Sens!$D$10641</f>
        <v>79.975</v>
      </c>
      <c r="E10642" s="38" t="n">
        <f aca="false">Sens!$E$10639+Sens!$E$10641</f>
        <v>51.313</v>
      </c>
      <c r="F10642" s="38" t="n">
        <f aca="false">Sens!$F$10639+Sens!$F$10641</f>
        <v>59.4632067539618</v>
      </c>
      <c r="G10642" s="38" t="n">
        <f aca="false">Sens!$G$10639+Sens!$G$10641</f>
        <v>110.776206753962</v>
      </c>
      <c r="H10642" s="38" t="n">
        <f aca="false">Sens!$H$10639+Sens!$H$10641</f>
        <v>153.823998473161</v>
      </c>
      <c r="I10642" s="38" t="n">
        <f aca="false">Sens!$I$10639+Sens!$I$10641</f>
        <v>196.340795558949</v>
      </c>
      <c r="J10642" s="38" t="n">
        <f aca="false">Sens!$J$10639+Sens!$J$10641</f>
        <v>237.425302823961</v>
      </c>
      <c r="K10642" s="38" t="n">
        <f aca="false">Sens!$K$10639+Sens!$K$10641</f>
        <v>268.253663130746</v>
      </c>
      <c r="L10642" s="38" t="n">
        <f aca="false">Sens!$L$10639+Sens!$L$10641</f>
        <v>291.657444755968</v>
      </c>
      <c r="M10642" s="38" t="n">
        <f aca="false">Sens!$M$10639+Sens!$M$10641</f>
        <v>307.642005424252</v>
      </c>
      <c r="N10642" s="38" t="n">
        <f aca="false">Sens!$N$10639+Sens!$N$10641</f>
        <v>37.576</v>
      </c>
      <c r="O10642" s="38" t="n">
        <f aca="false">Sens!$O$10639+Sens!$O$10641</f>
        <v>42.399</v>
      </c>
    </row>
    <row r="10643" customFormat="false" ht="17.15" hidden="false" customHeight="false" outlineLevel="0" collapsed="false">
      <c r="A10643" s="0" t="s">
        <v>738</v>
      </c>
      <c r="B10643" s="0" t="s">
        <v>52</v>
      </c>
      <c r="C10643" s="13" t="n">
        <f aca="false">Sens!$C$10629/Sens!$C$10614</f>
        <v>0.0644314665661928</v>
      </c>
      <c r="D10643" s="13" t="n">
        <f aca="false">Sens!$D$10629/Sens!$D$10614</f>
        <v>0.0694784250712518</v>
      </c>
      <c r="E10643" s="13" t="n">
        <f aca="false">Sens!$E$10629/Sens!$E$10614</f>
        <v>0.0789306463326071</v>
      </c>
      <c r="F10643" s="13" t="n">
        <f aca="false">Sens!$F$10629/Sens!$F$10614</f>
        <v>0.0801559869371444</v>
      </c>
      <c r="G10643" s="13" t="n">
        <f aca="false">Sens!$G$10629/Sens!$G$10614</f>
        <v>0.0795827595466255</v>
      </c>
      <c r="H10643" s="13" t="n">
        <f aca="false">Sens!$H$10629/Sens!$H$10614</f>
        <v>0.0799717559156258</v>
      </c>
      <c r="I10643" s="13" t="n">
        <f aca="false">Sens!$I$10629/Sens!$I$10614</f>
        <v>0.0780370363541749</v>
      </c>
      <c r="J10643" s="13" t="n">
        <f aca="false">Sens!$J$10629/Sens!$J$10614</f>
        <v>0.076151705143134</v>
      </c>
      <c r="K10643" s="13" t="n">
        <f aca="false">Sens!$K$10629/Sens!$K$10614</f>
        <v>0.0741487444982168</v>
      </c>
      <c r="L10643" s="13" t="n">
        <f aca="false">Sens!$L$10629/Sens!$L$10614</f>
        <v>0.0731334827871131</v>
      </c>
      <c r="M10643" s="13" t="n">
        <f aca="false">Sens!$M$10629/Sens!$M$10614</f>
        <v>0.0747809458681129</v>
      </c>
      <c r="N10643" s="13" t="n">
        <f aca="false">Sens!$N$10629/Sens!$N$10614</f>
        <v>0.069228576611127</v>
      </c>
      <c r="O10643" s="13" t="n">
        <f aca="false">Sens!$O$10629/Sens!$O$10614</f>
        <v>0.069685022498393</v>
      </c>
    </row>
    <row r="10644" customFormat="false" ht="17.15" hidden="false" customHeight="false" outlineLevel="0" collapsed="false">
      <c r="A10644" s="0" t="s">
        <v>739</v>
      </c>
      <c r="B10644" s="0" t="s">
        <v>52</v>
      </c>
      <c r="C10644" s="13" t="n">
        <f aca="false">Sens!$C$10634/Sens!$C$10615</f>
        <v>0.026534925055631</v>
      </c>
      <c r="D10644" s="13" t="n">
        <f aca="false">Sens!$D$10634/Sens!$D$10615</f>
        <v>0.0293401855535103</v>
      </c>
      <c r="E10644" s="13" t="n">
        <f aca="false">Sens!$E$10634/Sens!$E$10615</f>
        <v>0.03831141902276</v>
      </c>
      <c r="F10644" s="13" t="n">
        <f aca="false">Sens!$F$10634/Sens!$F$10615</f>
        <v>0.0281152519457786</v>
      </c>
      <c r="G10644" s="13" t="n">
        <f aca="false">Sens!$G$10634/Sens!$G$10615</f>
        <v>0.0327492241649767</v>
      </c>
      <c r="H10644" s="13" t="n">
        <f aca="false">Sens!$H$10634/Sens!$H$10615</f>
        <v>0.031132988176151</v>
      </c>
      <c r="I10644" s="13" t="n">
        <f aca="false">Sens!$I$10634/Sens!$I$10615</f>
        <v>0.0271698566820482</v>
      </c>
      <c r="J10644" s="13" t="n">
        <f aca="false">Sens!$J$10634/Sens!$J$10615</f>
        <v>0.0231931317427122</v>
      </c>
      <c r="K10644" s="13" t="n">
        <f aca="false">Sens!$K$10634/Sens!$K$10615</f>
        <v>0.0189941324817731</v>
      </c>
      <c r="L10644" s="13" t="n">
        <f aca="false">Sens!$L$10634/Sens!$L$10615</f>
        <v>0.0183250206424903</v>
      </c>
      <c r="M10644" s="13" t="n">
        <f aca="false">Sens!$M$10634/Sens!$M$10615</f>
        <v>0.0203266407102529</v>
      </c>
      <c r="N10644" s="13" t="n">
        <f aca="false">Sens!$N$10634/Sens!$N$10615</f>
        <v>0.0357315650169337</v>
      </c>
      <c r="O10644" s="13" t="n">
        <f aca="false">Sens!$O$10634/Sens!$O$10615</f>
        <v>0.0244378956559703</v>
      </c>
    </row>
    <row r="10645" customFormat="false" ht="17.15" hidden="false" customHeight="false" outlineLevel="0" collapsed="false">
      <c r="A10645" s="14" t="s">
        <v>740</v>
      </c>
      <c r="B10645" s="14" t="s">
        <v>52</v>
      </c>
      <c r="C10645" s="17" t="n">
        <f aca="false">Sens!$C$10637/Sens!$C$10616</f>
        <v>0.370355907620217</v>
      </c>
      <c r="D10645" s="17" t="n">
        <f aca="false">Sens!$D$10637/Sens!$D$10616</f>
        <v>0.35429015342785</v>
      </c>
      <c r="E10645" s="17" t="n">
        <f aca="false">Sens!$E$10637/Sens!$E$10616</f>
        <v>0.385647527531039</v>
      </c>
      <c r="F10645" s="17" t="n">
        <f aca="false">Sens!$F$10637/Sens!$F$10616</f>
        <v>0.408824850336246</v>
      </c>
      <c r="G10645" s="17" t="n">
        <f aca="false">Sens!$G$10637/Sens!$G$10616</f>
        <v>0.397901359602078</v>
      </c>
      <c r="H10645" s="17" t="n">
        <f aca="false">Sens!$H$10637/Sens!$H$10616</f>
        <v>0.433878683959991</v>
      </c>
      <c r="I10645" s="17" t="n">
        <f aca="false">Sens!$I$10637/Sens!$I$10616</f>
        <v>0.446433279634335</v>
      </c>
      <c r="J10645" s="17" t="n">
        <f aca="false">Sens!$J$10637/Sens!$J$10616</f>
        <v>0.452407918794848</v>
      </c>
      <c r="K10645" s="17" t="n">
        <f aca="false">Sens!$K$10637/Sens!$K$10616</f>
        <v>0.447266378778041</v>
      </c>
      <c r="L10645" s="17" t="n">
        <f aca="false">Sens!$L$10637/Sens!$L$10616</f>
        <v>0.441447911398684</v>
      </c>
      <c r="M10645" s="17" t="n">
        <f aca="false">Sens!$M$10637/Sens!$M$10616</f>
        <v>0.432272727744389</v>
      </c>
      <c r="N10645" s="17" t="n">
        <f aca="false">Sens!$N$10637/Sens!$N$10616</f>
        <v>0.360941137346192</v>
      </c>
      <c r="O10645" s="17" t="n">
        <f aca="false">Sens!$O$10637/Sens!$O$10616</f>
        <v>0.348458117664212</v>
      </c>
    </row>
    <row r="10646" customFormat="false" ht="17.15" hidden="false" customHeight="false" outlineLevel="0" collapsed="false">
      <c r="A10646" s="0" t="s">
        <v>741</v>
      </c>
      <c r="B10646" s="0" t="s">
        <v>52</v>
      </c>
      <c r="C10646" s="13" t="n">
        <f aca="false">Sens!$C$10635/Sens!$C$10617</f>
        <v>0.708390794789371</v>
      </c>
      <c r="D10646" s="13" t="n">
        <f aca="false">Sens!$D$10635/Sens!$D$10617</f>
        <v>0.619415573115729</v>
      </c>
      <c r="E10646" s="13" t="n">
        <f aca="false">Sens!$E$10635/Sens!$E$10617</f>
        <v>0.374072166056273</v>
      </c>
      <c r="F10646" s="13" t="n">
        <f aca="false">Sens!$F$10635/Sens!$F$10617</f>
        <v>0.622244167053886</v>
      </c>
      <c r="G10646" s="13" t="n">
        <f aca="false">Sens!$G$10635/Sens!$G$10617</f>
        <v>0.541880692123867</v>
      </c>
      <c r="H10646" s="13" t="n">
        <f aca="false">Sens!$H$10635/Sens!$H$10617</f>
        <v>0.584845705425014</v>
      </c>
      <c r="I10646" s="13" t="n">
        <f aca="false">Sens!$I$10635/Sens!$I$10617</f>
        <v>0.555635145282397</v>
      </c>
      <c r="J10646" s="13" t="n">
        <f aca="false">Sens!$J$10635/Sens!$J$10617</f>
        <v>0.540888913661057</v>
      </c>
      <c r="K10646" s="13" t="n">
        <f aca="false">Sens!$K$10635/Sens!$K$10617</f>
        <v>0.519006130652212</v>
      </c>
      <c r="L10646" s="13" t="n">
        <f aca="false">Sens!$L$10635/Sens!$L$10617</f>
        <v>0.505304753601726</v>
      </c>
      <c r="M10646" s="13" t="n">
        <f aca="false">Sens!$M$10635/Sens!$M$10617</f>
        <v>0.490511540606532</v>
      </c>
      <c r="N10646" s="13" t="n">
        <f aca="false">Sens!$N$10635/Sens!$N$10617</f>
        <v>0.551227795793364</v>
      </c>
      <c r="O10646" s="13" t="n">
        <f aca="false">Sens!$O$10635/Sens!$O$10617</f>
        <v>0.656132068597002</v>
      </c>
    </row>
    <row r="10647" customFormat="false" ht="15" hidden="false" customHeight="false" outlineLevel="0" collapsed="false">
      <c r="A10647" s="5" t="s">
        <v>742</v>
      </c>
      <c r="B10647" s="0" t="s">
        <v>52</v>
      </c>
      <c r="C10647" s="13" t="n">
        <f aca="false">Sens!$C$10639/Sens!$C$10619</f>
        <v>0.107519448742004</v>
      </c>
      <c r="D10647" s="13" t="n">
        <f aca="false">Sens!$D$10639/Sens!$D$10619</f>
        <v>0.111552967957552</v>
      </c>
      <c r="E10647" s="13" t="n">
        <f aca="false">Sens!$E$10639/Sens!$E$10619</f>
        <v>0.13428328426562</v>
      </c>
      <c r="F10647" s="13" t="n">
        <f aca="false">Sens!$F$10639/Sens!$F$10619</f>
        <v>0.135578682396694</v>
      </c>
      <c r="G10647" s="13" t="n">
        <f aca="false">Sens!$G$10639/Sens!$G$10619</f>
        <v>0.134975543533469</v>
      </c>
      <c r="H10647" s="13" t="n">
        <f aca="false">Sens!$H$10639/Sens!$H$10619</f>
        <v>0.159370433709621</v>
      </c>
      <c r="I10647" s="13" t="n">
        <f aca="false">Sens!$I$10639/Sens!$I$10619</f>
        <v>0.176031126429442</v>
      </c>
      <c r="J10647" s="13" t="n">
        <f aca="false">Sens!$J$10639/Sens!$J$10619</f>
        <v>0.188396627952644</v>
      </c>
      <c r="K10647" s="13" t="n">
        <f aca="false">Sens!$K$10639/Sens!$K$10619</f>
        <v>0.193453173052009</v>
      </c>
      <c r="L10647" s="13" t="n">
        <f aca="false">Sens!$L$10639/Sens!$L$10619</f>
        <v>0.194557941012343</v>
      </c>
      <c r="M10647" s="13" t="n">
        <f aca="false">Sens!$M$10639/Sens!$M$10619</f>
        <v>0.192536298819258</v>
      </c>
      <c r="N10647" s="13" t="n">
        <f aca="false">Sens!$N$10639/Sens!$N$10619</f>
        <v>0.116201614873411</v>
      </c>
      <c r="O10647" s="13" t="n">
        <f aca="false">Sens!$O$10639/Sens!$O$10619</f>
        <v>0.107733353660861</v>
      </c>
    </row>
    <row r="10648" customFormat="false" ht="17.15" hidden="false" customHeight="false" outlineLevel="0" collapsed="false">
      <c r="A10648" s="1" t="s">
        <v>743</v>
      </c>
    </row>
    <row r="10649" customFormat="false" ht="17.15" hidden="false" customHeight="false" outlineLevel="0" collapsed="false">
      <c r="A10649" s="5" t="s">
        <v>744</v>
      </c>
      <c r="B10649" s="0" t="s">
        <v>52</v>
      </c>
      <c r="D10649" s="28" t="n">
        <f aca="false">(Q!$E$29+Q!$E$30-(1-ext_sh)*Sens!$D$10571)/Sens!$D$10525</f>
        <v>0.0341105596409988</v>
      </c>
    </row>
    <row r="10650" customFormat="false" ht="17.15" hidden="false" customHeight="false" outlineLevel="0" collapsed="false">
      <c r="A10650" s="0" t="s">
        <v>538</v>
      </c>
      <c r="B10650" s="0" t="s">
        <v>86</v>
      </c>
      <c r="C10650" s="38" t="n">
        <f aca="false">Q!$D$29</f>
        <v>14.285</v>
      </c>
      <c r="D10650" s="38" t="n">
        <f aca="false">Q!$E$29</f>
        <v>15.503</v>
      </c>
      <c r="E10650" s="38" t="n">
        <f aca="false">Q!$P$29</f>
        <v>8.78</v>
      </c>
      <c r="F10650" s="38" t="n">
        <f aca="false">(Sens!$D$10649*Sens!$F$10525+(1-ext_sh)*Sens!$F$10571)*Sens!$F$10526</f>
        <v>9.16735846116642</v>
      </c>
      <c r="G10650" s="38" t="n">
        <f aca="false">Sens!$E$10650+Sens!$F$10650</f>
        <v>17.9473584611664</v>
      </c>
      <c r="H10650" s="38" t="n">
        <f aca="false">(Sens!$D$10649*Sens!$H$10525+(1-ext_sh)*Sens!$H$10571)*Sens!$H$10526</f>
        <v>21.6931224610632</v>
      </c>
      <c r="I10650" s="38" t="n">
        <f aca="false">(Sens!$D$10649*Sens!$I$10525+(1-ext_sh)*Sens!$I$10571)*Sens!$I$10526</f>
        <v>27.4741484552078</v>
      </c>
      <c r="J10650" s="38" t="n">
        <f aca="false">(Sens!$D$10649*Sens!$J$10525+(1-ext_sh)*Sens!$J$10571)*Sens!$J$10526</f>
        <v>33.2858662874909</v>
      </c>
      <c r="K10650" s="38" t="n">
        <f aca="false">(Sens!$D$10649*Sens!$K$10525+(1-ext_sh)*Sens!$K$10571)*Sens!$K$10526</f>
        <v>39.0120571701561</v>
      </c>
      <c r="L10650" s="38" t="n">
        <f aca="false">(Sens!$D$10649*Sens!$L$10525+(1-ext_sh)*Sens!$L$10571)*Sens!$L$10526</f>
        <v>43.5373721460344</v>
      </c>
      <c r="M10650" s="38" t="n">
        <f aca="false">(Sens!$D$10649*Sens!$M$10525+(1-ext_sh)*Sens!$M$10571)*Sens!$M$10526</f>
        <v>47.1024647135915</v>
      </c>
      <c r="N10650" s="38" t="n">
        <f aca="false">Q!$N$29</f>
        <v>7.272</v>
      </c>
      <c r="O10650" s="38" t="n">
        <f aca="false">Q!$O$29</f>
        <v>8.231</v>
      </c>
    </row>
    <row r="10651" customFormat="false" ht="17.15" hidden="false" customHeight="false" outlineLevel="0" collapsed="false">
      <c r="A10651" s="0" t="s">
        <v>540</v>
      </c>
      <c r="B10651" s="0" t="s">
        <v>86</v>
      </c>
      <c r="C10651" s="38" t="n">
        <f aca="false">Q!$D$30</f>
        <v>4.462</v>
      </c>
      <c r="D10651" s="38" t="n">
        <f aca="false">Q!$E$30</f>
        <v>4.907</v>
      </c>
      <c r="E10651" s="38" t="n">
        <f aca="false">Q!$P$30</f>
        <v>2.57</v>
      </c>
      <c r="F10651" s="38" t="n">
        <f aca="false">(Sens!$D$10649*Sens!$F$10525+(1-ext_sh)*Sens!$F$10571)*(1-Sens!$F$10526)</f>
        <v>3.59937168293151</v>
      </c>
      <c r="G10651" s="38" t="n">
        <f aca="false">Sens!$E$10651+Sens!$F$10651</f>
        <v>6.16937168293151</v>
      </c>
      <c r="H10651" s="38" t="n">
        <f aca="false">(Sens!$D$10649*Sens!$H$10525+(1-ext_sh)*Sens!$H$10571)*(1-Sens!$H$10526)</f>
        <v>8.30924318711895</v>
      </c>
      <c r="I10651" s="38" t="n">
        <f aca="false">(Sens!$D$10649*Sens!$I$10525+(1-ext_sh)*Sens!$I$10571)*(1-Sens!$I$10526)</f>
        <v>10.5235832823553</v>
      </c>
      <c r="J10651" s="38" t="n">
        <f aca="false">(Sens!$D$10649*Sens!$J$10525+(1-ext_sh)*Sens!$J$10571)*(1-Sens!$J$10526)</f>
        <v>12.7496794513154</v>
      </c>
      <c r="K10651" s="38" t="n">
        <f aca="false">(Sens!$D$10649*Sens!$K$10525+(1-ext_sh)*Sens!$K$10571)*(1-Sens!$K$10526)</f>
        <v>14.9430157340626</v>
      </c>
      <c r="L10651" s="38" t="n">
        <f aca="false">(Sens!$D$10649*Sens!$L$10525+(1-ext_sh)*Sens!$L$10571)*(1-Sens!$L$10526)</f>
        <v>16.6763735160221</v>
      </c>
      <c r="M10651" s="38" t="n">
        <f aca="false">(Sens!$D$10649*Sens!$M$10525+(1-ext_sh)*Sens!$M$10571)*(1-Sens!$M$10526)</f>
        <v>18.0419317099425</v>
      </c>
      <c r="N10651" s="38" t="n">
        <f aca="false">Q!$N$30</f>
        <v>2.316</v>
      </c>
      <c r="O10651" s="38" t="n">
        <f aca="false">Q!$O$30</f>
        <v>2.591</v>
      </c>
    </row>
    <row r="10652" customFormat="false" ht="17.15" hidden="false" customHeight="false" outlineLevel="0" collapsed="false">
      <c r="A10652" s="0" t="s">
        <v>541</v>
      </c>
      <c r="B10652" s="0" t="s">
        <v>86</v>
      </c>
      <c r="C10652" s="38" t="n">
        <f aca="false">Sens!$C$10583</f>
        <v>13.32</v>
      </c>
      <c r="D10652" s="38" t="n">
        <f aca="false">Sens!$D$10583</f>
        <v>21.45</v>
      </c>
      <c r="E10652" s="38" t="n">
        <f aca="false">Sens!$E$10583</f>
        <v>15.353</v>
      </c>
      <c r="F10652" s="38" t="n">
        <f aca="false">Sens!$F$10583</f>
        <v>15.4404120185306</v>
      </c>
      <c r="G10652" s="38" t="n">
        <f aca="false">Sens!$G$10583</f>
        <v>30.7934120185306</v>
      </c>
      <c r="H10652" s="38" t="n">
        <f aca="false">Sens!$H$10583</f>
        <v>48.540276118855</v>
      </c>
      <c r="I10652" s="38" t="n">
        <f aca="false">Sens!$I$10583</f>
        <v>74.2889982306963</v>
      </c>
      <c r="J10652" s="38" t="n">
        <f aca="false">Sens!$J$10583</f>
        <v>100.74486498679</v>
      </c>
      <c r="K10652" s="38" t="n">
        <f aca="false">Sens!$K$10583</f>
        <v>127.527751129156</v>
      </c>
      <c r="L10652" s="38" t="n">
        <f aca="false">Sens!$L$10583</f>
        <v>147.351578693324</v>
      </c>
      <c r="M10652" s="38" t="n">
        <f aca="false">Sens!$M$10583</f>
        <v>161.524928267506</v>
      </c>
      <c r="N10652" s="38" t="n">
        <f aca="false">Sens!$N$10583</f>
        <v>9.234</v>
      </c>
      <c r="O10652" s="38" t="n">
        <f aca="false">Sens!$O$10583</f>
        <v>12.216</v>
      </c>
    </row>
    <row r="10653" customFormat="false" ht="17.15" hidden="false" customHeight="false" outlineLevel="0" collapsed="false">
      <c r="A10653" s="5" t="s">
        <v>745</v>
      </c>
      <c r="B10653" s="0" t="s">
        <v>86</v>
      </c>
      <c r="C10653" s="38" t="n">
        <f aca="false">Sens!$C$10650+Sens!$C$10651+Sens!$C$10652</f>
        <v>32.067</v>
      </c>
      <c r="D10653" s="38" t="n">
        <f aca="false">Sens!$D$10650+Sens!$D$10651+Sens!$D$10652</f>
        <v>41.86</v>
      </c>
      <c r="E10653" s="38" t="n">
        <f aca="false">Sens!$E$10650+Sens!$E$10651+Sens!$E$10652</f>
        <v>26.703</v>
      </c>
      <c r="F10653" s="38" t="n">
        <f aca="false">Sens!$F$10650+Sens!$F$10651+Sens!$F$10652</f>
        <v>28.2071421626285</v>
      </c>
      <c r="G10653" s="38" t="n">
        <f aca="false">Sens!$G$10650+Sens!$G$10651+Sens!$G$10652</f>
        <v>54.9101421626285</v>
      </c>
      <c r="H10653" s="38" t="n">
        <f aca="false">Sens!$H$10650+Sens!$H$10651+Sens!$H$10652</f>
        <v>78.5426417670371</v>
      </c>
      <c r="I10653" s="38" t="n">
        <f aca="false">Sens!$I$10650+Sens!$I$10651+Sens!$I$10652</f>
        <v>112.286729968259</v>
      </c>
      <c r="J10653" s="38" t="n">
        <f aca="false">Sens!$J$10650+Sens!$J$10651+Sens!$J$10652</f>
        <v>146.780410725596</v>
      </c>
      <c r="K10653" s="38" t="n">
        <f aca="false">Sens!$K$10650+Sens!$K$10651+Sens!$K$10652</f>
        <v>181.482824033374</v>
      </c>
      <c r="L10653" s="38" t="n">
        <f aca="false">Sens!$L$10650+Sens!$L$10651+Sens!$L$10652</f>
        <v>207.56532435538</v>
      </c>
      <c r="M10653" s="38" t="n">
        <f aca="false">Sens!$M$10650+Sens!$M$10651+Sens!$M$10652</f>
        <v>226.66932469104</v>
      </c>
      <c r="N10653" s="38" t="n">
        <f aca="false">Sens!$N$10650+Sens!$N$10651+Sens!$N$10652</f>
        <v>18.822</v>
      </c>
      <c r="O10653" s="38" t="n">
        <f aca="false">Sens!$O$10650+Sens!$O$10651+Sens!$O$10652</f>
        <v>23.038</v>
      </c>
    </row>
    <row r="10654" customFormat="false" ht="17.15" hidden="false" customHeight="false" outlineLevel="0" collapsed="false">
      <c r="A10654" s="0" t="s">
        <v>746</v>
      </c>
      <c r="B10654" s="0" t="s">
        <v>86</v>
      </c>
      <c r="C10654" s="38" t="n">
        <f aca="false">Sens!$C$10625+Sens!$C$10630</f>
        <v>28.107</v>
      </c>
      <c r="D10654" s="38" t="n">
        <f aca="false">Sens!$D$10625+Sens!$D$10630</f>
        <v>34.3175</v>
      </c>
      <c r="E10654" s="38" t="n">
        <f aca="false">Sens!$E$10625+Sens!$E$10630</f>
        <v>18.526</v>
      </c>
      <c r="F10654" s="38" t="n">
        <f aca="false">Sens!$F$10625+Sens!$F$10630</f>
        <v>23.0786109972074</v>
      </c>
      <c r="G10654" s="38" t="n">
        <f aca="false">Sens!$G$10625+Sens!$G$10630</f>
        <v>41.6046109972074</v>
      </c>
      <c r="H10654" s="38" t="n">
        <f aca="false">Sens!$H$10625+Sens!$H$10630</f>
        <v>49.9484611939488</v>
      </c>
      <c r="I10654" s="38" t="n">
        <f aca="false">Sens!$I$10625+Sens!$I$10630</f>
        <v>58.2915555477481</v>
      </c>
      <c r="J10654" s="38" t="n">
        <f aca="false">Sens!$J$10625+Sens!$J$10630</f>
        <v>66.0744709709759</v>
      </c>
      <c r="K10654" s="38" t="n">
        <f aca="false">Sens!$K$10625+Sens!$K$10630</f>
        <v>72.6819180680735</v>
      </c>
      <c r="L10654" s="38" t="n">
        <f aca="false">Sens!$L$10625+Sens!$L$10630</f>
        <v>79.9501098748808</v>
      </c>
      <c r="M10654" s="38" t="n">
        <f aca="false">Sens!$M$10625+Sens!$M$10630</f>
        <v>87.9451208623689</v>
      </c>
      <c r="N10654" s="38" t="n">
        <f aca="false">Sens!$N$10625+Sens!$N$10630</f>
        <v>14.8075</v>
      </c>
      <c r="O10654" s="38" t="n">
        <f aca="false">Sens!$O$10625+Sens!$O$10630</f>
        <v>19.51</v>
      </c>
    </row>
    <row r="10655" customFormat="false" ht="17.15" hidden="false" customHeight="false" outlineLevel="0" collapsed="false">
      <c r="A10655" s="0" t="s">
        <v>747</v>
      </c>
      <c r="B10655" s="0" t="s">
        <v>86</v>
      </c>
      <c r="C10655" s="38" t="n">
        <f aca="false">Sens!$C$10629+Sens!$C$10634+Sens!$C$10650+Sens!$C$10651-Sens!$C$10654</f>
        <v>19.399</v>
      </c>
      <c r="D10655" s="38" t="n">
        <f aca="false">Sens!$D$10629+Sens!$D$10634+Sens!$D$10650+Sens!$D$10651-Sens!$D$10654</f>
        <v>20.4615</v>
      </c>
      <c r="E10655" s="38" t="n">
        <f aca="false">Sens!$E$10629+Sens!$E$10634+Sens!$E$10650+Sens!$E$10651-Sens!$E$10654</f>
        <v>13.355</v>
      </c>
      <c r="F10655" s="38" t="n">
        <f aca="false">Sens!$F$10629+Sens!$F$10634+Sens!$F$10650+Sens!$F$10651-Sens!$F$10654</f>
        <v>12.545176431985</v>
      </c>
      <c r="G10655" s="38" t="n">
        <f aca="false">Sens!$G$10629+Sens!$G$10634+Sens!$G$10650+Sens!$G$10651-Sens!$G$10654</f>
        <v>25.900176431985</v>
      </c>
      <c r="H10655" s="38" t="n">
        <f aca="false">Sens!$H$10629+Sens!$H$10634+Sens!$H$10650+Sens!$H$10651-Sens!$H$10654</f>
        <v>27.967703516894</v>
      </c>
      <c r="I10655" s="38" t="n">
        <f aca="false">Sens!$I$10629+Sens!$I$10634+Sens!$I$10650+Sens!$I$10651-Sens!$I$10654</f>
        <v>30.1320170494735</v>
      </c>
      <c r="J10655" s="38" t="n">
        <f aca="false">Sens!$J$10629+Sens!$J$10634+Sens!$J$10650+Sens!$J$10651-Sens!$J$10654</f>
        <v>32.2911966718995</v>
      </c>
      <c r="K10655" s="38" t="n">
        <f aca="false">Sens!$K$10629+Sens!$K$10634+Sens!$K$10650+Sens!$K$10651-Sens!$K$10654</f>
        <v>34.6229460636055</v>
      </c>
      <c r="L10655" s="38" t="n">
        <f aca="false">Sens!$L$10629+Sens!$L$10634+Sens!$L$10650+Sens!$L$10651-Sens!$L$10654</f>
        <v>36.1947559461616</v>
      </c>
      <c r="M10655" s="38" t="n">
        <f aca="false">Sens!$M$10629+Sens!$M$10634+Sens!$M$10650+Sens!$M$10651-Sens!$M$10654</f>
        <v>38.5793625693042</v>
      </c>
      <c r="N10655" s="38" t="n">
        <f aca="false">Sens!$N$10629+Sens!$N$10634+Sens!$N$10650+Sens!$N$10651-Sens!$N$10654</f>
        <v>10.6495</v>
      </c>
      <c r="O10655" s="38" t="n">
        <f aca="false">Sens!$O$10629+Sens!$O$10634+Sens!$O$10650+Sens!$O$10651-Sens!$O$10654</f>
        <v>9.81200000000001</v>
      </c>
    </row>
    <row r="10656" customFormat="false" ht="17.15" hidden="false" customHeight="false" outlineLevel="0" collapsed="false">
      <c r="A10656" s="0" t="s">
        <v>748</v>
      </c>
      <c r="B10656" s="0" t="s">
        <v>86</v>
      </c>
      <c r="C10656" s="38" t="n">
        <f aca="false">Sens!$C$10636+Sens!$C$10652-ext_sh*Sens!$C$10571</f>
        <v>51.3470500115664</v>
      </c>
      <c r="D10656" s="38" t="n">
        <f aca="false">Sens!$D$10636+Sens!$D$10652-ext_sh*Sens!$D$10571</f>
        <v>60.2799375433739</v>
      </c>
      <c r="E10656" s="38" t="n">
        <f aca="false">Sens!$E$10636+Sens!$E$10652-ext_sh*Sens!$E$10571</f>
        <v>39.5095167090767</v>
      </c>
      <c r="F10656" s="38" t="n">
        <f aca="false">Sens!$F$10636+Sens!$F$10652-ext_sh*Sens!$F$10571</f>
        <v>37.5468918745429</v>
      </c>
      <c r="G10656" s="38" t="n">
        <f aca="false">Sens!$G$10636+Sens!$G$10652-ext_sh*Sens!$G$10571</f>
        <v>77.0564085836196</v>
      </c>
      <c r="H10656" s="38" t="n">
        <f aca="false">Sens!$H$10636+Sens!$H$10652-ext_sh*Sens!$H$10571</f>
        <v>84.2378398616123</v>
      </c>
      <c r="I10656" s="38" t="n">
        <f aca="false">Sens!$I$10636+Sens!$I$10652-ext_sh*Sens!$I$10571</f>
        <v>93.5253492849083</v>
      </c>
      <c r="J10656" s="38" t="n">
        <f aca="false">Sens!$J$10636+Sens!$J$10652-ext_sh*Sens!$J$10571</f>
        <v>102.42210777817</v>
      </c>
      <c r="K10656" s="38" t="n">
        <f aca="false">Sens!$K$10636+Sens!$K$10652-ext_sh*Sens!$K$10571</f>
        <v>110.615876400424</v>
      </c>
      <c r="L10656" s="38" t="n">
        <f aca="false">Sens!$L$10636+Sens!$L$10652-ext_sh*Sens!$L$10571</f>
        <v>119.465146512458</v>
      </c>
      <c r="M10656" s="38" t="n">
        <f aca="false">Sens!$M$10636+Sens!$M$10652-ext_sh*Sens!$M$10571</f>
        <v>129.022358233455</v>
      </c>
      <c r="N10656" s="38" t="n">
        <f aca="false">Sens!$N$10636+Sens!$N$10652-ext_sh*Sens!$N$10571</f>
        <v>28.5693781401809</v>
      </c>
      <c r="O10656" s="38" t="n">
        <f aca="false">Sens!$O$10636+Sens!$O$10652-ext_sh*Sens!$O$10571</f>
        <v>31.7105594031931</v>
      </c>
    </row>
    <row r="10657" customFormat="false" ht="17.15" hidden="false" customHeight="false" outlineLevel="0" collapsed="false">
      <c r="A10657" s="0" t="s">
        <v>749</v>
      </c>
      <c r="B10657" s="0" t="s">
        <v>86</v>
      </c>
      <c r="C10657" s="38" t="n">
        <f aca="false">Sens!$C$10574</f>
        <v>1.80694998843362</v>
      </c>
      <c r="D10657" s="38" t="n">
        <f aca="false">Sens!$D$10574</f>
        <v>6.77606245662607</v>
      </c>
      <c r="E10657" s="38" t="n">
        <f aca="false">Sens!$E$10574</f>
        <v>6.62548329092326</v>
      </c>
      <c r="F10657" s="38" t="n">
        <f aca="false">Sens!$F$10574</f>
        <v>14.4996696128551</v>
      </c>
      <c r="G10657" s="38" t="n">
        <f aca="false">Sens!$G$10574</f>
        <v>21.1251529037784</v>
      </c>
      <c r="H10657" s="38" t="n">
        <f aca="false">Sens!$H$10574</f>
        <v>70.2126356677435</v>
      </c>
      <c r="I10657" s="38" t="n">
        <f aca="false">Sens!$I$10574</f>
        <v>126.678603645079</v>
      </c>
      <c r="J10657" s="38" t="n">
        <f aca="false">Sens!$J$10574</f>
        <v>183.417938128511</v>
      </c>
      <c r="K10657" s="38" t="n">
        <f aca="false">Sens!$K$10574</f>
        <v>231.815746632017</v>
      </c>
      <c r="L10657" s="38" t="n">
        <f aca="false">Sens!$L$10574</f>
        <v>263.612756777848</v>
      </c>
      <c r="M10657" s="38" t="n">
        <f aca="false">Sens!$M$10574</f>
        <v>278.764488450164</v>
      </c>
      <c r="N10657" s="38" t="n">
        <f aca="false">Sens!$N$10574</f>
        <v>2.37162185981912</v>
      </c>
      <c r="O10657" s="38" t="n">
        <f aca="false">Sens!$O$10574</f>
        <v>4.40444059680694</v>
      </c>
    </row>
    <row r="10658" customFormat="false" ht="17.15" hidden="false" customHeight="false" outlineLevel="0" collapsed="false">
      <c r="A10658" s="0" t="s">
        <v>750</v>
      </c>
      <c r="B10658" s="0" t="s">
        <v>86</v>
      </c>
      <c r="C10658" s="38" t="n">
        <f aca="false">Sens!$C$10639+Sens!$C$10653</f>
        <v>100.66</v>
      </c>
      <c r="D10658" s="38" t="n">
        <f aca="false">Sens!$D$10639+Sens!$D$10653</f>
        <v>121.835</v>
      </c>
      <c r="E10658" s="38" t="n">
        <f aca="false">Sens!$E$10639+Sens!$E$10653</f>
        <v>78.016</v>
      </c>
      <c r="F10658" s="38" t="n">
        <f aca="false">Sens!$F$10639+Sens!$F$10653</f>
        <v>87.6703489165903</v>
      </c>
      <c r="G10658" s="38" t="n">
        <f aca="false">Sens!$G$10639+Sens!$G$10653</f>
        <v>165.68634891659</v>
      </c>
      <c r="H10658" s="38" t="n">
        <f aca="false">Sens!$H$10639+Sens!$H$10653</f>
        <v>232.366640240199</v>
      </c>
      <c r="I10658" s="38" t="n">
        <f aca="false">Sens!$I$10639+Sens!$I$10653</f>
        <v>308.627525527209</v>
      </c>
      <c r="J10658" s="38" t="n">
        <f aca="false">Sens!$J$10639+Sens!$J$10653</f>
        <v>384.205713549557</v>
      </c>
      <c r="K10658" s="38" t="n">
        <f aca="false">Sens!$K$10639+Sens!$K$10653</f>
        <v>449.73648716412</v>
      </c>
      <c r="L10658" s="38" t="n">
        <f aca="false">Sens!$L$10639+Sens!$L$10653</f>
        <v>499.222769111348</v>
      </c>
      <c r="M10658" s="38" t="n">
        <f aca="false">Sens!$M$10639+Sens!$M$10653</f>
        <v>534.311330115292</v>
      </c>
      <c r="N10658" s="38" t="n">
        <f aca="false">Sens!$N$10639+Sens!$N$10653</f>
        <v>56.398</v>
      </c>
      <c r="O10658" s="38" t="n">
        <f aca="false">Sens!$O$10639+Sens!$O$10653</f>
        <v>65.437</v>
      </c>
    </row>
    <row r="10659" customFormat="false" ht="17.15" hidden="false" customHeight="false" outlineLevel="0" collapsed="false">
      <c r="A10659" s="1" t="s">
        <v>751</v>
      </c>
    </row>
    <row r="10660" customFormat="false" ht="15" hidden="false" customHeight="false" outlineLevel="0" collapsed="false">
      <c r="A10660" s="5" t="s">
        <v>544</v>
      </c>
      <c r="B10660" s="0" t="s">
        <v>86</v>
      </c>
      <c r="C10660" s="38" t="n">
        <f aca="false">Q!$D$34</f>
        <v>2.406</v>
      </c>
      <c r="D10660" s="38" t="n">
        <f aca="false">Q!$E$34</f>
        <v>2.274</v>
      </c>
      <c r="E10660" s="38" t="n">
        <f aca="false">Q!$P$34</f>
        <v>2.114</v>
      </c>
      <c r="F10660" s="38" t="n">
        <f aca="false">Sens!$F$10698</f>
        <v>3.24888962733561</v>
      </c>
      <c r="G10660" s="38" t="n">
        <f aca="false">Sens!$E$10660+Sens!$F$10660</f>
        <v>5.36288962733561</v>
      </c>
      <c r="H10660" s="38" t="n">
        <f aca="false">Sens!$H$10698</f>
        <v>7.42354172302123</v>
      </c>
      <c r="I10660" s="38" t="n">
        <f aca="false">Sens!$I$10698</f>
        <v>7.60355443800906</v>
      </c>
      <c r="J10660" s="38" t="n">
        <f aca="false">Sens!$J$10698</f>
        <v>7.60355443800906</v>
      </c>
      <c r="K10660" s="38" t="n">
        <f aca="false">Sens!$K$10698</f>
        <v>7.60355443800906</v>
      </c>
      <c r="L10660" s="38" t="n">
        <f aca="false">Sens!$L$10698</f>
        <v>7.60355443800906</v>
      </c>
      <c r="M10660" s="38" t="n">
        <f aca="false">Sens!$M$10698</f>
        <v>7.60355443800906</v>
      </c>
      <c r="N10660" s="38" t="n">
        <f aca="false">Q!$N$34</f>
        <v>1.057</v>
      </c>
      <c r="O10660" s="38" t="n">
        <f aca="false">Q!$O$34</f>
        <v>1.217</v>
      </c>
    </row>
    <row r="10661" customFormat="false" ht="15" hidden="false" customHeight="false" outlineLevel="0" collapsed="false">
      <c r="A10661" s="5" t="s">
        <v>752</v>
      </c>
      <c r="B10661" s="0" t="s">
        <v>86</v>
      </c>
      <c r="F10661" s="38" t="n">
        <f aca="false">Sens!$F$10699</f>
        <v>2.59</v>
      </c>
      <c r="H10661" s="38" t="n">
        <f aca="false">Sens!$H$10699</f>
        <v>3.76043023390542</v>
      </c>
      <c r="I10661" s="38" t="n">
        <f aca="false">Sens!$I$10699</f>
        <v>2.10589651022864</v>
      </c>
      <c r="J10661" s="38" t="n">
        <f aca="false">Sens!$J$10699</f>
        <v>2.82200256644315</v>
      </c>
      <c r="K10661" s="38" t="n">
        <f aca="false">Sens!$K$10699</f>
        <v>6.15139592001776</v>
      </c>
      <c r="L10661" s="38" t="n">
        <f aca="false">Sens!$L$10699</f>
        <v>14.4301151160472</v>
      </c>
      <c r="M10661" s="38" t="n">
        <f aca="false">Sens!$M$10699</f>
        <v>25.8437024410649</v>
      </c>
    </row>
    <row r="10662" customFormat="false" ht="17.15" hidden="false" customHeight="false" outlineLevel="0" collapsed="false">
      <c r="A10662" s="5" t="s">
        <v>753</v>
      </c>
      <c r="B10662" s="0" t="s">
        <v>86</v>
      </c>
      <c r="C10662" s="38" t="n">
        <f aca="false">Q!$D$39</f>
        <v>2.427</v>
      </c>
      <c r="D10662" s="38" t="n">
        <f aca="false">Q!$E$39</f>
        <v>19.61</v>
      </c>
      <c r="E10662" s="38" t="n">
        <f aca="false">Q!$P$39</f>
        <v>71.492</v>
      </c>
      <c r="F10662" s="39" t="n">
        <v>0</v>
      </c>
      <c r="G10662" s="38" t="n">
        <f aca="false">Sens!$E$10662+Sens!$F$10662</f>
        <v>71.492</v>
      </c>
      <c r="H10662" s="39" t="n">
        <v>0</v>
      </c>
      <c r="I10662" s="39" t="n">
        <v>0</v>
      </c>
      <c r="J10662" s="39" t="n">
        <v>0</v>
      </c>
      <c r="K10662" s="39" t="n">
        <v>0</v>
      </c>
      <c r="L10662" s="39" t="n">
        <v>0</v>
      </c>
      <c r="M10662" s="39" t="n">
        <v>0</v>
      </c>
      <c r="N10662" s="38" t="n">
        <f aca="false">Q!$N$39</f>
        <v>6.017</v>
      </c>
      <c r="O10662" s="38" t="n">
        <f aca="false">Q!$O$39</f>
        <v>13.593</v>
      </c>
      <c r="P10662" s="5" t="s">
        <v>754</v>
      </c>
    </row>
    <row r="10663" customFormat="false" ht="15" hidden="false" customHeight="false" outlineLevel="0" collapsed="false">
      <c r="A10663" s="5" t="s">
        <v>547</v>
      </c>
      <c r="B10663" s="0" t="s">
        <v>86</v>
      </c>
      <c r="C10663" s="38" t="n">
        <f aca="false">Q!$D$36</f>
        <v>68.614</v>
      </c>
      <c r="D10663" s="38" t="n">
        <f aca="false">Q!$E$36</f>
        <v>97.311</v>
      </c>
      <c r="E10663" s="38" t="n">
        <f aca="false">Q!$P$36</f>
        <v>120.691</v>
      </c>
      <c r="F10663" s="38" t="n">
        <f aca="false">Sens!$F$10639-Sens!$F$10660+Sens!$F$10661+Sens!$F$10662</f>
        <v>58.8043171266262</v>
      </c>
      <c r="G10663" s="38" t="n">
        <f aca="false">Sens!$E$10663+Sens!$F$10663</f>
        <v>179.495317126626</v>
      </c>
      <c r="H10663" s="38" t="n">
        <f aca="false">Sens!$H$10639-Sens!$H$10660+Sens!$H$10661+Sens!$H$10662</f>
        <v>150.160886984046</v>
      </c>
      <c r="I10663" s="38" t="n">
        <f aca="false">Sens!$I$10639-Sens!$I$10660+Sens!$I$10661+Sens!$I$10662</f>
        <v>190.843137631169</v>
      </c>
      <c r="J10663" s="38" t="n">
        <f aca="false">Sens!$J$10639-Sens!$J$10660+Sens!$J$10661+Sens!$J$10662</f>
        <v>232.643750952395</v>
      </c>
      <c r="K10663" s="38" t="n">
        <f aca="false">Sens!$K$10639-Sens!$K$10660+Sens!$K$10661+Sens!$K$10662</f>
        <v>266.801504612755</v>
      </c>
      <c r="L10663" s="38" t="n">
        <f aca="false">Sens!$L$10639-Sens!$L$10660+Sens!$L$10661+Sens!$L$10662</f>
        <v>298.484005434006</v>
      </c>
      <c r="M10663" s="38" t="n">
        <f aca="false">Sens!$M$10639-Sens!$M$10660+Sens!$M$10661+Sens!$M$10662</f>
        <v>325.882153427308</v>
      </c>
      <c r="N10663" s="38" t="n">
        <f aca="false">Q!$N$36</f>
        <v>42.536</v>
      </c>
      <c r="O10663" s="38" t="n">
        <f aca="false">Q!$O$36</f>
        <v>54.775</v>
      </c>
    </row>
    <row r="10664" customFormat="false" ht="15" hidden="false" customHeight="false" outlineLevel="0" collapsed="false">
      <c r="A10664" s="5" t="s">
        <v>548</v>
      </c>
      <c r="B10664" s="0" t="s">
        <v>86</v>
      </c>
      <c r="C10664" s="38" t="n">
        <f aca="false">Q!$D$37</f>
        <v>9.265</v>
      </c>
      <c r="D10664" s="38" t="n">
        <f aca="false">Q!$E$37</f>
        <v>19.087</v>
      </c>
      <c r="E10664" s="38" t="n">
        <f aca="false">Q!$P$37</f>
        <v>27.759</v>
      </c>
      <c r="F10664" s="38" t="n">
        <f aca="false">Sens!$F$10663*tax</f>
        <v>10.2075195516981</v>
      </c>
      <c r="G10664" s="38" t="n">
        <f aca="false">Sens!$E$10664+Sens!$F$10664</f>
        <v>37.9665195516981</v>
      </c>
      <c r="H10664" s="38" t="n">
        <f aca="false">Sens!$H$10663*tax</f>
        <v>26.0656064841189</v>
      </c>
      <c r="I10664" s="38" t="n">
        <f aca="false">Sens!$I$10663*tax</f>
        <v>33.1274157045777</v>
      </c>
      <c r="J10664" s="38" t="n">
        <f aca="false">Sens!$J$10663*tax</f>
        <v>40.3833553804113</v>
      </c>
      <c r="K10664" s="38" t="n">
        <f aca="false">Sens!$K$10663*tax</f>
        <v>46.3126128799824</v>
      </c>
      <c r="L10664" s="38" t="n">
        <f aca="false">Sens!$L$10663*tax</f>
        <v>51.8122047872096</v>
      </c>
      <c r="M10664" s="38" t="n">
        <f aca="false">Sens!$M$10663*tax</f>
        <v>56.5680993369197</v>
      </c>
      <c r="N10664" s="38" t="n">
        <f aca="false">Q!$N$37</f>
        <v>7.231</v>
      </c>
      <c r="O10664" s="38" t="n">
        <f aca="false">Q!$O$37</f>
        <v>11.856</v>
      </c>
    </row>
    <row r="10665" customFormat="false" ht="15" hidden="false" customHeight="false" outlineLevel="0" collapsed="false">
      <c r="A10665" s="3" t="s">
        <v>549</v>
      </c>
      <c r="B10665" s="8" t="s">
        <v>86</v>
      </c>
      <c r="C10665" s="38" t="n">
        <f aca="false">Q!$D$38</f>
        <v>59.248</v>
      </c>
      <c r="D10665" s="38" t="n">
        <f aca="false">Q!$E$38</f>
        <v>77.67</v>
      </c>
      <c r="E10665" s="38" t="n">
        <f aca="false">Q!$P$38</f>
        <v>92.902</v>
      </c>
      <c r="F10665" s="38" t="n">
        <f aca="false">Sens!$F$10663-Sens!$F$10664</f>
        <v>48.5967975749281</v>
      </c>
      <c r="G10665" s="38" t="n">
        <f aca="false">Sens!$E$10665+Sens!$F$10665</f>
        <v>141.498797574928</v>
      </c>
      <c r="H10665" s="38" t="n">
        <f aca="false">Sens!$H$10663-Sens!$H$10664</f>
        <v>124.095280499927</v>
      </c>
      <c r="I10665" s="38" t="n">
        <f aca="false">Sens!$I$10663-Sens!$I$10664</f>
        <v>157.715721926591</v>
      </c>
      <c r="J10665" s="38" t="n">
        <f aca="false">Sens!$J$10663-Sens!$J$10664</f>
        <v>192.260395571983</v>
      </c>
      <c r="K10665" s="38" t="n">
        <f aca="false">Sens!$K$10663-Sens!$K$10664</f>
        <v>220.488891732772</v>
      </c>
      <c r="L10665" s="38" t="n">
        <f aca="false">Sens!$L$10663-Sens!$L$10664</f>
        <v>246.671800646796</v>
      </c>
      <c r="M10665" s="38" t="n">
        <f aca="false">Sens!$M$10663-Sens!$M$10664</f>
        <v>269.314054090388</v>
      </c>
      <c r="N10665" s="38" t="n">
        <f aca="false">Q!$N$38</f>
        <v>35.291</v>
      </c>
      <c r="O10665" s="38" t="n">
        <f aca="false">Q!$O$38</f>
        <v>42.379</v>
      </c>
    </row>
    <row r="10666" customFormat="false" ht="17.15" hidden="false" customHeight="false" outlineLevel="0" collapsed="false">
      <c r="A10666" s="5" t="s">
        <v>552</v>
      </c>
      <c r="B10666" s="5" t="s">
        <v>33</v>
      </c>
      <c r="C10666" s="22" t="n">
        <f aca="false">Q!$D$41</f>
        <v>10.721</v>
      </c>
      <c r="D10666" s="22" t="n">
        <f aca="false">Q!$E$41</f>
        <v>10.827</v>
      </c>
      <c r="E10666" s="22" t="n">
        <f aca="false">(Q!$L$41+Q!$M$41)/2</f>
        <v>10.8885</v>
      </c>
      <c r="F10666" s="22" t="n">
        <f aca="false">Sens!$G$10666</f>
        <v>10.924806</v>
      </c>
      <c r="G10666" s="22" t="n">
        <f aca="false">Q!$M$41*(1+sh_g*0.25)</f>
        <v>10.924806</v>
      </c>
      <c r="H10666" s="22" t="n">
        <f aca="false">Sens!$G$10666*(1+sh_g)</f>
        <v>11.012204448</v>
      </c>
      <c r="I10666" s="22" t="n">
        <f aca="false">Sens!$H$10666*(1+sh_g)</f>
        <v>11.100302083584</v>
      </c>
      <c r="J10666" s="22" t="n">
        <f aca="false">Sens!$I$10666*(1+sh_g)</f>
        <v>11.1891045002527</v>
      </c>
      <c r="K10666" s="22" t="n">
        <f aca="false">Sens!$J$10666*(1+sh_g)</f>
        <v>11.2786173362547</v>
      </c>
      <c r="L10666" s="22" t="n">
        <f aca="false">Sens!$K$10666*(1+sh_g)</f>
        <v>11.3688462749447</v>
      </c>
      <c r="M10666" s="22" t="n">
        <f aca="false">Sens!$L$10666*(1+sh_g)</f>
        <v>11.4597970451443</v>
      </c>
      <c r="P10666" s="5" t="s">
        <v>755</v>
      </c>
    </row>
    <row r="10667" customFormat="false" ht="17.15" hidden="false" customHeight="false" outlineLevel="0" collapsed="false">
      <c r="A10667" s="5" t="s">
        <v>756</v>
      </c>
      <c r="B10667" s="0" t="s">
        <v>86</v>
      </c>
      <c r="C10667" s="38" t="n">
        <f aca="false">Sens!$C$10665+Sens!$C$10641*(1-tax)</f>
        <v>59.248</v>
      </c>
      <c r="D10667" s="38" t="n">
        <f aca="false">Sens!$D$10665+Sens!$D$10641*(1-tax)</f>
        <v>77.67</v>
      </c>
      <c r="E10667" s="38" t="n">
        <f aca="false">Sens!$E$10665+Sens!$E$10641*(1-tax)</f>
        <v>92.902</v>
      </c>
      <c r="F10667" s="38" t="n">
        <f aca="false">Sens!$F$10665+Sens!$F$10641*(1-tax)</f>
        <v>48.5967975749281</v>
      </c>
      <c r="G10667" s="38" t="n">
        <f aca="false">Sens!$G$10665+Sens!$G$10641*(1-tax)</f>
        <v>141.498797574928</v>
      </c>
      <c r="H10667" s="38" t="n">
        <f aca="false">Sens!$H$10665+Sens!$H$10641*(1-tax)</f>
        <v>124.095280499927</v>
      </c>
      <c r="I10667" s="38" t="n">
        <f aca="false">Sens!$I$10665+Sens!$I$10641*(1-tax)</f>
        <v>157.715721926591</v>
      </c>
      <c r="J10667" s="38" t="n">
        <f aca="false">Sens!$J$10665+Sens!$J$10641*(1-tax)</f>
        <v>192.260395571983</v>
      </c>
      <c r="K10667" s="38" t="n">
        <f aca="false">Sens!$K$10665+Sens!$K$10641*(1-tax)</f>
        <v>220.488891732772</v>
      </c>
      <c r="L10667" s="38" t="n">
        <f aca="false">Sens!$L$10665+Sens!$L$10641*(1-tax)</f>
        <v>246.671800646796</v>
      </c>
      <c r="M10667" s="38" t="n">
        <f aca="false">Sens!$M$10665+Sens!$M$10641*(1-tax)</f>
        <v>269.314054090388</v>
      </c>
      <c r="N10667" s="38" t="n">
        <f aca="false">Sens!$N$10665+Sens!$N$10641*(1-tax)</f>
        <v>35.291</v>
      </c>
      <c r="O10667" s="38" t="n">
        <f aca="false">Sens!$O$10665+Sens!$O$10641*(1-tax)</f>
        <v>42.379</v>
      </c>
    </row>
    <row r="10668" customFormat="false" ht="17.15" hidden="false" customHeight="false" outlineLevel="0" collapsed="false">
      <c r="A10668" s="43" t="s">
        <v>757</v>
      </c>
      <c r="B10668" s="14" t="s">
        <v>27</v>
      </c>
      <c r="C10668" s="44" t="n">
        <f aca="false">Sens!$C$10667/Sens!$C$10666</f>
        <v>5.52635015390355</v>
      </c>
      <c r="D10668" s="44" t="n">
        <f aca="false">Sens!$D$10667/Sens!$D$10666</f>
        <v>7.1737323358271</v>
      </c>
      <c r="E10668" s="44" t="n">
        <f aca="false">Sens!$E$10667/Sens!$E$10666</f>
        <v>8.53212104513937</v>
      </c>
      <c r="F10668" s="14"/>
      <c r="G10668" s="44" t="n">
        <f aca="false">Sens!$G$10667/Sens!$G$10666</f>
        <v>12.9520650137795</v>
      </c>
      <c r="H10668" s="44" t="n">
        <f aca="false">Sens!$H$10667/Sens!$H$10666</f>
        <v>11.2688863602114</v>
      </c>
      <c r="I10668" s="44" t="n">
        <f aca="false">Sens!$I$10667/Sens!$I$10666</f>
        <v>14.2082369235548</v>
      </c>
      <c r="J10668" s="44" t="n">
        <f aca="false">Sens!$J$10667/Sens!$J$10666</f>
        <v>17.1828224115381</v>
      </c>
      <c r="K10668" s="44" t="n">
        <f aca="false">Sens!$K$10667/Sens!$K$10666</f>
        <v>19.5492838491841</v>
      </c>
      <c r="L10668" s="44" t="n">
        <f aca="false">Sens!$L$10667/Sens!$L$10666</f>
        <v>21.6971709073439</v>
      </c>
      <c r="M10668" s="44" t="n">
        <f aca="false">Sens!$M$10667/Sens!$M$10666</f>
        <v>23.5007699551277</v>
      </c>
      <c r="N10668" s="14"/>
      <c r="O10668" s="14"/>
    </row>
    <row r="10669" customFormat="false" ht="17.15" hidden="false" customHeight="false" outlineLevel="0" collapsed="false">
      <c r="A10669" s="0" t="s">
        <v>758</v>
      </c>
      <c r="B10669" s="0" t="s">
        <v>27</v>
      </c>
      <c r="C10669" s="30" t="n">
        <f aca="false">Sens!$C$10665/Sens!$C$10666</f>
        <v>5.52635015390355</v>
      </c>
      <c r="D10669" s="30" t="n">
        <f aca="false">Sens!$D$10665/Sens!$D$10666</f>
        <v>7.1737323358271</v>
      </c>
      <c r="E10669" s="30" t="n">
        <f aca="false">Sens!$E$10665/Sens!$E$10666</f>
        <v>8.53212104513937</v>
      </c>
      <c r="G10669" s="30" t="n">
        <f aca="false">Sens!$G$10665/Sens!$G$10666</f>
        <v>12.9520650137795</v>
      </c>
      <c r="H10669" s="30" t="n">
        <f aca="false">Sens!$H$10665/Sens!$H$10666</f>
        <v>11.2688863602114</v>
      </c>
      <c r="I10669" s="30" t="n">
        <f aca="false">Sens!$I$10665/Sens!$I$10666</f>
        <v>14.2082369235548</v>
      </c>
      <c r="J10669" s="30" t="n">
        <f aca="false">Sens!$J$10665/Sens!$J$10666</f>
        <v>17.1828224115381</v>
      </c>
      <c r="K10669" s="30" t="n">
        <f aca="false">Sens!$K$10665/Sens!$K$10666</f>
        <v>19.5492838491841</v>
      </c>
      <c r="L10669" s="30" t="n">
        <f aca="false">Sens!$L$10665/Sens!$L$10666</f>
        <v>21.6971709073439</v>
      </c>
      <c r="M10669" s="30" t="n">
        <f aca="false">Sens!$M$10665/Sens!$M$10666</f>
        <v>23.5007699551277</v>
      </c>
    </row>
    <row r="10670" customFormat="false" ht="17.15" hidden="false" customHeight="false" outlineLevel="0" collapsed="false">
      <c r="A10670" s="0" t="s">
        <v>759</v>
      </c>
      <c r="B10670" s="0" t="s">
        <v>27</v>
      </c>
      <c r="C10670" s="30" t="n">
        <f aca="false">(Sens!$C$10665-Sens!$C$10662*(1-tax))/Sens!$C$10666</f>
        <v>5.33926775917445</v>
      </c>
      <c r="D10670" s="30" t="n">
        <f aca="false">(Sens!$D$10665-Sens!$D$10662*(1-tax))/Sens!$D$10666</f>
        <v>5.67691812755503</v>
      </c>
      <c r="E10670" s="30" t="n">
        <f aca="false">(Sens!$E$10665-Sens!$E$10662*(1-tax))/Sens!$E$10666</f>
        <v>3.10602057006846</v>
      </c>
      <c r="G10670" s="30" t="n">
        <f aca="false">(Sens!$G$10665-Sens!$G$10662*(1-tax))/Sens!$G$10666</f>
        <v>7.5439968958825</v>
      </c>
      <c r="H10670" s="30" t="n">
        <f aca="false">(Sens!$H$10665-Sens!$H$10662*(1-tax))/Sens!$H$10666</f>
        <v>11.2688863602114</v>
      </c>
      <c r="I10670" s="30" t="n">
        <f aca="false">(Sens!$I$10665-Sens!$I$10662*(1-tax))/Sens!$I$10666</f>
        <v>14.2082369235548</v>
      </c>
      <c r="J10670" s="30" t="n">
        <f aca="false">(Sens!$J$10665-Sens!$J$10662*(1-tax))/Sens!$J$10666</f>
        <v>17.1828224115381</v>
      </c>
      <c r="K10670" s="30" t="n">
        <f aca="false">(Sens!$K$10665-Sens!$K$10662*(1-tax))/Sens!$K$10666</f>
        <v>19.5492838491841</v>
      </c>
      <c r="L10670" s="30" t="n">
        <f aca="false">(Sens!$L$10665-Sens!$L$10662*(1-tax))/Sens!$L$10666</f>
        <v>21.6971709073439</v>
      </c>
      <c r="M10670" s="30" t="n">
        <f aca="false">(Sens!$M$10665-Sens!$M$10662*(1-tax))/Sens!$M$10666</f>
        <v>23.5007699551277</v>
      </c>
      <c r="P10670" s="5" t="s">
        <v>760</v>
      </c>
    </row>
    <row r="10671" customFormat="false" ht="17.15" hidden="false" customHeight="false" outlineLevel="0" collapsed="false">
      <c r="A10671" s="0" t="s">
        <v>761</v>
      </c>
      <c r="B10671" s="0" t="s">
        <v>52</v>
      </c>
      <c r="H10671" s="13" t="n">
        <f aca="false">Sens!$H$10668/Sens!$G$10668-1</f>
        <v>-0.129954462997009</v>
      </c>
      <c r="I10671" s="13" t="n">
        <f aca="false">Sens!$I$10668/Sens!$H$10668-1</f>
        <v>0.260837714516475</v>
      </c>
      <c r="J10671" s="13" t="n">
        <f aca="false">Sens!$J$10668/Sens!$I$10668-1</f>
        <v>0.209356410931739</v>
      </c>
      <c r="K10671" s="13" t="n">
        <f aca="false">Sens!$K$10668/Sens!$J$10668-1</f>
        <v>0.13772251036343</v>
      </c>
      <c r="L10671" s="13" t="n">
        <f aca="false">Sens!$L$10668/Sens!$K$10668-1</f>
        <v>0.109870370430446</v>
      </c>
      <c r="M10671" s="13" t="n">
        <f aca="false">Sens!$M$10668/Sens!$L$10668-1</f>
        <v>0.0831260008729189</v>
      </c>
    </row>
    <row r="10674" customFormat="false" ht="19.4" hidden="false" customHeight="false" outlineLevel="0" collapsed="false">
      <c r="A10674" s="31" t="s">
        <v>1353</v>
      </c>
    </row>
    <row r="10675" customFormat="false" ht="17.15" hidden="false" customHeight="false" outlineLevel="0" collapsed="false">
      <c r="A10675" s="6" t="s">
        <v>16</v>
      </c>
      <c r="B10675" s="6" t="s">
        <v>17</v>
      </c>
      <c r="C10675" s="20" t="s">
        <v>497</v>
      </c>
      <c r="D10675" s="20" t="s">
        <v>498</v>
      </c>
      <c r="E10675" s="20" t="s">
        <v>580</v>
      </c>
      <c r="F10675" s="20" t="s">
        <v>581</v>
      </c>
      <c r="G10675" s="20" t="s">
        <v>582</v>
      </c>
      <c r="H10675" s="20" t="s">
        <v>583</v>
      </c>
      <c r="I10675" s="20" t="s">
        <v>584</v>
      </c>
      <c r="J10675" s="20" t="s">
        <v>585</v>
      </c>
      <c r="K10675" s="20" t="s">
        <v>586</v>
      </c>
      <c r="L10675" s="20" t="s">
        <v>587</v>
      </c>
      <c r="M10675" s="20" t="s">
        <v>588</v>
      </c>
      <c r="N10675" s="20" t="s">
        <v>589</v>
      </c>
      <c r="O10675" s="20" t="s">
        <v>590</v>
      </c>
      <c r="P10675" s="6" t="s">
        <v>23</v>
      </c>
      <c r="R10675" s="20" t="n">
        <v>2023</v>
      </c>
      <c r="S10675" s="20" t="n">
        <v>2024</v>
      </c>
      <c r="T10675" s="20" t="n">
        <v>2025</v>
      </c>
      <c r="U10675" s="20" t="n">
        <v>2026</v>
      </c>
      <c r="V10675" s="20" t="n">
        <v>2027</v>
      </c>
      <c r="W10675" s="20" t="n">
        <v>2028</v>
      </c>
      <c r="X10675" s="20" t="n">
        <v>2029</v>
      </c>
      <c r="Y10675" s="20" t="n">
        <v>2030</v>
      </c>
      <c r="Z10675" s="20" t="n">
        <v>2031</v>
      </c>
      <c r="AA10675" s="20" t="n">
        <v>2032</v>
      </c>
    </row>
    <row r="10676" customFormat="false" ht="15" hidden="false" customHeight="false" outlineLevel="0" collapsed="false">
      <c r="A10676" s="5" t="s">
        <v>549</v>
      </c>
      <c r="B10676" s="0" t="s">
        <v>86</v>
      </c>
      <c r="C10676" s="38" t="n">
        <f aca="false">Sens!$C$10665</f>
        <v>59.248</v>
      </c>
      <c r="D10676" s="38" t="n">
        <f aca="false">Sens!$D$10665</f>
        <v>77.67</v>
      </c>
      <c r="E10676" s="38" t="n">
        <f aca="false">Sens!$E$10665</f>
        <v>92.902</v>
      </c>
      <c r="F10676" s="38" t="n">
        <f aca="false">Sens!$F$10665</f>
        <v>48.5967975749281</v>
      </c>
      <c r="G10676" s="38" t="n">
        <f aca="false">Sens!$G$10665</f>
        <v>141.498797574928</v>
      </c>
      <c r="H10676" s="38" t="n">
        <f aca="false">Sens!$H$10665</f>
        <v>124.095280499927</v>
      </c>
      <c r="I10676" s="38" t="n">
        <f aca="false">Sens!$I$10665</f>
        <v>157.715721926591</v>
      </c>
      <c r="J10676" s="38" t="n">
        <f aca="false">Sens!$J$10665</f>
        <v>192.260395571983</v>
      </c>
      <c r="K10676" s="38" t="n">
        <f aca="false">Sens!$K$10665</f>
        <v>220.488891732772</v>
      </c>
      <c r="L10676" s="38" t="n">
        <f aca="false">Sens!$L$10665</f>
        <v>246.671800646796</v>
      </c>
      <c r="M10676" s="38" t="n">
        <f aca="false">Sens!$M$10665</f>
        <v>269.314054090388</v>
      </c>
    </row>
    <row r="10677" customFormat="false" ht="17.15" hidden="false" customHeight="false" outlineLevel="0" collapsed="false">
      <c r="A10677" s="5" t="s">
        <v>784</v>
      </c>
      <c r="B10677" s="0" t="s">
        <v>86</v>
      </c>
      <c r="C10677" s="38" t="n">
        <f aca="false">Sens!$C$10653</f>
        <v>32.067</v>
      </c>
      <c r="D10677" s="38" t="n">
        <f aca="false">Sens!$D$10653</f>
        <v>41.86</v>
      </c>
      <c r="E10677" s="38" t="n">
        <f aca="false">Sens!$E$10653</f>
        <v>26.703</v>
      </c>
      <c r="F10677" s="38" t="n">
        <f aca="false">Sens!$F$10653</f>
        <v>28.2071421626285</v>
      </c>
      <c r="G10677" s="38" t="n">
        <f aca="false">Sens!$G$10653</f>
        <v>54.9101421626285</v>
      </c>
      <c r="H10677" s="38" t="n">
        <f aca="false">Sens!$H$10653</f>
        <v>78.5426417670371</v>
      </c>
      <c r="I10677" s="38" t="n">
        <f aca="false">Sens!$I$10653</f>
        <v>112.286729968259</v>
      </c>
      <c r="J10677" s="38" t="n">
        <f aca="false">Sens!$J$10653</f>
        <v>146.780410725596</v>
      </c>
      <c r="K10677" s="38" t="n">
        <f aca="false">Sens!$K$10653</f>
        <v>181.482824033374</v>
      </c>
      <c r="L10677" s="38" t="n">
        <f aca="false">Sens!$L$10653</f>
        <v>207.56532435538</v>
      </c>
      <c r="M10677" s="38" t="n">
        <f aca="false">Sens!$M$10653</f>
        <v>226.66932469104</v>
      </c>
    </row>
    <row r="10678" customFormat="false" ht="15" hidden="false" customHeight="false" outlineLevel="0" collapsed="false">
      <c r="A10678" s="5" t="s">
        <v>785</v>
      </c>
      <c r="B10678" s="0" t="s">
        <v>86</v>
      </c>
      <c r="C10678" s="38" t="n">
        <f aca="false">Q!$D$48</f>
        <v>22.011</v>
      </c>
      <c r="D10678" s="38" t="n">
        <f aca="false">Q!$E$48</f>
        <v>19.467</v>
      </c>
      <c r="E10678" s="38" t="n">
        <f aca="false">Q!$P$48</f>
        <v>10.07</v>
      </c>
      <c r="F10678" s="38" t="n">
        <f aca="false">sbc_r*Sens!$F$10595</f>
        <v>10.920601270903</v>
      </c>
      <c r="G10678" s="38" t="n">
        <f aca="false">Sens!$E$10678+Sens!$F$10678</f>
        <v>20.990601270903</v>
      </c>
      <c r="H10678" s="38" t="n">
        <f aca="false">sbc_r*Sens!$H$10595</f>
        <v>24.0328886828173</v>
      </c>
      <c r="I10678" s="38" t="n">
        <f aca="false">sbc_r*Sens!$I$10595</f>
        <v>27.7722273348177</v>
      </c>
      <c r="J10678" s="38" t="n">
        <f aca="false">sbc_r*Sens!$J$10595</f>
        <v>31.3793185956819</v>
      </c>
      <c r="K10678" s="38" t="n">
        <f aca="false">sbc_r*Sens!$K$10595</f>
        <v>34.5270470774926</v>
      </c>
      <c r="L10678" s="38" t="n">
        <f aca="false">sbc_r*Sens!$L$10595</f>
        <v>37.3261965235336</v>
      </c>
      <c r="M10678" s="38" t="n">
        <f aca="false">sbc_r*Sens!$M$10595</f>
        <v>39.7853009887732</v>
      </c>
    </row>
    <row r="10679" customFormat="false" ht="17.15" hidden="false" customHeight="false" outlineLevel="0" collapsed="false">
      <c r="A10679" s="5" t="s">
        <v>786</v>
      </c>
      <c r="B10679" s="0" t="s">
        <v>86</v>
      </c>
      <c r="C10679" s="38" t="n">
        <f aca="false">Q!$D$44-Sens!$C$10676-Sens!$C$10677-Sens!$C$10678</f>
        <v>2.551</v>
      </c>
      <c r="D10679" s="38" t="n">
        <f aca="false">Q!$E$44-Sens!$D$10676-Sens!$D$10677-Sens!$D$10678</f>
        <v>0.51700000000001</v>
      </c>
      <c r="E10679" s="38" t="n">
        <f aca="false">Q!$P$44-Sens!$E$10676-Sens!$E$10677-Sens!$E$10678</f>
        <v>-58.256</v>
      </c>
      <c r="F10679" s="38" t="n">
        <f aca="false">oth_r*Sens!$F$10595</f>
        <v>5.2562956146242</v>
      </c>
      <c r="G10679" s="38" t="n">
        <f aca="false">Sens!$E$10679+Sens!$F$10679</f>
        <v>-52.9997043853758</v>
      </c>
      <c r="H10679" s="38" t="n">
        <f aca="false">oth_r*Sens!$H$10595</f>
        <v>11.5674919591491</v>
      </c>
      <c r="I10679" s="38" t="n">
        <f aca="false">oth_r*Sens!$I$10595</f>
        <v>13.367307635093</v>
      </c>
      <c r="J10679" s="38" t="n">
        <f aca="false">oth_r*Sens!$J$10595</f>
        <v>15.1034700959042</v>
      </c>
      <c r="K10679" s="38" t="n">
        <f aca="false">oth_r*Sens!$K$10595</f>
        <v>16.6185324083662</v>
      </c>
      <c r="L10679" s="38" t="n">
        <f aca="false">oth_r*Sens!$L$10595</f>
        <v>17.9658169207222</v>
      </c>
      <c r="M10679" s="38" t="n">
        <f aca="false">oth_r*Sens!$M$10595</f>
        <v>19.1494312379102</v>
      </c>
      <c r="P10679" s="8" t="s">
        <v>787</v>
      </c>
    </row>
    <row r="10680" customFormat="false" ht="15" hidden="false" customHeight="false" outlineLevel="0" collapsed="false">
      <c r="A10680" s="3" t="s">
        <v>555</v>
      </c>
      <c r="B10680" s="8" t="s">
        <v>86</v>
      </c>
      <c r="C10680" s="38" t="n">
        <f aca="false">Q!$D$44</f>
        <v>115.877</v>
      </c>
      <c r="D10680" s="38" t="n">
        <f aca="false">Q!$E$44</f>
        <v>139.514</v>
      </c>
      <c r="E10680" s="38" t="n">
        <f aca="false">Q!$P$44</f>
        <v>71.419</v>
      </c>
      <c r="F10680" s="38" t="n">
        <f aca="false">Sens!$F$10676+Sens!$F$10677+Sens!$F$10678+Sens!$F$10679</f>
        <v>92.9808366230839</v>
      </c>
      <c r="G10680" s="38" t="n">
        <f aca="false">Sens!$E$10680+Sens!$F$10680</f>
        <v>164.399836623084</v>
      </c>
      <c r="H10680" s="38" t="n">
        <f aca="false">Sens!$H$10676+Sens!$H$10677+Sens!$H$10678+Sens!$H$10679</f>
        <v>238.23830290893</v>
      </c>
      <c r="I10680" s="38" t="n">
        <f aca="false">Sens!$I$10676+Sens!$I$10677+Sens!$I$10678+Sens!$I$10679</f>
        <v>311.141986864761</v>
      </c>
      <c r="J10680" s="38" t="n">
        <f aca="false">Sens!$J$10676+Sens!$J$10677+Sens!$J$10678+Sens!$J$10679</f>
        <v>385.523594989166</v>
      </c>
      <c r="K10680" s="38" t="n">
        <f aca="false">Sens!$K$10676+Sens!$K$10677+Sens!$K$10678+Sens!$K$10679</f>
        <v>453.117295252005</v>
      </c>
      <c r="L10680" s="38" t="n">
        <f aca="false">Sens!$L$10676+Sens!$L$10677+Sens!$L$10678+Sens!$L$10679</f>
        <v>509.529138446433</v>
      </c>
      <c r="M10680" s="38" t="n">
        <f aca="false">Sens!$M$10676+Sens!$M$10677+Sens!$M$10678+Sens!$M$10679</f>
        <v>554.918111008111</v>
      </c>
    </row>
    <row r="10681" customFormat="false" ht="17.15" hidden="false" customHeight="false" outlineLevel="0" collapsed="false">
      <c r="A10681" s="5" t="s">
        <v>788</v>
      </c>
      <c r="B10681" s="0" t="s">
        <v>86</v>
      </c>
      <c r="C10681" s="38" t="n">
        <f aca="false">Sens!$C$10562</f>
        <v>25.2781053077374</v>
      </c>
      <c r="D10681" s="38" t="n">
        <f aca="false">Sens!$D$10562</f>
        <v>69.5686316310026</v>
      </c>
      <c r="E10681" s="38" t="n">
        <f aca="false">Sens!$E$10562</f>
        <v>64.1899206485108</v>
      </c>
      <c r="F10681" s="38" t="n">
        <f aca="false">Sens!$F$10562</f>
        <v>98.862028245</v>
      </c>
      <c r="G10681" s="38" t="n">
        <f aca="false">Sens!$G$10562</f>
        <v>163.051948893511</v>
      </c>
      <c r="H10681" s="38" t="n">
        <f aca="false">Sens!$H$10562</f>
        <v>203.9641486225</v>
      </c>
      <c r="I10681" s="38" t="n">
        <f aca="false">Sens!$I$10562</f>
        <v>210.204240755</v>
      </c>
      <c r="J10681" s="38" t="n">
        <f aca="false">Sens!$J$10562</f>
        <v>215.441008955</v>
      </c>
      <c r="K10681" s="38" t="n">
        <f aca="false">Sens!$K$10562</f>
        <v>159.138087817758</v>
      </c>
      <c r="L10681" s="38" t="n">
        <f aca="false">Sens!$L$10562</f>
        <v>134.255775880517</v>
      </c>
      <c r="M10681" s="38" t="n">
        <f aca="false">Sens!$M$10562</f>
        <v>134.968168520775</v>
      </c>
    </row>
    <row r="10682" customFormat="false" ht="17.15" hidden="false" customHeight="false" outlineLevel="0" collapsed="false">
      <c r="A10682" s="5" t="s">
        <v>789</v>
      </c>
      <c r="B10682" s="0" t="s">
        <v>86</v>
      </c>
      <c r="C10682" s="38" t="n">
        <f aca="false">cx_awso*Sens!$C$10593</f>
        <v>21.0469989286053</v>
      </c>
      <c r="D10682" s="38" t="n">
        <f aca="false">cx_awso*Sens!$D$10593</f>
        <v>24.0042459822698</v>
      </c>
      <c r="E10682" s="38" t="n">
        <f aca="false">cx_awso*Sens!$E$10593</f>
        <v>14.261729404886</v>
      </c>
      <c r="F10682" s="38" t="n">
        <f aca="false">cx_awso*Sens!$F$10593</f>
        <v>14.3538599588493</v>
      </c>
      <c r="G10682" s="38" t="n">
        <f aca="false">Sens!$E$10682+Sens!$F$10682</f>
        <v>28.6155893637353</v>
      </c>
      <c r="H10682" s="38" t="n">
        <f aca="false">cx_awso*Sens!$H$10593</f>
        <v>32.2034154158406</v>
      </c>
      <c r="I10682" s="38" t="n">
        <f aca="false">cx_awso*Sens!$I$10593</f>
        <v>35.7539519042915</v>
      </c>
      <c r="J10682" s="38" t="n">
        <f aca="false">cx_awso*Sens!$J$10593</f>
        <v>39.1551076091815</v>
      </c>
      <c r="K10682" s="38" t="n">
        <f aca="false">cx_awso*Sens!$K$10593</f>
        <v>42.287516217916</v>
      </c>
      <c r="L10682" s="38" t="n">
        <f aca="false">cx_awso*Sens!$L$10593</f>
        <v>45.6705175153492</v>
      </c>
      <c r="M10682" s="38" t="n">
        <f aca="false">cx_awso*Sens!$M$10593</f>
        <v>49.3241589165772</v>
      </c>
    </row>
    <row r="10683" customFormat="false" ht="17.15" hidden="false" customHeight="false" outlineLevel="0" collapsed="false">
      <c r="A10683" s="5" t="s">
        <v>790</v>
      </c>
      <c r="B10683" s="0" t="s">
        <v>86</v>
      </c>
      <c r="C10683" s="38" t="n">
        <f aca="false">Q!$D$46-Sens!$C$10681-Sens!$C$10682</f>
        <v>31.3328957636573</v>
      </c>
      <c r="D10683" s="38" t="n">
        <f aca="false">Q!$E$46-Sens!$D$10681-Sens!$D$10682</f>
        <v>34.7471223867276</v>
      </c>
      <c r="E10683" s="38" t="n">
        <f aca="false">Q!$P$46-Sens!$E$10681-Sens!$E$10682</f>
        <v>17.8583499466032</v>
      </c>
      <c r="F10683" s="38" t="n">
        <f aca="false">cx_rt*Sens!$F$10525</f>
        <v>20.6195895799373</v>
      </c>
      <c r="G10683" s="38" t="n">
        <f aca="false">Sens!$E$10683+Sens!$F$10683</f>
        <v>38.4779395265405</v>
      </c>
      <c r="H10683" s="38" t="n">
        <f aca="false">cx_rt*Sens!$H$10525</f>
        <v>42.5978994743075</v>
      </c>
      <c r="I10683" s="38" t="n">
        <f aca="false">cx_rt*Sens!$I$10525</f>
        <v>46.5813904136335</v>
      </c>
      <c r="J10683" s="38" t="n">
        <f aca="false">cx_rt*Sens!$J$10525</f>
        <v>50.2781676586844</v>
      </c>
      <c r="K10683" s="38" t="n">
        <f aca="false">cx_rt*Sens!$K$10525</f>
        <v>53.5312440191755</v>
      </c>
      <c r="L10683" s="38" t="n">
        <f aca="false">cx_rt*Sens!$L$10525</f>
        <v>57.0116717051447</v>
      </c>
      <c r="M10683" s="38" t="n">
        <f aca="false">cx_rt*Sens!$M$10525</f>
        <v>60.7365554669226</v>
      </c>
    </row>
    <row r="10684" customFormat="false" ht="15" hidden="false" customHeight="false" outlineLevel="0" collapsed="false">
      <c r="A10684" s="3" t="s">
        <v>791</v>
      </c>
      <c r="B10684" s="8" t="s">
        <v>86</v>
      </c>
      <c r="C10684" s="38" t="n">
        <f aca="false">Q!$D$46</f>
        <v>77.658</v>
      </c>
      <c r="D10684" s="38" t="n">
        <f aca="false">Q!$E$46</f>
        <v>128.32</v>
      </c>
      <c r="E10684" s="38" t="n">
        <f aca="false">Q!$P$46</f>
        <v>96.31</v>
      </c>
      <c r="F10684" s="38" t="n">
        <f aca="false">Sens!$F$10681+Sens!$F$10682+Sens!$F$10683</f>
        <v>133.835477783787</v>
      </c>
      <c r="G10684" s="38" t="n">
        <f aca="false">Sens!$E$10684+Sens!$F$10684</f>
        <v>230.145477783787</v>
      </c>
      <c r="H10684" s="38" t="n">
        <f aca="false">Sens!$H$10681+Sens!$H$10682+Sens!$H$10683</f>
        <v>278.765463512648</v>
      </c>
      <c r="I10684" s="38" t="n">
        <f aca="false">Sens!$I$10681+Sens!$I$10682+Sens!$I$10683</f>
        <v>292.539583072925</v>
      </c>
      <c r="J10684" s="38" t="n">
        <f aca="false">Sens!$J$10681+Sens!$J$10682+Sens!$J$10683</f>
        <v>304.874284222866</v>
      </c>
      <c r="K10684" s="38" t="n">
        <f aca="false">Sens!$K$10681+Sens!$K$10682+Sens!$K$10683</f>
        <v>254.95684805485</v>
      </c>
      <c r="L10684" s="38" t="n">
        <f aca="false">Sens!$L$10681+Sens!$L$10682+Sens!$L$10683</f>
        <v>236.937965101011</v>
      </c>
      <c r="M10684" s="38" t="n">
        <f aca="false">Sens!$M$10681+Sens!$M$10682+Sens!$M$10683</f>
        <v>245.028882904275</v>
      </c>
    </row>
    <row r="10685" customFormat="false" ht="17.15" hidden="false" customHeight="false" outlineLevel="0" collapsed="false">
      <c r="A10685" s="5" t="s">
        <v>563</v>
      </c>
      <c r="B10685" s="0" t="s">
        <v>86</v>
      </c>
      <c r="C10685" s="38" t="n">
        <f aca="false">Q!$D$50</f>
        <v>2.043</v>
      </c>
      <c r="D10685" s="38" t="n">
        <f aca="false">Q!$E$50</f>
        <v>1.557</v>
      </c>
      <c r="E10685" s="38" t="n">
        <f aca="false">lease_pr/2</f>
        <v>0.8</v>
      </c>
      <c r="F10685" s="38" t="n">
        <f aca="false">lease_pr/2</f>
        <v>0.8</v>
      </c>
      <c r="G10685" s="38" t="n">
        <f aca="false">Sens!$E$10685+Sens!$F$10685</f>
        <v>1.6</v>
      </c>
      <c r="H10685" s="38" t="n">
        <f aca="false">lease_pr</f>
        <v>1.6</v>
      </c>
      <c r="I10685" s="38" t="n">
        <f aca="false">lease_pr</f>
        <v>1.6</v>
      </c>
      <c r="J10685" s="38" t="n">
        <f aca="false">lease_pr</f>
        <v>1.6</v>
      </c>
      <c r="K10685" s="38" t="n">
        <f aca="false">lease_pr</f>
        <v>1.6</v>
      </c>
      <c r="L10685" s="38" t="n">
        <f aca="false">lease_pr</f>
        <v>1.6</v>
      </c>
      <c r="M10685" s="38" t="n">
        <f aca="false">lease_pr</f>
        <v>1.6</v>
      </c>
      <c r="P10685" s="8" t="s">
        <v>792</v>
      </c>
    </row>
    <row r="10686" customFormat="false" ht="15" hidden="false" customHeight="false" outlineLevel="0" collapsed="false">
      <c r="A10686" s="47" t="s">
        <v>793</v>
      </c>
      <c r="B10686" s="14" t="s">
        <v>86</v>
      </c>
      <c r="C10686" s="48" t="n">
        <f aca="false">Sens!$C$10680-Sens!$C$10684-Sens!$C$10685</f>
        <v>36.176</v>
      </c>
      <c r="D10686" s="48" t="n">
        <f aca="false">Sens!$D$10680-Sens!$D$10684-Sens!$D$10685</f>
        <v>9.63700000000002</v>
      </c>
      <c r="E10686" s="48" t="n">
        <f aca="false">Sens!$E$10680-Sens!$E$10684-Sens!$E$10685</f>
        <v>-25.691</v>
      </c>
      <c r="F10686" s="48" t="n">
        <f aca="false">Sens!$F$10680-Sens!$F$10684-Sens!$F$10685</f>
        <v>-41.6546411607027</v>
      </c>
      <c r="G10686" s="48" t="n">
        <f aca="false">Sens!$G$10680-Sens!$G$10684-Sens!$G$10685</f>
        <v>-67.3456411607027</v>
      </c>
      <c r="H10686" s="48" t="n">
        <f aca="false">Sens!$H$10680-Sens!$H$10684-Sens!$H$10685</f>
        <v>-42.1271606037179</v>
      </c>
      <c r="I10686" s="48" t="n">
        <f aca="false">Sens!$I$10680-Sens!$I$10684-Sens!$I$10685</f>
        <v>17.002403791836</v>
      </c>
      <c r="J10686" s="48" t="n">
        <f aca="false">Sens!$J$10680-Sens!$J$10684-Sens!$J$10685</f>
        <v>79.0493107663</v>
      </c>
      <c r="K10686" s="48" t="n">
        <f aca="false">Sens!$K$10680-Sens!$K$10684-Sens!$K$10685</f>
        <v>196.560447197156</v>
      </c>
      <c r="L10686" s="48" t="n">
        <f aca="false">Sens!$L$10680-Sens!$L$10684-Sens!$L$10685</f>
        <v>270.991173345422</v>
      </c>
      <c r="M10686" s="48" t="n">
        <f aca="false">Sens!$M$10680-Sens!$M$10684-Sens!$M$10685</f>
        <v>308.289228103837</v>
      </c>
      <c r="N10686" s="14"/>
      <c r="O10686" s="14"/>
    </row>
    <row r="10687" customFormat="false" ht="17.15" hidden="false" customHeight="false" outlineLevel="0" collapsed="false">
      <c r="A10687" s="5" t="s">
        <v>794</v>
      </c>
      <c r="B10687" s="0" t="s">
        <v>86</v>
      </c>
      <c r="C10687" s="38" t="n">
        <f aca="false">dps*Sens!$C$10666</f>
        <v>0</v>
      </c>
      <c r="D10687" s="38" t="n">
        <f aca="false">dps*Sens!$D$10666</f>
        <v>0</v>
      </c>
      <c r="E10687" s="38" t="n">
        <f aca="false">dps*Sens!$E$10666</f>
        <v>0</v>
      </c>
      <c r="F10687" s="38" t="n">
        <f aca="false">0</f>
        <v>0</v>
      </c>
      <c r="G10687" s="38" t="n">
        <f aca="false">dps*Sens!$G$10666</f>
        <v>0</v>
      </c>
      <c r="H10687" s="38" t="n">
        <f aca="false">dps*Sens!$H$10666</f>
        <v>0</v>
      </c>
      <c r="I10687" s="38" t="n">
        <f aca="false">dps*Sens!$I$10666</f>
        <v>0</v>
      </c>
      <c r="J10687" s="38" t="n">
        <f aca="false">dps*Sens!$J$10666</f>
        <v>0</v>
      </c>
      <c r="K10687" s="38" t="n">
        <f aca="false">dps*Sens!$K$10666</f>
        <v>0</v>
      </c>
      <c r="L10687" s="38" t="n">
        <f aca="false">dps*Sens!$L$10666</f>
        <v>0</v>
      </c>
      <c r="M10687" s="38" t="n">
        <f aca="false">dps*Sens!$M$10666</f>
        <v>0</v>
      </c>
      <c r="P10687" s="8" t="s">
        <v>795</v>
      </c>
    </row>
    <row r="10688" customFormat="false" ht="17.15" hidden="false" customHeight="false" outlineLevel="0" collapsed="false">
      <c r="A10688" s="5" t="s">
        <v>796</v>
      </c>
      <c r="B10688" s="0" t="s">
        <v>86</v>
      </c>
      <c r="C10688" s="38" t="n">
        <f aca="false">0</f>
        <v>0</v>
      </c>
      <c r="D10688" s="38" t="n">
        <f aca="false">0</f>
        <v>0</v>
      </c>
      <c r="E10688" s="38" t="n">
        <f aca="false">0</f>
        <v>0</v>
      </c>
      <c r="F10688" s="38" t="n">
        <f aca="false">0</f>
        <v>0</v>
      </c>
      <c r="G10688" s="38" t="n">
        <f aca="false">0</f>
        <v>0</v>
      </c>
      <c r="H10688" s="38" t="n">
        <f aca="false">0</f>
        <v>0</v>
      </c>
      <c r="I10688" s="38" t="n">
        <f aca="false">0</f>
        <v>0</v>
      </c>
      <c r="J10688" s="38" t="n">
        <f aca="false">0</f>
        <v>0</v>
      </c>
      <c r="K10688" s="38" t="n">
        <f aca="false">0</f>
        <v>0</v>
      </c>
      <c r="L10688" s="38" t="n">
        <f aca="false">0</f>
        <v>0</v>
      </c>
      <c r="M10688" s="38" t="n">
        <f aca="false">0</f>
        <v>0</v>
      </c>
      <c r="P10688" s="8" t="s">
        <v>797</v>
      </c>
    </row>
    <row r="10689" customFormat="false" ht="15" hidden="false" customHeight="false" outlineLevel="0" collapsed="false">
      <c r="A10689" s="3" t="s">
        <v>798</v>
      </c>
      <c r="B10689" s="8" t="s">
        <v>86</v>
      </c>
      <c r="C10689" s="38" t="n">
        <f aca="false">Sens!$C$10686-Sens!$C$10687</f>
        <v>36.176</v>
      </c>
      <c r="D10689" s="38" t="n">
        <f aca="false">Sens!$D$10686-Sens!$D$10687</f>
        <v>9.63700000000002</v>
      </c>
      <c r="E10689" s="38" t="n">
        <f aca="false">Sens!$E$10686-Sens!$E$10687</f>
        <v>-25.691</v>
      </c>
      <c r="F10689" s="38" t="n">
        <f aca="false">Sens!$F$10686-Sens!$F$10687</f>
        <v>-41.6546411607027</v>
      </c>
      <c r="G10689" s="38" t="n">
        <f aca="false">Sens!$G$10686-Sens!$G$10687</f>
        <v>-67.3456411607027</v>
      </c>
      <c r="H10689" s="38" t="n">
        <f aca="false">Sens!$H$10686-Sens!$H$10687</f>
        <v>-42.1271606037179</v>
      </c>
      <c r="I10689" s="38" t="n">
        <f aca="false">Sens!$I$10686-Sens!$I$10687</f>
        <v>17.002403791836</v>
      </c>
      <c r="J10689" s="38" t="n">
        <f aca="false">Sens!$J$10686-Sens!$J$10687</f>
        <v>79.0493107663</v>
      </c>
      <c r="K10689" s="38" t="n">
        <f aca="false">Sens!$K$10686-Sens!$K$10687</f>
        <v>196.560447197156</v>
      </c>
      <c r="L10689" s="38" t="n">
        <f aca="false">Sens!$L$10686-Sens!$L$10687</f>
        <v>270.991173345422</v>
      </c>
      <c r="M10689" s="38" t="n">
        <f aca="false">Sens!$M$10686-Sens!$M$10687</f>
        <v>308.289228103837</v>
      </c>
    </row>
    <row r="10690" customFormat="false" ht="17.15" hidden="false" customHeight="false" outlineLevel="0" collapsed="false">
      <c r="A10690" s="5" t="s">
        <v>799</v>
      </c>
      <c r="B10690" s="0" t="s">
        <v>86</v>
      </c>
      <c r="E10690" s="38" t="n">
        <f aca="false">Q!$P$53</f>
        <v>39.767</v>
      </c>
      <c r="F10690" s="38" t="n">
        <f aca="false">inv_2h26</f>
        <v>21.3</v>
      </c>
      <c r="G10690" s="38" t="n">
        <f aca="false">Sens!$E$10690+Sens!$F$10690</f>
        <v>61.067</v>
      </c>
      <c r="H10690" s="39" t="n">
        <v>0</v>
      </c>
      <c r="I10690" s="39" t="n">
        <v>0</v>
      </c>
      <c r="J10690" s="39" t="n">
        <v>0</v>
      </c>
      <c r="K10690" s="39" t="n">
        <v>0</v>
      </c>
      <c r="L10690" s="39" t="n">
        <v>0</v>
      </c>
      <c r="M10690" s="39" t="n">
        <v>0</v>
      </c>
    </row>
    <row r="10691" customFormat="false" ht="17.15" hidden="false" customHeight="false" outlineLevel="0" collapsed="false">
      <c r="A10691" s="5" t="s">
        <v>800</v>
      </c>
      <c r="B10691" s="0" t="s">
        <v>86</v>
      </c>
      <c r="F10691" s="38" t="n">
        <f aca="false">iss_2h26</f>
        <v>29.249999</v>
      </c>
      <c r="G10691" s="38" t="n">
        <f aca="false">Sens!$F$10691</f>
        <v>29.249999</v>
      </c>
      <c r="H10691" s="39" t="n">
        <v>0</v>
      </c>
      <c r="I10691" s="39" t="n">
        <v>0</v>
      </c>
      <c r="J10691" s="39" t="n">
        <v>0</v>
      </c>
      <c r="K10691" s="39" t="n">
        <v>0</v>
      </c>
      <c r="L10691" s="39" t="n">
        <v>0</v>
      </c>
      <c r="M10691" s="39" t="n">
        <v>0</v>
      </c>
    </row>
    <row r="10692" customFormat="false" ht="17.15" hidden="false" customHeight="false" outlineLevel="0" collapsed="false">
      <c r="A10692" s="5" t="s">
        <v>801</v>
      </c>
      <c r="B10692" s="0" t="s">
        <v>86</v>
      </c>
      <c r="F10692" s="38" t="n">
        <f aca="false">cash_q2</f>
        <v>122.988</v>
      </c>
      <c r="G10692" s="38" t="n">
        <f aca="false">cash_q2</f>
        <v>122.988</v>
      </c>
      <c r="H10692" s="38" t="n">
        <f aca="false">Sens!$G$10695</f>
        <v>89.2833578392973</v>
      </c>
      <c r="I10692" s="38" t="n">
        <f aca="false">Sens!$H$10695</f>
        <v>50</v>
      </c>
      <c r="J10692" s="38" t="n">
        <f aca="false">Sens!$I$10695</f>
        <v>67.002403791836</v>
      </c>
      <c r="K10692" s="38" t="n">
        <f aca="false">Sens!$J$10695</f>
        <v>146.051714558136</v>
      </c>
      <c r="L10692" s="38" t="n">
        <f aca="false">Sens!$K$10695</f>
        <v>342.612161755292</v>
      </c>
      <c r="M10692" s="38" t="n">
        <f aca="false">Sens!$L$10695</f>
        <v>613.603335100714</v>
      </c>
    </row>
    <row r="10693" customFormat="false" ht="15" hidden="false" customHeight="false" outlineLevel="0" collapsed="false">
      <c r="A10693" s="5" t="s">
        <v>802</v>
      </c>
      <c r="B10693" s="0" t="s">
        <v>86</v>
      </c>
      <c r="F10693" s="38" t="n">
        <f aca="false">Sens!$F$10692+Sens!$F$10689-Sens!$F$10688-Sens!$F$10690+Sens!$F$10691</f>
        <v>89.2833578392973</v>
      </c>
      <c r="H10693" s="38" t="n">
        <f aca="false">Sens!$H$10692+Sens!$H$10689-Sens!$H$10688-Sens!$H$10690+Sens!$H$10691</f>
        <v>47.1561972355794</v>
      </c>
      <c r="I10693" s="38" t="n">
        <f aca="false">Sens!$I$10692+Sens!$I$10689-Sens!$I$10688-Sens!$I$10690+Sens!$I$10691</f>
        <v>67.002403791836</v>
      </c>
      <c r="J10693" s="38" t="n">
        <f aca="false">Sens!$J$10692+Sens!$J$10689-Sens!$J$10688-Sens!$J$10690+Sens!$J$10691</f>
        <v>146.051714558136</v>
      </c>
      <c r="K10693" s="38" t="n">
        <f aca="false">Sens!$K$10692+Sens!$K$10689-Sens!$K$10688-Sens!$K$10690+Sens!$K$10691</f>
        <v>342.612161755292</v>
      </c>
      <c r="L10693" s="38" t="n">
        <f aca="false">Sens!$L$10692+Sens!$L$10689-Sens!$L$10688-Sens!$L$10690+Sens!$L$10691</f>
        <v>613.603335100714</v>
      </c>
      <c r="M10693" s="38" t="n">
        <f aca="false">Sens!$M$10692+Sens!$M$10689-Sens!$M$10688-Sens!$M$10690+Sens!$M$10691</f>
        <v>921.89256320455</v>
      </c>
    </row>
    <row r="10694" customFormat="false" ht="17.15" hidden="false" customHeight="false" outlineLevel="0" collapsed="false">
      <c r="A10694" s="5" t="s">
        <v>803</v>
      </c>
      <c r="B10694" s="0" t="s">
        <v>86</v>
      </c>
      <c r="F10694" s="38" t="n">
        <f aca="false">MAX(0,min_cash-Sens!$F$10693)</f>
        <v>0</v>
      </c>
      <c r="G10694" s="38" t="n">
        <f aca="false">Sens!$F$10694</f>
        <v>0</v>
      </c>
      <c r="H10694" s="38" t="n">
        <f aca="false">MAX(0,min_cash-Sens!$H$10693)</f>
        <v>2.84380276442064</v>
      </c>
      <c r="I10694" s="38" t="n">
        <f aca="false">MAX(0,min_cash-Sens!$I$10693)</f>
        <v>0</v>
      </c>
      <c r="J10694" s="38" t="n">
        <f aca="false">MAX(0,min_cash-Sens!$J$10693)</f>
        <v>0</v>
      </c>
      <c r="K10694" s="38" t="n">
        <f aca="false">MAX(0,min_cash-Sens!$K$10693)</f>
        <v>0</v>
      </c>
      <c r="L10694" s="38" t="n">
        <f aca="false">MAX(0,min_cash-Sens!$L$10693)</f>
        <v>0</v>
      </c>
      <c r="M10694" s="38" t="n">
        <f aca="false">MAX(0,min_cash-Sens!$M$10693)</f>
        <v>0</v>
      </c>
      <c r="P10694" s="5" t="s">
        <v>804</v>
      </c>
    </row>
    <row r="10695" customFormat="false" ht="15" hidden="false" customHeight="false" outlineLevel="0" collapsed="false">
      <c r="A10695" s="5" t="s">
        <v>805</v>
      </c>
      <c r="B10695" s="0" t="s">
        <v>86</v>
      </c>
      <c r="D10695" s="38" t="n">
        <f aca="false">Q!$E$61</f>
        <v>123.029</v>
      </c>
      <c r="E10695" s="38" t="n">
        <f aca="false">Q!$M$61</f>
        <v>122.988</v>
      </c>
      <c r="F10695" s="38" t="n">
        <f aca="false">Sens!$F$10693+Sens!$F$10694</f>
        <v>89.2833578392973</v>
      </c>
      <c r="G10695" s="38" t="n">
        <f aca="false">Sens!$F$10695</f>
        <v>89.2833578392973</v>
      </c>
      <c r="H10695" s="38" t="n">
        <f aca="false">Sens!$H$10693+Sens!$H$10694</f>
        <v>50</v>
      </c>
      <c r="I10695" s="38" t="n">
        <f aca="false">Sens!$I$10693+Sens!$I$10694</f>
        <v>67.002403791836</v>
      </c>
      <c r="J10695" s="38" t="n">
        <f aca="false">Sens!$J$10693+Sens!$J$10694</f>
        <v>146.051714558136</v>
      </c>
      <c r="K10695" s="38" t="n">
        <f aca="false">Sens!$K$10693+Sens!$K$10694</f>
        <v>342.612161755292</v>
      </c>
      <c r="L10695" s="38" t="n">
        <f aca="false">Sens!$L$10693+Sens!$L$10694</f>
        <v>613.603335100714</v>
      </c>
      <c r="M10695" s="38" t="n">
        <f aca="false">Sens!$M$10693+Sens!$M$10694</f>
        <v>921.89256320455</v>
      </c>
    </row>
    <row r="10696" customFormat="false" ht="15" hidden="false" customHeight="false" outlineLevel="0" collapsed="false">
      <c r="A10696" s="5" t="s">
        <v>806</v>
      </c>
      <c r="B10696" s="0" t="s">
        <v>86</v>
      </c>
      <c r="D10696" s="38" t="n">
        <f aca="false">Q!$E$62</f>
        <v>68.836</v>
      </c>
      <c r="E10696" s="38" t="n">
        <f aca="false">Q!$M$62</f>
        <v>132.995</v>
      </c>
      <c r="F10696" s="38" t="n">
        <f aca="false">debt_q2+Sens!$F$10691+Sens!$F$10694</f>
        <v>162.244999</v>
      </c>
      <c r="G10696" s="38" t="n">
        <f aca="false">Sens!$F$10696</f>
        <v>162.244999</v>
      </c>
      <c r="H10696" s="38" t="n">
        <f aca="false">Sens!$G$10696+Sens!$H$10694</f>
        <v>165.088801764421</v>
      </c>
      <c r="I10696" s="38" t="n">
        <f aca="false">Sens!$H$10696+Sens!$I$10694</f>
        <v>165.088801764421</v>
      </c>
      <c r="J10696" s="38" t="n">
        <f aca="false">Sens!$I$10696+Sens!$J$10694</f>
        <v>165.088801764421</v>
      </c>
      <c r="K10696" s="38" t="n">
        <f aca="false">Sens!$J$10696+Sens!$K$10694</f>
        <v>165.088801764421</v>
      </c>
      <c r="L10696" s="38" t="n">
        <f aca="false">Sens!$K$10696+Sens!$L$10694</f>
        <v>165.088801764421</v>
      </c>
      <c r="M10696" s="38" t="n">
        <f aca="false">Sens!$L$10696+Sens!$M$10694</f>
        <v>165.088801764421</v>
      </c>
    </row>
    <row r="10697" customFormat="false" ht="15" hidden="false" customHeight="false" outlineLevel="0" collapsed="false">
      <c r="A10697" s="5" t="s">
        <v>807</v>
      </c>
      <c r="B10697" s="0" t="s">
        <v>86</v>
      </c>
      <c r="D10697" s="38" t="n">
        <f aca="false">Sens!$D$10696-Sens!$D$10695</f>
        <v>-54.193</v>
      </c>
      <c r="E10697" s="38" t="n">
        <f aca="false">Sens!$E$10696-Sens!$E$10695</f>
        <v>10.007</v>
      </c>
      <c r="F10697" s="38" t="n">
        <f aca="false">Sens!$F$10696-Sens!$F$10695</f>
        <v>72.9616411607027</v>
      </c>
      <c r="G10697" s="38" t="n">
        <f aca="false">Sens!$G$10696-Sens!$G$10695</f>
        <v>72.9616411607027</v>
      </c>
      <c r="H10697" s="38" t="n">
        <f aca="false">Sens!$H$10696-Sens!$H$10695</f>
        <v>115.088801764421</v>
      </c>
      <c r="I10697" s="38" t="n">
        <f aca="false">Sens!$I$10696-Sens!$I$10695</f>
        <v>98.0863979725847</v>
      </c>
      <c r="J10697" s="38" t="n">
        <f aca="false">Sens!$J$10696-Sens!$J$10695</f>
        <v>19.0370872062847</v>
      </c>
      <c r="K10697" s="38" t="n">
        <f aca="false">Sens!$K$10696-Sens!$K$10695</f>
        <v>-177.523359990871</v>
      </c>
      <c r="L10697" s="38" t="n">
        <f aca="false">Sens!$L$10696-Sens!$L$10695</f>
        <v>-448.514533336293</v>
      </c>
      <c r="M10697" s="38" t="n">
        <f aca="false">Sens!$M$10696-Sens!$M$10695</f>
        <v>-756.80376144013</v>
      </c>
    </row>
    <row r="10698" customFormat="false" ht="17.15" hidden="false" customHeight="false" outlineLevel="0" collapsed="false">
      <c r="A10698" s="5" t="s">
        <v>808</v>
      </c>
      <c r="B10698" s="0" t="s">
        <v>86</v>
      </c>
      <c r="F10698" s="38" t="n">
        <f aca="false">debt_q2*kd_book*0.5+iss_2h26*kd_new*iss_t</f>
        <v>3.24888962733561</v>
      </c>
      <c r="H10698" s="38" t="n">
        <f aca="false">debt_q2*kd_book+(Sens!$G$10696-debt_q2)*kd_new</f>
        <v>7.42354172302123</v>
      </c>
      <c r="I10698" s="38" t="n">
        <f aca="false">debt_q2*kd_book+(Sens!$H$10696-debt_q2)*kd_new</f>
        <v>7.60355443800906</v>
      </c>
      <c r="J10698" s="38" t="n">
        <f aca="false">debt_q2*kd_book+(Sens!$I$10696-debt_q2)*kd_new</f>
        <v>7.60355443800906</v>
      </c>
      <c r="K10698" s="38" t="n">
        <f aca="false">debt_q2*kd_book+(Sens!$J$10696-debt_q2)*kd_new</f>
        <v>7.60355443800906</v>
      </c>
      <c r="L10698" s="38" t="n">
        <f aca="false">debt_q2*kd_book+(Sens!$K$10696-debt_q2)*kd_new</f>
        <v>7.60355443800906</v>
      </c>
      <c r="M10698" s="38" t="n">
        <f aca="false">debt_q2*kd_book+(Sens!$L$10696-debt_q2)*kd_new</f>
        <v>7.60355443800906</v>
      </c>
    </row>
    <row r="10699" customFormat="false" ht="17.15" hidden="false" customHeight="false" outlineLevel="0" collapsed="false">
      <c r="A10699" s="5" t="s">
        <v>809</v>
      </c>
      <c r="B10699" s="0" t="s">
        <v>86</v>
      </c>
      <c r="F10699" s="38" t="n">
        <f aca="false">cash_q2*y_cash*0.5</f>
        <v>2.59</v>
      </c>
      <c r="H10699" s="38" t="n">
        <f aca="false">Sens!$G$10695*y_cash</f>
        <v>3.76043023390542</v>
      </c>
      <c r="I10699" s="38" t="n">
        <f aca="false">Sens!$H$10695*y_cash</f>
        <v>2.10589651022864</v>
      </c>
      <c r="J10699" s="38" t="n">
        <f aca="false">Sens!$I$10695*y_cash</f>
        <v>2.82200256644315</v>
      </c>
      <c r="K10699" s="38" t="n">
        <f aca="false">Sens!$J$10695*y_cash</f>
        <v>6.15139592001776</v>
      </c>
      <c r="L10699" s="38" t="n">
        <f aca="false">Sens!$K$10695*y_cash</f>
        <v>14.4301151160472</v>
      </c>
      <c r="M10699" s="38" t="n">
        <f aca="false">Sens!$L$10695*y_cash</f>
        <v>25.8437024410649</v>
      </c>
    </row>
    <row r="10700" customFormat="false" ht="17.15" hidden="false" customHeight="false" outlineLevel="0" collapsed="false">
      <c r="A10700" s="47" t="s">
        <v>810</v>
      </c>
      <c r="B10700" s="14" t="s">
        <v>86</v>
      </c>
      <c r="C10700" s="14"/>
      <c r="D10700" s="14"/>
      <c r="E10700" s="14"/>
      <c r="F10700" s="14"/>
      <c r="G10700" s="48" t="n">
        <f aca="false">SUM(Sens!$G$10689:$K$10689)</f>
        <v>183.139359990871</v>
      </c>
      <c r="H10700" s="14"/>
      <c r="I10700" s="14"/>
      <c r="J10700" s="14"/>
      <c r="K10700" s="14"/>
      <c r="L10700" s="14"/>
      <c r="M10700" s="14"/>
      <c r="N10700" s="14"/>
      <c r="O10700" s="14"/>
    </row>
    <row r="10701" customFormat="false" ht="17.15" hidden="false" customHeight="false" outlineLevel="0" collapsed="false">
      <c r="A10701" s="0" t="s">
        <v>776</v>
      </c>
      <c r="B10701" s="0" t="s">
        <v>86</v>
      </c>
      <c r="G10701" s="38" t="n">
        <f aca="false">SUM(Sens!$G$10694:$K$10694)</f>
        <v>2.84380276442064</v>
      </c>
    </row>
    <row r="10702" customFormat="false" ht="17.15" hidden="false" customHeight="false" outlineLevel="0" collapsed="false">
      <c r="A10702" s="24" t="s">
        <v>811</v>
      </c>
      <c r="B10702" s="25" t="s">
        <v>86</v>
      </c>
      <c r="C10702" s="25"/>
      <c r="D10702" s="25"/>
      <c r="E10702" s="25"/>
      <c r="F10702" s="25"/>
      <c r="G10702" s="41" t="n">
        <f aca="false">Sens!$G$10700-(Sens!$G$10689+Sens!$H$10689+Sens!$I$10689+Sens!$J$10689+Sens!$K$10689)</f>
        <v>0</v>
      </c>
      <c r="H10702" s="25"/>
      <c r="I10702" s="25"/>
      <c r="J10702" s="25"/>
      <c r="K10702" s="25"/>
      <c r="L10702" s="25"/>
      <c r="M10702" s="25"/>
      <c r="N10702" s="25"/>
      <c r="O10702" s="25"/>
    </row>
    <row r="10705" customFormat="false" ht="19.4" hidden="false" customHeight="false" outlineLevel="0" collapsed="false">
      <c r="A10705" s="31" t="s">
        <v>1354</v>
      </c>
    </row>
    <row r="10706" customFormat="false" ht="17.15" hidden="false" customHeight="false" outlineLevel="0" collapsed="false">
      <c r="A10706" s="6" t="s">
        <v>16</v>
      </c>
      <c r="B10706" s="6" t="s">
        <v>17</v>
      </c>
      <c r="C10706" s="20" t="s">
        <v>497</v>
      </c>
      <c r="D10706" s="20" t="s">
        <v>498</v>
      </c>
      <c r="E10706" s="20" t="s">
        <v>580</v>
      </c>
      <c r="F10706" s="20" t="s">
        <v>581</v>
      </c>
      <c r="G10706" s="20" t="s">
        <v>582</v>
      </c>
      <c r="H10706" s="20" t="s">
        <v>583</v>
      </c>
      <c r="I10706" s="20" t="s">
        <v>584</v>
      </c>
      <c r="J10706" s="20" t="s">
        <v>585</v>
      </c>
      <c r="K10706" s="20" t="s">
        <v>586</v>
      </c>
      <c r="L10706" s="20" t="s">
        <v>587</v>
      </c>
      <c r="M10706" s="20" t="s">
        <v>588</v>
      </c>
      <c r="N10706" s="20" t="s">
        <v>589</v>
      </c>
      <c r="O10706" s="20" t="s">
        <v>590</v>
      </c>
      <c r="P10706" s="6" t="s">
        <v>23</v>
      </c>
      <c r="R10706" s="20" t="n">
        <v>2023</v>
      </c>
      <c r="S10706" s="20" t="n">
        <v>2024</v>
      </c>
      <c r="T10706" s="20" t="n">
        <v>2025</v>
      </c>
      <c r="U10706" s="20" t="n">
        <v>2026</v>
      </c>
      <c r="V10706" s="20" t="n">
        <v>2027</v>
      </c>
      <c r="W10706" s="20" t="n">
        <v>2028</v>
      </c>
      <c r="X10706" s="20" t="n">
        <v>2029</v>
      </c>
      <c r="Y10706" s="20" t="n">
        <v>2030</v>
      </c>
      <c r="Z10706" s="20" t="n">
        <v>2031</v>
      </c>
      <c r="AA10706" s="20" t="n">
        <v>2032</v>
      </c>
    </row>
    <row r="10707" customFormat="false" ht="17.15" hidden="false" customHeight="false" outlineLevel="0" collapsed="false">
      <c r="A10707" s="1" t="s">
        <v>915</v>
      </c>
    </row>
    <row r="10708" customFormat="false" ht="17.15" hidden="false" customHeight="false" outlineLevel="0" collapsed="false">
      <c r="A10708" s="0" t="s">
        <v>916</v>
      </c>
      <c r="B10708" s="0" t="s">
        <v>86</v>
      </c>
      <c r="H10708" s="38" t="n">
        <f aca="false">Sens!$H$10642*(1-tax)</f>
        <v>127.122532515244</v>
      </c>
      <c r="I10708" s="38" t="n">
        <f aca="false">Sens!$I$10642*(1-tax)</f>
        <v>162.259071505453</v>
      </c>
      <c r="J10708" s="38" t="n">
        <f aca="false">Sens!$J$10642*(1-tax)</f>
        <v>196.21194402541</v>
      </c>
      <c r="K10708" s="38" t="n">
        <f aca="false">Sens!$K$10642*(1-tax)</f>
        <v>221.688978001839</v>
      </c>
      <c r="L10708" s="38" t="n">
        <f aca="false">Sens!$L$10642*(1-tax)</f>
        <v>241.030225272505</v>
      </c>
      <c r="M10708" s="38" t="n">
        <f aca="false">Sens!$M$10642*(1-tax)</f>
        <v>254.24011354394</v>
      </c>
    </row>
    <row r="10709" customFormat="false" ht="15" hidden="false" customHeight="false" outlineLevel="0" collapsed="false">
      <c r="A10709" s="5" t="s">
        <v>917</v>
      </c>
      <c r="B10709" s="0" t="s">
        <v>86</v>
      </c>
      <c r="H10709" s="38" t="n">
        <f aca="false">Sens!$H$10653</f>
        <v>78.5426417670371</v>
      </c>
      <c r="I10709" s="38" t="n">
        <f aca="false">Sens!$I$10653</f>
        <v>112.286729968259</v>
      </c>
      <c r="J10709" s="38" t="n">
        <f aca="false">Sens!$J$10653</f>
        <v>146.780410725596</v>
      </c>
      <c r="K10709" s="38" t="n">
        <f aca="false">Sens!$K$10653</f>
        <v>181.482824033374</v>
      </c>
      <c r="L10709" s="38" t="n">
        <f aca="false">Sens!$L$10653</f>
        <v>207.56532435538</v>
      </c>
      <c r="M10709" s="38" t="n">
        <f aca="false">Sens!$M$10653</f>
        <v>226.66932469104</v>
      </c>
    </row>
    <row r="10710" customFormat="false" ht="15" hidden="false" customHeight="false" outlineLevel="0" collapsed="false">
      <c r="A10710" s="5" t="s">
        <v>918</v>
      </c>
      <c r="B10710" s="0" t="s">
        <v>86</v>
      </c>
      <c r="H10710" s="38" t="n">
        <f aca="false">Sens!$H$10684</f>
        <v>278.765463512648</v>
      </c>
      <c r="I10710" s="38" t="n">
        <f aca="false">Sens!$I$10684</f>
        <v>292.539583072925</v>
      </c>
      <c r="J10710" s="38" t="n">
        <f aca="false">Sens!$J$10684</f>
        <v>304.874284222866</v>
      </c>
      <c r="K10710" s="38" t="n">
        <f aca="false">Sens!$K$10684</f>
        <v>254.95684805485</v>
      </c>
      <c r="L10710" s="38" t="n">
        <f aca="false">Sens!$L$10684</f>
        <v>236.937965101011</v>
      </c>
      <c r="M10710" s="38" t="n">
        <f aca="false">Sens!$M$10684</f>
        <v>245.028882904275</v>
      </c>
    </row>
    <row r="10711" customFormat="false" ht="15" hidden="false" customHeight="false" outlineLevel="0" collapsed="false">
      <c r="A10711" s="5" t="s">
        <v>919</v>
      </c>
      <c r="B10711" s="0" t="s">
        <v>86</v>
      </c>
      <c r="H10711" s="38" t="n">
        <f aca="false">Sens!$H$10685</f>
        <v>1.6</v>
      </c>
      <c r="I10711" s="38" t="n">
        <f aca="false">Sens!$I$10685</f>
        <v>1.6</v>
      </c>
      <c r="J10711" s="38" t="n">
        <f aca="false">Sens!$J$10685</f>
        <v>1.6</v>
      </c>
      <c r="K10711" s="38" t="n">
        <f aca="false">Sens!$K$10685</f>
        <v>1.6</v>
      </c>
      <c r="L10711" s="38" t="n">
        <f aca="false">Sens!$L$10685</f>
        <v>1.6</v>
      </c>
      <c r="M10711" s="38" t="n">
        <f aca="false">Sens!$M$10685</f>
        <v>1.6</v>
      </c>
    </row>
    <row r="10712" customFormat="false" ht="15" hidden="false" customHeight="false" outlineLevel="0" collapsed="false">
      <c r="A10712" s="5" t="s">
        <v>920</v>
      </c>
      <c r="B10712" s="0" t="s">
        <v>86</v>
      </c>
      <c r="H10712" s="38" t="n">
        <f aca="false">Sens!$H$10679</f>
        <v>11.5674919591491</v>
      </c>
      <c r="I10712" s="38" t="n">
        <f aca="false">Sens!$I$10679</f>
        <v>13.367307635093</v>
      </c>
      <c r="J10712" s="38" t="n">
        <f aca="false">Sens!$J$10679</f>
        <v>15.1034700959042</v>
      </c>
      <c r="K10712" s="38" t="n">
        <f aca="false">Sens!$K$10679</f>
        <v>16.6185324083662</v>
      </c>
      <c r="L10712" s="38" t="n">
        <f aca="false">Sens!$L$10679</f>
        <v>17.9658169207222</v>
      </c>
      <c r="M10712" s="38" t="n">
        <f aca="false">Sens!$M$10679</f>
        <v>19.1494312379102</v>
      </c>
    </row>
    <row r="10713" customFormat="false" ht="17.15" hidden="false" customHeight="false" outlineLevel="0" collapsed="false">
      <c r="A10713" s="1" t="s">
        <v>921</v>
      </c>
      <c r="B10713" s="8" t="s">
        <v>86</v>
      </c>
      <c r="H10713" s="38" t="n">
        <f aca="false">Sens!$H$10708+Sens!$H$10709-Sens!$H$10710+Sens!$H$10712</f>
        <v>-61.5327972712176</v>
      </c>
      <c r="I10713" s="38" t="n">
        <f aca="false">Sens!$I$10708+Sens!$I$10709-Sens!$I$10710+Sens!$I$10712</f>
        <v>-4.6264739641193</v>
      </c>
      <c r="J10713" s="38" t="n">
        <f aca="false">Sens!$J$10708+Sens!$J$10709-Sens!$J$10710+Sens!$J$10712</f>
        <v>53.2215406240444</v>
      </c>
      <c r="K10713" s="38" t="n">
        <f aca="false">Sens!$K$10708+Sens!$K$10709-Sens!$K$10710+Sens!$K$10712</f>
        <v>164.83348638873</v>
      </c>
      <c r="L10713" s="38" t="n">
        <f aca="false">Sens!$L$10708+Sens!$L$10709-Sens!$L$10710+Sens!$L$10712</f>
        <v>229.623401447597</v>
      </c>
      <c r="M10713" s="38" t="n">
        <f aca="false">Sens!$M$10708+Sens!$M$10709-Sens!$M$10710+Sens!$M$10712</f>
        <v>255.029986568616</v>
      </c>
    </row>
    <row r="10714" customFormat="false" ht="15" hidden="false" customHeight="false" outlineLevel="0" collapsed="false">
      <c r="A10714" s="5" t="s">
        <v>922</v>
      </c>
      <c r="B10714" s="0" t="s">
        <v>57</v>
      </c>
      <c r="H10714" s="40" t="n">
        <f aca="false">1/(1+wacc)^(2027-2026-0.5)</f>
        <v>0.947751320380232</v>
      </c>
      <c r="I10714" s="40" t="n">
        <f aca="false">1/(1+wacc)^(2028-2026-0.5)</f>
        <v>0.851301099754987</v>
      </c>
      <c r="J10714" s="40" t="n">
        <f aca="false">1/(1+wacc)^(2029-2026-0.5)</f>
        <v>0.764666370660713</v>
      </c>
      <c r="K10714" s="40" t="n">
        <f aca="false">1/(1+wacc)^(2030-2026-0.5)</f>
        <v>0.686848235703811</v>
      </c>
      <c r="L10714" s="40" t="n">
        <f aca="false">1/(1+wacc)^(2031-2026-0.5)</f>
        <v>0.616949452715975</v>
      </c>
      <c r="M10714" s="40" t="n">
        <f aca="false">1/(1+wacc)^(2032-2026-0.5)</f>
        <v>0.554164089562688</v>
      </c>
    </row>
    <row r="10715" customFormat="false" ht="15" hidden="false" customHeight="false" outlineLevel="0" collapsed="false">
      <c r="A10715" s="5" t="s">
        <v>923</v>
      </c>
      <c r="B10715" s="0" t="s">
        <v>86</v>
      </c>
      <c r="H10715" s="38" t="n">
        <f aca="false">Sens!$H$10713*Sens!$H$10714</f>
        <v>-58.3177898604856</v>
      </c>
      <c r="I10715" s="38" t="n">
        <f aca="false">Sens!$I$10713*Sens!$I$10714</f>
        <v>-3.93852237364258</v>
      </c>
      <c r="J10715" s="38" t="n">
        <f aca="false">Sens!$J$10713*Sens!$J$10714</f>
        <v>40.6967223099597</v>
      </c>
      <c r="K10715" s="38" t="n">
        <f aca="false">Sens!$K$10713*Sens!$K$10714</f>
        <v>113.215589311007</v>
      </c>
      <c r="L10715" s="38" t="n">
        <f aca="false">Sens!$L$10713*Sens!$L$10714</f>
        <v>141.666031853876</v>
      </c>
      <c r="M10715" s="38" t="n">
        <f aca="false">Sens!$M$10713*Sens!$M$10714</f>
        <v>141.328460317982</v>
      </c>
    </row>
    <row r="10716" customFormat="false" ht="15" hidden="false" customHeight="false" outlineLevel="0" collapsed="false">
      <c r="A10716" s="5" t="s">
        <v>924</v>
      </c>
      <c r="B10716" s="0" t="s">
        <v>86</v>
      </c>
      <c r="C10716" s="38" t="n">
        <f aca="false">SUM(Sens!$H$10715:$M$10715)</f>
        <v>374.650491558696</v>
      </c>
    </row>
    <row r="10717" customFormat="false" ht="17.15" hidden="false" customHeight="false" outlineLevel="0" collapsed="false">
      <c r="A10717" s="5" t="s">
        <v>925</v>
      </c>
      <c r="B10717" s="0" t="s">
        <v>86</v>
      </c>
      <c r="C10717" s="38" t="n">
        <f aca="false">Sens!$M$10708*(1+tg)*(1-tg/ronic)/(wacc-tg)</f>
        <v>2311.32633460553</v>
      </c>
    </row>
    <row r="10718" customFormat="false" ht="15" hidden="false" customHeight="false" outlineLevel="0" collapsed="false">
      <c r="A10718" s="5" t="s">
        <v>926</v>
      </c>
      <c r="B10718" s="0" t="s">
        <v>86</v>
      </c>
      <c r="C10718" s="38" t="n">
        <f aca="false">Sens!$C$10717/(1+wacc)^6</f>
        <v>1213.93112079709</v>
      </c>
    </row>
    <row r="10719" customFormat="false" ht="17.15" hidden="false" customHeight="false" outlineLevel="0" collapsed="false">
      <c r="A10719" s="5" t="s">
        <v>927</v>
      </c>
      <c r="B10719" s="0" t="s">
        <v>86</v>
      </c>
      <c r="C10719" s="38" t="n">
        <f aca="false">Sens!$C$10716+Sens!$C$10718</f>
        <v>1588.58161235579</v>
      </c>
    </row>
    <row r="10720" customFormat="false" ht="17.15" hidden="false" customHeight="false" outlineLevel="0" collapsed="false">
      <c r="A10720" s="5" t="s">
        <v>928</v>
      </c>
      <c r="B10720" s="0" t="s">
        <v>52</v>
      </c>
      <c r="C10720" s="13" t="n">
        <f aca="false">Sens!$C$10718/Sens!$C$10719</f>
        <v>0.764160375114057</v>
      </c>
    </row>
    <row r="10721" customFormat="false" ht="17.15" hidden="false" customHeight="false" outlineLevel="0" collapsed="false">
      <c r="A10721" s="5" t="s">
        <v>929</v>
      </c>
      <c r="B10721" s="0" t="s">
        <v>86</v>
      </c>
      <c r="C10721" s="38" t="n">
        <f aca="false">Sens!$G$10697+fin_debt</f>
        <v>97.4826411607027</v>
      </c>
    </row>
    <row r="10722" customFormat="false" ht="17.15" hidden="false" customHeight="false" outlineLevel="0" collapsed="false">
      <c r="A10722" s="5" t="s">
        <v>930</v>
      </c>
      <c r="B10722" s="0" t="s">
        <v>86</v>
      </c>
      <c r="C10722" s="38" t="n">
        <f aca="false">(ant_val*ant_sh+oai_val*oai_sh)*(1-liq_disc)</f>
        <v>178.944</v>
      </c>
    </row>
    <row r="10723" customFormat="false" ht="15" hidden="false" customHeight="false" outlineLevel="0" collapsed="false">
      <c r="A10723" s="5" t="s">
        <v>931</v>
      </c>
      <c r="B10723" s="0" t="s">
        <v>86</v>
      </c>
      <c r="C10723" s="38" t="n">
        <f aca="false">Sens!$C$10719-Sens!$C$10721+Sens!$C$10722</f>
        <v>1670.04297119509</v>
      </c>
    </row>
    <row r="10724" customFormat="false" ht="17.15" hidden="false" customHeight="false" outlineLevel="0" collapsed="false">
      <c r="A10724" s="5" t="s">
        <v>932</v>
      </c>
      <c r="B10724" s="0" t="s">
        <v>27</v>
      </c>
      <c r="C10724" s="30" t="n">
        <f aca="false">Sens!$C$10723/sh_out</f>
        <v>154.829812222701</v>
      </c>
    </row>
    <row r="10725" customFormat="false" ht="17.15" hidden="false" customHeight="false" outlineLevel="0" collapsed="false">
      <c r="A10725" s="1" t="s">
        <v>933</v>
      </c>
      <c r="B10725" s="8" t="s">
        <v>27</v>
      </c>
      <c r="C10725" s="30" t="n">
        <f aca="false">Sens!$C$10724*(1+ke)^tp_yf-dps*tp_yf</f>
        <v>169.595752814264</v>
      </c>
    </row>
    <row r="10726" customFormat="false" ht="17.15" hidden="false" customHeight="false" outlineLevel="0" collapsed="false">
      <c r="A10726" s="3" t="s">
        <v>934</v>
      </c>
    </row>
    <row r="10727" customFormat="false" ht="17.15" hidden="false" customHeight="false" outlineLevel="0" collapsed="false">
      <c r="A10727" s="5" t="s">
        <v>935</v>
      </c>
      <c r="B10727" s="0" t="s">
        <v>86</v>
      </c>
      <c r="C10727" s="38" t="n">
        <f aca="false">(1-tp_yf)*(Sens!$H$10654+sbc_ab*Sens!$H$10678*Sens!$H$10518/Sens!$H$10595)+tp_yf*(Sens!$I$10654+sbc_ab*Sens!$I$10678*Sens!$I$10518/Sens!$I$10595)</f>
        <v>59.634664536349</v>
      </c>
    </row>
    <row r="10728" customFormat="false" ht="15" hidden="false" customHeight="false" outlineLevel="0" collapsed="false">
      <c r="A10728" s="5" t="s">
        <v>936</v>
      </c>
      <c r="B10728" s="0" t="s">
        <v>57</v>
      </c>
      <c r="C10728" s="30" t="n">
        <f aca="false">m_ads*m_x</f>
        <v>9.11</v>
      </c>
    </row>
    <row r="10729" customFormat="false" ht="17.15" hidden="false" customHeight="false" outlineLevel="0" collapsed="false">
      <c r="A10729" s="5" t="s">
        <v>937</v>
      </c>
      <c r="B10729" s="0" t="s">
        <v>86</v>
      </c>
      <c r="C10729" s="38" t="n">
        <f aca="false">Sens!$C$10727*Sens!$C$10728</f>
        <v>543.271793926139</v>
      </c>
    </row>
    <row r="10730" customFormat="false" ht="17.15" hidden="false" customHeight="false" outlineLevel="0" collapsed="false">
      <c r="A10730" s="5" t="s">
        <v>938</v>
      </c>
      <c r="B10730" s="0" t="s">
        <v>86</v>
      </c>
      <c r="C10730" s="38" t="n">
        <f aca="false">(1-tp_yf)*(Sens!$H$10655+sbc_ab*Sens!$H$10678*(Sens!$H$10525-Sens!$H$10518)/Sens!$H$10595+IF(1=2,1,0)*(1-ext_sh)*Sens!$H$10555)+tp_yf*(Sens!$I$10655+sbc_ab*Sens!$I$10678*(Sens!$I$10525-Sens!$I$10518)/Sens!$I$10595+IF(1=2,1,0)*(1-ext_sh)*Sens!$I$10555)</f>
        <v>46.2526628665019</v>
      </c>
    </row>
    <row r="10731" customFormat="false" ht="17.15" hidden="false" customHeight="false" outlineLevel="0" collapsed="false">
      <c r="A10731" s="5" t="s">
        <v>939</v>
      </c>
      <c r="B10731" s="0" t="s">
        <v>57</v>
      </c>
      <c r="C10731" s="30" t="n">
        <f aca="false">m_retail*m_x</f>
        <v>17.72</v>
      </c>
    </row>
    <row r="10732" customFormat="false" ht="17.15" hidden="false" customHeight="false" outlineLevel="0" collapsed="false">
      <c r="A10732" s="5" t="s">
        <v>940</v>
      </c>
      <c r="B10732" s="0" t="s">
        <v>86</v>
      </c>
      <c r="C10732" s="38" t="n">
        <f aca="false">Sens!$C$10730*Sens!$C$10731</f>
        <v>819.597185994414</v>
      </c>
    </row>
    <row r="10733" customFormat="false" ht="17.15" hidden="false" customHeight="false" outlineLevel="0" collapsed="false">
      <c r="A10733" s="0" t="s">
        <v>941</v>
      </c>
      <c r="B10733" s="0" t="s">
        <v>86</v>
      </c>
      <c r="C10733" s="38" t="n">
        <f aca="false">(1-tp_yf)*(Sens!$H$10656+sbc_ab*Sens!$H$10678*Sens!$H$10593/Sens!$H$10595)+tp_yf*(Sens!$I$10656+sbc_ab*Sens!$I$10678*Sens!$I$10593/Sens!$I$10595)</f>
        <v>96.2439586897193</v>
      </c>
    </row>
    <row r="10734" customFormat="false" ht="17.15" hidden="false" customHeight="false" outlineLevel="0" collapsed="false">
      <c r="A10734" s="0" t="s">
        <v>942</v>
      </c>
      <c r="B10734" s="0" t="s">
        <v>57</v>
      </c>
      <c r="C10734" s="30" t="n">
        <f aca="false">m_cloud*m_x</f>
        <v>13.82</v>
      </c>
    </row>
    <row r="10735" customFormat="false" ht="17.15" hidden="false" customHeight="false" outlineLevel="0" collapsed="false">
      <c r="A10735" s="0" t="s">
        <v>943</v>
      </c>
      <c r="B10735" s="0" t="s">
        <v>86</v>
      </c>
      <c r="C10735" s="38" t="n">
        <f aca="false">Sens!$C$10733*Sens!$C$10734</f>
        <v>1330.09150909192</v>
      </c>
    </row>
    <row r="10736" customFormat="false" ht="17.15" hidden="false" customHeight="false" outlineLevel="0" collapsed="false">
      <c r="A10736" s="0" t="s">
        <v>944</v>
      </c>
      <c r="B10736" s="0" t="s">
        <v>86</v>
      </c>
      <c r="H10736" s="38" t="n">
        <f aca="false">Sens!$H$10574-tax*Sens!$H$10575-ext_sh*Sens!$H$10562</f>
        <v>-101.393371821813</v>
      </c>
      <c r="I10736" s="38" t="n">
        <f aca="false">Sens!$I$10574-tax*Sens!$I$10575-ext_sh*Sens!$I$10562</f>
        <v>-55.7666975158383</v>
      </c>
      <c r="J10736" s="38" t="n">
        <f aca="false">Sens!$J$10574-tax*Sens!$J$10575-ext_sh*Sens!$J$10562</f>
        <v>-8.96702529480251</v>
      </c>
      <c r="K10736" s="38" t="n">
        <f aca="false">Sens!$K$10574-tax*Sens!$K$10575-ext_sh*Sens!$K$10562</f>
        <v>80.2665928529919</v>
      </c>
      <c r="L10736" s="38" t="n">
        <f aca="false">Sens!$L$10574-tax*Sens!$L$10575-ext_sh*Sens!$L$10562</f>
        <v>129.400221222575</v>
      </c>
      <c r="M10736" s="38" t="n">
        <f aca="false">Sens!$M$10574-tax*Sens!$M$10575-ext_sh*Sens!$M$10562</f>
        <v>143.282064926233</v>
      </c>
    </row>
    <row r="10737" customFormat="false" ht="17.15" hidden="false" customHeight="false" outlineLevel="0" collapsed="false">
      <c r="A10737" s="5" t="s">
        <v>945</v>
      </c>
      <c r="B10737" s="0" t="s">
        <v>86</v>
      </c>
      <c r="H10737" s="38" t="n">
        <f aca="false">Sens!$H$10736*Sens!$H$10714</f>
        <v>-96.0957020219267</v>
      </c>
      <c r="I10737" s="38" t="n">
        <f aca="false">Sens!$I$10736*Sens!$I$10714</f>
        <v>-47.4742509249368</v>
      </c>
      <c r="J10737" s="38" t="n">
        <f aca="false">Sens!$J$10736*Sens!$J$10714</f>
        <v>-6.85678268779945</v>
      </c>
      <c r="K10737" s="38" t="n">
        <f aca="false">Sens!$K$10736*Sens!$K$10714</f>
        <v>55.1309676870336</v>
      </c>
      <c r="L10737" s="38" t="n">
        <f aca="false">Sens!$L$10736*Sens!$L$10714</f>
        <v>79.8333956645938</v>
      </c>
      <c r="M10737" s="38" t="n">
        <f aca="false">Sens!$M$10736*Sens!$M$10714</f>
        <v>79.4017750605081</v>
      </c>
    </row>
    <row r="10738" customFormat="false" ht="17.15" hidden="false" customHeight="false" outlineLevel="0" collapsed="false">
      <c r="A10738" s="5" t="s">
        <v>946</v>
      </c>
      <c r="B10738" s="0" t="s">
        <v>86</v>
      </c>
      <c r="C10738" s="38" t="n">
        <f aca="false">Sens!$M$10575*(1-tax)*(1+tg)*(1-tg/ronic)/(wacc-tg)</f>
        <v>1190.58904731513</v>
      </c>
    </row>
    <row r="10739" customFormat="false" ht="17.15" hidden="false" customHeight="false" outlineLevel="0" collapsed="false">
      <c r="A10739" s="0" t="s">
        <v>947</v>
      </c>
      <c r="B10739" s="0" t="s">
        <v>86</v>
      </c>
      <c r="C10739" s="38" t="n">
        <f aca="false">(SUM(Sens!$I$10737:$M$10737)+Sens!$C$10738/(1+wacc)^6)*(1+wacc)^tp_yf</f>
        <v>857.769404597615</v>
      </c>
    </row>
    <row r="10740" customFormat="false" ht="17.15" hidden="false" customHeight="false" outlineLevel="0" collapsed="false">
      <c r="A10740" s="5" t="s">
        <v>948</v>
      </c>
      <c r="B10740" s="0" t="s">
        <v>86</v>
      </c>
      <c r="C10740" s="38" t="n">
        <f aca="false">(1-tp_yf)*(Sens!$H$10657)+tp_yf*(Sens!$I$10657)</f>
        <v>116.623020306649</v>
      </c>
    </row>
    <row r="10741" customFormat="false" ht="17.15" hidden="false" customHeight="false" outlineLevel="0" collapsed="false">
      <c r="A10741" s="5" t="s">
        <v>949</v>
      </c>
      <c r="B10741" s="0" t="s">
        <v>86</v>
      </c>
      <c r="C10741" s="38" t="n">
        <f aca="false">Sens!$C$10740*m_ai</f>
        <v>699.738121839894</v>
      </c>
    </row>
    <row r="10742" customFormat="false" ht="17.15" hidden="false" customHeight="false" outlineLevel="0" collapsed="false">
      <c r="A10742" s="0" t="s">
        <v>950</v>
      </c>
      <c r="B10742" s="0" t="s">
        <v>86</v>
      </c>
      <c r="C10742" s="38" t="n">
        <f aca="false">IF(ai_leg=1,Sens!$C$10739,Sens!$C$10741)</f>
        <v>857.769404597615</v>
      </c>
    </row>
    <row r="10743" customFormat="false" ht="17.15" hidden="false" customHeight="false" outlineLevel="0" collapsed="false">
      <c r="A10743" s="5" t="s">
        <v>951</v>
      </c>
      <c r="B10743" s="0" t="s">
        <v>86</v>
      </c>
      <c r="C10743" s="38" t="n">
        <f aca="false">Sens!$C$10729+Sens!$C$10732+Sens!$C$10735+Sens!$C$10742</f>
        <v>3550.72989361009</v>
      </c>
    </row>
    <row r="10744" customFormat="false" ht="17.15" hidden="false" customHeight="false" outlineLevel="0" collapsed="false">
      <c r="A10744" s="5" t="s">
        <v>952</v>
      </c>
      <c r="B10744" s="0" t="s">
        <v>86</v>
      </c>
      <c r="C10744" s="38" t="n">
        <f aca="false">Sens!$H$10697+fin_debt</f>
        <v>139.609801764421</v>
      </c>
    </row>
    <row r="10745" customFormat="false" ht="15" hidden="false" customHeight="false" outlineLevel="0" collapsed="false">
      <c r="A10745" s="5" t="s">
        <v>953</v>
      </c>
      <c r="B10745" s="0" t="s">
        <v>86</v>
      </c>
      <c r="C10745" s="38" t="n">
        <f aca="false">Sens!$C$10743-Sens!$C$10744+Sens!$C$10722</f>
        <v>3590.06409184567</v>
      </c>
    </row>
    <row r="10746" customFormat="false" ht="15" hidden="false" customHeight="false" outlineLevel="0" collapsed="false">
      <c r="A10746" s="3" t="s">
        <v>954</v>
      </c>
      <c r="B10746" s="8" t="s">
        <v>27</v>
      </c>
      <c r="C10746" s="30" t="n">
        <f aca="false">Sens!$C$10745/sh_val</f>
        <v>325.472519807294</v>
      </c>
    </row>
    <row r="10747" customFormat="false" ht="17.15" hidden="false" customHeight="false" outlineLevel="0" collapsed="false">
      <c r="A10747" s="47" t="s">
        <v>955</v>
      </c>
      <c r="B10747" s="14" t="s">
        <v>27</v>
      </c>
      <c r="C10747" s="44" t="n">
        <f aca="false">w_dcf*Sens!$C$10725+(1-w_dcf)*Sens!$C$10746</f>
        <v>247.534136310779</v>
      </c>
      <c r="D10747" s="14"/>
      <c r="E10747" s="14"/>
      <c r="F10747" s="14"/>
      <c r="G10747" s="14"/>
      <c r="H10747" s="14"/>
      <c r="I10747" s="14"/>
      <c r="J10747" s="14"/>
      <c r="K10747" s="14"/>
      <c r="L10747" s="14"/>
      <c r="M10747" s="14"/>
      <c r="N10747" s="14"/>
      <c r="O10747" s="14"/>
    </row>
    <row r="10748" customFormat="false" ht="17.15" hidden="false" customHeight="false" outlineLevel="0" collapsed="false">
      <c r="A10748" s="5" t="s">
        <v>956</v>
      </c>
      <c r="B10748" s="0" t="s">
        <v>27</v>
      </c>
      <c r="C10748" s="30" t="n">
        <f aca="false">v022_wdcf*Sens!$C$10725+(1-v022_wdcf)*Sens!$C$10746</f>
        <v>255.32797466043</v>
      </c>
    </row>
    <row r="10749" customFormat="false" ht="17.15" hidden="false" customHeight="false" outlineLevel="0" collapsed="false">
      <c r="A10749" s="5" t="s">
        <v>957</v>
      </c>
      <c r="B10749" s="0" t="s">
        <v>27</v>
      </c>
      <c r="C10749" s="30" t="n">
        <f aca="false">(Sens!$C$10745-Sens!$C$10742+Sens!$C$10741)/sh_val</f>
        <v>311.145522157207</v>
      </c>
    </row>
    <row r="10752" customFormat="false" ht="19.4" hidden="false" customHeight="false" outlineLevel="0" collapsed="false">
      <c r="A10752" s="31" t="s">
        <v>1355</v>
      </c>
    </row>
    <row r="10753" customFormat="false" ht="17.15" hidden="false" customHeight="false" outlineLevel="0" collapsed="false">
      <c r="A10753" s="6" t="s">
        <v>16</v>
      </c>
      <c r="B10753" s="6" t="s">
        <v>17</v>
      </c>
      <c r="C10753" s="20" t="s">
        <v>497</v>
      </c>
      <c r="D10753" s="20" t="s">
        <v>498</v>
      </c>
      <c r="E10753" s="20" t="s">
        <v>580</v>
      </c>
      <c r="F10753" s="20" t="s">
        <v>581</v>
      </c>
      <c r="G10753" s="20" t="s">
        <v>582</v>
      </c>
      <c r="H10753" s="20" t="s">
        <v>583</v>
      </c>
      <c r="I10753" s="20" t="s">
        <v>584</v>
      </c>
      <c r="J10753" s="20" t="s">
        <v>585</v>
      </c>
      <c r="K10753" s="20" t="s">
        <v>586</v>
      </c>
      <c r="L10753" s="20" t="s">
        <v>587</v>
      </c>
      <c r="M10753" s="20" t="s">
        <v>588</v>
      </c>
      <c r="N10753" s="20" t="s">
        <v>589</v>
      </c>
      <c r="O10753" s="20" t="s">
        <v>590</v>
      </c>
      <c r="P10753" s="6" t="s">
        <v>23</v>
      </c>
      <c r="R10753" s="20" t="n">
        <v>2023</v>
      </c>
      <c r="S10753" s="20" t="n">
        <v>2024</v>
      </c>
      <c r="T10753" s="20" t="n">
        <v>2025</v>
      </c>
      <c r="U10753" s="20" t="n">
        <v>2026</v>
      </c>
      <c r="V10753" s="20" t="n">
        <v>2027</v>
      </c>
      <c r="W10753" s="20" t="n">
        <v>2028</v>
      </c>
      <c r="X10753" s="20" t="n">
        <v>2029</v>
      </c>
      <c r="Y10753" s="20" t="n">
        <v>2030</v>
      </c>
      <c r="Z10753" s="20" t="n">
        <v>2031</v>
      </c>
      <c r="AA10753" s="20" t="n">
        <v>2032</v>
      </c>
    </row>
    <row r="10754" customFormat="false" ht="17.15" hidden="false" customHeight="false" outlineLevel="0" collapsed="false">
      <c r="A10754" s="1" t="s">
        <v>666</v>
      </c>
    </row>
    <row r="10755" customFormat="false" ht="17.15" hidden="false" customHeight="false" outlineLevel="0" collapsed="false">
      <c r="A10755" s="0" t="s">
        <v>519</v>
      </c>
      <c r="B10755" s="0" t="s">
        <v>86</v>
      </c>
      <c r="C10755" s="38" t="n">
        <f aca="false">Q!$D$10</f>
        <v>247.029</v>
      </c>
      <c r="D10755" s="38" t="n">
        <f aca="false">Q!$E$10</f>
        <v>269.287</v>
      </c>
      <c r="E10755" s="38" t="n">
        <f aca="false">Q!$P$10</f>
        <v>134.686</v>
      </c>
      <c r="F10755" s="38" t="n">
        <f aca="false">Sens!$O$10755*(1+Sens!$F$10756)*Sens!$F$10767</f>
        <v>158.293876822267</v>
      </c>
      <c r="G10755" s="38" t="n">
        <f aca="false">Sens!$E$10755+Sens!$F$10755</f>
        <v>292.979876822267</v>
      </c>
      <c r="H10755" s="38" t="n">
        <f aca="false">Sens!$G$10755*(1+Sens!$H$10756)</f>
        <v>318.184543087396</v>
      </c>
      <c r="I10755" s="38" t="n">
        <f aca="false">Sens!$H$10755*(1+Sens!$I$10756)</f>
        <v>341.736278761793</v>
      </c>
      <c r="J10755" s="38" t="n">
        <f aca="false">Sens!$I$10755*(1+Sens!$J$10756)</f>
        <v>362.927192787048</v>
      </c>
      <c r="K10755" s="38" t="n">
        <f aca="false">Sens!$J$10755*(1+Sens!$K$10756)</f>
        <v>381.0735524264</v>
      </c>
      <c r="L10755" s="38" t="n">
        <f aca="false">Sens!$K$10755*(1+Sens!$L$10756)</f>
        <v>400.12723004772</v>
      </c>
      <c r="M10755" s="38" t="n">
        <f aca="false">Sens!$L$10755*(1+Sens!$M$10756)</f>
        <v>420.133591550106</v>
      </c>
      <c r="N10755" s="38" t="n">
        <f aca="false">Q!$N$10</f>
        <v>118.892</v>
      </c>
      <c r="O10755" s="38" t="n">
        <f aca="false">Q!$O$10</f>
        <v>150.395</v>
      </c>
      <c r="P10755" s="8" t="s">
        <v>667</v>
      </c>
    </row>
    <row r="10756" customFormat="false" ht="17.15" hidden="false" customHeight="false" outlineLevel="0" collapsed="false">
      <c r="A10756" s="0" t="s">
        <v>668</v>
      </c>
      <c r="B10756" s="0" t="s">
        <v>52</v>
      </c>
      <c r="E10756" s="13" t="n">
        <f aca="false">Sens!$E$10755/Sens!$N$10755-1</f>
        <v>0.132843252699929</v>
      </c>
      <c r="F10756" s="13" t="n">
        <f aca="false">Sens!$O$10755/(Q!$F$10+Q!$G$10)-1</f>
        <v>0.0980382135842941</v>
      </c>
      <c r="G10756" s="13" t="n">
        <f aca="false">Sens!$G$10755/Sens!$D$10755-1</f>
        <v>0.0879837378791657</v>
      </c>
      <c r="H10756" s="13" t="n">
        <f aca="false">Sens!$F$10756+(g_os-Sens!$F$10756)*1/4</f>
        <v>0.0860286601882206</v>
      </c>
      <c r="I10756" s="13" t="n">
        <f aca="false">Sens!$F$10756+(g_os-Sens!$F$10756)*2/4</f>
        <v>0.074019106792147</v>
      </c>
      <c r="J10756" s="13" t="n">
        <f aca="false">Sens!$F$10756+(g_os-Sens!$F$10756)*3/4</f>
        <v>0.0620095533960735</v>
      </c>
      <c r="K10756" s="13" t="n">
        <f aca="false">Sens!$F$10756+(g_os-Sens!$F$10756)*4/4</f>
        <v>0.05</v>
      </c>
      <c r="L10756" s="13" t="n">
        <f aca="false">g_os</f>
        <v>0.05</v>
      </c>
      <c r="M10756" s="13" t="n">
        <f aca="false">g_os</f>
        <v>0.05</v>
      </c>
      <c r="P10756" s="8" t="s">
        <v>669</v>
      </c>
    </row>
    <row r="10757" customFormat="false" ht="17.15" hidden="false" customHeight="false" outlineLevel="0" collapsed="false">
      <c r="A10757" s="0" t="s">
        <v>520</v>
      </c>
      <c r="B10757" s="0" t="s">
        <v>86</v>
      </c>
      <c r="C10757" s="38" t="n">
        <f aca="false">Q!$D$11</f>
        <v>21.215</v>
      </c>
      <c r="D10757" s="38" t="n">
        <f aca="false">Q!$E$11</f>
        <v>22.561</v>
      </c>
      <c r="E10757" s="38" t="n">
        <f aca="false">Q!$P$11</f>
        <v>11.579</v>
      </c>
      <c r="F10757" s="38" t="n">
        <f aca="false">Sens!$O$10757*(1+Sens!$F$10758)*Sens!$F$10767</f>
        <v>11.5938724610325</v>
      </c>
      <c r="G10757" s="38" t="n">
        <f aca="false">Sens!$E$10757+Sens!$F$10757</f>
        <v>23.1728724610325</v>
      </c>
      <c r="H10757" s="38" t="n">
        <f aca="false">Sens!$G$10757*(1+Sens!$H$10758)</f>
        <v>24.353392759506</v>
      </c>
      <c r="I10757" s="38" t="n">
        <f aca="false">Sens!$H$10757*(1+Sens!$I$10758)</f>
        <v>25.4240338872015</v>
      </c>
      <c r="J10757" s="38" t="n">
        <f aca="false">Sens!$I$10757*(1+Sens!$J$10758)</f>
        <v>26.3642491017174</v>
      </c>
      <c r="K10757" s="38" t="n">
        <f aca="false">Sens!$J$10757*(1+Sens!$K$10758)</f>
        <v>27.155176574769</v>
      </c>
      <c r="L10757" s="38" t="n">
        <f aca="false">Sens!$K$10757*(1+Sens!$L$10758)</f>
        <v>27.969831872012</v>
      </c>
      <c r="M10757" s="38" t="n">
        <f aca="false">Sens!$L$10757*(1+Sens!$M$10758)</f>
        <v>28.8089268281724</v>
      </c>
      <c r="N10757" s="38" t="n">
        <f aca="false">Q!$N$11</f>
        <v>11.128</v>
      </c>
      <c r="O10757" s="38" t="n">
        <f aca="false">Q!$O$11</f>
        <v>11.433</v>
      </c>
      <c r="P10757" s="8" t="s">
        <v>667</v>
      </c>
    </row>
    <row r="10758" customFormat="false" ht="17.15" hidden="false" customHeight="false" outlineLevel="0" collapsed="false">
      <c r="A10758" s="0" t="s">
        <v>670</v>
      </c>
      <c r="B10758" s="0" t="s">
        <v>52</v>
      </c>
      <c r="E10758" s="13" t="n">
        <f aca="false">Sens!$E$10757/Sens!$N$10757-1</f>
        <v>0.0405283968368082</v>
      </c>
      <c r="F10758" s="13" t="n">
        <f aca="false">Sens!$O$10757/(Q!$F$11+Q!$G$11)-1</f>
        <v>0.0579254187100955</v>
      </c>
      <c r="G10758" s="13" t="n">
        <f aca="false">Sens!$G$10757/Sens!$D$10757-1</f>
        <v>0.0271208040881397</v>
      </c>
      <c r="H10758" s="13" t="n">
        <f aca="false">Sens!$F$10758+(g_ps-Sens!$F$10758)*1/4</f>
        <v>0.0509440640325716</v>
      </c>
      <c r="I10758" s="13" t="n">
        <f aca="false">Sens!$F$10758+(g_ps-Sens!$F$10758)*2/4</f>
        <v>0.0439627093550477</v>
      </c>
      <c r="J10758" s="13" t="n">
        <f aca="false">Sens!$F$10758+(g_ps-Sens!$F$10758)*3/4</f>
        <v>0.0369813546775239</v>
      </c>
      <c r="K10758" s="13" t="n">
        <f aca="false">Sens!$F$10758+(g_ps-Sens!$F$10758)*4/4</f>
        <v>0.03</v>
      </c>
      <c r="L10758" s="13" t="n">
        <f aca="false">g_ps</f>
        <v>0.03</v>
      </c>
      <c r="M10758" s="13" t="n">
        <f aca="false">g_ps</f>
        <v>0.03</v>
      </c>
      <c r="P10758" s="8" t="s">
        <v>671</v>
      </c>
    </row>
    <row r="10759" customFormat="false" ht="17.15" hidden="false" customHeight="false" outlineLevel="0" collapsed="false">
      <c r="A10759" s="0" t="s">
        <v>521</v>
      </c>
      <c r="B10759" s="0" t="s">
        <v>86</v>
      </c>
      <c r="C10759" s="38" t="n">
        <f aca="false">Q!$D$12</f>
        <v>156.146</v>
      </c>
      <c r="D10759" s="38" t="n">
        <f aca="false">Q!$E$12</f>
        <v>172.162</v>
      </c>
      <c r="E10759" s="38" t="n">
        <f aca="false">Q!$P$12</f>
        <v>88.358</v>
      </c>
      <c r="F10759" s="38" t="n">
        <f aca="false">Sens!$O$10759*(1+Sens!$F$10760)*Sens!$F$10767</f>
        <v>102.004388260171</v>
      </c>
      <c r="G10759" s="38" t="n">
        <f aca="false">Sens!$E$10759+Sens!$F$10759</f>
        <v>190.362388260171</v>
      </c>
      <c r="H10759" s="38" t="n">
        <f aca="false">Sens!$G$10759*(1+Sens!$H$10760)</f>
        <v>210.343106588311</v>
      </c>
      <c r="I10759" s="38" t="n">
        <f aca="false">Sens!$H$10759*(1+Sens!$I$10760)</f>
        <v>229.969728494648</v>
      </c>
      <c r="J10759" s="38" t="n">
        <f aca="false">Sens!$I$10759*(1+Sens!$J$10760)</f>
        <v>248.747636972598</v>
      </c>
      <c r="K10759" s="38" t="n">
        <f aca="false">Sens!$J$10759*(1+Sens!$K$10760)</f>
        <v>266.15997156068</v>
      </c>
      <c r="L10759" s="38" t="n">
        <f aca="false">Sens!$K$10759*(1+Sens!$L$10760)</f>
        <v>284.791169569927</v>
      </c>
      <c r="M10759" s="38" t="n">
        <f aca="false">Sens!$L$10759*(1+Sens!$M$10760)</f>
        <v>304.726551439822</v>
      </c>
      <c r="N10759" s="38" t="n">
        <f aca="false">Q!$N$12</f>
        <v>76.86</v>
      </c>
      <c r="O10759" s="38" t="n">
        <f aca="false">Q!$O$12</f>
        <v>95.302</v>
      </c>
      <c r="P10759" s="8" t="s">
        <v>667</v>
      </c>
    </row>
    <row r="10760" customFormat="false" ht="17.15" hidden="false" customHeight="false" outlineLevel="0" collapsed="false">
      <c r="A10760" s="0" t="s">
        <v>672</v>
      </c>
      <c r="B10760" s="0" t="s">
        <v>52</v>
      </c>
      <c r="E10760" s="13" t="n">
        <f aca="false">Sens!$E$10759/Sens!$N$10759-1</f>
        <v>0.1495966692688</v>
      </c>
      <c r="F10760" s="13" t="n">
        <f aca="false">Sens!$O$10759/(Q!$F$12+Q!$G$12)-1</f>
        <v>0.11661530890813</v>
      </c>
      <c r="G10760" s="13" t="n">
        <f aca="false">Sens!$G$10759/Sens!$D$10759-1</f>
        <v>0.105716640490767</v>
      </c>
      <c r="H10760" s="13" t="n">
        <f aca="false">Sens!$F$10760+(g_sp-Sens!$F$10760)*1/4</f>
        <v>0.104961481681098</v>
      </c>
      <c r="I10760" s="13" t="n">
        <f aca="false">Sens!$F$10760+(g_sp-Sens!$F$10760)*2/4</f>
        <v>0.0933076544540651</v>
      </c>
      <c r="J10760" s="13" t="n">
        <f aca="false">Sens!$F$10760+(g_sp-Sens!$F$10760)*3/4</f>
        <v>0.0816538272270325</v>
      </c>
      <c r="K10760" s="13" t="n">
        <f aca="false">Sens!$F$10760+(g_sp-Sens!$F$10760)*4/4</f>
        <v>0.07</v>
      </c>
      <c r="L10760" s="13" t="n">
        <f aca="false">g_sp</f>
        <v>0.07</v>
      </c>
      <c r="M10760" s="13" t="n">
        <f aca="false">g_sp</f>
        <v>0.07</v>
      </c>
      <c r="P10760" s="8" t="s">
        <v>673</v>
      </c>
    </row>
    <row r="10761" customFormat="false" ht="17.15" hidden="false" customHeight="false" outlineLevel="0" collapsed="false">
      <c r="A10761" s="0" t="s">
        <v>522</v>
      </c>
      <c r="B10761" s="0" t="s">
        <v>86</v>
      </c>
      <c r="C10761" s="38" t="n">
        <f aca="false">Q!$D$13</f>
        <v>56.214</v>
      </c>
      <c r="D10761" s="38" t="n">
        <f aca="false">Q!$E$13</f>
        <v>68.635</v>
      </c>
      <c r="E10761" s="38" t="n">
        <f aca="false">Q!$P$13</f>
        <v>37.052</v>
      </c>
      <c r="F10761" s="38" t="n">
        <f aca="false">Sens!$O$10761*(1+Sens!$F$10762)*Sens!$F$10767</f>
        <v>46.1572219944148</v>
      </c>
      <c r="G10761" s="38" t="n">
        <f aca="false">Sens!$E$10761+Sens!$F$10761</f>
        <v>83.2092219944148</v>
      </c>
      <c r="H10761" s="38" t="n">
        <f aca="false">Sens!$G$10761*(1+Sens!$H$10762)</f>
        <v>99.8969223878976</v>
      </c>
      <c r="I10761" s="38" t="n">
        <f aca="false">Sens!$H$10761*(1+Sens!$I$10762)</f>
        <v>116.583111095496</v>
      </c>
      <c r="J10761" s="38" t="n">
        <f aca="false">Sens!$I$10761*(1+Sens!$J$10762)</f>
        <v>132.148941941952</v>
      </c>
      <c r="K10761" s="38" t="n">
        <f aca="false">Sens!$J$10761*(1+Sens!$K$10762)</f>
        <v>145.363836136147</v>
      </c>
      <c r="L10761" s="38" t="n">
        <f aca="false">Sens!$K$10761*(1+Sens!$L$10762)</f>
        <v>159.900219749762</v>
      </c>
      <c r="M10761" s="38" t="n">
        <f aca="false">Sens!$L$10761*(1+Sens!$M$10762)</f>
        <v>175.890241724738</v>
      </c>
      <c r="N10761" s="38" t="n">
        <f aca="false">Q!$N$13</f>
        <v>29.615</v>
      </c>
      <c r="O10761" s="38" t="n">
        <f aca="false">Q!$O$13</f>
        <v>39.02</v>
      </c>
      <c r="P10761" s="8" t="s">
        <v>667</v>
      </c>
    </row>
    <row r="10762" customFormat="false" ht="17.15" hidden="false" customHeight="false" outlineLevel="0" collapsed="false">
      <c r="A10762" s="0" t="s">
        <v>674</v>
      </c>
      <c r="B10762" s="0" t="s">
        <v>52</v>
      </c>
      <c r="E10762" s="13" t="n">
        <f aca="false">Sens!$E$10761/Sens!$N$10761-1</f>
        <v>0.25112274185379</v>
      </c>
      <c r="F10762" s="13" t="n">
        <f aca="false">Sens!$O$10761/(Q!$F$13+Q!$G$13)-1</f>
        <v>0.234068123596572</v>
      </c>
      <c r="G10762" s="13" t="n">
        <f aca="false">Sens!$G$10761/Sens!$D$10761-1</f>
        <v>0.212343876949294</v>
      </c>
      <c r="H10762" s="13" t="n">
        <f aca="false">Sens!$F$10762+(g_ad-Sens!$F$10762)*1/4</f>
        <v>0.200551092697429</v>
      </c>
      <c r="I10762" s="13" t="n">
        <f aca="false">Sens!$F$10762+(g_ad-Sens!$F$10762)*2/4</f>
        <v>0.167034061798286</v>
      </c>
      <c r="J10762" s="13" t="n">
        <f aca="false">Sens!$F$10762+(g_ad-Sens!$F$10762)*3/4</f>
        <v>0.133517030899143</v>
      </c>
      <c r="K10762" s="13" t="n">
        <f aca="false">Sens!$F$10762+(g_ad-Sens!$F$10762)*4/4</f>
        <v>0.1</v>
      </c>
      <c r="L10762" s="13" t="n">
        <f aca="false">g_ad</f>
        <v>0.1</v>
      </c>
      <c r="M10762" s="13" t="n">
        <f aca="false">g_ad</f>
        <v>0.1</v>
      </c>
      <c r="P10762" s="8" t="s">
        <v>675</v>
      </c>
    </row>
    <row r="10763" customFormat="false" ht="17.15" hidden="false" customHeight="false" outlineLevel="0" collapsed="false">
      <c r="A10763" s="0" t="s">
        <v>523</v>
      </c>
      <c r="B10763" s="0" t="s">
        <v>86</v>
      </c>
      <c r="C10763" s="38" t="n">
        <f aca="false">Q!$D$14</f>
        <v>44.374</v>
      </c>
      <c r="D10763" s="38" t="n">
        <f aca="false">Q!$E$14</f>
        <v>49.619</v>
      </c>
      <c r="E10763" s="38" t="n">
        <f aca="false">Q!$P$14</f>
        <v>27.157</v>
      </c>
      <c r="F10763" s="38" t="n">
        <f aca="false">Sens!$O$10763*(1+Sens!$F$10764)*Sens!$F$10767</f>
        <v>27.7764165988154</v>
      </c>
      <c r="G10763" s="38" t="n">
        <f aca="false">Sens!$E$10763+Sens!$F$10763</f>
        <v>54.9334165988154</v>
      </c>
      <c r="H10763" s="38" t="n">
        <f aca="false">Sens!$G$10763*(1+Sens!$H$10764)</f>
        <v>61.1564112561829</v>
      </c>
      <c r="I10763" s="38" t="n">
        <f aca="false">Sens!$H$10763*(1+Sens!$I$10764)</f>
        <v>67.2020282103945</v>
      </c>
      <c r="J10763" s="38" t="n">
        <f aca="false">Sens!$I$10763*(1+Sens!$J$10764)</f>
        <v>72.8757274028885</v>
      </c>
      <c r="K10763" s="38" t="n">
        <f aca="false">Sens!$J$10763*(1+Sens!$K$10764)</f>
        <v>77.9770283210907</v>
      </c>
      <c r="L10763" s="38" t="n">
        <f aca="false">Sens!$K$10763*(1+Sens!$L$10764)</f>
        <v>83.4354203035671</v>
      </c>
      <c r="M10763" s="38" t="n">
        <f aca="false">Sens!$L$10763*(1+Sens!$M$10764)</f>
        <v>89.2758997248168</v>
      </c>
      <c r="N10763" s="38" t="n">
        <f aca="false">Q!$N$14</f>
        <v>23.923</v>
      </c>
      <c r="O10763" s="38" t="n">
        <f aca="false">Q!$O$14</f>
        <v>25.696</v>
      </c>
      <c r="P10763" s="8" t="s">
        <v>667</v>
      </c>
    </row>
    <row r="10764" customFormat="false" ht="17.15" hidden="false" customHeight="false" outlineLevel="0" collapsed="false">
      <c r="A10764" s="0" t="s">
        <v>676</v>
      </c>
      <c r="B10764" s="0" t="s">
        <v>52</v>
      </c>
      <c r="E10764" s="13" t="n">
        <f aca="false">Sens!$E$10763/Sens!$N$10763-1</f>
        <v>0.135183714417088</v>
      </c>
      <c r="F10764" s="13" t="n">
        <f aca="false">Sens!$O$10763/(Q!$F$14+Q!$G$14)-1</f>
        <v>0.127709997366804</v>
      </c>
      <c r="G10764" s="13" t="n">
        <f aca="false">Sens!$G$10763/Sens!$D$10763-1</f>
        <v>0.107104468022641</v>
      </c>
      <c r="H10764" s="13" t="n">
        <f aca="false">Sens!$F$10764+(g_sub-Sens!$F$10764)*1/4</f>
        <v>0.113282498025103</v>
      </c>
      <c r="I10764" s="13" t="n">
        <f aca="false">Sens!$F$10764+(g_sub-Sens!$F$10764)*2/4</f>
        <v>0.0988549986834021</v>
      </c>
      <c r="J10764" s="13" t="n">
        <f aca="false">Sens!$F$10764+(g_sub-Sens!$F$10764)*3/4</f>
        <v>0.084427499341701</v>
      </c>
      <c r="K10764" s="13" t="n">
        <f aca="false">Sens!$F$10764+(g_sub-Sens!$F$10764)*4/4</f>
        <v>0.07</v>
      </c>
      <c r="L10764" s="13" t="n">
        <f aca="false">g_sub</f>
        <v>0.07</v>
      </c>
      <c r="M10764" s="13" t="n">
        <f aca="false">g_sub</f>
        <v>0.07</v>
      </c>
      <c r="P10764" s="8" t="s">
        <v>677</v>
      </c>
    </row>
    <row r="10765" customFormat="false" ht="17.15" hidden="false" customHeight="false" outlineLevel="0" collapsed="false">
      <c r="A10765" s="0" t="s">
        <v>524</v>
      </c>
      <c r="B10765" s="0" t="s">
        <v>86</v>
      </c>
      <c r="C10765" s="38" t="n">
        <f aca="false">Q!$D$15</f>
        <v>5.425</v>
      </c>
      <c r="D10765" s="38" t="n">
        <f aca="false">Q!$E$15</f>
        <v>5.935</v>
      </c>
      <c r="E10765" s="38" t="n">
        <f aca="false">Q!$P$15</f>
        <v>3.474</v>
      </c>
      <c r="F10765" s="38" t="n">
        <f aca="false">Sens!$O$10765*(1+Sens!$F$10766)*Sens!$F$10767</f>
        <v>3.22246550883619</v>
      </c>
      <c r="G10765" s="38" t="n">
        <f aca="false">Sens!$E$10765+Sens!$F$10765</f>
        <v>6.69646550883619</v>
      </c>
      <c r="H10765" s="38" t="n">
        <f aca="false">Sens!$G$10765*(1+Sens!$H$10766)</f>
        <v>7.16251344209196</v>
      </c>
      <c r="I10765" s="38" t="n">
        <f aca="false">Sens!$H$10765*(1+Sens!$I$10766)</f>
        <v>7.61421070299826</v>
      </c>
      <c r="J10765" s="38" t="n">
        <f aca="false">Sens!$I$10765*(1+Sens!$J$10766)</f>
        <v>8.04465753523932</v>
      </c>
      <c r="K10765" s="38" t="n">
        <f aca="false">Sens!$J$10765*(1+Sens!$K$10766)</f>
        <v>8.44689041200128</v>
      </c>
      <c r="L10765" s="38" t="n">
        <f aca="false">Sens!$K$10765*(1+Sens!$L$10766)</f>
        <v>8.86923493260135</v>
      </c>
      <c r="M10765" s="38" t="n">
        <f aca="false">Sens!$L$10765*(1+Sens!$M$10766)</f>
        <v>9.31269667923142</v>
      </c>
      <c r="N10765" s="38" t="n">
        <f aca="false">Q!$N$15</f>
        <v>2.811</v>
      </c>
      <c r="O10765" s="38" t="n">
        <f aca="false">Q!$O$15</f>
        <v>3.124</v>
      </c>
      <c r="P10765" s="8" t="s">
        <v>667</v>
      </c>
    </row>
    <row r="10766" customFormat="false" ht="17.15" hidden="false" customHeight="false" outlineLevel="0" collapsed="false">
      <c r="A10766" s="0" t="s">
        <v>678</v>
      </c>
      <c r="B10766" s="0" t="s">
        <v>52</v>
      </c>
      <c r="E10766" s="13" t="n">
        <f aca="false">Sens!$E$10765/Sens!$N$10765-1</f>
        <v>0.235859124866596</v>
      </c>
      <c r="F10766" s="13" t="n">
        <f aca="false">Sens!$O$10765/(Q!$F$15+Q!$G$15)-1</f>
        <v>0.0761281433000345</v>
      </c>
      <c r="G10766" s="13" t="n">
        <f aca="false">Sens!$G$10765/Sens!$D$10765-1</f>
        <v>0.128300843948811</v>
      </c>
      <c r="H10766" s="13" t="n">
        <f aca="false">Sens!$F$10766+(g_ot-Sens!$F$10766)*1/4</f>
        <v>0.0695961074750259</v>
      </c>
      <c r="I10766" s="13" t="n">
        <f aca="false">Sens!$F$10766+(g_ot-Sens!$F$10766)*2/4</f>
        <v>0.0630640716500172</v>
      </c>
      <c r="J10766" s="13" t="n">
        <f aca="false">Sens!$F$10766+(g_ot-Sens!$F$10766)*3/4</f>
        <v>0.0565320358250086</v>
      </c>
      <c r="K10766" s="13" t="n">
        <f aca="false">Sens!$F$10766+(g_ot-Sens!$F$10766)*4/4</f>
        <v>0.05</v>
      </c>
      <c r="L10766" s="13" t="n">
        <f aca="false">g_ot</f>
        <v>0.05</v>
      </c>
      <c r="M10766" s="13" t="n">
        <f aca="false">g_ot</f>
        <v>0.05</v>
      </c>
      <c r="P10766" s="8" t="s">
        <v>679</v>
      </c>
    </row>
    <row r="10767" customFormat="false" ht="17.15" hidden="false" customHeight="false" outlineLevel="0" collapsed="false">
      <c r="A10767" s="0" t="s">
        <v>680</v>
      </c>
      <c r="B10767" s="0" t="s">
        <v>57</v>
      </c>
      <c r="F10767" s="40" t="n">
        <f aca="false">(g26q3_mid*Q!$O$8/Q!$J$8-Thesis!$F$86-Thesis!$F$90)/(Sens!$O$10755*(1+Sens!$F$10756)+Sens!$O$10757*(1+Sens!$F$10758)+Sens!$O$10759*(1+Sens!$F$10760)+Sens!$O$10761*(1+Sens!$F$10762)+Sens!$O$10763*(1+Sens!$F$10764)+Sens!$O$10765*(1+Sens!$F$10766))</f>
        <v>0.958546670622329</v>
      </c>
      <c r="P10767" s="8" t="s">
        <v>681</v>
      </c>
    </row>
    <row r="10768" customFormat="false" ht="17.15" hidden="false" customHeight="false" outlineLevel="0" collapsed="false">
      <c r="A10768" s="3" t="s">
        <v>682</v>
      </c>
      <c r="B10768" s="8" t="s">
        <v>86</v>
      </c>
      <c r="C10768" s="38" t="n">
        <f aca="false">Sens!$C$10755+Sens!$C$10757+Sens!$C$10759+Sens!$C$10761+Sens!$C$10763+Sens!$C$10765</f>
        <v>530.403</v>
      </c>
      <c r="D10768" s="38" t="n">
        <f aca="false">Sens!$D$10755+Sens!$D$10757+Sens!$D$10759+Sens!$D$10761+Sens!$D$10763+Sens!$D$10765</f>
        <v>588.199</v>
      </c>
      <c r="E10768" s="38" t="n">
        <f aca="false">Sens!$E$10755+Sens!$E$10757+Sens!$E$10759+Sens!$E$10761+Sens!$E$10763+Sens!$E$10765</f>
        <v>302.306</v>
      </c>
      <c r="F10768" s="38" t="n">
        <f aca="false">Sens!$F$10755+Sens!$F$10757+Sens!$F$10759+Sens!$F$10761+Sens!$F$10763+Sens!$F$10765</f>
        <v>349.048241645537</v>
      </c>
      <c r="G10768" s="38" t="n">
        <f aca="false">Sens!$G$10755+Sens!$G$10757+Sens!$G$10759+Sens!$G$10761+Sens!$G$10763+Sens!$G$10765</f>
        <v>651.354241645537</v>
      </c>
      <c r="H10768" s="38" t="n">
        <f aca="false">Sens!$H$10755+Sens!$H$10757+Sens!$H$10759+Sens!$H$10761+Sens!$H$10763+Sens!$H$10765</f>
        <v>721.096889521386</v>
      </c>
      <c r="I10768" s="38" t="n">
        <f aca="false">Sens!$I$10755+Sens!$I$10757+Sens!$I$10759+Sens!$I$10761+Sens!$I$10763+Sens!$I$10765</f>
        <v>788.529391152531</v>
      </c>
      <c r="J10768" s="38" t="n">
        <f aca="false">Sens!$J$10755+Sens!$J$10757+Sens!$J$10759+Sens!$J$10761+Sens!$J$10763+Sens!$J$10765</f>
        <v>851.108405741443</v>
      </c>
      <c r="K10768" s="38" t="n">
        <f aca="false">Sens!$K$10755+Sens!$K$10757+Sens!$K$10759+Sens!$K$10761+Sens!$K$10763+Sens!$K$10765</f>
        <v>906.176455431088</v>
      </c>
      <c r="L10768" s="38" t="n">
        <f aca="false">Sens!$L$10755+Sens!$L$10757+Sens!$L$10759+Sens!$L$10761+Sens!$L$10763+Sens!$L$10765</f>
        <v>965.093106475589</v>
      </c>
      <c r="M10768" s="38" t="n">
        <f aca="false">Sens!$M$10755+Sens!$M$10757+Sens!$M$10759+Sens!$M$10761+Sens!$M$10763+Sens!$M$10765</f>
        <v>1028.14790794689</v>
      </c>
      <c r="N10768" s="38" t="n">
        <f aca="false">Sens!$N$10755+Sens!$N$10757+Sens!$N$10759+Sens!$N$10761+Sens!$N$10763+Sens!$N$10765</f>
        <v>263.229</v>
      </c>
      <c r="O10768" s="38" t="n">
        <f aca="false">Sens!$O$10755+Sens!$O$10757+Sens!$O$10759+Sens!$O$10761+Sens!$O$10763+Sens!$O$10765</f>
        <v>324.97</v>
      </c>
    </row>
    <row r="10769" customFormat="false" ht="17.15" hidden="false" customHeight="false" outlineLevel="0" collapsed="false">
      <c r="A10769" s="5" t="s">
        <v>683</v>
      </c>
      <c r="B10769" s="0" t="s">
        <v>52</v>
      </c>
      <c r="C10769" s="13" t="n">
        <f aca="false">Q!$D$5/(Q!$D$5+Q!$D$6)</f>
        <v>0.730570905519011</v>
      </c>
      <c r="D10769" s="13" t="n">
        <f aca="false">Q!$E$5/(Q!$E$5+Q!$E$6)</f>
        <v>0.724763217890544</v>
      </c>
      <c r="E10769" s="13" t="n">
        <f aca="false">Q!$P$5/(Q!$P$5+Q!$P$6)</f>
        <v>0.728797972914861</v>
      </c>
      <c r="F10769" s="13" t="n">
        <f aca="false">Sens!$O$10769</f>
        <v>0.718066283041511</v>
      </c>
      <c r="G10769" s="13" t="n">
        <f aca="false">Sens!$G$10770/Sens!$G$10768</f>
        <v>0.723047066202847</v>
      </c>
      <c r="H10769" s="13" t="n">
        <f aca="false">Sens!$G$10769</f>
        <v>0.723047066202847</v>
      </c>
      <c r="I10769" s="13" t="n">
        <f aca="false">Sens!$G$10769</f>
        <v>0.723047066202847</v>
      </c>
      <c r="J10769" s="13" t="n">
        <f aca="false">Sens!$G$10769</f>
        <v>0.723047066202847</v>
      </c>
      <c r="K10769" s="13" t="n">
        <f aca="false">Sens!$G$10769</f>
        <v>0.723047066202847</v>
      </c>
      <c r="L10769" s="13" t="n">
        <f aca="false">Sens!$G$10769</f>
        <v>0.723047066202847</v>
      </c>
      <c r="M10769" s="13" t="n">
        <f aca="false">Sens!$G$10769</f>
        <v>0.723047066202847</v>
      </c>
      <c r="N10769" s="13" t="n">
        <f aca="false">Q!$N$5/(Q!$N$5+Q!$N$6)</f>
        <v>0.733030935041352</v>
      </c>
      <c r="O10769" s="13" t="n">
        <f aca="false">Q!$O$5/(Q!$O$5+Q!$O$6)</f>
        <v>0.718066283041511</v>
      </c>
      <c r="P10769" s="8" t="s">
        <v>684</v>
      </c>
    </row>
    <row r="10770" customFormat="false" ht="17.15" hidden="false" customHeight="false" outlineLevel="0" collapsed="false">
      <c r="A10770" s="1" t="s">
        <v>512</v>
      </c>
      <c r="B10770" s="8" t="s">
        <v>86</v>
      </c>
      <c r="C10770" s="38" t="n">
        <f aca="false">Q!$D$5</f>
        <v>387.497</v>
      </c>
      <c r="D10770" s="38" t="n">
        <f aca="false">Q!$E$5</f>
        <v>426.305</v>
      </c>
      <c r="E10770" s="38" t="n">
        <f aca="false">Q!$P$5</f>
        <v>220.32</v>
      </c>
      <c r="F10770" s="38" t="n">
        <f aca="false">Sens!$F$10768*Sens!$F$10769</f>
        <v>250.639773480586</v>
      </c>
      <c r="G10770" s="38" t="n">
        <f aca="false">Sens!$E$10770+Sens!$F$10770</f>
        <v>470.959773480586</v>
      </c>
      <c r="H10770" s="38" t="n">
        <f aca="false">Sens!$H$10768*Sens!$H$10769</f>
        <v>521.386990416437</v>
      </c>
      <c r="I10770" s="38" t="n">
        <f aca="false">Sens!$I$10768*Sens!$I$10769</f>
        <v>570.143862887555</v>
      </c>
      <c r="J10770" s="38" t="n">
        <f aca="false">Sens!$J$10768*Sens!$J$10769</f>
        <v>615.391435791933</v>
      </c>
      <c r="K10770" s="38" t="n">
        <f aca="false">Sens!$K$10768*Sens!$K$10769</f>
        <v>655.208227561543</v>
      </c>
      <c r="L10770" s="38" t="n">
        <f aca="false">Sens!$L$10768*Sens!$L$10769</f>
        <v>697.807739249767</v>
      </c>
      <c r="M10770" s="38" t="n">
        <f aca="false">Sens!$M$10768*Sens!$M$10769</f>
        <v>743.399328463592</v>
      </c>
      <c r="N10770" s="38" t="n">
        <f aca="false">Q!$N$5</f>
        <v>192.955</v>
      </c>
      <c r="O10770" s="38" t="n">
        <f aca="false">Q!$O$5</f>
        <v>233.35</v>
      </c>
      <c r="P10770" s="5" t="s">
        <v>685</v>
      </c>
    </row>
    <row r="10771" customFormat="false" ht="17.15" hidden="false" customHeight="false" outlineLevel="0" collapsed="false">
      <c r="A10771" s="1" t="s">
        <v>515</v>
      </c>
      <c r="B10771" s="8" t="s">
        <v>86</v>
      </c>
      <c r="C10771" s="38" t="n">
        <f aca="false">Q!$D$6</f>
        <v>142.906</v>
      </c>
      <c r="D10771" s="38" t="n">
        <f aca="false">Q!$E$6</f>
        <v>161.894</v>
      </c>
      <c r="E10771" s="38" t="n">
        <f aca="false">Q!$P$6</f>
        <v>81.986</v>
      </c>
      <c r="F10771" s="38" t="n">
        <f aca="false">Sens!$F$10768*(1-Sens!$F$10769)</f>
        <v>98.408468164951</v>
      </c>
      <c r="G10771" s="38" t="n">
        <f aca="false">Sens!$E$10771+Sens!$F$10771</f>
        <v>180.394468164951</v>
      </c>
      <c r="H10771" s="38" t="n">
        <f aca="false">Sens!$H$10768*(1-Sens!$H$10769)</f>
        <v>199.709899104949</v>
      </c>
      <c r="I10771" s="38" t="n">
        <f aca="false">Sens!$I$10768*(1-Sens!$I$10769)</f>
        <v>218.385528264976</v>
      </c>
      <c r="J10771" s="38" t="n">
        <f aca="false">Sens!$J$10768*(1-Sens!$J$10769)</f>
        <v>235.71696994951</v>
      </c>
      <c r="K10771" s="38" t="n">
        <f aca="false">Sens!$K$10768*(1-Sens!$K$10769)</f>
        <v>250.968227869545</v>
      </c>
      <c r="L10771" s="38" t="n">
        <f aca="false">Sens!$L$10768*(1-Sens!$L$10769)</f>
        <v>267.285367225822</v>
      </c>
      <c r="M10771" s="38" t="n">
        <f aca="false">Sens!$M$10768*(1-Sens!$M$10769)</f>
        <v>284.748579483295</v>
      </c>
      <c r="N10771" s="38" t="n">
        <f aca="false">Q!$N$6</f>
        <v>70.274</v>
      </c>
      <c r="O10771" s="38" t="n">
        <f aca="false">Q!$O$6</f>
        <v>91.62</v>
      </c>
      <c r="P10771" s="5" t="s">
        <v>686</v>
      </c>
    </row>
    <row r="10772" customFormat="false" ht="17.15" hidden="false" customHeight="false" outlineLevel="0" collapsed="false">
      <c r="A10772" s="5" t="s">
        <v>687</v>
      </c>
      <c r="B10772" s="0" t="s">
        <v>86</v>
      </c>
      <c r="C10772" s="38" t="n">
        <f aca="false">Sens!$C$10761*Sens!$C$10769</f>
        <v>41.0683128828457</v>
      </c>
      <c r="D10772" s="38" t="n">
        <f aca="false">Sens!$D$10761*Sens!$D$10769</f>
        <v>49.7441234599175</v>
      </c>
      <c r="E10772" s="38" t="n">
        <f aca="false">Sens!$E$10761*Sens!$E$10769</f>
        <v>27.0034224924414</v>
      </c>
      <c r="F10772" s="38" t="n">
        <f aca="false">Sens!$F$10761*Sens!$F$10769</f>
        <v>33.1439448330513</v>
      </c>
      <c r="G10772" s="38" t="n">
        <f aca="false">Sens!$G$10761*Sens!$G$10769</f>
        <v>60.164183844083</v>
      </c>
      <c r="H10772" s="38" t="n">
        <f aca="false">Sens!$H$10761*Sens!$H$10769</f>
        <v>72.2301766552629</v>
      </c>
      <c r="I10772" s="38" t="n">
        <f aca="false">Sens!$I$10761*Sens!$I$10769</f>
        <v>84.2950764463991</v>
      </c>
      <c r="J10772" s="38" t="n">
        <f aca="false">Sens!$J$10761*Sens!$J$10769</f>
        <v>95.5499047729386</v>
      </c>
      <c r="K10772" s="38" t="n">
        <f aca="false">Sens!$K$10761*Sens!$K$10769</f>
        <v>105.104895250232</v>
      </c>
      <c r="L10772" s="38" t="n">
        <f aca="false">Sens!$L$10761*Sens!$L$10769</f>
        <v>115.615384775256</v>
      </c>
      <c r="M10772" s="38" t="n">
        <f aca="false">Sens!$M$10761*Sens!$M$10769</f>
        <v>127.176923252781</v>
      </c>
      <c r="N10772" s="38" t="n">
        <f aca="false">Sens!$N$10761*Sens!$N$10769</f>
        <v>21.7087111412496</v>
      </c>
      <c r="O10772" s="38" t="n">
        <f aca="false">Sens!$O$10761*Sens!$O$10769</f>
        <v>28.0189463642798</v>
      </c>
      <c r="P10772" s="5" t="s">
        <v>688</v>
      </c>
    </row>
    <row r="10773" customFormat="false" ht="15" hidden="false" customHeight="false" outlineLevel="0" collapsed="false">
      <c r="A10773" s="5" t="s">
        <v>689</v>
      </c>
      <c r="B10773" s="0" t="s">
        <v>86</v>
      </c>
      <c r="C10773" s="38" t="n">
        <f aca="false">Sens!$C$10761-Sens!$C$10772</f>
        <v>15.1456871171543</v>
      </c>
      <c r="D10773" s="38" t="n">
        <f aca="false">Sens!$D$10761-Sens!$D$10772</f>
        <v>18.8908765400825</v>
      </c>
      <c r="E10773" s="38" t="n">
        <f aca="false">Sens!$E$10761-Sens!$E$10772</f>
        <v>10.0485775075586</v>
      </c>
      <c r="F10773" s="38" t="n">
        <f aca="false">Sens!$F$10761-Sens!$F$10772</f>
        <v>13.0132771613635</v>
      </c>
      <c r="G10773" s="38" t="n">
        <f aca="false">Sens!$G$10761-Sens!$G$10772</f>
        <v>23.0450381503318</v>
      </c>
      <c r="H10773" s="38" t="n">
        <f aca="false">Sens!$H$10761-Sens!$H$10772</f>
        <v>27.6667457326347</v>
      </c>
      <c r="I10773" s="38" t="n">
        <f aca="false">Sens!$I$10761-Sens!$I$10772</f>
        <v>32.2880346490971</v>
      </c>
      <c r="J10773" s="38" t="n">
        <f aca="false">Sens!$J$10761-Sens!$J$10772</f>
        <v>36.5990371690132</v>
      </c>
      <c r="K10773" s="38" t="n">
        <f aca="false">Sens!$K$10761-Sens!$K$10772</f>
        <v>40.2589408859145</v>
      </c>
      <c r="L10773" s="38" t="n">
        <f aca="false">Sens!$L$10761-Sens!$L$10772</f>
        <v>44.2848349745059</v>
      </c>
      <c r="M10773" s="38" t="n">
        <f aca="false">Sens!$M$10761-Sens!$M$10772</f>
        <v>48.7133184719565</v>
      </c>
      <c r="N10773" s="38" t="n">
        <f aca="false">Sens!$N$10761-Sens!$N$10772</f>
        <v>7.90628885875037</v>
      </c>
      <c r="O10773" s="38" t="n">
        <f aca="false">Sens!$O$10761-Sens!$O$10772</f>
        <v>11.0010536357202</v>
      </c>
    </row>
    <row r="10774" customFormat="false" ht="19.4" hidden="false" customHeight="false" outlineLevel="0" collapsed="false">
      <c r="A10774" s="31" t="s">
        <v>1356</v>
      </c>
    </row>
    <row r="10775" customFormat="false" ht="17.15" hidden="false" customHeight="false" outlineLevel="0" collapsed="false">
      <c r="A10775" s="6" t="s">
        <v>16</v>
      </c>
      <c r="B10775" s="6" t="s">
        <v>17</v>
      </c>
      <c r="C10775" s="20" t="s">
        <v>497</v>
      </c>
      <c r="D10775" s="20" t="s">
        <v>498</v>
      </c>
      <c r="E10775" s="20" t="s">
        <v>580</v>
      </c>
      <c r="F10775" s="20" t="s">
        <v>581</v>
      </c>
      <c r="G10775" s="20" t="s">
        <v>582</v>
      </c>
      <c r="H10775" s="20" t="s">
        <v>583</v>
      </c>
      <c r="I10775" s="20" t="s">
        <v>584</v>
      </c>
      <c r="J10775" s="20" t="s">
        <v>585</v>
      </c>
      <c r="K10775" s="20" t="s">
        <v>586</v>
      </c>
      <c r="L10775" s="20" t="s">
        <v>587</v>
      </c>
      <c r="M10775" s="20" t="s">
        <v>588</v>
      </c>
      <c r="N10775" s="20" t="s">
        <v>589</v>
      </c>
      <c r="O10775" s="20" t="s">
        <v>590</v>
      </c>
      <c r="P10775" s="6" t="s">
        <v>23</v>
      </c>
      <c r="R10775" s="20" t="n">
        <v>2023</v>
      </c>
      <c r="S10775" s="20" t="n">
        <v>2024</v>
      </c>
      <c r="T10775" s="20" t="n">
        <v>2025</v>
      </c>
      <c r="U10775" s="20" t="n">
        <v>2026</v>
      </c>
      <c r="V10775" s="20" t="n">
        <v>2027</v>
      </c>
      <c r="W10775" s="20" t="n">
        <v>2028</v>
      </c>
      <c r="X10775" s="20" t="n">
        <v>2029</v>
      </c>
      <c r="Y10775" s="20" t="n">
        <v>2030</v>
      </c>
      <c r="Z10775" s="20" t="n">
        <v>2031</v>
      </c>
      <c r="AA10775" s="20" t="n">
        <v>2032</v>
      </c>
    </row>
    <row r="10776" customFormat="false" ht="17.15" hidden="false" customHeight="false" outlineLevel="0" collapsed="false">
      <c r="A10776" s="1" t="s">
        <v>591</v>
      </c>
    </row>
    <row r="10777" customFormat="false" ht="17.15" hidden="false" customHeight="false" outlineLevel="0" collapsed="false">
      <c r="A10777" s="5" t="s">
        <v>592</v>
      </c>
      <c r="B10777" s="0" t="s">
        <v>144</v>
      </c>
      <c r="H10777" s="32" t="n">
        <f aca="false">pace_B</f>
        <v>3634.3</v>
      </c>
      <c r="I10777" s="32" t="n">
        <f aca="false">pace_B</f>
        <v>3634.3</v>
      </c>
      <c r="J10777" s="32" t="n">
        <f aca="false">pace_B</f>
        <v>3634.3</v>
      </c>
      <c r="K10777" s="32" t="n">
        <f aca="false">pace_B+(Sens!$J$10778*tg-pace_B)*1/3</f>
        <v>2570.86716666667</v>
      </c>
      <c r="L10777" s="32" t="n">
        <f aca="false">pace_B+(Sens!$J$10778*tg-pace_B)*2/3</f>
        <v>1507.43433333333</v>
      </c>
      <c r="M10777" s="32" t="n">
        <f aca="false">pace_B+(Sens!$J$10778*tg-pace_B)*3/3</f>
        <v>444.0015</v>
      </c>
      <c r="P10777" s="5" t="s">
        <v>593</v>
      </c>
    </row>
    <row r="10778" customFormat="false" ht="17.15" hidden="false" customHeight="false" outlineLevel="0" collapsed="false">
      <c r="A10778" s="15" t="s">
        <v>594</v>
      </c>
      <c r="B10778" s="14" t="s">
        <v>129</v>
      </c>
      <c r="C10778" s="33" t="n">
        <f aca="false">mw_ye24</f>
        <v>360</v>
      </c>
      <c r="D10778" s="33" t="n">
        <f aca="false">mw_ye25</f>
        <v>1440</v>
      </c>
      <c r="E10778" s="33" t="n">
        <f aca="false">mw_open</f>
        <v>2080</v>
      </c>
      <c r="F10778" s="33" t="n">
        <f aca="false">Sens!$E$10778+pace_B*0.5</f>
        <v>3897.15</v>
      </c>
      <c r="G10778" s="33" t="n">
        <f aca="false">Sens!$F$10778</f>
        <v>3897.15</v>
      </c>
      <c r="H10778" s="33" t="n">
        <f aca="false">Sens!$G$10778+Sens!$H$10777</f>
        <v>7531.45</v>
      </c>
      <c r="I10778" s="33" t="n">
        <f aca="false">Sens!$H$10778+Sens!$I$10777</f>
        <v>11165.75</v>
      </c>
      <c r="J10778" s="33" t="n">
        <f aca="false">Sens!$I$10778+Sens!$J$10777</f>
        <v>14800.05</v>
      </c>
      <c r="K10778" s="33" t="n">
        <f aca="false">Sens!$J$10778+Sens!$K$10777</f>
        <v>17370.9171666667</v>
      </c>
      <c r="L10778" s="33" t="n">
        <f aca="false">Sens!$K$10778+Sens!$L$10777</f>
        <v>18878.3515</v>
      </c>
      <c r="M10778" s="33" t="n">
        <f aca="false">Sens!$L$10778+Sens!$M$10777</f>
        <v>19322.353</v>
      </c>
      <c r="N10778" s="33" t="n">
        <f aca="false">(mw_ye24+mw_ye25)/2</f>
        <v>900</v>
      </c>
      <c r="O10778" s="33" t="n">
        <f aca="false">mw_ye25</f>
        <v>1440</v>
      </c>
      <c r="P10778" s="5" t="s">
        <v>595</v>
      </c>
    </row>
    <row r="10779" customFormat="false" ht="17.15" hidden="false" customHeight="false" outlineLevel="0" collapsed="false">
      <c r="A10779" s="5" t="s">
        <v>596</v>
      </c>
      <c r="B10779" s="0" t="s">
        <v>129</v>
      </c>
      <c r="C10779" s="32" t="n">
        <f aca="false">(mw_ye23+mw_ye24)/2</f>
        <v>240</v>
      </c>
      <c r="D10779" s="32" t="n">
        <f aca="false">(Sens!$C$10778+Sens!$D$10778)/2</f>
        <v>900</v>
      </c>
      <c r="E10779" s="32" t="n">
        <f aca="false">(Sens!$D$10778+Sens!$E$10778)/2</f>
        <v>1760</v>
      </c>
      <c r="F10779" s="32" t="n">
        <f aca="false">(Sens!$E$10778+Sens!$F$10778)/2</f>
        <v>2988.575</v>
      </c>
      <c r="G10779" s="32" t="n">
        <f aca="false">(Sens!$E$10779+Sens!$F$10779)/2</f>
        <v>2374.2875</v>
      </c>
      <c r="H10779" s="32" t="n">
        <f aca="false">(Sens!$G$10778+Sens!$H$10778)/2</f>
        <v>5714.3</v>
      </c>
      <c r="I10779" s="32" t="n">
        <f aca="false">(Sens!$H$10778+Sens!$I$10778)/2</f>
        <v>9348.6</v>
      </c>
      <c r="J10779" s="32" t="n">
        <f aca="false">(Sens!$I$10778+Sens!$J$10778)/2</f>
        <v>12982.9</v>
      </c>
      <c r="K10779" s="32" t="n">
        <f aca="false">(Sens!$J$10778+Sens!$K$10778)/2</f>
        <v>16085.4835833333</v>
      </c>
      <c r="L10779" s="32" t="n">
        <f aca="false">(Sens!$K$10778+Sens!$L$10778)/2</f>
        <v>18124.6343333333</v>
      </c>
      <c r="M10779" s="32" t="n">
        <f aca="false">(Sens!$L$10778+Sens!$M$10778)/2</f>
        <v>19100.35225</v>
      </c>
      <c r="N10779" s="32" t="n">
        <f aca="false">(Sens!$C$10778+Sens!$N$10778)/2</f>
        <v>630</v>
      </c>
      <c r="O10779" s="32" t="n">
        <f aca="false">(Sens!$N$10778+Sens!$O$10778)/2</f>
        <v>1170</v>
      </c>
    </row>
    <row r="10780" customFormat="false" ht="15" hidden="false" customHeight="false" outlineLevel="0" collapsed="false">
      <c r="A10780" s="5" t="s">
        <v>597</v>
      </c>
      <c r="B10780" s="5" t="s">
        <v>123</v>
      </c>
      <c r="C10780" s="34" t="n">
        <v>1</v>
      </c>
      <c r="D10780" s="34" t="n">
        <v>1</v>
      </c>
      <c r="E10780" s="34" t="n">
        <v>0.5</v>
      </c>
      <c r="F10780" s="34" t="n">
        <v>0.5</v>
      </c>
      <c r="G10780" s="34" t="n">
        <v>1</v>
      </c>
      <c r="H10780" s="34" t="n">
        <v>1</v>
      </c>
      <c r="I10780" s="34" t="n">
        <v>1</v>
      </c>
      <c r="J10780" s="34" t="n">
        <v>1</v>
      </c>
      <c r="K10780" s="34" t="n">
        <v>1</v>
      </c>
      <c r="L10780" s="34" t="n">
        <v>1</v>
      </c>
      <c r="M10780" s="34" t="n">
        <v>1</v>
      </c>
      <c r="N10780" s="34" t="n">
        <v>0.5</v>
      </c>
      <c r="O10780" s="34" t="n">
        <v>0.5</v>
      </c>
    </row>
    <row r="10781" customFormat="false" ht="17.15" hidden="false" customHeight="false" outlineLevel="0" collapsed="false">
      <c r="A10781" s="5" t="s">
        <v>598</v>
      </c>
      <c r="B10781" s="0" t="s">
        <v>129</v>
      </c>
      <c r="C10781" s="32" t="n">
        <f aca="false">Sens!$C$10778-mw_ye23</f>
        <v>240</v>
      </c>
      <c r="D10781" s="32" t="n">
        <f aca="false">Sens!$D$10778-Sens!$C$10778</f>
        <v>1080</v>
      </c>
      <c r="E10781" s="32" t="n">
        <f aca="false">Sens!$E$10778-Sens!$D$10778</f>
        <v>640</v>
      </c>
      <c r="F10781" s="32" t="n">
        <f aca="false">Sens!$F$10778-Sens!$E$10778</f>
        <v>1817.15</v>
      </c>
      <c r="G10781" s="32" t="n">
        <f aca="false">Sens!$E$10781+Sens!$F$10781</f>
        <v>2457.15</v>
      </c>
      <c r="H10781" s="32" t="n">
        <f aca="false">Sens!$H$10778-Sens!$G$10778</f>
        <v>3634.3</v>
      </c>
      <c r="I10781" s="32" t="n">
        <f aca="false">Sens!$I$10778-Sens!$H$10778</f>
        <v>3634.3</v>
      </c>
      <c r="J10781" s="32" t="n">
        <f aca="false">Sens!$J$10778-Sens!$I$10778</f>
        <v>3634.3</v>
      </c>
      <c r="K10781" s="32" t="n">
        <f aca="false">Sens!$K$10778-Sens!$J$10778</f>
        <v>2570.86716666667</v>
      </c>
      <c r="L10781" s="32" t="n">
        <f aca="false">Sens!$L$10778-Sens!$K$10778</f>
        <v>1507.43433333333</v>
      </c>
      <c r="M10781" s="32" t="n">
        <f aca="false">Sens!$M$10778-Sens!$L$10778</f>
        <v>444.001499999999</v>
      </c>
      <c r="N10781" s="32" t="n">
        <f aca="false">Sens!$N$10778-Sens!$C$10778</f>
        <v>540</v>
      </c>
      <c r="O10781" s="32" t="n">
        <f aca="false">Sens!$O$10778-Sens!$N$10778</f>
        <v>540</v>
      </c>
    </row>
    <row r="10782" customFormat="false" ht="17.15" hidden="false" customHeight="false" outlineLevel="0" collapsed="false">
      <c r="A10782" s="5" t="s">
        <v>599</v>
      </c>
      <c r="B10782" s="0" t="s">
        <v>129</v>
      </c>
      <c r="C10782" s="32" t="n">
        <f aca="false">Sens!$C$10781/ext_sh</f>
        <v>300</v>
      </c>
      <c r="D10782" s="32" t="n">
        <f aca="false">Sens!$D$10781/ext_sh</f>
        <v>1350</v>
      </c>
      <c r="E10782" s="32" t="n">
        <f aca="false">Sens!$E$10781/ext_sh</f>
        <v>800</v>
      </c>
      <c r="F10782" s="32" t="n">
        <f aca="false">Sens!$F$10781/ext_sh</f>
        <v>2271.4375</v>
      </c>
      <c r="G10782" s="32" t="n">
        <f aca="false">Sens!$G$10781/ext_sh</f>
        <v>3071.4375</v>
      </c>
      <c r="H10782" s="32" t="n">
        <f aca="false">Sens!$H$10781/ext_sh</f>
        <v>4542.875</v>
      </c>
      <c r="I10782" s="32" t="n">
        <f aca="false">Sens!$I$10781/ext_sh</f>
        <v>4542.875</v>
      </c>
      <c r="J10782" s="32" t="n">
        <f aca="false">Sens!$J$10781/ext_sh</f>
        <v>4542.875</v>
      </c>
      <c r="K10782" s="32" t="n">
        <f aca="false">Sens!$K$10781/ext_sh</f>
        <v>3213.58395833333</v>
      </c>
      <c r="L10782" s="32" t="n">
        <f aca="false">Sens!$L$10781/ext_sh</f>
        <v>1884.29291666667</v>
      </c>
      <c r="M10782" s="32" t="n">
        <f aca="false">Sens!$M$10781/ext_sh</f>
        <v>555.001874999998</v>
      </c>
      <c r="N10782" s="32" t="n">
        <f aca="false">Sens!$N$10781/ext_sh</f>
        <v>675</v>
      </c>
      <c r="O10782" s="32" t="n">
        <f aca="false">Sens!$O$10781/ext_sh</f>
        <v>675</v>
      </c>
      <c r="P10782" s="8" t="s">
        <v>600</v>
      </c>
      <c r="R10782" s="32" t="n">
        <f aca="false">mw_ye23/ext_sh</f>
        <v>150</v>
      </c>
      <c r="S10782" s="32" t="n">
        <f aca="false">Sens!$C$10782</f>
        <v>300</v>
      </c>
      <c r="T10782" s="32" t="n">
        <f aca="false">Sens!$D$10782</f>
        <v>1350</v>
      </c>
      <c r="U10782" s="32" t="n">
        <f aca="false">Sens!$G$10782</f>
        <v>3071.4375</v>
      </c>
      <c r="V10782" s="32" t="n">
        <f aca="false">Sens!$H$10782</f>
        <v>4542.875</v>
      </c>
      <c r="W10782" s="32" t="n">
        <f aca="false">Sens!$I$10782</f>
        <v>4542.875</v>
      </c>
      <c r="X10782" s="32" t="n">
        <f aca="false">Sens!$J$10782</f>
        <v>4542.875</v>
      </c>
      <c r="Y10782" s="32" t="n">
        <f aca="false">Sens!$K$10782</f>
        <v>3213.58395833333</v>
      </c>
      <c r="Z10782" s="32" t="n">
        <f aca="false">Sens!$L$10782</f>
        <v>1884.29291666667</v>
      </c>
      <c r="AA10782" s="32" t="n">
        <f aca="false">Sens!$M$10782</f>
        <v>555.001874999998</v>
      </c>
    </row>
    <row r="10783" customFormat="false" ht="17.15" hidden="false" customHeight="false" outlineLevel="0" collapsed="false">
      <c r="A10783" s="1" t="s">
        <v>601</v>
      </c>
    </row>
    <row r="10784" customFormat="false" ht="17.15" hidden="false" customHeight="false" outlineLevel="0" collapsed="false">
      <c r="A10784" s="0" t="s">
        <v>602</v>
      </c>
      <c r="B10784" s="0" t="s">
        <v>52</v>
      </c>
      <c r="F10784" s="35" t="n">
        <f aca="false">na_vr26</f>
        <v>0</v>
      </c>
      <c r="G10784" s="35" t="n">
        <f aca="false">na_vr26</f>
        <v>0</v>
      </c>
      <c r="H10784" s="35" t="n">
        <f aca="false">na_vr27</f>
        <v>0.5</v>
      </c>
      <c r="I10784" s="35" t="n">
        <f aca="false">na_vr28</f>
        <v>1</v>
      </c>
      <c r="J10784" s="35" t="n">
        <f aca="false">na_vr28</f>
        <v>1</v>
      </c>
      <c r="K10784" s="35" t="n">
        <f aca="false">na_vr28</f>
        <v>1</v>
      </c>
      <c r="L10784" s="35" t="n">
        <f aca="false">na_vr28</f>
        <v>1</v>
      </c>
      <c r="M10784" s="35" t="n">
        <f aca="false">na_vr28</f>
        <v>1</v>
      </c>
    </row>
    <row r="10785" customFormat="false" ht="17.15" hidden="false" customHeight="false" outlineLevel="0" collapsed="false">
      <c r="A10785" s="5" t="s">
        <v>603</v>
      </c>
      <c r="B10785" s="0" t="s">
        <v>173</v>
      </c>
      <c r="F10785" s="36" t="n">
        <f aca="false">cust_sh*tk_he_gb300*cf_chip+(1-cust_sh)*((1-Sens!$F$10784)*tk_he_gb300+Sens!$F$10784*tk_he_vr200)</f>
        <v>10.8864110021101</v>
      </c>
      <c r="G10785" s="36" t="n">
        <f aca="false">cust_sh*tk_he_gb300*cf_chip+(1-cust_sh)*((1-Sens!$G$10784)*tk_he_gb300+Sens!$G$10784*tk_he_vr200)</f>
        <v>10.8864110021101</v>
      </c>
      <c r="H10785" s="36" t="n">
        <f aca="false">cust_sh*tk_he_gb300*cf_chip+(1-cust_sh)*((1-Sens!$H$10784)*tk_he_gb300+Sens!$H$10784*tk_he_vr200)</f>
        <v>11.2211760027286</v>
      </c>
      <c r="I10785" s="36" t="n">
        <f aca="false">cust_sh*tk_he_gb300*cf_chip+(1-cust_sh)*((1-Sens!$I$10784)*tk_he_gb300+Sens!$I$10784*tk_he_vr200)</f>
        <v>11.5559410033471</v>
      </c>
      <c r="J10785" s="36" t="n">
        <f aca="false">cust_sh*tk_he_gb300*cf_chip+(1-cust_sh)*((1-Sens!$J$10784)*tk_he_gb300+Sens!$J$10784*tk_he_vr200)</f>
        <v>11.5559410033471</v>
      </c>
      <c r="K10785" s="36" t="n">
        <f aca="false">cust_sh*tk_he_gb300*cf_chip+(1-cust_sh)*((1-Sens!$K$10784)*tk_he_gb300+Sens!$K$10784*tk_he_vr200)</f>
        <v>11.5559410033471</v>
      </c>
      <c r="L10785" s="36" t="n">
        <f aca="false">cust_sh*tk_he_gb300*cf_chip+(1-cust_sh)*((1-Sens!$L$10784)*tk_he_gb300+Sens!$L$10784*tk_he_vr200)</f>
        <v>11.5559410033471</v>
      </c>
      <c r="M10785" s="36" t="n">
        <f aca="false">cust_sh*tk_he_gb300*cf_chip+(1-cust_sh)*((1-Sens!$M$10784)*tk_he_gb300+Sens!$M$10784*tk_he_vr200)</f>
        <v>11.5559410033471</v>
      </c>
    </row>
    <row r="10786" customFormat="false" ht="17.15" hidden="false" customHeight="false" outlineLevel="0" collapsed="false">
      <c r="A10786" s="5" t="s">
        <v>604</v>
      </c>
      <c r="B10786" s="0" t="s">
        <v>173</v>
      </c>
      <c r="F10786" s="36" t="n">
        <f aca="false">cust_sh*tk_ox_gb300+(1-cust_sh)*((1-Sens!$F$10784)*tk_ox_gb300+Sens!$F$10784*tk_ox_vr200)</f>
        <v>1.98263481314457</v>
      </c>
      <c r="G10786" s="36" t="n">
        <f aca="false">cust_sh*tk_ox_gb300+(1-cust_sh)*((1-Sens!$G$10784)*tk_ox_gb300+Sens!$G$10784*tk_ox_vr200)</f>
        <v>1.98263481314457</v>
      </c>
      <c r="H10786" s="36" t="n">
        <f aca="false">cust_sh*tk_ox_gb300+(1-cust_sh)*((1-Sens!$H$10784)*tk_ox_gb300+Sens!$H$10784*tk_ox_vr200)</f>
        <v>2.01034999693694</v>
      </c>
      <c r="I10786" s="36" t="n">
        <f aca="false">cust_sh*tk_ox_gb300+(1-cust_sh)*((1-Sens!$I$10784)*tk_ox_gb300+Sens!$I$10784*tk_ox_vr200)</f>
        <v>2.0380651807293</v>
      </c>
      <c r="J10786" s="36" t="n">
        <f aca="false">cust_sh*tk_ox_gb300+(1-cust_sh)*((1-Sens!$J$10784)*tk_ox_gb300+Sens!$J$10784*tk_ox_vr200)</f>
        <v>2.0380651807293</v>
      </c>
      <c r="K10786" s="36" t="n">
        <f aca="false">cust_sh*tk_ox_gb300+(1-cust_sh)*((1-Sens!$K$10784)*tk_ox_gb300+Sens!$K$10784*tk_ox_vr200)</f>
        <v>2.0380651807293</v>
      </c>
      <c r="L10786" s="36" t="n">
        <f aca="false">cust_sh*tk_ox_gb300+(1-cust_sh)*((1-Sens!$L$10784)*tk_ox_gb300+Sens!$L$10784*tk_ox_vr200)</f>
        <v>2.0380651807293</v>
      </c>
      <c r="M10786" s="36" t="n">
        <f aca="false">cust_sh*tk_ox_gb300+(1-cust_sh)*((1-Sens!$M$10784)*tk_ox_gb300+Sens!$M$10784*tk_ox_vr200)</f>
        <v>2.0380651807293</v>
      </c>
    </row>
    <row r="10787" customFormat="false" ht="17.15" hidden="false" customHeight="false" outlineLevel="0" collapsed="false">
      <c r="A10787" s="5" t="s">
        <v>605</v>
      </c>
      <c r="B10787" s="0" t="s">
        <v>192</v>
      </c>
      <c r="F10787" s="36" t="n">
        <f aca="false">cust_sh*tk_cx_gb300*cf_cx+(1-cust_sh)*((1-Sens!$F$10784)*tk_cx_gb300+Sens!$F$10784*tk_cx_vr200)</f>
        <v>32.237224</v>
      </c>
      <c r="G10787" s="36" t="n">
        <f aca="false">cust_sh*tk_cx_gb300*cf_cx+(1-cust_sh)*((1-Sens!$G$10784)*tk_cx_gb300+Sens!$G$10784*tk_cx_vr200)</f>
        <v>32.237224</v>
      </c>
      <c r="H10787" s="36" t="n">
        <f aca="false">cust_sh*tk_cx_gb300*cf_cx+(1-cust_sh)*((1-Sens!$H$10784)*tk_cx_gb300+Sens!$H$10784*tk_cx_vr200)</f>
        <v>33.574506</v>
      </c>
      <c r="I10787" s="36" t="n">
        <f aca="false">cust_sh*tk_cx_gb300*cf_cx+(1-cust_sh)*((1-Sens!$I$10784)*tk_cx_gb300+Sens!$I$10784*tk_cx_vr200)</f>
        <v>34.911788</v>
      </c>
      <c r="J10787" s="36" t="n">
        <f aca="false">cust_sh*tk_cx_gb300*cf_cx+(1-cust_sh)*((1-Sens!$J$10784)*tk_cx_gb300+Sens!$J$10784*tk_cx_vr200)</f>
        <v>34.911788</v>
      </c>
      <c r="K10787" s="36" t="n">
        <f aca="false">cust_sh*tk_cx_gb300*cf_cx+(1-cust_sh)*((1-Sens!$K$10784)*tk_cx_gb300+Sens!$K$10784*tk_cx_vr200)</f>
        <v>34.911788</v>
      </c>
      <c r="L10787" s="36" t="n">
        <f aca="false">cust_sh*tk_cx_gb300*cf_cx+(1-cust_sh)*((1-Sens!$L$10784)*tk_cx_gb300+Sens!$L$10784*tk_cx_vr200)</f>
        <v>34.911788</v>
      </c>
      <c r="M10787" s="36" t="n">
        <f aca="false">cust_sh*tk_cx_gb300*cf_cx+(1-cust_sh)*((1-Sens!$M$10784)*tk_cx_gb300+Sens!$M$10784*tk_cx_vr200)</f>
        <v>34.911788</v>
      </c>
    </row>
    <row r="10788" customFormat="false" ht="17.15" hidden="false" customHeight="false" outlineLevel="0" collapsed="false">
      <c r="A10788" s="5" t="s">
        <v>606</v>
      </c>
      <c r="B10788" s="0" t="s">
        <v>129</v>
      </c>
      <c r="F10788" s="32" t="n">
        <f aca="false">Sens!$F$10778-mw_open</f>
        <v>1817.15</v>
      </c>
      <c r="G10788" s="32" t="n">
        <f aca="false">Sens!$F$10788</f>
        <v>1817.15</v>
      </c>
      <c r="H10788" s="32" t="n">
        <f aca="false">Sens!$H$10778-mw_open</f>
        <v>5451.45</v>
      </c>
      <c r="I10788" s="32" t="n">
        <f aca="false">Sens!$I$10778-mw_open</f>
        <v>9085.75</v>
      </c>
      <c r="J10788" s="32" t="n">
        <f aca="false">Sens!$J$10778-mw_open</f>
        <v>12720.05</v>
      </c>
      <c r="K10788" s="32" t="n">
        <f aca="false">Sens!$K$10778-mw_open</f>
        <v>15290.9171666667</v>
      </c>
      <c r="L10788" s="32" t="n">
        <f aca="false">Sens!$L$10778-mw_open</f>
        <v>16798.3515</v>
      </c>
      <c r="M10788" s="32" t="n">
        <f aca="false">Sens!$M$10778-mw_open</f>
        <v>17242.353</v>
      </c>
    </row>
    <row r="10789" customFormat="false" ht="17.15" hidden="false" customHeight="false" outlineLevel="0" collapsed="false">
      <c r="A10789" s="0" t="s">
        <v>607</v>
      </c>
      <c r="B10789" s="0" t="s">
        <v>608</v>
      </c>
      <c r="F10789" s="32" t="n">
        <f aca="false">Sens!$F$10781*Sens!$F$10785</f>
        <v>19782.2417524844</v>
      </c>
      <c r="G10789" s="32" t="n">
        <f aca="false">Sens!$F$10789</f>
        <v>19782.2417524844</v>
      </c>
      <c r="H10789" s="32" t="n">
        <f aca="false">Sens!$G$10789+Sens!$H$10781*Sens!$H$10785</f>
        <v>60563.3616992009</v>
      </c>
      <c r="I10789" s="32" t="n">
        <f aca="false">Sens!$H$10789+Sens!$I$10781*Sens!$I$10785</f>
        <v>102561.118087665</v>
      </c>
      <c r="J10789" s="32" t="n">
        <f aca="false">Sens!$I$10789+Sens!$J$10781*Sens!$J$10785</f>
        <v>144558.87447613</v>
      </c>
      <c r="K10789" s="32" t="n">
        <f aca="false">Sens!$J$10789+Sens!$K$10781*Sens!$K$10785</f>
        <v>174267.663781572</v>
      </c>
      <c r="L10789" s="32" t="n">
        <f aca="false">Sens!$K$10789+Sens!$L$10781*Sens!$L$10785</f>
        <v>191687.486003992</v>
      </c>
      <c r="M10789" s="32" t="n">
        <f aca="false">Sens!$L$10789+Sens!$M$10781*Sens!$M$10785</f>
        <v>196818.341143389</v>
      </c>
    </row>
    <row r="10790" customFormat="false" ht="17.15" hidden="false" customHeight="false" outlineLevel="0" collapsed="false">
      <c r="A10790" s="0" t="s">
        <v>609</v>
      </c>
      <c r="B10790" s="0" t="s">
        <v>608</v>
      </c>
      <c r="F10790" s="32" t="n">
        <f aca="false">Sens!$F$10781*Sens!$F$10786</f>
        <v>3602.74485070566</v>
      </c>
      <c r="G10790" s="32" t="n">
        <f aca="false">Sens!$F$10790</f>
        <v>3602.74485070566</v>
      </c>
      <c r="H10790" s="32" t="n">
        <f aca="false">Sens!$G$10790+Sens!$H$10781*Sens!$H$10786</f>
        <v>10908.9598445736</v>
      </c>
      <c r="I10790" s="32" t="n">
        <f aca="false">Sens!$H$10790+Sens!$I$10781*Sens!$I$10786</f>
        <v>18315.9001308981</v>
      </c>
      <c r="J10790" s="32" t="n">
        <f aca="false">Sens!$I$10790+Sens!$J$10781*Sens!$J$10786</f>
        <v>25722.8404172225</v>
      </c>
      <c r="K10790" s="32" t="n">
        <f aca="false">Sens!$J$10790+Sens!$K$10781*Sens!$K$10786</f>
        <v>30962.4352738861</v>
      </c>
      <c r="L10790" s="32" t="n">
        <f aca="false">Sens!$K$10790+Sens!$L$10781*Sens!$L$10786</f>
        <v>34034.6847008886</v>
      </c>
      <c r="M10790" s="32" t="n">
        <f aca="false">Sens!$L$10790+Sens!$M$10781*Sens!$M$10786</f>
        <v>34939.5886982302</v>
      </c>
    </row>
    <row r="10791" customFormat="false" ht="17.15" hidden="false" customHeight="false" outlineLevel="0" collapsed="false">
      <c r="A10791" s="5" t="s">
        <v>610</v>
      </c>
      <c r="B10791" s="0" t="s">
        <v>173</v>
      </c>
      <c r="F10791" s="36" t="n">
        <f aca="false">IF(Sens!$F$10788&gt;0,Sens!$F$10789/Sens!$F$10788,Sens!$F$10785)</f>
        <v>10.8864110021101</v>
      </c>
      <c r="G10791" s="36" t="n">
        <f aca="false">IF(Sens!$G$10788&gt;0,Sens!$G$10789/Sens!$G$10788,Sens!$G$10785)</f>
        <v>10.8864110021101</v>
      </c>
      <c r="H10791" s="36" t="n">
        <f aca="false">IF(Sens!$H$10788&gt;0,Sens!$H$10789/Sens!$H$10788,Sens!$H$10785)</f>
        <v>11.1095876691891</v>
      </c>
      <c r="I10791" s="36" t="n">
        <f aca="false">IF(Sens!$I$10788&gt;0,Sens!$I$10789/Sens!$I$10788,Sens!$I$10785)</f>
        <v>11.2881290028523</v>
      </c>
      <c r="J10791" s="36" t="n">
        <f aca="false">IF(Sens!$J$10788&gt;0,Sens!$J$10789/Sens!$J$10788,Sens!$J$10785)</f>
        <v>11.3646467172794</v>
      </c>
      <c r="K10791" s="36" t="n">
        <f aca="false">IF(Sens!$K$10788&gt;0,Sens!$K$10789/Sens!$K$10788,Sens!$K$10785)</f>
        <v>11.3968090914432</v>
      </c>
      <c r="L10791" s="36" t="n">
        <f aca="false">IF(Sens!$L$10788&gt;0,Sens!$L$10789/Sens!$L$10788,Sens!$L$10785)</f>
        <v>11.4110891181192</v>
      </c>
      <c r="M10791" s="36" t="n">
        <f aca="false">IF(Sens!$M$10788&gt;0,Sens!$M$10789/Sens!$M$10788,Sens!$M$10785)</f>
        <v>11.4148191458201</v>
      </c>
    </row>
    <row r="10792" customFormat="false" ht="17.15" hidden="false" customHeight="false" outlineLevel="0" collapsed="false">
      <c r="A10792" s="5" t="s">
        <v>611</v>
      </c>
      <c r="B10792" s="0" t="s">
        <v>173</v>
      </c>
      <c r="F10792" s="36" t="n">
        <f aca="false">IF(Sens!$F$10788&gt;0,Sens!$F$10790/Sens!$F$10788,Sens!$F$10786)</f>
        <v>1.98263481314457</v>
      </c>
      <c r="G10792" s="36" t="n">
        <f aca="false">IF(Sens!$G$10788&gt;0,Sens!$G$10790/Sens!$G$10788,Sens!$G$10786)</f>
        <v>1.98263481314457</v>
      </c>
      <c r="H10792" s="36" t="n">
        <f aca="false">IF(Sens!$H$10788&gt;0,Sens!$H$10790/Sens!$H$10788,Sens!$H$10786)</f>
        <v>2.00111160233948</v>
      </c>
      <c r="I10792" s="36" t="n">
        <f aca="false">IF(Sens!$I$10788&gt;0,Sens!$I$10790/Sens!$I$10788,Sens!$I$10786)</f>
        <v>2.01589303369541</v>
      </c>
      <c r="J10792" s="36" t="n">
        <f aca="false">IF(Sens!$J$10788&gt;0,Sens!$J$10790/Sens!$J$10788,Sens!$J$10786)</f>
        <v>2.02222793284795</v>
      </c>
      <c r="K10792" s="36" t="n">
        <f aca="false">IF(Sens!$K$10788&gt;0,Sens!$K$10790/Sens!$K$10788,Sens!$K$10786)</f>
        <v>2.02489065478573</v>
      </c>
      <c r="L10792" s="36" t="n">
        <f aca="false">IF(Sens!$L$10788&gt;0,Sens!$L$10790/Sens!$L$10788,Sens!$L$10786)</f>
        <v>2.0260728977417</v>
      </c>
      <c r="M10792" s="36" t="n">
        <f aca="false">IF(Sens!$M$10788&gt;0,Sens!$M$10790/Sens!$M$10788,Sens!$M$10786)</f>
        <v>2.02638170661685</v>
      </c>
    </row>
    <row r="10793" customFormat="false" ht="17.15" hidden="false" customHeight="false" outlineLevel="0" collapsed="false">
      <c r="A10793" s="15" t="s">
        <v>612</v>
      </c>
      <c r="B10793" s="14" t="s">
        <v>173</v>
      </c>
      <c r="C10793" s="14"/>
      <c r="D10793" s="14"/>
      <c r="E10793" s="14"/>
      <c r="F10793" s="37" t="n">
        <f aca="false">Sens!$F$10791*k_B</f>
        <v>10.7987645808025</v>
      </c>
      <c r="G10793" s="37" t="n">
        <f aca="false">Sens!$G$10791*k_B</f>
        <v>10.7987645808025</v>
      </c>
      <c r="H10793" s="37" t="n">
        <f aca="false">Sens!$H$10791*k_B</f>
        <v>11.0201444540452</v>
      </c>
      <c r="I10793" s="37" t="n">
        <f aca="false">Sens!$I$10791*k_B</f>
        <v>11.1972483526393</v>
      </c>
      <c r="J10793" s="37" t="n">
        <f aca="false">Sens!$J$10791*k_B</f>
        <v>11.2731500234653</v>
      </c>
      <c r="K10793" s="37" t="n">
        <f aca="false">Sens!$K$10791*k_B</f>
        <v>11.3050534585724</v>
      </c>
      <c r="L10793" s="37" t="n">
        <f aca="false">Sens!$L$10791*k_B</f>
        <v>11.3192185168503</v>
      </c>
      <c r="M10793" s="37" t="n">
        <f aca="false">Sens!$M$10791*k_B</f>
        <v>11.3229185141234</v>
      </c>
      <c r="N10793" s="14"/>
      <c r="O10793" s="14"/>
      <c r="P10793" s="5" t="s">
        <v>613</v>
      </c>
    </row>
    <row r="10794" customFormat="false" ht="17.15" hidden="false" customHeight="false" outlineLevel="0" collapsed="false">
      <c r="A10794" s="5" t="s">
        <v>614</v>
      </c>
      <c r="B10794" s="0" t="s">
        <v>129</v>
      </c>
      <c r="F10794" s="32" t="n">
        <f aca="false">Sens!$F$10788/2</f>
        <v>908.575</v>
      </c>
      <c r="H10794" s="32" t="n">
        <f aca="false">(Sens!$G$10788+Sens!$H$10788)/2</f>
        <v>3634.3</v>
      </c>
      <c r="I10794" s="32" t="n">
        <f aca="false">(Sens!$H$10788+Sens!$I$10788)/2</f>
        <v>7268.6</v>
      </c>
      <c r="J10794" s="32" t="n">
        <f aca="false">(Sens!$I$10788+Sens!$J$10788)/2</f>
        <v>10902.9</v>
      </c>
      <c r="K10794" s="32" t="n">
        <f aca="false">(Sens!$J$10788+Sens!$K$10788)/2</f>
        <v>14005.4835833333</v>
      </c>
      <c r="L10794" s="32" t="n">
        <f aca="false">(Sens!$K$10788+Sens!$L$10788)/2</f>
        <v>16044.6343333333</v>
      </c>
      <c r="M10794" s="32" t="n">
        <f aca="false">(Sens!$L$10788+Sens!$M$10788)/2</f>
        <v>17020.35225</v>
      </c>
    </row>
    <row r="10795" customFormat="false" ht="17.15" hidden="false" customHeight="false" outlineLevel="0" collapsed="false">
      <c r="A10795" s="1" t="s">
        <v>615</v>
      </c>
    </row>
    <row r="10796" customFormat="false" ht="17.15" hidden="false" customHeight="false" outlineLevel="0" collapsed="false">
      <c r="A10796" s="1" t="s">
        <v>616</v>
      </c>
      <c r="B10796" s="8" t="s">
        <v>86</v>
      </c>
      <c r="C10796" s="38" t="n">
        <f aca="false">Sens!$C$10779*rpm_open*Sens!$C$10780/1000</f>
        <v>2.32100535697364</v>
      </c>
      <c r="D10796" s="38" t="n">
        <f aca="false">Sens!$D$10779*rpm_open*Sens!$D$10780/1000</f>
        <v>8.70377008865116</v>
      </c>
      <c r="E10796" s="38" t="n">
        <f aca="false">Sens!$E$10779*rpm_open*Sens!$E$10780/1000</f>
        <v>8.51035297557002</v>
      </c>
      <c r="F10796" s="38" t="n">
        <f aca="false">(mw_open*rpm_open+Sens!$F$10794*Sens!$F$10793)*Sens!$F$10780/1000</f>
        <v>14.9634336447205</v>
      </c>
      <c r="G10796" s="38" t="n">
        <f aca="false">Sens!$E$10796+Sens!$F$10796</f>
        <v>23.4737866202905</v>
      </c>
      <c r="H10796" s="38" t="n">
        <f aca="false">(mw_open*rpm_open+Sens!$H$10794*Sens!$H$10793)/1000</f>
        <v>60.1658907497746</v>
      </c>
      <c r="I10796" s="38" t="n">
        <f aca="false">(mw_open*rpm_open+Sens!$I$10794*Sens!$I$10793)/1000</f>
        <v>101.503699136432</v>
      </c>
      <c r="J10796" s="38" t="n">
        <f aca="false">(mw_open*rpm_open+Sens!$J$10794*Sens!$J$10793)/1000</f>
        <v>143.025407151278</v>
      </c>
      <c r="K10796" s="38" t="n">
        <f aca="false">(mw_open*rpm_open+Sens!$K$10794*Sens!$K$10793)/1000</f>
        <v>178.44812038318</v>
      </c>
      <c r="L10796" s="38" t="n">
        <f aca="false">(mw_open*rpm_open+Sens!$L$10794*Sens!$L$10793)/1000</f>
        <v>201.728101802396</v>
      </c>
      <c r="M10796" s="38" t="n">
        <f aca="false">(mw_open*rpm_open+Sens!$M$10794*Sens!$M$10793)/1000</f>
        <v>212.835441368865</v>
      </c>
      <c r="N10796" s="38" t="n">
        <f aca="false">Sens!$N$10779*rpm_open*Sens!$N$10780/1000</f>
        <v>3.04631953102791</v>
      </c>
      <c r="O10796" s="38" t="n">
        <f aca="false">Sens!$O$10779*rpm_open*Sens!$O$10780/1000</f>
        <v>5.65745055762326</v>
      </c>
      <c r="P10796" s="5" t="s">
        <v>617</v>
      </c>
    </row>
    <row r="10797" customFormat="false" ht="17.15" hidden="false" customHeight="false" outlineLevel="0" collapsed="false">
      <c r="A10797" s="5" t="s">
        <v>618</v>
      </c>
      <c r="B10797" s="0" t="s">
        <v>173</v>
      </c>
      <c r="C10797" s="36" t="n">
        <f aca="false">Sens!$C$10796*1000/(Sens!$C$10779*Sens!$C$10780)</f>
        <v>9.67085565405685</v>
      </c>
      <c r="D10797" s="36" t="n">
        <f aca="false">Sens!$D$10796*1000/(Sens!$D$10779*Sens!$D$10780)</f>
        <v>9.67085565405685</v>
      </c>
      <c r="E10797" s="36" t="n">
        <f aca="false">Sens!$E$10796*1000/(Sens!$E$10779*Sens!$E$10780)</f>
        <v>9.67085565405685</v>
      </c>
      <c r="F10797" s="36" t="n">
        <f aca="false">Sens!$F$10796*1000/(Sens!$F$10779*Sens!$F$10780)</f>
        <v>10.0137581588017</v>
      </c>
      <c r="G10797" s="36" t="n">
        <f aca="false">Sens!$G$10796*1000/(Sens!$G$10779*Sens!$G$10780)</f>
        <v>9.88666562928478</v>
      </c>
      <c r="H10797" s="36" t="n">
        <f aca="false">Sens!$H$10796*1000/(Sens!$H$10779*Sens!$H$10780)</f>
        <v>10.5290045586992</v>
      </c>
      <c r="I10797" s="36" t="n">
        <f aca="false">Sens!$I$10796*1000/(Sens!$I$10779*Sens!$I$10780)</f>
        <v>10.8576363451674</v>
      </c>
      <c r="J10797" s="36" t="n">
        <f aca="false">Sens!$J$10796*1000/(Sens!$J$10779*Sens!$J$10780)</f>
        <v>11.0164452588619</v>
      </c>
      <c r="K10797" s="36" t="n">
        <f aca="false">Sens!$K$10796*1000/(Sens!$K$10779*Sens!$K$10780)</f>
        <v>11.0937367508227</v>
      </c>
      <c r="L10797" s="36" t="n">
        <f aca="false">Sens!$L$10796*1000/(Sens!$L$10779*Sens!$L$10780)</f>
        <v>11.1300508519168</v>
      </c>
      <c r="M10797" s="36" t="n">
        <f aca="false">Sens!$M$10796*1000/(Sens!$M$10779*Sens!$M$10780)</f>
        <v>11.1430113216297</v>
      </c>
      <c r="N10797" s="36" t="n">
        <f aca="false">Sens!$N$10796*1000/(Sens!$N$10779*Sens!$N$10780)</f>
        <v>9.67085565405685</v>
      </c>
      <c r="O10797" s="36" t="n">
        <f aca="false">Sens!$O$10796*1000/(Sens!$O$10779*Sens!$O$10780)</f>
        <v>9.67085565405685</v>
      </c>
    </row>
    <row r="10798" customFormat="false" ht="17.15" hidden="false" customHeight="false" outlineLevel="0" collapsed="false">
      <c r="A10798" s="0" t="s">
        <v>619</v>
      </c>
      <c r="B10798" s="0" t="s">
        <v>86</v>
      </c>
      <c r="C10798" s="38" t="n">
        <f aca="false">Sens!$C$10779/ext_sh*(ox_open+rent_mw)*Sens!$C$10780/1000</f>
        <v>0.642569210675032</v>
      </c>
      <c r="D10798" s="38" t="n">
        <f aca="false">Sens!$D$10779/ext_sh*(ox_open+rent_mw)*Sens!$D$10780/1000</f>
        <v>2.40963454003137</v>
      </c>
      <c r="E10798" s="38" t="n">
        <f aca="false">Sens!$E$10779/ext_sh*(ox_open+rent_mw)*Sens!$E$10780/1000</f>
        <v>2.35608710580845</v>
      </c>
      <c r="F10798" s="38" t="n">
        <f aca="false">((mw_open*ox_open+Sens!$F$10794*Sens!$F$10792)/ext_sh+Sens!$F$10779/ext_sh*rent_mw)*Sens!$F$10780/1000</f>
        <v>4.05421991106232</v>
      </c>
      <c r="G10798" s="38" t="n">
        <f aca="false">Sens!$E$10798+Sens!$F$10798</f>
        <v>6.41030701687077</v>
      </c>
      <c r="H10798" s="38" t="n">
        <f aca="false">((mw_open*ox_open+Sens!$H$10794*Sens!$H$10792)/ext_sh+Sens!$H$10779/ext_sh*rent_mw)*Sens!$H$10780/1000</f>
        <v>15.8108975546616</v>
      </c>
      <c r="I10798" s="38" t="n">
        <f aca="false">((mw_open*ox_open+Sens!$I$10794*Sens!$I$10792)/ext_sh+Sens!$I$10779/ext_sh*rent_mw)*Sens!$I$10780/1000</f>
        <v>26.1871623400817</v>
      </c>
      <c r="J10798" s="38" t="n">
        <f aca="false">((mw_open*ox_open+Sens!$J$10794*Sens!$J$10792)/ext_sh+Sens!$J$10779/ext_sh*rent_mw)*Sens!$J$10780/1000</f>
        <v>36.5826128954935</v>
      </c>
      <c r="K10798" s="38" t="n">
        <f aca="false">((mw_open*ox_open+Sens!$K$10794*Sens!$K$10792)/ext_sh+Sens!$K$10779/ext_sh*rent_mw)*Sens!$K$10780/1000</f>
        <v>45.4546361137628</v>
      </c>
      <c r="L10798" s="38" t="n">
        <f aca="false">((mw_open*ox_open+Sens!$L$10794*Sens!$L$10792)/ext_sh+Sens!$L$10779/ext_sh*rent_mw)*Sens!$L$10780/1000</f>
        <v>51.2855695554452</v>
      </c>
      <c r="M10798" s="38" t="n">
        <f aca="false">((mw_open*ox_open+Sens!$M$10794*Sens!$M$10792)/ext_sh+Sens!$M$10779/ext_sh*rent_mw)*Sens!$M$10780/1000</f>
        <v>54.0722927838398</v>
      </c>
      <c r="N10798" s="38" t="n">
        <f aca="false">Sens!$N$10779/ext_sh*(ox_open+rent_mw)*Sens!$N$10780/1000</f>
        <v>0.84337208901098</v>
      </c>
      <c r="O10798" s="38" t="n">
        <f aca="false">Sens!$O$10779/ext_sh*(ox_open+rent_mw)*Sens!$O$10780/1000</f>
        <v>1.56626245102039</v>
      </c>
    </row>
    <row r="10799" customFormat="false" ht="17.15" hidden="false" customHeight="false" outlineLevel="0" collapsed="false">
      <c r="A10799" s="0" t="s">
        <v>620</v>
      </c>
      <c r="B10799" s="0" t="s">
        <v>86</v>
      </c>
      <c r="C10799" s="38" t="n">
        <f aca="false">Q!$D$7</f>
        <v>107.556</v>
      </c>
      <c r="D10799" s="38" t="n">
        <f aca="false">Q!$E$7</f>
        <v>128.725</v>
      </c>
      <c r="E10799" s="38" t="n">
        <f aca="false">Q!$P$7</f>
        <v>79.819</v>
      </c>
      <c r="N10799" s="38" t="n">
        <f aca="false">Q!$N$7</f>
        <v>60.14</v>
      </c>
      <c r="O10799" s="38" t="n">
        <f aca="false">Q!$O$7</f>
        <v>68.585</v>
      </c>
    </row>
    <row r="10800" customFormat="false" ht="17.15" hidden="false" customHeight="false" outlineLevel="0" collapsed="false">
      <c r="A10800" s="1" t="s">
        <v>621</v>
      </c>
      <c r="B10800" s="8" t="s">
        <v>86</v>
      </c>
      <c r="C10800" s="38" t="n">
        <f aca="false">Sens!$C$10799-Sens!$C$10796</f>
        <v>105.234994643026</v>
      </c>
      <c r="D10800" s="38" t="n">
        <f aca="false">Sens!$D$10799-Sens!$D$10796</f>
        <v>120.021229911349</v>
      </c>
      <c r="E10800" s="38" t="n">
        <f aca="false">Sens!$E$10799-Sens!$E$10796</f>
        <v>71.30864702443</v>
      </c>
      <c r="F10800" s="38" t="n">
        <f aca="false">Sens!$O$10800*(1+Sens!$F$10801)</f>
        <v>71.7692997942464</v>
      </c>
      <c r="G10800" s="38" t="n">
        <f aca="false">Sens!$E$10800+Sens!$F$10800</f>
        <v>143.077946818676</v>
      </c>
      <c r="H10800" s="38" t="n">
        <f aca="false">Sens!$G$10800*(1+Sens!$H$10801)</f>
        <v>161.017077079203</v>
      </c>
      <c r="I10800" s="38" t="n">
        <f aca="false">Sens!$H$10800*(1+Sens!$I$10801)</f>
        <v>178.769759521457</v>
      </c>
      <c r="J10800" s="38" t="n">
        <f aca="false">Sens!$I$10800*(1+Sens!$J$10801)</f>
        <v>195.775538045907</v>
      </c>
      <c r="K10800" s="38" t="n">
        <f aca="false">Sens!$J$10800*(1+Sens!$K$10801)</f>
        <v>211.43758108958</v>
      </c>
      <c r="L10800" s="38" t="n">
        <f aca="false">Sens!$K$10800*(1+Sens!$L$10801)</f>
        <v>228.352587576746</v>
      </c>
      <c r="M10800" s="38" t="n">
        <f aca="false">Sens!$L$10800*(1+Sens!$M$10801)</f>
        <v>246.620794582886</v>
      </c>
      <c r="N10800" s="38" t="n">
        <f aca="false">Sens!$N$10799-Sens!$N$10796</f>
        <v>57.0936804689721</v>
      </c>
      <c r="O10800" s="38" t="n">
        <f aca="false">Sens!$O$10799-Sens!$O$10796</f>
        <v>62.9275494423768</v>
      </c>
      <c r="P10800" s="5" t="s">
        <v>622</v>
      </c>
    </row>
    <row r="10801" customFormat="false" ht="17.15" hidden="false" customHeight="false" outlineLevel="0" collapsed="false">
      <c r="A10801" s="0" t="s">
        <v>623</v>
      </c>
      <c r="B10801" s="0" t="s">
        <v>52</v>
      </c>
      <c r="D10801" s="13" t="n">
        <f aca="false">Sens!$D$10800/Sens!$C$10800-1</f>
        <v>0.140506827776062</v>
      </c>
      <c r="E10801" s="13" t="n">
        <f aca="false">Sens!$E$10800/Sens!$N$10800-1</f>
        <v>0.248976181579029</v>
      </c>
      <c r="F10801" s="13" t="n">
        <f aca="false">Sens!$D$10801</f>
        <v>0.140506827776062</v>
      </c>
      <c r="G10801" s="13" t="n">
        <f aca="false">Sens!$G$10800/Sens!$D$10800-1</f>
        <v>0.19210532106993</v>
      </c>
      <c r="H10801" s="13" t="n">
        <f aca="false">Sens!$F$10801+(g_awso_lt-Sens!$F$10801)*1/4</f>
        <v>0.125380120832046</v>
      </c>
      <c r="I10801" s="13" t="n">
        <f aca="false">Sens!$F$10801+(g_awso_lt-Sens!$F$10801)*2/4</f>
        <v>0.110253413888031</v>
      </c>
      <c r="J10801" s="13" t="n">
        <f aca="false">Sens!$F$10801+(g_awso_lt-Sens!$F$10801)*3/4</f>
        <v>0.0951267069440154</v>
      </c>
      <c r="K10801" s="13" t="n">
        <f aca="false">Sens!$F$10801+(g_awso_lt-Sens!$F$10801)*4/4</f>
        <v>0.08</v>
      </c>
      <c r="L10801" s="13" t="n">
        <f aca="false">g_awso_lt</f>
        <v>0.08</v>
      </c>
      <c r="M10801" s="13" t="n">
        <f aca="false">g_awso_lt</f>
        <v>0.08</v>
      </c>
      <c r="P10801" s="5" t="s">
        <v>624</v>
      </c>
    </row>
    <row r="10802" customFormat="false" ht="17.15" hidden="false" customHeight="false" outlineLevel="0" collapsed="false">
      <c r="A10802" s="1" t="s">
        <v>625</v>
      </c>
    </row>
    <row r="10803" customFormat="false" ht="17.15" hidden="false" customHeight="false" outlineLevel="0" collapsed="false">
      <c r="A10803" s="0" t="s">
        <v>626</v>
      </c>
      <c r="B10803" s="0" t="s">
        <v>86</v>
      </c>
      <c r="F10803" s="38" t="n">
        <f aca="false">cx_rt*Sens!$F$10768+cx_awso*Sens!$F$10800</f>
        <v>34.9734495387866</v>
      </c>
    </row>
    <row r="10804" customFormat="false" ht="17.15" hidden="false" customHeight="false" outlineLevel="0" collapsed="false">
      <c r="A10804" s="0" t="s">
        <v>627</v>
      </c>
      <c r="B10804" s="0" t="s">
        <v>52</v>
      </c>
      <c r="C10804" s="13" t="n">
        <f aca="false">tk_cx_h100/(tk_cx_h100+tk_fac*(1-colo_sh))</f>
        <v>0.730756458006641</v>
      </c>
      <c r="D10804" s="13" t="n">
        <f aca="false">tk_cx_h100/(tk_cx_h100+tk_fac*(1-colo_sh))</f>
        <v>0.730756458006641</v>
      </c>
      <c r="E10804" s="13" t="n">
        <f aca="false">Sens!$F$10804</f>
        <v>0.760792334328868</v>
      </c>
      <c r="F10804" s="13" t="n">
        <f aca="false">Sens!$F$10787/(Sens!$F$10787+tk_fac*(1-colo_sh))</f>
        <v>0.760792334328868</v>
      </c>
      <c r="G10804" s="13" t="n">
        <f aca="false">Sens!$G$10787/(Sens!$G$10787+tk_fac*(1-colo_sh))</f>
        <v>0.760792334328868</v>
      </c>
      <c r="H10804" s="13" t="n">
        <f aca="false">Sens!$H$10787/(Sens!$H$10787+tk_fac*(1-colo_sh))</f>
        <v>0.768110668862996</v>
      </c>
      <c r="I10804" s="13" t="n">
        <f aca="false">Sens!$I$10787/(Sens!$I$10787+tk_fac*(1-colo_sh))</f>
        <v>0.77499450139483</v>
      </c>
      <c r="J10804" s="13" t="n">
        <f aca="false">Sens!$J$10787/(Sens!$J$10787+tk_fac*(1-colo_sh))</f>
        <v>0.77499450139483</v>
      </c>
      <c r="K10804" s="13" t="n">
        <f aca="false">Sens!$K$10787/(Sens!$K$10787+tk_fac*(1-colo_sh))</f>
        <v>0.77499450139483</v>
      </c>
      <c r="L10804" s="13" t="n">
        <f aca="false">Sens!$L$10787/(Sens!$L$10787+tk_fac*(1-colo_sh))</f>
        <v>0.77499450139483</v>
      </c>
      <c r="M10804" s="13" t="n">
        <f aca="false">Sens!$M$10787/(Sens!$M$10787+tk_fac*(1-colo_sh))</f>
        <v>0.77499450139483</v>
      </c>
    </row>
    <row r="10805" customFormat="false" ht="17.15" hidden="false" customHeight="false" outlineLevel="0" collapsed="false">
      <c r="A10805" s="1" t="s">
        <v>628</v>
      </c>
      <c r="B10805" s="8" t="s">
        <v>86</v>
      </c>
      <c r="C10805" s="38" t="n">
        <f aca="false">Q!$D$46-cx_rt*Q!$D$16-cx_awso*Sens!$C$10800</f>
        <v>25.2781053077374</v>
      </c>
      <c r="D10805" s="38" t="n">
        <f aca="false">Q!$E$46-cx_rt*Q!$E$16-cx_awso*Sens!$D$10800</f>
        <v>69.5686316310026</v>
      </c>
      <c r="E10805" s="38" t="n">
        <f aca="false">Q!$P$46-cx_rt*Q!$P$16-cx_awso*Sens!$E$10800</f>
        <v>64.1899206485108</v>
      </c>
      <c r="F10805" s="38" t="n">
        <f aca="false">MAX(Sens!$F$10782*(Sens!$F$10787+tk_fac*(1-colo_sh))/1000,capex_g26-Q!$P$46-Sens!$F$10803)</f>
        <v>96.2481299895</v>
      </c>
      <c r="G10805" s="38" t="n">
        <f aca="false">Sens!$E$10805+Sens!$F$10805</f>
        <v>160.438050638011</v>
      </c>
      <c r="H10805" s="38" t="n">
        <f aca="false">Sens!$H$10782*(Sens!$H$10787+tk_fac*(1-colo_sh))/1000+Sens!$H$10806</f>
        <v>198.57136494475</v>
      </c>
      <c r="I10805" s="38" t="n">
        <f aca="false">Sens!$I$10782*(Sens!$I$10787+tk_fac*(1-colo_sh))/1000+Sens!$I$10806</f>
        <v>204.6464699105</v>
      </c>
      <c r="J10805" s="38" t="n">
        <f aca="false">Sens!$J$10782*(Sens!$J$10787+tk_fac*(1-colo_sh))/1000+Sens!$J$10806</f>
        <v>209.8832381105</v>
      </c>
      <c r="K10805" s="38" t="n">
        <f aca="false">Sens!$K$10782*(Sens!$K$10787+tk_fac*(1-colo_sh))/1000+Sens!$K$10806</f>
        <v>155.238385275201</v>
      </c>
      <c r="L10805" s="38" t="n">
        <f aca="false">Sens!$L$10782*(Sens!$L$10787+tk_fac*(1-colo_sh))/1000+Sens!$L$10806</f>
        <v>132.014141639902</v>
      </c>
      <c r="M10805" s="38" t="n">
        <f aca="false">Sens!$M$10782*(Sens!$M$10787+tk_fac*(1-colo_sh))/1000+Sens!$M$10806</f>
        <v>132.230981659852</v>
      </c>
      <c r="P10805" s="5" t="s">
        <v>629</v>
      </c>
      <c r="R10805" s="38" t="n">
        <f aca="false">Q!$C$46-cx_rt*Q!$C$16-cx_awso*(Q!$C$7-mw_ye23/2*rpm_open/1000)</f>
        <v>1.50429979529945</v>
      </c>
      <c r="S10805" s="38" t="n">
        <f aca="false">Sens!$C$10805</f>
        <v>25.2781053077374</v>
      </c>
      <c r="T10805" s="38" t="n">
        <f aca="false">Sens!$D$10805</f>
        <v>69.5686316310026</v>
      </c>
      <c r="U10805" s="38" t="n">
        <f aca="false">Sens!$G$10805</f>
        <v>160.438050638011</v>
      </c>
      <c r="V10805" s="38" t="n">
        <f aca="false">Sens!$H$10805</f>
        <v>198.57136494475</v>
      </c>
      <c r="W10805" s="38" t="n">
        <f aca="false">Sens!$I$10805</f>
        <v>204.6464699105</v>
      </c>
      <c r="X10805" s="38" t="n">
        <f aca="false">Sens!$J$10805</f>
        <v>209.8832381105</v>
      </c>
      <c r="Y10805" s="38" t="n">
        <f aca="false">Sens!$K$10805</f>
        <v>155.238385275201</v>
      </c>
      <c r="Z10805" s="38" t="n">
        <f aca="false">Sens!$L$10805</f>
        <v>132.014141639902</v>
      </c>
      <c r="AA10805" s="38" t="n">
        <f aca="false">Sens!$M$10805</f>
        <v>132.230981659852</v>
      </c>
    </row>
    <row r="10806" customFormat="false" ht="17.15" hidden="false" customHeight="false" outlineLevel="0" collapsed="false">
      <c r="A10806" s="0" t="s">
        <v>630</v>
      </c>
      <c r="B10806" s="0" t="s">
        <v>86</v>
      </c>
      <c r="H10806" s="38" t="n">
        <f aca="false">SUMPRODUCT(--(Sens!$R$10775:$AA$10775=2027-tk_life),Sens!$R$10782:$AA$10782)*Sens!$H$10787/1000</f>
        <v>0</v>
      </c>
      <c r="I10806" s="38" t="n">
        <f aca="false">SUMPRODUCT(--(Sens!$R$10775:$AA$10775=2028-tk_life),Sens!$R$10782:$AA$10782)*Sens!$I$10787/1000</f>
        <v>0</v>
      </c>
      <c r="J10806" s="38" t="n">
        <f aca="false">SUMPRODUCT(--(Sens!$R$10775:$AA$10775=2029-tk_life),Sens!$R$10782:$AA$10782)*Sens!$J$10787/1000</f>
        <v>5.2367682</v>
      </c>
      <c r="K10806" s="38" t="n">
        <f aca="false">SUMPRODUCT(--(Sens!$R$10775:$AA$10775=2030-tk_life),Sens!$R$10782:$AA$10782)*Sens!$K$10787/1000</f>
        <v>10.4735364</v>
      </c>
      <c r="L10806" s="38" t="n">
        <f aca="false">SUMPRODUCT(--(Sens!$R$10775:$AA$10775=2031-tk_life),Sens!$R$10782:$AA$10782)*Sens!$L$10787/1000</f>
        <v>47.1309138</v>
      </c>
      <c r="M10806" s="38" t="n">
        <f aca="false">SUMPRODUCT(--(Sens!$R$10775:$AA$10775=2032-tk_life),Sens!$R$10782:$AA$10782)*Sens!$M$10787/1000</f>
        <v>107.22937485525</v>
      </c>
    </row>
    <row r="10807" customFormat="false" ht="17.15" hidden="false" customHeight="false" outlineLevel="0" collapsed="false">
      <c r="A10807" s="0" t="s">
        <v>631</v>
      </c>
      <c r="B10807" s="0" t="s">
        <v>86</v>
      </c>
      <c r="C10807" s="38" t="n">
        <f aca="false">MIN(Sens!$C$10805,Sens!$C$10782*(tk_cx_h100+tk_fac*(1-colo_sh))/1000)</f>
        <v>11.2938642</v>
      </c>
      <c r="D10807" s="38" t="n">
        <f aca="false">MIN(Sens!$D$10805,Sens!$D$10782*(tk_cx_h100+tk_fac*(1-colo_sh))/1000)</f>
        <v>50.8223889</v>
      </c>
      <c r="E10807" s="38" t="n">
        <f aca="false">MIN(Sens!$E$10805,Sens!$E$10782*(Sens!$F$10787+tk_fac*(1-colo_sh))/1000)</f>
        <v>33.8985792</v>
      </c>
      <c r="F10807" s="38" t="n">
        <f aca="false">Sens!$F$10805</f>
        <v>96.2481299895</v>
      </c>
      <c r="G10807" s="38" t="n">
        <f aca="false">Sens!$E$10807+Sens!$F$10807</f>
        <v>130.1467091895</v>
      </c>
      <c r="H10807" s="38" t="n">
        <f aca="false">Sens!$H$10805</f>
        <v>198.57136494475</v>
      </c>
      <c r="I10807" s="38" t="n">
        <f aca="false">Sens!$I$10805</f>
        <v>204.6464699105</v>
      </c>
      <c r="J10807" s="38" t="n">
        <f aca="false">Sens!$J$10805</f>
        <v>209.8832381105</v>
      </c>
      <c r="K10807" s="38" t="n">
        <f aca="false">Sens!$K$10805</f>
        <v>155.238385275201</v>
      </c>
      <c r="L10807" s="38" t="n">
        <f aca="false">Sens!$L$10805</f>
        <v>132.014141639902</v>
      </c>
      <c r="M10807" s="38" t="n">
        <f aca="false">Sens!$M$10805</f>
        <v>132.230981659852</v>
      </c>
      <c r="P10807" s="5" t="s">
        <v>632</v>
      </c>
      <c r="R10807" s="38" t="n">
        <f aca="false">MIN(Sens!$R$10805,Sens!$R$10782*(tk_cx_h100+tk_fac*(1-colo_sh))/1000)</f>
        <v>1.50429979529945</v>
      </c>
      <c r="S10807" s="38" t="n">
        <f aca="false">Sens!$C$10807</f>
        <v>11.2938642</v>
      </c>
      <c r="T10807" s="38" t="n">
        <f aca="false">Sens!$D$10807</f>
        <v>50.8223889</v>
      </c>
      <c r="U10807" s="38" t="n">
        <f aca="false">Sens!$G$10807</f>
        <v>130.1467091895</v>
      </c>
      <c r="V10807" s="38" t="n">
        <f aca="false">Sens!$H$10807</f>
        <v>198.57136494475</v>
      </c>
      <c r="W10807" s="38" t="n">
        <f aca="false">Sens!$I$10807</f>
        <v>204.6464699105</v>
      </c>
      <c r="X10807" s="38" t="n">
        <f aca="false">Sens!$J$10807</f>
        <v>209.8832381105</v>
      </c>
      <c r="Y10807" s="38" t="n">
        <f aca="false">Sens!$K$10807</f>
        <v>155.238385275201</v>
      </c>
      <c r="Z10807" s="38" t="n">
        <f aca="false">Sens!$L$10807</f>
        <v>132.014141639902</v>
      </c>
      <c r="AA10807" s="38" t="n">
        <f aca="false">Sens!$M$10807</f>
        <v>132.230981659852</v>
      </c>
    </row>
    <row r="10808" customFormat="false" ht="17.15" hidden="false" customHeight="false" outlineLevel="0" collapsed="false">
      <c r="A10808" s="5" t="s">
        <v>633</v>
      </c>
      <c r="B10808" s="0" t="s">
        <v>86</v>
      </c>
      <c r="C10808" s="38" t="n">
        <f aca="false">Sens!$C$10805-Sens!$C$10807</f>
        <v>13.9842411077374</v>
      </c>
      <c r="D10808" s="38" t="n">
        <f aca="false">Sens!$D$10805-Sens!$D$10807</f>
        <v>18.7462427310026</v>
      </c>
      <c r="E10808" s="38" t="n">
        <f aca="false">Sens!$E$10805-Sens!$E$10807</f>
        <v>30.2913414485108</v>
      </c>
      <c r="F10808" s="38" t="n">
        <f aca="false">Sens!$F$10805-Sens!$F$10807</f>
        <v>0</v>
      </c>
      <c r="G10808" s="38" t="n">
        <f aca="false">Sens!$G$10805-Sens!$G$10807</f>
        <v>30.2913414485108</v>
      </c>
      <c r="H10808" s="38" t="n">
        <f aca="false">Sens!$H$10805-Sens!$H$10807</f>
        <v>0</v>
      </c>
      <c r="I10808" s="38" t="n">
        <f aca="false">Sens!$I$10805-Sens!$I$10807</f>
        <v>0</v>
      </c>
      <c r="J10808" s="38" t="n">
        <f aca="false">Sens!$J$10805-Sens!$J$10807</f>
        <v>0</v>
      </c>
      <c r="K10808" s="38" t="n">
        <f aca="false">Sens!$K$10805-Sens!$K$10807</f>
        <v>0</v>
      </c>
      <c r="L10808" s="38" t="n">
        <f aca="false">Sens!$L$10805-Sens!$L$10807</f>
        <v>0</v>
      </c>
      <c r="M10808" s="38" t="n">
        <f aca="false">Sens!$M$10805-Sens!$M$10807</f>
        <v>0</v>
      </c>
    </row>
    <row r="10809" customFormat="false" ht="17.15" hidden="false" customHeight="false" outlineLevel="0" collapsed="false">
      <c r="A10809" s="5" t="s">
        <v>634</v>
      </c>
      <c r="B10809" s="0" t="s">
        <v>86</v>
      </c>
      <c r="C10809" s="38" t="n">
        <f aca="false">Sens!$C$10807*Sens!$C$10804</f>
        <v>8.2530642</v>
      </c>
      <c r="D10809" s="38" t="n">
        <f aca="false">Sens!$D$10807*Sens!$D$10804</f>
        <v>37.1387889</v>
      </c>
      <c r="E10809" s="38" t="n">
        <f aca="false">Sens!$E$10807*Sens!$E$10804</f>
        <v>25.7897792</v>
      </c>
      <c r="F10809" s="38" t="n">
        <f aca="false">Sens!$F$10807*Sens!$F$10804</f>
        <v>73.2248394895</v>
      </c>
      <c r="G10809" s="38" t="n">
        <f aca="false">Sens!$E$10809+Sens!$F$10809</f>
        <v>99.0146186895</v>
      </c>
      <c r="H10809" s="38" t="n">
        <f aca="false">(Sens!$H$10807-Sens!$H$10806)*Sens!$H$10804+Sens!$H$10806</f>
        <v>152.52478394475</v>
      </c>
      <c r="I10809" s="38" t="n">
        <f aca="false">(Sens!$I$10807-Sens!$I$10806)*Sens!$I$10804+Sens!$I$10806</f>
        <v>158.5998889105</v>
      </c>
      <c r="J10809" s="38" t="n">
        <f aca="false">(Sens!$J$10807-Sens!$J$10806)*Sens!$J$10804+Sens!$J$10806</f>
        <v>163.8366571105</v>
      </c>
      <c r="K10809" s="38" t="n">
        <f aca="false">(Sens!$K$10807-Sens!$K$10806)*Sens!$K$10804+Sens!$K$10806</f>
        <v>122.665498273534</v>
      </c>
      <c r="L10809" s="38" t="n">
        <f aca="false">(Sens!$L$10807-Sens!$L$10806)*Sens!$L$10804+Sens!$L$10806</f>
        <v>112.914948636568</v>
      </c>
      <c r="M10809" s="38" t="n">
        <f aca="false">(Sens!$M$10807-Sens!$M$10806)*Sens!$M$10804+Sens!$M$10806</f>
        <v>126.605482654852</v>
      </c>
      <c r="R10809" s="38" t="n">
        <f aca="false">Sens!$R$10807*Sens!$C$10804</f>
        <v>1.09927679019314</v>
      </c>
      <c r="S10809" s="38" t="n">
        <f aca="false">Sens!$C$10809</f>
        <v>8.2530642</v>
      </c>
      <c r="T10809" s="38" t="n">
        <f aca="false">Sens!$D$10809</f>
        <v>37.1387889</v>
      </c>
      <c r="U10809" s="38" t="n">
        <f aca="false">Sens!$G$10809</f>
        <v>99.0146186895</v>
      </c>
      <c r="V10809" s="38" t="n">
        <f aca="false">Sens!$H$10809</f>
        <v>152.52478394475</v>
      </c>
      <c r="W10809" s="38" t="n">
        <f aca="false">Sens!$I$10809</f>
        <v>158.5998889105</v>
      </c>
      <c r="X10809" s="38" t="n">
        <f aca="false">Sens!$J$10809</f>
        <v>163.8366571105</v>
      </c>
      <c r="Y10809" s="38" t="n">
        <f aca="false">Sens!$K$10809</f>
        <v>122.665498273534</v>
      </c>
      <c r="Z10809" s="38" t="n">
        <f aca="false">Sens!$L$10809</f>
        <v>112.914948636568</v>
      </c>
      <c r="AA10809" s="38" t="n">
        <f aca="false">Sens!$M$10809</f>
        <v>126.605482654852</v>
      </c>
    </row>
    <row r="10810" customFormat="false" ht="15" hidden="false" customHeight="false" outlineLevel="0" collapsed="false">
      <c r="A10810" s="5" t="s">
        <v>635</v>
      </c>
      <c r="B10810" s="0" t="s">
        <v>86</v>
      </c>
      <c r="C10810" s="38" t="n">
        <f aca="false">Sens!$C$10807-Sens!$C$10809</f>
        <v>3.0408</v>
      </c>
      <c r="D10810" s="38" t="n">
        <f aca="false">Sens!$D$10807-Sens!$D$10809</f>
        <v>13.6836</v>
      </c>
      <c r="E10810" s="38" t="n">
        <f aca="false">Sens!$E$10807-Sens!$E$10809</f>
        <v>8.1088</v>
      </c>
      <c r="F10810" s="38" t="n">
        <f aca="false">Sens!$F$10807-Sens!$F$10809</f>
        <v>23.0232905</v>
      </c>
      <c r="G10810" s="38" t="n">
        <f aca="false">Sens!$G$10807-Sens!$G$10809</f>
        <v>31.1320905</v>
      </c>
      <c r="H10810" s="38" t="n">
        <f aca="false">Sens!$H$10807-Sens!$H$10809</f>
        <v>46.046581</v>
      </c>
      <c r="I10810" s="38" t="n">
        <f aca="false">Sens!$I$10807-Sens!$I$10809</f>
        <v>46.046581</v>
      </c>
      <c r="J10810" s="38" t="n">
        <f aca="false">Sens!$J$10807-Sens!$J$10809</f>
        <v>46.046581</v>
      </c>
      <c r="K10810" s="38" t="n">
        <f aca="false">Sens!$K$10807-Sens!$K$10809</f>
        <v>32.5728870016667</v>
      </c>
      <c r="L10810" s="38" t="n">
        <f aca="false">Sens!$L$10807-Sens!$L$10809</f>
        <v>19.0991930033334</v>
      </c>
      <c r="M10810" s="38" t="n">
        <f aca="false">Sens!$M$10807-Sens!$M$10809</f>
        <v>5.62549900499998</v>
      </c>
      <c r="R10810" s="38" t="n">
        <f aca="false">Sens!$R$10807-Sens!$R$10809</f>
        <v>0.405023005106309</v>
      </c>
      <c r="S10810" s="38" t="n">
        <f aca="false">Sens!$S$10807-Sens!$S$10809</f>
        <v>3.0408</v>
      </c>
      <c r="T10810" s="38" t="n">
        <f aca="false">Sens!$T$10807-Sens!$T$10809</f>
        <v>13.6836</v>
      </c>
      <c r="U10810" s="38" t="n">
        <f aca="false">Sens!$U$10807-Sens!$U$10809</f>
        <v>31.1320905</v>
      </c>
      <c r="V10810" s="38" t="n">
        <f aca="false">Sens!$V$10807-Sens!$V$10809</f>
        <v>46.046581</v>
      </c>
      <c r="W10810" s="38" t="n">
        <f aca="false">Sens!$W$10807-Sens!$W$10809</f>
        <v>46.046581</v>
      </c>
      <c r="X10810" s="38" t="n">
        <f aca="false">Sens!$X$10807-Sens!$X$10809</f>
        <v>46.046581</v>
      </c>
      <c r="Y10810" s="38" t="n">
        <f aca="false">Sens!$Y$10807-Sens!$Y$10809</f>
        <v>32.5728870016667</v>
      </c>
      <c r="Z10810" s="38" t="n">
        <f aca="false">Sens!$Z$10807-Sens!$Z$10809</f>
        <v>19.0991930033334</v>
      </c>
      <c r="AA10810" s="38" t="n">
        <f aca="false">Sens!$AA$10807-Sens!$AA$10809</f>
        <v>5.62549900499998</v>
      </c>
    </row>
    <row r="10811" customFormat="false" ht="17.15" hidden="false" customHeight="false" outlineLevel="0" collapsed="false">
      <c r="A10811" s="0" t="s">
        <v>636</v>
      </c>
      <c r="B10811" s="0" t="s">
        <v>52</v>
      </c>
      <c r="C10811" s="13" t="n">
        <f aca="false">Sens!$C$10805/Sens!$C$10927</f>
        <v>0.325505489553393</v>
      </c>
      <c r="D10811" s="13" t="n">
        <f aca="false">Sens!$D$10805/Sens!$D$10927</f>
        <v>0.54214956071542</v>
      </c>
      <c r="E10811" s="13" t="n">
        <f aca="false">Sens!$E$10805/Sens!$E$10927</f>
        <v>0.666492790452817</v>
      </c>
      <c r="F10811" s="13" t="n">
        <f aca="false">Sens!$F$10805/Sens!$F$10927</f>
        <v>0.733477910687338</v>
      </c>
      <c r="G10811" s="13" t="n">
        <f aca="false">Sens!$G$10805/Sens!$G$10927</f>
        <v>0.705124321514523</v>
      </c>
      <c r="H10811" s="13" t="n">
        <f aca="false">Sens!$H$10805/Sens!$H$10927</f>
        <v>0.726376041178204</v>
      </c>
      <c r="I10811" s="13" t="n">
        <f aca="false">Sens!$I$10805/Sens!$I$10927</f>
        <v>0.713099092661699</v>
      </c>
      <c r="J10811" s="13" t="n">
        <f aca="false">Sens!$J$10805/Sens!$J$10927</f>
        <v>0.701208348786245</v>
      </c>
      <c r="K10811" s="13" t="n">
        <f aca="false">Sens!$K$10805/Sens!$K$10927</f>
        <v>0.618338844562383</v>
      </c>
      <c r="L10811" s="13" t="n">
        <f aca="false">Sens!$L$10805/Sens!$L$10927</f>
        <v>0.562489158462506</v>
      </c>
      <c r="M10811" s="13" t="n">
        <f aca="false">Sens!$M$10805/Sens!$M$10927</f>
        <v>0.545751190895923</v>
      </c>
    </row>
    <row r="10812" customFormat="false" ht="17.15" hidden="false" customHeight="false" outlineLevel="0" collapsed="false">
      <c r="A10812" s="0" t="s">
        <v>637</v>
      </c>
      <c r="B10812" s="0" t="s">
        <v>86</v>
      </c>
      <c r="C10812" s="38" t="n">
        <f aca="false">Sens!$S$10812</f>
        <v>0.183212798365523</v>
      </c>
      <c r="D10812" s="38" t="n">
        <f aca="false">Sens!$T$10812</f>
        <v>1.55872349836552</v>
      </c>
      <c r="E10812" s="38" t="n">
        <f aca="false">Sens!$G$10812/2</f>
        <v>3.87426082418276</v>
      </c>
      <c r="F10812" s="38" t="n">
        <f aca="false">Sens!$G$10812/2</f>
        <v>3.87426082418276</v>
      </c>
      <c r="G10812" s="38" t="n">
        <f aca="false">Sens!$U$10812</f>
        <v>7.74852164836552</v>
      </c>
      <c r="H10812" s="38" t="n">
        <f aca="false">Sens!$V$10812</f>
        <v>24.2509580966155</v>
      </c>
      <c r="I10812" s="38" t="n">
        <f aca="false">Sens!$W$10812</f>
        <v>49.6717554207405</v>
      </c>
      <c r="J10812" s="38" t="n">
        <f aca="false">Sens!$X$10812</f>
        <v>76.1050702391572</v>
      </c>
      <c r="K10812" s="38" t="n">
        <f aca="false">Sens!$Y$10812</f>
        <v>103.227966959208</v>
      </c>
      <c r="L10812" s="38" t="n">
        <f aca="false">Sens!$Z$10812</f>
        <v>122.296705971464</v>
      </c>
      <c r="M10812" s="38" t="n">
        <f aca="false">Sens!$AA$10812</f>
        <v>134.926065927559</v>
      </c>
      <c r="N10812" s="38" t="n">
        <f aca="false">Sens!$D$10812/2</f>
        <v>0.779361749182762</v>
      </c>
      <c r="O10812" s="38" t="n">
        <f aca="false">Sens!$D$10812/2</f>
        <v>0.779361749182762</v>
      </c>
      <c r="R10812" s="38" t="n">
        <f aca="false">SUMPRODUCT(--(Sens!$R$10775:$AA$10775&lt;Sens!R$10775),--(Sens!$R$10775:$AA$10775&gt;=Sens!R$10775-tk_life),Sens!$R$10809:$AA$10809)/tk_life</f>
        <v>0</v>
      </c>
      <c r="S10812" s="38" t="n">
        <f aca="false">SUMPRODUCT(--(Sens!$R$10775:$AA$10775&lt;Sens!S$10775),--(Sens!$R$10775:$AA$10775&gt;=Sens!S$10775-tk_life),Sens!$R$10809:$AA$10809)/tk_life</f>
        <v>0.183212798365523</v>
      </c>
      <c r="T10812" s="38" t="n">
        <f aca="false">SUMPRODUCT(--(Sens!$R$10775:$AA$10775&lt;Sens!T$10775),--(Sens!$R$10775:$AA$10775&gt;=Sens!T$10775-tk_life),Sens!$R$10809:$AA$10809)/tk_life</f>
        <v>1.55872349836552</v>
      </c>
      <c r="U10812" s="38" t="n">
        <f aca="false">SUMPRODUCT(--(Sens!$R$10775:$AA$10775&lt;Sens!U$10775),--(Sens!$R$10775:$AA$10775&gt;=Sens!U$10775-tk_life),Sens!$R$10809:$AA$10809)/tk_life</f>
        <v>7.74852164836552</v>
      </c>
      <c r="V10812" s="38" t="n">
        <f aca="false">SUMPRODUCT(--(Sens!$R$10775:$AA$10775&lt;Sens!V$10775),--(Sens!$R$10775:$AA$10775&gt;=Sens!V$10775-tk_life),Sens!$R$10809:$AA$10809)/tk_life</f>
        <v>24.2509580966155</v>
      </c>
      <c r="W10812" s="38" t="n">
        <f aca="false">SUMPRODUCT(--(Sens!$R$10775:$AA$10775&lt;Sens!W$10775),--(Sens!$R$10775:$AA$10775&gt;=Sens!W$10775-tk_life),Sens!$R$10809:$AA$10809)/tk_life</f>
        <v>49.6717554207405</v>
      </c>
      <c r="X10812" s="38" t="n">
        <f aca="false">SUMPRODUCT(--(Sens!$R$10775:$AA$10775&lt;Sens!X$10775),--(Sens!$R$10775:$AA$10775&gt;=Sens!X$10775-tk_life),Sens!$R$10809:$AA$10809)/tk_life</f>
        <v>76.1050702391572</v>
      </c>
      <c r="Y10812" s="38" t="n">
        <f aca="false">SUMPRODUCT(--(Sens!$R$10775:$AA$10775&lt;Sens!Y$10775),--(Sens!$R$10775:$AA$10775&gt;=Sens!Y$10775-tk_life),Sens!$R$10809:$AA$10809)/tk_life</f>
        <v>103.227966959208</v>
      </c>
      <c r="Z10812" s="38" t="n">
        <f aca="false">SUMPRODUCT(--(Sens!$R$10775:$AA$10775&lt;Sens!Z$10775),--(Sens!$R$10775:$AA$10775&gt;=Sens!Z$10775-tk_life),Sens!$R$10809:$AA$10809)/tk_life</f>
        <v>122.296705971464</v>
      </c>
      <c r="AA10812" s="38" t="n">
        <f aca="false">SUMPRODUCT(--(Sens!$R$10775:$AA$10775&lt;Sens!AA$10775),--(Sens!$R$10775:$AA$10775&gt;=Sens!AA$10775-tk_life),Sens!$R$10809:$AA$10809)/tk_life</f>
        <v>134.926065927559</v>
      </c>
    </row>
    <row r="10813" customFormat="false" ht="17.15" hidden="false" customHeight="false" outlineLevel="0" collapsed="false">
      <c r="A10813" s="0" t="s">
        <v>638</v>
      </c>
      <c r="B10813" s="0" t="s">
        <v>86</v>
      </c>
      <c r="C10813" s="38" t="n">
        <f aca="false">Sens!$S$10813</f>
        <v>0.0202511502553155</v>
      </c>
      <c r="D10813" s="38" t="n">
        <f aca="false">Sens!$T$10813</f>
        <v>0.172291150255315</v>
      </c>
      <c r="E10813" s="38" t="n">
        <f aca="false">Sens!$G$10813/2</f>
        <v>0.428235575127658</v>
      </c>
      <c r="F10813" s="38" t="n">
        <f aca="false">Sens!$G$10813/2</f>
        <v>0.428235575127658</v>
      </c>
      <c r="G10813" s="38" t="n">
        <f aca="false">Sens!$U$10813</f>
        <v>0.856471150255315</v>
      </c>
      <c r="H10813" s="38" t="n">
        <f aca="false">Sens!$V$10813</f>
        <v>2.41307567525532</v>
      </c>
      <c r="I10813" s="38" t="n">
        <f aca="false">Sens!$W$10813</f>
        <v>4.71540472525532</v>
      </c>
      <c r="J10813" s="38" t="n">
        <f aca="false">Sens!$X$10813</f>
        <v>7.01773377525532</v>
      </c>
      <c r="K10813" s="38" t="n">
        <f aca="false">Sens!$Y$10813</f>
        <v>9.32006282525532</v>
      </c>
      <c r="L10813" s="38" t="n">
        <f aca="false">Sens!$Z$10813</f>
        <v>10.9487071753387</v>
      </c>
      <c r="M10813" s="38" t="n">
        <f aca="false">Sens!$AA$10813</f>
        <v>11.9036668255053</v>
      </c>
      <c r="N10813" s="38" t="n">
        <f aca="false">Sens!$D$10813/2</f>
        <v>0.0861455751276577</v>
      </c>
      <c r="O10813" s="38" t="n">
        <f aca="false">Sens!$D$10813/2</f>
        <v>0.0861455751276577</v>
      </c>
      <c r="R10813" s="38" t="n">
        <f aca="false">SUMPRODUCT(--(Sens!$R$10775:$AA$10775&lt;Sens!R$10775),Sens!$R$10810:$AA$10810)/fac_life</f>
        <v>0</v>
      </c>
      <c r="S10813" s="38" t="n">
        <f aca="false">SUMPRODUCT(--(Sens!$R$10775:$AA$10775&lt;Sens!S$10775),Sens!$R$10810:$AA$10810)/fac_life</f>
        <v>0.0202511502553155</v>
      </c>
      <c r="T10813" s="38" t="n">
        <f aca="false">SUMPRODUCT(--(Sens!$R$10775:$AA$10775&lt;Sens!T$10775),Sens!$R$10810:$AA$10810)/fac_life</f>
        <v>0.172291150255315</v>
      </c>
      <c r="U10813" s="38" t="n">
        <f aca="false">SUMPRODUCT(--(Sens!$R$10775:$AA$10775&lt;Sens!U$10775),Sens!$R$10810:$AA$10810)/fac_life</f>
        <v>0.856471150255315</v>
      </c>
      <c r="V10813" s="38" t="n">
        <f aca="false">SUMPRODUCT(--(Sens!$R$10775:$AA$10775&lt;Sens!V$10775),Sens!$R$10810:$AA$10810)/fac_life</f>
        <v>2.41307567525532</v>
      </c>
      <c r="W10813" s="38" t="n">
        <f aca="false">SUMPRODUCT(--(Sens!$R$10775:$AA$10775&lt;Sens!W$10775),Sens!$R$10810:$AA$10810)/fac_life</f>
        <v>4.71540472525532</v>
      </c>
      <c r="X10813" s="38" t="n">
        <f aca="false">SUMPRODUCT(--(Sens!$R$10775:$AA$10775&lt;Sens!X$10775),Sens!$R$10810:$AA$10810)/fac_life</f>
        <v>7.01773377525532</v>
      </c>
      <c r="Y10813" s="38" t="n">
        <f aca="false">SUMPRODUCT(--(Sens!$R$10775:$AA$10775&lt;Sens!Y$10775),Sens!$R$10810:$AA$10810)/fac_life</f>
        <v>9.32006282525532</v>
      </c>
      <c r="Z10813" s="38" t="n">
        <f aca="false">SUMPRODUCT(--(Sens!$R$10775:$AA$10775&lt;Sens!Z$10775),Sens!$R$10810:$AA$10810)/fac_life</f>
        <v>10.9487071753387</v>
      </c>
      <c r="AA10813" s="38" t="n">
        <f aca="false">SUMPRODUCT(--(Sens!$R$10775:$AA$10775&lt;Sens!AA$10775),Sens!$R$10810:$AA$10810)/fac_life</f>
        <v>11.9036668255053</v>
      </c>
    </row>
    <row r="10814" customFormat="false" ht="17.15" hidden="false" customHeight="false" outlineLevel="0" collapsed="false">
      <c r="A10814" s="1" t="s">
        <v>639</v>
      </c>
      <c r="B10814" s="8" t="s">
        <v>86</v>
      </c>
      <c r="C10814" s="38" t="n">
        <f aca="false">Sens!$C$10812+Sens!$C$10813</f>
        <v>0.203463948620839</v>
      </c>
      <c r="D10814" s="38" t="n">
        <f aca="false">Sens!$D$10812+Sens!$D$10813</f>
        <v>1.73101464862084</v>
      </c>
      <c r="E10814" s="38" t="n">
        <f aca="false">Sens!$E$10812+Sens!$E$10813</f>
        <v>4.30249639931042</v>
      </c>
      <c r="F10814" s="38" t="n">
        <f aca="false">Sens!$F$10812+Sens!$F$10813</f>
        <v>4.30249639931042</v>
      </c>
      <c r="G10814" s="38" t="n">
        <f aca="false">Sens!$G$10812+Sens!$G$10813</f>
        <v>8.60499279862084</v>
      </c>
      <c r="H10814" s="38" t="n">
        <f aca="false">Sens!$H$10812+Sens!$H$10813</f>
        <v>26.6640337718708</v>
      </c>
      <c r="I10814" s="38" t="n">
        <f aca="false">Sens!$I$10812+Sens!$I$10813</f>
        <v>54.3871601459959</v>
      </c>
      <c r="J10814" s="38" t="n">
        <f aca="false">Sens!$J$10812+Sens!$J$10813</f>
        <v>83.1228040144125</v>
      </c>
      <c r="K10814" s="38" t="n">
        <f aca="false">Sens!$K$10812+Sens!$K$10813</f>
        <v>112.548029784464</v>
      </c>
      <c r="L10814" s="38" t="n">
        <f aca="false">Sens!$L$10812+Sens!$L$10813</f>
        <v>133.245413146803</v>
      </c>
      <c r="M10814" s="38" t="n">
        <f aca="false">Sens!$M$10812+Sens!$M$10813</f>
        <v>146.829732753064</v>
      </c>
      <c r="N10814" s="38" t="n">
        <f aca="false">Sens!$N$10812+Sens!$N$10813</f>
        <v>0.865507324310419</v>
      </c>
      <c r="O10814" s="38" t="n">
        <f aca="false">Sens!$O$10812+Sens!$O$10813</f>
        <v>0.865507324310419</v>
      </c>
      <c r="R10814" s="38" t="n">
        <f aca="false">Sens!$R$10812+Sens!$R$10813</f>
        <v>0</v>
      </c>
      <c r="S10814" s="38" t="n">
        <f aca="false">Sens!$S$10812+Sens!$S$10813</f>
        <v>0.203463948620839</v>
      </c>
      <c r="T10814" s="38" t="n">
        <f aca="false">Sens!$T$10812+Sens!$T$10813</f>
        <v>1.73101464862084</v>
      </c>
      <c r="U10814" s="38" t="n">
        <f aca="false">Sens!$U$10812+Sens!$U$10813</f>
        <v>8.60499279862084</v>
      </c>
      <c r="V10814" s="38" t="n">
        <f aca="false">Sens!$V$10812+Sens!$V$10813</f>
        <v>26.6640337718708</v>
      </c>
      <c r="W10814" s="38" t="n">
        <f aca="false">Sens!$W$10812+Sens!$W$10813</f>
        <v>54.3871601459959</v>
      </c>
      <c r="X10814" s="38" t="n">
        <f aca="false">Sens!$X$10812+Sens!$X$10813</f>
        <v>83.1228040144125</v>
      </c>
      <c r="Y10814" s="38" t="n">
        <f aca="false">Sens!$Y$10812+Sens!$Y$10813</f>
        <v>112.548029784464</v>
      </c>
      <c r="Z10814" s="38" t="n">
        <f aca="false">Sens!$Z$10812+Sens!$Z$10813</f>
        <v>133.245413146803</v>
      </c>
      <c r="AA10814" s="38" t="n">
        <f aca="false">Sens!$AA$10812+Sens!$AA$10813</f>
        <v>146.829732753064</v>
      </c>
    </row>
    <row r="10815" customFormat="false" ht="17.15" hidden="false" customHeight="false" outlineLevel="0" collapsed="false">
      <c r="A10815" s="0" t="s">
        <v>640</v>
      </c>
      <c r="B10815" s="0" t="s">
        <v>86</v>
      </c>
      <c r="C10815" s="38" t="n">
        <f aca="false">Sens!$S$10815</f>
        <v>12.5947000466786</v>
      </c>
      <c r="D10815" s="38" t="n">
        <f aca="false">Sens!$T$10815</f>
        <v>61.6860742980578</v>
      </c>
      <c r="G10815" s="38" t="n">
        <f aca="false">Sens!$U$10815</f>
        <v>183.227790688937</v>
      </c>
      <c r="H10815" s="38" t="n">
        <f aca="false">Sens!$V$10815</f>
        <v>355.135121861816</v>
      </c>
      <c r="I10815" s="38" t="n">
        <f aca="false">Sens!$W$10815</f>
        <v>505.39443162632</v>
      </c>
      <c r="J10815" s="38" t="n">
        <f aca="false">Sens!$X$10815</f>
        <v>632.154865722408</v>
      </c>
      <c r="K10815" s="38" t="n">
        <f aca="false">Sens!$Y$10815</f>
        <v>674.845221213145</v>
      </c>
      <c r="L10815" s="38" t="n">
        <f aca="false">Sens!$Z$10815</f>
        <v>673.613949706244</v>
      </c>
      <c r="M10815" s="38" t="n">
        <f aca="false">Sens!$AA$10815</f>
        <v>659.015198613032</v>
      </c>
      <c r="R10815" s="38" t="n">
        <f aca="false">SUM(Sens!$R$10807:$R$10807)-SUM(Sens!$R$10814:$R$10814)</f>
        <v>1.50429979529945</v>
      </c>
      <c r="S10815" s="38" t="n">
        <f aca="false">SUM(Sens!$R$10807:$S$10807)-SUM(Sens!$R$10814:$S$10814)</f>
        <v>12.5947000466786</v>
      </c>
      <c r="T10815" s="38" t="n">
        <f aca="false">SUM(Sens!$R$10807:$T$10807)-SUM(Sens!$R$10814:$T$10814)</f>
        <v>61.6860742980578</v>
      </c>
      <c r="U10815" s="38" t="n">
        <f aca="false">SUM(Sens!$R$10807:$U$10807)-SUM(Sens!$R$10814:$U$10814)</f>
        <v>183.227790688937</v>
      </c>
      <c r="V10815" s="38" t="n">
        <f aca="false">SUM(Sens!$R$10807:$V$10807)-SUM(Sens!$R$10814:$V$10814)</f>
        <v>355.135121861816</v>
      </c>
      <c r="W10815" s="38" t="n">
        <f aca="false">SUM(Sens!$R$10807:$W$10807)-SUM(Sens!$R$10814:$W$10814)</f>
        <v>505.39443162632</v>
      </c>
      <c r="X10815" s="38" t="n">
        <f aca="false">SUM(Sens!$R$10807:$X$10807)-SUM(Sens!$R$10814:$X$10814)</f>
        <v>632.154865722408</v>
      </c>
      <c r="Y10815" s="38" t="n">
        <f aca="false">SUM(Sens!$R$10807:$Y$10807)-SUM(Sens!$R$10814:$Y$10814)</f>
        <v>674.845221213145</v>
      </c>
      <c r="Z10815" s="38" t="n">
        <f aca="false">SUM(Sens!$R$10807:$Z$10807)-SUM(Sens!$R$10814:$Z$10814)</f>
        <v>673.613949706244</v>
      </c>
      <c r="AA10815" s="38" t="n">
        <f aca="false">SUM(Sens!$R$10807:$AA$10807)-SUM(Sens!$R$10814:$AA$10814)</f>
        <v>659.015198613032</v>
      </c>
    </row>
    <row r="10816" customFormat="false" ht="17.15" hidden="false" customHeight="false" outlineLevel="0" collapsed="false">
      <c r="A10816" s="1" t="s">
        <v>641</v>
      </c>
    </row>
    <row r="10817" customFormat="false" ht="17.15" hidden="false" customHeight="false" outlineLevel="0" collapsed="false">
      <c r="A10817" s="0" t="s">
        <v>642</v>
      </c>
      <c r="B10817" s="0" t="s">
        <v>86</v>
      </c>
      <c r="C10817" s="38" t="n">
        <f aca="false">Sens!$C$10796-ext_sh*Sens!$C$10798</f>
        <v>1.80694998843362</v>
      </c>
      <c r="D10817" s="38" t="n">
        <f aca="false">Sens!$D$10796-ext_sh*Sens!$D$10798</f>
        <v>6.77606245662607</v>
      </c>
      <c r="E10817" s="38" t="n">
        <f aca="false">Sens!$E$10796-ext_sh*Sens!$E$10798</f>
        <v>6.62548329092326</v>
      </c>
      <c r="F10817" s="38" t="n">
        <f aca="false">Sens!$F$10796-ext_sh*Sens!$F$10798</f>
        <v>11.7200577158706</v>
      </c>
      <c r="G10817" s="38" t="n">
        <f aca="false">Sens!$G$10796-ext_sh*Sens!$G$10798</f>
        <v>18.3455410067939</v>
      </c>
      <c r="H10817" s="38" t="n">
        <f aca="false">Sens!$H$10796-ext_sh*Sens!$H$10798</f>
        <v>47.5171727060453</v>
      </c>
      <c r="I10817" s="38" t="n">
        <f aca="false">Sens!$I$10796-ext_sh*Sens!$I$10798</f>
        <v>80.5539692643667</v>
      </c>
      <c r="J10817" s="38" t="n">
        <f aca="false">Sens!$J$10796-ext_sh*Sens!$J$10798</f>
        <v>113.759316834883</v>
      </c>
      <c r="K10817" s="38" t="n">
        <f aca="false">Sens!$K$10796-ext_sh*Sens!$K$10798</f>
        <v>142.084411492169</v>
      </c>
      <c r="L10817" s="38" t="n">
        <f aca="false">Sens!$L$10796-ext_sh*Sens!$L$10798</f>
        <v>160.69964615804</v>
      </c>
      <c r="M10817" s="38" t="n">
        <f aca="false">Sens!$M$10796-ext_sh*Sens!$M$10798</f>
        <v>169.577607141793</v>
      </c>
      <c r="N10817" s="38" t="n">
        <f aca="false">Sens!$N$10796-ext_sh*Sens!$N$10798</f>
        <v>2.37162185981912</v>
      </c>
      <c r="O10817" s="38" t="n">
        <f aca="false">Sens!$O$10796-ext_sh*Sens!$O$10798</f>
        <v>4.40444059680694</v>
      </c>
    </row>
    <row r="10818" customFormat="false" ht="17.15" hidden="false" customHeight="false" outlineLevel="0" collapsed="false">
      <c r="A10818" s="1" t="s">
        <v>643</v>
      </c>
      <c r="B10818" s="8" t="s">
        <v>86</v>
      </c>
      <c r="C10818" s="38" t="n">
        <f aca="false">Sens!$C$10817-ext_sh*Sens!$C$10814</f>
        <v>1.64417882953695</v>
      </c>
      <c r="D10818" s="38" t="n">
        <f aca="false">Sens!$D$10817-ext_sh*Sens!$D$10814</f>
        <v>5.39125073772939</v>
      </c>
      <c r="E10818" s="38" t="n">
        <f aca="false">Sens!$E$10817-ext_sh*Sens!$E$10814</f>
        <v>3.18348617147493</v>
      </c>
      <c r="F10818" s="38" t="n">
        <f aca="false">Sens!$F$10817-ext_sh*Sens!$F$10814</f>
        <v>8.27806059642226</v>
      </c>
      <c r="G10818" s="38" t="n">
        <f aca="false">Sens!$G$10817-ext_sh*Sens!$G$10814</f>
        <v>11.4615467678972</v>
      </c>
      <c r="H10818" s="38" t="n">
        <f aca="false">Sens!$H$10817-ext_sh*Sens!$H$10814</f>
        <v>26.1859456885487</v>
      </c>
      <c r="I10818" s="38" t="n">
        <f aca="false">Sens!$I$10817-ext_sh*Sens!$I$10814</f>
        <v>37.04424114757</v>
      </c>
      <c r="J10818" s="38" t="n">
        <f aca="false">Sens!$J$10817-ext_sh*Sens!$J$10814</f>
        <v>47.2610736233534</v>
      </c>
      <c r="K10818" s="38" t="n">
        <f aca="false">Sens!$K$10817-ext_sh*Sens!$K$10814</f>
        <v>52.0459876645985</v>
      </c>
      <c r="L10818" s="38" t="n">
        <f aca="false">Sens!$L$10817-ext_sh*Sens!$L$10814</f>
        <v>54.1033156405981</v>
      </c>
      <c r="M10818" s="38" t="n">
        <f aca="false">Sens!$M$10817-ext_sh*Sens!$M$10814</f>
        <v>52.1138209393421</v>
      </c>
      <c r="N10818" s="38" t="n">
        <f aca="false">Sens!$N$10817-ext_sh*Sens!$N$10814</f>
        <v>1.67921600037079</v>
      </c>
      <c r="O10818" s="38" t="n">
        <f aca="false">Sens!$O$10817-ext_sh*Sens!$O$10814</f>
        <v>3.71203473735861</v>
      </c>
    </row>
    <row r="10819" customFormat="false" ht="17.15" hidden="false" customHeight="false" outlineLevel="0" collapsed="false">
      <c r="A10819" s="0" t="s">
        <v>644</v>
      </c>
      <c r="B10819" s="0" t="s">
        <v>52</v>
      </c>
      <c r="C10819" s="13" t="n">
        <f aca="false">Sens!$C$10818/Sens!$C$10796</f>
        <v>0.708390794789371</v>
      </c>
      <c r="D10819" s="13" t="n">
        <f aca="false">Sens!$D$10818/Sens!$D$10796</f>
        <v>0.619415573115729</v>
      </c>
      <c r="E10819" s="13" t="n">
        <f aca="false">Sens!$E$10818/Sens!$E$10796</f>
        <v>0.374072166056273</v>
      </c>
      <c r="F10819" s="13" t="n">
        <f aca="false">Sens!$F$10818/Sens!$F$10796</f>
        <v>0.553219320710057</v>
      </c>
      <c r="G10819" s="13" t="n">
        <f aca="false">Sens!$G$10818/Sens!$G$10796</f>
        <v>0.488270041527512</v>
      </c>
      <c r="H10819" s="13" t="n">
        <f aca="false">Sens!$H$10818/Sens!$H$10796</f>
        <v>0.435229086816882</v>
      </c>
      <c r="I10819" s="13" t="n">
        <f aca="false">Sens!$I$10818/Sens!$I$10796</f>
        <v>0.364954592421095</v>
      </c>
      <c r="J10819" s="13" t="n">
        <f aca="false">Sens!$J$10818/Sens!$J$10796</f>
        <v>0.330438308582232</v>
      </c>
      <c r="K10819" s="13" t="n">
        <f aca="false">Sens!$K$10818/Sens!$K$10796</f>
        <v>0.2916589289528</v>
      </c>
      <c r="L10819" s="13" t="n">
        <f aca="false">Sens!$L$10818/Sens!$L$10796</f>
        <v>0.268199200593258</v>
      </c>
      <c r="M10819" s="13" t="n">
        <f aca="false">Sens!$M$10818/Sens!$M$10796</f>
        <v>0.244854995033574</v>
      </c>
      <c r="N10819" s="13" t="n">
        <f aca="false">Sens!$N$10818/Sens!$N$10796</f>
        <v>0.551227795793364</v>
      </c>
      <c r="O10819" s="13" t="n">
        <f aca="false">Sens!$O$10818/Sens!$O$10796</f>
        <v>0.656132068597002</v>
      </c>
    </row>
    <row r="10820" customFormat="false" ht="17.15" hidden="false" customHeight="false" outlineLevel="0" collapsed="false">
      <c r="A10820" s="5" t="s">
        <v>645</v>
      </c>
      <c r="B10820" s="0" t="s">
        <v>86</v>
      </c>
      <c r="C10820" s="39" t="n">
        <v>0</v>
      </c>
      <c r="D10820" s="39" t="n">
        <v>0</v>
      </c>
      <c r="E10820" s="39" t="n">
        <v>0</v>
      </c>
      <c r="F10820" s="38" t="n">
        <f aca="false">IF(1=2,1,0)*(1-ext_sh)/ext_sh*(mw_open*he_open+Sens!$F$10794*Sens!$F$10791)*Sens!$F$10780/1000</f>
        <v>0</v>
      </c>
      <c r="G10820" s="38" t="n">
        <f aca="false">Sens!$E$10820+Sens!$F$10820</f>
        <v>0</v>
      </c>
      <c r="H10820" s="38" t="n">
        <f aca="false">IF(1=2,1,0)*(1-ext_sh)/ext_sh*(mw_open*he_open+Sens!$H$10794*Sens!$H$10791)*Sens!$H$10780/1000</f>
        <v>0</v>
      </c>
      <c r="I10820" s="38" t="n">
        <f aca="false">IF(1=2,1,0)*(1-ext_sh)/ext_sh*(mw_open*he_open+Sens!$I$10794*Sens!$I$10791)*Sens!$I$10780/1000</f>
        <v>0</v>
      </c>
      <c r="J10820" s="38" t="n">
        <f aca="false">IF(1=2,1,0)*(1-ext_sh)/ext_sh*(mw_open*he_open+Sens!$J$10794*Sens!$J$10791)*Sens!$J$10780/1000</f>
        <v>0</v>
      </c>
      <c r="K10820" s="38" t="n">
        <f aca="false">IF(1=2,1,0)*(1-ext_sh)/ext_sh*(mw_open*he_open+Sens!$K$10794*Sens!$K$10791)*Sens!$K$10780/1000</f>
        <v>0</v>
      </c>
      <c r="L10820" s="38" t="n">
        <f aca="false">IF(1=2,1,0)*(1-ext_sh)/ext_sh*(mw_open*he_open+Sens!$L$10794*Sens!$L$10791)*Sens!$L$10780/1000</f>
        <v>0</v>
      </c>
      <c r="M10820" s="38" t="n">
        <f aca="false">IF(1=2,1,0)*(1-ext_sh)/ext_sh*(mw_open*he_open+Sens!$M$10794*Sens!$M$10791)*Sens!$M$10780/1000</f>
        <v>0</v>
      </c>
      <c r="N10820" s="39" t="n">
        <v>0</v>
      </c>
      <c r="O10820" s="39" t="n">
        <v>0</v>
      </c>
      <c r="P10820" s="8" t="s">
        <v>646</v>
      </c>
    </row>
    <row r="10821" customFormat="false" ht="17.15" hidden="false" customHeight="false" outlineLevel="0" collapsed="false">
      <c r="A10821" s="5" t="s">
        <v>647</v>
      </c>
      <c r="B10821" s="0" t="s">
        <v>86</v>
      </c>
      <c r="C10821" s="38" t="n">
        <f aca="false">(1-ext_sh)*(Sens!$C$10798+Sens!$C$10814)</f>
        <v>0.169206631859174</v>
      </c>
      <c r="D10821" s="38" t="n">
        <f aca="false">(1-ext_sh)*(Sens!$D$10798+Sens!$D$10814)</f>
        <v>0.828129837730442</v>
      </c>
      <c r="E10821" s="38" t="n">
        <f aca="false">(1-ext_sh)*(Sens!$E$10798+Sens!$E$10814)</f>
        <v>1.33171670102377</v>
      </c>
      <c r="F10821" s="38" t="n">
        <f aca="false">(1-ext_sh)*(Sens!$F$10798+Sens!$F$10814)</f>
        <v>1.67134326207455</v>
      </c>
      <c r="G10821" s="38" t="n">
        <f aca="false">(1-ext_sh)*(Sens!$G$10798+Sens!$G$10814)</f>
        <v>3.00305996309832</v>
      </c>
      <c r="H10821" s="38" t="n">
        <f aca="false">(1-ext_sh)*(Sens!$H$10798+Sens!$H$10814)</f>
        <v>8.49498626530648</v>
      </c>
      <c r="I10821" s="38" t="n">
        <f aca="false">(1-ext_sh)*(Sens!$I$10798+Sens!$I$10814)</f>
        <v>16.1148644972155</v>
      </c>
      <c r="J10821" s="38" t="n">
        <f aca="false">(1-ext_sh)*(Sens!$J$10798+Sens!$J$10814)</f>
        <v>23.9410833819812</v>
      </c>
      <c r="K10821" s="38" t="n">
        <f aca="false">(1-ext_sh)*(Sens!$K$10798+Sens!$K$10814)</f>
        <v>31.6005331796453</v>
      </c>
      <c r="L10821" s="38" t="n">
        <f aca="false">(1-ext_sh)*(Sens!$L$10798+Sens!$L$10814)</f>
        <v>36.9061965404496</v>
      </c>
      <c r="M10821" s="38" t="n">
        <f aca="false">(1-ext_sh)*(Sens!$M$10798+Sens!$M$10814)</f>
        <v>40.1804051073808</v>
      </c>
      <c r="N10821" s="38" t="n">
        <f aca="false">(1-ext_sh)*(Sens!$N$10798+Sens!$N$10814)</f>
        <v>0.34177588266428</v>
      </c>
      <c r="O10821" s="38" t="n">
        <f aca="false">(1-ext_sh)*(Sens!$O$10798+Sens!$O$10814)</f>
        <v>0.486353955066162</v>
      </c>
    </row>
    <row r="10822" customFormat="false" ht="17.15" hidden="false" customHeight="false" outlineLevel="0" collapsed="false">
      <c r="A10822" s="0" t="s">
        <v>648</v>
      </c>
      <c r="B10822" s="0" t="s">
        <v>86</v>
      </c>
      <c r="C10822" s="38" t="n">
        <f aca="false">Q!$D$24</f>
        <v>39.834</v>
      </c>
      <c r="D10822" s="38" t="n">
        <f aca="false">Q!$E$24</f>
        <v>45.606</v>
      </c>
      <c r="E10822" s="38" t="n">
        <f aca="false">Q!$P$24</f>
        <v>30.782</v>
      </c>
      <c r="N10822" s="38" t="n">
        <f aca="false">Q!$N$24</f>
        <v>21.707</v>
      </c>
      <c r="O10822" s="38" t="n">
        <f aca="false">Q!$O$24</f>
        <v>23.899</v>
      </c>
    </row>
    <row r="10823" customFormat="false" ht="17.15" hidden="false" customHeight="false" outlineLevel="0" collapsed="false">
      <c r="A10823" s="0" t="s">
        <v>649</v>
      </c>
      <c r="B10823" s="0" t="s">
        <v>86</v>
      </c>
      <c r="C10823" s="38" t="n">
        <f aca="false">Sens!$C$10822-Sens!$C$10818</f>
        <v>38.1898211704631</v>
      </c>
      <c r="D10823" s="38" t="n">
        <f aca="false">Sens!$D$10822-Sens!$D$10818</f>
        <v>40.2147492622706</v>
      </c>
      <c r="E10823" s="38" t="n">
        <f aca="false">Sens!$E$10822-Sens!$E$10818</f>
        <v>27.5985138285251</v>
      </c>
      <c r="F10823" s="38" t="n">
        <f aca="false">Sens!$F$10800*Sens!$F$10824</f>
        <v>25.5484769754606</v>
      </c>
      <c r="G10823" s="38" t="n">
        <f aca="false">Sens!$E$10823+Sens!$F$10823</f>
        <v>53.1469908039857</v>
      </c>
      <c r="H10823" s="38" t="n">
        <f aca="false">Sens!$H$10800*Sens!$H$10824</f>
        <v>57.3189525076539</v>
      </c>
      <c r="I10823" s="38" t="n">
        <f aca="false">Sens!$I$10800*Sens!$I$10824</f>
        <v>63.6385627021087</v>
      </c>
      <c r="J10823" s="38" t="n">
        <f aca="false">Sens!$J$10800*Sens!$J$10824</f>
        <v>69.6922896066105</v>
      </c>
      <c r="K10823" s="38" t="n">
        <f aca="false">Sens!$K$10800*Sens!$K$10824</f>
        <v>75.2676727751394</v>
      </c>
      <c r="L10823" s="38" t="n">
        <f aca="false">Sens!$L$10800*Sens!$L$10824</f>
        <v>81.2890865971505</v>
      </c>
      <c r="M10823" s="38" t="n">
        <f aca="false">Sens!$M$10800*Sens!$M$10824</f>
        <v>87.7922135249226</v>
      </c>
      <c r="N10823" s="38" t="n">
        <f aca="false">Sens!$N$10822-Sens!$N$10818</f>
        <v>20.0277839996292</v>
      </c>
      <c r="O10823" s="38" t="n">
        <f aca="false">Sens!$O$10822-Sens!$O$10818</f>
        <v>20.1869652626414</v>
      </c>
      <c r="P10823" s="5" t="s">
        <v>650</v>
      </c>
    </row>
    <row r="10824" customFormat="false" ht="17.15" hidden="false" customHeight="false" outlineLevel="0" collapsed="false">
      <c r="A10824" s="0" t="s">
        <v>651</v>
      </c>
      <c r="B10824" s="0" t="s">
        <v>52</v>
      </c>
      <c r="C10824" s="13" t="n">
        <f aca="false">Sens!$C$10823/Sens!$C$10800</f>
        <v>0.362900395443635</v>
      </c>
      <c r="D10824" s="13" t="n">
        <f aca="false">Sens!$D$10823/Sens!$D$10800</f>
        <v>0.335063632425483</v>
      </c>
      <c r="E10824" s="13" t="n">
        <f aca="false">Sens!$E$10823/Sens!$E$10800</f>
        <v>0.387028992698038</v>
      </c>
      <c r="F10824" s="13" t="n">
        <f aca="false">(Sens!$O$10823+Sens!$E$10823)/(Sens!$O$10800+Sens!$E$10800)</f>
        <v>0.355980580118587</v>
      </c>
      <c r="G10824" s="13" t="n">
        <f aca="false">Sens!$G$10823/Sens!$G$10800</f>
        <v>0.371454804780916</v>
      </c>
      <c r="H10824" s="13" t="n">
        <f aca="false">Sens!$F$10824</f>
        <v>0.355980580118587</v>
      </c>
      <c r="I10824" s="13" t="n">
        <f aca="false">Sens!$F$10824</f>
        <v>0.355980580118587</v>
      </c>
      <c r="J10824" s="13" t="n">
        <f aca="false">Sens!$F$10824</f>
        <v>0.355980580118587</v>
      </c>
      <c r="K10824" s="13" t="n">
        <f aca="false">Sens!$F$10824</f>
        <v>0.355980580118587</v>
      </c>
      <c r="L10824" s="13" t="n">
        <f aca="false">Sens!$F$10824</f>
        <v>0.355980580118587</v>
      </c>
      <c r="M10824" s="13" t="n">
        <f aca="false">Sens!$F$10824</f>
        <v>0.355980580118587</v>
      </c>
      <c r="N10824" s="13" t="n">
        <f aca="false">Sens!$N$10823/Sens!$N$10800</f>
        <v>0.35078810535806</v>
      </c>
      <c r="O10824" s="13" t="n">
        <f aca="false">Sens!$O$10823/Sens!$O$10800</f>
        <v>0.320796939361619</v>
      </c>
      <c r="P10824" s="8" t="s">
        <v>652</v>
      </c>
    </row>
    <row r="10825" customFormat="false" ht="17.15" hidden="false" customHeight="false" outlineLevel="0" collapsed="false">
      <c r="A10825" s="0" t="s">
        <v>653</v>
      </c>
      <c r="B10825" s="0" t="s">
        <v>52</v>
      </c>
      <c r="D10825" s="13" t="n">
        <f aca="false">(Q!$E$31-ext_sh*Sens!$D$10814)/Sens!$D$10800</f>
        <v>0.167180325480118</v>
      </c>
    </row>
    <row r="10826" customFormat="false" ht="17.15" hidden="false" customHeight="false" outlineLevel="0" collapsed="false">
      <c r="A10826" s="0" t="s">
        <v>654</v>
      </c>
      <c r="B10826" s="0" t="s">
        <v>86</v>
      </c>
      <c r="C10826" s="38" t="n">
        <f aca="false">Q!$D$31</f>
        <v>13.32</v>
      </c>
      <c r="D10826" s="38" t="n">
        <f aca="false">Q!$E$31</f>
        <v>21.45</v>
      </c>
      <c r="E10826" s="38" t="n">
        <f aca="false">Q!$P$31</f>
        <v>15.353</v>
      </c>
      <c r="F10826" s="38" t="n">
        <f aca="false">ext_sh*Sens!$F$10814+Sens!$D$10825*Sens!$F$10800</f>
        <v>15.4404120185306</v>
      </c>
      <c r="G10826" s="38" t="n">
        <f aca="false">Sens!$E$10826+Sens!$F$10826</f>
        <v>30.7934120185306</v>
      </c>
      <c r="H10826" s="38" t="n">
        <f aca="false">ext_sh*Sens!$H$10814+Sens!$D$10825*Sens!$H$10800</f>
        <v>48.250114371455</v>
      </c>
      <c r="I10826" s="38" t="n">
        <f aca="false">ext_sh*Sens!$I$10814+Sens!$D$10825*Sens!$I$10800</f>
        <v>73.3965146995963</v>
      </c>
      <c r="J10826" s="38" t="n">
        <f aca="false">ext_sh*Sens!$J$10814+Sens!$D$10825*Sens!$J$10800</f>
        <v>99.22806138309</v>
      </c>
      <c r="K10826" s="38" t="n">
        <f aca="false">ext_sh*Sens!$K$10814+Sens!$D$10825*Sens!$K$10800</f>
        <v>125.386627452856</v>
      </c>
      <c r="L10826" s="38" t="n">
        <f aca="false">ext_sh*Sens!$L$10814+Sens!$D$10825*Sens!$L$10800</f>
        <v>144.77239043275</v>
      </c>
      <c r="M10826" s="38" t="n">
        <f aca="false">ext_sh*Sens!$M$10814+Sens!$D$10825*Sens!$M$10800</f>
        <v>158.693930910983</v>
      </c>
      <c r="N10826" s="38" t="n">
        <f aca="false">Q!$N$31</f>
        <v>9.234</v>
      </c>
      <c r="O10826" s="38" t="n">
        <f aca="false">Q!$O$31</f>
        <v>12.216</v>
      </c>
    </row>
    <row r="10827" customFormat="false" ht="17.15" hidden="false" customHeight="false" outlineLevel="0" collapsed="false">
      <c r="A10827" s="1" t="s">
        <v>655</v>
      </c>
    </row>
    <row r="10828" customFormat="false" ht="17.15" hidden="false" customHeight="false" outlineLevel="0" collapsed="false">
      <c r="A10828" s="15" t="s">
        <v>656</v>
      </c>
      <c r="B10828" s="14" t="s">
        <v>52</v>
      </c>
      <c r="C10828" s="14"/>
      <c r="D10828" s="14"/>
      <c r="E10828" s="14"/>
      <c r="F10828" s="14"/>
      <c r="G10828" s="17" t="n">
        <f aca="false">Sens!$G$10818*(1-tax)/(ext_sh*(Sens!$D$10815+Sens!$G$10815)/2)</f>
        <v>0.0966870495301478</v>
      </c>
      <c r="H10828" s="17" t="n">
        <f aca="false">Sens!$H$10818*(1-tax)/(ext_sh*(Sens!$G$10815+Sens!$H$10815)/2)</f>
        <v>0.100492020334136</v>
      </c>
      <c r="I10828" s="17" t="n">
        <f aca="false">Sens!$I$10818*(1-tax)/(ext_sh*(Sens!$H$10815+Sens!$I$10815)/2)</f>
        <v>0.0889392292218236</v>
      </c>
      <c r="J10828" s="17" t="n">
        <f aca="false">Sens!$J$10818*(1-tax)/(ext_sh*(Sens!$I$10815+Sens!$J$10815)/2)</f>
        <v>0.0858364613777012</v>
      </c>
      <c r="K10828" s="17" t="n">
        <f aca="false">Sens!$K$10818*(1-tax)/(ext_sh*(Sens!$J$10815+Sens!$K$10815)/2)</f>
        <v>0.08227162714687</v>
      </c>
      <c r="L10828" s="17" t="n">
        <f aca="false">Sens!$L$10818*(1-tax)/(ext_sh*(Sens!$K$10815+Sens!$L$10815)/2)</f>
        <v>0.0828942732763872</v>
      </c>
      <c r="M10828" s="17" t="n">
        <f aca="false">Sens!$M$10818*(1-tax)/(ext_sh*(Sens!$L$10815+Sens!$M$10815)/2)</f>
        <v>0.0807945482347635</v>
      </c>
      <c r="N10828" s="14"/>
      <c r="O10828" s="14"/>
      <c r="P10828" s="8" t="s">
        <v>657</v>
      </c>
    </row>
    <row r="10829" customFormat="false" ht="17.15" hidden="false" customHeight="false" outlineLevel="0" collapsed="false">
      <c r="A10829" s="5" t="s">
        <v>658</v>
      </c>
      <c r="B10829" s="0" t="s">
        <v>57</v>
      </c>
      <c r="H10829" s="36" t="n">
        <f aca="false">Sens!$H$10796*1000/(mw_open*he_open+Sens!$H$10794*Sens!$H$10791)</f>
        <v>0.991949006767191</v>
      </c>
      <c r="I10829" s="36" t="n">
        <f aca="false">Sens!$I$10796*1000/(mw_open*he_open+Sens!$I$10794*Sens!$I$10791)</f>
        <v>0.991949006767191</v>
      </c>
      <c r="J10829" s="36" t="n">
        <f aca="false">Sens!$J$10796*1000/(mw_open*he_open+Sens!$J$10794*Sens!$J$10791)</f>
        <v>0.991949006767191</v>
      </c>
      <c r="K10829" s="36" t="n">
        <f aca="false">Sens!$K$10796*1000/(mw_open*he_open+Sens!$K$10794*Sens!$K$10791)</f>
        <v>0.991949006767191</v>
      </c>
      <c r="L10829" s="36" t="n">
        <f aca="false">Sens!$L$10796*1000/(mw_open*he_open+Sens!$L$10794*Sens!$L$10791)</f>
        <v>0.991949006767191</v>
      </c>
      <c r="M10829" s="36" t="n">
        <f aca="false">Sens!$M$10796*1000/(mw_open*he_open+Sens!$M$10794*Sens!$M$10791)</f>
        <v>0.991949006767191</v>
      </c>
    </row>
    <row r="10830" customFormat="false" ht="17.15" hidden="false" customHeight="false" outlineLevel="0" collapsed="false">
      <c r="A10830" s="5" t="s">
        <v>659</v>
      </c>
      <c r="B10830" s="0" t="s">
        <v>57</v>
      </c>
      <c r="H10830" s="36" t="n">
        <f aca="false">Sens!$H$10829*(Sens!$H$10796+wacc*ext_sh*(Sens!$G$10815+Sens!$H$10815)/2/(1-tax)-Sens!$H$10818)/Sens!$H$10796</f>
        <v>1.04696246089529</v>
      </c>
      <c r="I10830" s="36" t="n">
        <f aca="false">Sens!$I$10829*(Sens!$I$10796+wacc*ext_sh*(Sens!$H$10815+Sens!$I$10815)/2/(1-tax)-Sens!$I$10818)/Sens!$I$10796</f>
        <v>1.09109607940198</v>
      </c>
      <c r="J10830" s="36" t="n">
        <f aca="false">Sens!$J$10829*(Sens!$J$10796+wacc*ext_sh*(Sens!$I$10815+Sens!$J$10815)/2/(1-tax)-Sens!$J$10818)/Sens!$J$10796</f>
        <v>1.09681234280071</v>
      </c>
      <c r="K10830" s="36" t="n">
        <f aca="false">Sens!$K$10829*(Sens!$K$10796+wacc*ext_sh*(Sens!$J$10815+Sens!$K$10815)/2/(1-tax)-Sens!$K$10818)/Sens!$K$10796</f>
        <v>1.10105220068984</v>
      </c>
      <c r="L10830" s="36" t="n">
        <f aca="false">Sens!$L$10829*(Sens!$L$10796+wacc*ext_sh*(Sens!$K$10815+Sens!$L$10815)/2/(1-tax)-Sens!$L$10818)/Sens!$L$10796</f>
        <v>1.08952452639895</v>
      </c>
      <c r="M10830" s="36" t="n">
        <f aca="false">Sens!$M$10829*(Sens!$M$10796+wacc*ext_sh*(Sens!$L$10815+Sens!$M$10815)/2/(1-tax)-Sens!$M$10818)/Sens!$M$10796</f>
        <v>1.08965878549519</v>
      </c>
    </row>
    <row r="10831" customFormat="false" ht="17.15" hidden="false" customHeight="false" outlineLevel="0" collapsed="false">
      <c r="A10831" s="5" t="s">
        <v>660</v>
      </c>
      <c r="B10831" s="0" t="s">
        <v>52</v>
      </c>
      <c r="C10831" s="13" t="n">
        <f aca="false">Sens!$C$10797/tk_pq</f>
        <v>0.195316432429398</v>
      </c>
      <c r="D10831" s="13" t="n">
        <f aca="false">Sens!$D$10797/tk_pq</f>
        <v>0.195316432429398</v>
      </c>
      <c r="E10831" s="13" t="n">
        <f aca="false">Sens!$E$10797/tk_pq</f>
        <v>0.195316432429398</v>
      </c>
      <c r="F10831" s="13" t="n">
        <f aca="false">Sens!$F$10797/tk_pq</f>
        <v>0.202241827274866</v>
      </c>
      <c r="G10831" s="13" t="n">
        <f aca="false">Sens!$G$10797/tk_pq</f>
        <v>0.199675016194063</v>
      </c>
      <c r="H10831" s="13" t="n">
        <f aca="false">Sens!$H$10797/tk_pq</f>
        <v>0.212647947710325</v>
      </c>
      <c r="I10831" s="13" t="n">
        <f aca="false">Sens!$I$10797/tk_pq</f>
        <v>0.219285125475351</v>
      </c>
      <c r="J10831" s="13" t="n">
        <f aca="false">Sens!$J$10797/tk_pq</f>
        <v>0.222492493217189</v>
      </c>
      <c r="K10831" s="13" t="n">
        <f aca="false">Sens!$K$10797/tk_pq</f>
        <v>0.224053502812094</v>
      </c>
      <c r="L10831" s="13" t="n">
        <f aca="false">Sens!$L$10797/tk_pq</f>
        <v>0.224786916785614</v>
      </c>
      <c r="M10831" s="13" t="n">
        <f aca="false">Sens!$M$10797/tk_pq</f>
        <v>0.225048671566937</v>
      </c>
      <c r="N10831" s="13" t="n">
        <f aca="false">Sens!$N$10797/tk_pq</f>
        <v>0.195316432429398</v>
      </c>
      <c r="O10831" s="13" t="n">
        <f aca="false">Sens!$O$10797/tk_pq</f>
        <v>0.195316432429398</v>
      </c>
      <c r="P10831" s="5" t="s">
        <v>661</v>
      </c>
    </row>
    <row r="10834" customFormat="false" ht="17.15" hidden="false" customHeight="false" outlineLevel="0" collapsed="false">
      <c r="A10834" s="1" t="s">
        <v>690</v>
      </c>
    </row>
    <row r="10835" customFormat="false" ht="17.15" hidden="false" customHeight="false" outlineLevel="0" collapsed="false">
      <c r="A10835" s="0" t="s">
        <v>691</v>
      </c>
      <c r="B10835" s="0" t="s">
        <v>86</v>
      </c>
      <c r="C10835" s="38" t="n">
        <f aca="false">Sens!$C$10796</f>
        <v>2.32100535697364</v>
      </c>
      <c r="D10835" s="38" t="n">
        <f aca="false">Sens!$D$10796</f>
        <v>8.70377008865116</v>
      </c>
      <c r="E10835" s="38" t="n">
        <f aca="false">Sens!$E$10796</f>
        <v>8.51035297557002</v>
      </c>
      <c r="F10835" s="38" t="n">
        <f aca="false">Sens!$F$10796</f>
        <v>14.9634336447205</v>
      </c>
      <c r="G10835" s="38" t="n">
        <f aca="false">Sens!$G$10796</f>
        <v>23.4737866202905</v>
      </c>
      <c r="H10835" s="38" t="n">
        <f aca="false">Sens!$H$10796</f>
        <v>60.1658907497746</v>
      </c>
      <c r="I10835" s="38" t="n">
        <f aca="false">Sens!$I$10796</f>
        <v>101.503699136432</v>
      </c>
      <c r="J10835" s="38" t="n">
        <f aca="false">Sens!$J$10796</f>
        <v>143.025407151278</v>
      </c>
      <c r="K10835" s="38" t="n">
        <f aca="false">Sens!$K$10796</f>
        <v>178.44812038318</v>
      </c>
      <c r="L10835" s="38" t="n">
        <f aca="false">Sens!$L$10796</f>
        <v>201.728101802396</v>
      </c>
      <c r="M10835" s="38" t="n">
        <f aca="false">Sens!$M$10796</f>
        <v>212.835441368865</v>
      </c>
      <c r="N10835" s="38" t="n">
        <f aca="false">Sens!$N$10796</f>
        <v>3.04631953102791</v>
      </c>
      <c r="O10835" s="38" t="n">
        <f aca="false">Sens!$O$10796</f>
        <v>5.65745055762326</v>
      </c>
      <c r="P10835" s="8" t="s">
        <v>692</v>
      </c>
    </row>
    <row r="10836" customFormat="false" ht="17.15" hidden="false" customHeight="false" outlineLevel="0" collapsed="false">
      <c r="A10836" s="0" t="s">
        <v>693</v>
      </c>
      <c r="B10836" s="0" t="s">
        <v>86</v>
      </c>
      <c r="C10836" s="38" t="n">
        <f aca="false">Sens!$C$10800</f>
        <v>105.234994643026</v>
      </c>
      <c r="D10836" s="38" t="n">
        <f aca="false">Sens!$D$10800</f>
        <v>120.021229911349</v>
      </c>
      <c r="E10836" s="38" t="n">
        <f aca="false">Sens!$E$10800</f>
        <v>71.30864702443</v>
      </c>
      <c r="F10836" s="38" t="n">
        <f aca="false">Sens!$F$10800</f>
        <v>71.7692997942464</v>
      </c>
      <c r="G10836" s="38" t="n">
        <f aca="false">Sens!$G$10800</f>
        <v>143.077946818676</v>
      </c>
      <c r="H10836" s="38" t="n">
        <f aca="false">Sens!$H$10800</f>
        <v>161.017077079203</v>
      </c>
      <c r="I10836" s="38" t="n">
        <f aca="false">Sens!$I$10800</f>
        <v>178.769759521457</v>
      </c>
      <c r="J10836" s="38" t="n">
        <f aca="false">Sens!$J$10800</f>
        <v>195.775538045907</v>
      </c>
      <c r="K10836" s="38" t="n">
        <f aca="false">Sens!$K$10800</f>
        <v>211.43758108958</v>
      </c>
      <c r="L10836" s="38" t="n">
        <f aca="false">Sens!$L$10800</f>
        <v>228.352587576746</v>
      </c>
      <c r="M10836" s="38" t="n">
        <f aca="false">Sens!$M$10800</f>
        <v>246.620794582886</v>
      </c>
      <c r="N10836" s="38" t="n">
        <f aca="false">Sens!$N$10800</f>
        <v>57.0936804689721</v>
      </c>
      <c r="O10836" s="38" t="n">
        <f aca="false">Sens!$O$10800</f>
        <v>62.9275494423768</v>
      </c>
      <c r="P10836" s="8" t="s">
        <v>692</v>
      </c>
    </row>
    <row r="10837" customFormat="false" ht="17.15" hidden="false" customHeight="false" outlineLevel="0" collapsed="false">
      <c r="A10837" s="1" t="s">
        <v>516</v>
      </c>
      <c r="B10837" s="8" t="s">
        <v>86</v>
      </c>
      <c r="C10837" s="38" t="n">
        <f aca="false">Q!$D$7</f>
        <v>107.556</v>
      </c>
      <c r="D10837" s="38" t="n">
        <f aca="false">Q!$E$7</f>
        <v>128.725</v>
      </c>
      <c r="E10837" s="38" t="n">
        <f aca="false">Q!$P$7</f>
        <v>79.819</v>
      </c>
      <c r="F10837" s="38" t="n">
        <f aca="false">Sens!$F$10835+Sens!$F$10836</f>
        <v>86.7327334389669</v>
      </c>
      <c r="G10837" s="38" t="n">
        <f aca="false">Sens!$G$10835+Sens!$G$10836</f>
        <v>166.551733438967</v>
      </c>
      <c r="H10837" s="38" t="n">
        <f aca="false">Sens!$H$10835+Sens!$H$10836</f>
        <v>221.182967828978</v>
      </c>
      <c r="I10837" s="38" t="n">
        <f aca="false">Sens!$I$10835+Sens!$I$10836</f>
        <v>280.27345865789</v>
      </c>
      <c r="J10837" s="38" t="n">
        <f aca="false">Sens!$J$10835+Sens!$J$10836</f>
        <v>338.800945197185</v>
      </c>
      <c r="K10837" s="38" t="n">
        <f aca="false">Sens!$K$10835+Sens!$K$10836</f>
        <v>389.88570147276</v>
      </c>
      <c r="L10837" s="38" t="n">
        <f aca="false">Sens!$L$10835+Sens!$L$10836</f>
        <v>430.080689379143</v>
      </c>
      <c r="M10837" s="38" t="n">
        <f aca="false">Sens!$M$10835+Sens!$M$10836</f>
        <v>459.456235951751</v>
      </c>
      <c r="N10837" s="38" t="n">
        <f aca="false">Q!$N$7</f>
        <v>60.14</v>
      </c>
      <c r="O10837" s="38" t="n">
        <f aca="false">Q!$O$7</f>
        <v>68.585</v>
      </c>
      <c r="P10837" s="5" t="s">
        <v>694</v>
      </c>
    </row>
    <row r="10838" customFormat="false" ht="15" hidden="false" customHeight="false" outlineLevel="0" collapsed="false">
      <c r="A10838" s="3" t="s">
        <v>695</v>
      </c>
      <c r="B10838" s="8" t="s">
        <v>86</v>
      </c>
      <c r="C10838" s="38" t="n">
        <f aca="false">Q!$D$8</f>
        <v>637.959</v>
      </c>
      <c r="D10838" s="38" t="n">
        <f aca="false">Q!$E$8</f>
        <v>716.924</v>
      </c>
      <c r="E10838" s="38" t="n">
        <f aca="false">Q!$P$8</f>
        <v>382.125</v>
      </c>
      <c r="F10838" s="38" t="n">
        <f aca="false">Sens!$F$10768+Sens!$F$10837</f>
        <v>435.780975084504</v>
      </c>
      <c r="G10838" s="38" t="n">
        <f aca="false">Sens!$G$10768+Sens!$G$10837</f>
        <v>817.905975084504</v>
      </c>
      <c r="H10838" s="38" t="n">
        <f aca="false">Sens!$H$10768+Sens!$H$10837</f>
        <v>942.279857350364</v>
      </c>
      <c r="I10838" s="38" t="n">
        <f aca="false">Sens!$I$10768+Sens!$I$10837</f>
        <v>1068.80284981042</v>
      </c>
      <c r="J10838" s="38" t="n">
        <f aca="false">Sens!$J$10768+Sens!$J$10837</f>
        <v>1189.90935093863</v>
      </c>
      <c r="K10838" s="38" t="n">
        <f aca="false">Sens!$K$10768+Sens!$K$10837</f>
        <v>1296.06215690385</v>
      </c>
      <c r="L10838" s="38" t="n">
        <f aca="false">Sens!$L$10768+Sens!$L$10837</f>
        <v>1395.17379585473</v>
      </c>
      <c r="M10838" s="38" t="n">
        <f aca="false">Sens!$M$10768+Sens!$M$10837</f>
        <v>1487.60414389864</v>
      </c>
      <c r="N10838" s="38" t="n">
        <f aca="false">Q!$N$8</f>
        <v>323.369</v>
      </c>
      <c r="O10838" s="38" t="n">
        <f aca="false">Q!$O$8</f>
        <v>393.555</v>
      </c>
    </row>
    <row r="10839" customFormat="false" ht="17.15" hidden="false" customHeight="false" outlineLevel="0" collapsed="false">
      <c r="A10839" s="24" t="s">
        <v>703</v>
      </c>
      <c r="B10839" s="25" t="s">
        <v>86</v>
      </c>
      <c r="C10839" s="41" t="n">
        <f aca="false">Sens!$C$10768-(Sens!$C$10770+Sens!$C$10771)</f>
        <v>0</v>
      </c>
      <c r="D10839" s="41" t="n">
        <f aca="false">Sens!$D$10768-(Sens!$D$10770+Sens!$D$10771)</f>
        <v>0</v>
      </c>
      <c r="E10839" s="41" t="n">
        <f aca="false">Sens!$E$10768-(Sens!$E$10770+Sens!$E$10771)</f>
        <v>0</v>
      </c>
      <c r="F10839" s="41" t="n">
        <f aca="false">Sens!$F$10768-(Sens!$F$10770+Sens!$F$10771)</f>
        <v>0</v>
      </c>
      <c r="G10839" s="41" t="n">
        <f aca="false">Sens!$G$10768-(Sens!$G$10770+Sens!$G$10771)</f>
        <v>0</v>
      </c>
      <c r="H10839" s="41" t="n">
        <f aca="false">Sens!$H$10768-(Sens!$H$10770+Sens!$H$10771)</f>
        <v>0</v>
      </c>
      <c r="I10839" s="41" t="n">
        <f aca="false">Sens!$I$10768-(Sens!$I$10770+Sens!$I$10771)</f>
        <v>0</v>
      </c>
      <c r="J10839" s="41" t="n">
        <f aca="false">Sens!$J$10768-(Sens!$J$10770+Sens!$J$10771)</f>
        <v>0</v>
      </c>
      <c r="K10839" s="41" t="n">
        <f aca="false">Sens!$K$10768-(Sens!$K$10770+Sens!$K$10771)</f>
        <v>0</v>
      </c>
      <c r="L10839" s="41" t="n">
        <f aca="false">Sens!$L$10768-(Sens!$L$10770+Sens!$L$10771)</f>
        <v>0</v>
      </c>
      <c r="M10839" s="41" t="n">
        <f aca="false">Sens!$M$10768-(Sens!$M$10770+Sens!$M$10771)</f>
        <v>0</v>
      </c>
      <c r="N10839" s="41" t="n">
        <f aca="false">Sens!$N$10768-(Sens!$N$10770+Sens!$N$10771)</f>
        <v>0</v>
      </c>
      <c r="O10839" s="41" t="n">
        <f aca="false">Sens!$O$10768-(Sens!$O$10770+Sens!$O$10771)</f>
        <v>0</v>
      </c>
    </row>
    <row r="10840" customFormat="false" ht="17.15" hidden="false" customHeight="false" outlineLevel="0" collapsed="false">
      <c r="A10840" s="24" t="s">
        <v>704</v>
      </c>
      <c r="B10840" s="25" t="s">
        <v>86</v>
      </c>
      <c r="C10840" s="41" t="n">
        <f aca="false">Sens!$C$10835+Sens!$C$10836-Sens!$C$10837</f>
        <v>0</v>
      </c>
      <c r="D10840" s="41" t="n">
        <f aca="false">Sens!$D$10835+Sens!$D$10836-Sens!$D$10837</f>
        <v>0</v>
      </c>
      <c r="E10840" s="41" t="n">
        <f aca="false">Sens!$E$10835+Sens!$E$10836-Sens!$E$10837</f>
        <v>0</v>
      </c>
      <c r="F10840" s="41" t="n">
        <f aca="false">Sens!$F$10835+Sens!$F$10836-Sens!$F$10837</f>
        <v>0</v>
      </c>
      <c r="G10840" s="41" t="n">
        <f aca="false">Sens!$G$10835+Sens!$G$10836-Sens!$G$10837</f>
        <v>0</v>
      </c>
      <c r="H10840" s="41" t="n">
        <f aca="false">Sens!$H$10835+Sens!$H$10836-Sens!$H$10837</f>
        <v>0</v>
      </c>
      <c r="I10840" s="41" t="n">
        <f aca="false">Sens!$I$10835+Sens!$I$10836-Sens!$I$10837</f>
        <v>0</v>
      </c>
      <c r="J10840" s="41" t="n">
        <f aca="false">Sens!$J$10835+Sens!$J$10836-Sens!$J$10837</f>
        <v>0</v>
      </c>
      <c r="K10840" s="41" t="n">
        <f aca="false">Sens!$K$10835+Sens!$K$10836-Sens!$K$10837</f>
        <v>0</v>
      </c>
      <c r="L10840" s="41" t="n">
        <f aca="false">Sens!$L$10835+Sens!$L$10836-Sens!$L$10837</f>
        <v>0</v>
      </c>
      <c r="M10840" s="41" t="n">
        <f aca="false">Sens!$M$10835+Sens!$M$10836-Sens!$M$10837</f>
        <v>0</v>
      </c>
      <c r="N10840" s="41" t="n">
        <f aca="false">Sens!$N$10835+Sens!$N$10836-Sens!$N$10837</f>
        <v>0</v>
      </c>
      <c r="O10840" s="41" t="n">
        <f aca="false">Sens!$O$10835+Sens!$O$10836-Sens!$O$10837</f>
        <v>0</v>
      </c>
    </row>
    <row r="10841" customFormat="false" ht="17.15" hidden="false" customHeight="false" outlineLevel="0" collapsed="false">
      <c r="A10841" s="24" t="s">
        <v>705</v>
      </c>
      <c r="B10841" s="25" t="s">
        <v>86</v>
      </c>
      <c r="C10841" s="41" t="n">
        <f aca="false">Sens!$C$10770+Sens!$C$10771+Sens!$C$10837-Sens!$C$10838</f>
        <v>0</v>
      </c>
      <c r="D10841" s="41" t="n">
        <f aca="false">Sens!$D$10770+Sens!$D$10771+Sens!$D$10837-Sens!$D$10838</f>
        <v>0</v>
      </c>
      <c r="E10841" s="41" t="n">
        <f aca="false">Sens!$E$10770+Sens!$E$10771+Sens!$E$10837-Sens!$E$10838</f>
        <v>0</v>
      </c>
      <c r="F10841" s="41" t="n">
        <f aca="false">Sens!$F$10770+Sens!$F$10771+Sens!$F$10837-Sens!$F$10838</f>
        <v>0</v>
      </c>
      <c r="G10841" s="41" t="n">
        <f aca="false">Sens!$G$10770+Sens!$G$10771+Sens!$G$10837-Sens!$G$10838</f>
        <v>0</v>
      </c>
      <c r="H10841" s="41" t="n">
        <f aca="false">Sens!$H$10770+Sens!$H$10771+Sens!$H$10837-Sens!$H$10838</f>
        <v>0</v>
      </c>
      <c r="I10841" s="41" t="n">
        <f aca="false">Sens!$I$10770+Sens!$I$10771+Sens!$I$10837-Sens!$I$10838</f>
        <v>0</v>
      </c>
      <c r="J10841" s="41" t="n">
        <f aca="false">Sens!$J$10770+Sens!$J$10771+Sens!$J$10837-Sens!$J$10838</f>
        <v>0</v>
      </c>
      <c r="K10841" s="41" t="n">
        <f aca="false">Sens!$K$10770+Sens!$K$10771+Sens!$K$10837-Sens!$K$10838</f>
        <v>0</v>
      </c>
      <c r="L10841" s="41" t="n">
        <f aca="false">Sens!$L$10770+Sens!$L$10771+Sens!$L$10837-Sens!$L$10838</f>
        <v>0</v>
      </c>
      <c r="M10841" s="41" t="n">
        <f aca="false">Sens!$M$10770+Sens!$M$10771+Sens!$M$10837-Sens!$M$10838</f>
        <v>0</v>
      </c>
      <c r="N10841" s="41" t="n">
        <f aca="false">Sens!$N$10770+Sens!$N$10771+Sens!$N$10837-Sens!$N$10838</f>
        <v>0</v>
      </c>
      <c r="O10841" s="41" t="n">
        <f aca="false">Sens!$O$10770+Sens!$O$10771+Sens!$O$10837-Sens!$O$10838</f>
        <v>0</v>
      </c>
    </row>
    <row r="10842" customFormat="false" ht="15" hidden="false" customHeight="false" outlineLevel="0" collapsed="false">
      <c r="A10842" s="5" t="s">
        <v>699</v>
      </c>
      <c r="B10842" s="0" t="s">
        <v>52</v>
      </c>
      <c r="G10842" s="13" t="n">
        <f aca="false">Sens!$G$10838/Sens!$D$10838-1</f>
        <v>0.140854504918937</v>
      </c>
      <c r="H10842" s="13" t="n">
        <f aca="false">Sens!$H$10838/Sens!$G$10838-1</f>
        <v>0.152063789793209</v>
      </c>
      <c r="I10842" s="13" t="n">
        <f aca="false">Sens!$I$10838/Sens!$H$10838-1</f>
        <v>0.134273264437417</v>
      </c>
      <c r="J10842" s="13" t="n">
        <f aca="false">Sens!$J$10838/Sens!$I$10838-1</f>
        <v>0.113310421234083</v>
      </c>
      <c r="K10842" s="13" t="n">
        <f aca="false">Sens!$K$10838/Sens!$J$10838-1</f>
        <v>0.0892108343223652</v>
      </c>
      <c r="L10842" s="13" t="n">
        <f aca="false">Sens!$L$10838/Sens!$K$10838-1</f>
        <v>0.076471362444261</v>
      </c>
      <c r="M10842" s="13" t="n">
        <f aca="false">Sens!$M$10838/Sens!$L$10838-1</f>
        <v>0.066250060256672</v>
      </c>
    </row>
    <row r="10843" customFormat="false" ht="17.15" hidden="false" customHeight="false" outlineLevel="0" collapsed="false">
      <c r="A10843" s="0" t="s">
        <v>700</v>
      </c>
      <c r="B10843" s="0" t="s">
        <v>52</v>
      </c>
      <c r="C10843" s="13" t="n">
        <f aca="false">Sens!$C$10837/Sens!$C$10838</f>
        <v>0.168593906504964</v>
      </c>
      <c r="D10843" s="13" t="n">
        <f aca="false">Sens!$D$10837/Sens!$D$10838</f>
        <v>0.179551807444025</v>
      </c>
      <c r="E10843" s="13" t="n">
        <f aca="false">Sens!$E$10837/Sens!$E$10838</f>
        <v>0.208881910369643</v>
      </c>
      <c r="F10843" s="13" t="n">
        <f aca="false">Sens!$F$10837/Sens!$F$10838</f>
        <v>0.199028269699356</v>
      </c>
      <c r="G10843" s="13" t="n">
        <f aca="false">Sens!$G$10837/Sens!$G$10838</f>
        <v>0.203631882529968</v>
      </c>
      <c r="H10843" s="13" t="n">
        <f aca="false">Sens!$H$10837/Sens!$H$10838</f>
        <v>0.234731715958496</v>
      </c>
      <c r="I10843" s="13" t="n">
        <f aca="false">Sens!$I$10837/Sens!$I$10838</f>
        <v>0.262231204480418</v>
      </c>
      <c r="J10843" s="13" t="n">
        <f aca="false">Sens!$J$10837/Sens!$J$10838</f>
        <v>0.284728366013706</v>
      </c>
      <c r="K10843" s="13" t="n">
        <f aca="false">Sens!$K$10837/Sens!$K$10838</f>
        <v>0.300823304959505</v>
      </c>
      <c r="L10843" s="13" t="n">
        <f aca="false">Sens!$L$10837/Sens!$L$10838</f>
        <v>0.308263164529735</v>
      </c>
      <c r="M10843" s="13" t="n">
        <f aca="false">Sens!$M$10837/Sens!$M$10838</f>
        <v>0.308856517936036</v>
      </c>
      <c r="N10843" s="13" t="n">
        <f aca="false">Sens!$N$10837/Sens!$N$10838</f>
        <v>0.185979484737251</v>
      </c>
      <c r="O10843" s="13" t="n">
        <f aca="false">Sens!$O$10837/Sens!$O$10838</f>
        <v>0.174270432341096</v>
      </c>
    </row>
    <row r="10844" customFormat="false" ht="17.15" hidden="false" customHeight="false" outlineLevel="0" collapsed="false">
      <c r="A10844" s="0" t="s">
        <v>701</v>
      </c>
      <c r="B10844" s="0" t="s">
        <v>52</v>
      </c>
      <c r="C10844" s="13" t="n">
        <f aca="false">Sens!$C$10835/Sens!$C$10837</f>
        <v>0.0215795060896058</v>
      </c>
      <c r="D10844" s="13" t="n">
        <f aca="false">Sens!$D$10835/Sens!$D$10837</f>
        <v>0.0676152269462122</v>
      </c>
      <c r="E10844" s="13" t="n">
        <f aca="false">Sens!$E$10835/Sens!$E$10837</f>
        <v>0.106620641395783</v>
      </c>
      <c r="F10844" s="13" t="n">
        <f aca="false">Sens!$F$10835/Sens!$F$10837</f>
        <v>0.172523487401099</v>
      </c>
      <c r="G10844" s="13" t="n">
        <f aca="false">Sens!$G$10835/Sens!$G$10837</f>
        <v>0.140939911795589</v>
      </c>
      <c r="H10844" s="13" t="n">
        <f aca="false">Sens!$H$10835/Sens!$H$10837</f>
        <v>0.272018642937714</v>
      </c>
      <c r="I10844" s="13" t="n">
        <f aca="false">Sens!$I$10835/Sens!$I$10837</f>
        <v>0.362159512436497</v>
      </c>
      <c r="J10844" s="13" t="n">
        <f aca="false">Sens!$J$10835/Sens!$J$10837</f>
        <v>0.422151735934609</v>
      </c>
      <c r="K10844" s="13" t="n">
        <f aca="false">Sens!$K$10835/Sens!$K$10837</f>
        <v>0.45769342068485</v>
      </c>
      <c r="L10844" s="13" t="n">
        <f aca="false">Sens!$L$10835/Sens!$L$10837</f>
        <v>0.469047103913472</v>
      </c>
      <c r="M10844" s="13" t="n">
        <f aca="false">Sens!$M$10835/Sens!$M$10837</f>
        <v>0.463233328258093</v>
      </c>
      <c r="N10844" s="13" t="n">
        <f aca="false">Sens!$N$10835/Sens!$N$10837</f>
        <v>0.0506537999838362</v>
      </c>
      <c r="O10844" s="13" t="n">
        <f aca="false">Sens!$O$10835/Sens!$O$10837</f>
        <v>0.0824881615167056</v>
      </c>
    </row>
    <row r="10847" customFormat="false" ht="19.4" hidden="false" customHeight="false" outlineLevel="0" collapsed="false">
      <c r="A10847" s="31" t="s">
        <v>1357</v>
      </c>
    </row>
    <row r="10848" customFormat="false" ht="17.15" hidden="false" customHeight="false" outlineLevel="0" collapsed="false">
      <c r="A10848" s="6" t="s">
        <v>16</v>
      </c>
      <c r="B10848" s="6" t="s">
        <v>17</v>
      </c>
      <c r="C10848" s="20" t="s">
        <v>497</v>
      </c>
      <c r="D10848" s="20" t="s">
        <v>498</v>
      </c>
      <c r="E10848" s="20" t="s">
        <v>580</v>
      </c>
      <c r="F10848" s="20" t="s">
        <v>581</v>
      </c>
      <c r="G10848" s="20" t="s">
        <v>582</v>
      </c>
      <c r="H10848" s="20" t="s">
        <v>583</v>
      </c>
      <c r="I10848" s="20" t="s">
        <v>584</v>
      </c>
      <c r="J10848" s="20" t="s">
        <v>585</v>
      </c>
      <c r="K10848" s="20" t="s">
        <v>586</v>
      </c>
      <c r="L10848" s="20" t="s">
        <v>587</v>
      </c>
      <c r="M10848" s="20" t="s">
        <v>588</v>
      </c>
      <c r="N10848" s="20" t="s">
        <v>589</v>
      </c>
      <c r="O10848" s="20" t="s">
        <v>590</v>
      </c>
      <c r="P10848" s="6" t="s">
        <v>23</v>
      </c>
      <c r="R10848" s="20" t="n">
        <v>2023</v>
      </c>
      <c r="S10848" s="20" t="n">
        <v>2024</v>
      </c>
      <c r="T10848" s="20" t="n">
        <v>2025</v>
      </c>
      <c r="U10848" s="20" t="n">
        <v>2026</v>
      </c>
      <c r="V10848" s="20" t="n">
        <v>2027</v>
      </c>
      <c r="W10848" s="20" t="n">
        <v>2028</v>
      </c>
      <c r="X10848" s="20" t="n">
        <v>2029</v>
      </c>
      <c r="Y10848" s="20" t="n">
        <v>2030</v>
      </c>
      <c r="Z10848" s="20" t="n">
        <v>2031</v>
      </c>
      <c r="AA10848" s="20" t="n">
        <v>2032</v>
      </c>
    </row>
    <row r="10849" customFormat="false" ht="17.15" hidden="false" customHeight="false" outlineLevel="0" collapsed="false">
      <c r="A10849" s="1" t="s">
        <v>716</v>
      </c>
    </row>
    <row r="10850" customFormat="false" ht="15" hidden="false" customHeight="false" outlineLevel="0" collapsed="false">
      <c r="A10850" s="0" t="s">
        <v>519</v>
      </c>
      <c r="B10850" s="0" t="s">
        <v>86</v>
      </c>
      <c r="C10850" s="38" t="n">
        <f aca="false">Sens!$C$10755</f>
        <v>247.029</v>
      </c>
      <c r="D10850" s="38" t="n">
        <f aca="false">Sens!$D$10755</f>
        <v>269.287</v>
      </c>
      <c r="E10850" s="38" t="n">
        <f aca="false">Sens!$E$10755</f>
        <v>134.686</v>
      </c>
      <c r="F10850" s="38" t="n">
        <f aca="false">Sens!$F$10755</f>
        <v>158.293876822267</v>
      </c>
      <c r="G10850" s="38" t="n">
        <f aca="false">Sens!$G$10755</f>
        <v>292.979876822267</v>
      </c>
      <c r="H10850" s="38" t="n">
        <f aca="false">Sens!$H$10755</f>
        <v>318.184543087396</v>
      </c>
      <c r="I10850" s="38" t="n">
        <f aca="false">Sens!$I$10755</f>
        <v>341.736278761793</v>
      </c>
      <c r="J10850" s="38" t="n">
        <f aca="false">Sens!$J$10755</f>
        <v>362.927192787048</v>
      </c>
      <c r="K10850" s="38" t="n">
        <f aca="false">Sens!$K$10755</f>
        <v>381.0735524264</v>
      </c>
      <c r="L10850" s="38" t="n">
        <f aca="false">Sens!$L$10755</f>
        <v>400.12723004772</v>
      </c>
      <c r="M10850" s="38" t="n">
        <f aca="false">Sens!$M$10755</f>
        <v>420.133591550106</v>
      </c>
      <c r="N10850" s="38" t="n">
        <f aca="false">Sens!$N$10755</f>
        <v>118.892</v>
      </c>
      <c r="O10850" s="38" t="n">
        <f aca="false">Sens!$O$10755</f>
        <v>150.395</v>
      </c>
    </row>
    <row r="10851" customFormat="false" ht="15" hidden="false" customHeight="false" outlineLevel="0" collapsed="false">
      <c r="A10851" s="0" t="s">
        <v>520</v>
      </c>
      <c r="B10851" s="0" t="s">
        <v>86</v>
      </c>
      <c r="C10851" s="38" t="n">
        <f aca="false">Sens!$C$10757</f>
        <v>21.215</v>
      </c>
      <c r="D10851" s="38" t="n">
        <f aca="false">Sens!$D$10757</f>
        <v>22.561</v>
      </c>
      <c r="E10851" s="38" t="n">
        <f aca="false">Sens!$E$10757</f>
        <v>11.579</v>
      </c>
      <c r="F10851" s="38" t="n">
        <f aca="false">Sens!$F$10757</f>
        <v>11.5938724610325</v>
      </c>
      <c r="G10851" s="38" t="n">
        <f aca="false">Sens!$G$10757</f>
        <v>23.1728724610325</v>
      </c>
      <c r="H10851" s="38" t="n">
        <f aca="false">Sens!$H$10757</f>
        <v>24.353392759506</v>
      </c>
      <c r="I10851" s="38" t="n">
        <f aca="false">Sens!$I$10757</f>
        <v>25.4240338872015</v>
      </c>
      <c r="J10851" s="38" t="n">
        <f aca="false">Sens!$J$10757</f>
        <v>26.3642491017174</v>
      </c>
      <c r="K10851" s="38" t="n">
        <f aca="false">Sens!$K$10757</f>
        <v>27.155176574769</v>
      </c>
      <c r="L10851" s="38" t="n">
        <f aca="false">Sens!$L$10757</f>
        <v>27.969831872012</v>
      </c>
      <c r="M10851" s="38" t="n">
        <f aca="false">Sens!$M$10757</f>
        <v>28.8089268281724</v>
      </c>
      <c r="N10851" s="38" t="n">
        <f aca="false">Sens!$N$10757</f>
        <v>11.128</v>
      </c>
      <c r="O10851" s="38" t="n">
        <f aca="false">Sens!$O$10757</f>
        <v>11.433</v>
      </c>
    </row>
    <row r="10852" customFormat="false" ht="15" hidden="false" customHeight="false" outlineLevel="0" collapsed="false">
      <c r="A10852" s="0" t="s">
        <v>521</v>
      </c>
      <c r="B10852" s="0" t="s">
        <v>86</v>
      </c>
      <c r="C10852" s="38" t="n">
        <f aca="false">Sens!$C$10759</f>
        <v>156.146</v>
      </c>
      <c r="D10852" s="38" t="n">
        <f aca="false">Sens!$D$10759</f>
        <v>172.162</v>
      </c>
      <c r="E10852" s="38" t="n">
        <f aca="false">Sens!$E$10759</f>
        <v>88.358</v>
      </c>
      <c r="F10852" s="38" t="n">
        <f aca="false">Sens!$F$10759</f>
        <v>102.004388260171</v>
      </c>
      <c r="G10852" s="38" t="n">
        <f aca="false">Sens!$G$10759</f>
        <v>190.362388260171</v>
      </c>
      <c r="H10852" s="38" t="n">
        <f aca="false">Sens!$H$10759</f>
        <v>210.343106588311</v>
      </c>
      <c r="I10852" s="38" t="n">
        <f aca="false">Sens!$I$10759</f>
        <v>229.969728494648</v>
      </c>
      <c r="J10852" s="38" t="n">
        <f aca="false">Sens!$J$10759</f>
        <v>248.747636972598</v>
      </c>
      <c r="K10852" s="38" t="n">
        <f aca="false">Sens!$K$10759</f>
        <v>266.15997156068</v>
      </c>
      <c r="L10852" s="38" t="n">
        <f aca="false">Sens!$L$10759</f>
        <v>284.791169569927</v>
      </c>
      <c r="M10852" s="38" t="n">
        <f aca="false">Sens!$M$10759</f>
        <v>304.726551439822</v>
      </c>
      <c r="N10852" s="38" t="n">
        <f aca="false">Sens!$N$10759</f>
        <v>76.86</v>
      </c>
      <c r="O10852" s="38" t="n">
        <f aca="false">Sens!$O$10759</f>
        <v>95.302</v>
      </c>
    </row>
    <row r="10853" customFormat="false" ht="15" hidden="false" customHeight="false" outlineLevel="0" collapsed="false">
      <c r="A10853" s="0" t="s">
        <v>522</v>
      </c>
      <c r="B10853" s="0" t="s">
        <v>86</v>
      </c>
      <c r="C10853" s="38" t="n">
        <f aca="false">Sens!$C$10761</f>
        <v>56.214</v>
      </c>
      <c r="D10853" s="38" t="n">
        <f aca="false">Sens!$D$10761</f>
        <v>68.635</v>
      </c>
      <c r="E10853" s="38" t="n">
        <f aca="false">Sens!$E$10761</f>
        <v>37.052</v>
      </c>
      <c r="F10853" s="38" t="n">
        <f aca="false">Sens!$F$10761</f>
        <v>46.1572219944148</v>
      </c>
      <c r="G10853" s="38" t="n">
        <f aca="false">Sens!$G$10761</f>
        <v>83.2092219944148</v>
      </c>
      <c r="H10853" s="38" t="n">
        <f aca="false">Sens!$H$10761</f>
        <v>99.8969223878976</v>
      </c>
      <c r="I10853" s="38" t="n">
        <f aca="false">Sens!$I$10761</f>
        <v>116.583111095496</v>
      </c>
      <c r="J10853" s="38" t="n">
        <f aca="false">Sens!$J$10761</f>
        <v>132.148941941952</v>
      </c>
      <c r="K10853" s="38" t="n">
        <f aca="false">Sens!$K$10761</f>
        <v>145.363836136147</v>
      </c>
      <c r="L10853" s="38" t="n">
        <f aca="false">Sens!$L$10761</f>
        <v>159.900219749762</v>
      </c>
      <c r="M10853" s="38" t="n">
        <f aca="false">Sens!$M$10761</f>
        <v>175.890241724738</v>
      </c>
      <c r="N10853" s="38" t="n">
        <f aca="false">Sens!$N$10761</f>
        <v>29.615</v>
      </c>
      <c r="O10853" s="38" t="n">
        <f aca="false">Sens!$O$10761</f>
        <v>39.02</v>
      </c>
    </row>
    <row r="10854" customFormat="false" ht="15" hidden="false" customHeight="false" outlineLevel="0" collapsed="false">
      <c r="A10854" s="0" t="s">
        <v>523</v>
      </c>
      <c r="B10854" s="0" t="s">
        <v>86</v>
      </c>
      <c r="C10854" s="38" t="n">
        <f aca="false">Sens!$C$10763</f>
        <v>44.374</v>
      </c>
      <c r="D10854" s="38" t="n">
        <f aca="false">Sens!$D$10763</f>
        <v>49.619</v>
      </c>
      <c r="E10854" s="38" t="n">
        <f aca="false">Sens!$E$10763</f>
        <v>27.157</v>
      </c>
      <c r="F10854" s="38" t="n">
        <f aca="false">Sens!$F$10763</f>
        <v>27.7764165988154</v>
      </c>
      <c r="G10854" s="38" t="n">
        <f aca="false">Sens!$G$10763</f>
        <v>54.9334165988154</v>
      </c>
      <c r="H10854" s="38" t="n">
        <f aca="false">Sens!$H$10763</f>
        <v>61.1564112561829</v>
      </c>
      <c r="I10854" s="38" t="n">
        <f aca="false">Sens!$I$10763</f>
        <v>67.2020282103945</v>
      </c>
      <c r="J10854" s="38" t="n">
        <f aca="false">Sens!$J$10763</f>
        <v>72.8757274028885</v>
      </c>
      <c r="K10854" s="38" t="n">
        <f aca="false">Sens!$K$10763</f>
        <v>77.9770283210907</v>
      </c>
      <c r="L10854" s="38" t="n">
        <f aca="false">Sens!$L$10763</f>
        <v>83.4354203035671</v>
      </c>
      <c r="M10854" s="38" t="n">
        <f aca="false">Sens!$M$10763</f>
        <v>89.2758997248168</v>
      </c>
      <c r="N10854" s="38" t="n">
        <f aca="false">Sens!$N$10763</f>
        <v>23.923</v>
      </c>
      <c r="O10854" s="38" t="n">
        <f aca="false">Sens!$O$10763</f>
        <v>25.696</v>
      </c>
    </row>
    <row r="10855" customFormat="false" ht="15" hidden="false" customHeight="false" outlineLevel="0" collapsed="false">
      <c r="A10855" s="0" t="s">
        <v>524</v>
      </c>
      <c r="B10855" s="0" t="s">
        <v>86</v>
      </c>
      <c r="C10855" s="38" t="n">
        <f aca="false">Sens!$C$10765</f>
        <v>5.425</v>
      </c>
      <c r="D10855" s="38" t="n">
        <f aca="false">Sens!$D$10765</f>
        <v>5.935</v>
      </c>
      <c r="E10855" s="38" t="n">
        <f aca="false">Sens!$E$10765</f>
        <v>3.474</v>
      </c>
      <c r="F10855" s="38" t="n">
        <f aca="false">Sens!$F$10765</f>
        <v>3.22246550883619</v>
      </c>
      <c r="G10855" s="38" t="n">
        <f aca="false">Sens!$G$10765</f>
        <v>6.69646550883619</v>
      </c>
      <c r="H10855" s="38" t="n">
        <f aca="false">Sens!$H$10765</f>
        <v>7.16251344209196</v>
      </c>
      <c r="I10855" s="38" t="n">
        <f aca="false">Sens!$I$10765</f>
        <v>7.61421070299826</v>
      </c>
      <c r="J10855" s="38" t="n">
        <f aca="false">Sens!$J$10765</f>
        <v>8.04465753523932</v>
      </c>
      <c r="K10855" s="38" t="n">
        <f aca="false">Sens!$K$10765</f>
        <v>8.44689041200128</v>
      </c>
      <c r="L10855" s="38" t="n">
        <f aca="false">Sens!$L$10765</f>
        <v>8.86923493260135</v>
      </c>
      <c r="M10855" s="38" t="n">
        <f aca="false">Sens!$M$10765</f>
        <v>9.31269667923142</v>
      </c>
      <c r="N10855" s="38" t="n">
        <f aca="false">Sens!$N$10765</f>
        <v>2.811</v>
      </c>
      <c r="O10855" s="38" t="n">
        <f aca="false">Sens!$O$10765</f>
        <v>3.124</v>
      </c>
    </row>
    <row r="10856" customFormat="false" ht="17.15" hidden="false" customHeight="false" outlineLevel="0" collapsed="false">
      <c r="A10856" s="0" t="s">
        <v>717</v>
      </c>
      <c r="B10856" s="0" t="s">
        <v>86</v>
      </c>
      <c r="C10856" s="38" t="n">
        <f aca="false">Sens!$C$10837</f>
        <v>107.556</v>
      </c>
      <c r="D10856" s="38" t="n">
        <f aca="false">Sens!$D$10837</f>
        <v>128.725</v>
      </c>
      <c r="E10856" s="38" t="n">
        <f aca="false">Sens!$E$10837</f>
        <v>79.819</v>
      </c>
      <c r="F10856" s="38" t="n">
        <f aca="false">Sens!$F$10837</f>
        <v>86.7327334389669</v>
      </c>
      <c r="G10856" s="38" t="n">
        <f aca="false">Sens!$G$10837</f>
        <v>166.551733438967</v>
      </c>
      <c r="H10856" s="38" t="n">
        <f aca="false">Sens!$H$10837</f>
        <v>221.182967828978</v>
      </c>
      <c r="I10856" s="38" t="n">
        <f aca="false">Sens!$I$10837</f>
        <v>280.27345865789</v>
      </c>
      <c r="J10856" s="38" t="n">
        <f aca="false">Sens!$J$10837</f>
        <v>338.800945197185</v>
      </c>
      <c r="K10856" s="38" t="n">
        <f aca="false">Sens!$K$10837</f>
        <v>389.88570147276</v>
      </c>
      <c r="L10856" s="38" t="n">
        <f aca="false">Sens!$L$10837</f>
        <v>430.080689379143</v>
      </c>
      <c r="M10856" s="38" t="n">
        <f aca="false">Sens!$M$10837</f>
        <v>459.456235951751</v>
      </c>
      <c r="N10856" s="38" t="n">
        <f aca="false">Sens!$N$10837</f>
        <v>60.14</v>
      </c>
      <c r="O10856" s="38" t="n">
        <f aca="false">Sens!$O$10837</f>
        <v>68.585</v>
      </c>
    </row>
    <row r="10857" customFormat="false" ht="15" hidden="false" customHeight="false" outlineLevel="0" collapsed="false">
      <c r="A10857" s="1" t="s">
        <v>512</v>
      </c>
      <c r="B10857" s="8" t="s">
        <v>86</v>
      </c>
      <c r="C10857" s="38" t="n">
        <f aca="false">Sens!$C$10770</f>
        <v>387.497</v>
      </c>
      <c r="D10857" s="38" t="n">
        <f aca="false">Sens!$D$10770</f>
        <v>426.305</v>
      </c>
      <c r="E10857" s="38" t="n">
        <f aca="false">Sens!$E$10770</f>
        <v>220.32</v>
      </c>
      <c r="F10857" s="38" t="n">
        <f aca="false">Sens!$F$10770</f>
        <v>250.639773480586</v>
      </c>
      <c r="G10857" s="38" t="n">
        <f aca="false">Sens!$G$10770</f>
        <v>470.959773480586</v>
      </c>
      <c r="H10857" s="38" t="n">
        <f aca="false">Sens!$H$10770</f>
        <v>521.386990416437</v>
      </c>
      <c r="I10857" s="38" t="n">
        <f aca="false">Sens!$I$10770</f>
        <v>570.143862887555</v>
      </c>
      <c r="J10857" s="38" t="n">
        <f aca="false">Sens!$J$10770</f>
        <v>615.391435791933</v>
      </c>
      <c r="K10857" s="38" t="n">
        <f aca="false">Sens!$K$10770</f>
        <v>655.208227561543</v>
      </c>
      <c r="L10857" s="38" t="n">
        <f aca="false">Sens!$L$10770</f>
        <v>697.807739249767</v>
      </c>
      <c r="M10857" s="38" t="n">
        <f aca="false">Sens!$M$10770</f>
        <v>743.399328463592</v>
      </c>
      <c r="N10857" s="38" t="n">
        <f aca="false">Sens!$N$10770</f>
        <v>192.955</v>
      </c>
      <c r="O10857" s="38" t="n">
        <f aca="false">Sens!$O$10770</f>
        <v>233.35</v>
      </c>
    </row>
    <row r="10858" customFormat="false" ht="15" hidden="false" customHeight="false" outlineLevel="0" collapsed="false">
      <c r="A10858" s="1" t="s">
        <v>515</v>
      </c>
      <c r="B10858" s="8" t="s">
        <v>86</v>
      </c>
      <c r="C10858" s="38" t="n">
        <f aca="false">Sens!$C$10771</f>
        <v>142.906</v>
      </c>
      <c r="D10858" s="38" t="n">
        <f aca="false">Sens!$D$10771</f>
        <v>161.894</v>
      </c>
      <c r="E10858" s="38" t="n">
        <f aca="false">Sens!$E$10771</f>
        <v>81.986</v>
      </c>
      <c r="F10858" s="38" t="n">
        <f aca="false">Sens!$F$10771</f>
        <v>98.408468164951</v>
      </c>
      <c r="G10858" s="38" t="n">
        <f aca="false">Sens!$G$10771</f>
        <v>180.394468164951</v>
      </c>
      <c r="H10858" s="38" t="n">
        <f aca="false">Sens!$H$10771</f>
        <v>199.709899104949</v>
      </c>
      <c r="I10858" s="38" t="n">
        <f aca="false">Sens!$I$10771</f>
        <v>218.385528264976</v>
      </c>
      <c r="J10858" s="38" t="n">
        <f aca="false">Sens!$J$10771</f>
        <v>235.71696994951</v>
      </c>
      <c r="K10858" s="38" t="n">
        <f aca="false">Sens!$K$10771</f>
        <v>250.968227869545</v>
      </c>
      <c r="L10858" s="38" t="n">
        <f aca="false">Sens!$L$10771</f>
        <v>267.285367225822</v>
      </c>
      <c r="M10858" s="38" t="n">
        <f aca="false">Sens!$M$10771</f>
        <v>284.748579483295</v>
      </c>
      <c r="N10858" s="38" t="n">
        <f aca="false">Sens!$N$10771</f>
        <v>70.274</v>
      </c>
      <c r="O10858" s="38" t="n">
        <f aca="false">Sens!$O$10771</f>
        <v>91.62</v>
      </c>
    </row>
    <row r="10859" customFormat="false" ht="15" hidden="false" customHeight="false" outlineLevel="0" collapsed="false">
      <c r="A10859" s="1" t="s">
        <v>516</v>
      </c>
      <c r="B10859" s="8" t="s">
        <v>86</v>
      </c>
      <c r="C10859" s="38" t="n">
        <f aca="false">Sens!$C$10837</f>
        <v>107.556</v>
      </c>
      <c r="D10859" s="38" t="n">
        <f aca="false">Sens!$D$10837</f>
        <v>128.725</v>
      </c>
      <c r="E10859" s="38" t="n">
        <f aca="false">Sens!$E$10837</f>
        <v>79.819</v>
      </c>
      <c r="F10859" s="38" t="n">
        <f aca="false">Sens!$F$10837</f>
        <v>86.7327334389669</v>
      </c>
      <c r="G10859" s="38" t="n">
        <f aca="false">Sens!$G$10837</f>
        <v>166.551733438967</v>
      </c>
      <c r="H10859" s="38" t="n">
        <f aca="false">Sens!$H$10837</f>
        <v>221.182967828978</v>
      </c>
      <c r="I10859" s="38" t="n">
        <f aca="false">Sens!$I$10837</f>
        <v>280.27345865789</v>
      </c>
      <c r="J10859" s="38" t="n">
        <f aca="false">Sens!$J$10837</f>
        <v>338.800945197185</v>
      </c>
      <c r="K10859" s="38" t="n">
        <f aca="false">Sens!$K$10837</f>
        <v>389.88570147276</v>
      </c>
      <c r="L10859" s="38" t="n">
        <f aca="false">Sens!$L$10837</f>
        <v>430.080689379143</v>
      </c>
      <c r="M10859" s="38" t="n">
        <f aca="false">Sens!$M$10837</f>
        <v>459.456235951751</v>
      </c>
      <c r="N10859" s="38" t="n">
        <f aca="false">Sens!$N$10837</f>
        <v>60.14</v>
      </c>
      <c r="O10859" s="38" t="n">
        <f aca="false">Sens!$O$10837</f>
        <v>68.585</v>
      </c>
    </row>
    <row r="10860" customFormat="false" ht="17.15" hidden="false" customHeight="false" outlineLevel="0" collapsed="false">
      <c r="A10860" s="0" t="s">
        <v>691</v>
      </c>
      <c r="B10860" s="0" t="s">
        <v>86</v>
      </c>
      <c r="C10860" s="38" t="n">
        <f aca="false">Sens!$C$10835</f>
        <v>2.32100535697364</v>
      </c>
      <c r="D10860" s="38" t="n">
        <f aca="false">Sens!$D$10835</f>
        <v>8.70377008865116</v>
      </c>
      <c r="E10860" s="38" t="n">
        <f aca="false">Sens!$E$10835</f>
        <v>8.51035297557002</v>
      </c>
      <c r="F10860" s="38" t="n">
        <f aca="false">Sens!$F$10835</f>
        <v>14.9634336447205</v>
      </c>
      <c r="G10860" s="38" t="n">
        <f aca="false">Sens!$G$10835</f>
        <v>23.4737866202905</v>
      </c>
      <c r="H10860" s="38" t="n">
        <f aca="false">Sens!$H$10835</f>
        <v>60.1658907497746</v>
      </c>
      <c r="I10860" s="38" t="n">
        <f aca="false">Sens!$I$10835</f>
        <v>101.503699136432</v>
      </c>
      <c r="J10860" s="38" t="n">
        <f aca="false">Sens!$J$10835</f>
        <v>143.025407151278</v>
      </c>
      <c r="K10860" s="38" t="n">
        <f aca="false">Sens!$K$10835</f>
        <v>178.44812038318</v>
      </c>
      <c r="L10860" s="38" t="n">
        <f aca="false">Sens!$L$10835</f>
        <v>201.728101802396</v>
      </c>
      <c r="M10860" s="38" t="n">
        <f aca="false">Sens!$M$10835</f>
        <v>212.835441368865</v>
      </c>
      <c r="N10860" s="38" t="n">
        <f aca="false">Sens!$N$10835</f>
        <v>3.04631953102791</v>
      </c>
      <c r="O10860" s="38" t="n">
        <f aca="false">Sens!$O$10835</f>
        <v>5.65745055762326</v>
      </c>
    </row>
    <row r="10861" customFormat="false" ht="17.15" hidden="false" customHeight="false" outlineLevel="0" collapsed="false">
      <c r="A10861" s="0" t="s">
        <v>693</v>
      </c>
      <c r="B10861" s="0" t="s">
        <v>86</v>
      </c>
      <c r="C10861" s="38" t="n">
        <f aca="false">Sens!$C$10836</f>
        <v>105.234994643026</v>
      </c>
      <c r="D10861" s="38" t="n">
        <f aca="false">Sens!$D$10836</f>
        <v>120.021229911349</v>
      </c>
      <c r="E10861" s="38" t="n">
        <f aca="false">Sens!$E$10836</f>
        <v>71.30864702443</v>
      </c>
      <c r="F10861" s="38" t="n">
        <f aca="false">Sens!$F$10836</f>
        <v>71.7692997942464</v>
      </c>
      <c r="G10861" s="38" t="n">
        <f aca="false">Sens!$G$10836</f>
        <v>143.077946818676</v>
      </c>
      <c r="H10861" s="38" t="n">
        <f aca="false">Sens!$H$10836</f>
        <v>161.017077079203</v>
      </c>
      <c r="I10861" s="38" t="n">
        <f aca="false">Sens!$I$10836</f>
        <v>178.769759521457</v>
      </c>
      <c r="J10861" s="38" t="n">
        <f aca="false">Sens!$J$10836</f>
        <v>195.775538045907</v>
      </c>
      <c r="K10861" s="38" t="n">
        <f aca="false">Sens!$K$10836</f>
        <v>211.43758108958</v>
      </c>
      <c r="L10861" s="38" t="n">
        <f aca="false">Sens!$L$10836</f>
        <v>228.352587576746</v>
      </c>
      <c r="M10861" s="38" t="n">
        <f aca="false">Sens!$M$10836</f>
        <v>246.620794582886</v>
      </c>
      <c r="N10861" s="38" t="n">
        <f aca="false">Sens!$N$10836</f>
        <v>57.0936804689721</v>
      </c>
      <c r="O10861" s="38" t="n">
        <f aca="false">Sens!$O$10836</f>
        <v>62.9275494423768</v>
      </c>
    </row>
    <row r="10862" customFormat="false" ht="15" hidden="false" customHeight="false" outlineLevel="0" collapsed="false">
      <c r="A10862" s="3" t="s">
        <v>517</v>
      </c>
      <c r="B10862" s="8" t="s">
        <v>86</v>
      </c>
      <c r="C10862" s="38" t="n">
        <f aca="false">Sens!$C$10838</f>
        <v>637.959</v>
      </c>
      <c r="D10862" s="38" t="n">
        <f aca="false">Sens!$D$10838</f>
        <v>716.924</v>
      </c>
      <c r="E10862" s="38" t="n">
        <f aca="false">Sens!$E$10838</f>
        <v>382.125</v>
      </c>
      <c r="F10862" s="38" t="n">
        <f aca="false">Sens!$F$10838</f>
        <v>435.780975084504</v>
      </c>
      <c r="G10862" s="38" t="n">
        <f aca="false">Sens!$G$10838</f>
        <v>817.905975084504</v>
      </c>
      <c r="H10862" s="38" t="n">
        <f aca="false">Sens!$H$10838</f>
        <v>942.279857350364</v>
      </c>
      <c r="I10862" s="38" t="n">
        <f aca="false">Sens!$I$10838</f>
        <v>1068.80284981042</v>
      </c>
      <c r="J10862" s="38" t="n">
        <f aca="false">Sens!$J$10838</f>
        <v>1189.90935093863</v>
      </c>
      <c r="K10862" s="38" t="n">
        <f aca="false">Sens!$K$10838</f>
        <v>1296.06215690385</v>
      </c>
      <c r="L10862" s="38" t="n">
        <f aca="false">Sens!$L$10838</f>
        <v>1395.17379585473</v>
      </c>
      <c r="M10862" s="38" t="n">
        <f aca="false">Sens!$M$10838</f>
        <v>1487.60414389864</v>
      </c>
      <c r="N10862" s="38" t="n">
        <f aca="false">Sens!$N$10838</f>
        <v>323.369</v>
      </c>
      <c r="O10862" s="38" t="n">
        <f aca="false">Sens!$O$10838</f>
        <v>393.555</v>
      </c>
    </row>
    <row r="10863" customFormat="false" ht="17.15" hidden="false" customHeight="false" outlineLevel="0" collapsed="false">
      <c r="A10863" s="24" t="s">
        <v>703</v>
      </c>
      <c r="B10863" s="25" t="s">
        <v>86</v>
      </c>
      <c r="C10863" s="41" t="n">
        <f aca="false">Sens!$C$10850+Sens!$C$10851+Sens!$C$10852+Sens!$C$10853+Sens!$C$10854+Sens!$C$10855-(Sens!$C$10857+Sens!$C$10858)</f>
        <v>0</v>
      </c>
      <c r="D10863" s="41" t="n">
        <f aca="false">Sens!$D$10850+Sens!$D$10851+Sens!$D$10852+Sens!$D$10853+Sens!$D$10854+Sens!$D$10855-(Sens!$D$10857+Sens!$D$10858)</f>
        <v>0</v>
      </c>
      <c r="E10863" s="41" t="n">
        <f aca="false">Sens!$E$10850+Sens!$E$10851+Sens!$E$10852+Sens!$E$10853+Sens!$E$10854+Sens!$E$10855-(Sens!$E$10857+Sens!$E$10858)</f>
        <v>0</v>
      </c>
      <c r="F10863" s="41" t="n">
        <f aca="false">Sens!$F$10850+Sens!$F$10851+Sens!$F$10852+Sens!$F$10853+Sens!$F$10854+Sens!$F$10855-(Sens!$F$10857+Sens!$F$10858)</f>
        <v>0</v>
      </c>
      <c r="G10863" s="41" t="n">
        <f aca="false">Sens!$G$10850+Sens!$G$10851+Sens!$G$10852+Sens!$G$10853+Sens!$G$10854+Sens!$G$10855-(Sens!$G$10857+Sens!$G$10858)</f>
        <v>0</v>
      </c>
      <c r="H10863" s="41" t="n">
        <f aca="false">Sens!$H$10850+Sens!$H$10851+Sens!$H$10852+Sens!$H$10853+Sens!$H$10854+Sens!$H$10855-(Sens!$H$10857+Sens!$H$10858)</f>
        <v>0</v>
      </c>
      <c r="I10863" s="41" t="n">
        <f aca="false">Sens!$I$10850+Sens!$I$10851+Sens!$I$10852+Sens!$I$10853+Sens!$I$10854+Sens!$I$10855-(Sens!$I$10857+Sens!$I$10858)</f>
        <v>0</v>
      </c>
      <c r="J10863" s="41" t="n">
        <f aca="false">Sens!$J$10850+Sens!$J$10851+Sens!$J$10852+Sens!$J$10853+Sens!$J$10854+Sens!$J$10855-(Sens!$J$10857+Sens!$J$10858)</f>
        <v>0</v>
      </c>
      <c r="K10863" s="41" t="n">
        <f aca="false">Sens!$K$10850+Sens!$K$10851+Sens!$K$10852+Sens!$K$10853+Sens!$K$10854+Sens!$K$10855-(Sens!$K$10857+Sens!$K$10858)</f>
        <v>0</v>
      </c>
      <c r="L10863" s="41" t="n">
        <f aca="false">Sens!$L$10850+Sens!$L$10851+Sens!$L$10852+Sens!$L$10853+Sens!$L$10854+Sens!$L$10855-(Sens!$L$10857+Sens!$L$10858)</f>
        <v>0</v>
      </c>
      <c r="M10863" s="41" t="n">
        <f aca="false">Sens!$M$10850+Sens!$M$10851+Sens!$M$10852+Sens!$M$10853+Sens!$M$10854+Sens!$M$10855-(Sens!$M$10857+Sens!$M$10858)</f>
        <v>0</v>
      </c>
      <c r="N10863" s="41" t="n">
        <f aca="false">Sens!$N$10850+Sens!$N$10851+Sens!$N$10852+Sens!$N$10853+Sens!$N$10854+Sens!$N$10855-(Sens!$N$10857+Sens!$N$10858)</f>
        <v>0</v>
      </c>
      <c r="O10863" s="41" t="n">
        <f aca="false">Sens!$O$10850+Sens!$O$10851+Sens!$O$10852+Sens!$O$10853+Sens!$O$10854+Sens!$O$10855-(Sens!$O$10857+Sens!$O$10858)</f>
        <v>0</v>
      </c>
    </row>
    <row r="10864" customFormat="false" ht="17.15" hidden="false" customHeight="false" outlineLevel="0" collapsed="false">
      <c r="A10864" s="24" t="s">
        <v>704</v>
      </c>
      <c r="B10864" s="25" t="s">
        <v>86</v>
      </c>
      <c r="C10864" s="41" t="n">
        <f aca="false">Sens!$C$10860+Sens!$C$10861-Sens!$C$10859</f>
        <v>0</v>
      </c>
      <c r="D10864" s="41" t="n">
        <f aca="false">Sens!$D$10860+Sens!$D$10861-Sens!$D$10859</f>
        <v>0</v>
      </c>
      <c r="E10864" s="41" t="n">
        <f aca="false">Sens!$E$10860+Sens!$E$10861-Sens!$E$10859</f>
        <v>0</v>
      </c>
      <c r="F10864" s="41" t="n">
        <f aca="false">Sens!$F$10860+Sens!$F$10861-Sens!$F$10859</f>
        <v>0</v>
      </c>
      <c r="G10864" s="41" t="n">
        <f aca="false">Sens!$G$10860+Sens!$G$10861-Sens!$G$10859</f>
        <v>0</v>
      </c>
      <c r="H10864" s="41" t="n">
        <f aca="false">Sens!$H$10860+Sens!$H$10861-Sens!$H$10859</f>
        <v>0</v>
      </c>
      <c r="I10864" s="41" t="n">
        <f aca="false">Sens!$I$10860+Sens!$I$10861-Sens!$I$10859</f>
        <v>0</v>
      </c>
      <c r="J10864" s="41" t="n">
        <f aca="false">Sens!$J$10860+Sens!$J$10861-Sens!$J$10859</f>
        <v>0</v>
      </c>
      <c r="K10864" s="41" t="n">
        <f aca="false">Sens!$K$10860+Sens!$K$10861-Sens!$K$10859</f>
        <v>0</v>
      </c>
      <c r="L10864" s="41" t="n">
        <f aca="false">Sens!$L$10860+Sens!$L$10861-Sens!$L$10859</f>
        <v>0</v>
      </c>
      <c r="M10864" s="41" t="n">
        <f aca="false">Sens!$M$10860+Sens!$M$10861-Sens!$M$10859</f>
        <v>0</v>
      </c>
      <c r="N10864" s="41" t="n">
        <f aca="false">Sens!$N$10860+Sens!$N$10861-Sens!$N$10859</f>
        <v>0</v>
      </c>
      <c r="O10864" s="41" t="n">
        <f aca="false">Sens!$O$10860+Sens!$O$10861-Sens!$O$10859</f>
        <v>0</v>
      </c>
    </row>
    <row r="10865" customFormat="false" ht="17.15" hidden="false" customHeight="false" outlineLevel="0" collapsed="false">
      <c r="A10865" s="24" t="s">
        <v>763</v>
      </c>
      <c r="B10865" s="25" t="s">
        <v>86</v>
      </c>
      <c r="C10865" s="41" t="n">
        <f aca="false">Sens!$C$10850+Sens!$C$10851+Sens!$C$10852+Sens!$C$10853+Sens!$C$10854+Sens!$C$10855+Sens!$C$10856-Sens!$C$10862</f>
        <v>0</v>
      </c>
      <c r="D10865" s="41" t="n">
        <f aca="false">Sens!$D$10850+Sens!$D$10851+Sens!$D$10852+Sens!$D$10853+Sens!$D$10854+Sens!$D$10855+Sens!$D$10856-Sens!$D$10862</f>
        <v>0</v>
      </c>
      <c r="E10865" s="41" t="n">
        <f aca="false">Sens!$E$10850+Sens!$E$10851+Sens!$E$10852+Sens!$E$10853+Sens!$E$10854+Sens!$E$10855+Sens!$E$10856-Sens!$E$10862</f>
        <v>0</v>
      </c>
      <c r="F10865" s="41" t="n">
        <f aca="false">Sens!$F$10850+Sens!$F$10851+Sens!$F$10852+Sens!$F$10853+Sens!$F$10854+Sens!$F$10855+Sens!$F$10856-Sens!$F$10862</f>
        <v>0</v>
      </c>
      <c r="G10865" s="41" t="n">
        <f aca="false">Sens!$G$10850+Sens!$G$10851+Sens!$G$10852+Sens!$G$10853+Sens!$G$10854+Sens!$G$10855+Sens!$G$10856-Sens!$G$10862</f>
        <v>0</v>
      </c>
      <c r="H10865" s="41" t="n">
        <f aca="false">Sens!$H$10850+Sens!$H$10851+Sens!$H$10852+Sens!$H$10853+Sens!$H$10854+Sens!$H$10855+Sens!$H$10856-Sens!$H$10862</f>
        <v>0</v>
      </c>
      <c r="I10865" s="41" t="n">
        <f aca="false">Sens!$I$10850+Sens!$I$10851+Sens!$I$10852+Sens!$I$10853+Sens!$I$10854+Sens!$I$10855+Sens!$I$10856-Sens!$I$10862</f>
        <v>0</v>
      </c>
      <c r="J10865" s="41" t="n">
        <f aca="false">Sens!$J$10850+Sens!$J$10851+Sens!$J$10852+Sens!$J$10853+Sens!$J$10854+Sens!$J$10855+Sens!$J$10856-Sens!$J$10862</f>
        <v>0</v>
      </c>
      <c r="K10865" s="41" t="n">
        <f aca="false">Sens!$K$10850+Sens!$K$10851+Sens!$K$10852+Sens!$K$10853+Sens!$K$10854+Sens!$K$10855+Sens!$K$10856-Sens!$K$10862</f>
        <v>0</v>
      </c>
      <c r="L10865" s="41" t="n">
        <f aca="false">Sens!$L$10850+Sens!$L$10851+Sens!$L$10852+Sens!$L$10853+Sens!$L$10854+Sens!$L$10855+Sens!$L$10856-Sens!$L$10862</f>
        <v>0</v>
      </c>
      <c r="M10865" s="41" t="n">
        <f aca="false">Sens!$M$10850+Sens!$M$10851+Sens!$M$10852+Sens!$M$10853+Sens!$M$10854+Sens!$M$10855+Sens!$M$10856-Sens!$M$10862</f>
        <v>0</v>
      </c>
      <c r="N10865" s="41" t="n">
        <f aca="false">Sens!$N$10850+Sens!$N$10851+Sens!$N$10852+Sens!$N$10853+Sens!$N$10854+Sens!$N$10855+Sens!$N$10856-Sens!$N$10862</f>
        <v>0</v>
      </c>
      <c r="O10865" s="41" t="n">
        <f aca="false">Sens!$O$10850+Sens!$O$10851+Sens!$O$10852+Sens!$O$10853+Sens!$O$10854+Sens!$O$10855+Sens!$O$10856-Sens!$O$10862</f>
        <v>0</v>
      </c>
    </row>
    <row r="10866" customFormat="false" ht="17.15" hidden="false" customHeight="false" outlineLevel="0" collapsed="false">
      <c r="A10866" s="24" t="s">
        <v>705</v>
      </c>
      <c r="B10866" s="25" t="s">
        <v>86</v>
      </c>
      <c r="C10866" s="41" t="n">
        <f aca="false">Sens!$C$10857+Sens!$C$10858+Sens!$C$10859-Sens!$C$10862</f>
        <v>0</v>
      </c>
      <c r="D10866" s="41" t="n">
        <f aca="false">Sens!$D$10857+Sens!$D$10858+Sens!$D$10859-Sens!$D$10862</f>
        <v>0</v>
      </c>
      <c r="E10866" s="41" t="n">
        <f aca="false">Sens!$E$10857+Sens!$E$10858+Sens!$E$10859-Sens!$E$10862</f>
        <v>0</v>
      </c>
      <c r="F10866" s="41" t="n">
        <f aca="false">Sens!$F$10857+Sens!$F$10858+Sens!$F$10859-Sens!$F$10862</f>
        <v>0</v>
      </c>
      <c r="G10866" s="41" t="n">
        <f aca="false">Sens!$G$10857+Sens!$G$10858+Sens!$G$10859-Sens!$G$10862</f>
        <v>0</v>
      </c>
      <c r="H10866" s="41" t="n">
        <f aca="false">Sens!$H$10857+Sens!$H$10858+Sens!$H$10859-Sens!$H$10862</f>
        <v>0</v>
      </c>
      <c r="I10866" s="41" t="n">
        <f aca="false">Sens!$I$10857+Sens!$I$10858+Sens!$I$10859-Sens!$I$10862</f>
        <v>0</v>
      </c>
      <c r="J10866" s="41" t="n">
        <f aca="false">Sens!$J$10857+Sens!$J$10858+Sens!$J$10859-Sens!$J$10862</f>
        <v>0</v>
      </c>
      <c r="K10866" s="41" t="n">
        <f aca="false">Sens!$K$10857+Sens!$K$10858+Sens!$K$10859-Sens!$K$10862</f>
        <v>0</v>
      </c>
      <c r="L10866" s="41" t="n">
        <f aca="false">Sens!$L$10857+Sens!$L$10858+Sens!$L$10859-Sens!$L$10862</f>
        <v>0</v>
      </c>
      <c r="M10866" s="41" t="n">
        <f aca="false">Sens!$M$10857+Sens!$M$10858+Sens!$M$10859-Sens!$M$10862</f>
        <v>0</v>
      </c>
      <c r="N10866" s="41" t="n">
        <f aca="false">Sens!$N$10857+Sens!$N$10858+Sens!$N$10859-Sens!$N$10862</f>
        <v>0</v>
      </c>
      <c r="O10866" s="41" t="n">
        <f aca="false">Sens!$O$10857+Sens!$O$10858+Sens!$O$10859-Sens!$O$10862</f>
        <v>0</v>
      </c>
    </row>
    <row r="10867" customFormat="false" ht="17.15" hidden="false" customHeight="false" outlineLevel="0" collapsed="false">
      <c r="A10867" s="1" t="s">
        <v>719</v>
      </c>
    </row>
    <row r="10868" customFormat="false" ht="17.15" hidden="false" customHeight="false" outlineLevel="0" collapsed="false">
      <c r="A10868" s="0" t="s">
        <v>720</v>
      </c>
      <c r="B10868" s="0" t="s">
        <v>86</v>
      </c>
      <c r="C10868" s="38" t="n">
        <f aca="false">Sens!$C$10772*m_ad</f>
        <v>20.5341564414228</v>
      </c>
      <c r="D10868" s="38" t="n">
        <f aca="false">Sens!$D$10772*m_ad</f>
        <v>24.8720617299587</v>
      </c>
      <c r="E10868" s="38" t="n">
        <f aca="false">Sens!$E$10772*m_ad</f>
        <v>13.5017112462207</v>
      </c>
      <c r="F10868" s="38" t="n">
        <f aca="false">Sens!$F$10772*m_ad</f>
        <v>16.5719724165257</v>
      </c>
      <c r="G10868" s="38" t="n">
        <f aca="false">Sens!$G$10772*m_ad</f>
        <v>30.0820919220415</v>
      </c>
      <c r="H10868" s="38" t="n">
        <f aca="false">Sens!$H$10772*m_ad</f>
        <v>36.1150883276314</v>
      </c>
      <c r="I10868" s="38" t="n">
        <f aca="false">Sens!$I$10772*m_ad</f>
        <v>42.1475382231996</v>
      </c>
      <c r="J10868" s="38" t="n">
        <f aca="false">Sens!$J$10772*m_ad</f>
        <v>47.7749523864693</v>
      </c>
      <c r="K10868" s="38" t="n">
        <f aca="false">Sens!$K$10772*m_ad</f>
        <v>52.5524476251162</v>
      </c>
      <c r="L10868" s="38" t="n">
        <f aca="false">Sens!$L$10772*m_ad</f>
        <v>57.8076923876279</v>
      </c>
      <c r="M10868" s="38" t="n">
        <f aca="false">Sens!$M$10772*m_ad</f>
        <v>63.5884616263907</v>
      </c>
      <c r="N10868" s="38" t="n">
        <f aca="false">Sens!$N$10772*m_ad</f>
        <v>10.8543555706248</v>
      </c>
      <c r="O10868" s="38" t="n">
        <f aca="false">Sens!$O$10772*m_ad</f>
        <v>14.0094731821399</v>
      </c>
    </row>
    <row r="10869" customFormat="false" ht="17.15" hidden="false" customHeight="false" outlineLevel="0" collapsed="false">
      <c r="A10869" s="0" t="s">
        <v>721</v>
      </c>
      <c r="B10869" s="0" t="s">
        <v>86</v>
      </c>
      <c r="C10869" s="38" t="n">
        <f aca="false">Sens!$C$10770-Sens!$C$10772</f>
        <v>346.428687117154</v>
      </c>
      <c r="D10869" s="38" t="n">
        <f aca="false">Sens!$D$10770-Sens!$D$10772</f>
        <v>376.560876540083</v>
      </c>
      <c r="E10869" s="38" t="n">
        <f aca="false">Sens!$E$10770-Sens!$E$10772</f>
        <v>193.316577507559</v>
      </c>
      <c r="F10869" s="38" t="n">
        <f aca="false">Sens!$F$10770-Sens!$F$10772</f>
        <v>217.495828647535</v>
      </c>
      <c r="G10869" s="38" t="n">
        <f aca="false">Sens!$G$10770-Sens!$G$10772</f>
        <v>410.795589636503</v>
      </c>
      <c r="H10869" s="38" t="n">
        <f aca="false">Sens!$H$10770-Sens!$H$10772</f>
        <v>449.156813761174</v>
      </c>
      <c r="I10869" s="38" t="n">
        <f aca="false">Sens!$I$10770-Sens!$I$10772</f>
        <v>485.848786441156</v>
      </c>
      <c r="J10869" s="38" t="n">
        <f aca="false">Sens!$J$10770-Sens!$J$10772</f>
        <v>519.841531018994</v>
      </c>
      <c r="K10869" s="38" t="n">
        <f aca="false">Sens!$K$10770-Sens!$K$10772</f>
        <v>550.103332311311</v>
      </c>
      <c r="L10869" s="38" t="n">
        <f aca="false">Sens!$L$10770-Sens!$L$10772</f>
        <v>582.192354474511</v>
      </c>
      <c r="M10869" s="38" t="n">
        <f aca="false">Sens!$M$10770-Sens!$M$10772</f>
        <v>616.22240521081</v>
      </c>
      <c r="N10869" s="38" t="n">
        <f aca="false">Sens!$N$10770-Sens!$N$10772</f>
        <v>171.24628885875</v>
      </c>
      <c r="O10869" s="38" t="n">
        <f aca="false">Sens!$O$10770-Sens!$O$10772</f>
        <v>205.33105363572</v>
      </c>
    </row>
    <row r="10870" customFormat="false" ht="17.15" hidden="false" customHeight="false" outlineLevel="0" collapsed="false">
      <c r="A10870" s="0" t="s">
        <v>722</v>
      </c>
      <c r="B10870" s="0" t="s">
        <v>86</v>
      </c>
      <c r="C10870" s="38" t="n">
        <f aca="false">Sens!$C$10821*Sens!$C$10769</f>
        <v>0.123617442257179</v>
      </c>
      <c r="D10870" s="38" t="n">
        <f aca="false">Sens!$D$10821*Sens!$D$10769</f>
        <v>0.600198046024689</v>
      </c>
      <c r="E10870" s="38" t="n">
        <f aca="false">Sens!$E$10821*Sens!$E$10769</f>
        <v>0.970552432202993</v>
      </c>
      <c r="F10870" s="38" t="n">
        <f aca="false">Sens!$F$10821*Sens!$F$10769</f>
        <v>1.20013524388435</v>
      </c>
      <c r="G10870" s="38" t="n">
        <f aca="false">Sens!$G$10821*Sens!$G$10769</f>
        <v>2.17135369594947</v>
      </c>
      <c r="H10870" s="38" t="n">
        <f aca="false">Sens!$H$10821*Sens!$H$10769</f>
        <v>6.14227489656333</v>
      </c>
      <c r="I10870" s="38" t="n">
        <f aca="false">Sens!$I$10821*Sens!$I$10769</f>
        <v>11.6518054969681</v>
      </c>
      <c r="J10870" s="38" t="n">
        <f aca="false">Sens!$J$10821*Sens!$J$10769</f>
        <v>17.3105301010592</v>
      </c>
      <c r="K10870" s="38" t="n">
        <f aca="false">Sens!$K$10821*Sens!$K$10769</f>
        <v>22.8486728059883</v>
      </c>
      <c r="L10870" s="38" t="n">
        <f aca="false">Sens!$L$10821*Sens!$L$10769</f>
        <v>26.6849171332777</v>
      </c>
      <c r="M10870" s="38" t="n">
        <f aca="false">Sens!$M$10821*Sens!$M$10769</f>
        <v>29.0523240317336</v>
      </c>
      <c r="N10870" s="38" t="n">
        <f aca="false">Sens!$N$10821*Sens!$N$10769</f>
        <v>0.25053229484398</v>
      </c>
      <c r="O10870" s="38" t="n">
        <f aca="false">Sens!$O$10821*Sens!$O$10769</f>
        <v>0.349234376756897</v>
      </c>
    </row>
    <row r="10871" customFormat="false" ht="17.15" hidden="false" customHeight="false" outlineLevel="0" collapsed="false">
      <c r="A10871" s="0" t="s">
        <v>723</v>
      </c>
      <c r="B10871" s="0" t="s">
        <v>52</v>
      </c>
      <c r="C10871" s="28" t="n">
        <f aca="false">(Sens!$C$10872-Sens!$C$10868+Sens!$C$10870)/Sens!$C$10869</f>
        <v>0.0131526665379575</v>
      </c>
      <c r="D10871" s="28" t="n">
        <f aca="false">(Sens!$D$10872-Sens!$D$10868+Sens!$D$10870)/Sens!$D$10869</f>
        <v>0.0141999252954702</v>
      </c>
      <c r="E10871" s="28" t="n">
        <f aca="false">(Sens!$E$10872-Sens!$E$10868+Sens!$E$10870)/Sens!$E$10869</f>
        <v>0.0251341154940129</v>
      </c>
      <c r="F10871" s="28" t="n">
        <f aca="false">Sens!$O$10871+(Sens!$E$10871-Sens!$N$10871)</f>
        <v>0.0217171685713677</v>
      </c>
      <c r="G10871" s="28" t="n">
        <f aca="false">(Sens!$G$10872-Sens!$G$10868+Sens!$G$10870)/Sens!$G$10869</f>
        <v>0.0233071940458981</v>
      </c>
      <c r="H10871" s="28" t="n">
        <f aca="false">Sens!$G$10871+step_na</f>
        <v>0.0263071940458981</v>
      </c>
      <c r="I10871" s="28" t="n">
        <f aca="false">Sens!$H$10871+step_na</f>
        <v>0.0293071940458981</v>
      </c>
      <c r="J10871" s="28" t="n">
        <f aca="false">Sens!$I$10871+step_na</f>
        <v>0.0323071940458981</v>
      </c>
      <c r="K10871" s="28" t="n">
        <f aca="false">Sens!$J$10871+step_na</f>
        <v>0.0353071940458981</v>
      </c>
      <c r="L10871" s="28" t="n">
        <f aca="false">Sens!$K$10871</f>
        <v>0.0353071940458981</v>
      </c>
      <c r="M10871" s="28" t="n">
        <f aca="false">Sens!$L$10871</f>
        <v>0.0353071940458981</v>
      </c>
      <c r="N10871" s="28" t="n">
        <f aca="false">(Sens!$N$10872-Sens!$N$10868+Sens!$N$10870)/Sens!$N$10869</f>
        <v>0.0160831323269779</v>
      </c>
      <c r="O10871" s="28" t="n">
        <f aca="false">(Sens!$O$10872-Sens!$O$10868+Sens!$O$10870)/Sens!$O$10869</f>
        <v>0.0126661854043327</v>
      </c>
      <c r="P10871" s="8" t="s">
        <v>724</v>
      </c>
    </row>
    <row r="10872" customFormat="false" ht="17.15" hidden="false" customHeight="false" outlineLevel="0" collapsed="false">
      <c r="A10872" s="1" t="s">
        <v>725</v>
      </c>
      <c r="B10872" s="8" t="s">
        <v>86</v>
      </c>
      <c r="C10872" s="38" t="n">
        <f aca="false">Q!$D$22</f>
        <v>24.967</v>
      </c>
      <c r="D10872" s="38" t="n">
        <f aca="false">Q!$E$22</f>
        <v>29.619</v>
      </c>
      <c r="E10872" s="38" t="n">
        <f aca="false">Q!$P$22</f>
        <v>17.39</v>
      </c>
      <c r="F10872" s="38" t="n">
        <f aca="false">Sens!$F$10868+Sens!$F$10869*Sens!$F$10871-Sens!$F$10870</f>
        <v>20.0952307469491</v>
      </c>
      <c r="G10872" s="38" t="n">
        <f aca="false">Sens!$E$10872+Sens!$F$10872</f>
        <v>37.4852307469491</v>
      </c>
      <c r="H10872" s="38" t="n">
        <f aca="false">Sens!$H$10868+Sens!$H$10869*Sens!$H$10871-Sens!$H$10870</f>
        <v>41.7888688877206</v>
      </c>
      <c r="I10872" s="38" t="n">
        <f aca="false">Sens!$I$10868+Sens!$I$10869*Sens!$I$10871-Sens!$I$10870</f>
        <v>44.7345973874265</v>
      </c>
      <c r="J10872" s="38" t="n">
        <f aca="false">Sens!$J$10868+Sens!$J$10869*Sens!$J$10871-Sens!$J$10870</f>
        <v>47.2590435011574</v>
      </c>
      <c r="K10872" s="38" t="n">
        <f aca="false">Sens!$K$10868+Sens!$K$10869*Sens!$K$10871-Sens!$K$10870</f>
        <v>49.1263799183386</v>
      </c>
      <c r="L10872" s="38" t="n">
        <f aca="false">Sens!$L$10868+Sens!$L$10869*Sens!$L$10871-Sens!$L$10870</f>
        <v>51.67835368582</v>
      </c>
      <c r="M10872" s="38" t="n">
        <f aca="false">Sens!$M$10868+Sens!$M$10869*Sens!$M$10871-Sens!$M$10870</f>
        <v>56.2932216308652</v>
      </c>
      <c r="N10872" s="38" t="n">
        <f aca="false">Q!$N$22</f>
        <v>13.358</v>
      </c>
      <c r="O10872" s="38" t="n">
        <f aca="false">Q!$O$22</f>
        <v>16.261</v>
      </c>
    </row>
    <row r="10873" customFormat="false" ht="17.15" hidden="false" customHeight="false" outlineLevel="0" collapsed="false">
      <c r="A10873" s="0" t="s">
        <v>726</v>
      </c>
      <c r="B10873" s="0" t="s">
        <v>86</v>
      </c>
      <c r="C10873" s="38" t="n">
        <f aca="false">Sens!$C$10773*m_ad</f>
        <v>7.57284355857716</v>
      </c>
      <c r="D10873" s="38" t="n">
        <f aca="false">Sens!$D$10773*m_ad</f>
        <v>9.44543827004127</v>
      </c>
      <c r="E10873" s="38" t="n">
        <f aca="false">Sens!$E$10773*m_ad</f>
        <v>5.02428875377928</v>
      </c>
      <c r="F10873" s="38" t="n">
        <f aca="false">Sens!$F$10773*m_ad</f>
        <v>6.50663858068173</v>
      </c>
      <c r="G10873" s="38" t="n">
        <f aca="false">Sens!$G$10773*m_ad</f>
        <v>11.5225190751659</v>
      </c>
      <c r="H10873" s="38" t="n">
        <f aca="false">Sens!$H$10773*m_ad</f>
        <v>13.8333728663174</v>
      </c>
      <c r="I10873" s="38" t="n">
        <f aca="false">Sens!$I$10773*m_ad</f>
        <v>16.1440173245485</v>
      </c>
      <c r="J10873" s="38" t="n">
        <f aca="false">Sens!$J$10773*m_ad</f>
        <v>18.2995185845066</v>
      </c>
      <c r="K10873" s="38" t="n">
        <f aca="false">Sens!$K$10773*m_ad</f>
        <v>20.1294704429572</v>
      </c>
      <c r="L10873" s="38" t="n">
        <f aca="false">Sens!$L$10773*m_ad</f>
        <v>22.142417487253</v>
      </c>
      <c r="M10873" s="38" t="n">
        <f aca="false">Sens!$M$10773*m_ad</f>
        <v>24.3566592359783</v>
      </c>
      <c r="N10873" s="38" t="n">
        <f aca="false">Sens!$N$10773*m_ad</f>
        <v>3.95314442937518</v>
      </c>
      <c r="O10873" s="38" t="n">
        <f aca="false">Sens!$O$10773*m_ad</f>
        <v>5.50052681786011</v>
      </c>
    </row>
    <row r="10874" customFormat="false" ht="17.15" hidden="false" customHeight="false" outlineLevel="0" collapsed="false">
      <c r="A10874" s="0" t="s">
        <v>727</v>
      </c>
      <c r="B10874" s="0" t="s">
        <v>86</v>
      </c>
      <c r="C10874" s="38" t="n">
        <f aca="false">Sens!$C$10771-Sens!$C$10773</f>
        <v>127.760312882846</v>
      </c>
      <c r="D10874" s="38" t="n">
        <f aca="false">Sens!$D$10771-Sens!$D$10773</f>
        <v>143.003123459917</v>
      </c>
      <c r="E10874" s="38" t="n">
        <f aca="false">Sens!$E$10771-Sens!$E$10773</f>
        <v>71.9374224924414</v>
      </c>
      <c r="F10874" s="38" t="n">
        <f aca="false">Sens!$F$10771-Sens!$F$10773</f>
        <v>85.3951910035875</v>
      </c>
      <c r="G10874" s="38" t="n">
        <f aca="false">Sens!$G$10771-Sens!$G$10773</f>
        <v>157.349430014619</v>
      </c>
      <c r="H10874" s="38" t="n">
        <f aca="false">Sens!$H$10771-Sens!$H$10773</f>
        <v>172.043153372315</v>
      </c>
      <c r="I10874" s="38" t="n">
        <f aca="false">Sens!$I$10771-Sens!$I$10773</f>
        <v>186.097493615879</v>
      </c>
      <c r="J10874" s="38" t="n">
        <f aca="false">Sens!$J$10771-Sens!$J$10773</f>
        <v>199.117932780497</v>
      </c>
      <c r="K10874" s="38" t="n">
        <f aca="false">Sens!$K$10771-Sens!$K$10773</f>
        <v>210.70928698363</v>
      </c>
      <c r="L10874" s="38" t="n">
        <f aca="false">Sens!$L$10771-Sens!$L$10773</f>
        <v>223.000532251316</v>
      </c>
      <c r="M10874" s="38" t="n">
        <f aca="false">Sens!$M$10771-Sens!$M$10773</f>
        <v>236.035261011339</v>
      </c>
      <c r="N10874" s="38" t="n">
        <f aca="false">Sens!$N$10771-Sens!$N$10773</f>
        <v>62.3677111412496</v>
      </c>
      <c r="O10874" s="38" t="n">
        <f aca="false">Sens!$O$10771-Sens!$O$10773</f>
        <v>80.6189463642798</v>
      </c>
    </row>
    <row r="10875" customFormat="false" ht="17.15" hidden="false" customHeight="false" outlineLevel="0" collapsed="false">
      <c r="A10875" s="0" t="s">
        <v>728</v>
      </c>
      <c r="B10875" s="0" t="s">
        <v>86</v>
      </c>
      <c r="C10875" s="38" t="n">
        <f aca="false">Sens!$C$10821*(1-Sens!$C$10769)</f>
        <v>0.0455891896019953</v>
      </c>
      <c r="D10875" s="38" t="n">
        <f aca="false">Sens!$D$10821*(1-Sens!$D$10769)</f>
        <v>0.227931791705753</v>
      </c>
      <c r="E10875" s="38" t="n">
        <f aca="false">Sens!$E$10821*(1-Sens!$E$10769)</f>
        <v>0.361164268820781</v>
      </c>
      <c r="F10875" s="38" t="n">
        <f aca="false">Sens!$F$10821*(1-Sens!$F$10769)</f>
        <v>0.471208018190203</v>
      </c>
      <c r="G10875" s="38" t="n">
        <f aca="false">Sens!$G$10821*(1-Sens!$G$10769)</f>
        <v>0.83170626714885</v>
      </c>
      <c r="H10875" s="38" t="n">
        <f aca="false">Sens!$H$10821*(1-Sens!$H$10769)</f>
        <v>2.35271136874315</v>
      </c>
      <c r="I10875" s="38" t="n">
        <f aca="false">Sens!$I$10821*(1-Sens!$I$10769)</f>
        <v>4.46305900024741</v>
      </c>
      <c r="J10875" s="38" t="n">
        <f aca="false">Sens!$J$10821*(1-Sens!$J$10769)</f>
        <v>6.63055328092195</v>
      </c>
      <c r="K10875" s="38" t="n">
        <f aca="false">Sens!$K$10821*(1-Sens!$K$10769)</f>
        <v>8.75186037365703</v>
      </c>
      <c r="L10875" s="38" t="n">
        <f aca="false">Sens!$L$10821*(1-Sens!$L$10769)</f>
        <v>10.2212794071718</v>
      </c>
      <c r="M10875" s="38" t="n">
        <f aca="false">Sens!$M$10821*(1-Sens!$M$10769)</f>
        <v>11.1280810756472</v>
      </c>
      <c r="N10875" s="38" t="n">
        <f aca="false">Sens!$N$10821*(1-Sens!$N$10769)</f>
        <v>0.0912435878202994</v>
      </c>
      <c r="O10875" s="38" t="n">
        <f aca="false">Sens!$O$10821*(1-Sens!$O$10769)</f>
        <v>0.137119578309265</v>
      </c>
    </row>
    <row r="10876" customFormat="false" ht="17.15" hidden="false" customHeight="false" outlineLevel="0" collapsed="false">
      <c r="A10876" s="0" t="s">
        <v>729</v>
      </c>
      <c r="B10876" s="0" t="s">
        <v>52</v>
      </c>
      <c r="C10876" s="28" t="n">
        <f aca="false">(Sens!$C$10877-Sens!$C$10873+Sens!$C$10875)/Sens!$C$10874</f>
        <v>-0.0292364215826579</v>
      </c>
      <c r="D10876" s="28" t="n">
        <f aca="false">(Sens!$D$10877-Sens!$D$10873+Sens!$D$10875)/Sens!$D$10874</f>
        <v>-0.0312406216748665</v>
      </c>
      <c r="E10876" s="28" t="n">
        <f aca="false">(Sens!$E$10877-Sens!$E$10873+Sens!$E$10875)/Sens!$E$10874</f>
        <v>-0.0211590078184749</v>
      </c>
      <c r="F10876" s="28" t="n">
        <f aca="false">Sens!$O$10876+(Sens!$E$10876-Sens!$N$10876)</f>
        <v>-0.0382539955245511</v>
      </c>
      <c r="G10876" s="28" t="n">
        <f aca="false">(Sens!$G$10877-Sens!$G$10873+Sens!$G$10875)/Sens!$G$10874</f>
        <v>-0.030385172031133</v>
      </c>
      <c r="H10876" s="28" t="n">
        <f aca="false">Sens!$G$10876+step_in</f>
        <v>-0.030385172031133</v>
      </c>
      <c r="I10876" s="28" t="n">
        <f aca="false">Sens!$H$10876+step_in</f>
        <v>-0.030385172031133</v>
      </c>
      <c r="J10876" s="28" t="n">
        <f aca="false">Sens!$I$10876+step_in</f>
        <v>-0.030385172031133</v>
      </c>
      <c r="K10876" s="28" t="n">
        <f aca="false">Sens!$J$10876+step_in</f>
        <v>-0.030385172031133</v>
      </c>
      <c r="L10876" s="28" t="n">
        <f aca="false">Sens!$K$10876</f>
        <v>-0.030385172031133</v>
      </c>
      <c r="M10876" s="28" t="n">
        <f aca="false">Sens!$L$10876</f>
        <v>-0.030385172031133</v>
      </c>
      <c r="N10876" s="28" t="n">
        <f aca="false">(Sens!$N$10877-Sens!$N$10873+Sens!$N$10875)/Sens!$N$10874</f>
        <v>-0.0216602600421776</v>
      </c>
      <c r="O10876" s="28" t="n">
        <f aca="false">(Sens!$O$10877-Sens!$O$10873+Sens!$O$10875)/Sens!$O$10874</f>
        <v>-0.0387552477482538</v>
      </c>
      <c r="P10876" s="8" t="s">
        <v>724</v>
      </c>
    </row>
    <row r="10877" customFormat="false" ht="17.15" hidden="false" customHeight="false" outlineLevel="0" collapsed="false">
      <c r="A10877" s="1" t="s">
        <v>730</v>
      </c>
      <c r="B10877" s="8" t="s">
        <v>86</v>
      </c>
      <c r="C10877" s="38" t="n">
        <f aca="false">Q!$D$23</f>
        <v>3.792</v>
      </c>
      <c r="D10877" s="38" t="n">
        <f aca="false">Q!$E$23</f>
        <v>4.75</v>
      </c>
      <c r="E10877" s="38" t="n">
        <f aca="false">Q!$P$23</f>
        <v>3.141</v>
      </c>
      <c r="F10877" s="38" t="n">
        <f aca="false">Sens!$F$10873+Sens!$F$10874*Sens!$F$10876-Sens!$F$10875</f>
        <v>2.7687233080221</v>
      </c>
      <c r="G10877" s="38" t="n">
        <f aca="false">Sens!$E$10877+Sens!$F$10877</f>
        <v>5.9097233080221</v>
      </c>
      <c r="H10877" s="38" t="n">
        <f aca="false">Sens!$H$10873+Sens!$H$10874*Sens!$H$10876-Sens!$H$10875</f>
        <v>6.25310068557783</v>
      </c>
      <c r="I10877" s="38" t="n">
        <f aca="false">Sens!$I$10873+Sens!$I$10874*Sens!$I$10876-Sens!$I$10875</f>
        <v>6.02635396621997</v>
      </c>
      <c r="J10877" s="38" t="n">
        <f aca="false">Sens!$J$10873+Sens!$J$10874*Sens!$J$10876-Sens!$J$10875</f>
        <v>5.61873266156566</v>
      </c>
      <c r="K10877" s="38" t="n">
        <f aca="false">Sens!$K$10873+Sens!$K$10874*Sens!$K$10876-Sens!$K$10875</f>
        <v>4.97517213574524</v>
      </c>
      <c r="L10877" s="38" t="n">
        <f aca="false">Sens!$L$10873+Sens!$L$10874*Sens!$L$10876-Sens!$L$10875</f>
        <v>5.14522854459066</v>
      </c>
      <c r="M10877" s="38" t="n">
        <f aca="false">Sens!$M$10873+Sens!$M$10874*Sens!$M$10876-Sens!$M$10875</f>
        <v>6.05660614908815</v>
      </c>
      <c r="N10877" s="38" t="n">
        <f aca="false">Q!$N$23</f>
        <v>2.511</v>
      </c>
      <c r="O10877" s="38" t="n">
        <f aca="false">Q!$O$23</f>
        <v>2.239</v>
      </c>
    </row>
    <row r="10878" customFormat="false" ht="17.15" hidden="false" customHeight="false" outlineLevel="0" collapsed="false">
      <c r="A10878" s="0" t="s">
        <v>731</v>
      </c>
      <c r="B10878" s="0" t="s">
        <v>86</v>
      </c>
      <c r="C10878" s="38" t="n">
        <f aca="false">Sens!$C$10818</f>
        <v>1.64417882953695</v>
      </c>
      <c r="D10878" s="38" t="n">
        <f aca="false">Sens!$D$10818</f>
        <v>5.39125073772939</v>
      </c>
      <c r="E10878" s="38" t="n">
        <f aca="false">Sens!$E$10818</f>
        <v>3.18348617147493</v>
      </c>
      <c r="F10878" s="38" t="n">
        <f aca="false">Sens!$F$10818</f>
        <v>8.27806059642226</v>
      </c>
      <c r="G10878" s="38" t="n">
        <f aca="false">Sens!$G$10818</f>
        <v>11.4615467678972</v>
      </c>
      <c r="H10878" s="38" t="n">
        <f aca="false">Sens!$H$10818</f>
        <v>26.1859456885487</v>
      </c>
      <c r="I10878" s="38" t="n">
        <f aca="false">Sens!$I$10818</f>
        <v>37.04424114757</v>
      </c>
      <c r="J10878" s="38" t="n">
        <f aca="false">Sens!$J$10818</f>
        <v>47.2610736233534</v>
      </c>
      <c r="K10878" s="38" t="n">
        <f aca="false">Sens!$K$10818</f>
        <v>52.0459876645985</v>
      </c>
      <c r="L10878" s="38" t="n">
        <f aca="false">Sens!$L$10818</f>
        <v>54.1033156405981</v>
      </c>
      <c r="M10878" s="38" t="n">
        <f aca="false">Sens!$M$10818</f>
        <v>52.1138209393421</v>
      </c>
      <c r="N10878" s="38" t="n">
        <f aca="false">Sens!$N$10818</f>
        <v>1.67921600037079</v>
      </c>
      <c r="O10878" s="38" t="n">
        <f aca="false">Sens!$O$10818</f>
        <v>3.71203473735861</v>
      </c>
    </row>
    <row r="10879" customFormat="false" ht="17.15" hidden="false" customHeight="false" outlineLevel="0" collapsed="false">
      <c r="A10879" s="0" t="s">
        <v>649</v>
      </c>
      <c r="B10879" s="0" t="s">
        <v>86</v>
      </c>
      <c r="C10879" s="38" t="n">
        <f aca="false">Sens!$C$10823</f>
        <v>38.1898211704631</v>
      </c>
      <c r="D10879" s="38" t="n">
        <f aca="false">Sens!$D$10823</f>
        <v>40.2147492622706</v>
      </c>
      <c r="E10879" s="38" t="n">
        <f aca="false">Sens!$E$10823</f>
        <v>27.5985138285251</v>
      </c>
      <c r="F10879" s="38" t="n">
        <f aca="false">Sens!$F$10823</f>
        <v>25.5484769754606</v>
      </c>
      <c r="G10879" s="38" t="n">
        <f aca="false">Sens!$G$10823</f>
        <v>53.1469908039857</v>
      </c>
      <c r="H10879" s="38" t="n">
        <f aca="false">Sens!$H$10823</f>
        <v>57.3189525076539</v>
      </c>
      <c r="I10879" s="38" t="n">
        <f aca="false">Sens!$I$10823</f>
        <v>63.6385627021087</v>
      </c>
      <c r="J10879" s="38" t="n">
        <f aca="false">Sens!$J$10823</f>
        <v>69.6922896066105</v>
      </c>
      <c r="K10879" s="38" t="n">
        <f aca="false">Sens!$K$10823</f>
        <v>75.2676727751394</v>
      </c>
      <c r="L10879" s="38" t="n">
        <f aca="false">Sens!$L$10823</f>
        <v>81.2890865971505</v>
      </c>
      <c r="M10879" s="38" t="n">
        <f aca="false">Sens!$M$10823</f>
        <v>87.7922135249226</v>
      </c>
      <c r="N10879" s="38" t="n">
        <f aca="false">Sens!$N$10823</f>
        <v>20.0277839996292</v>
      </c>
      <c r="O10879" s="38" t="n">
        <f aca="false">Sens!$O$10823</f>
        <v>20.1869652626414</v>
      </c>
    </row>
    <row r="10880" customFormat="false" ht="17.15" hidden="false" customHeight="false" outlineLevel="0" collapsed="false">
      <c r="A10880" s="1" t="s">
        <v>732</v>
      </c>
      <c r="B10880" s="8" t="s">
        <v>86</v>
      </c>
      <c r="C10880" s="38" t="n">
        <f aca="false">Q!$D$24</f>
        <v>39.834</v>
      </c>
      <c r="D10880" s="38" t="n">
        <f aca="false">Q!$E$24</f>
        <v>45.606</v>
      </c>
      <c r="E10880" s="38" t="n">
        <f aca="false">Q!$P$24</f>
        <v>30.782</v>
      </c>
      <c r="F10880" s="38" t="n">
        <f aca="false">Sens!$F$10878+Sens!$F$10879</f>
        <v>33.8265375718829</v>
      </c>
      <c r="G10880" s="38" t="n">
        <f aca="false">Sens!$G$10878+Sens!$G$10879</f>
        <v>64.6085375718829</v>
      </c>
      <c r="H10880" s="38" t="n">
        <f aca="false">Sens!$H$10878+Sens!$H$10879</f>
        <v>83.5048981962026</v>
      </c>
      <c r="I10880" s="38" t="n">
        <f aca="false">Sens!$I$10878+Sens!$I$10879</f>
        <v>100.682803849679</v>
      </c>
      <c r="J10880" s="38" t="n">
        <f aca="false">Sens!$J$10878+Sens!$J$10879</f>
        <v>116.953363229964</v>
      </c>
      <c r="K10880" s="38" t="n">
        <f aca="false">Sens!$K$10878+Sens!$K$10879</f>
        <v>127.313660439738</v>
      </c>
      <c r="L10880" s="38" t="n">
        <f aca="false">Sens!$L$10878+Sens!$L$10879</f>
        <v>135.392402237749</v>
      </c>
      <c r="M10880" s="38" t="n">
        <f aca="false">Sens!$M$10878+Sens!$M$10879</f>
        <v>139.906034464265</v>
      </c>
      <c r="N10880" s="38" t="n">
        <f aca="false">Q!$N$24</f>
        <v>21.707</v>
      </c>
      <c r="O10880" s="38" t="n">
        <f aca="false">Q!$O$24</f>
        <v>23.899</v>
      </c>
    </row>
    <row r="10881" customFormat="false" ht="17.15" hidden="false" customHeight="false" outlineLevel="0" collapsed="false">
      <c r="A10881" s="5" t="s">
        <v>733</v>
      </c>
      <c r="B10881" s="0" t="s">
        <v>86</v>
      </c>
      <c r="C10881" s="38" t="n">
        <f aca="false">Q!$D$26</f>
        <v>0</v>
      </c>
      <c r="D10881" s="38" t="n">
        <f aca="false">Q!$E$26</f>
        <v>0</v>
      </c>
      <c r="E10881" s="38" t="n">
        <f aca="false">Q!$P$26</f>
        <v>0</v>
      </c>
      <c r="F10881" s="39" t="n">
        <v>0</v>
      </c>
      <c r="G10881" s="38" t="n">
        <f aca="false">Sens!$E$10881+Sens!$F$10881</f>
        <v>0</v>
      </c>
      <c r="H10881" s="39" t="n">
        <v>0</v>
      </c>
      <c r="I10881" s="39" t="n">
        <v>0</v>
      </c>
      <c r="J10881" s="39" t="n">
        <v>0</v>
      </c>
      <c r="K10881" s="39" t="n">
        <v>0</v>
      </c>
      <c r="L10881" s="39" t="n">
        <v>0</v>
      </c>
      <c r="M10881" s="39" t="n">
        <v>0</v>
      </c>
      <c r="N10881" s="38" t="n">
        <f aca="false">Q!$N$26</f>
        <v>0</v>
      </c>
      <c r="O10881" s="38" t="n">
        <f aca="false">Q!$O$26</f>
        <v>0</v>
      </c>
    </row>
    <row r="10882" customFormat="false" ht="15" hidden="false" customHeight="false" outlineLevel="0" collapsed="false">
      <c r="A10882" s="3" t="s">
        <v>534</v>
      </c>
      <c r="B10882" s="8" t="s">
        <v>86</v>
      </c>
      <c r="C10882" s="38" t="n">
        <f aca="false">Q!$D$25</f>
        <v>68.593</v>
      </c>
      <c r="D10882" s="38" t="n">
        <f aca="false">Q!$E$25</f>
        <v>79.975</v>
      </c>
      <c r="E10882" s="38" t="n">
        <f aca="false">Q!$P$25</f>
        <v>51.313</v>
      </c>
      <c r="F10882" s="38" t="n">
        <f aca="false">Sens!$F$10872+Sens!$F$10877+Sens!$F$10880+Sens!$F$10881</f>
        <v>56.6904916268541</v>
      </c>
      <c r="G10882" s="38" t="n">
        <f aca="false">Sens!$G$10872+Sens!$G$10877+Sens!$G$10880+Sens!$G$10881</f>
        <v>108.003491626854</v>
      </c>
      <c r="H10882" s="38" t="n">
        <f aca="false">Sens!$H$10872+Sens!$H$10877+Sens!$H$10880+Sens!$H$10881</f>
        <v>131.546867769501</v>
      </c>
      <c r="I10882" s="38" t="n">
        <f aca="false">Sens!$I$10872+Sens!$I$10877+Sens!$I$10880+Sens!$I$10881</f>
        <v>151.443755203325</v>
      </c>
      <c r="J10882" s="38" t="n">
        <f aca="false">Sens!$J$10872+Sens!$J$10877+Sens!$J$10880+Sens!$J$10881</f>
        <v>169.831139392687</v>
      </c>
      <c r="K10882" s="38" t="n">
        <f aca="false">Sens!$K$10872+Sens!$K$10877+Sens!$K$10880+Sens!$K$10881</f>
        <v>181.415212493822</v>
      </c>
      <c r="L10882" s="38" t="n">
        <f aca="false">Sens!$L$10872+Sens!$L$10877+Sens!$L$10880+Sens!$L$10881</f>
        <v>192.215984468159</v>
      </c>
      <c r="M10882" s="38" t="n">
        <f aca="false">Sens!$M$10872+Sens!$M$10877+Sens!$M$10880+Sens!$M$10881</f>
        <v>202.255862244218</v>
      </c>
      <c r="N10882" s="38" t="n">
        <f aca="false">Q!$N$25</f>
        <v>37.576</v>
      </c>
      <c r="O10882" s="38" t="n">
        <f aca="false">Q!$O$25</f>
        <v>42.399</v>
      </c>
    </row>
    <row r="10883" customFormat="false" ht="17.15" hidden="false" customHeight="false" outlineLevel="0" collapsed="false">
      <c r="A10883" s="24" t="s">
        <v>764</v>
      </c>
      <c r="B10883" s="25" t="s">
        <v>86</v>
      </c>
      <c r="C10883" s="41" t="n">
        <f aca="false">Sens!$C$10872+Sens!$C$10877+Sens!$C$10880+Sens!$C$10881-Sens!$C$10882</f>
        <v>0</v>
      </c>
      <c r="D10883" s="41" t="n">
        <f aca="false">Sens!$D$10872+Sens!$D$10877+Sens!$D$10880+Sens!$D$10881-Sens!$D$10882</f>
        <v>0</v>
      </c>
      <c r="E10883" s="41" t="n">
        <f aca="false">Sens!$E$10872+Sens!$E$10877+Sens!$E$10880+Sens!$E$10881-Sens!$E$10882</f>
        <v>0</v>
      </c>
      <c r="F10883" s="41" t="n">
        <f aca="false">Sens!$F$10872+Sens!$F$10877+Sens!$F$10880+Sens!$F$10881-Sens!$F$10882</f>
        <v>0</v>
      </c>
      <c r="G10883" s="41" t="n">
        <f aca="false">Sens!$G$10872+Sens!$G$10877+Sens!$G$10880+Sens!$G$10881-Sens!$G$10882</f>
        <v>0</v>
      </c>
      <c r="H10883" s="41" t="n">
        <f aca="false">Sens!$H$10872+Sens!$H$10877+Sens!$H$10880+Sens!$H$10881-Sens!$H$10882</f>
        <v>0</v>
      </c>
      <c r="I10883" s="41" t="n">
        <f aca="false">Sens!$I$10872+Sens!$I$10877+Sens!$I$10880+Sens!$I$10881-Sens!$I$10882</f>
        <v>0</v>
      </c>
      <c r="J10883" s="41" t="n">
        <f aca="false">Sens!$J$10872+Sens!$J$10877+Sens!$J$10880+Sens!$J$10881-Sens!$J$10882</f>
        <v>0</v>
      </c>
      <c r="K10883" s="41" t="n">
        <f aca="false">Sens!$K$10872+Sens!$K$10877+Sens!$K$10880+Sens!$K$10881-Sens!$K$10882</f>
        <v>0</v>
      </c>
      <c r="L10883" s="41" t="n">
        <f aca="false">Sens!$L$10872+Sens!$L$10877+Sens!$L$10880+Sens!$L$10881-Sens!$L$10882</f>
        <v>0</v>
      </c>
      <c r="M10883" s="41" t="n">
        <f aca="false">Sens!$M$10872+Sens!$M$10877+Sens!$M$10880+Sens!$M$10881-Sens!$M$10882</f>
        <v>0</v>
      </c>
      <c r="N10883" s="41" t="n">
        <f aca="false">Sens!$N$10872+Sens!$N$10877+Sens!$N$10880+Sens!$N$10881-Sens!$N$10882</f>
        <v>0</v>
      </c>
      <c r="O10883" s="41" t="n">
        <f aca="false">Sens!$O$10872+Sens!$O$10877+Sens!$O$10880+Sens!$O$10881-Sens!$O$10882</f>
        <v>0</v>
      </c>
    </row>
    <row r="10884" customFormat="false" ht="17.15" hidden="false" customHeight="false" outlineLevel="0" collapsed="false">
      <c r="A10884" s="5" t="s">
        <v>735</v>
      </c>
      <c r="B10884" s="0" t="s">
        <v>86</v>
      </c>
      <c r="C10884" s="38" t="n">
        <f aca="false">Sens!$C$10820</f>
        <v>0</v>
      </c>
      <c r="D10884" s="38" t="n">
        <f aca="false">Sens!$D$10820</f>
        <v>0</v>
      </c>
      <c r="E10884" s="38" t="n">
        <f aca="false">Sens!$E$10820</f>
        <v>0</v>
      </c>
      <c r="F10884" s="38" t="n">
        <f aca="false">Sens!$F$10820</f>
        <v>0</v>
      </c>
      <c r="G10884" s="38" t="n">
        <f aca="false">Sens!$G$10820</f>
        <v>0</v>
      </c>
      <c r="H10884" s="38" t="n">
        <f aca="false">Sens!$H$10820</f>
        <v>0</v>
      </c>
      <c r="I10884" s="38" t="n">
        <f aca="false">Sens!$I$10820</f>
        <v>0</v>
      </c>
      <c r="J10884" s="38" t="n">
        <f aca="false">Sens!$J$10820</f>
        <v>0</v>
      </c>
      <c r="K10884" s="38" t="n">
        <f aca="false">Sens!$K$10820</f>
        <v>0</v>
      </c>
      <c r="L10884" s="38" t="n">
        <f aca="false">Sens!$L$10820</f>
        <v>0</v>
      </c>
      <c r="M10884" s="38" t="n">
        <f aca="false">Sens!$M$10820</f>
        <v>0</v>
      </c>
      <c r="N10884" s="38" t="n">
        <f aca="false">Sens!$N$10820</f>
        <v>0</v>
      </c>
      <c r="O10884" s="38" t="n">
        <f aca="false">Sens!$O$10820</f>
        <v>0</v>
      </c>
      <c r="P10884" s="5" t="s">
        <v>736</v>
      </c>
    </row>
    <row r="10885" customFormat="false" ht="17.15" hidden="false" customHeight="false" outlineLevel="0" collapsed="false">
      <c r="A10885" s="5" t="s">
        <v>737</v>
      </c>
      <c r="B10885" s="0" t="s">
        <v>86</v>
      </c>
      <c r="C10885" s="38" t="n">
        <f aca="false">Sens!$C$10882+Sens!$C$10884</f>
        <v>68.593</v>
      </c>
      <c r="D10885" s="38" t="n">
        <f aca="false">Sens!$D$10882+Sens!$D$10884</f>
        <v>79.975</v>
      </c>
      <c r="E10885" s="38" t="n">
        <f aca="false">Sens!$E$10882+Sens!$E$10884</f>
        <v>51.313</v>
      </c>
      <c r="F10885" s="38" t="n">
        <f aca="false">Sens!$F$10882+Sens!$F$10884</f>
        <v>56.6904916268541</v>
      </c>
      <c r="G10885" s="38" t="n">
        <f aca="false">Sens!$G$10882+Sens!$G$10884</f>
        <v>108.003491626854</v>
      </c>
      <c r="H10885" s="38" t="n">
        <f aca="false">Sens!$H$10882+Sens!$H$10884</f>
        <v>131.546867769501</v>
      </c>
      <c r="I10885" s="38" t="n">
        <f aca="false">Sens!$I$10882+Sens!$I$10884</f>
        <v>151.443755203325</v>
      </c>
      <c r="J10885" s="38" t="n">
        <f aca="false">Sens!$J$10882+Sens!$J$10884</f>
        <v>169.831139392687</v>
      </c>
      <c r="K10885" s="38" t="n">
        <f aca="false">Sens!$K$10882+Sens!$K$10884</f>
        <v>181.415212493822</v>
      </c>
      <c r="L10885" s="38" t="n">
        <f aca="false">Sens!$L$10882+Sens!$L$10884</f>
        <v>192.215984468159</v>
      </c>
      <c r="M10885" s="38" t="n">
        <f aca="false">Sens!$M$10882+Sens!$M$10884</f>
        <v>202.255862244218</v>
      </c>
      <c r="N10885" s="38" t="n">
        <f aca="false">Sens!$N$10882+Sens!$N$10884</f>
        <v>37.576</v>
      </c>
      <c r="O10885" s="38" t="n">
        <f aca="false">Sens!$O$10882+Sens!$O$10884</f>
        <v>42.399</v>
      </c>
    </row>
    <row r="10886" customFormat="false" ht="17.15" hidden="false" customHeight="false" outlineLevel="0" collapsed="false">
      <c r="A10886" s="0" t="s">
        <v>738</v>
      </c>
      <c r="B10886" s="0" t="s">
        <v>52</v>
      </c>
      <c r="C10886" s="13" t="n">
        <f aca="false">Sens!$C$10872/Sens!$C$10857</f>
        <v>0.0644314665661928</v>
      </c>
      <c r="D10886" s="13" t="n">
        <f aca="false">Sens!$D$10872/Sens!$D$10857</f>
        <v>0.0694784250712518</v>
      </c>
      <c r="E10886" s="13" t="n">
        <f aca="false">Sens!$E$10872/Sens!$E$10857</f>
        <v>0.0789306463326071</v>
      </c>
      <c r="F10886" s="13" t="n">
        <f aca="false">Sens!$F$10872/Sens!$F$10857</f>
        <v>0.0801757457241943</v>
      </c>
      <c r="G10886" s="13" t="n">
        <f aca="false">Sens!$G$10872/Sens!$G$10857</f>
        <v>0.0795932749625682</v>
      </c>
      <c r="H10886" s="13" t="n">
        <f aca="false">Sens!$H$10872/Sens!$H$10857</f>
        <v>0.0801494276915951</v>
      </c>
      <c r="I10886" s="13" t="n">
        <f aca="false">Sens!$I$10872/Sens!$I$10857</f>
        <v>0.0784619467108939</v>
      </c>
      <c r="J10886" s="13" t="n">
        <f aca="false">Sens!$J$10872/Sens!$J$10857</f>
        <v>0.0767950945569155</v>
      </c>
      <c r="K10886" s="13" t="n">
        <f aca="false">Sens!$K$10872/Sens!$K$10857</f>
        <v>0.0749782708028101</v>
      </c>
      <c r="L10886" s="13" t="n">
        <f aca="false">Sens!$L$10872/Sens!$L$10857</f>
        <v>0.0740581549602486</v>
      </c>
      <c r="M10886" s="13" t="n">
        <f aca="false">Sens!$M$10872/Sens!$M$10857</f>
        <v>0.075724068445432</v>
      </c>
      <c r="N10886" s="13" t="n">
        <f aca="false">Sens!$N$10872/Sens!$N$10857</f>
        <v>0.069228576611127</v>
      </c>
      <c r="O10886" s="13" t="n">
        <f aca="false">Sens!$O$10872/Sens!$O$10857</f>
        <v>0.069685022498393</v>
      </c>
    </row>
    <row r="10887" customFormat="false" ht="17.15" hidden="false" customHeight="false" outlineLevel="0" collapsed="false">
      <c r="A10887" s="0" t="s">
        <v>739</v>
      </c>
      <c r="B10887" s="0" t="s">
        <v>52</v>
      </c>
      <c r="C10887" s="13" t="n">
        <f aca="false">Sens!$C$10877/Sens!$C$10858</f>
        <v>0.026534925055631</v>
      </c>
      <c r="D10887" s="13" t="n">
        <f aca="false">Sens!$D$10877/Sens!$D$10858</f>
        <v>0.0293401855535103</v>
      </c>
      <c r="E10887" s="13" t="n">
        <f aca="false">Sens!$E$10877/Sens!$E$10858</f>
        <v>0.03831141902276</v>
      </c>
      <c r="F10887" s="13" t="n">
        <f aca="false">Sens!$F$10877/Sens!$F$10858</f>
        <v>0.0281350107328284</v>
      </c>
      <c r="G10887" s="13" t="n">
        <f aca="false">Sens!$G$10877/Sens!$G$10858</f>
        <v>0.0327600029432073</v>
      </c>
      <c r="H10887" s="13" t="n">
        <f aca="false">Sens!$H$10877/Sens!$H$10858</f>
        <v>0.031310920057557</v>
      </c>
      <c r="I10887" s="13" t="n">
        <f aca="false">Sens!$I$10877/Sens!$I$10858</f>
        <v>0.0275950243319601</v>
      </c>
      <c r="J10887" s="13" t="n">
        <f aca="false">Sens!$J$10877/Sens!$J$10858</f>
        <v>0.0238367762099147</v>
      </c>
      <c r="K10887" s="13" t="n">
        <f aca="false">Sens!$K$10877/Sens!$K$10858</f>
        <v>0.0198239122855479</v>
      </c>
      <c r="L10887" s="13" t="n">
        <f aca="false">Sens!$L$10877/Sens!$L$10858</f>
        <v>0.0192499447238486</v>
      </c>
      <c r="M10887" s="13" t="n">
        <f aca="false">Sens!$M$10877/Sens!$M$10858</f>
        <v>0.0212700135680342</v>
      </c>
      <c r="N10887" s="13" t="n">
        <f aca="false">Sens!$N$10877/Sens!$N$10858</f>
        <v>0.0357315650169337</v>
      </c>
      <c r="O10887" s="13" t="n">
        <f aca="false">Sens!$O$10877/Sens!$O$10858</f>
        <v>0.0244378956559703</v>
      </c>
    </row>
    <row r="10888" customFormat="false" ht="17.15" hidden="false" customHeight="false" outlineLevel="0" collapsed="false">
      <c r="A10888" s="14" t="s">
        <v>740</v>
      </c>
      <c r="B10888" s="14" t="s">
        <v>52</v>
      </c>
      <c r="C10888" s="17" t="n">
        <f aca="false">Sens!$C$10880/Sens!$C$10859</f>
        <v>0.370355907620217</v>
      </c>
      <c r="D10888" s="17" t="n">
        <f aca="false">Sens!$D$10880/Sens!$D$10859</f>
        <v>0.35429015342785</v>
      </c>
      <c r="E10888" s="17" t="n">
        <f aca="false">Sens!$E$10880/Sens!$E$10859</f>
        <v>0.385647527531039</v>
      </c>
      <c r="F10888" s="17" t="n">
        <f aca="false">Sens!$F$10880/Sens!$F$10859</f>
        <v>0.390008895496028</v>
      </c>
      <c r="G10888" s="17" t="n">
        <f aca="false">Sens!$G$10880/Sens!$G$10859</f>
        <v>0.387918733944362</v>
      </c>
      <c r="H10888" s="17" t="n">
        <f aca="false">Sens!$H$10880/Sens!$H$10859</f>
        <v>0.377537651365497</v>
      </c>
      <c r="I10888" s="17" t="n">
        <f aca="false">Sens!$I$10880/Sens!$I$10859</f>
        <v>0.359230604038662</v>
      </c>
      <c r="J10888" s="17" t="n">
        <f aca="false">Sens!$J$10880/Sens!$J$10859</f>
        <v>0.345197865849801</v>
      </c>
      <c r="K10888" s="17" t="n">
        <f aca="false">Sens!$K$10880/Sens!$K$10859</f>
        <v>0.32654098357242</v>
      </c>
      <c r="L10888" s="17" t="n">
        <f aca="false">Sens!$L$10880/Sens!$L$10859</f>
        <v>0.314806978274702</v>
      </c>
      <c r="M10888" s="17" t="n">
        <f aca="false">Sens!$M$10880/Sens!$M$10859</f>
        <v>0.304503505485029</v>
      </c>
      <c r="N10888" s="17" t="n">
        <f aca="false">Sens!$N$10880/Sens!$N$10859</f>
        <v>0.360941137346192</v>
      </c>
      <c r="O10888" s="17" t="n">
        <f aca="false">Sens!$O$10880/Sens!$O$10859</f>
        <v>0.348458117664212</v>
      </c>
    </row>
    <row r="10889" customFormat="false" ht="17.15" hidden="false" customHeight="false" outlineLevel="0" collapsed="false">
      <c r="A10889" s="0" t="s">
        <v>741</v>
      </c>
      <c r="B10889" s="0" t="s">
        <v>52</v>
      </c>
      <c r="C10889" s="13" t="n">
        <f aca="false">Sens!$C$10878/Sens!$C$10860</f>
        <v>0.708390794789371</v>
      </c>
      <c r="D10889" s="13" t="n">
        <f aca="false">Sens!$D$10878/Sens!$D$10860</f>
        <v>0.619415573115729</v>
      </c>
      <c r="E10889" s="13" t="n">
        <f aca="false">Sens!$E$10878/Sens!$E$10860</f>
        <v>0.374072166056273</v>
      </c>
      <c r="F10889" s="13" t="n">
        <f aca="false">Sens!$F$10878/Sens!$F$10860</f>
        <v>0.553219320710057</v>
      </c>
      <c r="G10889" s="13" t="n">
        <f aca="false">Sens!$G$10878/Sens!$G$10860</f>
        <v>0.488270041527512</v>
      </c>
      <c r="H10889" s="13" t="n">
        <f aca="false">Sens!$H$10878/Sens!$H$10860</f>
        <v>0.435229086816882</v>
      </c>
      <c r="I10889" s="13" t="n">
        <f aca="false">Sens!$I$10878/Sens!$I$10860</f>
        <v>0.364954592421095</v>
      </c>
      <c r="J10889" s="13" t="n">
        <f aca="false">Sens!$J$10878/Sens!$J$10860</f>
        <v>0.330438308582232</v>
      </c>
      <c r="K10889" s="13" t="n">
        <f aca="false">Sens!$K$10878/Sens!$K$10860</f>
        <v>0.2916589289528</v>
      </c>
      <c r="L10889" s="13" t="n">
        <f aca="false">Sens!$L$10878/Sens!$L$10860</f>
        <v>0.268199200593258</v>
      </c>
      <c r="M10889" s="13" t="n">
        <f aca="false">Sens!$M$10878/Sens!$M$10860</f>
        <v>0.244854995033574</v>
      </c>
      <c r="N10889" s="13" t="n">
        <f aca="false">Sens!$N$10878/Sens!$N$10860</f>
        <v>0.551227795793364</v>
      </c>
      <c r="O10889" s="13" t="n">
        <f aca="false">Sens!$O$10878/Sens!$O$10860</f>
        <v>0.656132068597002</v>
      </c>
    </row>
    <row r="10890" customFormat="false" ht="15" hidden="false" customHeight="false" outlineLevel="0" collapsed="false">
      <c r="A10890" s="5" t="s">
        <v>742</v>
      </c>
      <c r="B10890" s="0" t="s">
        <v>52</v>
      </c>
      <c r="C10890" s="13" t="n">
        <f aca="false">Sens!$C$10882/Sens!$C$10862</f>
        <v>0.107519448742004</v>
      </c>
      <c r="D10890" s="13" t="n">
        <f aca="false">Sens!$D$10882/Sens!$D$10862</f>
        <v>0.111552967957552</v>
      </c>
      <c r="E10890" s="13" t="n">
        <f aca="false">Sens!$E$10882/Sens!$E$10862</f>
        <v>0.13428328426562</v>
      </c>
      <c r="F10890" s="13" t="n">
        <f aca="false">Sens!$F$10882/Sens!$F$10862</f>
        <v>0.130089413875539</v>
      </c>
      <c r="G10890" s="13" t="n">
        <f aca="false">Sens!$G$10882/Sens!$G$10862</f>
        <v>0.132048786678316</v>
      </c>
      <c r="H10890" s="13" t="n">
        <f aca="false">Sens!$H$10882/Sens!$H$10862</f>
        <v>0.139604881440853</v>
      </c>
      <c r="I10890" s="13" t="n">
        <f aca="false">Sens!$I$10882/Sens!$I$10862</f>
        <v>0.141694752432769</v>
      </c>
      <c r="J10890" s="13" t="n">
        <f aca="false">Sens!$J$10882/Sens!$J$10862</f>
        <v>0.14272611544629</v>
      </c>
      <c r="K10890" s="13" t="n">
        <f aca="false">Sens!$K$10882/Sens!$K$10862</f>
        <v>0.139974160596744</v>
      </c>
      <c r="L10890" s="13" t="n">
        <f aca="false">Sens!$L$10882/Sens!$L$10862</f>
        <v>0.137772071866073</v>
      </c>
      <c r="M10890" s="13" t="n">
        <f aca="false">Sens!$M$10882/Sens!$M$10862</f>
        <v>0.13596080857516</v>
      </c>
      <c r="N10890" s="13" t="n">
        <f aca="false">Sens!$N$10882/Sens!$N$10862</f>
        <v>0.116201614873411</v>
      </c>
      <c r="O10890" s="13" t="n">
        <f aca="false">Sens!$O$10882/Sens!$O$10862</f>
        <v>0.107733353660861</v>
      </c>
    </row>
    <row r="10891" customFormat="false" ht="17.15" hidden="false" customHeight="false" outlineLevel="0" collapsed="false">
      <c r="A10891" s="1" t="s">
        <v>743</v>
      </c>
    </row>
    <row r="10892" customFormat="false" ht="17.15" hidden="false" customHeight="false" outlineLevel="0" collapsed="false">
      <c r="A10892" s="5" t="s">
        <v>744</v>
      </c>
      <c r="B10892" s="0" t="s">
        <v>52</v>
      </c>
      <c r="D10892" s="28" t="n">
        <f aca="false">(Q!$E$29+Q!$E$30-(1-ext_sh)*Sens!$D$10814)/Sens!$D$10768</f>
        <v>0.0341105596409988</v>
      </c>
    </row>
    <row r="10893" customFormat="false" ht="17.15" hidden="false" customHeight="false" outlineLevel="0" collapsed="false">
      <c r="A10893" s="0" t="s">
        <v>538</v>
      </c>
      <c r="B10893" s="0" t="s">
        <v>86</v>
      </c>
      <c r="C10893" s="38" t="n">
        <f aca="false">Q!$D$29</f>
        <v>14.285</v>
      </c>
      <c r="D10893" s="38" t="n">
        <f aca="false">Q!$E$29</f>
        <v>15.503</v>
      </c>
      <c r="E10893" s="38" t="n">
        <f aca="false">Q!$P$29</f>
        <v>8.78</v>
      </c>
      <c r="F10893" s="38" t="n">
        <f aca="false">(Sens!$D$10892*Sens!$F$10768+(1-ext_sh)*Sens!$F$10814)*Sens!$F$10769</f>
        <v>9.16735846116642</v>
      </c>
      <c r="G10893" s="38" t="n">
        <f aca="false">Sens!$E$10893+Sens!$F$10893</f>
        <v>17.9473584611664</v>
      </c>
      <c r="H10893" s="38" t="n">
        <f aca="false">(Sens!$D$10892*Sens!$H$10768+(1-ext_sh)*Sens!$H$10814)*Sens!$H$10769</f>
        <v>21.6406723110177</v>
      </c>
      <c r="I10893" s="38" t="n">
        <f aca="false">(Sens!$D$10892*Sens!$I$10768+(1-ext_sh)*Sens!$I$10814)*Sens!$I$10769</f>
        <v>27.3128215555087</v>
      </c>
      <c r="J10893" s="38" t="n">
        <f aca="false">(Sens!$D$10892*Sens!$J$10768+(1-ext_sh)*Sens!$J$10814)*Sens!$J$10769</f>
        <v>33.0116861885756</v>
      </c>
      <c r="K10893" s="38" t="n">
        <f aca="false">(Sens!$D$10892*Sens!$K$10768+(1-ext_sh)*Sens!$K$10814)*Sens!$K$10769</f>
        <v>38.6250238720245</v>
      </c>
      <c r="L10893" s="38" t="n">
        <f aca="false">(Sens!$D$10892*Sens!$L$10768+(1-ext_sh)*Sens!$L$10814)*Sens!$L$10769</f>
        <v>43.0711535197861</v>
      </c>
      <c r="M10893" s="38" t="n">
        <f aca="false">(Sens!$D$10892*Sens!$M$10768+(1-ext_sh)*Sens!$M$10814)*Sens!$M$10769</f>
        <v>46.590728630326</v>
      </c>
      <c r="N10893" s="38" t="n">
        <f aca="false">Q!$N$29</f>
        <v>7.272</v>
      </c>
      <c r="O10893" s="38" t="n">
        <f aca="false">Q!$O$29</f>
        <v>8.231</v>
      </c>
    </row>
    <row r="10894" customFormat="false" ht="17.15" hidden="false" customHeight="false" outlineLevel="0" collapsed="false">
      <c r="A10894" s="0" t="s">
        <v>540</v>
      </c>
      <c r="B10894" s="0" t="s">
        <v>86</v>
      </c>
      <c r="C10894" s="38" t="n">
        <f aca="false">Q!$D$30</f>
        <v>4.462</v>
      </c>
      <c r="D10894" s="38" t="n">
        <f aca="false">Q!$E$30</f>
        <v>4.907</v>
      </c>
      <c r="E10894" s="38" t="n">
        <f aca="false">Q!$P$30</f>
        <v>2.57</v>
      </c>
      <c r="F10894" s="38" t="n">
        <f aca="false">(Sens!$D$10892*Sens!$F$10768+(1-ext_sh)*Sens!$F$10814)*(1-Sens!$F$10769)</f>
        <v>3.59937168293151</v>
      </c>
      <c r="G10894" s="38" t="n">
        <f aca="false">Sens!$E$10894+Sens!$F$10894</f>
        <v>6.16937168293151</v>
      </c>
      <c r="H10894" s="38" t="n">
        <f aca="false">(Sens!$D$10892*Sens!$H$10768+(1-ext_sh)*Sens!$H$10814)*(1-Sens!$H$10769)</f>
        <v>8.28915290031442</v>
      </c>
      <c r="I10894" s="38" t="n">
        <f aca="false">(Sens!$D$10892*Sens!$I$10768+(1-ext_sh)*Sens!$I$10814)*(1-Sens!$I$10769)</f>
        <v>10.4617892992793</v>
      </c>
      <c r="J10894" s="38" t="n">
        <f aca="false">(Sens!$D$10892*Sens!$J$10768+(1-ext_sh)*Sens!$J$10814)*(1-Sens!$J$10769)</f>
        <v>12.6446586493057</v>
      </c>
      <c r="K10894" s="38" t="n">
        <f aca="false">(Sens!$D$10892*Sens!$K$10768+(1-ext_sh)*Sens!$K$10814)*(1-Sens!$K$10769)</f>
        <v>14.7947681131192</v>
      </c>
      <c r="L10894" s="38" t="n">
        <f aca="false">(Sens!$D$10892*Sens!$L$10768+(1-ext_sh)*Sens!$L$10814)*(1-Sens!$L$10769)</f>
        <v>16.4977950771268</v>
      </c>
      <c r="M10894" s="38" t="n">
        <f aca="false">(Sens!$D$10892*Sens!$M$10768+(1-ext_sh)*Sens!$M$10814)*(1-Sens!$M$10769)</f>
        <v>17.8459184540772</v>
      </c>
      <c r="N10894" s="38" t="n">
        <f aca="false">Q!$N$30</f>
        <v>2.316</v>
      </c>
      <c r="O10894" s="38" t="n">
        <f aca="false">Q!$O$30</f>
        <v>2.591</v>
      </c>
    </row>
    <row r="10895" customFormat="false" ht="17.15" hidden="false" customHeight="false" outlineLevel="0" collapsed="false">
      <c r="A10895" s="0" t="s">
        <v>541</v>
      </c>
      <c r="B10895" s="0" t="s">
        <v>86</v>
      </c>
      <c r="C10895" s="38" t="n">
        <f aca="false">Sens!$C$10826</f>
        <v>13.32</v>
      </c>
      <c r="D10895" s="38" t="n">
        <f aca="false">Sens!$D$10826</f>
        <v>21.45</v>
      </c>
      <c r="E10895" s="38" t="n">
        <f aca="false">Sens!$E$10826</f>
        <v>15.353</v>
      </c>
      <c r="F10895" s="38" t="n">
        <f aca="false">Sens!$F$10826</f>
        <v>15.4404120185306</v>
      </c>
      <c r="G10895" s="38" t="n">
        <f aca="false">Sens!$G$10826</f>
        <v>30.7934120185306</v>
      </c>
      <c r="H10895" s="38" t="n">
        <f aca="false">Sens!$H$10826</f>
        <v>48.250114371455</v>
      </c>
      <c r="I10895" s="38" t="n">
        <f aca="false">Sens!$I$10826</f>
        <v>73.3965146995963</v>
      </c>
      <c r="J10895" s="38" t="n">
        <f aca="false">Sens!$J$10826</f>
        <v>99.22806138309</v>
      </c>
      <c r="K10895" s="38" t="n">
        <f aca="false">Sens!$K$10826</f>
        <v>125.386627452856</v>
      </c>
      <c r="L10895" s="38" t="n">
        <f aca="false">Sens!$L$10826</f>
        <v>144.77239043275</v>
      </c>
      <c r="M10895" s="38" t="n">
        <f aca="false">Sens!$M$10826</f>
        <v>158.693930910983</v>
      </c>
      <c r="N10895" s="38" t="n">
        <f aca="false">Sens!$N$10826</f>
        <v>9.234</v>
      </c>
      <c r="O10895" s="38" t="n">
        <f aca="false">Sens!$O$10826</f>
        <v>12.216</v>
      </c>
    </row>
    <row r="10896" customFormat="false" ht="17.15" hidden="false" customHeight="false" outlineLevel="0" collapsed="false">
      <c r="A10896" s="5" t="s">
        <v>745</v>
      </c>
      <c r="B10896" s="0" t="s">
        <v>86</v>
      </c>
      <c r="C10896" s="38" t="n">
        <f aca="false">Sens!$C$10893+Sens!$C$10894+Sens!$C$10895</f>
        <v>32.067</v>
      </c>
      <c r="D10896" s="38" t="n">
        <f aca="false">Sens!$D$10893+Sens!$D$10894+Sens!$D$10895</f>
        <v>41.86</v>
      </c>
      <c r="E10896" s="38" t="n">
        <f aca="false">Sens!$E$10893+Sens!$E$10894+Sens!$E$10895</f>
        <v>26.703</v>
      </c>
      <c r="F10896" s="38" t="n">
        <f aca="false">Sens!$F$10893+Sens!$F$10894+Sens!$F$10895</f>
        <v>28.2071421626285</v>
      </c>
      <c r="G10896" s="38" t="n">
        <f aca="false">Sens!$G$10893+Sens!$G$10894+Sens!$G$10895</f>
        <v>54.9101421626285</v>
      </c>
      <c r="H10896" s="38" t="n">
        <f aca="false">Sens!$H$10893+Sens!$H$10894+Sens!$H$10895</f>
        <v>78.1799395827871</v>
      </c>
      <c r="I10896" s="38" t="n">
        <f aca="false">Sens!$I$10893+Sens!$I$10894+Sens!$I$10895</f>
        <v>111.171125554384</v>
      </c>
      <c r="J10896" s="38" t="n">
        <f aca="false">Sens!$J$10893+Sens!$J$10894+Sens!$J$10895</f>
        <v>144.884406220971</v>
      </c>
      <c r="K10896" s="38" t="n">
        <f aca="false">Sens!$K$10893+Sens!$K$10894+Sens!$K$10895</f>
        <v>178.806419437999</v>
      </c>
      <c r="L10896" s="38" t="n">
        <f aca="false">Sens!$L$10893+Sens!$L$10894+Sens!$L$10895</f>
        <v>204.341339029663</v>
      </c>
      <c r="M10896" s="38" t="n">
        <f aca="false">Sens!$M$10893+Sens!$M$10894+Sens!$M$10895</f>
        <v>223.130577995387</v>
      </c>
      <c r="N10896" s="38" t="n">
        <f aca="false">Sens!$N$10893+Sens!$N$10894+Sens!$N$10895</f>
        <v>18.822</v>
      </c>
      <c r="O10896" s="38" t="n">
        <f aca="false">Sens!$O$10893+Sens!$O$10894+Sens!$O$10895</f>
        <v>23.038</v>
      </c>
    </row>
    <row r="10897" customFormat="false" ht="17.15" hidden="false" customHeight="false" outlineLevel="0" collapsed="false">
      <c r="A10897" s="0" t="s">
        <v>746</v>
      </c>
      <c r="B10897" s="0" t="s">
        <v>86</v>
      </c>
      <c r="C10897" s="38" t="n">
        <f aca="false">Sens!$C$10868+Sens!$C$10873</f>
        <v>28.107</v>
      </c>
      <c r="D10897" s="38" t="n">
        <f aca="false">Sens!$D$10868+Sens!$D$10873</f>
        <v>34.3175</v>
      </c>
      <c r="E10897" s="38" t="n">
        <f aca="false">Sens!$E$10868+Sens!$E$10873</f>
        <v>18.526</v>
      </c>
      <c r="F10897" s="38" t="n">
        <f aca="false">Sens!$F$10868+Sens!$F$10873</f>
        <v>23.0786109972074</v>
      </c>
      <c r="G10897" s="38" t="n">
        <f aca="false">Sens!$G$10868+Sens!$G$10873</f>
        <v>41.6046109972074</v>
      </c>
      <c r="H10897" s="38" t="n">
        <f aca="false">Sens!$H$10868+Sens!$H$10873</f>
        <v>49.9484611939488</v>
      </c>
      <c r="I10897" s="38" t="n">
        <f aca="false">Sens!$I$10868+Sens!$I$10873</f>
        <v>58.2915555477481</v>
      </c>
      <c r="J10897" s="38" t="n">
        <f aca="false">Sens!$J$10868+Sens!$J$10873</f>
        <v>66.0744709709759</v>
      </c>
      <c r="K10897" s="38" t="n">
        <f aca="false">Sens!$K$10868+Sens!$K$10873</f>
        <v>72.6819180680735</v>
      </c>
      <c r="L10897" s="38" t="n">
        <f aca="false">Sens!$L$10868+Sens!$L$10873</f>
        <v>79.9501098748808</v>
      </c>
      <c r="M10897" s="38" t="n">
        <f aca="false">Sens!$M$10868+Sens!$M$10873</f>
        <v>87.9451208623689</v>
      </c>
      <c r="N10897" s="38" t="n">
        <f aca="false">Sens!$N$10868+Sens!$N$10873</f>
        <v>14.8075</v>
      </c>
      <c r="O10897" s="38" t="n">
        <f aca="false">Sens!$O$10868+Sens!$O$10873</f>
        <v>19.51</v>
      </c>
    </row>
    <row r="10898" customFormat="false" ht="17.15" hidden="false" customHeight="false" outlineLevel="0" collapsed="false">
      <c r="A10898" s="0" t="s">
        <v>747</v>
      </c>
      <c r="B10898" s="0" t="s">
        <v>86</v>
      </c>
      <c r="C10898" s="38" t="n">
        <f aca="false">Sens!$C$10872+Sens!$C$10877+Sens!$C$10893+Sens!$C$10894-Sens!$C$10897</f>
        <v>19.399</v>
      </c>
      <c r="D10898" s="38" t="n">
        <f aca="false">Sens!$D$10872+Sens!$D$10877+Sens!$D$10893+Sens!$D$10894-Sens!$D$10897</f>
        <v>20.4615</v>
      </c>
      <c r="E10898" s="38" t="n">
        <f aca="false">Sens!$E$10872+Sens!$E$10877+Sens!$E$10893+Sens!$E$10894-Sens!$E$10897</f>
        <v>13.355</v>
      </c>
      <c r="F10898" s="38" t="n">
        <f aca="false">Sens!$F$10872+Sens!$F$10877+Sens!$F$10893+Sens!$F$10894-Sens!$F$10897</f>
        <v>12.5520732018618</v>
      </c>
      <c r="G10898" s="38" t="n">
        <f aca="false">Sens!$G$10872+Sens!$G$10877+Sens!$G$10893+Sens!$G$10894-Sens!$G$10897</f>
        <v>25.9070732018618</v>
      </c>
      <c r="H10898" s="38" t="n">
        <f aca="false">Sens!$H$10872+Sens!$H$10877+Sens!$H$10893+Sens!$H$10894-Sens!$H$10897</f>
        <v>28.0233335906818</v>
      </c>
      <c r="I10898" s="38" t="n">
        <f aca="false">Sens!$I$10872+Sens!$I$10877+Sens!$I$10893+Sens!$I$10894-Sens!$I$10897</f>
        <v>30.2440066606864</v>
      </c>
      <c r="J10898" s="38" t="n">
        <f aca="false">Sens!$J$10872+Sens!$J$10877+Sens!$J$10893+Sens!$J$10894-Sens!$J$10897</f>
        <v>32.4596500296286</v>
      </c>
      <c r="K10898" s="38" t="n">
        <f aca="false">Sens!$K$10872+Sens!$K$10877+Sens!$K$10893+Sens!$K$10894-Sens!$K$10897</f>
        <v>34.839425971154</v>
      </c>
      <c r="L10898" s="38" t="n">
        <f aca="false">Sens!$L$10872+Sens!$L$10877+Sens!$L$10893+Sens!$L$10894-Sens!$L$10897</f>
        <v>36.4424209524427</v>
      </c>
      <c r="M10898" s="38" t="n">
        <f aca="false">Sens!$M$10872+Sens!$M$10877+Sens!$M$10893+Sens!$M$10894-Sens!$M$10897</f>
        <v>38.8413540019876</v>
      </c>
      <c r="N10898" s="38" t="n">
        <f aca="false">Sens!$N$10872+Sens!$N$10877+Sens!$N$10893+Sens!$N$10894-Sens!$N$10897</f>
        <v>10.6495</v>
      </c>
      <c r="O10898" s="38" t="n">
        <f aca="false">Sens!$O$10872+Sens!$O$10877+Sens!$O$10893+Sens!$O$10894-Sens!$O$10897</f>
        <v>9.81200000000001</v>
      </c>
    </row>
    <row r="10899" customFormat="false" ht="17.15" hidden="false" customHeight="false" outlineLevel="0" collapsed="false">
      <c r="A10899" s="0" t="s">
        <v>748</v>
      </c>
      <c r="B10899" s="0" t="s">
        <v>86</v>
      </c>
      <c r="C10899" s="38" t="n">
        <f aca="false">Sens!$C$10879+Sens!$C$10895-ext_sh*Sens!$C$10814</f>
        <v>51.3470500115664</v>
      </c>
      <c r="D10899" s="38" t="n">
        <f aca="false">Sens!$D$10879+Sens!$D$10895-ext_sh*Sens!$D$10814</f>
        <v>60.2799375433739</v>
      </c>
      <c r="E10899" s="38" t="n">
        <f aca="false">Sens!$E$10879+Sens!$E$10895-ext_sh*Sens!$E$10814</f>
        <v>39.5095167090767</v>
      </c>
      <c r="F10899" s="38" t="n">
        <f aca="false">Sens!$F$10879+Sens!$F$10895-ext_sh*Sens!$F$10814</f>
        <v>37.5468918745429</v>
      </c>
      <c r="G10899" s="38" t="n">
        <f aca="false">Sens!$G$10879+Sens!$G$10895-ext_sh*Sens!$G$10814</f>
        <v>77.0564085836196</v>
      </c>
      <c r="H10899" s="38" t="n">
        <f aca="false">Sens!$H$10879+Sens!$H$10895-ext_sh*Sens!$H$10814</f>
        <v>84.2378398616123</v>
      </c>
      <c r="I10899" s="38" t="n">
        <f aca="false">Sens!$I$10879+Sens!$I$10895-ext_sh*Sens!$I$10814</f>
        <v>93.5253492849083</v>
      </c>
      <c r="J10899" s="38" t="n">
        <f aca="false">Sens!$J$10879+Sens!$J$10895-ext_sh*Sens!$J$10814</f>
        <v>102.42210777817</v>
      </c>
      <c r="K10899" s="38" t="n">
        <f aca="false">Sens!$K$10879+Sens!$K$10895-ext_sh*Sens!$K$10814</f>
        <v>110.615876400424</v>
      </c>
      <c r="L10899" s="38" t="n">
        <f aca="false">Sens!$L$10879+Sens!$L$10895-ext_sh*Sens!$L$10814</f>
        <v>119.465146512458</v>
      </c>
      <c r="M10899" s="38" t="n">
        <f aca="false">Sens!$M$10879+Sens!$M$10895-ext_sh*Sens!$M$10814</f>
        <v>129.022358233455</v>
      </c>
      <c r="N10899" s="38" t="n">
        <f aca="false">Sens!$N$10879+Sens!$N$10895-ext_sh*Sens!$N$10814</f>
        <v>28.5693781401809</v>
      </c>
      <c r="O10899" s="38" t="n">
        <f aca="false">Sens!$O$10879+Sens!$O$10895-ext_sh*Sens!$O$10814</f>
        <v>31.7105594031931</v>
      </c>
    </row>
    <row r="10900" customFormat="false" ht="17.15" hidden="false" customHeight="false" outlineLevel="0" collapsed="false">
      <c r="A10900" s="0" t="s">
        <v>749</v>
      </c>
      <c r="B10900" s="0" t="s">
        <v>86</v>
      </c>
      <c r="C10900" s="38" t="n">
        <f aca="false">Sens!$C$10817</f>
        <v>1.80694998843362</v>
      </c>
      <c r="D10900" s="38" t="n">
        <f aca="false">Sens!$D$10817</f>
        <v>6.77606245662607</v>
      </c>
      <c r="E10900" s="38" t="n">
        <f aca="false">Sens!$E$10817</f>
        <v>6.62548329092326</v>
      </c>
      <c r="F10900" s="38" t="n">
        <f aca="false">Sens!$F$10817</f>
        <v>11.7200577158706</v>
      </c>
      <c r="G10900" s="38" t="n">
        <f aca="false">Sens!$G$10817</f>
        <v>18.3455410067939</v>
      </c>
      <c r="H10900" s="38" t="n">
        <f aca="false">Sens!$H$10817</f>
        <v>47.5171727060453</v>
      </c>
      <c r="I10900" s="38" t="n">
        <f aca="false">Sens!$I$10817</f>
        <v>80.5539692643667</v>
      </c>
      <c r="J10900" s="38" t="n">
        <f aca="false">Sens!$J$10817</f>
        <v>113.759316834883</v>
      </c>
      <c r="K10900" s="38" t="n">
        <f aca="false">Sens!$K$10817</f>
        <v>142.084411492169</v>
      </c>
      <c r="L10900" s="38" t="n">
        <f aca="false">Sens!$L$10817</f>
        <v>160.69964615804</v>
      </c>
      <c r="M10900" s="38" t="n">
        <f aca="false">Sens!$M$10817</f>
        <v>169.577607141793</v>
      </c>
      <c r="N10900" s="38" t="n">
        <f aca="false">Sens!$N$10817</f>
        <v>2.37162185981912</v>
      </c>
      <c r="O10900" s="38" t="n">
        <f aca="false">Sens!$O$10817</f>
        <v>4.40444059680694</v>
      </c>
    </row>
    <row r="10901" customFormat="false" ht="17.15" hidden="false" customHeight="false" outlineLevel="0" collapsed="false">
      <c r="A10901" s="0" t="s">
        <v>750</v>
      </c>
      <c r="B10901" s="0" t="s">
        <v>86</v>
      </c>
      <c r="C10901" s="38" t="n">
        <f aca="false">Sens!$C$10882+Sens!$C$10896</f>
        <v>100.66</v>
      </c>
      <c r="D10901" s="38" t="n">
        <f aca="false">Sens!$D$10882+Sens!$D$10896</f>
        <v>121.835</v>
      </c>
      <c r="E10901" s="38" t="n">
        <f aca="false">Sens!$E$10882+Sens!$E$10896</f>
        <v>78.016</v>
      </c>
      <c r="F10901" s="38" t="n">
        <f aca="false">Sens!$F$10882+Sens!$F$10896</f>
        <v>84.8976337894826</v>
      </c>
      <c r="G10901" s="38" t="n">
        <f aca="false">Sens!$G$10882+Sens!$G$10896</f>
        <v>162.913633789483</v>
      </c>
      <c r="H10901" s="38" t="n">
        <f aca="false">Sens!$H$10882+Sens!$H$10896</f>
        <v>209.726807352288</v>
      </c>
      <c r="I10901" s="38" t="n">
        <f aca="false">Sens!$I$10882+Sens!$I$10896</f>
        <v>262.61488075771</v>
      </c>
      <c r="J10901" s="38" t="n">
        <f aca="false">Sens!$J$10882+Sens!$J$10896</f>
        <v>314.715545613658</v>
      </c>
      <c r="K10901" s="38" t="n">
        <f aca="false">Sens!$K$10882+Sens!$K$10896</f>
        <v>360.221631931821</v>
      </c>
      <c r="L10901" s="38" t="n">
        <f aca="false">Sens!$L$10882+Sens!$L$10896</f>
        <v>396.557323497822</v>
      </c>
      <c r="M10901" s="38" t="n">
        <f aca="false">Sens!$M$10882+Sens!$M$10896</f>
        <v>425.386440239605</v>
      </c>
      <c r="N10901" s="38" t="n">
        <f aca="false">Sens!$N$10882+Sens!$N$10896</f>
        <v>56.398</v>
      </c>
      <c r="O10901" s="38" t="n">
        <f aca="false">Sens!$O$10882+Sens!$O$10896</f>
        <v>65.437</v>
      </c>
    </row>
    <row r="10902" customFormat="false" ht="17.15" hidden="false" customHeight="false" outlineLevel="0" collapsed="false">
      <c r="A10902" s="1" t="s">
        <v>751</v>
      </c>
    </row>
    <row r="10903" customFormat="false" ht="15" hidden="false" customHeight="false" outlineLevel="0" collapsed="false">
      <c r="A10903" s="5" t="s">
        <v>544</v>
      </c>
      <c r="B10903" s="0" t="s">
        <v>86</v>
      </c>
      <c r="C10903" s="38" t="n">
        <f aca="false">Q!$D$34</f>
        <v>2.406</v>
      </c>
      <c r="D10903" s="38" t="n">
        <f aca="false">Q!$E$34</f>
        <v>2.274</v>
      </c>
      <c r="E10903" s="38" t="n">
        <f aca="false">Q!$P$34</f>
        <v>2.114</v>
      </c>
      <c r="F10903" s="38" t="n">
        <f aca="false">Sens!$F$10941</f>
        <v>3.24888962733561</v>
      </c>
      <c r="G10903" s="38" t="n">
        <f aca="false">Sens!$E$10903+Sens!$F$10903</f>
        <v>5.36288962733561</v>
      </c>
      <c r="H10903" s="38" t="n">
        <f aca="false">Sens!$H$10941</f>
        <v>7.42354172302123</v>
      </c>
      <c r="I10903" s="38" t="n">
        <f aca="false">Sens!$I$10941</f>
        <v>8.48968024898619</v>
      </c>
      <c r="J10903" s="38" t="n">
        <f aca="false">Sens!$J$10941</f>
        <v>9.63598826439483</v>
      </c>
      <c r="K10903" s="38" t="n">
        <f aca="false">Sens!$K$10941</f>
        <v>9.63598826439483</v>
      </c>
      <c r="L10903" s="38" t="n">
        <f aca="false">Sens!$L$10941</f>
        <v>9.63598826439483</v>
      </c>
      <c r="M10903" s="38" t="n">
        <f aca="false">Sens!$M$10941</f>
        <v>9.63598826439483</v>
      </c>
      <c r="N10903" s="38" t="n">
        <f aca="false">Q!$N$34</f>
        <v>1.057</v>
      </c>
      <c r="O10903" s="38" t="n">
        <f aca="false">Q!$O$34</f>
        <v>1.217</v>
      </c>
    </row>
    <row r="10904" customFormat="false" ht="15" hidden="false" customHeight="false" outlineLevel="0" collapsed="false">
      <c r="A10904" s="5" t="s">
        <v>752</v>
      </c>
      <c r="B10904" s="0" t="s">
        <v>86</v>
      </c>
      <c r="F10904" s="38" t="n">
        <f aca="false">Sens!$F$10942</f>
        <v>2.59</v>
      </c>
      <c r="H10904" s="38" t="n">
        <f aca="false">Sens!$H$10942</f>
        <v>3.76965165045626</v>
      </c>
      <c r="I10904" s="38" t="n">
        <f aca="false">Sens!$I$10942</f>
        <v>2.10589651022864</v>
      </c>
      <c r="J10904" s="38" t="n">
        <f aca="false">Sens!$J$10942</f>
        <v>2.10589651022864</v>
      </c>
      <c r="K10904" s="38" t="n">
        <f aca="false">Sens!$K$10942</f>
        <v>3.03184385018094</v>
      </c>
      <c r="L10904" s="38" t="n">
        <f aca="false">Sens!$L$10942</f>
        <v>8.01944213829919</v>
      </c>
      <c r="M10904" s="38" t="n">
        <f aca="false">Sens!$M$10942</f>
        <v>15.4751142339777</v>
      </c>
    </row>
    <row r="10905" customFormat="false" ht="17.15" hidden="false" customHeight="false" outlineLevel="0" collapsed="false">
      <c r="A10905" s="5" t="s">
        <v>753</v>
      </c>
      <c r="B10905" s="0" t="s">
        <v>86</v>
      </c>
      <c r="C10905" s="38" t="n">
        <f aca="false">Q!$D$39</f>
        <v>2.427</v>
      </c>
      <c r="D10905" s="38" t="n">
        <f aca="false">Q!$E$39</f>
        <v>19.61</v>
      </c>
      <c r="E10905" s="38" t="n">
        <f aca="false">Q!$P$39</f>
        <v>71.492</v>
      </c>
      <c r="F10905" s="39" t="n">
        <v>0</v>
      </c>
      <c r="G10905" s="38" t="n">
        <f aca="false">Sens!$E$10905+Sens!$F$10905</f>
        <v>71.492</v>
      </c>
      <c r="H10905" s="39" t="n">
        <v>0</v>
      </c>
      <c r="I10905" s="39" t="n">
        <v>0</v>
      </c>
      <c r="J10905" s="39" t="n">
        <v>0</v>
      </c>
      <c r="K10905" s="39" t="n">
        <v>0</v>
      </c>
      <c r="L10905" s="39" t="n">
        <v>0</v>
      </c>
      <c r="M10905" s="39" t="n">
        <v>0</v>
      </c>
      <c r="N10905" s="38" t="n">
        <f aca="false">Q!$N$39</f>
        <v>6.017</v>
      </c>
      <c r="O10905" s="38" t="n">
        <f aca="false">Q!$O$39</f>
        <v>13.593</v>
      </c>
      <c r="P10905" s="5" t="s">
        <v>754</v>
      </c>
    </row>
    <row r="10906" customFormat="false" ht="15" hidden="false" customHeight="false" outlineLevel="0" collapsed="false">
      <c r="A10906" s="5" t="s">
        <v>547</v>
      </c>
      <c r="B10906" s="0" t="s">
        <v>86</v>
      </c>
      <c r="C10906" s="38" t="n">
        <f aca="false">Q!$D$36</f>
        <v>68.614</v>
      </c>
      <c r="D10906" s="38" t="n">
        <f aca="false">Q!$E$36</f>
        <v>97.311</v>
      </c>
      <c r="E10906" s="38" t="n">
        <f aca="false">Q!$P$36</f>
        <v>120.691</v>
      </c>
      <c r="F10906" s="38" t="n">
        <f aca="false">Sens!$F$10882-Sens!$F$10903+Sens!$F$10904+Sens!$F$10905</f>
        <v>56.0316019995185</v>
      </c>
      <c r="G10906" s="38" t="n">
        <f aca="false">Sens!$E$10906+Sens!$F$10906</f>
        <v>176.722601999518</v>
      </c>
      <c r="H10906" s="38" t="n">
        <f aca="false">Sens!$H$10882-Sens!$H$10903+Sens!$H$10904+Sens!$H$10905</f>
        <v>127.892977696936</v>
      </c>
      <c r="I10906" s="38" t="n">
        <f aca="false">Sens!$I$10882-Sens!$I$10903+Sens!$I$10904+Sens!$I$10905</f>
        <v>145.059971464568</v>
      </c>
      <c r="J10906" s="38" t="n">
        <f aca="false">Sens!$J$10882-Sens!$J$10903+Sens!$J$10904+Sens!$J$10905</f>
        <v>162.301047638521</v>
      </c>
      <c r="K10906" s="38" t="n">
        <f aca="false">Sens!$K$10882-Sens!$K$10903+Sens!$K$10904+Sens!$K$10905</f>
        <v>174.811068079608</v>
      </c>
      <c r="L10906" s="38" t="n">
        <f aca="false">Sens!$L$10882-Sens!$L$10903+Sens!$L$10904+Sens!$L$10905</f>
        <v>190.599438342064</v>
      </c>
      <c r="M10906" s="38" t="n">
        <f aca="false">Sens!$M$10882-Sens!$M$10903+Sens!$M$10904+Sens!$M$10905</f>
        <v>208.094988213801</v>
      </c>
      <c r="N10906" s="38" t="n">
        <f aca="false">Q!$N$36</f>
        <v>42.536</v>
      </c>
      <c r="O10906" s="38" t="n">
        <f aca="false">Q!$O$36</f>
        <v>54.775</v>
      </c>
    </row>
    <row r="10907" customFormat="false" ht="15" hidden="false" customHeight="false" outlineLevel="0" collapsed="false">
      <c r="A10907" s="5" t="s">
        <v>548</v>
      </c>
      <c r="B10907" s="0" t="s">
        <v>86</v>
      </c>
      <c r="C10907" s="38" t="n">
        <f aca="false">Q!$D$37</f>
        <v>9.265</v>
      </c>
      <c r="D10907" s="38" t="n">
        <f aca="false">Q!$E$37</f>
        <v>19.087</v>
      </c>
      <c r="E10907" s="38" t="n">
        <f aca="false">Q!$P$37</f>
        <v>27.759</v>
      </c>
      <c r="F10907" s="38" t="n">
        <f aca="false">Sens!$F$10906*tax</f>
        <v>9.72621910890414</v>
      </c>
      <c r="G10907" s="38" t="n">
        <f aca="false">Sens!$E$10907+Sens!$F$10907</f>
        <v>37.4852191089041</v>
      </c>
      <c r="H10907" s="38" t="n">
        <f aca="false">Sens!$H$10906*tax</f>
        <v>22.2002419916761</v>
      </c>
      <c r="I10907" s="38" t="n">
        <f aca="false">Sens!$I$10906*tax</f>
        <v>25.1801664783365</v>
      </c>
      <c r="J10907" s="38" t="n">
        <f aca="false">Sens!$J$10906*tax</f>
        <v>28.1729505244292</v>
      </c>
      <c r="K10907" s="38" t="n">
        <f aca="false">Sens!$K$10906*tax</f>
        <v>30.3444965007146</v>
      </c>
      <c r="L10907" s="38" t="n">
        <f aca="false">Sens!$L$10906*tax</f>
        <v>33.0851132788405</v>
      </c>
      <c r="M10907" s="38" t="n">
        <f aca="false">Sens!$M$10906*tax</f>
        <v>36.1220700213006</v>
      </c>
      <c r="N10907" s="38" t="n">
        <f aca="false">Q!$N$37</f>
        <v>7.231</v>
      </c>
      <c r="O10907" s="38" t="n">
        <f aca="false">Q!$O$37</f>
        <v>11.856</v>
      </c>
    </row>
    <row r="10908" customFormat="false" ht="15" hidden="false" customHeight="false" outlineLevel="0" collapsed="false">
      <c r="A10908" s="3" t="s">
        <v>549</v>
      </c>
      <c r="B10908" s="8" t="s">
        <v>86</v>
      </c>
      <c r="C10908" s="38" t="n">
        <f aca="false">Q!$D$38</f>
        <v>59.248</v>
      </c>
      <c r="D10908" s="38" t="n">
        <f aca="false">Q!$E$38</f>
        <v>77.67</v>
      </c>
      <c r="E10908" s="38" t="n">
        <f aca="false">Q!$P$38</f>
        <v>92.902</v>
      </c>
      <c r="F10908" s="38" t="n">
        <f aca="false">Sens!$F$10906-Sens!$F$10907</f>
        <v>46.3053828906144</v>
      </c>
      <c r="G10908" s="38" t="n">
        <f aca="false">Sens!$E$10908+Sens!$F$10908</f>
        <v>139.207382890614</v>
      </c>
      <c r="H10908" s="38" t="n">
        <f aca="false">Sens!$H$10906-Sens!$H$10907</f>
        <v>105.69273570526</v>
      </c>
      <c r="I10908" s="38" t="n">
        <f aca="false">Sens!$I$10906-Sens!$I$10907</f>
        <v>119.879804986231</v>
      </c>
      <c r="J10908" s="38" t="n">
        <f aca="false">Sens!$J$10906-Sens!$J$10907</f>
        <v>134.128097114092</v>
      </c>
      <c r="K10908" s="38" t="n">
        <f aca="false">Sens!$K$10906-Sens!$K$10907</f>
        <v>144.466571578893</v>
      </c>
      <c r="L10908" s="38" t="n">
        <f aca="false">Sens!$L$10906-Sens!$L$10907</f>
        <v>157.514325063223</v>
      </c>
      <c r="M10908" s="38" t="n">
        <f aca="false">Sens!$M$10906-Sens!$M$10907</f>
        <v>171.9729181925</v>
      </c>
      <c r="N10908" s="38" t="n">
        <f aca="false">Q!$N$38</f>
        <v>35.291</v>
      </c>
      <c r="O10908" s="38" t="n">
        <f aca="false">Q!$O$38</f>
        <v>42.379</v>
      </c>
    </row>
    <row r="10909" customFormat="false" ht="17.15" hidden="false" customHeight="false" outlineLevel="0" collapsed="false">
      <c r="A10909" s="5" t="s">
        <v>552</v>
      </c>
      <c r="B10909" s="5" t="s">
        <v>33</v>
      </c>
      <c r="C10909" s="22" t="n">
        <f aca="false">Q!$D$41</f>
        <v>10.721</v>
      </c>
      <c r="D10909" s="22" t="n">
        <f aca="false">Q!$E$41</f>
        <v>10.827</v>
      </c>
      <c r="E10909" s="22" t="n">
        <f aca="false">(Q!$L$41+Q!$M$41)/2</f>
        <v>10.8885</v>
      </c>
      <c r="F10909" s="22" t="n">
        <f aca="false">Sens!$G$10909</f>
        <v>10.924806</v>
      </c>
      <c r="G10909" s="22" t="n">
        <f aca="false">Q!$M$41*(1+sh_g*0.25)</f>
        <v>10.924806</v>
      </c>
      <c r="H10909" s="22" t="n">
        <f aca="false">Sens!$G$10909*(1+sh_g)</f>
        <v>11.012204448</v>
      </c>
      <c r="I10909" s="22" t="n">
        <f aca="false">Sens!$H$10909*(1+sh_g)</f>
        <v>11.100302083584</v>
      </c>
      <c r="J10909" s="22" t="n">
        <f aca="false">Sens!$I$10909*(1+sh_g)</f>
        <v>11.1891045002527</v>
      </c>
      <c r="K10909" s="22" t="n">
        <f aca="false">Sens!$J$10909*(1+sh_g)</f>
        <v>11.2786173362547</v>
      </c>
      <c r="L10909" s="22" t="n">
        <f aca="false">Sens!$K$10909*(1+sh_g)</f>
        <v>11.3688462749447</v>
      </c>
      <c r="M10909" s="22" t="n">
        <f aca="false">Sens!$L$10909*(1+sh_g)</f>
        <v>11.4597970451443</v>
      </c>
      <c r="P10909" s="5" t="s">
        <v>755</v>
      </c>
    </row>
    <row r="10910" customFormat="false" ht="17.15" hidden="false" customHeight="false" outlineLevel="0" collapsed="false">
      <c r="A10910" s="5" t="s">
        <v>756</v>
      </c>
      <c r="B10910" s="0" t="s">
        <v>86</v>
      </c>
      <c r="C10910" s="38" t="n">
        <f aca="false">Sens!$C$10908+Sens!$C$10884*(1-tax)</f>
        <v>59.248</v>
      </c>
      <c r="D10910" s="38" t="n">
        <f aca="false">Sens!$D$10908+Sens!$D$10884*(1-tax)</f>
        <v>77.67</v>
      </c>
      <c r="E10910" s="38" t="n">
        <f aca="false">Sens!$E$10908+Sens!$E$10884*(1-tax)</f>
        <v>92.902</v>
      </c>
      <c r="F10910" s="38" t="n">
        <f aca="false">Sens!$F$10908+Sens!$F$10884*(1-tax)</f>
        <v>46.3053828906144</v>
      </c>
      <c r="G10910" s="38" t="n">
        <f aca="false">Sens!$G$10908+Sens!$G$10884*(1-tax)</f>
        <v>139.207382890614</v>
      </c>
      <c r="H10910" s="38" t="n">
        <f aca="false">Sens!$H$10908+Sens!$H$10884*(1-tax)</f>
        <v>105.69273570526</v>
      </c>
      <c r="I10910" s="38" t="n">
        <f aca="false">Sens!$I$10908+Sens!$I$10884*(1-tax)</f>
        <v>119.879804986231</v>
      </c>
      <c r="J10910" s="38" t="n">
        <f aca="false">Sens!$J$10908+Sens!$J$10884*(1-tax)</f>
        <v>134.128097114092</v>
      </c>
      <c r="K10910" s="38" t="n">
        <f aca="false">Sens!$K$10908+Sens!$K$10884*(1-tax)</f>
        <v>144.466571578893</v>
      </c>
      <c r="L10910" s="38" t="n">
        <f aca="false">Sens!$L$10908+Sens!$L$10884*(1-tax)</f>
        <v>157.514325063223</v>
      </c>
      <c r="M10910" s="38" t="n">
        <f aca="false">Sens!$M$10908+Sens!$M$10884*(1-tax)</f>
        <v>171.9729181925</v>
      </c>
      <c r="N10910" s="38" t="n">
        <f aca="false">Sens!$N$10908+Sens!$N$10884*(1-tax)</f>
        <v>35.291</v>
      </c>
      <c r="O10910" s="38" t="n">
        <f aca="false">Sens!$O$10908+Sens!$O$10884*(1-tax)</f>
        <v>42.379</v>
      </c>
    </row>
    <row r="10911" customFormat="false" ht="17.15" hidden="false" customHeight="false" outlineLevel="0" collapsed="false">
      <c r="A10911" s="43" t="s">
        <v>757</v>
      </c>
      <c r="B10911" s="14" t="s">
        <v>27</v>
      </c>
      <c r="C10911" s="44" t="n">
        <f aca="false">Sens!$C$10910/Sens!$C$10909</f>
        <v>5.52635015390355</v>
      </c>
      <c r="D10911" s="44" t="n">
        <f aca="false">Sens!$D$10910/Sens!$D$10909</f>
        <v>7.1737323358271</v>
      </c>
      <c r="E10911" s="44" t="n">
        <f aca="false">Sens!$E$10910/Sens!$E$10909</f>
        <v>8.53212104513937</v>
      </c>
      <c r="F10911" s="14"/>
      <c r="G10911" s="44" t="n">
        <f aca="false">Sens!$G$10910/Sens!$G$10909</f>
        <v>12.7423208147233</v>
      </c>
      <c r="H10911" s="44" t="n">
        <f aca="false">Sens!$H$10910/Sens!$H$10909</f>
        <v>9.59778182509639</v>
      </c>
      <c r="I10911" s="44" t="n">
        <f aca="false">Sens!$I$10910/Sens!$I$10909</f>
        <v>10.799688520506</v>
      </c>
      <c r="J10911" s="44" t="n">
        <f aca="false">Sens!$J$10910/Sens!$J$10909</f>
        <v>11.9873844337644</v>
      </c>
      <c r="K10911" s="44" t="n">
        <f aca="false">Sens!$K$10910/Sens!$K$10909</f>
        <v>12.8088902453061</v>
      </c>
      <c r="L10911" s="44" t="n">
        <f aca="false">Sens!$L$10910/Sens!$L$10909</f>
        <v>13.8549085152432</v>
      </c>
      <c r="M10911" s="44" t="n">
        <f aca="false">Sens!$M$10910/Sens!$M$10909</f>
        <v>15.0066286091313</v>
      </c>
      <c r="N10911" s="14"/>
      <c r="O10911" s="14"/>
    </row>
    <row r="10912" customFormat="false" ht="17.15" hidden="false" customHeight="false" outlineLevel="0" collapsed="false">
      <c r="A10912" s="0" t="s">
        <v>758</v>
      </c>
      <c r="B10912" s="0" t="s">
        <v>27</v>
      </c>
      <c r="C10912" s="30" t="n">
        <f aca="false">Sens!$C$10908/Sens!$C$10909</f>
        <v>5.52635015390355</v>
      </c>
      <c r="D10912" s="30" t="n">
        <f aca="false">Sens!$D$10908/Sens!$D$10909</f>
        <v>7.1737323358271</v>
      </c>
      <c r="E10912" s="30" t="n">
        <f aca="false">Sens!$E$10908/Sens!$E$10909</f>
        <v>8.53212104513937</v>
      </c>
      <c r="G10912" s="30" t="n">
        <f aca="false">Sens!$G$10908/Sens!$G$10909</f>
        <v>12.7423208147233</v>
      </c>
      <c r="H10912" s="30" t="n">
        <f aca="false">Sens!$H$10908/Sens!$H$10909</f>
        <v>9.59778182509639</v>
      </c>
      <c r="I10912" s="30" t="n">
        <f aca="false">Sens!$I$10908/Sens!$I$10909</f>
        <v>10.799688520506</v>
      </c>
      <c r="J10912" s="30" t="n">
        <f aca="false">Sens!$J$10908/Sens!$J$10909</f>
        <v>11.9873844337644</v>
      </c>
      <c r="K10912" s="30" t="n">
        <f aca="false">Sens!$K$10908/Sens!$K$10909</f>
        <v>12.8088902453061</v>
      </c>
      <c r="L10912" s="30" t="n">
        <f aca="false">Sens!$L$10908/Sens!$L$10909</f>
        <v>13.8549085152432</v>
      </c>
      <c r="M10912" s="30" t="n">
        <f aca="false">Sens!$M$10908/Sens!$M$10909</f>
        <v>15.0066286091313</v>
      </c>
    </row>
    <row r="10913" customFormat="false" ht="17.15" hidden="false" customHeight="false" outlineLevel="0" collapsed="false">
      <c r="A10913" s="0" t="s">
        <v>759</v>
      </c>
      <c r="B10913" s="0" t="s">
        <v>27</v>
      </c>
      <c r="C10913" s="30" t="n">
        <f aca="false">(Sens!$C$10908-Sens!$C$10905*(1-tax))/Sens!$C$10909</f>
        <v>5.33926775917445</v>
      </c>
      <c r="D10913" s="30" t="n">
        <f aca="false">(Sens!$D$10908-Sens!$D$10905*(1-tax))/Sens!$D$10909</f>
        <v>5.67691812755503</v>
      </c>
      <c r="E10913" s="30" t="n">
        <f aca="false">(Sens!$E$10908-Sens!$E$10905*(1-tax))/Sens!$E$10909</f>
        <v>3.10602057006846</v>
      </c>
      <c r="G10913" s="30" t="n">
        <f aca="false">(Sens!$G$10908-Sens!$G$10905*(1-tax))/Sens!$G$10909</f>
        <v>7.33425269682635</v>
      </c>
      <c r="H10913" s="30" t="n">
        <f aca="false">(Sens!$H$10908-Sens!$H$10905*(1-tax))/Sens!$H$10909</f>
        <v>9.59778182509639</v>
      </c>
      <c r="I10913" s="30" t="n">
        <f aca="false">(Sens!$I$10908-Sens!$I$10905*(1-tax))/Sens!$I$10909</f>
        <v>10.799688520506</v>
      </c>
      <c r="J10913" s="30" t="n">
        <f aca="false">(Sens!$J$10908-Sens!$J$10905*(1-tax))/Sens!$J$10909</f>
        <v>11.9873844337644</v>
      </c>
      <c r="K10913" s="30" t="n">
        <f aca="false">(Sens!$K$10908-Sens!$K$10905*(1-tax))/Sens!$K$10909</f>
        <v>12.8088902453061</v>
      </c>
      <c r="L10913" s="30" t="n">
        <f aca="false">(Sens!$L$10908-Sens!$L$10905*(1-tax))/Sens!$L$10909</f>
        <v>13.8549085152432</v>
      </c>
      <c r="M10913" s="30" t="n">
        <f aca="false">(Sens!$M$10908-Sens!$M$10905*(1-tax))/Sens!$M$10909</f>
        <v>15.0066286091313</v>
      </c>
      <c r="P10913" s="5" t="s">
        <v>760</v>
      </c>
    </row>
    <row r="10914" customFormat="false" ht="17.15" hidden="false" customHeight="false" outlineLevel="0" collapsed="false">
      <c r="A10914" s="0" t="s">
        <v>761</v>
      </c>
      <c r="B10914" s="0" t="s">
        <v>52</v>
      </c>
      <c r="H10914" s="13" t="n">
        <f aca="false">Sens!$H$10911/Sens!$G$10911-1</f>
        <v>-0.246779141362815</v>
      </c>
      <c r="I10914" s="13" t="n">
        <f aca="false">Sens!$I$10911/Sens!$H$10911-1</f>
        <v>0.125227549168379</v>
      </c>
      <c r="J10914" s="13" t="n">
        <f aca="false">Sens!$J$10911/Sens!$I$10911-1</f>
        <v>0.109975015575976</v>
      </c>
      <c r="K10914" s="13" t="n">
        <f aca="false">Sens!$K$10911/Sens!$J$10911-1</f>
        <v>0.0685308639329072</v>
      </c>
      <c r="L10914" s="13" t="n">
        <f aca="false">Sens!$L$10911/Sens!$K$10911-1</f>
        <v>0.0816634579502658</v>
      </c>
      <c r="M10914" s="13" t="n">
        <f aca="false">Sens!$M$10911/Sens!$L$10911-1</f>
        <v>0.083127224739225</v>
      </c>
    </row>
    <row r="10917" customFormat="false" ht="19.4" hidden="false" customHeight="false" outlineLevel="0" collapsed="false">
      <c r="A10917" s="31" t="s">
        <v>1358</v>
      </c>
    </row>
    <row r="10918" customFormat="false" ht="17.15" hidden="false" customHeight="false" outlineLevel="0" collapsed="false">
      <c r="A10918" s="6" t="s">
        <v>16</v>
      </c>
      <c r="B10918" s="6" t="s">
        <v>17</v>
      </c>
      <c r="C10918" s="20" t="s">
        <v>497</v>
      </c>
      <c r="D10918" s="20" t="s">
        <v>498</v>
      </c>
      <c r="E10918" s="20" t="s">
        <v>580</v>
      </c>
      <c r="F10918" s="20" t="s">
        <v>581</v>
      </c>
      <c r="G10918" s="20" t="s">
        <v>582</v>
      </c>
      <c r="H10918" s="20" t="s">
        <v>583</v>
      </c>
      <c r="I10918" s="20" t="s">
        <v>584</v>
      </c>
      <c r="J10918" s="20" t="s">
        <v>585</v>
      </c>
      <c r="K10918" s="20" t="s">
        <v>586</v>
      </c>
      <c r="L10918" s="20" t="s">
        <v>587</v>
      </c>
      <c r="M10918" s="20" t="s">
        <v>588</v>
      </c>
      <c r="N10918" s="20" t="s">
        <v>589</v>
      </c>
      <c r="O10918" s="20" t="s">
        <v>590</v>
      </c>
      <c r="P10918" s="6" t="s">
        <v>23</v>
      </c>
      <c r="R10918" s="20" t="n">
        <v>2023</v>
      </c>
      <c r="S10918" s="20" t="n">
        <v>2024</v>
      </c>
      <c r="T10918" s="20" t="n">
        <v>2025</v>
      </c>
      <c r="U10918" s="20" t="n">
        <v>2026</v>
      </c>
      <c r="V10918" s="20" t="n">
        <v>2027</v>
      </c>
      <c r="W10918" s="20" t="n">
        <v>2028</v>
      </c>
      <c r="X10918" s="20" t="n">
        <v>2029</v>
      </c>
      <c r="Y10918" s="20" t="n">
        <v>2030</v>
      </c>
      <c r="Z10918" s="20" t="n">
        <v>2031</v>
      </c>
      <c r="AA10918" s="20" t="n">
        <v>2032</v>
      </c>
    </row>
    <row r="10919" customFormat="false" ht="15" hidden="false" customHeight="false" outlineLevel="0" collapsed="false">
      <c r="A10919" s="5" t="s">
        <v>549</v>
      </c>
      <c r="B10919" s="0" t="s">
        <v>86</v>
      </c>
      <c r="C10919" s="38" t="n">
        <f aca="false">Sens!$C$10908</f>
        <v>59.248</v>
      </c>
      <c r="D10919" s="38" t="n">
        <f aca="false">Sens!$D$10908</f>
        <v>77.67</v>
      </c>
      <c r="E10919" s="38" t="n">
        <f aca="false">Sens!$E$10908</f>
        <v>92.902</v>
      </c>
      <c r="F10919" s="38" t="n">
        <f aca="false">Sens!$F$10908</f>
        <v>46.3053828906144</v>
      </c>
      <c r="G10919" s="38" t="n">
        <f aca="false">Sens!$G$10908</f>
        <v>139.207382890614</v>
      </c>
      <c r="H10919" s="38" t="n">
        <f aca="false">Sens!$H$10908</f>
        <v>105.69273570526</v>
      </c>
      <c r="I10919" s="38" t="n">
        <f aca="false">Sens!$I$10908</f>
        <v>119.879804986231</v>
      </c>
      <c r="J10919" s="38" t="n">
        <f aca="false">Sens!$J$10908</f>
        <v>134.128097114092</v>
      </c>
      <c r="K10919" s="38" t="n">
        <f aca="false">Sens!$K$10908</f>
        <v>144.466571578893</v>
      </c>
      <c r="L10919" s="38" t="n">
        <f aca="false">Sens!$L$10908</f>
        <v>157.514325063223</v>
      </c>
      <c r="M10919" s="38" t="n">
        <f aca="false">Sens!$M$10908</f>
        <v>171.9729181925</v>
      </c>
    </row>
    <row r="10920" customFormat="false" ht="17.15" hidden="false" customHeight="false" outlineLevel="0" collapsed="false">
      <c r="A10920" s="5" t="s">
        <v>784</v>
      </c>
      <c r="B10920" s="0" t="s">
        <v>86</v>
      </c>
      <c r="C10920" s="38" t="n">
        <f aca="false">Sens!$C$10896</f>
        <v>32.067</v>
      </c>
      <c r="D10920" s="38" t="n">
        <f aca="false">Sens!$D$10896</f>
        <v>41.86</v>
      </c>
      <c r="E10920" s="38" t="n">
        <f aca="false">Sens!$E$10896</f>
        <v>26.703</v>
      </c>
      <c r="F10920" s="38" t="n">
        <f aca="false">Sens!$F$10896</f>
        <v>28.2071421626285</v>
      </c>
      <c r="G10920" s="38" t="n">
        <f aca="false">Sens!$G$10896</f>
        <v>54.9101421626285</v>
      </c>
      <c r="H10920" s="38" t="n">
        <f aca="false">Sens!$H$10896</f>
        <v>78.1799395827871</v>
      </c>
      <c r="I10920" s="38" t="n">
        <f aca="false">Sens!$I$10896</f>
        <v>111.171125554384</v>
      </c>
      <c r="J10920" s="38" t="n">
        <f aca="false">Sens!$J$10896</f>
        <v>144.884406220971</v>
      </c>
      <c r="K10920" s="38" t="n">
        <f aca="false">Sens!$K$10896</f>
        <v>178.806419437999</v>
      </c>
      <c r="L10920" s="38" t="n">
        <f aca="false">Sens!$L$10896</f>
        <v>204.341339029663</v>
      </c>
      <c r="M10920" s="38" t="n">
        <f aca="false">Sens!$M$10896</f>
        <v>223.130577995387</v>
      </c>
    </row>
    <row r="10921" customFormat="false" ht="15" hidden="false" customHeight="false" outlineLevel="0" collapsed="false">
      <c r="A10921" s="5" t="s">
        <v>785</v>
      </c>
      <c r="B10921" s="0" t="s">
        <v>86</v>
      </c>
      <c r="C10921" s="38" t="n">
        <f aca="false">Q!$D$48</f>
        <v>22.011</v>
      </c>
      <c r="D10921" s="38" t="n">
        <f aca="false">Q!$E$48</f>
        <v>19.467</v>
      </c>
      <c r="E10921" s="38" t="n">
        <f aca="false">Q!$P$48</f>
        <v>10.07</v>
      </c>
      <c r="F10921" s="38" t="n">
        <f aca="false">sbc_r*Sens!$F$10838</f>
        <v>10.8507035798037</v>
      </c>
      <c r="G10921" s="38" t="n">
        <f aca="false">Sens!$E$10921+Sens!$F$10921</f>
        <v>20.9207035798037</v>
      </c>
      <c r="H10921" s="38" t="n">
        <f aca="false">sbc_r*Sens!$H$10838</f>
        <v>23.46224366345</v>
      </c>
      <c r="I10921" s="38" t="n">
        <f aca="false">sbc_r*Sens!$I$10838</f>
        <v>26.6125957111676</v>
      </c>
      <c r="J10921" s="38" t="n">
        <f aca="false">sbc_r*Sens!$J$10838</f>
        <v>29.6280801413323</v>
      </c>
      <c r="K10921" s="38" t="n">
        <f aca="false">sbc_r*Sens!$K$10838</f>
        <v>32.2712258901105</v>
      </c>
      <c r="L10921" s="38" t="n">
        <f aca="false">sbc_r*Sens!$L$10838</f>
        <v>34.7390505016737</v>
      </c>
      <c r="M10921" s="38" t="n">
        <f aca="false">sbc_r*Sens!$M$10838</f>
        <v>37.0405146906692</v>
      </c>
    </row>
    <row r="10922" customFormat="false" ht="17.15" hidden="false" customHeight="false" outlineLevel="0" collapsed="false">
      <c r="A10922" s="5" t="s">
        <v>786</v>
      </c>
      <c r="B10922" s="0" t="s">
        <v>86</v>
      </c>
      <c r="C10922" s="38" t="n">
        <f aca="false">Q!$D$44-Sens!$C$10919-Sens!$C$10920-Sens!$C$10921</f>
        <v>2.551</v>
      </c>
      <c r="D10922" s="38" t="n">
        <f aca="false">Q!$E$44-Sens!$D$10919-Sens!$D$10920-Sens!$D$10921</f>
        <v>0.51700000000001</v>
      </c>
      <c r="E10922" s="38" t="n">
        <f aca="false">Q!$P$44-Sens!$E$10919-Sens!$E$10920-Sens!$E$10921</f>
        <v>-58.256</v>
      </c>
      <c r="F10922" s="38" t="n">
        <f aca="false">oth_r*Sens!$F$10838</f>
        <v>5.22265251035878</v>
      </c>
      <c r="G10922" s="38" t="n">
        <f aca="false">Sens!$E$10922+Sens!$F$10922</f>
        <v>-53.0333474896412</v>
      </c>
      <c r="H10922" s="38" t="n">
        <f aca="false">oth_r*Sens!$H$10838</f>
        <v>11.2928295263397</v>
      </c>
      <c r="I10922" s="38" t="n">
        <f aca="false">oth_r*Sens!$I$10838</f>
        <v>12.8091546115766</v>
      </c>
      <c r="J10922" s="38" t="n">
        <f aca="false">oth_r*Sens!$J$10838</f>
        <v>14.2605653162668</v>
      </c>
      <c r="K10922" s="38" t="n">
        <f aca="false">oth_r*Sens!$K$10838</f>
        <v>15.5327622460396</v>
      </c>
      <c r="L10922" s="38" t="n">
        <f aca="false">oth_r*Sens!$L$10838</f>
        <v>16.720573737517</v>
      </c>
      <c r="M10922" s="38" t="n">
        <f aca="false">oth_r*Sens!$M$10838</f>
        <v>17.8283127551536</v>
      </c>
      <c r="P10922" s="8" t="s">
        <v>787</v>
      </c>
    </row>
    <row r="10923" customFormat="false" ht="15" hidden="false" customHeight="false" outlineLevel="0" collapsed="false">
      <c r="A10923" s="3" t="s">
        <v>555</v>
      </c>
      <c r="B10923" s="8" t="s">
        <v>86</v>
      </c>
      <c r="C10923" s="38" t="n">
        <f aca="false">Q!$D$44</f>
        <v>115.877</v>
      </c>
      <c r="D10923" s="38" t="n">
        <f aca="false">Q!$E$44</f>
        <v>139.514</v>
      </c>
      <c r="E10923" s="38" t="n">
        <f aca="false">Q!$P$44</f>
        <v>71.419</v>
      </c>
      <c r="F10923" s="38" t="n">
        <f aca="false">Sens!$F$10919+Sens!$F$10920+Sens!$F$10921+Sens!$F$10922</f>
        <v>90.5858811434053</v>
      </c>
      <c r="G10923" s="38" t="n">
        <f aca="false">Sens!$E$10923+Sens!$F$10923</f>
        <v>162.004881143405</v>
      </c>
      <c r="H10923" s="38" t="n">
        <f aca="false">Sens!$H$10919+Sens!$H$10920+Sens!$H$10921+Sens!$H$10922</f>
        <v>218.627748477837</v>
      </c>
      <c r="I10923" s="38" t="n">
        <f aca="false">Sens!$I$10919+Sens!$I$10920+Sens!$I$10921+Sens!$I$10922</f>
        <v>270.47268086336</v>
      </c>
      <c r="J10923" s="38" t="n">
        <f aca="false">Sens!$J$10919+Sens!$J$10920+Sens!$J$10921+Sens!$J$10922</f>
        <v>322.901148792662</v>
      </c>
      <c r="K10923" s="38" t="n">
        <f aca="false">Sens!$K$10919+Sens!$K$10920+Sens!$K$10921+Sens!$K$10922</f>
        <v>371.076979153043</v>
      </c>
      <c r="L10923" s="38" t="n">
        <f aca="false">Sens!$L$10919+Sens!$L$10920+Sens!$L$10921+Sens!$L$10922</f>
        <v>413.315288332076</v>
      </c>
      <c r="M10923" s="38" t="n">
        <f aca="false">Sens!$M$10919+Sens!$M$10920+Sens!$M$10921+Sens!$M$10922</f>
        <v>449.97232363371</v>
      </c>
    </row>
    <row r="10924" customFormat="false" ht="17.15" hidden="false" customHeight="false" outlineLevel="0" collapsed="false">
      <c r="A10924" s="5" t="s">
        <v>788</v>
      </c>
      <c r="B10924" s="0" t="s">
        <v>86</v>
      </c>
      <c r="C10924" s="38" t="n">
        <f aca="false">Sens!$C$10805</f>
        <v>25.2781053077374</v>
      </c>
      <c r="D10924" s="38" t="n">
        <f aca="false">Sens!$D$10805</f>
        <v>69.5686316310026</v>
      </c>
      <c r="E10924" s="38" t="n">
        <f aca="false">Sens!$E$10805</f>
        <v>64.1899206485108</v>
      </c>
      <c r="F10924" s="38" t="n">
        <f aca="false">Sens!$F$10805</f>
        <v>96.2481299895</v>
      </c>
      <c r="G10924" s="38" t="n">
        <f aca="false">Sens!$G$10805</f>
        <v>160.438050638011</v>
      </c>
      <c r="H10924" s="38" t="n">
        <f aca="false">Sens!$H$10805</f>
        <v>198.57136494475</v>
      </c>
      <c r="I10924" s="38" t="n">
        <f aca="false">Sens!$I$10805</f>
        <v>204.6464699105</v>
      </c>
      <c r="J10924" s="38" t="n">
        <f aca="false">Sens!$J$10805</f>
        <v>209.8832381105</v>
      </c>
      <c r="K10924" s="38" t="n">
        <f aca="false">Sens!$K$10805</f>
        <v>155.238385275201</v>
      </c>
      <c r="L10924" s="38" t="n">
        <f aca="false">Sens!$L$10805</f>
        <v>132.014141639902</v>
      </c>
      <c r="M10924" s="38" t="n">
        <f aca="false">Sens!$M$10805</f>
        <v>132.230981659852</v>
      </c>
    </row>
    <row r="10925" customFormat="false" ht="17.15" hidden="false" customHeight="false" outlineLevel="0" collapsed="false">
      <c r="A10925" s="5" t="s">
        <v>789</v>
      </c>
      <c r="B10925" s="0" t="s">
        <v>86</v>
      </c>
      <c r="C10925" s="38" t="n">
        <f aca="false">cx_awso*Sens!$C$10836</f>
        <v>21.0469989286053</v>
      </c>
      <c r="D10925" s="38" t="n">
        <f aca="false">cx_awso*Sens!$D$10836</f>
        <v>24.0042459822698</v>
      </c>
      <c r="E10925" s="38" t="n">
        <f aca="false">cx_awso*Sens!$E$10836</f>
        <v>14.261729404886</v>
      </c>
      <c r="F10925" s="38" t="n">
        <f aca="false">cx_awso*Sens!$F$10836</f>
        <v>14.3538599588493</v>
      </c>
      <c r="G10925" s="38" t="n">
        <f aca="false">Sens!$E$10925+Sens!$F$10925</f>
        <v>28.6155893637353</v>
      </c>
      <c r="H10925" s="38" t="n">
        <f aca="false">cx_awso*Sens!$H$10836</f>
        <v>32.2034154158406</v>
      </c>
      <c r="I10925" s="38" t="n">
        <f aca="false">cx_awso*Sens!$I$10836</f>
        <v>35.7539519042915</v>
      </c>
      <c r="J10925" s="38" t="n">
        <f aca="false">cx_awso*Sens!$J$10836</f>
        <v>39.1551076091815</v>
      </c>
      <c r="K10925" s="38" t="n">
        <f aca="false">cx_awso*Sens!$K$10836</f>
        <v>42.287516217916</v>
      </c>
      <c r="L10925" s="38" t="n">
        <f aca="false">cx_awso*Sens!$L$10836</f>
        <v>45.6705175153492</v>
      </c>
      <c r="M10925" s="38" t="n">
        <f aca="false">cx_awso*Sens!$M$10836</f>
        <v>49.3241589165772</v>
      </c>
    </row>
    <row r="10926" customFormat="false" ht="17.15" hidden="false" customHeight="false" outlineLevel="0" collapsed="false">
      <c r="A10926" s="5" t="s">
        <v>790</v>
      </c>
      <c r="B10926" s="0" t="s">
        <v>86</v>
      </c>
      <c r="C10926" s="38" t="n">
        <f aca="false">Q!$D$46-Sens!$C$10924-Sens!$C$10925</f>
        <v>31.3328957636573</v>
      </c>
      <c r="D10926" s="38" t="n">
        <f aca="false">Q!$E$46-Sens!$D$10924-Sens!$D$10925</f>
        <v>34.7471223867276</v>
      </c>
      <c r="E10926" s="38" t="n">
        <f aca="false">Q!$P$46-Sens!$E$10924-Sens!$E$10925</f>
        <v>17.8583499466032</v>
      </c>
      <c r="F10926" s="38" t="n">
        <f aca="false">cx_rt*Sens!$F$10768</f>
        <v>20.6195895799373</v>
      </c>
      <c r="G10926" s="38" t="n">
        <f aca="false">Sens!$E$10926+Sens!$F$10926</f>
        <v>38.4779395265405</v>
      </c>
      <c r="H10926" s="38" t="n">
        <f aca="false">cx_rt*Sens!$H$10768</f>
        <v>42.5978994743075</v>
      </c>
      <c r="I10926" s="38" t="n">
        <f aca="false">cx_rt*Sens!$I$10768</f>
        <v>46.5813904136335</v>
      </c>
      <c r="J10926" s="38" t="n">
        <f aca="false">cx_rt*Sens!$J$10768</f>
        <v>50.2781676586844</v>
      </c>
      <c r="K10926" s="38" t="n">
        <f aca="false">cx_rt*Sens!$K$10768</f>
        <v>53.5312440191755</v>
      </c>
      <c r="L10926" s="38" t="n">
        <f aca="false">cx_rt*Sens!$L$10768</f>
        <v>57.0116717051447</v>
      </c>
      <c r="M10926" s="38" t="n">
        <f aca="false">cx_rt*Sens!$M$10768</f>
        <v>60.7365554669226</v>
      </c>
    </row>
    <row r="10927" customFormat="false" ht="15" hidden="false" customHeight="false" outlineLevel="0" collapsed="false">
      <c r="A10927" s="3" t="s">
        <v>791</v>
      </c>
      <c r="B10927" s="8" t="s">
        <v>86</v>
      </c>
      <c r="C10927" s="38" t="n">
        <f aca="false">Q!$D$46</f>
        <v>77.658</v>
      </c>
      <c r="D10927" s="38" t="n">
        <f aca="false">Q!$E$46</f>
        <v>128.32</v>
      </c>
      <c r="E10927" s="38" t="n">
        <f aca="false">Q!$P$46</f>
        <v>96.31</v>
      </c>
      <c r="F10927" s="38" t="n">
        <f aca="false">Sens!$F$10924+Sens!$F$10925+Sens!$F$10926</f>
        <v>131.221579528287</v>
      </c>
      <c r="G10927" s="38" t="n">
        <f aca="false">Sens!$E$10927+Sens!$F$10927</f>
        <v>227.531579528287</v>
      </c>
      <c r="H10927" s="38" t="n">
        <f aca="false">Sens!$H$10924+Sens!$H$10925+Sens!$H$10926</f>
        <v>273.372679834898</v>
      </c>
      <c r="I10927" s="38" t="n">
        <f aca="false">Sens!$I$10924+Sens!$I$10925+Sens!$I$10926</f>
        <v>286.981812228425</v>
      </c>
      <c r="J10927" s="38" t="n">
        <f aca="false">Sens!$J$10924+Sens!$J$10925+Sens!$J$10926</f>
        <v>299.316513378366</v>
      </c>
      <c r="K10927" s="38" t="n">
        <f aca="false">Sens!$K$10924+Sens!$K$10925+Sens!$K$10926</f>
        <v>251.057145512292</v>
      </c>
      <c r="L10927" s="38" t="n">
        <f aca="false">Sens!$L$10924+Sens!$L$10925+Sens!$L$10926</f>
        <v>234.696330860396</v>
      </c>
      <c r="M10927" s="38" t="n">
        <f aca="false">Sens!$M$10924+Sens!$M$10925+Sens!$M$10926</f>
        <v>242.291696043352</v>
      </c>
    </row>
    <row r="10928" customFormat="false" ht="17.15" hidden="false" customHeight="false" outlineLevel="0" collapsed="false">
      <c r="A10928" s="5" t="s">
        <v>563</v>
      </c>
      <c r="B10928" s="0" t="s">
        <v>86</v>
      </c>
      <c r="C10928" s="38" t="n">
        <f aca="false">Q!$D$50</f>
        <v>2.043</v>
      </c>
      <c r="D10928" s="38" t="n">
        <f aca="false">Q!$E$50</f>
        <v>1.557</v>
      </c>
      <c r="E10928" s="38" t="n">
        <f aca="false">lease_pr/2</f>
        <v>0.8</v>
      </c>
      <c r="F10928" s="38" t="n">
        <f aca="false">lease_pr/2</f>
        <v>0.8</v>
      </c>
      <c r="G10928" s="38" t="n">
        <f aca="false">Sens!$E$10928+Sens!$F$10928</f>
        <v>1.6</v>
      </c>
      <c r="H10928" s="38" t="n">
        <f aca="false">lease_pr</f>
        <v>1.6</v>
      </c>
      <c r="I10928" s="38" t="n">
        <f aca="false">lease_pr</f>
        <v>1.6</v>
      </c>
      <c r="J10928" s="38" t="n">
        <f aca="false">lease_pr</f>
        <v>1.6</v>
      </c>
      <c r="K10928" s="38" t="n">
        <f aca="false">lease_pr</f>
        <v>1.6</v>
      </c>
      <c r="L10928" s="38" t="n">
        <f aca="false">lease_pr</f>
        <v>1.6</v>
      </c>
      <c r="M10928" s="38" t="n">
        <f aca="false">lease_pr</f>
        <v>1.6</v>
      </c>
      <c r="P10928" s="8" t="s">
        <v>792</v>
      </c>
    </row>
    <row r="10929" customFormat="false" ht="15" hidden="false" customHeight="false" outlineLevel="0" collapsed="false">
      <c r="A10929" s="47" t="s">
        <v>793</v>
      </c>
      <c r="B10929" s="14" t="s">
        <v>86</v>
      </c>
      <c r="C10929" s="48" t="n">
        <f aca="false">Sens!$C$10923-Sens!$C$10927-Sens!$C$10928</f>
        <v>36.176</v>
      </c>
      <c r="D10929" s="48" t="n">
        <f aca="false">Sens!$D$10923-Sens!$D$10927-Sens!$D$10928</f>
        <v>9.63700000000002</v>
      </c>
      <c r="E10929" s="48" t="n">
        <f aca="false">Sens!$E$10923-Sens!$E$10927-Sens!$E$10928</f>
        <v>-25.691</v>
      </c>
      <c r="F10929" s="48" t="n">
        <f aca="false">Sens!$F$10923-Sens!$F$10927-Sens!$F$10928</f>
        <v>-41.4356983848813</v>
      </c>
      <c r="G10929" s="48" t="n">
        <f aca="false">Sens!$G$10923-Sens!$G$10927-Sens!$G$10928</f>
        <v>-67.1266983848813</v>
      </c>
      <c r="H10929" s="48" t="n">
        <f aca="false">Sens!$H$10923-Sens!$H$10927-Sens!$H$10928</f>
        <v>-56.3449313570613</v>
      </c>
      <c r="I10929" s="48" t="n">
        <f aca="false">Sens!$I$10923-Sens!$I$10927-Sens!$I$10928</f>
        <v>-18.1091313650653</v>
      </c>
      <c r="J10929" s="48" t="n">
        <f aca="false">Sens!$J$10923-Sens!$J$10927-Sens!$J$10928</f>
        <v>21.9846354142961</v>
      </c>
      <c r="K10929" s="48" t="n">
        <f aca="false">Sens!$K$10923-Sens!$K$10927-Sens!$K$10928</f>
        <v>118.41983364075</v>
      </c>
      <c r="L10929" s="48" t="n">
        <f aca="false">Sens!$L$10923-Sens!$L$10927-Sens!$L$10928</f>
        <v>177.018957471681</v>
      </c>
      <c r="M10929" s="48" t="n">
        <f aca="false">Sens!$M$10923-Sens!$M$10927-Sens!$M$10928</f>
        <v>206.080627590357</v>
      </c>
      <c r="N10929" s="14"/>
      <c r="O10929" s="14"/>
    </row>
    <row r="10930" customFormat="false" ht="17.15" hidden="false" customHeight="false" outlineLevel="0" collapsed="false">
      <c r="A10930" s="5" t="s">
        <v>794</v>
      </c>
      <c r="B10930" s="0" t="s">
        <v>86</v>
      </c>
      <c r="C10930" s="38" t="n">
        <f aca="false">dps*Sens!$C$10909</f>
        <v>0</v>
      </c>
      <c r="D10930" s="38" t="n">
        <f aca="false">dps*Sens!$D$10909</f>
        <v>0</v>
      </c>
      <c r="E10930" s="38" t="n">
        <f aca="false">dps*Sens!$E$10909</f>
        <v>0</v>
      </c>
      <c r="F10930" s="38" t="n">
        <f aca="false">0</f>
        <v>0</v>
      </c>
      <c r="G10930" s="38" t="n">
        <f aca="false">dps*Sens!$G$10909</f>
        <v>0</v>
      </c>
      <c r="H10930" s="38" t="n">
        <f aca="false">dps*Sens!$H$10909</f>
        <v>0</v>
      </c>
      <c r="I10930" s="38" t="n">
        <f aca="false">dps*Sens!$I$10909</f>
        <v>0</v>
      </c>
      <c r="J10930" s="38" t="n">
        <f aca="false">dps*Sens!$J$10909</f>
        <v>0</v>
      </c>
      <c r="K10930" s="38" t="n">
        <f aca="false">dps*Sens!$K$10909</f>
        <v>0</v>
      </c>
      <c r="L10930" s="38" t="n">
        <f aca="false">dps*Sens!$L$10909</f>
        <v>0</v>
      </c>
      <c r="M10930" s="38" t="n">
        <f aca="false">dps*Sens!$M$10909</f>
        <v>0</v>
      </c>
      <c r="P10930" s="8" t="s">
        <v>795</v>
      </c>
    </row>
    <row r="10931" customFormat="false" ht="17.15" hidden="false" customHeight="false" outlineLevel="0" collapsed="false">
      <c r="A10931" s="5" t="s">
        <v>796</v>
      </c>
      <c r="B10931" s="0" t="s">
        <v>86</v>
      </c>
      <c r="C10931" s="38" t="n">
        <f aca="false">0</f>
        <v>0</v>
      </c>
      <c r="D10931" s="38" t="n">
        <f aca="false">0</f>
        <v>0</v>
      </c>
      <c r="E10931" s="38" t="n">
        <f aca="false">0</f>
        <v>0</v>
      </c>
      <c r="F10931" s="38" t="n">
        <f aca="false">0</f>
        <v>0</v>
      </c>
      <c r="G10931" s="38" t="n">
        <f aca="false">0</f>
        <v>0</v>
      </c>
      <c r="H10931" s="38" t="n">
        <f aca="false">0</f>
        <v>0</v>
      </c>
      <c r="I10931" s="38" t="n">
        <f aca="false">0</f>
        <v>0</v>
      </c>
      <c r="J10931" s="38" t="n">
        <f aca="false">0</f>
        <v>0</v>
      </c>
      <c r="K10931" s="38" t="n">
        <f aca="false">0</f>
        <v>0</v>
      </c>
      <c r="L10931" s="38" t="n">
        <f aca="false">0</f>
        <v>0</v>
      </c>
      <c r="M10931" s="38" t="n">
        <f aca="false">0</f>
        <v>0</v>
      </c>
      <c r="P10931" s="8" t="s">
        <v>797</v>
      </c>
    </row>
    <row r="10932" customFormat="false" ht="15" hidden="false" customHeight="false" outlineLevel="0" collapsed="false">
      <c r="A10932" s="3" t="s">
        <v>798</v>
      </c>
      <c r="B10932" s="8" t="s">
        <v>86</v>
      </c>
      <c r="C10932" s="38" t="n">
        <f aca="false">Sens!$C$10929-Sens!$C$10930</f>
        <v>36.176</v>
      </c>
      <c r="D10932" s="38" t="n">
        <f aca="false">Sens!$D$10929-Sens!$D$10930</f>
        <v>9.63700000000002</v>
      </c>
      <c r="E10932" s="38" t="n">
        <f aca="false">Sens!$E$10929-Sens!$E$10930</f>
        <v>-25.691</v>
      </c>
      <c r="F10932" s="38" t="n">
        <f aca="false">Sens!$F$10929-Sens!$F$10930</f>
        <v>-41.4356983848813</v>
      </c>
      <c r="G10932" s="38" t="n">
        <f aca="false">Sens!$G$10929-Sens!$G$10930</f>
        <v>-67.1266983848813</v>
      </c>
      <c r="H10932" s="38" t="n">
        <f aca="false">Sens!$H$10929-Sens!$H$10930</f>
        <v>-56.3449313570613</v>
      </c>
      <c r="I10932" s="38" t="n">
        <f aca="false">Sens!$I$10929-Sens!$I$10930</f>
        <v>-18.1091313650653</v>
      </c>
      <c r="J10932" s="38" t="n">
        <f aca="false">Sens!$J$10929-Sens!$J$10930</f>
        <v>21.9846354142961</v>
      </c>
      <c r="K10932" s="38" t="n">
        <f aca="false">Sens!$K$10929-Sens!$K$10930</f>
        <v>118.41983364075</v>
      </c>
      <c r="L10932" s="38" t="n">
        <f aca="false">Sens!$L$10929-Sens!$L$10930</f>
        <v>177.018957471681</v>
      </c>
      <c r="M10932" s="38" t="n">
        <f aca="false">Sens!$M$10929-Sens!$M$10930</f>
        <v>206.080627590357</v>
      </c>
    </row>
    <row r="10933" customFormat="false" ht="17.15" hidden="false" customHeight="false" outlineLevel="0" collapsed="false">
      <c r="A10933" s="5" t="s">
        <v>799</v>
      </c>
      <c r="B10933" s="0" t="s">
        <v>86</v>
      </c>
      <c r="E10933" s="38" t="n">
        <f aca="false">Q!$P$53</f>
        <v>39.767</v>
      </c>
      <c r="F10933" s="38" t="n">
        <f aca="false">inv_2h26</f>
        <v>21.3</v>
      </c>
      <c r="G10933" s="38" t="n">
        <f aca="false">Sens!$E$10933+Sens!$F$10933</f>
        <v>61.067</v>
      </c>
      <c r="H10933" s="39" t="n">
        <v>0</v>
      </c>
      <c r="I10933" s="39" t="n">
        <v>0</v>
      </c>
      <c r="J10933" s="39" t="n">
        <v>0</v>
      </c>
      <c r="K10933" s="39" t="n">
        <v>0</v>
      </c>
      <c r="L10933" s="39" t="n">
        <v>0</v>
      </c>
      <c r="M10933" s="39" t="n">
        <v>0</v>
      </c>
    </row>
    <row r="10934" customFormat="false" ht="17.15" hidden="false" customHeight="false" outlineLevel="0" collapsed="false">
      <c r="A10934" s="5" t="s">
        <v>800</v>
      </c>
      <c r="B10934" s="0" t="s">
        <v>86</v>
      </c>
      <c r="F10934" s="38" t="n">
        <f aca="false">iss_2h26</f>
        <v>29.249999</v>
      </c>
      <c r="G10934" s="38" t="n">
        <f aca="false">Sens!$F$10934</f>
        <v>29.249999</v>
      </c>
      <c r="H10934" s="39" t="n">
        <v>0</v>
      </c>
      <c r="I10934" s="39" t="n">
        <v>0</v>
      </c>
      <c r="J10934" s="39" t="n">
        <v>0</v>
      </c>
      <c r="K10934" s="39" t="n">
        <v>0</v>
      </c>
      <c r="L10934" s="39" t="n">
        <v>0</v>
      </c>
      <c r="M10934" s="39" t="n">
        <v>0</v>
      </c>
    </row>
    <row r="10935" customFormat="false" ht="17.15" hidden="false" customHeight="false" outlineLevel="0" collapsed="false">
      <c r="A10935" s="5" t="s">
        <v>801</v>
      </c>
      <c r="B10935" s="0" t="s">
        <v>86</v>
      </c>
      <c r="F10935" s="38" t="n">
        <f aca="false">cash_q2</f>
        <v>122.988</v>
      </c>
      <c r="G10935" s="38" t="n">
        <f aca="false">cash_q2</f>
        <v>122.988</v>
      </c>
      <c r="H10935" s="38" t="n">
        <f aca="false">Sens!$G$10938</f>
        <v>89.5023006151187</v>
      </c>
      <c r="I10935" s="38" t="n">
        <f aca="false">Sens!$H$10938</f>
        <v>50</v>
      </c>
      <c r="J10935" s="38" t="n">
        <f aca="false">Sens!$I$10938</f>
        <v>50</v>
      </c>
      <c r="K10935" s="38" t="n">
        <f aca="false">Sens!$J$10938</f>
        <v>71.9846354142962</v>
      </c>
      <c r="L10935" s="38" t="n">
        <f aca="false">Sens!$K$10938</f>
        <v>190.404469055046</v>
      </c>
      <c r="M10935" s="38" t="n">
        <f aca="false">Sens!$L$10938</f>
        <v>367.423426526727</v>
      </c>
    </row>
    <row r="10936" customFormat="false" ht="15" hidden="false" customHeight="false" outlineLevel="0" collapsed="false">
      <c r="A10936" s="5" t="s">
        <v>802</v>
      </c>
      <c r="B10936" s="0" t="s">
        <v>86</v>
      </c>
      <c r="F10936" s="38" t="n">
        <f aca="false">Sens!$F$10935+Sens!$F$10932-Sens!$F$10931-Sens!$F$10933+Sens!$F$10934</f>
        <v>89.5023006151187</v>
      </c>
      <c r="H10936" s="38" t="n">
        <f aca="false">Sens!$H$10935+Sens!$H$10932-Sens!$H$10931-Sens!$H$10933+Sens!$H$10934</f>
        <v>33.1573692580575</v>
      </c>
      <c r="I10936" s="38" t="n">
        <f aca="false">Sens!$I$10935+Sens!$I$10932-Sens!$I$10931-Sens!$I$10933+Sens!$I$10934</f>
        <v>31.8908686349347</v>
      </c>
      <c r="J10936" s="38" t="n">
        <f aca="false">Sens!$J$10935+Sens!$J$10932-Sens!$J$10931-Sens!$J$10933+Sens!$J$10934</f>
        <v>71.9846354142962</v>
      </c>
      <c r="K10936" s="38" t="n">
        <f aca="false">Sens!$K$10935+Sens!$K$10932-Sens!$K$10931-Sens!$K$10933+Sens!$K$10934</f>
        <v>190.404469055046</v>
      </c>
      <c r="L10936" s="38" t="n">
        <f aca="false">Sens!$L$10935+Sens!$L$10932-Sens!$L$10931-Sens!$L$10933+Sens!$L$10934</f>
        <v>367.423426526727</v>
      </c>
      <c r="M10936" s="38" t="n">
        <f aca="false">Sens!$M$10935+Sens!$M$10932-Sens!$M$10931-Sens!$M$10933+Sens!$M$10934</f>
        <v>573.504054117085</v>
      </c>
    </row>
    <row r="10937" customFormat="false" ht="17.15" hidden="false" customHeight="false" outlineLevel="0" collapsed="false">
      <c r="A10937" s="5" t="s">
        <v>803</v>
      </c>
      <c r="B10937" s="0" t="s">
        <v>86</v>
      </c>
      <c r="F10937" s="38" t="n">
        <f aca="false">MAX(0,min_cash-Sens!$F$10936)</f>
        <v>0</v>
      </c>
      <c r="G10937" s="38" t="n">
        <f aca="false">Sens!$F$10937</f>
        <v>0</v>
      </c>
      <c r="H10937" s="38" t="n">
        <f aca="false">MAX(0,min_cash-Sens!$H$10936)</f>
        <v>16.8426307419426</v>
      </c>
      <c r="I10937" s="38" t="n">
        <f aca="false">MAX(0,min_cash-Sens!$I$10936)</f>
        <v>18.1091313650653</v>
      </c>
      <c r="J10937" s="38" t="n">
        <f aca="false">MAX(0,min_cash-Sens!$J$10936)</f>
        <v>0</v>
      </c>
      <c r="K10937" s="38" t="n">
        <f aca="false">MAX(0,min_cash-Sens!$K$10936)</f>
        <v>0</v>
      </c>
      <c r="L10937" s="38" t="n">
        <f aca="false">MAX(0,min_cash-Sens!$L$10936)</f>
        <v>0</v>
      </c>
      <c r="M10937" s="38" t="n">
        <f aca="false">MAX(0,min_cash-Sens!$M$10936)</f>
        <v>0</v>
      </c>
      <c r="P10937" s="5" t="s">
        <v>804</v>
      </c>
    </row>
    <row r="10938" customFormat="false" ht="15" hidden="false" customHeight="false" outlineLevel="0" collapsed="false">
      <c r="A10938" s="5" t="s">
        <v>805</v>
      </c>
      <c r="B10938" s="0" t="s">
        <v>86</v>
      </c>
      <c r="D10938" s="38" t="n">
        <f aca="false">Q!$E$61</f>
        <v>123.029</v>
      </c>
      <c r="E10938" s="38" t="n">
        <f aca="false">Q!$M$61</f>
        <v>122.988</v>
      </c>
      <c r="F10938" s="38" t="n">
        <f aca="false">Sens!$F$10936+Sens!$F$10937</f>
        <v>89.5023006151187</v>
      </c>
      <c r="G10938" s="38" t="n">
        <f aca="false">Sens!$F$10938</f>
        <v>89.5023006151187</v>
      </c>
      <c r="H10938" s="38" t="n">
        <f aca="false">Sens!$H$10936+Sens!$H$10937</f>
        <v>50</v>
      </c>
      <c r="I10938" s="38" t="n">
        <f aca="false">Sens!$I$10936+Sens!$I$10937</f>
        <v>50</v>
      </c>
      <c r="J10938" s="38" t="n">
        <f aca="false">Sens!$J$10936+Sens!$J$10937</f>
        <v>71.9846354142962</v>
      </c>
      <c r="K10938" s="38" t="n">
        <f aca="false">Sens!$K$10936+Sens!$K$10937</f>
        <v>190.404469055046</v>
      </c>
      <c r="L10938" s="38" t="n">
        <f aca="false">Sens!$L$10936+Sens!$L$10937</f>
        <v>367.423426526727</v>
      </c>
      <c r="M10938" s="38" t="n">
        <f aca="false">Sens!$M$10936+Sens!$M$10937</f>
        <v>573.504054117085</v>
      </c>
    </row>
    <row r="10939" customFormat="false" ht="15" hidden="false" customHeight="false" outlineLevel="0" collapsed="false">
      <c r="A10939" s="5" t="s">
        <v>806</v>
      </c>
      <c r="B10939" s="0" t="s">
        <v>86</v>
      </c>
      <c r="D10939" s="38" t="n">
        <f aca="false">Q!$E$62</f>
        <v>68.836</v>
      </c>
      <c r="E10939" s="38" t="n">
        <f aca="false">Q!$M$62</f>
        <v>132.995</v>
      </c>
      <c r="F10939" s="38" t="n">
        <f aca="false">debt_q2+Sens!$F$10934+Sens!$F$10937</f>
        <v>162.244999</v>
      </c>
      <c r="G10939" s="38" t="n">
        <f aca="false">Sens!$F$10939</f>
        <v>162.244999</v>
      </c>
      <c r="H10939" s="38" t="n">
        <f aca="false">Sens!$G$10939+Sens!$H$10937</f>
        <v>179.087629741943</v>
      </c>
      <c r="I10939" s="38" t="n">
        <f aca="false">Sens!$H$10939+Sens!$I$10937</f>
        <v>197.196761107008</v>
      </c>
      <c r="J10939" s="38" t="n">
        <f aca="false">Sens!$I$10939+Sens!$J$10937</f>
        <v>197.196761107008</v>
      </c>
      <c r="K10939" s="38" t="n">
        <f aca="false">Sens!$J$10939+Sens!$K$10937</f>
        <v>197.196761107008</v>
      </c>
      <c r="L10939" s="38" t="n">
        <f aca="false">Sens!$K$10939+Sens!$L$10937</f>
        <v>197.196761107008</v>
      </c>
      <c r="M10939" s="38" t="n">
        <f aca="false">Sens!$L$10939+Sens!$M$10937</f>
        <v>197.196761107008</v>
      </c>
    </row>
    <row r="10940" customFormat="false" ht="15" hidden="false" customHeight="false" outlineLevel="0" collapsed="false">
      <c r="A10940" s="5" t="s">
        <v>807</v>
      </c>
      <c r="B10940" s="0" t="s">
        <v>86</v>
      </c>
      <c r="D10940" s="38" t="n">
        <f aca="false">Sens!$D$10939-Sens!$D$10938</f>
        <v>-54.193</v>
      </c>
      <c r="E10940" s="38" t="n">
        <f aca="false">Sens!$E$10939-Sens!$E$10938</f>
        <v>10.007</v>
      </c>
      <c r="F10940" s="38" t="n">
        <f aca="false">Sens!$F$10939-Sens!$F$10938</f>
        <v>72.7426983848813</v>
      </c>
      <c r="G10940" s="38" t="n">
        <f aca="false">Sens!$G$10939-Sens!$G$10938</f>
        <v>72.7426983848813</v>
      </c>
      <c r="H10940" s="38" t="n">
        <f aca="false">Sens!$H$10939-Sens!$H$10938</f>
        <v>129.087629741943</v>
      </c>
      <c r="I10940" s="38" t="n">
        <f aca="false">Sens!$I$10939-Sens!$I$10938</f>
        <v>147.196761107008</v>
      </c>
      <c r="J10940" s="38" t="n">
        <f aca="false">Sens!$J$10939-Sens!$J$10938</f>
        <v>125.212125692712</v>
      </c>
      <c r="K10940" s="38" t="n">
        <f aca="false">Sens!$K$10939-Sens!$K$10938</f>
        <v>6.79229205196145</v>
      </c>
      <c r="L10940" s="38" t="n">
        <f aca="false">Sens!$L$10939-Sens!$L$10938</f>
        <v>-170.226665419719</v>
      </c>
      <c r="M10940" s="38" t="n">
        <f aca="false">Sens!$M$10939-Sens!$M$10938</f>
        <v>-376.307293010077</v>
      </c>
    </row>
    <row r="10941" customFormat="false" ht="17.15" hidden="false" customHeight="false" outlineLevel="0" collapsed="false">
      <c r="A10941" s="5" t="s">
        <v>808</v>
      </c>
      <c r="B10941" s="0" t="s">
        <v>86</v>
      </c>
      <c r="F10941" s="38" t="n">
        <f aca="false">debt_q2*kd_book*0.5+iss_2h26*kd_new*iss_t</f>
        <v>3.24888962733561</v>
      </c>
      <c r="H10941" s="38" t="n">
        <f aca="false">debt_q2*kd_book+(Sens!$G$10939-debt_q2)*kd_new</f>
        <v>7.42354172302123</v>
      </c>
      <c r="I10941" s="38" t="n">
        <f aca="false">debt_q2*kd_book+(Sens!$H$10939-debt_q2)*kd_new</f>
        <v>8.48968024898619</v>
      </c>
      <c r="J10941" s="38" t="n">
        <f aca="false">debt_q2*kd_book+(Sens!$I$10939-debt_q2)*kd_new</f>
        <v>9.63598826439483</v>
      </c>
      <c r="K10941" s="38" t="n">
        <f aca="false">debt_q2*kd_book+(Sens!$J$10939-debt_q2)*kd_new</f>
        <v>9.63598826439483</v>
      </c>
      <c r="L10941" s="38" t="n">
        <f aca="false">debt_q2*kd_book+(Sens!$K$10939-debt_q2)*kd_new</f>
        <v>9.63598826439483</v>
      </c>
      <c r="M10941" s="38" t="n">
        <f aca="false">debt_q2*kd_book+(Sens!$L$10939-debt_q2)*kd_new</f>
        <v>9.63598826439483</v>
      </c>
    </row>
    <row r="10942" customFormat="false" ht="17.15" hidden="false" customHeight="false" outlineLevel="0" collapsed="false">
      <c r="A10942" s="5" t="s">
        <v>809</v>
      </c>
      <c r="B10942" s="0" t="s">
        <v>86</v>
      </c>
      <c r="F10942" s="38" t="n">
        <f aca="false">cash_q2*y_cash*0.5</f>
        <v>2.59</v>
      </c>
      <c r="H10942" s="38" t="n">
        <f aca="false">Sens!$G$10938*y_cash</f>
        <v>3.76965165045626</v>
      </c>
      <c r="I10942" s="38" t="n">
        <f aca="false">Sens!$H$10938*y_cash</f>
        <v>2.10589651022864</v>
      </c>
      <c r="J10942" s="38" t="n">
        <f aca="false">Sens!$I$10938*y_cash</f>
        <v>2.10589651022864</v>
      </c>
      <c r="K10942" s="38" t="n">
        <f aca="false">Sens!$J$10938*y_cash</f>
        <v>3.03184385018094</v>
      </c>
      <c r="L10942" s="38" t="n">
        <f aca="false">Sens!$K$10938*y_cash</f>
        <v>8.01944213829919</v>
      </c>
      <c r="M10942" s="38" t="n">
        <f aca="false">Sens!$L$10938*y_cash</f>
        <v>15.4751142339777</v>
      </c>
    </row>
    <row r="10943" customFormat="false" ht="17.15" hidden="false" customHeight="false" outlineLevel="0" collapsed="false">
      <c r="A10943" s="47" t="s">
        <v>810</v>
      </c>
      <c r="B10943" s="14" t="s">
        <v>86</v>
      </c>
      <c r="C10943" s="14"/>
      <c r="D10943" s="14"/>
      <c r="E10943" s="14"/>
      <c r="F10943" s="14"/>
      <c r="G10943" s="48" t="n">
        <f aca="false">SUM(Sens!$G$10932:$K$10932)</f>
        <v>-1.17629205196147</v>
      </c>
      <c r="H10943" s="14"/>
      <c r="I10943" s="14"/>
      <c r="J10943" s="14"/>
      <c r="K10943" s="14"/>
      <c r="L10943" s="14"/>
      <c r="M10943" s="14"/>
      <c r="N10943" s="14"/>
      <c r="O10943" s="14"/>
    </row>
    <row r="10944" customFormat="false" ht="17.15" hidden="false" customHeight="false" outlineLevel="0" collapsed="false">
      <c r="A10944" s="0" t="s">
        <v>776</v>
      </c>
      <c r="B10944" s="0" t="s">
        <v>86</v>
      </c>
      <c r="G10944" s="38" t="n">
        <f aca="false">SUM(Sens!$G$10937:$K$10937)</f>
        <v>34.9517621070079</v>
      </c>
    </row>
    <row r="10945" customFormat="false" ht="17.15" hidden="false" customHeight="false" outlineLevel="0" collapsed="false">
      <c r="A10945" s="24" t="s">
        <v>813</v>
      </c>
      <c r="B10945" s="25" t="s">
        <v>86</v>
      </c>
      <c r="C10945" s="25"/>
      <c r="D10945" s="25"/>
      <c r="E10945" s="25"/>
      <c r="F10945" s="25"/>
      <c r="G10945" s="41" t="n">
        <f aca="false">Sens!$G$10943-(Sens!$G$10932+Sens!$H$10932+Sens!$I$10932+Sens!$J$10932+Sens!$K$10932)</f>
        <v>-2.8421709430404E-014</v>
      </c>
      <c r="H10945" s="25"/>
      <c r="I10945" s="25"/>
      <c r="J10945" s="25"/>
      <c r="K10945" s="25"/>
      <c r="L10945" s="25"/>
      <c r="M10945" s="25"/>
      <c r="N10945" s="25"/>
      <c r="O10945" s="25"/>
    </row>
    <row r="10948" customFormat="false" ht="19.4" hidden="false" customHeight="false" outlineLevel="0" collapsed="false">
      <c r="A10948" s="31" t="s">
        <v>1359</v>
      </c>
    </row>
    <row r="10949" customFormat="false" ht="17.15" hidden="false" customHeight="false" outlineLevel="0" collapsed="false">
      <c r="A10949" s="6" t="s">
        <v>16</v>
      </c>
      <c r="B10949" s="6" t="s">
        <v>17</v>
      </c>
      <c r="C10949" s="20" t="s">
        <v>497</v>
      </c>
      <c r="D10949" s="20" t="s">
        <v>498</v>
      </c>
      <c r="E10949" s="20" t="s">
        <v>580</v>
      </c>
      <c r="F10949" s="20" t="s">
        <v>581</v>
      </c>
      <c r="G10949" s="20" t="s">
        <v>582</v>
      </c>
      <c r="H10949" s="20" t="s">
        <v>583</v>
      </c>
      <c r="I10949" s="20" t="s">
        <v>584</v>
      </c>
      <c r="J10949" s="20" t="s">
        <v>585</v>
      </c>
      <c r="K10949" s="20" t="s">
        <v>586</v>
      </c>
      <c r="L10949" s="20" t="s">
        <v>587</v>
      </c>
      <c r="M10949" s="20" t="s">
        <v>588</v>
      </c>
      <c r="N10949" s="20" t="s">
        <v>589</v>
      </c>
      <c r="O10949" s="20" t="s">
        <v>590</v>
      </c>
      <c r="P10949" s="6" t="s">
        <v>23</v>
      </c>
      <c r="R10949" s="20" t="n">
        <v>2023</v>
      </c>
      <c r="S10949" s="20" t="n">
        <v>2024</v>
      </c>
      <c r="T10949" s="20" t="n">
        <v>2025</v>
      </c>
      <c r="U10949" s="20" t="n">
        <v>2026</v>
      </c>
      <c r="V10949" s="20" t="n">
        <v>2027</v>
      </c>
      <c r="W10949" s="20" t="n">
        <v>2028</v>
      </c>
      <c r="X10949" s="20" t="n">
        <v>2029</v>
      </c>
      <c r="Y10949" s="20" t="n">
        <v>2030</v>
      </c>
      <c r="Z10949" s="20" t="n">
        <v>2031</v>
      </c>
      <c r="AA10949" s="20" t="n">
        <v>2032</v>
      </c>
    </row>
    <row r="10950" customFormat="false" ht="17.15" hidden="false" customHeight="false" outlineLevel="0" collapsed="false">
      <c r="A10950" s="1" t="s">
        <v>915</v>
      </c>
    </row>
    <row r="10951" customFormat="false" ht="17.15" hidden="false" customHeight="false" outlineLevel="0" collapsed="false">
      <c r="A10951" s="0" t="s">
        <v>916</v>
      </c>
      <c r="B10951" s="0" t="s">
        <v>86</v>
      </c>
      <c r="H10951" s="38" t="n">
        <f aca="false">Sens!$H$10885*(1-tax)</f>
        <v>108.712366999254</v>
      </c>
      <c r="I10951" s="38" t="n">
        <f aca="false">Sens!$I$10885*(1-tax)</f>
        <v>125.155462646645</v>
      </c>
      <c r="J10951" s="38" t="n">
        <f aca="false">Sens!$J$10885*(1-tax)</f>
        <v>140.351081455698</v>
      </c>
      <c r="K10951" s="38" t="n">
        <f aca="false">Sens!$K$10885*(1-tax)</f>
        <v>149.924338711229</v>
      </c>
      <c r="L10951" s="38" t="n">
        <f aca="false">Sens!$L$10885*(1-tax)</f>
        <v>158.850263795259</v>
      </c>
      <c r="M10951" s="38" t="n">
        <f aca="false">Sens!$M$10885*(1-tax)</f>
        <v>167.147374140228</v>
      </c>
    </row>
    <row r="10952" customFormat="false" ht="15" hidden="false" customHeight="false" outlineLevel="0" collapsed="false">
      <c r="A10952" s="5" t="s">
        <v>917</v>
      </c>
      <c r="B10952" s="0" t="s">
        <v>86</v>
      </c>
      <c r="H10952" s="38" t="n">
        <f aca="false">Sens!$H$10896</f>
        <v>78.1799395827871</v>
      </c>
      <c r="I10952" s="38" t="n">
        <f aca="false">Sens!$I$10896</f>
        <v>111.171125554384</v>
      </c>
      <c r="J10952" s="38" t="n">
        <f aca="false">Sens!$J$10896</f>
        <v>144.884406220971</v>
      </c>
      <c r="K10952" s="38" t="n">
        <f aca="false">Sens!$K$10896</f>
        <v>178.806419437999</v>
      </c>
      <c r="L10952" s="38" t="n">
        <f aca="false">Sens!$L$10896</f>
        <v>204.341339029663</v>
      </c>
      <c r="M10952" s="38" t="n">
        <f aca="false">Sens!$M$10896</f>
        <v>223.130577995387</v>
      </c>
    </row>
    <row r="10953" customFormat="false" ht="15" hidden="false" customHeight="false" outlineLevel="0" collapsed="false">
      <c r="A10953" s="5" t="s">
        <v>918</v>
      </c>
      <c r="B10953" s="0" t="s">
        <v>86</v>
      </c>
      <c r="H10953" s="38" t="n">
        <f aca="false">Sens!$H$10927</f>
        <v>273.372679834898</v>
      </c>
      <c r="I10953" s="38" t="n">
        <f aca="false">Sens!$I$10927</f>
        <v>286.981812228425</v>
      </c>
      <c r="J10953" s="38" t="n">
        <f aca="false">Sens!$J$10927</f>
        <v>299.316513378366</v>
      </c>
      <c r="K10953" s="38" t="n">
        <f aca="false">Sens!$K$10927</f>
        <v>251.057145512292</v>
      </c>
      <c r="L10953" s="38" t="n">
        <f aca="false">Sens!$L$10927</f>
        <v>234.696330860396</v>
      </c>
      <c r="M10953" s="38" t="n">
        <f aca="false">Sens!$M$10927</f>
        <v>242.291696043352</v>
      </c>
    </row>
    <row r="10954" customFormat="false" ht="15" hidden="false" customHeight="false" outlineLevel="0" collapsed="false">
      <c r="A10954" s="5" t="s">
        <v>919</v>
      </c>
      <c r="B10954" s="0" t="s">
        <v>86</v>
      </c>
      <c r="H10954" s="38" t="n">
        <f aca="false">Sens!$H$10928</f>
        <v>1.6</v>
      </c>
      <c r="I10954" s="38" t="n">
        <f aca="false">Sens!$I$10928</f>
        <v>1.6</v>
      </c>
      <c r="J10954" s="38" t="n">
        <f aca="false">Sens!$J$10928</f>
        <v>1.6</v>
      </c>
      <c r="K10954" s="38" t="n">
        <f aca="false">Sens!$K$10928</f>
        <v>1.6</v>
      </c>
      <c r="L10954" s="38" t="n">
        <f aca="false">Sens!$L$10928</f>
        <v>1.6</v>
      </c>
      <c r="M10954" s="38" t="n">
        <f aca="false">Sens!$M$10928</f>
        <v>1.6</v>
      </c>
    </row>
    <row r="10955" customFormat="false" ht="15" hidden="false" customHeight="false" outlineLevel="0" collapsed="false">
      <c r="A10955" s="5" t="s">
        <v>920</v>
      </c>
      <c r="B10955" s="0" t="s">
        <v>86</v>
      </c>
      <c r="H10955" s="38" t="n">
        <f aca="false">Sens!$H$10922</f>
        <v>11.2928295263397</v>
      </c>
      <c r="I10955" s="38" t="n">
        <f aca="false">Sens!$I$10922</f>
        <v>12.8091546115766</v>
      </c>
      <c r="J10955" s="38" t="n">
        <f aca="false">Sens!$J$10922</f>
        <v>14.2605653162668</v>
      </c>
      <c r="K10955" s="38" t="n">
        <f aca="false">Sens!$K$10922</f>
        <v>15.5327622460396</v>
      </c>
      <c r="L10955" s="38" t="n">
        <f aca="false">Sens!$L$10922</f>
        <v>16.720573737517</v>
      </c>
      <c r="M10955" s="38" t="n">
        <f aca="false">Sens!$M$10922</f>
        <v>17.8283127551536</v>
      </c>
    </row>
    <row r="10956" customFormat="false" ht="17.15" hidden="false" customHeight="false" outlineLevel="0" collapsed="false">
      <c r="A10956" s="1" t="s">
        <v>921</v>
      </c>
      <c r="B10956" s="8" t="s">
        <v>86</v>
      </c>
      <c r="H10956" s="38" t="n">
        <f aca="false">Sens!$H$10951+Sens!$H$10952-Sens!$H$10953+Sens!$H$10955</f>
        <v>-75.1875437265178</v>
      </c>
      <c r="I10956" s="38" t="n">
        <f aca="false">Sens!$I$10951+Sens!$I$10952-Sens!$I$10953+Sens!$I$10955</f>
        <v>-37.8460694158186</v>
      </c>
      <c r="J10956" s="38" t="n">
        <f aca="false">Sens!$J$10951+Sens!$J$10952-Sens!$J$10953+Sens!$J$10955</f>
        <v>0.179539614570221</v>
      </c>
      <c r="K10956" s="38" t="n">
        <f aca="false">Sens!$K$10951+Sens!$K$10952-Sens!$K$10953+Sens!$K$10955</f>
        <v>93.2063748829755</v>
      </c>
      <c r="L10956" s="38" t="n">
        <f aca="false">Sens!$L$10951+Sens!$L$10952-Sens!$L$10953+Sens!$L$10955</f>
        <v>145.215845702043</v>
      </c>
      <c r="M10956" s="38" t="n">
        <f aca="false">Sens!$M$10951+Sens!$M$10952-Sens!$M$10953+Sens!$M$10955</f>
        <v>165.814568847416</v>
      </c>
    </row>
    <row r="10957" customFormat="false" ht="15" hidden="false" customHeight="false" outlineLevel="0" collapsed="false">
      <c r="A10957" s="5" t="s">
        <v>922</v>
      </c>
      <c r="B10957" s="0" t="s">
        <v>57</v>
      </c>
      <c r="H10957" s="40" t="n">
        <f aca="false">1/(1+wacc)^(2027-2026-0.5)</f>
        <v>0.947751320380232</v>
      </c>
      <c r="I10957" s="40" t="n">
        <f aca="false">1/(1+wacc)^(2028-2026-0.5)</f>
        <v>0.851301099754987</v>
      </c>
      <c r="J10957" s="40" t="n">
        <f aca="false">1/(1+wacc)^(2029-2026-0.5)</f>
        <v>0.764666370660713</v>
      </c>
      <c r="K10957" s="40" t="n">
        <f aca="false">1/(1+wacc)^(2030-2026-0.5)</f>
        <v>0.686848235703811</v>
      </c>
      <c r="L10957" s="40" t="n">
        <f aca="false">1/(1+wacc)^(2031-2026-0.5)</f>
        <v>0.616949452715975</v>
      </c>
      <c r="M10957" s="40" t="n">
        <f aca="false">1/(1+wacc)^(2032-2026-0.5)</f>
        <v>0.554164089562688</v>
      </c>
    </row>
    <row r="10958" customFormat="false" ht="15" hidden="false" customHeight="false" outlineLevel="0" collapsed="false">
      <c r="A10958" s="5" t="s">
        <v>923</v>
      </c>
      <c r="B10958" s="0" t="s">
        <v>86</v>
      </c>
      <c r="H10958" s="38" t="n">
        <f aca="false">Sens!$H$10956*Sens!$H$10957</f>
        <v>-71.2590938429537</v>
      </c>
      <c r="I10958" s="38" t="n">
        <f aca="false">Sens!$I$10956*Sens!$I$10957</f>
        <v>-32.2184005150899</v>
      </c>
      <c r="J10958" s="38" t="n">
        <f aca="false">Sens!$J$10956*Sens!$J$10957</f>
        <v>0.137287905463234</v>
      </c>
      <c r="K10958" s="38" t="n">
        <f aca="false">Sens!$K$10956*Sens!$K$10957</f>
        <v>64.0186341447197</v>
      </c>
      <c r="L10958" s="38" t="n">
        <f aca="false">Sens!$L$10956*Sens!$L$10957</f>
        <v>89.590836531563</v>
      </c>
      <c r="M10958" s="38" t="n">
        <f aca="false">Sens!$M$10956*Sens!$M$10957</f>
        <v>91.888479581558</v>
      </c>
    </row>
    <row r="10959" customFormat="false" ht="15" hidden="false" customHeight="false" outlineLevel="0" collapsed="false">
      <c r="A10959" s="5" t="s">
        <v>924</v>
      </c>
      <c r="B10959" s="0" t="s">
        <v>86</v>
      </c>
      <c r="C10959" s="38" t="n">
        <f aca="false">SUM(Sens!$H$10958:$M$10958)</f>
        <v>142.15774380526</v>
      </c>
    </row>
    <row r="10960" customFormat="false" ht="17.15" hidden="false" customHeight="false" outlineLevel="0" collapsed="false">
      <c r="A10960" s="5" t="s">
        <v>925</v>
      </c>
      <c r="B10960" s="0" t="s">
        <v>86</v>
      </c>
      <c r="C10960" s="38" t="n">
        <f aca="false">Sens!$M$10951*(1+tg)*(1-tg/ronic)/(wacc-tg)</f>
        <v>1519.55614802581</v>
      </c>
    </row>
    <row r="10961" customFormat="false" ht="15" hidden="false" customHeight="false" outlineLevel="0" collapsed="false">
      <c r="A10961" s="5" t="s">
        <v>926</v>
      </c>
      <c r="B10961" s="0" t="s">
        <v>86</v>
      </c>
      <c r="C10961" s="38" t="n">
        <f aca="false">Sens!$C$10960/(1+wacc)^6</f>
        <v>798.085700953994</v>
      </c>
    </row>
    <row r="10962" customFormat="false" ht="17.15" hidden="false" customHeight="false" outlineLevel="0" collapsed="false">
      <c r="A10962" s="5" t="s">
        <v>927</v>
      </c>
      <c r="B10962" s="0" t="s">
        <v>86</v>
      </c>
      <c r="C10962" s="38" t="n">
        <f aca="false">Sens!$C$10959+Sens!$C$10961</f>
        <v>940.243444759254</v>
      </c>
    </row>
    <row r="10963" customFormat="false" ht="17.15" hidden="false" customHeight="false" outlineLevel="0" collapsed="false">
      <c r="A10963" s="5" t="s">
        <v>928</v>
      </c>
      <c r="B10963" s="0" t="s">
        <v>52</v>
      </c>
      <c r="C10963" s="13" t="n">
        <f aca="false">Sens!$C$10961/Sens!$C$10962</f>
        <v>0.84880751405647</v>
      </c>
    </row>
    <row r="10964" customFormat="false" ht="17.15" hidden="false" customHeight="false" outlineLevel="0" collapsed="false">
      <c r="A10964" s="5" t="s">
        <v>929</v>
      </c>
      <c r="B10964" s="0" t="s">
        <v>86</v>
      </c>
      <c r="C10964" s="38" t="n">
        <f aca="false">Sens!$G$10940+fin_debt</f>
        <v>97.2636983848813</v>
      </c>
    </row>
    <row r="10965" customFormat="false" ht="17.15" hidden="false" customHeight="false" outlineLevel="0" collapsed="false">
      <c r="A10965" s="5" t="s">
        <v>930</v>
      </c>
      <c r="B10965" s="0" t="s">
        <v>86</v>
      </c>
      <c r="C10965" s="38" t="n">
        <f aca="false">(ant_val*ant_sh+oai_val*oai_sh)*(1-liq_disc)</f>
        <v>178.944</v>
      </c>
    </row>
    <row r="10966" customFormat="false" ht="15" hidden="false" customHeight="false" outlineLevel="0" collapsed="false">
      <c r="A10966" s="5" t="s">
        <v>931</v>
      </c>
      <c r="B10966" s="0" t="s">
        <v>86</v>
      </c>
      <c r="C10966" s="38" t="n">
        <f aca="false">Sens!$C$10962-Sens!$C$10964+Sens!$C$10965</f>
        <v>1021.92374637437</v>
      </c>
    </row>
    <row r="10967" customFormat="false" ht="17.15" hidden="false" customHeight="false" outlineLevel="0" collapsed="false">
      <c r="A10967" s="5" t="s">
        <v>932</v>
      </c>
      <c r="B10967" s="0" t="s">
        <v>27</v>
      </c>
      <c r="C10967" s="30" t="n">
        <f aca="false">Sens!$C$10966/sh_out</f>
        <v>94.7426290736921</v>
      </c>
    </row>
    <row r="10968" customFormat="false" ht="17.15" hidden="false" customHeight="false" outlineLevel="0" collapsed="false">
      <c r="A10968" s="1" t="s">
        <v>933</v>
      </c>
      <c r="B10968" s="8" t="s">
        <v>27</v>
      </c>
      <c r="C10968" s="30" t="n">
        <f aca="false">Sens!$C$10967*(1+ke)^tp_yf-dps*tp_yf</f>
        <v>103.778124320424</v>
      </c>
    </row>
    <row r="10969" customFormat="false" ht="17.15" hidden="false" customHeight="false" outlineLevel="0" collapsed="false">
      <c r="A10969" s="3" t="s">
        <v>934</v>
      </c>
    </row>
    <row r="10970" customFormat="false" ht="17.15" hidden="false" customHeight="false" outlineLevel="0" collapsed="false">
      <c r="A10970" s="5" t="s">
        <v>935</v>
      </c>
      <c r="B10970" s="0" t="s">
        <v>86</v>
      </c>
      <c r="C10970" s="38" t="n">
        <f aca="false">(1-tp_yf)*(Sens!$H$10897+sbc_ab*Sens!$H$10921*Sens!$H$10761/Sens!$H$10838)+tp_yf*(Sens!$I$10897+sbc_ab*Sens!$I$10921*Sens!$I$10761/Sens!$I$10838)</f>
        <v>59.634664536349</v>
      </c>
    </row>
    <row r="10971" customFormat="false" ht="15" hidden="false" customHeight="false" outlineLevel="0" collapsed="false">
      <c r="A10971" s="5" t="s">
        <v>936</v>
      </c>
      <c r="B10971" s="0" t="s">
        <v>57</v>
      </c>
      <c r="C10971" s="30" t="n">
        <f aca="false">m_ads*m_x</f>
        <v>9.11</v>
      </c>
    </row>
    <row r="10972" customFormat="false" ht="17.15" hidden="false" customHeight="false" outlineLevel="0" collapsed="false">
      <c r="A10972" s="5" t="s">
        <v>937</v>
      </c>
      <c r="B10972" s="0" t="s">
        <v>86</v>
      </c>
      <c r="C10972" s="38" t="n">
        <f aca="false">Sens!$C$10970*Sens!$C$10971</f>
        <v>543.271793926139</v>
      </c>
    </row>
    <row r="10973" customFormat="false" ht="17.15" hidden="false" customHeight="false" outlineLevel="0" collapsed="false">
      <c r="A10973" s="5" t="s">
        <v>938</v>
      </c>
      <c r="B10973" s="0" t="s">
        <v>86</v>
      </c>
      <c r="C10973" s="38" t="n">
        <f aca="false">(1-tp_yf)*(Sens!$H$10898+sbc_ab*Sens!$H$10921*(Sens!$H$10768-Sens!$H$10761)/Sens!$H$10838+IF(1=2,1,0)*(1-ext_sh)*Sens!$H$10798)+tp_yf*(Sens!$I$10898+sbc_ab*Sens!$I$10921*(Sens!$I$10768-Sens!$I$10761)/Sens!$I$10838+IF(1=2,1,0)*(1-ext_sh)*Sens!$I$10798)</f>
        <v>46.3546158477624</v>
      </c>
    </row>
    <row r="10974" customFormat="false" ht="17.15" hidden="false" customHeight="false" outlineLevel="0" collapsed="false">
      <c r="A10974" s="5" t="s">
        <v>939</v>
      </c>
      <c r="B10974" s="0" t="s">
        <v>57</v>
      </c>
      <c r="C10974" s="30" t="n">
        <f aca="false">m_retail*m_x</f>
        <v>17.72</v>
      </c>
    </row>
    <row r="10975" customFormat="false" ht="17.15" hidden="false" customHeight="false" outlineLevel="0" collapsed="false">
      <c r="A10975" s="5" t="s">
        <v>940</v>
      </c>
      <c r="B10975" s="0" t="s">
        <v>86</v>
      </c>
      <c r="C10975" s="38" t="n">
        <f aca="false">Sens!$C$10973*Sens!$C$10974</f>
        <v>821.40379282235</v>
      </c>
    </row>
    <row r="10976" customFormat="false" ht="17.15" hidden="false" customHeight="false" outlineLevel="0" collapsed="false">
      <c r="A10976" s="0" t="s">
        <v>941</v>
      </c>
      <c r="B10976" s="0" t="s">
        <v>86</v>
      </c>
      <c r="C10976" s="38" t="n">
        <f aca="false">(1-tp_yf)*(Sens!$H$10899+sbc_ab*Sens!$H$10921*Sens!$H$10836/Sens!$H$10838)+tp_yf*(Sens!$I$10899+sbc_ab*Sens!$I$10921*Sens!$I$10836/Sens!$I$10838)</f>
        <v>96.2439586897193</v>
      </c>
    </row>
    <row r="10977" customFormat="false" ht="17.15" hidden="false" customHeight="false" outlineLevel="0" collapsed="false">
      <c r="A10977" s="0" t="s">
        <v>942</v>
      </c>
      <c r="B10977" s="0" t="s">
        <v>57</v>
      </c>
      <c r="C10977" s="30" t="n">
        <f aca="false">m_cloud*m_x</f>
        <v>13.82</v>
      </c>
    </row>
    <row r="10978" customFormat="false" ht="17.15" hidden="false" customHeight="false" outlineLevel="0" collapsed="false">
      <c r="A10978" s="0" t="s">
        <v>943</v>
      </c>
      <c r="B10978" s="0" t="s">
        <v>86</v>
      </c>
      <c r="C10978" s="38" t="n">
        <f aca="false">Sens!$C$10976*Sens!$C$10977</f>
        <v>1330.09150909192</v>
      </c>
    </row>
    <row r="10979" customFormat="false" ht="17.15" hidden="false" customHeight="false" outlineLevel="0" collapsed="false">
      <c r="A10979" s="0" t="s">
        <v>944</v>
      </c>
      <c r="B10979" s="0" t="s">
        <v>86</v>
      </c>
      <c r="H10979" s="38" t="n">
        <f aca="false">Sens!$H$10817-tax*Sens!$H$10818-ext_sh*Sens!$H$10805</f>
        <v>-115.885394236225</v>
      </c>
      <c r="I10979" s="38" t="n">
        <f aca="false">Sens!$I$10817-tax*Sens!$I$10818-ext_sh*Sens!$I$10805</f>
        <v>-89.5935137276694</v>
      </c>
      <c r="J10979" s="38" t="n">
        <f aca="false">Sens!$J$10817-tax*Sens!$J$10818-ext_sh*Sens!$J$10805</f>
        <v>-62.3510647460279</v>
      </c>
      <c r="K10979" s="38" t="n">
        <f aca="false">Sens!$K$10817-tax*Sens!$K$10818-ext_sh*Sens!$K$10805</f>
        <v>8.85932514072565</v>
      </c>
      <c r="L10979" s="38" t="n">
        <f aca="false">Sens!$L$10817-tax*Sens!$L$10818-ext_sh*Sens!$L$10805</f>
        <v>45.6968344120177</v>
      </c>
      <c r="M10979" s="38" t="n">
        <f aca="false">Sens!$M$10817-tax*Sens!$M$10818-ext_sh*Sens!$M$10805</f>
        <v>54.7466688757428</v>
      </c>
    </row>
    <row r="10980" customFormat="false" ht="17.15" hidden="false" customHeight="false" outlineLevel="0" collapsed="false">
      <c r="A10980" s="5" t="s">
        <v>945</v>
      </c>
      <c r="B10980" s="0" t="s">
        <v>86</v>
      </c>
      <c r="H10980" s="38" t="n">
        <f aca="false">Sens!$H$10979*Sens!$H$10957</f>
        <v>-109.830535400166</v>
      </c>
      <c r="I10980" s="38" t="n">
        <f aca="false">Sens!$I$10979*Sens!$I$10957</f>
        <v>-76.2710567672785</v>
      </c>
      <c r="J10980" s="38" t="n">
        <f aca="false">Sens!$J$10979*Sens!$J$10957</f>
        <v>-47.6777623861763</v>
      </c>
      <c r="K10980" s="38" t="n">
        <f aca="false">Sens!$K$10979*Sens!$K$10957</f>
        <v>6.08501184243383</v>
      </c>
      <c r="L10980" s="38" t="n">
        <f aca="false">Sens!$L$10979*Sens!$L$10957</f>
        <v>28.1926369813469</v>
      </c>
      <c r="M10980" s="38" t="n">
        <f aca="false">Sens!$M$10979*Sens!$M$10957</f>
        <v>30.338637914116</v>
      </c>
    </row>
    <row r="10981" customFormat="false" ht="17.15" hidden="false" customHeight="false" outlineLevel="0" collapsed="false">
      <c r="A10981" s="5" t="s">
        <v>946</v>
      </c>
      <c r="B10981" s="0" t="s">
        <v>86</v>
      </c>
      <c r="C10981" s="38" t="n">
        <f aca="false">Sens!$M$10818*(1-tax)*(1+tg)*(1-tg/ronic)/(wacc-tg)</f>
        <v>391.533160655061</v>
      </c>
    </row>
    <row r="10982" customFormat="false" ht="17.15" hidden="false" customHeight="false" outlineLevel="0" collapsed="false">
      <c r="A10982" s="0" t="s">
        <v>947</v>
      </c>
      <c r="B10982" s="0" t="s">
        <v>86</v>
      </c>
      <c r="C10982" s="38" t="n">
        <f aca="false">(SUM(Sens!$I$10980:$M$10980)+Sens!$C$10981/(1+wacc)^6)*(1+wacc)^tp_yf</f>
        <v>159.796867964901</v>
      </c>
    </row>
    <row r="10983" customFormat="false" ht="17.15" hidden="false" customHeight="false" outlineLevel="0" collapsed="false">
      <c r="A10983" s="5" t="s">
        <v>948</v>
      </c>
      <c r="B10983" s="0" t="s">
        <v>86</v>
      </c>
      <c r="C10983" s="38" t="n">
        <f aca="false">(1-tp_yf)*(Sens!$H$10900)+tp_yf*(Sens!$I$10900)</f>
        <v>74.6707041238437</v>
      </c>
    </row>
    <row r="10984" customFormat="false" ht="17.15" hidden="false" customHeight="false" outlineLevel="0" collapsed="false">
      <c r="A10984" s="5" t="s">
        <v>949</v>
      </c>
      <c r="B10984" s="0" t="s">
        <v>86</v>
      </c>
      <c r="C10984" s="38" t="n">
        <f aca="false">Sens!$C$10983*m_ai</f>
        <v>448.024224743062</v>
      </c>
    </row>
    <row r="10985" customFormat="false" ht="17.15" hidden="false" customHeight="false" outlineLevel="0" collapsed="false">
      <c r="A10985" s="0" t="s">
        <v>950</v>
      </c>
      <c r="B10985" s="0" t="s">
        <v>86</v>
      </c>
      <c r="C10985" s="38" t="n">
        <f aca="false">IF(ai_leg=1,Sens!$C$10982,Sens!$C$10984)</f>
        <v>159.796867964901</v>
      </c>
    </row>
    <row r="10986" customFormat="false" ht="17.15" hidden="false" customHeight="false" outlineLevel="0" collapsed="false">
      <c r="A10986" s="5" t="s">
        <v>951</v>
      </c>
      <c r="B10986" s="0" t="s">
        <v>86</v>
      </c>
      <c r="C10986" s="38" t="n">
        <f aca="false">Sens!$C$10972+Sens!$C$10975+Sens!$C$10978+Sens!$C$10985</f>
        <v>2854.56396380531</v>
      </c>
    </row>
    <row r="10987" customFormat="false" ht="17.15" hidden="false" customHeight="false" outlineLevel="0" collapsed="false">
      <c r="A10987" s="5" t="s">
        <v>952</v>
      </c>
      <c r="B10987" s="0" t="s">
        <v>86</v>
      </c>
      <c r="C10987" s="38" t="n">
        <f aca="false">Sens!$H$10940+fin_debt</f>
        <v>153.608629741943</v>
      </c>
    </row>
    <row r="10988" customFormat="false" ht="15" hidden="false" customHeight="false" outlineLevel="0" collapsed="false">
      <c r="A10988" s="5" t="s">
        <v>953</v>
      </c>
      <c r="B10988" s="0" t="s">
        <v>86</v>
      </c>
      <c r="C10988" s="38" t="n">
        <f aca="false">Sens!$C$10986-Sens!$C$10987+Sens!$C$10965</f>
        <v>2879.89933406337</v>
      </c>
    </row>
    <row r="10989" customFormat="false" ht="15" hidden="false" customHeight="false" outlineLevel="0" collapsed="false">
      <c r="A10989" s="3" t="s">
        <v>954</v>
      </c>
      <c r="B10989" s="8" t="s">
        <v>27</v>
      </c>
      <c r="C10989" s="30" t="n">
        <f aca="false">Sens!$C$10988/sh_val</f>
        <v>261.089515136502</v>
      </c>
    </row>
    <row r="10990" customFormat="false" ht="17.15" hidden="false" customHeight="false" outlineLevel="0" collapsed="false">
      <c r="A10990" s="47" t="s">
        <v>955</v>
      </c>
      <c r="B10990" s="14" t="s">
        <v>27</v>
      </c>
      <c r="C10990" s="44" t="n">
        <f aca="false">w_dcf*Sens!$C$10968+(1-w_dcf)*Sens!$C$10989</f>
        <v>182.433819728463</v>
      </c>
      <c r="D10990" s="14"/>
      <c r="E10990" s="14"/>
      <c r="F10990" s="14"/>
      <c r="G10990" s="14"/>
      <c r="H10990" s="14"/>
      <c r="I10990" s="14"/>
      <c r="J10990" s="14"/>
      <c r="K10990" s="14"/>
      <c r="L10990" s="14"/>
      <c r="M10990" s="14"/>
      <c r="N10990" s="14"/>
      <c r="O10990" s="14"/>
    </row>
    <row r="10991" customFormat="false" ht="17.15" hidden="false" customHeight="false" outlineLevel="0" collapsed="false">
      <c r="A10991" s="5" t="s">
        <v>956</v>
      </c>
      <c r="B10991" s="0" t="s">
        <v>27</v>
      </c>
      <c r="C10991" s="30" t="n">
        <f aca="false">v022_wdcf*Sens!$C$10968+(1-v022_wdcf)*Sens!$C$10989</f>
        <v>190.299389269267</v>
      </c>
    </row>
    <row r="10992" customFormat="false" ht="17.15" hidden="false" customHeight="false" outlineLevel="0" collapsed="false">
      <c r="A10992" s="5" t="s">
        <v>957</v>
      </c>
      <c r="B10992" s="0" t="s">
        <v>27</v>
      </c>
      <c r="C10992" s="30" t="n">
        <f aca="false">(Sens!$C$10988-Sens!$C$10985+Sens!$C$10984)/sh_val</f>
        <v>287.219991275092</v>
      </c>
    </row>
    <row r="10995" customFormat="false" ht="19.4" hidden="false" customHeight="false" outlineLevel="0" collapsed="false">
      <c r="A10995" s="31" t="s">
        <v>1360</v>
      </c>
    </row>
    <row r="10996" customFormat="false" ht="17.15" hidden="false" customHeight="false" outlineLevel="0" collapsed="false">
      <c r="A10996" s="6" t="s">
        <v>16</v>
      </c>
      <c r="B10996" s="6" t="s">
        <v>17</v>
      </c>
      <c r="C10996" s="20" t="s">
        <v>497</v>
      </c>
      <c r="D10996" s="20" t="s">
        <v>498</v>
      </c>
      <c r="E10996" s="20" t="s">
        <v>580</v>
      </c>
      <c r="F10996" s="20" t="s">
        <v>581</v>
      </c>
      <c r="G10996" s="20" t="s">
        <v>582</v>
      </c>
      <c r="H10996" s="20" t="s">
        <v>583</v>
      </c>
      <c r="I10996" s="20" t="s">
        <v>584</v>
      </c>
      <c r="J10996" s="20" t="s">
        <v>585</v>
      </c>
      <c r="K10996" s="20" t="s">
        <v>586</v>
      </c>
      <c r="L10996" s="20" t="s">
        <v>587</v>
      </c>
      <c r="M10996" s="20" t="s">
        <v>588</v>
      </c>
      <c r="N10996" s="20" t="s">
        <v>589</v>
      </c>
      <c r="O10996" s="20" t="s">
        <v>590</v>
      </c>
      <c r="P10996" s="6" t="s">
        <v>23</v>
      </c>
      <c r="R10996" s="20" t="n">
        <v>2023</v>
      </c>
      <c r="S10996" s="20" t="n">
        <v>2024</v>
      </c>
      <c r="T10996" s="20" t="n">
        <v>2025</v>
      </c>
      <c r="U10996" s="20" t="n">
        <v>2026</v>
      </c>
      <c r="V10996" s="20" t="n">
        <v>2027</v>
      </c>
      <c r="W10996" s="20" t="n">
        <v>2028</v>
      </c>
      <c r="X10996" s="20" t="n">
        <v>2029</v>
      </c>
      <c r="Y10996" s="20" t="n">
        <v>2030</v>
      </c>
      <c r="Z10996" s="20" t="n">
        <v>2031</v>
      </c>
      <c r="AA10996" s="20" t="n">
        <v>2032</v>
      </c>
    </row>
    <row r="10997" customFormat="false" ht="17.15" hidden="false" customHeight="false" outlineLevel="0" collapsed="false">
      <c r="A10997" s="1" t="s">
        <v>666</v>
      </c>
    </row>
    <row r="10998" customFormat="false" ht="17.15" hidden="false" customHeight="false" outlineLevel="0" collapsed="false">
      <c r="A10998" s="0" t="s">
        <v>519</v>
      </c>
      <c r="B10998" s="0" t="s">
        <v>86</v>
      </c>
      <c r="C10998" s="38" t="n">
        <f aca="false">Q!$D$10</f>
        <v>247.029</v>
      </c>
      <c r="D10998" s="38" t="n">
        <f aca="false">Q!$E$10</f>
        <v>269.287</v>
      </c>
      <c r="E10998" s="38" t="n">
        <f aca="false">Q!$P$10</f>
        <v>134.686</v>
      </c>
      <c r="F10998" s="38" t="n">
        <f aca="false">Sens!$O$10998*(1+Sens!$F$10999)*Sens!$F$11010</f>
        <v>158.293876822267</v>
      </c>
      <c r="G10998" s="38" t="n">
        <f aca="false">Sens!$E$10998+Sens!$F$10998</f>
        <v>292.979876822267</v>
      </c>
      <c r="H10998" s="38" t="n">
        <f aca="false">Sens!$G$10998*(1+Sens!$H$10999)</f>
        <v>318.184543087396</v>
      </c>
      <c r="I10998" s="38" t="n">
        <f aca="false">Sens!$H$10998*(1+Sens!$I$10999)</f>
        <v>341.736278761793</v>
      </c>
      <c r="J10998" s="38" t="n">
        <f aca="false">Sens!$I$10998*(1+Sens!$J$10999)</f>
        <v>362.927192787048</v>
      </c>
      <c r="K10998" s="38" t="n">
        <f aca="false">Sens!$J$10998*(1+Sens!$K$10999)</f>
        <v>381.0735524264</v>
      </c>
      <c r="L10998" s="38" t="n">
        <f aca="false">Sens!$K$10998*(1+Sens!$L$10999)</f>
        <v>400.12723004772</v>
      </c>
      <c r="M10998" s="38" t="n">
        <f aca="false">Sens!$L$10998*(1+Sens!$M$10999)</f>
        <v>420.133591550106</v>
      </c>
      <c r="N10998" s="38" t="n">
        <f aca="false">Q!$N$10</f>
        <v>118.892</v>
      </c>
      <c r="O10998" s="38" t="n">
        <f aca="false">Q!$O$10</f>
        <v>150.395</v>
      </c>
      <c r="P10998" s="8" t="s">
        <v>667</v>
      </c>
    </row>
    <row r="10999" customFormat="false" ht="17.15" hidden="false" customHeight="false" outlineLevel="0" collapsed="false">
      <c r="A10999" s="0" t="s">
        <v>668</v>
      </c>
      <c r="B10999" s="0" t="s">
        <v>52</v>
      </c>
      <c r="E10999" s="13" t="n">
        <f aca="false">Sens!$E$10998/Sens!$N$10998-1</f>
        <v>0.132843252699929</v>
      </c>
      <c r="F10999" s="13" t="n">
        <f aca="false">Sens!$O$10998/(Q!$F$10+Q!$G$10)-1</f>
        <v>0.0980382135842941</v>
      </c>
      <c r="G10999" s="13" t="n">
        <f aca="false">Sens!$G$10998/Sens!$D$10998-1</f>
        <v>0.0879837378791657</v>
      </c>
      <c r="H10999" s="13" t="n">
        <f aca="false">Sens!$F$10999+(g_os-Sens!$F$10999)*1/4</f>
        <v>0.0860286601882206</v>
      </c>
      <c r="I10999" s="13" t="n">
        <f aca="false">Sens!$F$10999+(g_os-Sens!$F$10999)*2/4</f>
        <v>0.074019106792147</v>
      </c>
      <c r="J10999" s="13" t="n">
        <f aca="false">Sens!$F$10999+(g_os-Sens!$F$10999)*3/4</f>
        <v>0.0620095533960735</v>
      </c>
      <c r="K10999" s="13" t="n">
        <f aca="false">Sens!$F$10999+(g_os-Sens!$F$10999)*4/4</f>
        <v>0.05</v>
      </c>
      <c r="L10999" s="13" t="n">
        <f aca="false">g_os</f>
        <v>0.05</v>
      </c>
      <c r="M10999" s="13" t="n">
        <f aca="false">g_os</f>
        <v>0.05</v>
      </c>
      <c r="P10999" s="8" t="s">
        <v>669</v>
      </c>
    </row>
    <row r="11000" customFormat="false" ht="17.15" hidden="false" customHeight="false" outlineLevel="0" collapsed="false">
      <c r="A11000" s="0" t="s">
        <v>520</v>
      </c>
      <c r="B11000" s="0" t="s">
        <v>86</v>
      </c>
      <c r="C11000" s="38" t="n">
        <f aca="false">Q!$D$11</f>
        <v>21.215</v>
      </c>
      <c r="D11000" s="38" t="n">
        <f aca="false">Q!$E$11</f>
        <v>22.561</v>
      </c>
      <c r="E11000" s="38" t="n">
        <f aca="false">Q!$P$11</f>
        <v>11.579</v>
      </c>
      <c r="F11000" s="38" t="n">
        <f aca="false">Sens!$O$11000*(1+Sens!$F$11001)*Sens!$F$11010</f>
        <v>11.5938724610325</v>
      </c>
      <c r="G11000" s="38" t="n">
        <f aca="false">Sens!$E$11000+Sens!$F$11000</f>
        <v>23.1728724610325</v>
      </c>
      <c r="H11000" s="38" t="n">
        <f aca="false">Sens!$G$11000*(1+Sens!$H$11001)</f>
        <v>24.353392759506</v>
      </c>
      <c r="I11000" s="38" t="n">
        <f aca="false">Sens!$H$11000*(1+Sens!$I$11001)</f>
        <v>25.4240338872015</v>
      </c>
      <c r="J11000" s="38" t="n">
        <f aca="false">Sens!$I$11000*(1+Sens!$J$11001)</f>
        <v>26.3642491017174</v>
      </c>
      <c r="K11000" s="38" t="n">
        <f aca="false">Sens!$J$11000*(1+Sens!$K$11001)</f>
        <v>27.155176574769</v>
      </c>
      <c r="L11000" s="38" t="n">
        <f aca="false">Sens!$K$11000*(1+Sens!$L$11001)</f>
        <v>27.969831872012</v>
      </c>
      <c r="M11000" s="38" t="n">
        <f aca="false">Sens!$L$11000*(1+Sens!$M$11001)</f>
        <v>28.8089268281724</v>
      </c>
      <c r="N11000" s="38" t="n">
        <f aca="false">Q!$N$11</f>
        <v>11.128</v>
      </c>
      <c r="O11000" s="38" t="n">
        <f aca="false">Q!$O$11</f>
        <v>11.433</v>
      </c>
      <c r="P11000" s="8" t="s">
        <v>667</v>
      </c>
    </row>
    <row r="11001" customFormat="false" ht="17.15" hidden="false" customHeight="false" outlineLevel="0" collapsed="false">
      <c r="A11001" s="0" t="s">
        <v>670</v>
      </c>
      <c r="B11001" s="0" t="s">
        <v>52</v>
      </c>
      <c r="E11001" s="13" t="n">
        <f aca="false">Sens!$E$11000/Sens!$N$11000-1</f>
        <v>0.0405283968368082</v>
      </c>
      <c r="F11001" s="13" t="n">
        <f aca="false">Sens!$O$11000/(Q!$F$11+Q!$G$11)-1</f>
        <v>0.0579254187100955</v>
      </c>
      <c r="G11001" s="13" t="n">
        <f aca="false">Sens!$G$11000/Sens!$D$11000-1</f>
        <v>0.0271208040881397</v>
      </c>
      <c r="H11001" s="13" t="n">
        <f aca="false">Sens!$F$11001+(g_ps-Sens!$F$11001)*1/4</f>
        <v>0.0509440640325716</v>
      </c>
      <c r="I11001" s="13" t="n">
        <f aca="false">Sens!$F$11001+(g_ps-Sens!$F$11001)*2/4</f>
        <v>0.0439627093550477</v>
      </c>
      <c r="J11001" s="13" t="n">
        <f aca="false">Sens!$F$11001+(g_ps-Sens!$F$11001)*3/4</f>
        <v>0.0369813546775239</v>
      </c>
      <c r="K11001" s="13" t="n">
        <f aca="false">Sens!$F$11001+(g_ps-Sens!$F$11001)*4/4</f>
        <v>0.03</v>
      </c>
      <c r="L11001" s="13" t="n">
        <f aca="false">g_ps</f>
        <v>0.03</v>
      </c>
      <c r="M11001" s="13" t="n">
        <f aca="false">g_ps</f>
        <v>0.03</v>
      </c>
      <c r="P11001" s="8" t="s">
        <v>671</v>
      </c>
    </row>
    <row r="11002" customFormat="false" ht="17.15" hidden="false" customHeight="false" outlineLevel="0" collapsed="false">
      <c r="A11002" s="0" t="s">
        <v>521</v>
      </c>
      <c r="B11002" s="0" t="s">
        <v>86</v>
      </c>
      <c r="C11002" s="38" t="n">
        <f aca="false">Q!$D$12</f>
        <v>156.146</v>
      </c>
      <c r="D11002" s="38" t="n">
        <f aca="false">Q!$E$12</f>
        <v>172.162</v>
      </c>
      <c r="E11002" s="38" t="n">
        <f aca="false">Q!$P$12</f>
        <v>88.358</v>
      </c>
      <c r="F11002" s="38" t="n">
        <f aca="false">Sens!$O$11002*(1+Sens!$F$11003)*Sens!$F$11010</f>
        <v>102.004388260171</v>
      </c>
      <c r="G11002" s="38" t="n">
        <f aca="false">Sens!$E$11002+Sens!$F$11002</f>
        <v>190.362388260171</v>
      </c>
      <c r="H11002" s="38" t="n">
        <f aca="false">Sens!$G$11002*(1+Sens!$H$11003)</f>
        <v>210.343106588311</v>
      </c>
      <c r="I11002" s="38" t="n">
        <f aca="false">Sens!$H$11002*(1+Sens!$I$11003)</f>
        <v>229.969728494648</v>
      </c>
      <c r="J11002" s="38" t="n">
        <f aca="false">Sens!$I$11002*(1+Sens!$J$11003)</f>
        <v>248.747636972598</v>
      </c>
      <c r="K11002" s="38" t="n">
        <f aca="false">Sens!$J$11002*(1+Sens!$K$11003)</f>
        <v>266.15997156068</v>
      </c>
      <c r="L11002" s="38" t="n">
        <f aca="false">Sens!$K$11002*(1+Sens!$L$11003)</f>
        <v>284.791169569927</v>
      </c>
      <c r="M11002" s="38" t="n">
        <f aca="false">Sens!$L$11002*(1+Sens!$M$11003)</f>
        <v>304.726551439822</v>
      </c>
      <c r="N11002" s="38" t="n">
        <f aca="false">Q!$N$12</f>
        <v>76.86</v>
      </c>
      <c r="O11002" s="38" t="n">
        <f aca="false">Q!$O$12</f>
        <v>95.302</v>
      </c>
      <c r="P11002" s="8" t="s">
        <v>667</v>
      </c>
    </row>
    <row r="11003" customFormat="false" ht="17.15" hidden="false" customHeight="false" outlineLevel="0" collapsed="false">
      <c r="A11003" s="0" t="s">
        <v>672</v>
      </c>
      <c r="B11003" s="0" t="s">
        <v>52</v>
      </c>
      <c r="E11003" s="13" t="n">
        <f aca="false">Sens!$E$11002/Sens!$N$11002-1</f>
        <v>0.1495966692688</v>
      </c>
      <c r="F11003" s="13" t="n">
        <f aca="false">Sens!$O$11002/(Q!$F$12+Q!$G$12)-1</f>
        <v>0.11661530890813</v>
      </c>
      <c r="G11003" s="13" t="n">
        <f aca="false">Sens!$G$11002/Sens!$D$11002-1</f>
        <v>0.105716640490767</v>
      </c>
      <c r="H11003" s="13" t="n">
        <f aca="false">Sens!$F$11003+(g_sp-Sens!$F$11003)*1/4</f>
        <v>0.104961481681098</v>
      </c>
      <c r="I11003" s="13" t="n">
        <f aca="false">Sens!$F$11003+(g_sp-Sens!$F$11003)*2/4</f>
        <v>0.0933076544540651</v>
      </c>
      <c r="J11003" s="13" t="n">
        <f aca="false">Sens!$F$11003+(g_sp-Sens!$F$11003)*3/4</f>
        <v>0.0816538272270325</v>
      </c>
      <c r="K11003" s="13" t="n">
        <f aca="false">Sens!$F$11003+(g_sp-Sens!$F$11003)*4/4</f>
        <v>0.07</v>
      </c>
      <c r="L11003" s="13" t="n">
        <f aca="false">g_sp</f>
        <v>0.07</v>
      </c>
      <c r="M11003" s="13" t="n">
        <f aca="false">g_sp</f>
        <v>0.07</v>
      </c>
      <c r="P11003" s="8" t="s">
        <v>673</v>
      </c>
    </row>
    <row r="11004" customFormat="false" ht="17.15" hidden="false" customHeight="false" outlineLevel="0" collapsed="false">
      <c r="A11004" s="0" t="s">
        <v>522</v>
      </c>
      <c r="B11004" s="0" t="s">
        <v>86</v>
      </c>
      <c r="C11004" s="38" t="n">
        <f aca="false">Q!$D$13</f>
        <v>56.214</v>
      </c>
      <c r="D11004" s="38" t="n">
        <f aca="false">Q!$E$13</f>
        <v>68.635</v>
      </c>
      <c r="E11004" s="38" t="n">
        <f aca="false">Q!$P$13</f>
        <v>37.052</v>
      </c>
      <c r="F11004" s="38" t="n">
        <f aca="false">Sens!$O$11004*(1+Sens!$F$11005)*Sens!$F$11010</f>
        <v>46.1572219944148</v>
      </c>
      <c r="G11004" s="38" t="n">
        <f aca="false">Sens!$E$11004+Sens!$F$11004</f>
        <v>83.2092219944148</v>
      </c>
      <c r="H11004" s="38" t="n">
        <f aca="false">Sens!$G$11004*(1+Sens!$H$11005)</f>
        <v>99.8969223878976</v>
      </c>
      <c r="I11004" s="38" t="n">
        <f aca="false">Sens!$H$11004*(1+Sens!$I$11005)</f>
        <v>116.583111095496</v>
      </c>
      <c r="J11004" s="38" t="n">
        <f aca="false">Sens!$I$11004*(1+Sens!$J$11005)</f>
        <v>132.148941941952</v>
      </c>
      <c r="K11004" s="38" t="n">
        <f aca="false">Sens!$J$11004*(1+Sens!$K$11005)</f>
        <v>145.363836136147</v>
      </c>
      <c r="L11004" s="38" t="n">
        <f aca="false">Sens!$K$11004*(1+Sens!$L$11005)</f>
        <v>159.900219749762</v>
      </c>
      <c r="M11004" s="38" t="n">
        <f aca="false">Sens!$L$11004*(1+Sens!$M$11005)</f>
        <v>175.890241724738</v>
      </c>
      <c r="N11004" s="38" t="n">
        <f aca="false">Q!$N$13</f>
        <v>29.615</v>
      </c>
      <c r="O11004" s="38" t="n">
        <f aca="false">Q!$O$13</f>
        <v>39.02</v>
      </c>
      <c r="P11004" s="8" t="s">
        <v>667</v>
      </c>
    </row>
    <row r="11005" customFormat="false" ht="17.15" hidden="false" customHeight="false" outlineLevel="0" collapsed="false">
      <c r="A11005" s="0" t="s">
        <v>674</v>
      </c>
      <c r="B11005" s="0" t="s">
        <v>52</v>
      </c>
      <c r="E11005" s="13" t="n">
        <f aca="false">Sens!$E$11004/Sens!$N$11004-1</f>
        <v>0.25112274185379</v>
      </c>
      <c r="F11005" s="13" t="n">
        <f aca="false">Sens!$O$11004/(Q!$F$13+Q!$G$13)-1</f>
        <v>0.234068123596572</v>
      </c>
      <c r="G11005" s="13" t="n">
        <f aca="false">Sens!$G$11004/Sens!$D$11004-1</f>
        <v>0.212343876949294</v>
      </c>
      <c r="H11005" s="13" t="n">
        <f aca="false">Sens!$F$11005+(g_ad-Sens!$F$11005)*1/4</f>
        <v>0.200551092697429</v>
      </c>
      <c r="I11005" s="13" t="n">
        <f aca="false">Sens!$F$11005+(g_ad-Sens!$F$11005)*2/4</f>
        <v>0.167034061798286</v>
      </c>
      <c r="J11005" s="13" t="n">
        <f aca="false">Sens!$F$11005+(g_ad-Sens!$F$11005)*3/4</f>
        <v>0.133517030899143</v>
      </c>
      <c r="K11005" s="13" t="n">
        <f aca="false">Sens!$F$11005+(g_ad-Sens!$F$11005)*4/4</f>
        <v>0.1</v>
      </c>
      <c r="L11005" s="13" t="n">
        <f aca="false">g_ad</f>
        <v>0.1</v>
      </c>
      <c r="M11005" s="13" t="n">
        <f aca="false">g_ad</f>
        <v>0.1</v>
      </c>
      <c r="P11005" s="8" t="s">
        <v>675</v>
      </c>
    </row>
    <row r="11006" customFormat="false" ht="17.15" hidden="false" customHeight="false" outlineLevel="0" collapsed="false">
      <c r="A11006" s="0" t="s">
        <v>523</v>
      </c>
      <c r="B11006" s="0" t="s">
        <v>86</v>
      </c>
      <c r="C11006" s="38" t="n">
        <f aca="false">Q!$D$14</f>
        <v>44.374</v>
      </c>
      <c r="D11006" s="38" t="n">
        <f aca="false">Q!$E$14</f>
        <v>49.619</v>
      </c>
      <c r="E11006" s="38" t="n">
        <f aca="false">Q!$P$14</f>
        <v>27.157</v>
      </c>
      <c r="F11006" s="38" t="n">
        <f aca="false">Sens!$O$11006*(1+Sens!$F$11007)*Sens!$F$11010</f>
        <v>27.7764165988154</v>
      </c>
      <c r="G11006" s="38" t="n">
        <f aca="false">Sens!$E$11006+Sens!$F$11006</f>
        <v>54.9334165988154</v>
      </c>
      <c r="H11006" s="38" t="n">
        <f aca="false">Sens!$G$11006*(1+Sens!$H$11007)</f>
        <v>61.1564112561829</v>
      </c>
      <c r="I11006" s="38" t="n">
        <f aca="false">Sens!$H$11006*(1+Sens!$I$11007)</f>
        <v>67.2020282103945</v>
      </c>
      <c r="J11006" s="38" t="n">
        <f aca="false">Sens!$I$11006*(1+Sens!$J$11007)</f>
        <v>72.8757274028885</v>
      </c>
      <c r="K11006" s="38" t="n">
        <f aca="false">Sens!$J$11006*(1+Sens!$K$11007)</f>
        <v>77.9770283210907</v>
      </c>
      <c r="L11006" s="38" t="n">
        <f aca="false">Sens!$K$11006*(1+Sens!$L$11007)</f>
        <v>83.4354203035671</v>
      </c>
      <c r="M11006" s="38" t="n">
        <f aca="false">Sens!$L$11006*(1+Sens!$M$11007)</f>
        <v>89.2758997248168</v>
      </c>
      <c r="N11006" s="38" t="n">
        <f aca="false">Q!$N$14</f>
        <v>23.923</v>
      </c>
      <c r="O11006" s="38" t="n">
        <f aca="false">Q!$O$14</f>
        <v>25.696</v>
      </c>
      <c r="P11006" s="8" t="s">
        <v>667</v>
      </c>
    </row>
    <row r="11007" customFormat="false" ht="17.15" hidden="false" customHeight="false" outlineLevel="0" collapsed="false">
      <c r="A11007" s="0" t="s">
        <v>676</v>
      </c>
      <c r="B11007" s="0" t="s">
        <v>52</v>
      </c>
      <c r="E11007" s="13" t="n">
        <f aca="false">Sens!$E$11006/Sens!$N$11006-1</f>
        <v>0.135183714417088</v>
      </c>
      <c r="F11007" s="13" t="n">
        <f aca="false">Sens!$O$11006/(Q!$F$14+Q!$G$14)-1</f>
        <v>0.127709997366804</v>
      </c>
      <c r="G11007" s="13" t="n">
        <f aca="false">Sens!$G$11006/Sens!$D$11006-1</f>
        <v>0.107104468022641</v>
      </c>
      <c r="H11007" s="13" t="n">
        <f aca="false">Sens!$F$11007+(g_sub-Sens!$F$11007)*1/4</f>
        <v>0.113282498025103</v>
      </c>
      <c r="I11007" s="13" t="n">
        <f aca="false">Sens!$F$11007+(g_sub-Sens!$F$11007)*2/4</f>
        <v>0.0988549986834021</v>
      </c>
      <c r="J11007" s="13" t="n">
        <f aca="false">Sens!$F$11007+(g_sub-Sens!$F$11007)*3/4</f>
        <v>0.084427499341701</v>
      </c>
      <c r="K11007" s="13" t="n">
        <f aca="false">Sens!$F$11007+(g_sub-Sens!$F$11007)*4/4</f>
        <v>0.07</v>
      </c>
      <c r="L11007" s="13" t="n">
        <f aca="false">g_sub</f>
        <v>0.07</v>
      </c>
      <c r="M11007" s="13" t="n">
        <f aca="false">g_sub</f>
        <v>0.07</v>
      </c>
      <c r="P11007" s="8" t="s">
        <v>677</v>
      </c>
    </row>
    <row r="11008" customFormat="false" ht="17.15" hidden="false" customHeight="false" outlineLevel="0" collapsed="false">
      <c r="A11008" s="0" t="s">
        <v>524</v>
      </c>
      <c r="B11008" s="0" t="s">
        <v>86</v>
      </c>
      <c r="C11008" s="38" t="n">
        <f aca="false">Q!$D$15</f>
        <v>5.425</v>
      </c>
      <c r="D11008" s="38" t="n">
        <f aca="false">Q!$E$15</f>
        <v>5.935</v>
      </c>
      <c r="E11008" s="38" t="n">
        <f aca="false">Q!$P$15</f>
        <v>3.474</v>
      </c>
      <c r="F11008" s="38" t="n">
        <f aca="false">Sens!$O$11008*(1+Sens!$F$11009)*Sens!$F$11010</f>
        <v>3.22246550883619</v>
      </c>
      <c r="G11008" s="38" t="n">
        <f aca="false">Sens!$E$11008+Sens!$F$11008</f>
        <v>6.69646550883619</v>
      </c>
      <c r="H11008" s="38" t="n">
        <f aca="false">Sens!$G$11008*(1+Sens!$H$11009)</f>
        <v>7.16251344209196</v>
      </c>
      <c r="I11008" s="38" t="n">
        <f aca="false">Sens!$H$11008*(1+Sens!$I$11009)</f>
        <v>7.61421070299826</v>
      </c>
      <c r="J11008" s="38" t="n">
        <f aca="false">Sens!$I$11008*(1+Sens!$J$11009)</f>
        <v>8.04465753523932</v>
      </c>
      <c r="K11008" s="38" t="n">
        <f aca="false">Sens!$J$11008*(1+Sens!$K$11009)</f>
        <v>8.44689041200128</v>
      </c>
      <c r="L11008" s="38" t="n">
        <f aca="false">Sens!$K$11008*(1+Sens!$L$11009)</f>
        <v>8.86923493260135</v>
      </c>
      <c r="M11008" s="38" t="n">
        <f aca="false">Sens!$L$11008*(1+Sens!$M$11009)</f>
        <v>9.31269667923142</v>
      </c>
      <c r="N11008" s="38" t="n">
        <f aca="false">Q!$N$15</f>
        <v>2.811</v>
      </c>
      <c r="O11008" s="38" t="n">
        <f aca="false">Q!$O$15</f>
        <v>3.124</v>
      </c>
      <c r="P11008" s="8" t="s">
        <v>667</v>
      </c>
    </row>
    <row r="11009" customFormat="false" ht="17.15" hidden="false" customHeight="false" outlineLevel="0" collapsed="false">
      <c r="A11009" s="0" t="s">
        <v>678</v>
      </c>
      <c r="B11009" s="0" t="s">
        <v>52</v>
      </c>
      <c r="E11009" s="13" t="n">
        <f aca="false">Sens!$E$11008/Sens!$N$11008-1</f>
        <v>0.235859124866596</v>
      </c>
      <c r="F11009" s="13" t="n">
        <f aca="false">Sens!$O$11008/(Q!$F$15+Q!$G$15)-1</f>
        <v>0.0761281433000345</v>
      </c>
      <c r="G11009" s="13" t="n">
        <f aca="false">Sens!$G$11008/Sens!$D$11008-1</f>
        <v>0.128300843948811</v>
      </c>
      <c r="H11009" s="13" t="n">
        <f aca="false">Sens!$F$11009+(g_ot-Sens!$F$11009)*1/4</f>
        <v>0.0695961074750259</v>
      </c>
      <c r="I11009" s="13" t="n">
        <f aca="false">Sens!$F$11009+(g_ot-Sens!$F$11009)*2/4</f>
        <v>0.0630640716500172</v>
      </c>
      <c r="J11009" s="13" t="n">
        <f aca="false">Sens!$F$11009+(g_ot-Sens!$F$11009)*3/4</f>
        <v>0.0565320358250086</v>
      </c>
      <c r="K11009" s="13" t="n">
        <f aca="false">Sens!$F$11009+(g_ot-Sens!$F$11009)*4/4</f>
        <v>0.05</v>
      </c>
      <c r="L11009" s="13" t="n">
        <f aca="false">g_ot</f>
        <v>0.05</v>
      </c>
      <c r="M11009" s="13" t="n">
        <f aca="false">g_ot</f>
        <v>0.05</v>
      </c>
      <c r="P11009" s="8" t="s">
        <v>679</v>
      </c>
    </row>
    <row r="11010" customFormat="false" ht="17.15" hidden="false" customHeight="false" outlineLevel="0" collapsed="false">
      <c r="A11010" s="0" t="s">
        <v>680</v>
      </c>
      <c r="B11010" s="0" t="s">
        <v>57</v>
      </c>
      <c r="F11010" s="40" t="n">
        <f aca="false">(g26q3_mid*Q!$O$8/Q!$J$8-Thesis!$F$86-Thesis!$F$90)/(Sens!$O$10998*(1+Sens!$F$10999)+Sens!$O$11000*(1+Sens!$F$11001)+Sens!$O$11002*(1+Sens!$F$11003)+Sens!$O$11004*(1+Sens!$F$11005)+Sens!$O$11006*(1+Sens!$F$11007)+Sens!$O$11008*(1+Sens!$F$11009))</f>
        <v>0.958546670622329</v>
      </c>
      <c r="P11010" s="8" t="s">
        <v>681</v>
      </c>
    </row>
    <row r="11011" customFormat="false" ht="17.15" hidden="false" customHeight="false" outlineLevel="0" collapsed="false">
      <c r="A11011" s="3" t="s">
        <v>682</v>
      </c>
      <c r="B11011" s="8" t="s">
        <v>86</v>
      </c>
      <c r="C11011" s="38" t="n">
        <f aca="false">Sens!$C$10998+Sens!$C$11000+Sens!$C$11002+Sens!$C$11004+Sens!$C$11006+Sens!$C$11008</f>
        <v>530.403</v>
      </c>
      <c r="D11011" s="38" t="n">
        <f aca="false">Sens!$D$10998+Sens!$D$11000+Sens!$D$11002+Sens!$D$11004+Sens!$D$11006+Sens!$D$11008</f>
        <v>588.199</v>
      </c>
      <c r="E11011" s="38" t="n">
        <f aca="false">Sens!$E$10998+Sens!$E$11000+Sens!$E$11002+Sens!$E$11004+Sens!$E$11006+Sens!$E$11008</f>
        <v>302.306</v>
      </c>
      <c r="F11011" s="38" t="n">
        <f aca="false">Sens!$F$10998+Sens!$F$11000+Sens!$F$11002+Sens!$F$11004+Sens!$F$11006+Sens!$F$11008</f>
        <v>349.048241645537</v>
      </c>
      <c r="G11011" s="38" t="n">
        <f aca="false">Sens!$G$10998+Sens!$G$11000+Sens!$G$11002+Sens!$G$11004+Sens!$G$11006+Sens!$G$11008</f>
        <v>651.354241645537</v>
      </c>
      <c r="H11011" s="38" t="n">
        <f aca="false">Sens!$H$10998+Sens!$H$11000+Sens!$H$11002+Sens!$H$11004+Sens!$H$11006+Sens!$H$11008</f>
        <v>721.096889521386</v>
      </c>
      <c r="I11011" s="38" t="n">
        <f aca="false">Sens!$I$10998+Sens!$I$11000+Sens!$I$11002+Sens!$I$11004+Sens!$I$11006+Sens!$I$11008</f>
        <v>788.529391152531</v>
      </c>
      <c r="J11011" s="38" t="n">
        <f aca="false">Sens!$J$10998+Sens!$J$11000+Sens!$J$11002+Sens!$J$11004+Sens!$J$11006+Sens!$J$11008</f>
        <v>851.108405741443</v>
      </c>
      <c r="K11011" s="38" t="n">
        <f aca="false">Sens!$K$10998+Sens!$K$11000+Sens!$K$11002+Sens!$K$11004+Sens!$K$11006+Sens!$K$11008</f>
        <v>906.176455431088</v>
      </c>
      <c r="L11011" s="38" t="n">
        <f aca="false">Sens!$L$10998+Sens!$L$11000+Sens!$L$11002+Sens!$L$11004+Sens!$L$11006+Sens!$L$11008</f>
        <v>965.093106475589</v>
      </c>
      <c r="M11011" s="38" t="n">
        <f aca="false">Sens!$M$10998+Sens!$M$11000+Sens!$M$11002+Sens!$M$11004+Sens!$M$11006+Sens!$M$11008</f>
        <v>1028.14790794689</v>
      </c>
      <c r="N11011" s="38" t="n">
        <f aca="false">Sens!$N$10998+Sens!$N$11000+Sens!$N$11002+Sens!$N$11004+Sens!$N$11006+Sens!$N$11008</f>
        <v>263.229</v>
      </c>
      <c r="O11011" s="38" t="n">
        <f aca="false">Sens!$O$10998+Sens!$O$11000+Sens!$O$11002+Sens!$O$11004+Sens!$O$11006+Sens!$O$11008</f>
        <v>324.97</v>
      </c>
    </row>
    <row r="11012" customFormat="false" ht="17.15" hidden="false" customHeight="false" outlineLevel="0" collapsed="false">
      <c r="A11012" s="5" t="s">
        <v>683</v>
      </c>
      <c r="B11012" s="0" t="s">
        <v>52</v>
      </c>
      <c r="C11012" s="13" t="n">
        <f aca="false">Q!$D$5/(Q!$D$5+Q!$D$6)</f>
        <v>0.730570905519011</v>
      </c>
      <c r="D11012" s="13" t="n">
        <f aca="false">Q!$E$5/(Q!$E$5+Q!$E$6)</f>
        <v>0.724763217890544</v>
      </c>
      <c r="E11012" s="13" t="n">
        <f aca="false">Q!$P$5/(Q!$P$5+Q!$P$6)</f>
        <v>0.728797972914861</v>
      </c>
      <c r="F11012" s="13" t="n">
        <f aca="false">Sens!$O$11012</f>
        <v>0.718066283041511</v>
      </c>
      <c r="G11012" s="13" t="n">
        <f aca="false">Sens!$G$11013/Sens!$G$11011</f>
        <v>0.723047066202847</v>
      </c>
      <c r="H11012" s="13" t="n">
        <f aca="false">Sens!$G$11012</f>
        <v>0.723047066202847</v>
      </c>
      <c r="I11012" s="13" t="n">
        <f aca="false">Sens!$G$11012</f>
        <v>0.723047066202847</v>
      </c>
      <c r="J11012" s="13" t="n">
        <f aca="false">Sens!$G$11012</f>
        <v>0.723047066202847</v>
      </c>
      <c r="K11012" s="13" t="n">
        <f aca="false">Sens!$G$11012</f>
        <v>0.723047066202847</v>
      </c>
      <c r="L11012" s="13" t="n">
        <f aca="false">Sens!$G$11012</f>
        <v>0.723047066202847</v>
      </c>
      <c r="M11012" s="13" t="n">
        <f aca="false">Sens!$G$11012</f>
        <v>0.723047066202847</v>
      </c>
      <c r="N11012" s="13" t="n">
        <f aca="false">Q!$N$5/(Q!$N$5+Q!$N$6)</f>
        <v>0.733030935041352</v>
      </c>
      <c r="O11012" s="13" t="n">
        <f aca="false">Q!$O$5/(Q!$O$5+Q!$O$6)</f>
        <v>0.718066283041511</v>
      </c>
      <c r="P11012" s="8" t="s">
        <v>684</v>
      </c>
    </row>
    <row r="11013" customFormat="false" ht="17.15" hidden="false" customHeight="false" outlineLevel="0" collapsed="false">
      <c r="A11013" s="1" t="s">
        <v>512</v>
      </c>
      <c r="B11013" s="8" t="s">
        <v>86</v>
      </c>
      <c r="C11013" s="38" t="n">
        <f aca="false">Q!$D$5</f>
        <v>387.497</v>
      </c>
      <c r="D11013" s="38" t="n">
        <f aca="false">Q!$E$5</f>
        <v>426.305</v>
      </c>
      <c r="E11013" s="38" t="n">
        <f aca="false">Q!$P$5</f>
        <v>220.32</v>
      </c>
      <c r="F11013" s="38" t="n">
        <f aca="false">Sens!$F$11011*Sens!$F$11012</f>
        <v>250.639773480586</v>
      </c>
      <c r="G11013" s="38" t="n">
        <f aca="false">Sens!$E$11013+Sens!$F$11013</f>
        <v>470.959773480586</v>
      </c>
      <c r="H11013" s="38" t="n">
        <f aca="false">Sens!$H$11011*Sens!$H$11012</f>
        <v>521.386990416437</v>
      </c>
      <c r="I11013" s="38" t="n">
        <f aca="false">Sens!$I$11011*Sens!$I$11012</f>
        <v>570.143862887555</v>
      </c>
      <c r="J11013" s="38" t="n">
        <f aca="false">Sens!$J$11011*Sens!$J$11012</f>
        <v>615.391435791933</v>
      </c>
      <c r="K11013" s="38" t="n">
        <f aca="false">Sens!$K$11011*Sens!$K$11012</f>
        <v>655.208227561543</v>
      </c>
      <c r="L11013" s="38" t="n">
        <f aca="false">Sens!$L$11011*Sens!$L$11012</f>
        <v>697.807739249767</v>
      </c>
      <c r="M11013" s="38" t="n">
        <f aca="false">Sens!$M$11011*Sens!$M$11012</f>
        <v>743.399328463592</v>
      </c>
      <c r="N11013" s="38" t="n">
        <f aca="false">Q!$N$5</f>
        <v>192.955</v>
      </c>
      <c r="O11013" s="38" t="n">
        <f aca="false">Q!$O$5</f>
        <v>233.35</v>
      </c>
      <c r="P11013" s="5" t="s">
        <v>685</v>
      </c>
    </row>
    <row r="11014" customFormat="false" ht="17.15" hidden="false" customHeight="false" outlineLevel="0" collapsed="false">
      <c r="A11014" s="1" t="s">
        <v>515</v>
      </c>
      <c r="B11014" s="8" t="s">
        <v>86</v>
      </c>
      <c r="C11014" s="38" t="n">
        <f aca="false">Q!$D$6</f>
        <v>142.906</v>
      </c>
      <c r="D11014" s="38" t="n">
        <f aca="false">Q!$E$6</f>
        <v>161.894</v>
      </c>
      <c r="E11014" s="38" t="n">
        <f aca="false">Q!$P$6</f>
        <v>81.986</v>
      </c>
      <c r="F11014" s="38" t="n">
        <f aca="false">Sens!$F$11011*(1-Sens!$F$11012)</f>
        <v>98.408468164951</v>
      </c>
      <c r="G11014" s="38" t="n">
        <f aca="false">Sens!$E$11014+Sens!$F$11014</f>
        <v>180.394468164951</v>
      </c>
      <c r="H11014" s="38" t="n">
        <f aca="false">Sens!$H$11011*(1-Sens!$H$11012)</f>
        <v>199.709899104949</v>
      </c>
      <c r="I11014" s="38" t="n">
        <f aca="false">Sens!$I$11011*(1-Sens!$I$11012)</f>
        <v>218.385528264976</v>
      </c>
      <c r="J11014" s="38" t="n">
        <f aca="false">Sens!$J$11011*(1-Sens!$J$11012)</f>
        <v>235.71696994951</v>
      </c>
      <c r="K11014" s="38" t="n">
        <f aca="false">Sens!$K$11011*(1-Sens!$K$11012)</f>
        <v>250.968227869545</v>
      </c>
      <c r="L11014" s="38" t="n">
        <f aca="false">Sens!$L$11011*(1-Sens!$L$11012)</f>
        <v>267.285367225822</v>
      </c>
      <c r="M11014" s="38" t="n">
        <f aca="false">Sens!$M$11011*(1-Sens!$M$11012)</f>
        <v>284.748579483295</v>
      </c>
      <c r="N11014" s="38" t="n">
        <f aca="false">Q!$N$6</f>
        <v>70.274</v>
      </c>
      <c r="O11014" s="38" t="n">
        <f aca="false">Q!$O$6</f>
        <v>91.62</v>
      </c>
      <c r="P11014" s="5" t="s">
        <v>686</v>
      </c>
    </row>
    <row r="11015" customFormat="false" ht="17.15" hidden="false" customHeight="false" outlineLevel="0" collapsed="false">
      <c r="A11015" s="5" t="s">
        <v>687</v>
      </c>
      <c r="B11015" s="0" t="s">
        <v>86</v>
      </c>
      <c r="C11015" s="38" t="n">
        <f aca="false">Sens!$C$11004*Sens!$C$11012</f>
        <v>41.0683128828457</v>
      </c>
      <c r="D11015" s="38" t="n">
        <f aca="false">Sens!$D$11004*Sens!$D$11012</f>
        <v>49.7441234599175</v>
      </c>
      <c r="E11015" s="38" t="n">
        <f aca="false">Sens!$E$11004*Sens!$E$11012</f>
        <v>27.0034224924414</v>
      </c>
      <c r="F11015" s="38" t="n">
        <f aca="false">Sens!$F$11004*Sens!$F$11012</f>
        <v>33.1439448330513</v>
      </c>
      <c r="G11015" s="38" t="n">
        <f aca="false">Sens!$G$11004*Sens!$G$11012</f>
        <v>60.164183844083</v>
      </c>
      <c r="H11015" s="38" t="n">
        <f aca="false">Sens!$H$11004*Sens!$H$11012</f>
        <v>72.2301766552629</v>
      </c>
      <c r="I11015" s="38" t="n">
        <f aca="false">Sens!$I$11004*Sens!$I$11012</f>
        <v>84.2950764463991</v>
      </c>
      <c r="J11015" s="38" t="n">
        <f aca="false">Sens!$J$11004*Sens!$J$11012</f>
        <v>95.5499047729386</v>
      </c>
      <c r="K11015" s="38" t="n">
        <f aca="false">Sens!$K$11004*Sens!$K$11012</f>
        <v>105.104895250232</v>
      </c>
      <c r="L11015" s="38" t="n">
        <f aca="false">Sens!$L$11004*Sens!$L$11012</f>
        <v>115.615384775256</v>
      </c>
      <c r="M11015" s="38" t="n">
        <f aca="false">Sens!$M$11004*Sens!$M$11012</f>
        <v>127.176923252781</v>
      </c>
      <c r="N11015" s="38" t="n">
        <f aca="false">Sens!$N$11004*Sens!$N$11012</f>
        <v>21.7087111412496</v>
      </c>
      <c r="O11015" s="38" t="n">
        <f aca="false">Sens!$O$11004*Sens!$O$11012</f>
        <v>28.0189463642798</v>
      </c>
      <c r="P11015" s="5" t="s">
        <v>688</v>
      </c>
    </row>
    <row r="11016" customFormat="false" ht="15" hidden="false" customHeight="false" outlineLevel="0" collapsed="false">
      <c r="A11016" s="5" t="s">
        <v>689</v>
      </c>
      <c r="B11016" s="0" t="s">
        <v>86</v>
      </c>
      <c r="C11016" s="38" t="n">
        <f aca="false">Sens!$C$11004-Sens!$C$11015</f>
        <v>15.1456871171543</v>
      </c>
      <c r="D11016" s="38" t="n">
        <f aca="false">Sens!$D$11004-Sens!$D$11015</f>
        <v>18.8908765400825</v>
      </c>
      <c r="E11016" s="38" t="n">
        <f aca="false">Sens!$E$11004-Sens!$E$11015</f>
        <v>10.0485775075586</v>
      </c>
      <c r="F11016" s="38" t="n">
        <f aca="false">Sens!$F$11004-Sens!$F$11015</f>
        <v>13.0132771613635</v>
      </c>
      <c r="G11016" s="38" t="n">
        <f aca="false">Sens!$G$11004-Sens!$G$11015</f>
        <v>23.0450381503318</v>
      </c>
      <c r="H11016" s="38" t="n">
        <f aca="false">Sens!$H$11004-Sens!$H$11015</f>
        <v>27.6667457326347</v>
      </c>
      <c r="I11016" s="38" t="n">
        <f aca="false">Sens!$I$11004-Sens!$I$11015</f>
        <v>32.2880346490971</v>
      </c>
      <c r="J11016" s="38" t="n">
        <f aca="false">Sens!$J$11004-Sens!$J$11015</f>
        <v>36.5990371690132</v>
      </c>
      <c r="K11016" s="38" t="n">
        <f aca="false">Sens!$K$11004-Sens!$K$11015</f>
        <v>40.2589408859145</v>
      </c>
      <c r="L11016" s="38" t="n">
        <f aca="false">Sens!$L$11004-Sens!$L$11015</f>
        <v>44.2848349745059</v>
      </c>
      <c r="M11016" s="38" t="n">
        <f aca="false">Sens!$M$11004-Sens!$M$11015</f>
        <v>48.7133184719565</v>
      </c>
      <c r="N11016" s="38" t="n">
        <f aca="false">Sens!$N$11004-Sens!$N$11015</f>
        <v>7.90628885875037</v>
      </c>
      <c r="O11016" s="38" t="n">
        <f aca="false">Sens!$O$11004-Sens!$O$11015</f>
        <v>11.0010536357202</v>
      </c>
    </row>
    <row r="11017" customFormat="false" ht="19.4" hidden="false" customHeight="false" outlineLevel="0" collapsed="false">
      <c r="A11017" s="31" t="s">
        <v>1361</v>
      </c>
    </row>
    <row r="11018" customFormat="false" ht="17.15" hidden="false" customHeight="false" outlineLevel="0" collapsed="false">
      <c r="A11018" s="6" t="s">
        <v>16</v>
      </c>
      <c r="B11018" s="6" t="s">
        <v>17</v>
      </c>
      <c r="C11018" s="20" t="s">
        <v>497</v>
      </c>
      <c r="D11018" s="20" t="s">
        <v>498</v>
      </c>
      <c r="E11018" s="20" t="s">
        <v>580</v>
      </c>
      <c r="F11018" s="20" t="s">
        <v>581</v>
      </c>
      <c r="G11018" s="20" t="s">
        <v>582</v>
      </c>
      <c r="H11018" s="20" t="s">
        <v>583</v>
      </c>
      <c r="I11018" s="20" t="s">
        <v>584</v>
      </c>
      <c r="J11018" s="20" t="s">
        <v>585</v>
      </c>
      <c r="K11018" s="20" t="s">
        <v>586</v>
      </c>
      <c r="L11018" s="20" t="s">
        <v>587</v>
      </c>
      <c r="M11018" s="20" t="s">
        <v>588</v>
      </c>
      <c r="N11018" s="20" t="s">
        <v>589</v>
      </c>
      <c r="O11018" s="20" t="s">
        <v>590</v>
      </c>
      <c r="P11018" s="6" t="s">
        <v>23</v>
      </c>
      <c r="R11018" s="20" t="n">
        <v>2023</v>
      </c>
      <c r="S11018" s="20" t="n">
        <v>2024</v>
      </c>
      <c r="T11018" s="20" t="n">
        <v>2025</v>
      </c>
      <c r="U11018" s="20" t="n">
        <v>2026</v>
      </c>
      <c r="V11018" s="20" t="n">
        <v>2027</v>
      </c>
      <c r="W11018" s="20" t="n">
        <v>2028</v>
      </c>
      <c r="X11018" s="20" t="n">
        <v>2029</v>
      </c>
      <c r="Y11018" s="20" t="n">
        <v>2030</v>
      </c>
      <c r="Z11018" s="20" t="n">
        <v>2031</v>
      </c>
      <c r="AA11018" s="20" t="n">
        <v>2032</v>
      </c>
    </row>
    <row r="11019" customFormat="false" ht="17.15" hidden="false" customHeight="false" outlineLevel="0" collapsed="false">
      <c r="A11019" s="1" t="s">
        <v>591</v>
      </c>
    </row>
    <row r="11020" customFormat="false" ht="17.15" hidden="false" customHeight="false" outlineLevel="0" collapsed="false">
      <c r="A11020" s="5" t="s">
        <v>592</v>
      </c>
      <c r="B11020" s="0" t="s">
        <v>144</v>
      </c>
      <c r="H11020" s="32" t="n">
        <f aca="false">pace_C</f>
        <v>3634.3</v>
      </c>
      <c r="I11020" s="32" t="n">
        <f aca="false">pace_C</f>
        <v>3634.3</v>
      </c>
      <c r="J11020" s="32" t="n">
        <f aca="false">pace_C</f>
        <v>3634.3</v>
      </c>
      <c r="K11020" s="32" t="n">
        <f aca="false">pace_C+(Sens!$J$11021*tg-pace_C)*1/3</f>
        <v>2570.86716666667</v>
      </c>
      <c r="L11020" s="32" t="n">
        <f aca="false">pace_C+(Sens!$J$11021*tg-pace_C)*2/3</f>
        <v>1507.43433333333</v>
      </c>
      <c r="M11020" s="32" t="n">
        <f aca="false">pace_C+(Sens!$J$11021*tg-pace_C)*3/3</f>
        <v>444.0015</v>
      </c>
      <c r="P11020" s="5" t="s">
        <v>593</v>
      </c>
    </row>
    <row r="11021" customFormat="false" ht="17.15" hidden="false" customHeight="false" outlineLevel="0" collapsed="false">
      <c r="A11021" s="15" t="s">
        <v>594</v>
      </c>
      <c r="B11021" s="14" t="s">
        <v>129</v>
      </c>
      <c r="C11021" s="33" t="n">
        <f aca="false">mw_ye24</f>
        <v>360</v>
      </c>
      <c r="D11021" s="33" t="n">
        <f aca="false">mw_ye25</f>
        <v>1440</v>
      </c>
      <c r="E11021" s="33" t="n">
        <f aca="false">mw_open</f>
        <v>2080</v>
      </c>
      <c r="F11021" s="33" t="n">
        <f aca="false">Sens!$E$11021+pace_C*0.5</f>
        <v>3897.15</v>
      </c>
      <c r="G11021" s="33" t="n">
        <f aca="false">Sens!$F$11021</f>
        <v>3897.15</v>
      </c>
      <c r="H11021" s="33" t="n">
        <f aca="false">Sens!$G$11021+Sens!$H$11020</f>
        <v>7531.45</v>
      </c>
      <c r="I11021" s="33" t="n">
        <f aca="false">Sens!$H$11021+Sens!$I$11020</f>
        <v>11165.75</v>
      </c>
      <c r="J11021" s="33" t="n">
        <f aca="false">Sens!$I$11021+Sens!$J$11020</f>
        <v>14800.05</v>
      </c>
      <c r="K11021" s="33" t="n">
        <f aca="false">Sens!$J$11021+Sens!$K$11020</f>
        <v>17370.9171666667</v>
      </c>
      <c r="L11021" s="33" t="n">
        <f aca="false">Sens!$K$11021+Sens!$L$11020</f>
        <v>18878.3515</v>
      </c>
      <c r="M11021" s="33" t="n">
        <f aca="false">Sens!$L$11021+Sens!$M$11020</f>
        <v>19322.353</v>
      </c>
      <c r="N11021" s="33" t="n">
        <f aca="false">(mw_ye24+mw_ye25)/2</f>
        <v>900</v>
      </c>
      <c r="O11021" s="33" t="n">
        <f aca="false">mw_ye25</f>
        <v>1440</v>
      </c>
      <c r="P11021" s="5" t="s">
        <v>595</v>
      </c>
    </row>
    <row r="11022" customFormat="false" ht="17.15" hidden="false" customHeight="false" outlineLevel="0" collapsed="false">
      <c r="A11022" s="5" t="s">
        <v>596</v>
      </c>
      <c r="B11022" s="0" t="s">
        <v>129</v>
      </c>
      <c r="C11022" s="32" t="n">
        <f aca="false">(mw_ye23+mw_ye24)/2</f>
        <v>240</v>
      </c>
      <c r="D11022" s="32" t="n">
        <f aca="false">(Sens!$C$11021+Sens!$D$11021)/2</f>
        <v>900</v>
      </c>
      <c r="E11022" s="32" t="n">
        <f aca="false">(Sens!$D$11021+Sens!$E$11021)/2</f>
        <v>1760</v>
      </c>
      <c r="F11022" s="32" t="n">
        <f aca="false">(Sens!$E$11021+Sens!$F$11021)/2</f>
        <v>2988.575</v>
      </c>
      <c r="G11022" s="32" t="n">
        <f aca="false">(Sens!$E$11022+Sens!$F$11022)/2</f>
        <v>2374.2875</v>
      </c>
      <c r="H11022" s="32" t="n">
        <f aca="false">(Sens!$G$11021+Sens!$H$11021)/2</f>
        <v>5714.3</v>
      </c>
      <c r="I11022" s="32" t="n">
        <f aca="false">(Sens!$H$11021+Sens!$I$11021)/2</f>
        <v>9348.6</v>
      </c>
      <c r="J11022" s="32" t="n">
        <f aca="false">(Sens!$I$11021+Sens!$J$11021)/2</f>
        <v>12982.9</v>
      </c>
      <c r="K11022" s="32" t="n">
        <f aca="false">(Sens!$J$11021+Sens!$K$11021)/2</f>
        <v>16085.4835833333</v>
      </c>
      <c r="L11022" s="32" t="n">
        <f aca="false">(Sens!$K$11021+Sens!$L$11021)/2</f>
        <v>18124.6343333333</v>
      </c>
      <c r="M11022" s="32" t="n">
        <f aca="false">(Sens!$L$11021+Sens!$M$11021)/2</f>
        <v>19100.35225</v>
      </c>
      <c r="N11022" s="32" t="n">
        <f aca="false">(Sens!$C$11021+Sens!$N$11021)/2</f>
        <v>630</v>
      </c>
      <c r="O11022" s="32" t="n">
        <f aca="false">(Sens!$N$11021+Sens!$O$11021)/2</f>
        <v>1170</v>
      </c>
    </row>
    <row r="11023" customFormat="false" ht="15" hidden="false" customHeight="false" outlineLevel="0" collapsed="false">
      <c r="A11023" s="5" t="s">
        <v>597</v>
      </c>
      <c r="B11023" s="5" t="s">
        <v>123</v>
      </c>
      <c r="C11023" s="34" t="n">
        <v>1</v>
      </c>
      <c r="D11023" s="34" t="n">
        <v>1</v>
      </c>
      <c r="E11023" s="34" t="n">
        <v>0.5</v>
      </c>
      <c r="F11023" s="34" t="n">
        <v>0.5</v>
      </c>
      <c r="G11023" s="34" t="n">
        <v>1</v>
      </c>
      <c r="H11023" s="34" t="n">
        <v>1</v>
      </c>
      <c r="I11023" s="34" t="n">
        <v>1</v>
      </c>
      <c r="J11023" s="34" t="n">
        <v>1</v>
      </c>
      <c r="K11023" s="34" t="n">
        <v>1</v>
      </c>
      <c r="L11023" s="34" t="n">
        <v>1</v>
      </c>
      <c r="M11023" s="34" t="n">
        <v>1</v>
      </c>
      <c r="N11023" s="34" t="n">
        <v>0.5</v>
      </c>
      <c r="O11023" s="34" t="n">
        <v>0.5</v>
      </c>
    </row>
    <row r="11024" customFormat="false" ht="17.15" hidden="false" customHeight="false" outlineLevel="0" collapsed="false">
      <c r="A11024" s="5" t="s">
        <v>598</v>
      </c>
      <c r="B11024" s="0" t="s">
        <v>129</v>
      </c>
      <c r="C11024" s="32" t="n">
        <f aca="false">Sens!$C$11021-mw_ye23</f>
        <v>240</v>
      </c>
      <c r="D11024" s="32" t="n">
        <f aca="false">Sens!$D$11021-Sens!$C$11021</f>
        <v>1080</v>
      </c>
      <c r="E11024" s="32" t="n">
        <f aca="false">Sens!$E$11021-Sens!$D$11021</f>
        <v>640</v>
      </c>
      <c r="F11024" s="32" t="n">
        <f aca="false">Sens!$F$11021-Sens!$E$11021</f>
        <v>1817.15</v>
      </c>
      <c r="G11024" s="32" t="n">
        <f aca="false">Sens!$E$11024+Sens!$F$11024</f>
        <v>2457.15</v>
      </c>
      <c r="H11024" s="32" t="n">
        <f aca="false">Sens!$H$11021-Sens!$G$11021</f>
        <v>3634.3</v>
      </c>
      <c r="I11024" s="32" t="n">
        <f aca="false">Sens!$I$11021-Sens!$H$11021</f>
        <v>3634.3</v>
      </c>
      <c r="J11024" s="32" t="n">
        <f aca="false">Sens!$J$11021-Sens!$I$11021</f>
        <v>3634.3</v>
      </c>
      <c r="K11024" s="32" t="n">
        <f aca="false">Sens!$K$11021-Sens!$J$11021</f>
        <v>2570.86716666667</v>
      </c>
      <c r="L11024" s="32" t="n">
        <f aca="false">Sens!$L$11021-Sens!$K$11021</f>
        <v>1507.43433333333</v>
      </c>
      <c r="M11024" s="32" t="n">
        <f aca="false">Sens!$M$11021-Sens!$L$11021</f>
        <v>444.001499999999</v>
      </c>
      <c r="N11024" s="32" t="n">
        <f aca="false">Sens!$N$11021-Sens!$C$11021</f>
        <v>540</v>
      </c>
      <c r="O11024" s="32" t="n">
        <f aca="false">Sens!$O$11021-Sens!$N$11021</f>
        <v>540</v>
      </c>
    </row>
    <row r="11025" customFormat="false" ht="17.15" hidden="false" customHeight="false" outlineLevel="0" collapsed="false">
      <c r="A11025" s="5" t="s">
        <v>599</v>
      </c>
      <c r="B11025" s="0" t="s">
        <v>129</v>
      </c>
      <c r="C11025" s="32" t="n">
        <f aca="false">Sens!$C$11024/ext_sh</f>
        <v>300</v>
      </c>
      <c r="D11025" s="32" t="n">
        <f aca="false">Sens!$D$11024/ext_sh</f>
        <v>1350</v>
      </c>
      <c r="E11025" s="32" t="n">
        <f aca="false">Sens!$E$11024/ext_sh</f>
        <v>800</v>
      </c>
      <c r="F11025" s="32" t="n">
        <f aca="false">Sens!$F$11024/ext_sh</f>
        <v>2271.4375</v>
      </c>
      <c r="G11025" s="32" t="n">
        <f aca="false">Sens!$G$11024/ext_sh</f>
        <v>3071.4375</v>
      </c>
      <c r="H11025" s="32" t="n">
        <f aca="false">Sens!$H$11024/ext_sh</f>
        <v>4542.875</v>
      </c>
      <c r="I11025" s="32" t="n">
        <f aca="false">Sens!$I$11024/ext_sh</f>
        <v>4542.875</v>
      </c>
      <c r="J11025" s="32" t="n">
        <f aca="false">Sens!$J$11024/ext_sh</f>
        <v>4542.875</v>
      </c>
      <c r="K11025" s="32" t="n">
        <f aca="false">Sens!$K$11024/ext_sh</f>
        <v>3213.58395833333</v>
      </c>
      <c r="L11025" s="32" t="n">
        <f aca="false">Sens!$L$11024/ext_sh</f>
        <v>1884.29291666667</v>
      </c>
      <c r="M11025" s="32" t="n">
        <f aca="false">Sens!$M$11024/ext_sh</f>
        <v>555.001874999998</v>
      </c>
      <c r="N11025" s="32" t="n">
        <f aca="false">Sens!$N$11024/ext_sh</f>
        <v>675</v>
      </c>
      <c r="O11025" s="32" t="n">
        <f aca="false">Sens!$O$11024/ext_sh</f>
        <v>675</v>
      </c>
      <c r="P11025" s="8" t="s">
        <v>600</v>
      </c>
      <c r="R11025" s="32" t="n">
        <f aca="false">mw_ye23/ext_sh</f>
        <v>150</v>
      </c>
      <c r="S11025" s="32" t="n">
        <f aca="false">Sens!$C$11025</f>
        <v>300</v>
      </c>
      <c r="T11025" s="32" t="n">
        <f aca="false">Sens!$D$11025</f>
        <v>1350</v>
      </c>
      <c r="U11025" s="32" t="n">
        <f aca="false">Sens!$G$11025</f>
        <v>3071.4375</v>
      </c>
      <c r="V11025" s="32" t="n">
        <f aca="false">Sens!$H$11025</f>
        <v>4542.875</v>
      </c>
      <c r="W11025" s="32" t="n">
        <f aca="false">Sens!$I$11025</f>
        <v>4542.875</v>
      </c>
      <c r="X11025" s="32" t="n">
        <f aca="false">Sens!$J$11025</f>
        <v>4542.875</v>
      </c>
      <c r="Y11025" s="32" t="n">
        <f aca="false">Sens!$K$11025</f>
        <v>3213.58395833333</v>
      </c>
      <c r="Z11025" s="32" t="n">
        <f aca="false">Sens!$L$11025</f>
        <v>1884.29291666667</v>
      </c>
      <c r="AA11025" s="32" t="n">
        <f aca="false">Sens!$M$11025</f>
        <v>555.001874999998</v>
      </c>
    </row>
    <row r="11026" customFormat="false" ht="17.15" hidden="false" customHeight="false" outlineLevel="0" collapsed="false">
      <c r="A11026" s="1" t="s">
        <v>601</v>
      </c>
    </row>
    <row r="11027" customFormat="false" ht="17.15" hidden="false" customHeight="false" outlineLevel="0" collapsed="false">
      <c r="A11027" s="0" t="s">
        <v>602</v>
      </c>
      <c r="B11027" s="0" t="s">
        <v>52</v>
      </c>
      <c r="F11027" s="35" t="n">
        <f aca="false">na_vr26</f>
        <v>0</v>
      </c>
      <c r="G11027" s="35" t="n">
        <f aca="false">na_vr26</f>
        <v>0</v>
      </c>
      <c r="H11027" s="35" t="n">
        <f aca="false">na_vr27</f>
        <v>0.5</v>
      </c>
      <c r="I11027" s="35" t="n">
        <f aca="false">na_vr28</f>
        <v>1</v>
      </c>
      <c r="J11027" s="35" t="n">
        <f aca="false">na_vr28</f>
        <v>1</v>
      </c>
      <c r="K11027" s="35" t="n">
        <f aca="false">na_vr28</f>
        <v>1</v>
      </c>
      <c r="L11027" s="35" t="n">
        <f aca="false">na_vr28</f>
        <v>1</v>
      </c>
      <c r="M11027" s="35" t="n">
        <f aca="false">na_vr28</f>
        <v>1</v>
      </c>
    </row>
    <row r="11028" customFormat="false" ht="17.15" hidden="false" customHeight="false" outlineLevel="0" collapsed="false">
      <c r="A11028" s="5" t="s">
        <v>603</v>
      </c>
      <c r="B11028" s="0" t="s">
        <v>173</v>
      </c>
      <c r="F11028" s="36" t="n">
        <f aca="false">cust_sh*tk_he_gb300*cf_chip+(1-cust_sh)*((1-Sens!$F$11027)*tk_he_gb300+Sens!$F$11027*tk_he_vr200)</f>
        <v>10.8864110021101</v>
      </c>
      <c r="G11028" s="36" t="n">
        <f aca="false">cust_sh*tk_he_gb300*cf_chip+(1-cust_sh)*((1-Sens!$G$11027)*tk_he_gb300+Sens!$G$11027*tk_he_vr200)</f>
        <v>10.8864110021101</v>
      </c>
      <c r="H11028" s="36" t="n">
        <f aca="false">cust_sh*tk_he_gb300*cf_chip+(1-cust_sh)*((1-Sens!$H$11027)*tk_he_gb300+Sens!$H$11027*tk_he_vr200)</f>
        <v>11.2211760027286</v>
      </c>
      <c r="I11028" s="36" t="n">
        <f aca="false">cust_sh*tk_he_gb300*cf_chip+(1-cust_sh)*((1-Sens!$I$11027)*tk_he_gb300+Sens!$I$11027*tk_he_vr200)</f>
        <v>11.5559410033471</v>
      </c>
      <c r="J11028" s="36" t="n">
        <f aca="false">cust_sh*tk_he_gb300*cf_chip+(1-cust_sh)*((1-Sens!$J$11027)*tk_he_gb300+Sens!$J$11027*tk_he_vr200)</f>
        <v>11.5559410033471</v>
      </c>
      <c r="K11028" s="36" t="n">
        <f aca="false">cust_sh*tk_he_gb300*cf_chip+(1-cust_sh)*((1-Sens!$K$11027)*tk_he_gb300+Sens!$K$11027*tk_he_vr200)</f>
        <v>11.5559410033471</v>
      </c>
      <c r="L11028" s="36" t="n">
        <f aca="false">cust_sh*tk_he_gb300*cf_chip+(1-cust_sh)*((1-Sens!$L$11027)*tk_he_gb300+Sens!$L$11027*tk_he_vr200)</f>
        <v>11.5559410033471</v>
      </c>
      <c r="M11028" s="36" t="n">
        <f aca="false">cust_sh*tk_he_gb300*cf_chip+(1-cust_sh)*((1-Sens!$M$11027)*tk_he_gb300+Sens!$M$11027*tk_he_vr200)</f>
        <v>11.5559410033471</v>
      </c>
    </row>
    <row r="11029" customFormat="false" ht="17.15" hidden="false" customHeight="false" outlineLevel="0" collapsed="false">
      <c r="A11029" s="5" t="s">
        <v>604</v>
      </c>
      <c r="B11029" s="0" t="s">
        <v>173</v>
      </c>
      <c r="F11029" s="36" t="n">
        <f aca="false">cust_sh*tk_ox_gb300+(1-cust_sh)*((1-Sens!$F$11027)*tk_ox_gb300+Sens!$F$11027*tk_ox_vr200)</f>
        <v>1.98263481314457</v>
      </c>
      <c r="G11029" s="36" t="n">
        <f aca="false">cust_sh*tk_ox_gb300+(1-cust_sh)*((1-Sens!$G$11027)*tk_ox_gb300+Sens!$G$11027*tk_ox_vr200)</f>
        <v>1.98263481314457</v>
      </c>
      <c r="H11029" s="36" t="n">
        <f aca="false">cust_sh*tk_ox_gb300+(1-cust_sh)*((1-Sens!$H$11027)*tk_ox_gb300+Sens!$H$11027*tk_ox_vr200)</f>
        <v>2.01034999693694</v>
      </c>
      <c r="I11029" s="36" t="n">
        <f aca="false">cust_sh*tk_ox_gb300+(1-cust_sh)*((1-Sens!$I$11027)*tk_ox_gb300+Sens!$I$11027*tk_ox_vr200)</f>
        <v>2.0380651807293</v>
      </c>
      <c r="J11029" s="36" t="n">
        <f aca="false">cust_sh*tk_ox_gb300+(1-cust_sh)*((1-Sens!$J$11027)*tk_ox_gb300+Sens!$J$11027*tk_ox_vr200)</f>
        <v>2.0380651807293</v>
      </c>
      <c r="K11029" s="36" t="n">
        <f aca="false">cust_sh*tk_ox_gb300+(1-cust_sh)*((1-Sens!$K$11027)*tk_ox_gb300+Sens!$K$11027*tk_ox_vr200)</f>
        <v>2.0380651807293</v>
      </c>
      <c r="L11029" s="36" t="n">
        <f aca="false">cust_sh*tk_ox_gb300+(1-cust_sh)*((1-Sens!$L$11027)*tk_ox_gb300+Sens!$L$11027*tk_ox_vr200)</f>
        <v>2.0380651807293</v>
      </c>
      <c r="M11029" s="36" t="n">
        <f aca="false">cust_sh*tk_ox_gb300+(1-cust_sh)*((1-Sens!$M$11027)*tk_ox_gb300+Sens!$M$11027*tk_ox_vr200)</f>
        <v>2.0380651807293</v>
      </c>
    </row>
    <row r="11030" customFormat="false" ht="17.15" hidden="false" customHeight="false" outlineLevel="0" collapsed="false">
      <c r="A11030" s="5" t="s">
        <v>605</v>
      </c>
      <c r="B11030" s="0" t="s">
        <v>192</v>
      </c>
      <c r="F11030" s="36" t="n">
        <f aca="false">cust_sh*tk_cx_gb300*cf_cx+(1-cust_sh)*((1-Sens!$F$11027)*tk_cx_gb300+Sens!$F$11027*tk_cx_vr200)</f>
        <v>32.237224</v>
      </c>
      <c r="G11030" s="36" t="n">
        <f aca="false">cust_sh*tk_cx_gb300*cf_cx+(1-cust_sh)*((1-Sens!$G$11027)*tk_cx_gb300+Sens!$G$11027*tk_cx_vr200)</f>
        <v>32.237224</v>
      </c>
      <c r="H11030" s="36" t="n">
        <f aca="false">cust_sh*tk_cx_gb300*cf_cx+(1-cust_sh)*((1-Sens!$H$11027)*tk_cx_gb300+Sens!$H$11027*tk_cx_vr200)</f>
        <v>33.574506</v>
      </c>
      <c r="I11030" s="36" t="n">
        <f aca="false">cust_sh*tk_cx_gb300*cf_cx+(1-cust_sh)*((1-Sens!$I$11027)*tk_cx_gb300+Sens!$I$11027*tk_cx_vr200)</f>
        <v>34.911788</v>
      </c>
      <c r="J11030" s="36" t="n">
        <f aca="false">cust_sh*tk_cx_gb300*cf_cx+(1-cust_sh)*((1-Sens!$J$11027)*tk_cx_gb300+Sens!$J$11027*tk_cx_vr200)</f>
        <v>34.911788</v>
      </c>
      <c r="K11030" s="36" t="n">
        <f aca="false">cust_sh*tk_cx_gb300*cf_cx+(1-cust_sh)*((1-Sens!$K$11027)*tk_cx_gb300+Sens!$K$11027*tk_cx_vr200)</f>
        <v>34.911788</v>
      </c>
      <c r="L11030" s="36" t="n">
        <f aca="false">cust_sh*tk_cx_gb300*cf_cx+(1-cust_sh)*((1-Sens!$L$11027)*tk_cx_gb300+Sens!$L$11027*tk_cx_vr200)</f>
        <v>34.911788</v>
      </c>
      <c r="M11030" s="36" t="n">
        <f aca="false">cust_sh*tk_cx_gb300*cf_cx+(1-cust_sh)*((1-Sens!$M$11027)*tk_cx_gb300+Sens!$M$11027*tk_cx_vr200)</f>
        <v>34.911788</v>
      </c>
    </row>
    <row r="11031" customFormat="false" ht="17.15" hidden="false" customHeight="false" outlineLevel="0" collapsed="false">
      <c r="A11031" s="5" t="s">
        <v>606</v>
      </c>
      <c r="B11031" s="0" t="s">
        <v>129</v>
      </c>
      <c r="F11031" s="32" t="n">
        <f aca="false">Sens!$F$11021-mw_open</f>
        <v>1817.15</v>
      </c>
      <c r="G11031" s="32" t="n">
        <f aca="false">Sens!$F$11031</f>
        <v>1817.15</v>
      </c>
      <c r="H11031" s="32" t="n">
        <f aca="false">Sens!$H$11021-mw_open</f>
        <v>5451.45</v>
      </c>
      <c r="I11031" s="32" t="n">
        <f aca="false">Sens!$I$11021-mw_open</f>
        <v>9085.75</v>
      </c>
      <c r="J11031" s="32" t="n">
        <f aca="false">Sens!$J$11021-mw_open</f>
        <v>12720.05</v>
      </c>
      <c r="K11031" s="32" t="n">
        <f aca="false">Sens!$K$11021-mw_open</f>
        <v>15290.9171666667</v>
      </c>
      <c r="L11031" s="32" t="n">
        <f aca="false">Sens!$L$11021-mw_open</f>
        <v>16798.3515</v>
      </c>
      <c r="M11031" s="32" t="n">
        <f aca="false">Sens!$M$11021-mw_open</f>
        <v>17242.353</v>
      </c>
    </row>
    <row r="11032" customFormat="false" ht="17.15" hidden="false" customHeight="false" outlineLevel="0" collapsed="false">
      <c r="A11032" s="0" t="s">
        <v>607</v>
      </c>
      <c r="B11032" s="0" t="s">
        <v>608</v>
      </c>
      <c r="F11032" s="32" t="n">
        <f aca="false">Sens!$F$11024*Sens!$F$11028</f>
        <v>19782.2417524844</v>
      </c>
      <c r="G11032" s="32" t="n">
        <f aca="false">Sens!$F$11032</f>
        <v>19782.2417524844</v>
      </c>
      <c r="H11032" s="32" t="n">
        <f aca="false">Sens!$G$11032+Sens!$H$11024*Sens!$H$11028</f>
        <v>60563.3616992009</v>
      </c>
      <c r="I11032" s="32" t="n">
        <f aca="false">Sens!$H$11032+Sens!$I$11024*Sens!$I$11028</f>
        <v>102561.118087665</v>
      </c>
      <c r="J11032" s="32" t="n">
        <f aca="false">Sens!$I$11032+Sens!$J$11024*Sens!$J$11028</f>
        <v>144558.87447613</v>
      </c>
      <c r="K11032" s="32" t="n">
        <f aca="false">Sens!$J$11032+Sens!$K$11024*Sens!$K$11028</f>
        <v>174267.663781572</v>
      </c>
      <c r="L11032" s="32" t="n">
        <f aca="false">Sens!$K$11032+Sens!$L$11024*Sens!$L$11028</f>
        <v>191687.486003992</v>
      </c>
      <c r="M11032" s="32" t="n">
        <f aca="false">Sens!$L$11032+Sens!$M$11024*Sens!$M$11028</f>
        <v>196818.341143389</v>
      </c>
    </row>
    <row r="11033" customFormat="false" ht="17.15" hidden="false" customHeight="false" outlineLevel="0" collapsed="false">
      <c r="A11033" s="0" t="s">
        <v>609</v>
      </c>
      <c r="B11033" s="0" t="s">
        <v>608</v>
      </c>
      <c r="F11033" s="32" t="n">
        <f aca="false">Sens!$F$11024*Sens!$F$11029</f>
        <v>3602.74485070566</v>
      </c>
      <c r="G11033" s="32" t="n">
        <f aca="false">Sens!$F$11033</f>
        <v>3602.74485070566</v>
      </c>
      <c r="H11033" s="32" t="n">
        <f aca="false">Sens!$G$11033+Sens!$H$11024*Sens!$H$11029</f>
        <v>10908.9598445736</v>
      </c>
      <c r="I11033" s="32" t="n">
        <f aca="false">Sens!$H$11033+Sens!$I$11024*Sens!$I$11029</f>
        <v>18315.9001308981</v>
      </c>
      <c r="J11033" s="32" t="n">
        <f aca="false">Sens!$I$11033+Sens!$J$11024*Sens!$J$11029</f>
        <v>25722.8404172225</v>
      </c>
      <c r="K11033" s="32" t="n">
        <f aca="false">Sens!$J$11033+Sens!$K$11024*Sens!$K$11029</f>
        <v>30962.4352738861</v>
      </c>
      <c r="L11033" s="32" t="n">
        <f aca="false">Sens!$K$11033+Sens!$L$11024*Sens!$L$11029</f>
        <v>34034.6847008886</v>
      </c>
      <c r="M11033" s="32" t="n">
        <f aca="false">Sens!$L$11033+Sens!$M$11024*Sens!$M$11029</f>
        <v>34939.5886982302</v>
      </c>
    </row>
    <row r="11034" customFormat="false" ht="17.15" hidden="false" customHeight="false" outlineLevel="0" collapsed="false">
      <c r="A11034" s="5" t="s">
        <v>610</v>
      </c>
      <c r="B11034" s="0" t="s">
        <v>173</v>
      </c>
      <c r="F11034" s="36" t="n">
        <f aca="false">IF(Sens!$F$11031&gt;0,Sens!$F$11032/Sens!$F$11031,Sens!$F$11028)</f>
        <v>10.8864110021101</v>
      </c>
      <c r="G11034" s="36" t="n">
        <f aca="false">IF(Sens!$G$11031&gt;0,Sens!$G$11032/Sens!$G$11031,Sens!$G$11028)</f>
        <v>10.8864110021101</v>
      </c>
      <c r="H11034" s="36" t="n">
        <f aca="false">IF(Sens!$H$11031&gt;0,Sens!$H$11032/Sens!$H$11031,Sens!$H$11028)</f>
        <v>11.1095876691891</v>
      </c>
      <c r="I11034" s="36" t="n">
        <f aca="false">IF(Sens!$I$11031&gt;0,Sens!$I$11032/Sens!$I$11031,Sens!$I$11028)</f>
        <v>11.2881290028523</v>
      </c>
      <c r="J11034" s="36" t="n">
        <f aca="false">IF(Sens!$J$11031&gt;0,Sens!$J$11032/Sens!$J$11031,Sens!$J$11028)</f>
        <v>11.3646467172794</v>
      </c>
      <c r="K11034" s="36" t="n">
        <f aca="false">IF(Sens!$K$11031&gt;0,Sens!$K$11032/Sens!$K$11031,Sens!$K$11028)</f>
        <v>11.3968090914432</v>
      </c>
      <c r="L11034" s="36" t="n">
        <f aca="false">IF(Sens!$L$11031&gt;0,Sens!$L$11032/Sens!$L$11031,Sens!$L$11028)</f>
        <v>11.4110891181192</v>
      </c>
      <c r="M11034" s="36" t="n">
        <f aca="false">IF(Sens!$M$11031&gt;0,Sens!$M$11032/Sens!$M$11031,Sens!$M$11028)</f>
        <v>11.4148191458201</v>
      </c>
    </row>
    <row r="11035" customFormat="false" ht="17.15" hidden="false" customHeight="false" outlineLevel="0" collapsed="false">
      <c r="A11035" s="5" t="s">
        <v>611</v>
      </c>
      <c r="B11035" s="0" t="s">
        <v>173</v>
      </c>
      <c r="F11035" s="36" t="n">
        <f aca="false">IF(Sens!$F$11031&gt;0,Sens!$F$11033/Sens!$F$11031,Sens!$F$11029)</f>
        <v>1.98263481314457</v>
      </c>
      <c r="G11035" s="36" t="n">
        <f aca="false">IF(Sens!$G$11031&gt;0,Sens!$G$11033/Sens!$G$11031,Sens!$G$11029)</f>
        <v>1.98263481314457</v>
      </c>
      <c r="H11035" s="36" t="n">
        <f aca="false">IF(Sens!$H$11031&gt;0,Sens!$H$11033/Sens!$H$11031,Sens!$H$11029)</f>
        <v>2.00111160233948</v>
      </c>
      <c r="I11035" s="36" t="n">
        <f aca="false">IF(Sens!$I$11031&gt;0,Sens!$I$11033/Sens!$I$11031,Sens!$I$11029)</f>
        <v>2.01589303369541</v>
      </c>
      <c r="J11035" s="36" t="n">
        <f aca="false">IF(Sens!$J$11031&gt;0,Sens!$J$11033/Sens!$J$11031,Sens!$J$11029)</f>
        <v>2.02222793284795</v>
      </c>
      <c r="K11035" s="36" t="n">
        <f aca="false">IF(Sens!$K$11031&gt;0,Sens!$K$11033/Sens!$K$11031,Sens!$K$11029)</f>
        <v>2.02489065478573</v>
      </c>
      <c r="L11035" s="36" t="n">
        <f aca="false">IF(Sens!$L$11031&gt;0,Sens!$L$11033/Sens!$L$11031,Sens!$L$11029)</f>
        <v>2.0260728977417</v>
      </c>
      <c r="M11035" s="36" t="n">
        <f aca="false">IF(Sens!$M$11031&gt;0,Sens!$M$11033/Sens!$M$11031,Sens!$M$11029)</f>
        <v>2.02638170661685</v>
      </c>
    </row>
    <row r="11036" customFormat="false" ht="17.15" hidden="false" customHeight="false" outlineLevel="0" collapsed="false">
      <c r="A11036" s="15" t="s">
        <v>612</v>
      </c>
      <c r="B11036" s="14" t="s">
        <v>173</v>
      </c>
      <c r="C11036" s="14"/>
      <c r="D11036" s="14"/>
      <c r="E11036" s="14"/>
      <c r="F11036" s="37" t="n">
        <f aca="false">Sens!$F$11034*k_C</f>
        <v>8.98049677377134</v>
      </c>
      <c r="G11036" s="37" t="n">
        <f aca="false">Sens!$G$11034*k_C</f>
        <v>8.98049677377134</v>
      </c>
      <c r="H11036" s="37" t="n">
        <f aca="false">Sens!$H$11034*k_C</f>
        <v>9.16460128151917</v>
      </c>
      <c r="I11036" s="37" t="n">
        <f aca="false">Sens!$I$11034*k_C</f>
        <v>9.31188488771743</v>
      </c>
      <c r="J11036" s="37" t="n">
        <f aca="false">Sens!$J$11034*k_C</f>
        <v>9.37500643323097</v>
      </c>
      <c r="K11036" s="37" t="n">
        <f aca="false">Sens!$K$11034*k_C</f>
        <v>9.40153805116815</v>
      </c>
      <c r="L11036" s="37" t="n">
        <f aca="false">Sens!$L$11034*k_C</f>
        <v>9.41331803388866</v>
      </c>
      <c r="M11036" s="37" t="n">
        <f aca="false">Sens!$M$11034*k_C</f>
        <v>9.41639503527393</v>
      </c>
      <c r="N11036" s="14"/>
      <c r="O11036" s="14"/>
      <c r="P11036" s="5" t="s">
        <v>613</v>
      </c>
    </row>
    <row r="11037" customFormat="false" ht="17.15" hidden="false" customHeight="false" outlineLevel="0" collapsed="false">
      <c r="A11037" s="5" t="s">
        <v>614</v>
      </c>
      <c r="B11037" s="0" t="s">
        <v>129</v>
      </c>
      <c r="F11037" s="32" t="n">
        <f aca="false">Sens!$F$11031/2</f>
        <v>908.575</v>
      </c>
      <c r="H11037" s="32" t="n">
        <f aca="false">(Sens!$G$11031+Sens!$H$11031)/2</f>
        <v>3634.3</v>
      </c>
      <c r="I11037" s="32" t="n">
        <f aca="false">(Sens!$H$11031+Sens!$I$11031)/2</f>
        <v>7268.6</v>
      </c>
      <c r="J11037" s="32" t="n">
        <f aca="false">(Sens!$I$11031+Sens!$J$11031)/2</f>
        <v>10902.9</v>
      </c>
      <c r="K11037" s="32" t="n">
        <f aca="false">(Sens!$J$11031+Sens!$K$11031)/2</f>
        <v>14005.4835833333</v>
      </c>
      <c r="L11037" s="32" t="n">
        <f aca="false">(Sens!$K$11031+Sens!$L$11031)/2</f>
        <v>16044.6343333333</v>
      </c>
      <c r="M11037" s="32" t="n">
        <f aca="false">(Sens!$L$11031+Sens!$M$11031)/2</f>
        <v>17020.35225</v>
      </c>
    </row>
    <row r="11038" customFormat="false" ht="17.15" hidden="false" customHeight="false" outlineLevel="0" collapsed="false">
      <c r="A11038" s="1" t="s">
        <v>615</v>
      </c>
    </row>
    <row r="11039" customFormat="false" ht="17.15" hidden="false" customHeight="false" outlineLevel="0" collapsed="false">
      <c r="A11039" s="1" t="s">
        <v>616</v>
      </c>
      <c r="B11039" s="8" t="s">
        <v>86</v>
      </c>
      <c r="C11039" s="38" t="n">
        <f aca="false">Sens!$C$11022*rpm_open*Sens!$C$11023/1000</f>
        <v>2.32100535697364</v>
      </c>
      <c r="D11039" s="38" t="n">
        <f aca="false">Sens!$D$11022*rpm_open*Sens!$D$11023/1000</f>
        <v>8.70377008865116</v>
      </c>
      <c r="E11039" s="38" t="n">
        <f aca="false">Sens!$E$11022*rpm_open*Sens!$E$11023/1000</f>
        <v>8.51035297557002</v>
      </c>
      <c r="F11039" s="38" t="n">
        <f aca="false">(mw_open*rpm_open+Sens!$F$11037*Sens!$F$11036)*Sens!$F$11023/1000</f>
        <v>14.1374173083338</v>
      </c>
      <c r="G11039" s="38" t="n">
        <f aca="false">Sens!$E$11039+Sens!$F$11039</f>
        <v>22.6477702839038</v>
      </c>
      <c r="H11039" s="38" t="n">
        <f aca="false">(mw_open*rpm_open+Sens!$H$11037*Sens!$H$11036)/1000</f>
        <v>53.4222901978634</v>
      </c>
      <c r="I11039" s="38" t="n">
        <f aca="false">(mw_open*rpm_open+Sens!$I$11037*Sens!$I$11036)/1000</f>
        <v>87.7997462553011</v>
      </c>
      <c r="J11039" s="38" t="n">
        <f aca="false">(mw_open*rpm_open+Sens!$J$11037*Sens!$J$11036)/1000</f>
        <v>122.330137401312</v>
      </c>
      <c r="K11039" s="38" t="n">
        <f aca="false">(mw_open*rpm_open+Sens!$K$11037*Sens!$K$11036)/1000</f>
        <v>151.788466594157</v>
      </c>
      <c r="L11039" s="38" t="n">
        <f aca="false">(mw_open*rpm_open+Sens!$L$11037*Sens!$L$11036)/1000</f>
        <v>171.148625477554</v>
      </c>
      <c r="M11039" s="38" t="n">
        <f aca="false">(mw_open*rpm_open+Sens!$M$11037*Sens!$M$11036)/1000</f>
        <v>180.385740185952</v>
      </c>
      <c r="N11039" s="38" t="n">
        <f aca="false">Sens!$N$11022*rpm_open*Sens!$N$11023/1000</f>
        <v>3.04631953102791</v>
      </c>
      <c r="O11039" s="38" t="n">
        <f aca="false">Sens!$O$11022*rpm_open*Sens!$O$11023/1000</f>
        <v>5.65745055762326</v>
      </c>
      <c r="P11039" s="5" t="s">
        <v>617</v>
      </c>
    </row>
    <row r="11040" customFormat="false" ht="17.15" hidden="false" customHeight="false" outlineLevel="0" collapsed="false">
      <c r="A11040" s="5" t="s">
        <v>618</v>
      </c>
      <c r="B11040" s="0" t="s">
        <v>173</v>
      </c>
      <c r="C11040" s="36" t="n">
        <f aca="false">Sens!$C$11039*1000/(Sens!$C$11022*Sens!$C$11023)</f>
        <v>9.67085565405685</v>
      </c>
      <c r="D11040" s="36" t="n">
        <f aca="false">Sens!$D$11039*1000/(Sens!$D$11022*Sens!$D$11023)</f>
        <v>9.67085565405685</v>
      </c>
      <c r="E11040" s="36" t="n">
        <f aca="false">Sens!$E$11039*1000/(Sens!$E$11022*Sens!$E$11023)</f>
        <v>9.67085565405685</v>
      </c>
      <c r="F11040" s="36" t="n">
        <f aca="false">Sens!$F$11039*1000/(Sens!$F$11022*Sens!$F$11023)</f>
        <v>9.46097542028142</v>
      </c>
      <c r="G11040" s="36" t="n">
        <f aca="false">Sens!$G$11039*1000/(Sens!$G$11022*Sens!$G$11023)</f>
        <v>9.53876490690525</v>
      </c>
      <c r="H11040" s="36" t="n">
        <f aca="false">Sens!$H$11039*1000/(Sens!$H$11022*Sens!$H$11023)</f>
        <v>9.34887741243255</v>
      </c>
      <c r="I11040" s="36" t="n">
        <f aca="false">Sens!$I$11039*1000/(Sens!$I$11022*Sens!$I$11023)</f>
        <v>9.39175344493305</v>
      </c>
      <c r="J11040" s="36" t="n">
        <f aca="false">Sens!$J$11039*1000/(Sens!$J$11022*Sens!$J$11023)</f>
        <v>9.42240465545542</v>
      </c>
      <c r="K11040" s="36" t="n">
        <f aca="false">Sens!$K$11039*1000/(Sens!$K$11022*Sens!$K$11023)</f>
        <v>9.43636327797009</v>
      </c>
      <c r="L11040" s="36" t="n">
        <f aca="false">Sens!$L$11039*1000/(Sens!$L$11022*Sens!$L$11023)</f>
        <v>9.4428732922237</v>
      </c>
      <c r="M11040" s="36" t="n">
        <f aca="false">Sens!$M$11039*1000/(Sens!$M$11022*Sens!$M$11023)</f>
        <v>9.44410541883864</v>
      </c>
      <c r="N11040" s="36" t="n">
        <f aca="false">Sens!$N$11039*1000/(Sens!$N$11022*Sens!$N$11023)</f>
        <v>9.67085565405685</v>
      </c>
      <c r="O11040" s="36" t="n">
        <f aca="false">Sens!$O$11039*1000/(Sens!$O$11022*Sens!$O$11023)</f>
        <v>9.67085565405685</v>
      </c>
    </row>
    <row r="11041" customFormat="false" ht="17.15" hidden="false" customHeight="false" outlineLevel="0" collapsed="false">
      <c r="A11041" s="0" t="s">
        <v>619</v>
      </c>
      <c r="B11041" s="0" t="s">
        <v>86</v>
      </c>
      <c r="C11041" s="38" t="n">
        <f aca="false">Sens!$C$11022/ext_sh*(ox_open+rent_mw)*Sens!$C$11023/1000</f>
        <v>0.642569210675032</v>
      </c>
      <c r="D11041" s="38" t="n">
        <f aca="false">Sens!$D$11022/ext_sh*(ox_open+rent_mw)*Sens!$D$11023/1000</f>
        <v>2.40963454003137</v>
      </c>
      <c r="E11041" s="38" t="n">
        <f aca="false">Sens!$E$11022/ext_sh*(ox_open+rent_mw)*Sens!$E$11023/1000</f>
        <v>2.35608710580845</v>
      </c>
      <c r="F11041" s="38" t="n">
        <f aca="false">((mw_open*ox_open+Sens!$F$11037*Sens!$F$11035)/ext_sh+Sens!$F$11022/ext_sh*rent_mw)*Sens!$F$11023/1000</f>
        <v>4.05421991106232</v>
      </c>
      <c r="G11041" s="38" t="n">
        <f aca="false">Sens!$E$11041+Sens!$F$11041</f>
        <v>6.41030701687077</v>
      </c>
      <c r="H11041" s="38" t="n">
        <f aca="false">((mw_open*ox_open+Sens!$H$11037*Sens!$H$11035)/ext_sh+Sens!$H$11022/ext_sh*rent_mw)*Sens!$H$11023/1000</f>
        <v>15.8108975546616</v>
      </c>
      <c r="I11041" s="38" t="n">
        <f aca="false">((mw_open*ox_open+Sens!$I$11037*Sens!$I$11035)/ext_sh+Sens!$I$11022/ext_sh*rent_mw)*Sens!$I$11023/1000</f>
        <v>26.1871623400817</v>
      </c>
      <c r="J11041" s="38" t="n">
        <f aca="false">((mw_open*ox_open+Sens!$J$11037*Sens!$J$11035)/ext_sh+Sens!$J$11022/ext_sh*rent_mw)*Sens!$J$11023/1000</f>
        <v>36.5826128954935</v>
      </c>
      <c r="K11041" s="38" t="n">
        <f aca="false">((mw_open*ox_open+Sens!$K$11037*Sens!$K$11035)/ext_sh+Sens!$K$11022/ext_sh*rent_mw)*Sens!$K$11023/1000</f>
        <v>45.4546361137628</v>
      </c>
      <c r="L11041" s="38" t="n">
        <f aca="false">((mw_open*ox_open+Sens!$L$11037*Sens!$L$11035)/ext_sh+Sens!$L$11022/ext_sh*rent_mw)*Sens!$L$11023/1000</f>
        <v>51.2855695554452</v>
      </c>
      <c r="M11041" s="38" t="n">
        <f aca="false">((mw_open*ox_open+Sens!$M$11037*Sens!$M$11035)/ext_sh+Sens!$M$11022/ext_sh*rent_mw)*Sens!$M$11023/1000</f>
        <v>54.0722927838398</v>
      </c>
      <c r="N11041" s="38" t="n">
        <f aca="false">Sens!$N$11022/ext_sh*(ox_open+rent_mw)*Sens!$N$11023/1000</f>
        <v>0.84337208901098</v>
      </c>
      <c r="O11041" s="38" t="n">
        <f aca="false">Sens!$O$11022/ext_sh*(ox_open+rent_mw)*Sens!$O$11023/1000</f>
        <v>1.56626245102039</v>
      </c>
    </row>
    <row r="11042" customFormat="false" ht="17.15" hidden="false" customHeight="false" outlineLevel="0" collapsed="false">
      <c r="A11042" s="0" t="s">
        <v>620</v>
      </c>
      <c r="B11042" s="0" t="s">
        <v>86</v>
      </c>
      <c r="C11042" s="38" t="n">
        <f aca="false">Q!$D$7</f>
        <v>107.556</v>
      </c>
      <c r="D11042" s="38" t="n">
        <f aca="false">Q!$E$7</f>
        <v>128.725</v>
      </c>
      <c r="E11042" s="38" t="n">
        <f aca="false">Q!$P$7</f>
        <v>79.819</v>
      </c>
      <c r="N11042" s="38" t="n">
        <f aca="false">Q!$N$7</f>
        <v>60.14</v>
      </c>
      <c r="O11042" s="38" t="n">
        <f aca="false">Q!$O$7</f>
        <v>68.585</v>
      </c>
    </row>
    <row r="11043" customFormat="false" ht="17.15" hidden="false" customHeight="false" outlineLevel="0" collapsed="false">
      <c r="A11043" s="1" t="s">
        <v>621</v>
      </c>
      <c r="B11043" s="8" t="s">
        <v>86</v>
      </c>
      <c r="C11043" s="38" t="n">
        <f aca="false">Sens!$C$11042-Sens!$C$11039</f>
        <v>105.234994643026</v>
      </c>
      <c r="D11043" s="38" t="n">
        <f aca="false">Sens!$D$11042-Sens!$D$11039</f>
        <v>120.021229911349</v>
      </c>
      <c r="E11043" s="38" t="n">
        <f aca="false">Sens!$E$11042-Sens!$E$11039</f>
        <v>71.30864702443</v>
      </c>
      <c r="F11043" s="38" t="n">
        <f aca="false">Sens!$O$11043*(1+Sens!$F$11044)</f>
        <v>71.7692997942464</v>
      </c>
      <c r="G11043" s="38" t="n">
        <f aca="false">Sens!$E$11043+Sens!$F$11043</f>
        <v>143.077946818676</v>
      </c>
      <c r="H11043" s="38" t="n">
        <f aca="false">Sens!$G$11043*(1+Sens!$H$11044)</f>
        <v>161.017077079203</v>
      </c>
      <c r="I11043" s="38" t="n">
        <f aca="false">Sens!$H$11043*(1+Sens!$I$11044)</f>
        <v>178.769759521457</v>
      </c>
      <c r="J11043" s="38" t="n">
        <f aca="false">Sens!$I$11043*(1+Sens!$J$11044)</f>
        <v>195.775538045907</v>
      </c>
      <c r="K11043" s="38" t="n">
        <f aca="false">Sens!$J$11043*(1+Sens!$K$11044)</f>
        <v>211.43758108958</v>
      </c>
      <c r="L11043" s="38" t="n">
        <f aca="false">Sens!$K$11043*(1+Sens!$L$11044)</f>
        <v>228.352587576746</v>
      </c>
      <c r="M11043" s="38" t="n">
        <f aca="false">Sens!$L$11043*(1+Sens!$M$11044)</f>
        <v>246.620794582886</v>
      </c>
      <c r="N11043" s="38" t="n">
        <f aca="false">Sens!$N$11042-Sens!$N$11039</f>
        <v>57.0936804689721</v>
      </c>
      <c r="O11043" s="38" t="n">
        <f aca="false">Sens!$O$11042-Sens!$O$11039</f>
        <v>62.9275494423768</v>
      </c>
      <c r="P11043" s="5" t="s">
        <v>622</v>
      </c>
    </row>
    <row r="11044" customFormat="false" ht="17.15" hidden="false" customHeight="false" outlineLevel="0" collapsed="false">
      <c r="A11044" s="0" t="s">
        <v>623</v>
      </c>
      <c r="B11044" s="0" t="s">
        <v>52</v>
      </c>
      <c r="D11044" s="13" t="n">
        <f aca="false">Sens!$D$11043/Sens!$C$11043-1</f>
        <v>0.140506827776062</v>
      </c>
      <c r="E11044" s="13" t="n">
        <f aca="false">Sens!$E$11043/Sens!$N$11043-1</f>
        <v>0.248976181579029</v>
      </c>
      <c r="F11044" s="13" t="n">
        <f aca="false">Sens!$D$11044</f>
        <v>0.140506827776062</v>
      </c>
      <c r="G11044" s="13" t="n">
        <f aca="false">Sens!$G$11043/Sens!$D$11043-1</f>
        <v>0.19210532106993</v>
      </c>
      <c r="H11044" s="13" t="n">
        <f aca="false">Sens!$F$11044+(g_awso_lt-Sens!$F$11044)*1/4</f>
        <v>0.125380120832046</v>
      </c>
      <c r="I11044" s="13" t="n">
        <f aca="false">Sens!$F$11044+(g_awso_lt-Sens!$F$11044)*2/4</f>
        <v>0.110253413888031</v>
      </c>
      <c r="J11044" s="13" t="n">
        <f aca="false">Sens!$F$11044+(g_awso_lt-Sens!$F$11044)*3/4</f>
        <v>0.0951267069440154</v>
      </c>
      <c r="K11044" s="13" t="n">
        <f aca="false">Sens!$F$11044+(g_awso_lt-Sens!$F$11044)*4/4</f>
        <v>0.08</v>
      </c>
      <c r="L11044" s="13" t="n">
        <f aca="false">g_awso_lt</f>
        <v>0.08</v>
      </c>
      <c r="M11044" s="13" t="n">
        <f aca="false">g_awso_lt</f>
        <v>0.08</v>
      </c>
      <c r="P11044" s="5" t="s">
        <v>624</v>
      </c>
    </row>
    <row r="11045" customFormat="false" ht="17.15" hidden="false" customHeight="false" outlineLevel="0" collapsed="false">
      <c r="A11045" s="1" t="s">
        <v>625</v>
      </c>
    </row>
    <row r="11046" customFormat="false" ht="17.15" hidden="false" customHeight="false" outlineLevel="0" collapsed="false">
      <c r="A11046" s="0" t="s">
        <v>626</v>
      </c>
      <c r="B11046" s="0" t="s">
        <v>86</v>
      </c>
      <c r="F11046" s="38" t="n">
        <f aca="false">cx_rt*Sens!$F$11011+cx_awso*Sens!$F$11043</f>
        <v>34.9734495387866</v>
      </c>
    </row>
    <row r="11047" customFormat="false" ht="17.15" hidden="false" customHeight="false" outlineLevel="0" collapsed="false">
      <c r="A11047" s="0" t="s">
        <v>627</v>
      </c>
      <c r="B11047" s="0" t="s">
        <v>52</v>
      </c>
      <c r="C11047" s="13" t="n">
        <f aca="false">tk_cx_h100/(tk_cx_h100+tk_fac*(1-colo_sh))</f>
        <v>0.730756458006641</v>
      </c>
      <c r="D11047" s="13" t="n">
        <f aca="false">tk_cx_h100/(tk_cx_h100+tk_fac*(1-colo_sh))</f>
        <v>0.730756458006641</v>
      </c>
      <c r="E11047" s="13" t="n">
        <f aca="false">Sens!$F$11047</f>
        <v>0.760792334328868</v>
      </c>
      <c r="F11047" s="13" t="n">
        <f aca="false">Sens!$F$11030/(Sens!$F$11030+tk_fac*(1-colo_sh))</f>
        <v>0.760792334328868</v>
      </c>
      <c r="G11047" s="13" t="n">
        <f aca="false">Sens!$G$11030/(Sens!$G$11030+tk_fac*(1-colo_sh))</f>
        <v>0.760792334328868</v>
      </c>
      <c r="H11047" s="13" t="n">
        <f aca="false">Sens!$H$11030/(Sens!$H$11030+tk_fac*(1-colo_sh))</f>
        <v>0.768110668862996</v>
      </c>
      <c r="I11047" s="13" t="n">
        <f aca="false">Sens!$I$11030/(Sens!$I$11030+tk_fac*(1-colo_sh))</f>
        <v>0.77499450139483</v>
      </c>
      <c r="J11047" s="13" t="n">
        <f aca="false">Sens!$J$11030/(Sens!$J$11030+tk_fac*(1-colo_sh))</f>
        <v>0.77499450139483</v>
      </c>
      <c r="K11047" s="13" t="n">
        <f aca="false">Sens!$K$11030/(Sens!$K$11030+tk_fac*(1-colo_sh))</f>
        <v>0.77499450139483</v>
      </c>
      <c r="L11047" s="13" t="n">
        <f aca="false">Sens!$L$11030/(Sens!$L$11030+tk_fac*(1-colo_sh))</f>
        <v>0.77499450139483</v>
      </c>
      <c r="M11047" s="13" t="n">
        <f aca="false">Sens!$M$11030/(Sens!$M$11030+tk_fac*(1-colo_sh))</f>
        <v>0.77499450139483</v>
      </c>
    </row>
    <row r="11048" customFormat="false" ht="17.15" hidden="false" customHeight="false" outlineLevel="0" collapsed="false">
      <c r="A11048" s="1" t="s">
        <v>628</v>
      </c>
      <c r="B11048" s="8" t="s">
        <v>86</v>
      </c>
      <c r="C11048" s="38" t="n">
        <f aca="false">Q!$D$46-cx_rt*Q!$D$16-cx_awso*Sens!$C$11043</f>
        <v>25.2781053077374</v>
      </c>
      <c r="D11048" s="38" t="n">
        <f aca="false">Q!$E$46-cx_rt*Q!$E$16-cx_awso*Sens!$D$11043</f>
        <v>69.5686316310026</v>
      </c>
      <c r="E11048" s="38" t="n">
        <f aca="false">Q!$P$46-cx_rt*Q!$P$16-cx_awso*Sens!$E$11043</f>
        <v>64.1899206485108</v>
      </c>
      <c r="F11048" s="38" t="n">
        <f aca="false">MAX(Sens!$F$11025*(Sens!$F$11030+tk_fac*(1-colo_sh))/1000,capex_g26-Q!$P$46-Sens!$F$11046)</f>
        <v>96.2481299895</v>
      </c>
      <c r="G11048" s="38" t="n">
        <f aca="false">Sens!$E$11048+Sens!$F$11048</f>
        <v>160.438050638011</v>
      </c>
      <c r="H11048" s="38" t="n">
        <f aca="false">Sens!$H$11025*(Sens!$H$11030+tk_fac*(1-colo_sh))/1000+Sens!$H$11049</f>
        <v>198.57136494475</v>
      </c>
      <c r="I11048" s="38" t="n">
        <f aca="false">Sens!$I$11025*(Sens!$I$11030+tk_fac*(1-colo_sh))/1000+Sens!$I$11049</f>
        <v>204.6464699105</v>
      </c>
      <c r="J11048" s="38" t="n">
        <f aca="false">Sens!$J$11025*(Sens!$J$11030+tk_fac*(1-colo_sh))/1000+Sens!$J$11049</f>
        <v>209.8832381105</v>
      </c>
      <c r="K11048" s="38" t="n">
        <f aca="false">Sens!$K$11025*(Sens!$K$11030+tk_fac*(1-colo_sh))/1000+Sens!$K$11049</f>
        <v>155.238385275201</v>
      </c>
      <c r="L11048" s="38" t="n">
        <f aca="false">Sens!$L$11025*(Sens!$L$11030+tk_fac*(1-colo_sh))/1000+Sens!$L$11049</f>
        <v>132.014141639902</v>
      </c>
      <c r="M11048" s="38" t="n">
        <f aca="false">Sens!$M$11025*(Sens!$M$11030+tk_fac*(1-colo_sh))/1000+Sens!$M$11049</f>
        <v>132.230981659852</v>
      </c>
      <c r="P11048" s="5" t="s">
        <v>629</v>
      </c>
      <c r="R11048" s="38" t="n">
        <f aca="false">Q!$C$46-cx_rt*Q!$C$16-cx_awso*(Q!$C$7-mw_ye23/2*rpm_open/1000)</f>
        <v>1.50429979529945</v>
      </c>
      <c r="S11048" s="38" t="n">
        <f aca="false">Sens!$C$11048</f>
        <v>25.2781053077374</v>
      </c>
      <c r="T11048" s="38" t="n">
        <f aca="false">Sens!$D$11048</f>
        <v>69.5686316310026</v>
      </c>
      <c r="U11048" s="38" t="n">
        <f aca="false">Sens!$G$11048</f>
        <v>160.438050638011</v>
      </c>
      <c r="V11048" s="38" t="n">
        <f aca="false">Sens!$H$11048</f>
        <v>198.57136494475</v>
      </c>
      <c r="W11048" s="38" t="n">
        <f aca="false">Sens!$I$11048</f>
        <v>204.6464699105</v>
      </c>
      <c r="X11048" s="38" t="n">
        <f aca="false">Sens!$J$11048</f>
        <v>209.8832381105</v>
      </c>
      <c r="Y11048" s="38" t="n">
        <f aca="false">Sens!$K$11048</f>
        <v>155.238385275201</v>
      </c>
      <c r="Z11048" s="38" t="n">
        <f aca="false">Sens!$L$11048</f>
        <v>132.014141639902</v>
      </c>
      <c r="AA11048" s="38" t="n">
        <f aca="false">Sens!$M$11048</f>
        <v>132.230981659852</v>
      </c>
    </row>
    <row r="11049" customFormat="false" ht="17.15" hidden="false" customHeight="false" outlineLevel="0" collapsed="false">
      <c r="A11049" s="0" t="s">
        <v>630</v>
      </c>
      <c r="B11049" s="0" t="s">
        <v>86</v>
      </c>
      <c r="H11049" s="38" t="n">
        <f aca="false">SUMPRODUCT(--(Sens!$R$11018:$AA$11018=2027-tk_life),Sens!$R$11025:$AA$11025)*Sens!$H$11030/1000</f>
        <v>0</v>
      </c>
      <c r="I11049" s="38" t="n">
        <f aca="false">SUMPRODUCT(--(Sens!$R$11018:$AA$11018=2028-tk_life),Sens!$R$11025:$AA$11025)*Sens!$I$11030/1000</f>
        <v>0</v>
      </c>
      <c r="J11049" s="38" t="n">
        <f aca="false">SUMPRODUCT(--(Sens!$R$11018:$AA$11018=2029-tk_life),Sens!$R$11025:$AA$11025)*Sens!$J$11030/1000</f>
        <v>5.2367682</v>
      </c>
      <c r="K11049" s="38" t="n">
        <f aca="false">SUMPRODUCT(--(Sens!$R$11018:$AA$11018=2030-tk_life),Sens!$R$11025:$AA$11025)*Sens!$K$11030/1000</f>
        <v>10.4735364</v>
      </c>
      <c r="L11049" s="38" t="n">
        <f aca="false">SUMPRODUCT(--(Sens!$R$11018:$AA$11018=2031-tk_life),Sens!$R$11025:$AA$11025)*Sens!$L$11030/1000</f>
        <v>47.1309138</v>
      </c>
      <c r="M11049" s="38" t="n">
        <f aca="false">SUMPRODUCT(--(Sens!$R$11018:$AA$11018=2032-tk_life),Sens!$R$11025:$AA$11025)*Sens!$M$11030/1000</f>
        <v>107.22937485525</v>
      </c>
    </row>
    <row r="11050" customFormat="false" ht="17.15" hidden="false" customHeight="false" outlineLevel="0" collapsed="false">
      <c r="A11050" s="0" t="s">
        <v>631</v>
      </c>
      <c r="B11050" s="0" t="s">
        <v>86</v>
      </c>
      <c r="C11050" s="38" t="n">
        <f aca="false">MIN(Sens!$C$11048,Sens!$C$11025*(tk_cx_h100+tk_fac*(1-colo_sh))/1000)</f>
        <v>11.2938642</v>
      </c>
      <c r="D11050" s="38" t="n">
        <f aca="false">MIN(Sens!$D$11048,Sens!$D$11025*(tk_cx_h100+tk_fac*(1-colo_sh))/1000)</f>
        <v>50.8223889</v>
      </c>
      <c r="E11050" s="38" t="n">
        <f aca="false">MIN(Sens!$E$11048,Sens!$E$11025*(Sens!$F$11030+tk_fac*(1-colo_sh))/1000)</f>
        <v>33.8985792</v>
      </c>
      <c r="F11050" s="38" t="n">
        <f aca="false">Sens!$F$11048</f>
        <v>96.2481299895</v>
      </c>
      <c r="G11050" s="38" t="n">
        <f aca="false">Sens!$E$11050+Sens!$F$11050</f>
        <v>130.1467091895</v>
      </c>
      <c r="H11050" s="38" t="n">
        <f aca="false">Sens!$H$11048</f>
        <v>198.57136494475</v>
      </c>
      <c r="I11050" s="38" t="n">
        <f aca="false">Sens!$I$11048</f>
        <v>204.6464699105</v>
      </c>
      <c r="J11050" s="38" t="n">
        <f aca="false">Sens!$J$11048</f>
        <v>209.8832381105</v>
      </c>
      <c r="K11050" s="38" t="n">
        <f aca="false">Sens!$K$11048</f>
        <v>155.238385275201</v>
      </c>
      <c r="L11050" s="38" t="n">
        <f aca="false">Sens!$L$11048</f>
        <v>132.014141639902</v>
      </c>
      <c r="M11050" s="38" t="n">
        <f aca="false">Sens!$M$11048</f>
        <v>132.230981659852</v>
      </c>
      <c r="P11050" s="5" t="s">
        <v>632</v>
      </c>
      <c r="R11050" s="38" t="n">
        <f aca="false">MIN(Sens!$R$11048,Sens!$R$11025*(tk_cx_h100+tk_fac*(1-colo_sh))/1000)</f>
        <v>1.50429979529945</v>
      </c>
      <c r="S11050" s="38" t="n">
        <f aca="false">Sens!$C$11050</f>
        <v>11.2938642</v>
      </c>
      <c r="T11050" s="38" t="n">
        <f aca="false">Sens!$D$11050</f>
        <v>50.8223889</v>
      </c>
      <c r="U11050" s="38" t="n">
        <f aca="false">Sens!$G$11050</f>
        <v>130.1467091895</v>
      </c>
      <c r="V11050" s="38" t="n">
        <f aca="false">Sens!$H$11050</f>
        <v>198.57136494475</v>
      </c>
      <c r="W11050" s="38" t="n">
        <f aca="false">Sens!$I$11050</f>
        <v>204.6464699105</v>
      </c>
      <c r="X11050" s="38" t="n">
        <f aca="false">Sens!$J$11050</f>
        <v>209.8832381105</v>
      </c>
      <c r="Y11050" s="38" t="n">
        <f aca="false">Sens!$K$11050</f>
        <v>155.238385275201</v>
      </c>
      <c r="Z11050" s="38" t="n">
        <f aca="false">Sens!$L$11050</f>
        <v>132.014141639902</v>
      </c>
      <c r="AA11050" s="38" t="n">
        <f aca="false">Sens!$M$11050</f>
        <v>132.230981659852</v>
      </c>
    </row>
    <row r="11051" customFormat="false" ht="17.15" hidden="false" customHeight="false" outlineLevel="0" collapsed="false">
      <c r="A11051" s="5" t="s">
        <v>633</v>
      </c>
      <c r="B11051" s="0" t="s">
        <v>86</v>
      </c>
      <c r="C11051" s="38" t="n">
        <f aca="false">Sens!$C$11048-Sens!$C$11050</f>
        <v>13.9842411077374</v>
      </c>
      <c r="D11051" s="38" t="n">
        <f aca="false">Sens!$D$11048-Sens!$D$11050</f>
        <v>18.7462427310026</v>
      </c>
      <c r="E11051" s="38" t="n">
        <f aca="false">Sens!$E$11048-Sens!$E$11050</f>
        <v>30.2913414485108</v>
      </c>
      <c r="F11051" s="38" t="n">
        <f aca="false">Sens!$F$11048-Sens!$F$11050</f>
        <v>0</v>
      </c>
      <c r="G11051" s="38" t="n">
        <f aca="false">Sens!$G$11048-Sens!$G$11050</f>
        <v>30.2913414485108</v>
      </c>
      <c r="H11051" s="38" t="n">
        <f aca="false">Sens!$H$11048-Sens!$H$11050</f>
        <v>0</v>
      </c>
      <c r="I11051" s="38" t="n">
        <f aca="false">Sens!$I$11048-Sens!$I$11050</f>
        <v>0</v>
      </c>
      <c r="J11051" s="38" t="n">
        <f aca="false">Sens!$J$11048-Sens!$J$11050</f>
        <v>0</v>
      </c>
      <c r="K11051" s="38" t="n">
        <f aca="false">Sens!$K$11048-Sens!$K$11050</f>
        <v>0</v>
      </c>
      <c r="L11051" s="38" t="n">
        <f aca="false">Sens!$L$11048-Sens!$L$11050</f>
        <v>0</v>
      </c>
      <c r="M11051" s="38" t="n">
        <f aca="false">Sens!$M$11048-Sens!$M$11050</f>
        <v>0</v>
      </c>
    </row>
    <row r="11052" customFormat="false" ht="17.15" hidden="false" customHeight="false" outlineLevel="0" collapsed="false">
      <c r="A11052" s="5" t="s">
        <v>634</v>
      </c>
      <c r="B11052" s="0" t="s">
        <v>86</v>
      </c>
      <c r="C11052" s="38" t="n">
        <f aca="false">Sens!$C$11050*Sens!$C$11047</f>
        <v>8.2530642</v>
      </c>
      <c r="D11052" s="38" t="n">
        <f aca="false">Sens!$D$11050*Sens!$D$11047</f>
        <v>37.1387889</v>
      </c>
      <c r="E11052" s="38" t="n">
        <f aca="false">Sens!$E$11050*Sens!$E$11047</f>
        <v>25.7897792</v>
      </c>
      <c r="F11052" s="38" t="n">
        <f aca="false">Sens!$F$11050*Sens!$F$11047</f>
        <v>73.2248394895</v>
      </c>
      <c r="G11052" s="38" t="n">
        <f aca="false">Sens!$E$11052+Sens!$F$11052</f>
        <v>99.0146186895</v>
      </c>
      <c r="H11052" s="38" t="n">
        <f aca="false">(Sens!$H$11050-Sens!$H$11049)*Sens!$H$11047+Sens!$H$11049</f>
        <v>152.52478394475</v>
      </c>
      <c r="I11052" s="38" t="n">
        <f aca="false">(Sens!$I$11050-Sens!$I$11049)*Sens!$I$11047+Sens!$I$11049</f>
        <v>158.5998889105</v>
      </c>
      <c r="J11052" s="38" t="n">
        <f aca="false">(Sens!$J$11050-Sens!$J$11049)*Sens!$J$11047+Sens!$J$11049</f>
        <v>163.8366571105</v>
      </c>
      <c r="K11052" s="38" t="n">
        <f aca="false">(Sens!$K$11050-Sens!$K$11049)*Sens!$K$11047+Sens!$K$11049</f>
        <v>122.665498273534</v>
      </c>
      <c r="L11052" s="38" t="n">
        <f aca="false">(Sens!$L$11050-Sens!$L$11049)*Sens!$L$11047+Sens!$L$11049</f>
        <v>112.914948636568</v>
      </c>
      <c r="M11052" s="38" t="n">
        <f aca="false">(Sens!$M$11050-Sens!$M$11049)*Sens!$M$11047+Sens!$M$11049</f>
        <v>126.605482654852</v>
      </c>
      <c r="R11052" s="38" t="n">
        <f aca="false">Sens!$R$11050*Sens!$C$11047</f>
        <v>1.09927679019314</v>
      </c>
      <c r="S11052" s="38" t="n">
        <f aca="false">Sens!$C$11052</f>
        <v>8.2530642</v>
      </c>
      <c r="T11052" s="38" t="n">
        <f aca="false">Sens!$D$11052</f>
        <v>37.1387889</v>
      </c>
      <c r="U11052" s="38" t="n">
        <f aca="false">Sens!$G$11052</f>
        <v>99.0146186895</v>
      </c>
      <c r="V11052" s="38" t="n">
        <f aca="false">Sens!$H$11052</f>
        <v>152.52478394475</v>
      </c>
      <c r="W11052" s="38" t="n">
        <f aca="false">Sens!$I$11052</f>
        <v>158.5998889105</v>
      </c>
      <c r="X11052" s="38" t="n">
        <f aca="false">Sens!$J$11052</f>
        <v>163.8366571105</v>
      </c>
      <c r="Y11052" s="38" t="n">
        <f aca="false">Sens!$K$11052</f>
        <v>122.665498273534</v>
      </c>
      <c r="Z11052" s="38" t="n">
        <f aca="false">Sens!$L$11052</f>
        <v>112.914948636568</v>
      </c>
      <c r="AA11052" s="38" t="n">
        <f aca="false">Sens!$M$11052</f>
        <v>126.605482654852</v>
      </c>
    </row>
    <row r="11053" customFormat="false" ht="15" hidden="false" customHeight="false" outlineLevel="0" collapsed="false">
      <c r="A11053" s="5" t="s">
        <v>635</v>
      </c>
      <c r="B11053" s="0" t="s">
        <v>86</v>
      </c>
      <c r="C11053" s="38" t="n">
        <f aca="false">Sens!$C$11050-Sens!$C$11052</f>
        <v>3.0408</v>
      </c>
      <c r="D11053" s="38" t="n">
        <f aca="false">Sens!$D$11050-Sens!$D$11052</f>
        <v>13.6836</v>
      </c>
      <c r="E11053" s="38" t="n">
        <f aca="false">Sens!$E$11050-Sens!$E$11052</f>
        <v>8.1088</v>
      </c>
      <c r="F11053" s="38" t="n">
        <f aca="false">Sens!$F$11050-Sens!$F$11052</f>
        <v>23.0232905</v>
      </c>
      <c r="G11053" s="38" t="n">
        <f aca="false">Sens!$G$11050-Sens!$G$11052</f>
        <v>31.1320905</v>
      </c>
      <c r="H11053" s="38" t="n">
        <f aca="false">Sens!$H$11050-Sens!$H$11052</f>
        <v>46.046581</v>
      </c>
      <c r="I11053" s="38" t="n">
        <f aca="false">Sens!$I$11050-Sens!$I$11052</f>
        <v>46.046581</v>
      </c>
      <c r="J11053" s="38" t="n">
        <f aca="false">Sens!$J$11050-Sens!$J$11052</f>
        <v>46.046581</v>
      </c>
      <c r="K11053" s="38" t="n">
        <f aca="false">Sens!$K$11050-Sens!$K$11052</f>
        <v>32.5728870016667</v>
      </c>
      <c r="L11053" s="38" t="n">
        <f aca="false">Sens!$L$11050-Sens!$L$11052</f>
        <v>19.0991930033334</v>
      </c>
      <c r="M11053" s="38" t="n">
        <f aca="false">Sens!$M$11050-Sens!$M$11052</f>
        <v>5.62549900499998</v>
      </c>
      <c r="R11053" s="38" t="n">
        <f aca="false">Sens!$R$11050-Sens!$R$11052</f>
        <v>0.405023005106309</v>
      </c>
      <c r="S11053" s="38" t="n">
        <f aca="false">Sens!$S$11050-Sens!$S$11052</f>
        <v>3.0408</v>
      </c>
      <c r="T11053" s="38" t="n">
        <f aca="false">Sens!$T$11050-Sens!$T$11052</f>
        <v>13.6836</v>
      </c>
      <c r="U11053" s="38" t="n">
        <f aca="false">Sens!$U$11050-Sens!$U$11052</f>
        <v>31.1320905</v>
      </c>
      <c r="V11053" s="38" t="n">
        <f aca="false">Sens!$V$11050-Sens!$V$11052</f>
        <v>46.046581</v>
      </c>
      <c r="W11053" s="38" t="n">
        <f aca="false">Sens!$W$11050-Sens!$W$11052</f>
        <v>46.046581</v>
      </c>
      <c r="X11053" s="38" t="n">
        <f aca="false">Sens!$X$11050-Sens!$X$11052</f>
        <v>46.046581</v>
      </c>
      <c r="Y11053" s="38" t="n">
        <f aca="false">Sens!$Y$11050-Sens!$Y$11052</f>
        <v>32.5728870016667</v>
      </c>
      <c r="Z11053" s="38" t="n">
        <f aca="false">Sens!$Z$11050-Sens!$Z$11052</f>
        <v>19.0991930033334</v>
      </c>
      <c r="AA11053" s="38" t="n">
        <f aca="false">Sens!$AA$11050-Sens!$AA$11052</f>
        <v>5.62549900499998</v>
      </c>
    </row>
    <row r="11054" customFormat="false" ht="17.15" hidden="false" customHeight="false" outlineLevel="0" collapsed="false">
      <c r="A11054" s="0" t="s">
        <v>636</v>
      </c>
      <c r="B11054" s="0" t="s">
        <v>52</v>
      </c>
      <c r="C11054" s="13" t="n">
        <f aca="false">Sens!$C$11048/Sens!$C$11170</f>
        <v>0.325505489553393</v>
      </c>
      <c r="D11054" s="13" t="n">
        <f aca="false">Sens!$D$11048/Sens!$D$11170</f>
        <v>0.54214956071542</v>
      </c>
      <c r="E11054" s="13" t="n">
        <f aca="false">Sens!$E$11048/Sens!$E$11170</f>
        <v>0.666492790452817</v>
      </c>
      <c r="F11054" s="13" t="n">
        <f aca="false">Sens!$F$11048/Sens!$F$11170</f>
        <v>0.733477910687338</v>
      </c>
      <c r="G11054" s="13" t="n">
        <f aca="false">Sens!$G$11048/Sens!$G$11170</f>
        <v>0.705124321514523</v>
      </c>
      <c r="H11054" s="13" t="n">
        <f aca="false">Sens!$H$11048/Sens!$H$11170</f>
        <v>0.726376041178204</v>
      </c>
      <c r="I11054" s="13" t="n">
        <f aca="false">Sens!$I$11048/Sens!$I$11170</f>
        <v>0.713099092661699</v>
      </c>
      <c r="J11054" s="13" t="n">
        <f aca="false">Sens!$J$11048/Sens!$J$11170</f>
        <v>0.701208348786245</v>
      </c>
      <c r="K11054" s="13" t="n">
        <f aca="false">Sens!$K$11048/Sens!$K$11170</f>
        <v>0.618338844562383</v>
      </c>
      <c r="L11054" s="13" t="n">
        <f aca="false">Sens!$L$11048/Sens!$L$11170</f>
        <v>0.562489158462506</v>
      </c>
      <c r="M11054" s="13" t="n">
        <f aca="false">Sens!$M$11048/Sens!$M$11170</f>
        <v>0.545751190895923</v>
      </c>
    </row>
    <row r="11055" customFormat="false" ht="17.15" hidden="false" customHeight="false" outlineLevel="0" collapsed="false">
      <c r="A11055" s="0" t="s">
        <v>637</v>
      </c>
      <c r="B11055" s="0" t="s">
        <v>86</v>
      </c>
      <c r="C11055" s="38" t="n">
        <f aca="false">Sens!$S$11055</f>
        <v>0.183212798365523</v>
      </c>
      <c r="D11055" s="38" t="n">
        <f aca="false">Sens!$T$11055</f>
        <v>1.55872349836552</v>
      </c>
      <c r="E11055" s="38" t="n">
        <f aca="false">Sens!$G$11055/2</f>
        <v>3.87426082418276</v>
      </c>
      <c r="F11055" s="38" t="n">
        <f aca="false">Sens!$G$11055/2</f>
        <v>3.87426082418276</v>
      </c>
      <c r="G11055" s="38" t="n">
        <f aca="false">Sens!$U$11055</f>
        <v>7.74852164836552</v>
      </c>
      <c r="H11055" s="38" t="n">
        <f aca="false">Sens!$V$11055</f>
        <v>24.2509580966155</v>
      </c>
      <c r="I11055" s="38" t="n">
        <f aca="false">Sens!$W$11055</f>
        <v>49.6717554207405</v>
      </c>
      <c r="J11055" s="38" t="n">
        <f aca="false">Sens!$X$11055</f>
        <v>76.1050702391572</v>
      </c>
      <c r="K11055" s="38" t="n">
        <f aca="false">Sens!$Y$11055</f>
        <v>103.227966959208</v>
      </c>
      <c r="L11055" s="38" t="n">
        <f aca="false">Sens!$Z$11055</f>
        <v>122.296705971464</v>
      </c>
      <c r="M11055" s="38" t="n">
        <f aca="false">Sens!$AA$11055</f>
        <v>134.926065927559</v>
      </c>
      <c r="N11055" s="38" t="n">
        <f aca="false">Sens!$D$11055/2</f>
        <v>0.779361749182762</v>
      </c>
      <c r="O11055" s="38" t="n">
        <f aca="false">Sens!$D$11055/2</f>
        <v>0.779361749182762</v>
      </c>
      <c r="R11055" s="38" t="n">
        <f aca="false">SUMPRODUCT(--(Sens!$R$11018:$AA$11018&lt;Sens!R$11018),--(Sens!$R$11018:$AA$11018&gt;=Sens!R$11018-tk_life),Sens!$R$11052:$AA$11052)/tk_life</f>
        <v>0</v>
      </c>
      <c r="S11055" s="38" t="n">
        <f aca="false">SUMPRODUCT(--(Sens!$R$11018:$AA$11018&lt;Sens!S$11018),--(Sens!$R$11018:$AA$11018&gt;=Sens!S$11018-tk_life),Sens!$R$11052:$AA$11052)/tk_life</f>
        <v>0.183212798365523</v>
      </c>
      <c r="T11055" s="38" t="n">
        <f aca="false">SUMPRODUCT(--(Sens!$R$11018:$AA$11018&lt;Sens!T$11018),--(Sens!$R$11018:$AA$11018&gt;=Sens!T$11018-tk_life),Sens!$R$11052:$AA$11052)/tk_life</f>
        <v>1.55872349836552</v>
      </c>
      <c r="U11055" s="38" t="n">
        <f aca="false">SUMPRODUCT(--(Sens!$R$11018:$AA$11018&lt;Sens!U$11018),--(Sens!$R$11018:$AA$11018&gt;=Sens!U$11018-tk_life),Sens!$R$11052:$AA$11052)/tk_life</f>
        <v>7.74852164836552</v>
      </c>
      <c r="V11055" s="38" t="n">
        <f aca="false">SUMPRODUCT(--(Sens!$R$11018:$AA$11018&lt;Sens!V$11018),--(Sens!$R$11018:$AA$11018&gt;=Sens!V$11018-tk_life),Sens!$R$11052:$AA$11052)/tk_life</f>
        <v>24.2509580966155</v>
      </c>
      <c r="W11055" s="38" t="n">
        <f aca="false">SUMPRODUCT(--(Sens!$R$11018:$AA$11018&lt;Sens!W$11018),--(Sens!$R$11018:$AA$11018&gt;=Sens!W$11018-tk_life),Sens!$R$11052:$AA$11052)/tk_life</f>
        <v>49.6717554207405</v>
      </c>
      <c r="X11055" s="38" t="n">
        <f aca="false">SUMPRODUCT(--(Sens!$R$11018:$AA$11018&lt;Sens!X$11018),--(Sens!$R$11018:$AA$11018&gt;=Sens!X$11018-tk_life),Sens!$R$11052:$AA$11052)/tk_life</f>
        <v>76.1050702391572</v>
      </c>
      <c r="Y11055" s="38" t="n">
        <f aca="false">SUMPRODUCT(--(Sens!$R$11018:$AA$11018&lt;Sens!Y$11018),--(Sens!$R$11018:$AA$11018&gt;=Sens!Y$11018-tk_life),Sens!$R$11052:$AA$11052)/tk_life</f>
        <v>103.227966959208</v>
      </c>
      <c r="Z11055" s="38" t="n">
        <f aca="false">SUMPRODUCT(--(Sens!$R$11018:$AA$11018&lt;Sens!Z$11018),--(Sens!$R$11018:$AA$11018&gt;=Sens!Z$11018-tk_life),Sens!$R$11052:$AA$11052)/tk_life</f>
        <v>122.296705971464</v>
      </c>
      <c r="AA11055" s="38" t="n">
        <f aca="false">SUMPRODUCT(--(Sens!$R$11018:$AA$11018&lt;Sens!AA$11018),--(Sens!$R$11018:$AA$11018&gt;=Sens!AA$11018-tk_life),Sens!$R$11052:$AA$11052)/tk_life</f>
        <v>134.926065927559</v>
      </c>
    </row>
    <row r="11056" customFormat="false" ht="17.15" hidden="false" customHeight="false" outlineLevel="0" collapsed="false">
      <c r="A11056" s="0" t="s">
        <v>638</v>
      </c>
      <c r="B11056" s="0" t="s">
        <v>86</v>
      </c>
      <c r="C11056" s="38" t="n">
        <f aca="false">Sens!$S$11056</f>
        <v>0.0202511502553155</v>
      </c>
      <c r="D11056" s="38" t="n">
        <f aca="false">Sens!$T$11056</f>
        <v>0.172291150255315</v>
      </c>
      <c r="E11056" s="38" t="n">
        <f aca="false">Sens!$G$11056/2</f>
        <v>0.428235575127658</v>
      </c>
      <c r="F11056" s="38" t="n">
        <f aca="false">Sens!$G$11056/2</f>
        <v>0.428235575127658</v>
      </c>
      <c r="G11056" s="38" t="n">
        <f aca="false">Sens!$U$11056</f>
        <v>0.856471150255315</v>
      </c>
      <c r="H11056" s="38" t="n">
        <f aca="false">Sens!$V$11056</f>
        <v>2.41307567525532</v>
      </c>
      <c r="I11056" s="38" t="n">
        <f aca="false">Sens!$W$11056</f>
        <v>4.71540472525532</v>
      </c>
      <c r="J11056" s="38" t="n">
        <f aca="false">Sens!$X$11056</f>
        <v>7.01773377525532</v>
      </c>
      <c r="K11056" s="38" t="n">
        <f aca="false">Sens!$Y$11056</f>
        <v>9.32006282525532</v>
      </c>
      <c r="L11056" s="38" t="n">
        <f aca="false">Sens!$Z$11056</f>
        <v>10.9487071753387</v>
      </c>
      <c r="M11056" s="38" t="n">
        <f aca="false">Sens!$AA$11056</f>
        <v>11.9036668255053</v>
      </c>
      <c r="N11056" s="38" t="n">
        <f aca="false">Sens!$D$11056/2</f>
        <v>0.0861455751276577</v>
      </c>
      <c r="O11056" s="38" t="n">
        <f aca="false">Sens!$D$11056/2</f>
        <v>0.0861455751276577</v>
      </c>
      <c r="R11056" s="38" t="n">
        <f aca="false">SUMPRODUCT(--(Sens!$R$11018:$AA$11018&lt;Sens!R$11018),Sens!$R$11053:$AA$11053)/fac_life</f>
        <v>0</v>
      </c>
      <c r="S11056" s="38" t="n">
        <f aca="false">SUMPRODUCT(--(Sens!$R$11018:$AA$11018&lt;Sens!S$11018),Sens!$R$11053:$AA$11053)/fac_life</f>
        <v>0.0202511502553155</v>
      </c>
      <c r="T11056" s="38" t="n">
        <f aca="false">SUMPRODUCT(--(Sens!$R$11018:$AA$11018&lt;Sens!T$11018),Sens!$R$11053:$AA$11053)/fac_life</f>
        <v>0.172291150255315</v>
      </c>
      <c r="U11056" s="38" t="n">
        <f aca="false">SUMPRODUCT(--(Sens!$R$11018:$AA$11018&lt;Sens!U$11018),Sens!$R$11053:$AA$11053)/fac_life</f>
        <v>0.856471150255315</v>
      </c>
      <c r="V11056" s="38" t="n">
        <f aca="false">SUMPRODUCT(--(Sens!$R$11018:$AA$11018&lt;Sens!V$11018),Sens!$R$11053:$AA$11053)/fac_life</f>
        <v>2.41307567525532</v>
      </c>
      <c r="W11056" s="38" t="n">
        <f aca="false">SUMPRODUCT(--(Sens!$R$11018:$AA$11018&lt;Sens!W$11018),Sens!$R$11053:$AA$11053)/fac_life</f>
        <v>4.71540472525532</v>
      </c>
      <c r="X11056" s="38" t="n">
        <f aca="false">SUMPRODUCT(--(Sens!$R$11018:$AA$11018&lt;Sens!X$11018),Sens!$R$11053:$AA$11053)/fac_life</f>
        <v>7.01773377525532</v>
      </c>
      <c r="Y11056" s="38" t="n">
        <f aca="false">SUMPRODUCT(--(Sens!$R$11018:$AA$11018&lt;Sens!Y$11018),Sens!$R$11053:$AA$11053)/fac_life</f>
        <v>9.32006282525532</v>
      </c>
      <c r="Z11056" s="38" t="n">
        <f aca="false">SUMPRODUCT(--(Sens!$R$11018:$AA$11018&lt;Sens!Z$11018),Sens!$R$11053:$AA$11053)/fac_life</f>
        <v>10.9487071753387</v>
      </c>
      <c r="AA11056" s="38" t="n">
        <f aca="false">SUMPRODUCT(--(Sens!$R$11018:$AA$11018&lt;Sens!AA$11018),Sens!$R$11053:$AA$11053)/fac_life</f>
        <v>11.9036668255053</v>
      </c>
    </row>
    <row r="11057" customFormat="false" ht="17.15" hidden="false" customHeight="false" outlineLevel="0" collapsed="false">
      <c r="A11057" s="1" t="s">
        <v>639</v>
      </c>
      <c r="B11057" s="8" t="s">
        <v>86</v>
      </c>
      <c r="C11057" s="38" t="n">
        <f aca="false">Sens!$C$11055+Sens!$C$11056</f>
        <v>0.203463948620839</v>
      </c>
      <c r="D11057" s="38" t="n">
        <f aca="false">Sens!$D$11055+Sens!$D$11056</f>
        <v>1.73101464862084</v>
      </c>
      <c r="E11057" s="38" t="n">
        <f aca="false">Sens!$E$11055+Sens!$E$11056</f>
        <v>4.30249639931042</v>
      </c>
      <c r="F11057" s="38" t="n">
        <f aca="false">Sens!$F$11055+Sens!$F$11056</f>
        <v>4.30249639931042</v>
      </c>
      <c r="G11057" s="38" t="n">
        <f aca="false">Sens!$G$11055+Sens!$G$11056</f>
        <v>8.60499279862084</v>
      </c>
      <c r="H11057" s="38" t="n">
        <f aca="false">Sens!$H$11055+Sens!$H$11056</f>
        <v>26.6640337718708</v>
      </c>
      <c r="I11057" s="38" t="n">
        <f aca="false">Sens!$I$11055+Sens!$I$11056</f>
        <v>54.3871601459959</v>
      </c>
      <c r="J11057" s="38" t="n">
        <f aca="false">Sens!$J$11055+Sens!$J$11056</f>
        <v>83.1228040144125</v>
      </c>
      <c r="K11057" s="38" t="n">
        <f aca="false">Sens!$K$11055+Sens!$K$11056</f>
        <v>112.548029784464</v>
      </c>
      <c r="L11057" s="38" t="n">
        <f aca="false">Sens!$L$11055+Sens!$L$11056</f>
        <v>133.245413146803</v>
      </c>
      <c r="M11057" s="38" t="n">
        <f aca="false">Sens!$M$11055+Sens!$M$11056</f>
        <v>146.829732753064</v>
      </c>
      <c r="N11057" s="38" t="n">
        <f aca="false">Sens!$N$11055+Sens!$N$11056</f>
        <v>0.865507324310419</v>
      </c>
      <c r="O11057" s="38" t="n">
        <f aca="false">Sens!$O$11055+Sens!$O$11056</f>
        <v>0.865507324310419</v>
      </c>
      <c r="R11057" s="38" t="n">
        <f aca="false">Sens!$R$11055+Sens!$R$11056</f>
        <v>0</v>
      </c>
      <c r="S11057" s="38" t="n">
        <f aca="false">Sens!$S$11055+Sens!$S$11056</f>
        <v>0.203463948620839</v>
      </c>
      <c r="T11057" s="38" t="n">
        <f aca="false">Sens!$T$11055+Sens!$T$11056</f>
        <v>1.73101464862084</v>
      </c>
      <c r="U11057" s="38" t="n">
        <f aca="false">Sens!$U$11055+Sens!$U$11056</f>
        <v>8.60499279862084</v>
      </c>
      <c r="V11057" s="38" t="n">
        <f aca="false">Sens!$V$11055+Sens!$V$11056</f>
        <v>26.6640337718708</v>
      </c>
      <c r="W11057" s="38" t="n">
        <f aca="false">Sens!$W$11055+Sens!$W$11056</f>
        <v>54.3871601459959</v>
      </c>
      <c r="X11057" s="38" t="n">
        <f aca="false">Sens!$X$11055+Sens!$X$11056</f>
        <v>83.1228040144125</v>
      </c>
      <c r="Y11057" s="38" t="n">
        <f aca="false">Sens!$Y$11055+Sens!$Y$11056</f>
        <v>112.548029784464</v>
      </c>
      <c r="Z11057" s="38" t="n">
        <f aca="false">Sens!$Z$11055+Sens!$Z$11056</f>
        <v>133.245413146803</v>
      </c>
      <c r="AA11057" s="38" t="n">
        <f aca="false">Sens!$AA$11055+Sens!$AA$11056</f>
        <v>146.829732753064</v>
      </c>
    </row>
    <row r="11058" customFormat="false" ht="17.15" hidden="false" customHeight="false" outlineLevel="0" collapsed="false">
      <c r="A11058" s="0" t="s">
        <v>640</v>
      </c>
      <c r="B11058" s="0" t="s">
        <v>86</v>
      </c>
      <c r="C11058" s="38" t="n">
        <f aca="false">Sens!$S$11058</f>
        <v>12.5947000466786</v>
      </c>
      <c r="D11058" s="38" t="n">
        <f aca="false">Sens!$T$11058</f>
        <v>61.6860742980578</v>
      </c>
      <c r="G11058" s="38" t="n">
        <f aca="false">Sens!$U$11058</f>
        <v>183.227790688937</v>
      </c>
      <c r="H11058" s="38" t="n">
        <f aca="false">Sens!$V$11058</f>
        <v>355.135121861816</v>
      </c>
      <c r="I11058" s="38" t="n">
        <f aca="false">Sens!$W$11058</f>
        <v>505.39443162632</v>
      </c>
      <c r="J11058" s="38" t="n">
        <f aca="false">Sens!$X$11058</f>
        <v>632.154865722408</v>
      </c>
      <c r="K11058" s="38" t="n">
        <f aca="false">Sens!$Y$11058</f>
        <v>674.845221213145</v>
      </c>
      <c r="L11058" s="38" t="n">
        <f aca="false">Sens!$Z$11058</f>
        <v>673.613949706244</v>
      </c>
      <c r="M11058" s="38" t="n">
        <f aca="false">Sens!$AA$11058</f>
        <v>659.015198613032</v>
      </c>
      <c r="R11058" s="38" t="n">
        <f aca="false">SUM(Sens!$R$11050:$R$11050)-SUM(Sens!$R$11057:$R$11057)</f>
        <v>1.50429979529945</v>
      </c>
      <c r="S11058" s="38" t="n">
        <f aca="false">SUM(Sens!$R$11050:$S$11050)-SUM(Sens!$R$11057:$S$11057)</f>
        <v>12.5947000466786</v>
      </c>
      <c r="T11058" s="38" t="n">
        <f aca="false">SUM(Sens!$R$11050:$T$11050)-SUM(Sens!$R$11057:$T$11057)</f>
        <v>61.6860742980578</v>
      </c>
      <c r="U11058" s="38" t="n">
        <f aca="false">SUM(Sens!$R$11050:$U$11050)-SUM(Sens!$R$11057:$U$11057)</f>
        <v>183.227790688937</v>
      </c>
      <c r="V11058" s="38" t="n">
        <f aca="false">SUM(Sens!$R$11050:$V$11050)-SUM(Sens!$R$11057:$V$11057)</f>
        <v>355.135121861816</v>
      </c>
      <c r="W11058" s="38" t="n">
        <f aca="false">SUM(Sens!$R$11050:$W$11050)-SUM(Sens!$R$11057:$W$11057)</f>
        <v>505.39443162632</v>
      </c>
      <c r="X11058" s="38" t="n">
        <f aca="false">SUM(Sens!$R$11050:$X$11050)-SUM(Sens!$R$11057:$X$11057)</f>
        <v>632.154865722408</v>
      </c>
      <c r="Y11058" s="38" t="n">
        <f aca="false">SUM(Sens!$R$11050:$Y$11050)-SUM(Sens!$R$11057:$Y$11057)</f>
        <v>674.845221213145</v>
      </c>
      <c r="Z11058" s="38" t="n">
        <f aca="false">SUM(Sens!$R$11050:$Z$11050)-SUM(Sens!$R$11057:$Z$11057)</f>
        <v>673.613949706244</v>
      </c>
      <c r="AA11058" s="38" t="n">
        <f aca="false">SUM(Sens!$R$11050:$AA$11050)-SUM(Sens!$R$11057:$AA$11057)</f>
        <v>659.015198613032</v>
      </c>
    </row>
    <row r="11059" customFormat="false" ht="17.15" hidden="false" customHeight="false" outlineLevel="0" collapsed="false">
      <c r="A11059" s="1" t="s">
        <v>641</v>
      </c>
    </row>
    <row r="11060" customFormat="false" ht="17.15" hidden="false" customHeight="false" outlineLevel="0" collapsed="false">
      <c r="A11060" s="0" t="s">
        <v>642</v>
      </c>
      <c r="B11060" s="0" t="s">
        <v>86</v>
      </c>
      <c r="C11060" s="38" t="n">
        <f aca="false">Sens!$C$11039-ext_sh*Sens!$C$11041</f>
        <v>1.80694998843362</v>
      </c>
      <c r="D11060" s="38" t="n">
        <f aca="false">Sens!$D$11039-ext_sh*Sens!$D$11041</f>
        <v>6.77606245662607</v>
      </c>
      <c r="E11060" s="38" t="n">
        <f aca="false">Sens!$E$11039-ext_sh*Sens!$E$11041</f>
        <v>6.62548329092326</v>
      </c>
      <c r="F11060" s="38" t="n">
        <f aca="false">Sens!$F$11039-ext_sh*Sens!$F$11041</f>
        <v>10.8940413794839</v>
      </c>
      <c r="G11060" s="38" t="n">
        <f aca="false">Sens!$G$11039-ext_sh*Sens!$G$11041</f>
        <v>17.5195246704072</v>
      </c>
      <c r="H11060" s="38" t="n">
        <f aca="false">Sens!$H$11039-ext_sh*Sens!$H$11041</f>
        <v>40.7735721541341</v>
      </c>
      <c r="I11060" s="38" t="n">
        <f aca="false">Sens!$I$11039-ext_sh*Sens!$I$11041</f>
        <v>66.8500163832358</v>
      </c>
      <c r="J11060" s="38" t="n">
        <f aca="false">Sens!$J$11039-ext_sh*Sens!$J$11041</f>
        <v>93.0640470849174</v>
      </c>
      <c r="K11060" s="38" t="n">
        <f aca="false">Sens!$K$11039-ext_sh*Sens!$K$11041</f>
        <v>115.424757703147</v>
      </c>
      <c r="L11060" s="38" t="n">
        <f aca="false">Sens!$L$11039-ext_sh*Sens!$L$11041</f>
        <v>130.120169833198</v>
      </c>
      <c r="M11060" s="38" t="n">
        <f aca="false">Sens!$M$11039-ext_sh*Sens!$M$11041</f>
        <v>137.12790595888</v>
      </c>
      <c r="N11060" s="38" t="n">
        <f aca="false">Sens!$N$11039-ext_sh*Sens!$N$11041</f>
        <v>2.37162185981912</v>
      </c>
      <c r="O11060" s="38" t="n">
        <f aca="false">Sens!$O$11039-ext_sh*Sens!$O$11041</f>
        <v>4.40444059680694</v>
      </c>
    </row>
    <row r="11061" customFormat="false" ht="17.15" hidden="false" customHeight="false" outlineLevel="0" collapsed="false">
      <c r="A11061" s="1" t="s">
        <v>643</v>
      </c>
      <c r="B11061" s="8" t="s">
        <v>86</v>
      </c>
      <c r="C11061" s="38" t="n">
        <f aca="false">Sens!$C$11060-ext_sh*Sens!$C$11057</f>
        <v>1.64417882953695</v>
      </c>
      <c r="D11061" s="38" t="n">
        <f aca="false">Sens!$D$11060-ext_sh*Sens!$D$11057</f>
        <v>5.39125073772939</v>
      </c>
      <c r="E11061" s="38" t="n">
        <f aca="false">Sens!$E$11060-ext_sh*Sens!$E$11057</f>
        <v>3.18348617147493</v>
      </c>
      <c r="F11061" s="38" t="n">
        <f aca="false">Sens!$F$11060-ext_sh*Sens!$F$11057</f>
        <v>7.45204426003557</v>
      </c>
      <c r="G11061" s="38" t="n">
        <f aca="false">Sens!$G$11060-ext_sh*Sens!$G$11057</f>
        <v>10.6355304315105</v>
      </c>
      <c r="H11061" s="38" t="n">
        <f aca="false">Sens!$H$11060-ext_sh*Sens!$H$11057</f>
        <v>19.4423451366374</v>
      </c>
      <c r="I11061" s="38" t="n">
        <f aca="false">Sens!$I$11060-ext_sh*Sens!$I$11057</f>
        <v>23.3402882664391</v>
      </c>
      <c r="J11061" s="38" t="n">
        <f aca="false">Sens!$J$11060-ext_sh*Sens!$J$11057</f>
        <v>26.5658038733873</v>
      </c>
      <c r="K11061" s="38" t="n">
        <f aca="false">Sens!$K$11060-ext_sh*Sens!$K$11057</f>
        <v>25.3863338755762</v>
      </c>
      <c r="L11061" s="38" t="n">
        <f aca="false">Sens!$L$11060-ext_sh*Sens!$L$11057</f>
        <v>23.5238393157556</v>
      </c>
      <c r="M11061" s="38" t="n">
        <f aca="false">Sens!$M$11060-ext_sh*Sens!$M$11057</f>
        <v>19.6641197564286</v>
      </c>
      <c r="N11061" s="38" t="n">
        <f aca="false">Sens!$N$11060-ext_sh*Sens!$N$11057</f>
        <v>1.67921600037079</v>
      </c>
      <c r="O11061" s="38" t="n">
        <f aca="false">Sens!$O$11060-ext_sh*Sens!$O$11057</f>
        <v>3.71203473735861</v>
      </c>
    </row>
    <row r="11062" customFormat="false" ht="17.15" hidden="false" customHeight="false" outlineLevel="0" collapsed="false">
      <c r="A11062" s="0" t="s">
        <v>644</v>
      </c>
      <c r="B11062" s="0" t="s">
        <v>52</v>
      </c>
      <c r="C11062" s="13" t="n">
        <f aca="false">Sens!$C$11061/Sens!$C$11039</f>
        <v>0.708390794789371</v>
      </c>
      <c r="D11062" s="13" t="n">
        <f aca="false">Sens!$D$11061/Sens!$D$11039</f>
        <v>0.619415573115729</v>
      </c>
      <c r="E11062" s="13" t="n">
        <f aca="false">Sens!$E$11061/Sens!$E$11039</f>
        <v>0.374072166056273</v>
      </c>
      <c r="F11062" s="13" t="n">
        <f aca="false">Sens!$F$11061/Sens!$F$11039</f>
        <v>0.527114967147693</v>
      </c>
      <c r="G11062" s="13" t="n">
        <f aca="false">Sens!$G$11061/Sens!$G$11039</f>
        <v>0.469606071511127</v>
      </c>
      <c r="H11062" s="13" t="n">
        <f aca="false">Sens!$H$11061/Sens!$H$11039</f>
        <v>0.363936945882096</v>
      </c>
      <c r="I11062" s="13" t="n">
        <f aca="false">Sens!$I$11061/Sens!$I$11039</f>
        <v>0.265835486569301</v>
      </c>
      <c r="J11062" s="13" t="n">
        <f aca="false">Sens!$J$11061/Sens!$J$11039</f>
        <v>0.217164833112518</v>
      </c>
      <c r="K11062" s="13" t="n">
        <f aca="false">Sens!$K$11061/Sens!$K$11039</f>
        <v>0.167248108141527</v>
      </c>
      <c r="L11062" s="13" t="n">
        <f aca="false">Sens!$L$11061/Sens!$L$11039</f>
        <v>0.137446849193894</v>
      </c>
      <c r="M11062" s="13" t="n">
        <f aca="false">Sens!$M$11061/Sens!$M$11039</f>
        <v>0.109011498005096</v>
      </c>
      <c r="N11062" s="13" t="n">
        <f aca="false">Sens!$N$11061/Sens!$N$11039</f>
        <v>0.551227795793364</v>
      </c>
      <c r="O11062" s="13" t="n">
        <f aca="false">Sens!$O$11061/Sens!$O$11039</f>
        <v>0.656132068597002</v>
      </c>
    </row>
    <row r="11063" customFormat="false" ht="17.15" hidden="false" customHeight="false" outlineLevel="0" collapsed="false">
      <c r="A11063" s="5" t="s">
        <v>645</v>
      </c>
      <c r="B11063" s="0" t="s">
        <v>86</v>
      </c>
      <c r="C11063" s="39" t="n">
        <v>0</v>
      </c>
      <c r="D11063" s="39" t="n">
        <v>0</v>
      </c>
      <c r="E11063" s="39" t="n">
        <v>0</v>
      </c>
      <c r="F11063" s="38" t="n">
        <f aca="false">IF(1=2,1,0)*(1-ext_sh)/ext_sh*(mw_open*he_open+Sens!$F$11037*Sens!$F$11034)*Sens!$F$11023/1000</f>
        <v>0</v>
      </c>
      <c r="G11063" s="38" t="n">
        <f aca="false">Sens!$E$11063+Sens!$F$11063</f>
        <v>0</v>
      </c>
      <c r="H11063" s="38" t="n">
        <f aca="false">IF(1=2,1,0)*(1-ext_sh)/ext_sh*(mw_open*he_open+Sens!$H$11037*Sens!$H$11034)*Sens!$H$11023/1000</f>
        <v>0</v>
      </c>
      <c r="I11063" s="38" t="n">
        <f aca="false">IF(1=2,1,0)*(1-ext_sh)/ext_sh*(mw_open*he_open+Sens!$I$11037*Sens!$I$11034)*Sens!$I$11023/1000</f>
        <v>0</v>
      </c>
      <c r="J11063" s="38" t="n">
        <f aca="false">IF(1=2,1,0)*(1-ext_sh)/ext_sh*(mw_open*he_open+Sens!$J$11037*Sens!$J$11034)*Sens!$J$11023/1000</f>
        <v>0</v>
      </c>
      <c r="K11063" s="38" t="n">
        <f aca="false">IF(1=2,1,0)*(1-ext_sh)/ext_sh*(mw_open*he_open+Sens!$K$11037*Sens!$K$11034)*Sens!$K$11023/1000</f>
        <v>0</v>
      </c>
      <c r="L11063" s="38" t="n">
        <f aca="false">IF(1=2,1,0)*(1-ext_sh)/ext_sh*(mw_open*he_open+Sens!$L$11037*Sens!$L$11034)*Sens!$L$11023/1000</f>
        <v>0</v>
      </c>
      <c r="M11063" s="38" t="n">
        <f aca="false">IF(1=2,1,0)*(1-ext_sh)/ext_sh*(mw_open*he_open+Sens!$M$11037*Sens!$M$11034)*Sens!$M$11023/1000</f>
        <v>0</v>
      </c>
      <c r="N11063" s="39" t="n">
        <v>0</v>
      </c>
      <c r="O11063" s="39" t="n">
        <v>0</v>
      </c>
      <c r="P11063" s="8" t="s">
        <v>646</v>
      </c>
    </row>
    <row r="11064" customFormat="false" ht="17.15" hidden="false" customHeight="false" outlineLevel="0" collapsed="false">
      <c r="A11064" s="5" t="s">
        <v>647</v>
      </c>
      <c r="B11064" s="0" t="s">
        <v>86</v>
      </c>
      <c r="C11064" s="38" t="n">
        <f aca="false">(1-ext_sh)*(Sens!$C$11041+Sens!$C$11057)</f>
        <v>0.169206631859174</v>
      </c>
      <c r="D11064" s="38" t="n">
        <f aca="false">(1-ext_sh)*(Sens!$D$11041+Sens!$D$11057)</f>
        <v>0.828129837730442</v>
      </c>
      <c r="E11064" s="38" t="n">
        <f aca="false">(1-ext_sh)*(Sens!$E$11041+Sens!$E$11057)</f>
        <v>1.33171670102377</v>
      </c>
      <c r="F11064" s="38" t="n">
        <f aca="false">(1-ext_sh)*(Sens!$F$11041+Sens!$F$11057)</f>
        <v>1.67134326207455</v>
      </c>
      <c r="G11064" s="38" t="n">
        <f aca="false">(1-ext_sh)*(Sens!$G$11041+Sens!$G$11057)</f>
        <v>3.00305996309832</v>
      </c>
      <c r="H11064" s="38" t="n">
        <f aca="false">(1-ext_sh)*(Sens!$H$11041+Sens!$H$11057)</f>
        <v>8.49498626530648</v>
      </c>
      <c r="I11064" s="38" t="n">
        <f aca="false">(1-ext_sh)*(Sens!$I$11041+Sens!$I$11057)</f>
        <v>16.1148644972155</v>
      </c>
      <c r="J11064" s="38" t="n">
        <f aca="false">(1-ext_sh)*(Sens!$J$11041+Sens!$J$11057)</f>
        <v>23.9410833819812</v>
      </c>
      <c r="K11064" s="38" t="n">
        <f aca="false">(1-ext_sh)*(Sens!$K$11041+Sens!$K$11057)</f>
        <v>31.6005331796453</v>
      </c>
      <c r="L11064" s="38" t="n">
        <f aca="false">(1-ext_sh)*(Sens!$L$11041+Sens!$L$11057)</f>
        <v>36.9061965404496</v>
      </c>
      <c r="M11064" s="38" t="n">
        <f aca="false">(1-ext_sh)*(Sens!$M$11041+Sens!$M$11057)</f>
        <v>40.1804051073808</v>
      </c>
      <c r="N11064" s="38" t="n">
        <f aca="false">(1-ext_sh)*(Sens!$N$11041+Sens!$N$11057)</f>
        <v>0.34177588266428</v>
      </c>
      <c r="O11064" s="38" t="n">
        <f aca="false">(1-ext_sh)*(Sens!$O$11041+Sens!$O$11057)</f>
        <v>0.486353955066162</v>
      </c>
    </row>
    <row r="11065" customFormat="false" ht="17.15" hidden="false" customHeight="false" outlineLevel="0" collapsed="false">
      <c r="A11065" s="0" t="s">
        <v>648</v>
      </c>
      <c r="B11065" s="0" t="s">
        <v>86</v>
      </c>
      <c r="C11065" s="38" t="n">
        <f aca="false">Q!$D$24</f>
        <v>39.834</v>
      </c>
      <c r="D11065" s="38" t="n">
        <f aca="false">Q!$E$24</f>
        <v>45.606</v>
      </c>
      <c r="E11065" s="38" t="n">
        <f aca="false">Q!$P$24</f>
        <v>30.782</v>
      </c>
      <c r="N11065" s="38" t="n">
        <f aca="false">Q!$N$24</f>
        <v>21.707</v>
      </c>
      <c r="O11065" s="38" t="n">
        <f aca="false">Q!$O$24</f>
        <v>23.899</v>
      </c>
    </row>
    <row r="11066" customFormat="false" ht="17.15" hidden="false" customHeight="false" outlineLevel="0" collapsed="false">
      <c r="A11066" s="0" t="s">
        <v>649</v>
      </c>
      <c r="B11066" s="0" t="s">
        <v>86</v>
      </c>
      <c r="C11066" s="38" t="n">
        <f aca="false">Sens!$C$11065-Sens!$C$11061</f>
        <v>38.1898211704631</v>
      </c>
      <c r="D11066" s="38" t="n">
        <f aca="false">Sens!$D$11065-Sens!$D$11061</f>
        <v>40.2147492622706</v>
      </c>
      <c r="E11066" s="38" t="n">
        <f aca="false">Sens!$E$11065-Sens!$E$11061</f>
        <v>27.5985138285251</v>
      </c>
      <c r="F11066" s="38" t="n">
        <f aca="false">Sens!$F$11043*Sens!$F$11067</f>
        <v>25.5484769754606</v>
      </c>
      <c r="G11066" s="38" t="n">
        <f aca="false">Sens!$E$11066+Sens!$F$11066</f>
        <v>53.1469908039857</v>
      </c>
      <c r="H11066" s="38" t="n">
        <f aca="false">Sens!$H$11043*Sens!$H$11067</f>
        <v>57.3189525076539</v>
      </c>
      <c r="I11066" s="38" t="n">
        <f aca="false">Sens!$I$11043*Sens!$I$11067</f>
        <v>63.6385627021087</v>
      </c>
      <c r="J11066" s="38" t="n">
        <f aca="false">Sens!$J$11043*Sens!$J$11067</f>
        <v>69.6922896066105</v>
      </c>
      <c r="K11066" s="38" t="n">
        <f aca="false">Sens!$K$11043*Sens!$K$11067</f>
        <v>75.2676727751394</v>
      </c>
      <c r="L11066" s="38" t="n">
        <f aca="false">Sens!$L$11043*Sens!$L$11067</f>
        <v>81.2890865971505</v>
      </c>
      <c r="M11066" s="38" t="n">
        <f aca="false">Sens!$M$11043*Sens!$M$11067</f>
        <v>87.7922135249226</v>
      </c>
      <c r="N11066" s="38" t="n">
        <f aca="false">Sens!$N$11065-Sens!$N$11061</f>
        <v>20.0277839996292</v>
      </c>
      <c r="O11066" s="38" t="n">
        <f aca="false">Sens!$O$11065-Sens!$O$11061</f>
        <v>20.1869652626414</v>
      </c>
      <c r="P11066" s="5" t="s">
        <v>650</v>
      </c>
    </row>
    <row r="11067" customFormat="false" ht="17.15" hidden="false" customHeight="false" outlineLevel="0" collapsed="false">
      <c r="A11067" s="0" t="s">
        <v>651</v>
      </c>
      <c r="B11067" s="0" t="s">
        <v>52</v>
      </c>
      <c r="C11067" s="13" t="n">
        <f aca="false">Sens!$C$11066/Sens!$C$11043</f>
        <v>0.362900395443635</v>
      </c>
      <c r="D11067" s="13" t="n">
        <f aca="false">Sens!$D$11066/Sens!$D$11043</f>
        <v>0.335063632425483</v>
      </c>
      <c r="E11067" s="13" t="n">
        <f aca="false">Sens!$E$11066/Sens!$E$11043</f>
        <v>0.387028992698038</v>
      </c>
      <c r="F11067" s="13" t="n">
        <f aca="false">(Sens!$O$11066+Sens!$E$11066)/(Sens!$O$11043+Sens!$E$11043)</f>
        <v>0.355980580118587</v>
      </c>
      <c r="G11067" s="13" t="n">
        <f aca="false">Sens!$G$11066/Sens!$G$11043</f>
        <v>0.371454804780916</v>
      </c>
      <c r="H11067" s="13" t="n">
        <f aca="false">Sens!$F$11067</f>
        <v>0.355980580118587</v>
      </c>
      <c r="I11067" s="13" t="n">
        <f aca="false">Sens!$F$11067</f>
        <v>0.355980580118587</v>
      </c>
      <c r="J11067" s="13" t="n">
        <f aca="false">Sens!$F$11067</f>
        <v>0.355980580118587</v>
      </c>
      <c r="K11067" s="13" t="n">
        <f aca="false">Sens!$F$11067</f>
        <v>0.355980580118587</v>
      </c>
      <c r="L11067" s="13" t="n">
        <f aca="false">Sens!$F$11067</f>
        <v>0.355980580118587</v>
      </c>
      <c r="M11067" s="13" t="n">
        <f aca="false">Sens!$F$11067</f>
        <v>0.355980580118587</v>
      </c>
      <c r="N11067" s="13" t="n">
        <f aca="false">Sens!$N$11066/Sens!$N$11043</f>
        <v>0.35078810535806</v>
      </c>
      <c r="O11067" s="13" t="n">
        <f aca="false">Sens!$O$11066/Sens!$O$11043</f>
        <v>0.320796939361619</v>
      </c>
      <c r="P11067" s="8" t="s">
        <v>652</v>
      </c>
    </row>
    <row r="11068" customFormat="false" ht="17.15" hidden="false" customHeight="false" outlineLevel="0" collapsed="false">
      <c r="A11068" s="0" t="s">
        <v>653</v>
      </c>
      <c r="B11068" s="0" t="s">
        <v>52</v>
      </c>
      <c r="D11068" s="13" t="n">
        <f aca="false">(Q!$E$31-ext_sh*Sens!$D$11057)/Sens!$D$11043</f>
        <v>0.167180325480118</v>
      </c>
    </row>
    <row r="11069" customFormat="false" ht="17.15" hidden="false" customHeight="false" outlineLevel="0" collapsed="false">
      <c r="A11069" s="0" t="s">
        <v>654</v>
      </c>
      <c r="B11069" s="0" t="s">
        <v>86</v>
      </c>
      <c r="C11069" s="38" t="n">
        <f aca="false">Q!$D$31</f>
        <v>13.32</v>
      </c>
      <c r="D11069" s="38" t="n">
        <f aca="false">Q!$E$31</f>
        <v>21.45</v>
      </c>
      <c r="E11069" s="38" t="n">
        <f aca="false">Q!$P$31</f>
        <v>15.353</v>
      </c>
      <c r="F11069" s="38" t="n">
        <f aca="false">ext_sh*Sens!$F$11057+Sens!$D$11068*Sens!$F$11043</f>
        <v>15.4404120185306</v>
      </c>
      <c r="G11069" s="38" t="n">
        <f aca="false">Sens!$E$11069+Sens!$F$11069</f>
        <v>30.7934120185306</v>
      </c>
      <c r="H11069" s="38" t="n">
        <f aca="false">ext_sh*Sens!$H$11057+Sens!$D$11068*Sens!$H$11043</f>
        <v>48.250114371455</v>
      </c>
      <c r="I11069" s="38" t="n">
        <f aca="false">ext_sh*Sens!$I$11057+Sens!$D$11068*Sens!$I$11043</f>
        <v>73.3965146995963</v>
      </c>
      <c r="J11069" s="38" t="n">
        <f aca="false">ext_sh*Sens!$J$11057+Sens!$D$11068*Sens!$J$11043</f>
        <v>99.22806138309</v>
      </c>
      <c r="K11069" s="38" t="n">
        <f aca="false">ext_sh*Sens!$K$11057+Sens!$D$11068*Sens!$K$11043</f>
        <v>125.386627452856</v>
      </c>
      <c r="L11069" s="38" t="n">
        <f aca="false">ext_sh*Sens!$L$11057+Sens!$D$11068*Sens!$L$11043</f>
        <v>144.77239043275</v>
      </c>
      <c r="M11069" s="38" t="n">
        <f aca="false">ext_sh*Sens!$M$11057+Sens!$D$11068*Sens!$M$11043</f>
        <v>158.693930910983</v>
      </c>
      <c r="N11069" s="38" t="n">
        <f aca="false">Q!$N$31</f>
        <v>9.234</v>
      </c>
      <c r="O11069" s="38" t="n">
        <f aca="false">Q!$O$31</f>
        <v>12.216</v>
      </c>
    </row>
    <row r="11070" customFormat="false" ht="17.15" hidden="false" customHeight="false" outlineLevel="0" collapsed="false">
      <c r="A11070" s="1" t="s">
        <v>655</v>
      </c>
    </row>
    <row r="11071" customFormat="false" ht="17.15" hidden="false" customHeight="false" outlineLevel="0" collapsed="false">
      <c r="A11071" s="15" t="s">
        <v>656</v>
      </c>
      <c r="B11071" s="14" t="s">
        <v>52</v>
      </c>
      <c r="C11071" s="14"/>
      <c r="D11071" s="14"/>
      <c r="E11071" s="14"/>
      <c r="F11071" s="14"/>
      <c r="G11071" s="17" t="n">
        <f aca="false">Sens!$G$11061*(1-tax)/(ext_sh*(Sens!$D$11058+Sens!$G$11058)/2)</f>
        <v>0.0897189601399247</v>
      </c>
      <c r="H11071" s="17" t="n">
        <f aca="false">Sens!$H$11061*(1-tax)/(ext_sh*(Sens!$G$11058+Sens!$H$11058)/2)</f>
        <v>0.0746125637795345</v>
      </c>
      <c r="I11071" s="17" t="n">
        <f aca="false">Sens!$I$11061*(1-tax)/(ext_sh*(Sens!$H$11058+Sens!$I$11058)/2)</f>
        <v>0.0560375157899122</v>
      </c>
      <c r="J11071" s="17" t="n">
        <f aca="false">Sens!$J$11061*(1-tax)/(ext_sh*(Sens!$I$11058+Sens!$J$11058)/2)</f>
        <v>0.0482493185897244</v>
      </c>
      <c r="K11071" s="17" t="n">
        <f aca="false">Sens!$K$11061*(1-tax)/(ext_sh*(Sens!$J$11058+Sens!$K$11058)/2)</f>
        <v>0.0401294141768781</v>
      </c>
      <c r="L11071" s="17" t="n">
        <f aca="false">Sens!$L$11061*(1-tax)/(ext_sh*(Sens!$K$11058+Sens!$L$11058)/2)</f>
        <v>0.0360419974573024</v>
      </c>
      <c r="M11071" s="17" t="n">
        <f aca="false">Sens!$M$11061*(1-tax)/(ext_sh*(Sens!$L$11058+Sens!$M$11058)/2)</f>
        <v>0.0304862250266425</v>
      </c>
      <c r="N11071" s="14"/>
      <c r="O11071" s="14"/>
      <c r="P11071" s="8" t="s">
        <v>657</v>
      </c>
    </row>
    <row r="11072" customFormat="false" ht="17.15" hidden="false" customHeight="false" outlineLevel="0" collapsed="false">
      <c r="A11072" s="5" t="s">
        <v>658</v>
      </c>
      <c r="B11072" s="0" t="s">
        <v>57</v>
      </c>
      <c r="H11072" s="36" t="n">
        <f aca="false">Sens!$H$11039*1000/(mw_open*he_open+Sens!$H$11037*Sens!$H$11034)</f>
        <v>0.880767940782091</v>
      </c>
      <c r="I11072" s="36" t="n">
        <f aca="false">Sens!$I$11039*1000/(mw_open*he_open+Sens!$I$11037*Sens!$I$11034)</f>
        <v>0.858026572758645</v>
      </c>
      <c r="J11072" s="36" t="n">
        <f aca="false">Sens!$J$11039*1000/(mw_open*he_open+Sens!$J$11037*Sens!$J$11034)</f>
        <v>0.848417499448742</v>
      </c>
      <c r="K11072" s="36" t="n">
        <f aca="false">Sens!$K$11039*1000/(mw_open*he_open+Sens!$K$11037*Sens!$K$11034)</f>
        <v>0.843754578941374</v>
      </c>
      <c r="L11072" s="36" t="n">
        <f aca="false">Sens!$L$11039*1000/(mw_open*he_open+Sens!$L$11037*Sens!$L$11034)</f>
        <v>0.841581849703465</v>
      </c>
      <c r="M11072" s="36" t="n">
        <f aca="false">Sens!$M$11039*1000/(mw_open*he_open+Sens!$M$11037*Sens!$M$11034)</f>
        <v>0.840712687048722</v>
      </c>
    </row>
    <row r="11073" customFormat="false" ht="17.15" hidden="false" customHeight="false" outlineLevel="0" collapsed="false">
      <c r="A11073" s="5" t="s">
        <v>659</v>
      </c>
      <c r="B11073" s="0" t="s">
        <v>57</v>
      </c>
      <c r="H11073" s="36" t="n">
        <f aca="false">Sens!$H$11072*(Sens!$H$11039+wacc*ext_sh*(Sens!$G$11058+Sens!$H$11058)/2/(1-tax)-Sens!$H$11061)/Sens!$H$11039</f>
        <v>1.04696246089528</v>
      </c>
      <c r="I11073" s="36" t="n">
        <f aca="false">Sens!$I$11072*(Sens!$I$11039+wacc*ext_sh*(Sens!$H$11058+Sens!$I$11058)/2/(1-tax)-Sens!$I$11061)/Sens!$I$11039</f>
        <v>1.09109607940198</v>
      </c>
      <c r="J11073" s="36" t="n">
        <f aca="false">Sens!$J$11072*(Sens!$J$11039+wacc*ext_sh*(Sens!$I$11058+Sens!$J$11058)/2/(1-tax)-Sens!$J$11061)/Sens!$J$11039</f>
        <v>1.09681234280071</v>
      </c>
      <c r="K11073" s="36" t="n">
        <f aca="false">Sens!$K$11072*(Sens!$K$11039+wacc*ext_sh*(Sens!$J$11058+Sens!$K$11058)/2/(1-tax)-Sens!$K$11061)/Sens!$K$11039</f>
        <v>1.10105220068984</v>
      </c>
      <c r="L11073" s="36" t="n">
        <f aca="false">Sens!$L$11072*(Sens!$L$11039+wacc*ext_sh*(Sens!$K$11058+Sens!$L$11058)/2/(1-tax)-Sens!$L$11061)/Sens!$L$11039</f>
        <v>1.08952452639895</v>
      </c>
      <c r="M11073" s="36" t="n">
        <f aca="false">Sens!$M$11072*(Sens!$M$11039+wacc*ext_sh*(Sens!$L$11058+Sens!$M$11058)/2/(1-tax)-Sens!$M$11061)/Sens!$M$11039</f>
        <v>1.08965878549519</v>
      </c>
    </row>
    <row r="11074" customFormat="false" ht="17.15" hidden="false" customHeight="false" outlineLevel="0" collapsed="false">
      <c r="A11074" s="5" t="s">
        <v>660</v>
      </c>
      <c r="B11074" s="0" t="s">
        <v>52</v>
      </c>
      <c r="C11074" s="13" t="n">
        <f aca="false">Sens!$C$11040/tk_pq</f>
        <v>0.195316432429398</v>
      </c>
      <c r="D11074" s="13" t="n">
        <f aca="false">Sens!$D$11040/tk_pq</f>
        <v>0.195316432429398</v>
      </c>
      <c r="E11074" s="13" t="n">
        <f aca="false">Sens!$E$11040/tk_pq</f>
        <v>0.195316432429398</v>
      </c>
      <c r="F11074" s="13" t="n">
        <f aca="false">Sens!$F$11040/tk_pq</f>
        <v>0.191077608072499</v>
      </c>
      <c r="G11074" s="13" t="n">
        <f aca="false">Sens!$G$11040/tk_pq</f>
        <v>0.192648675364927</v>
      </c>
      <c r="H11074" s="13" t="n">
        <f aca="false">Sens!$H$11040/tk_pq</f>
        <v>0.188813632292207</v>
      </c>
      <c r="I11074" s="13" t="n">
        <f aca="false">Sens!$I$11040/tk_pq</f>
        <v>0.18967957363228</v>
      </c>
      <c r="J11074" s="13" t="n">
        <f aca="false">Sens!$J$11040/tk_pq</f>
        <v>0.190298617624149</v>
      </c>
      <c r="K11074" s="13" t="n">
        <f aca="false">Sens!$K$11040/tk_pq</f>
        <v>0.190580531494929</v>
      </c>
      <c r="L11074" s="13" t="n">
        <f aca="false">Sens!$L$11040/tk_pq</f>
        <v>0.190712010322094</v>
      </c>
      <c r="M11074" s="13" t="n">
        <f aca="false">Sens!$M$11040/tk_pq</f>
        <v>0.190736894839384</v>
      </c>
      <c r="N11074" s="13" t="n">
        <f aca="false">Sens!$N$11040/tk_pq</f>
        <v>0.195316432429398</v>
      </c>
      <c r="O11074" s="13" t="n">
        <f aca="false">Sens!$O$11040/tk_pq</f>
        <v>0.195316432429398</v>
      </c>
      <c r="P11074" s="5" t="s">
        <v>661</v>
      </c>
    </row>
    <row r="11077" customFormat="false" ht="17.15" hidden="false" customHeight="false" outlineLevel="0" collapsed="false">
      <c r="A11077" s="1" t="s">
        <v>690</v>
      </c>
    </row>
    <row r="11078" customFormat="false" ht="17.15" hidden="false" customHeight="false" outlineLevel="0" collapsed="false">
      <c r="A11078" s="0" t="s">
        <v>691</v>
      </c>
      <c r="B11078" s="0" t="s">
        <v>86</v>
      </c>
      <c r="C11078" s="38" t="n">
        <f aca="false">Sens!$C$11039</f>
        <v>2.32100535697364</v>
      </c>
      <c r="D11078" s="38" t="n">
        <f aca="false">Sens!$D$11039</f>
        <v>8.70377008865116</v>
      </c>
      <c r="E11078" s="38" t="n">
        <f aca="false">Sens!$E$11039</f>
        <v>8.51035297557002</v>
      </c>
      <c r="F11078" s="38" t="n">
        <f aca="false">Sens!$F$11039</f>
        <v>14.1374173083338</v>
      </c>
      <c r="G11078" s="38" t="n">
        <f aca="false">Sens!$G$11039</f>
        <v>22.6477702839038</v>
      </c>
      <c r="H11078" s="38" t="n">
        <f aca="false">Sens!$H$11039</f>
        <v>53.4222901978634</v>
      </c>
      <c r="I11078" s="38" t="n">
        <f aca="false">Sens!$I$11039</f>
        <v>87.7997462553011</v>
      </c>
      <c r="J11078" s="38" t="n">
        <f aca="false">Sens!$J$11039</f>
        <v>122.330137401312</v>
      </c>
      <c r="K11078" s="38" t="n">
        <f aca="false">Sens!$K$11039</f>
        <v>151.788466594157</v>
      </c>
      <c r="L11078" s="38" t="n">
        <f aca="false">Sens!$L$11039</f>
        <v>171.148625477554</v>
      </c>
      <c r="M11078" s="38" t="n">
        <f aca="false">Sens!$M$11039</f>
        <v>180.385740185952</v>
      </c>
      <c r="N11078" s="38" t="n">
        <f aca="false">Sens!$N$11039</f>
        <v>3.04631953102791</v>
      </c>
      <c r="O11078" s="38" t="n">
        <f aca="false">Sens!$O$11039</f>
        <v>5.65745055762326</v>
      </c>
      <c r="P11078" s="8" t="s">
        <v>692</v>
      </c>
    </row>
    <row r="11079" customFormat="false" ht="17.15" hidden="false" customHeight="false" outlineLevel="0" collapsed="false">
      <c r="A11079" s="0" t="s">
        <v>693</v>
      </c>
      <c r="B11079" s="0" t="s">
        <v>86</v>
      </c>
      <c r="C11079" s="38" t="n">
        <f aca="false">Sens!$C$11043</f>
        <v>105.234994643026</v>
      </c>
      <c r="D11079" s="38" t="n">
        <f aca="false">Sens!$D$11043</f>
        <v>120.021229911349</v>
      </c>
      <c r="E11079" s="38" t="n">
        <f aca="false">Sens!$E$11043</f>
        <v>71.30864702443</v>
      </c>
      <c r="F11079" s="38" t="n">
        <f aca="false">Sens!$F$11043</f>
        <v>71.7692997942464</v>
      </c>
      <c r="G11079" s="38" t="n">
        <f aca="false">Sens!$G$11043</f>
        <v>143.077946818676</v>
      </c>
      <c r="H11079" s="38" t="n">
        <f aca="false">Sens!$H$11043</f>
        <v>161.017077079203</v>
      </c>
      <c r="I11079" s="38" t="n">
        <f aca="false">Sens!$I$11043</f>
        <v>178.769759521457</v>
      </c>
      <c r="J11079" s="38" t="n">
        <f aca="false">Sens!$J$11043</f>
        <v>195.775538045907</v>
      </c>
      <c r="K11079" s="38" t="n">
        <f aca="false">Sens!$K$11043</f>
        <v>211.43758108958</v>
      </c>
      <c r="L11079" s="38" t="n">
        <f aca="false">Sens!$L$11043</f>
        <v>228.352587576746</v>
      </c>
      <c r="M11079" s="38" t="n">
        <f aca="false">Sens!$M$11043</f>
        <v>246.620794582886</v>
      </c>
      <c r="N11079" s="38" t="n">
        <f aca="false">Sens!$N$11043</f>
        <v>57.0936804689721</v>
      </c>
      <c r="O11079" s="38" t="n">
        <f aca="false">Sens!$O$11043</f>
        <v>62.9275494423768</v>
      </c>
      <c r="P11079" s="8" t="s">
        <v>692</v>
      </c>
    </row>
    <row r="11080" customFormat="false" ht="17.15" hidden="false" customHeight="false" outlineLevel="0" collapsed="false">
      <c r="A11080" s="1" t="s">
        <v>516</v>
      </c>
      <c r="B11080" s="8" t="s">
        <v>86</v>
      </c>
      <c r="C11080" s="38" t="n">
        <f aca="false">Q!$D$7</f>
        <v>107.556</v>
      </c>
      <c r="D11080" s="38" t="n">
        <f aca="false">Q!$E$7</f>
        <v>128.725</v>
      </c>
      <c r="E11080" s="38" t="n">
        <f aca="false">Q!$P$7</f>
        <v>79.819</v>
      </c>
      <c r="F11080" s="38" t="n">
        <f aca="false">Sens!$F$11078+Sens!$F$11079</f>
        <v>85.9067171025802</v>
      </c>
      <c r="G11080" s="38" t="n">
        <f aca="false">Sens!$G$11078+Sens!$G$11079</f>
        <v>165.72571710258</v>
      </c>
      <c r="H11080" s="38" t="n">
        <f aca="false">Sens!$H$11078+Sens!$H$11079</f>
        <v>214.439367277066</v>
      </c>
      <c r="I11080" s="38" t="n">
        <f aca="false">Sens!$I$11078+Sens!$I$11079</f>
        <v>266.569505776759</v>
      </c>
      <c r="J11080" s="38" t="n">
        <f aca="false">Sens!$J$11078+Sens!$J$11079</f>
        <v>318.105675447219</v>
      </c>
      <c r="K11080" s="38" t="n">
        <f aca="false">Sens!$K$11078+Sens!$K$11079</f>
        <v>363.226047683737</v>
      </c>
      <c r="L11080" s="38" t="n">
        <f aca="false">Sens!$L$11078+Sens!$L$11079</f>
        <v>399.5012130543</v>
      </c>
      <c r="M11080" s="38" t="n">
        <f aca="false">Sens!$M$11078+Sens!$M$11079</f>
        <v>427.006534768838</v>
      </c>
      <c r="N11080" s="38" t="n">
        <f aca="false">Q!$N$7</f>
        <v>60.14</v>
      </c>
      <c r="O11080" s="38" t="n">
        <f aca="false">Q!$O$7</f>
        <v>68.585</v>
      </c>
      <c r="P11080" s="5" t="s">
        <v>694</v>
      </c>
    </row>
    <row r="11081" customFormat="false" ht="15" hidden="false" customHeight="false" outlineLevel="0" collapsed="false">
      <c r="A11081" s="3" t="s">
        <v>695</v>
      </c>
      <c r="B11081" s="8" t="s">
        <v>86</v>
      </c>
      <c r="C11081" s="38" t="n">
        <f aca="false">Q!$D$8</f>
        <v>637.959</v>
      </c>
      <c r="D11081" s="38" t="n">
        <f aca="false">Q!$E$8</f>
        <v>716.924</v>
      </c>
      <c r="E11081" s="38" t="n">
        <f aca="false">Q!$P$8</f>
        <v>382.125</v>
      </c>
      <c r="F11081" s="38" t="n">
        <f aca="false">Sens!$F$11011+Sens!$F$11080</f>
        <v>434.954958748117</v>
      </c>
      <c r="G11081" s="38" t="n">
        <f aca="false">Sens!$G$11011+Sens!$G$11080</f>
        <v>817.079958748117</v>
      </c>
      <c r="H11081" s="38" t="n">
        <f aca="false">Sens!$H$11011+Sens!$H$11080</f>
        <v>935.536256798453</v>
      </c>
      <c r="I11081" s="38" t="n">
        <f aca="false">Sens!$I$11011+Sens!$I$11080</f>
        <v>1055.09889692929</v>
      </c>
      <c r="J11081" s="38" t="n">
        <f aca="false">Sens!$J$11011+Sens!$J$11080</f>
        <v>1169.21408118866</v>
      </c>
      <c r="K11081" s="38" t="n">
        <f aca="false">Sens!$K$11011+Sens!$K$11080</f>
        <v>1269.40250311482</v>
      </c>
      <c r="L11081" s="38" t="n">
        <f aca="false">Sens!$L$11011+Sens!$L$11080</f>
        <v>1364.59431952989</v>
      </c>
      <c r="M11081" s="38" t="n">
        <f aca="false">Sens!$M$11011+Sens!$M$11080</f>
        <v>1455.15444271572</v>
      </c>
      <c r="N11081" s="38" t="n">
        <f aca="false">Q!$N$8</f>
        <v>323.369</v>
      </c>
      <c r="O11081" s="38" t="n">
        <f aca="false">Q!$O$8</f>
        <v>393.555</v>
      </c>
    </row>
    <row r="11082" customFormat="false" ht="17.15" hidden="false" customHeight="false" outlineLevel="0" collapsed="false">
      <c r="A11082" s="24" t="s">
        <v>707</v>
      </c>
      <c r="B11082" s="25" t="s">
        <v>86</v>
      </c>
      <c r="C11082" s="41" t="n">
        <f aca="false">Sens!$C$11011-(Sens!$C$11013+Sens!$C$11014)</f>
        <v>0</v>
      </c>
      <c r="D11082" s="41" t="n">
        <f aca="false">Sens!$D$11011-(Sens!$D$11013+Sens!$D$11014)</f>
        <v>0</v>
      </c>
      <c r="E11082" s="41" t="n">
        <f aca="false">Sens!$E$11011-(Sens!$E$11013+Sens!$E$11014)</f>
        <v>0</v>
      </c>
      <c r="F11082" s="41" t="n">
        <f aca="false">Sens!$F$11011-(Sens!$F$11013+Sens!$F$11014)</f>
        <v>0</v>
      </c>
      <c r="G11082" s="41" t="n">
        <f aca="false">Sens!$G$11011-(Sens!$G$11013+Sens!$G$11014)</f>
        <v>0</v>
      </c>
      <c r="H11082" s="41" t="n">
        <f aca="false">Sens!$H$11011-(Sens!$H$11013+Sens!$H$11014)</f>
        <v>0</v>
      </c>
      <c r="I11082" s="41" t="n">
        <f aca="false">Sens!$I$11011-(Sens!$I$11013+Sens!$I$11014)</f>
        <v>0</v>
      </c>
      <c r="J11082" s="41" t="n">
        <f aca="false">Sens!$J$11011-(Sens!$J$11013+Sens!$J$11014)</f>
        <v>0</v>
      </c>
      <c r="K11082" s="41" t="n">
        <f aca="false">Sens!$K$11011-(Sens!$K$11013+Sens!$K$11014)</f>
        <v>0</v>
      </c>
      <c r="L11082" s="41" t="n">
        <f aca="false">Sens!$L$11011-(Sens!$L$11013+Sens!$L$11014)</f>
        <v>0</v>
      </c>
      <c r="M11082" s="41" t="n">
        <f aca="false">Sens!$M$11011-(Sens!$M$11013+Sens!$M$11014)</f>
        <v>0</v>
      </c>
      <c r="N11082" s="41" t="n">
        <f aca="false">Sens!$N$11011-(Sens!$N$11013+Sens!$N$11014)</f>
        <v>0</v>
      </c>
      <c r="O11082" s="41" t="n">
        <f aca="false">Sens!$O$11011-(Sens!$O$11013+Sens!$O$11014)</f>
        <v>0</v>
      </c>
    </row>
    <row r="11083" customFormat="false" ht="17.15" hidden="false" customHeight="false" outlineLevel="0" collapsed="false">
      <c r="A11083" s="24" t="s">
        <v>708</v>
      </c>
      <c r="B11083" s="25" t="s">
        <v>86</v>
      </c>
      <c r="C11083" s="41" t="n">
        <f aca="false">Sens!$C$11078+Sens!$C$11079-Sens!$C$11080</f>
        <v>0</v>
      </c>
      <c r="D11083" s="41" t="n">
        <f aca="false">Sens!$D$11078+Sens!$D$11079-Sens!$D$11080</f>
        <v>0</v>
      </c>
      <c r="E11083" s="41" t="n">
        <f aca="false">Sens!$E$11078+Sens!$E$11079-Sens!$E$11080</f>
        <v>0</v>
      </c>
      <c r="F11083" s="41" t="n">
        <f aca="false">Sens!$F$11078+Sens!$F$11079-Sens!$F$11080</f>
        <v>0</v>
      </c>
      <c r="G11083" s="41" t="n">
        <f aca="false">Sens!$G$11078+Sens!$G$11079-Sens!$G$11080</f>
        <v>0</v>
      </c>
      <c r="H11083" s="41" t="n">
        <f aca="false">Sens!$H$11078+Sens!$H$11079-Sens!$H$11080</f>
        <v>0</v>
      </c>
      <c r="I11083" s="41" t="n">
        <f aca="false">Sens!$I$11078+Sens!$I$11079-Sens!$I$11080</f>
        <v>0</v>
      </c>
      <c r="J11083" s="41" t="n">
        <f aca="false">Sens!$J$11078+Sens!$J$11079-Sens!$J$11080</f>
        <v>0</v>
      </c>
      <c r="K11083" s="41" t="n">
        <f aca="false">Sens!$K$11078+Sens!$K$11079-Sens!$K$11080</f>
        <v>0</v>
      </c>
      <c r="L11083" s="41" t="n">
        <f aca="false">Sens!$L$11078+Sens!$L$11079-Sens!$L$11080</f>
        <v>0</v>
      </c>
      <c r="M11083" s="41" t="n">
        <f aca="false">Sens!$M$11078+Sens!$M$11079-Sens!$M$11080</f>
        <v>0</v>
      </c>
      <c r="N11083" s="41" t="n">
        <f aca="false">Sens!$N$11078+Sens!$N$11079-Sens!$N$11080</f>
        <v>0</v>
      </c>
      <c r="O11083" s="41" t="n">
        <f aca="false">Sens!$O$11078+Sens!$O$11079-Sens!$O$11080</f>
        <v>0</v>
      </c>
    </row>
    <row r="11084" customFormat="false" ht="17.15" hidden="false" customHeight="false" outlineLevel="0" collapsed="false">
      <c r="A11084" s="24" t="s">
        <v>709</v>
      </c>
      <c r="B11084" s="25" t="s">
        <v>86</v>
      </c>
      <c r="C11084" s="41" t="n">
        <f aca="false">Sens!$C$11013+Sens!$C$11014+Sens!$C$11080-Sens!$C$11081</f>
        <v>0</v>
      </c>
      <c r="D11084" s="41" t="n">
        <f aca="false">Sens!$D$11013+Sens!$D$11014+Sens!$D$11080-Sens!$D$11081</f>
        <v>0</v>
      </c>
      <c r="E11084" s="41" t="n">
        <f aca="false">Sens!$E$11013+Sens!$E$11014+Sens!$E$11080-Sens!$E$11081</f>
        <v>0</v>
      </c>
      <c r="F11084" s="41" t="n">
        <f aca="false">Sens!$F$11013+Sens!$F$11014+Sens!$F$11080-Sens!$F$11081</f>
        <v>0</v>
      </c>
      <c r="G11084" s="41" t="n">
        <f aca="false">Sens!$G$11013+Sens!$G$11014+Sens!$G$11080-Sens!$G$11081</f>
        <v>0</v>
      </c>
      <c r="H11084" s="41" t="n">
        <f aca="false">Sens!$H$11013+Sens!$H$11014+Sens!$H$11080-Sens!$H$11081</f>
        <v>0</v>
      </c>
      <c r="I11084" s="41" t="n">
        <f aca="false">Sens!$I$11013+Sens!$I$11014+Sens!$I$11080-Sens!$I$11081</f>
        <v>0</v>
      </c>
      <c r="J11084" s="41" t="n">
        <f aca="false">Sens!$J$11013+Sens!$J$11014+Sens!$J$11080-Sens!$J$11081</f>
        <v>0</v>
      </c>
      <c r="K11084" s="41" t="n">
        <f aca="false">Sens!$K$11013+Sens!$K$11014+Sens!$K$11080-Sens!$K$11081</f>
        <v>0</v>
      </c>
      <c r="L11084" s="41" t="n">
        <f aca="false">Sens!$L$11013+Sens!$L$11014+Sens!$L$11080-Sens!$L$11081</f>
        <v>0</v>
      </c>
      <c r="M11084" s="41" t="n">
        <f aca="false">Sens!$M$11013+Sens!$M$11014+Sens!$M$11080-Sens!$M$11081</f>
        <v>0</v>
      </c>
      <c r="N11084" s="41" t="n">
        <f aca="false">Sens!$N$11013+Sens!$N$11014+Sens!$N$11080-Sens!$N$11081</f>
        <v>0</v>
      </c>
      <c r="O11084" s="41" t="n">
        <f aca="false">Sens!$O$11013+Sens!$O$11014+Sens!$O$11080-Sens!$O$11081</f>
        <v>0</v>
      </c>
    </row>
    <row r="11085" customFormat="false" ht="15" hidden="false" customHeight="false" outlineLevel="0" collapsed="false">
      <c r="A11085" s="5" t="s">
        <v>699</v>
      </c>
      <c r="B11085" s="0" t="s">
        <v>52</v>
      </c>
      <c r="G11085" s="13" t="n">
        <f aca="false">Sens!$G$11081/Sens!$D$11081-1</f>
        <v>0.139702337692862</v>
      </c>
      <c r="H11085" s="13" t="n">
        <f aca="false">Sens!$H$11081/Sens!$G$11081-1</f>
        <v>0.144975160364754</v>
      </c>
      <c r="I11085" s="13" t="n">
        <f aca="false">Sens!$I$11081/Sens!$H$11081-1</f>
        <v>0.127801182756934</v>
      </c>
      <c r="J11085" s="13" t="n">
        <f aca="false">Sens!$J$11081/Sens!$I$11081-1</f>
        <v>0.108155912769398</v>
      </c>
      <c r="K11085" s="13" t="n">
        <f aca="false">Sens!$K$11081/Sens!$J$11081-1</f>
        <v>0.0856886891272366</v>
      </c>
      <c r="L11085" s="13" t="n">
        <f aca="false">Sens!$L$11081/Sens!$K$11081-1</f>
        <v>0.0749894664469983</v>
      </c>
      <c r="M11085" s="13" t="n">
        <f aca="false">Sens!$M$11081/Sens!$L$11081-1</f>
        <v>0.0663641361317064</v>
      </c>
    </row>
    <row r="11086" customFormat="false" ht="17.15" hidden="false" customHeight="false" outlineLevel="0" collapsed="false">
      <c r="A11086" s="0" t="s">
        <v>700</v>
      </c>
      <c r="B11086" s="0" t="s">
        <v>52</v>
      </c>
      <c r="C11086" s="13" t="n">
        <f aca="false">Sens!$C$11080/Sens!$C$11081</f>
        <v>0.168593906504964</v>
      </c>
      <c r="D11086" s="13" t="n">
        <f aca="false">Sens!$D$11080/Sens!$D$11081</f>
        <v>0.179551807444025</v>
      </c>
      <c r="E11086" s="13" t="n">
        <f aca="false">Sens!$E$11080/Sens!$E$11081</f>
        <v>0.208881910369643</v>
      </c>
      <c r="F11086" s="13" t="n">
        <f aca="false">Sens!$F$11080/Sens!$F$11081</f>
        <v>0.197507156487734</v>
      </c>
      <c r="G11086" s="13" t="n">
        <f aca="false">Sens!$G$11080/Sens!$G$11081</f>
        <v>0.202826804559612</v>
      </c>
      <c r="H11086" s="13" t="n">
        <f aca="false">Sens!$H$11080/Sens!$H$11081</f>
        <v>0.229215453403068</v>
      </c>
      <c r="I11086" s="13" t="n">
        <f aca="false">Sens!$I$11080/Sens!$I$11081</f>
        <v>0.252648833727881</v>
      </c>
      <c r="J11086" s="13" t="n">
        <f aca="false">Sens!$J$11080/Sens!$J$11081</f>
        <v>0.272067947662606</v>
      </c>
      <c r="K11086" s="13" t="n">
        <f aca="false">Sens!$K$11080/Sens!$K$11081</f>
        <v>0.286139381947383</v>
      </c>
      <c r="L11086" s="13" t="n">
        <f aca="false">Sens!$L$11080/Sens!$L$11081</f>
        <v>0.292761890722168</v>
      </c>
      <c r="M11086" s="13" t="n">
        <f aca="false">Sens!$M$11080/Sens!$M$11081</f>
        <v>0.293444133649432</v>
      </c>
      <c r="N11086" s="13" t="n">
        <f aca="false">Sens!$N$11080/Sens!$N$11081</f>
        <v>0.185979484737251</v>
      </c>
      <c r="O11086" s="13" t="n">
        <f aca="false">Sens!$O$11080/Sens!$O$11081</f>
        <v>0.174270432341096</v>
      </c>
    </row>
    <row r="11087" customFormat="false" ht="17.15" hidden="false" customHeight="false" outlineLevel="0" collapsed="false">
      <c r="A11087" s="0" t="s">
        <v>701</v>
      </c>
      <c r="B11087" s="0" t="s">
        <v>52</v>
      </c>
      <c r="C11087" s="13" t="n">
        <f aca="false">Sens!$C$11078/Sens!$C$11080</f>
        <v>0.0215795060896058</v>
      </c>
      <c r="D11087" s="13" t="n">
        <f aca="false">Sens!$D$11078/Sens!$D$11080</f>
        <v>0.0676152269462122</v>
      </c>
      <c r="E11087" s="13" t="n">
        <f aca="false">Sens!$E$11078/Sens!$E$11080</f>
        <v>0.106620641395783</v>
      </c>
      <c r="F11087" s="13" t="n">
        <f aca="false">Sens!$F$11078/Sens!$F$11080</f>
        <v>0.16456707676831</v>
      </c>
      <c r="G11087" s="13" t="n">
        <f aca="false">Sens!$G$11078/Sens!$G$11080</f>
        <v>0.136658152276302</v>
      </c>
      <c r="H11087" s="13" t="n">
        <f aca="false">Sens!$H$11078/Sens!$H$11080</f>
        <v>0.249125386239547</v>
      </c>
      <c r="I11087" s="13" t="n">
        <f aca="false">Sens!$I$11078/Sens!$I$11080</f>
        <v>0.329369055171787</v>
      </c>
      <c r="J11087" s="13" t="n">
        <f aca="false">Sens!$J$11078/Sens!$J$11080</f>
        <v>0.384558173095561</v>
      </c>
      <c r="K11087" s="13" t="n">
        <f aca="false">Sens!$K$11078/Sens!$K$11080</f>
        <v>0.417889816994403</v>
      </c>
      <c r="L11087" s="13" t="n">
        <f aca="false">Sens!$L$11078/Sens!$L$11080</f>
        <v>0.428405771709863</v>
      </c>
      <c r="M11087" s="13" t="n">
        <f aca="false">Sens!$M$11078/Sens!$M$11080</f>
        <v>0.422442575225704</v>
      </c>
      <c r="N11087" s="13" t="n">
        <f aca="false">Sens!$N$11078/Sens!$N$11080</f>
        <v>0.0506537999838362</v>
      </c>
      <c r="O11087" s="13" t="n">
        <f aca="false">Sens!$O$11078/Sens!$O$11080</f>
        <v>0.0824881615167056</v>
      </c>
    </row>
    <row r="11090" customFormat="false" ht="19.4" hidden="false" customHeight="false" outlineLevel="0" collapsed="false">
      <c r="A11090" s="31" t="s">
        <v>1362</v>
      </c>
    </row>
    <row r="11091" customFormat="false" ht="17.15" hidden="false" customHeight="false" outlineLevel="0" collapsed="false">
      <c r="A11091" s="6" t="s">
        <v>16</v>
      </c>
      <c r="B11091" s="6" t="s">
        <v>17</v>
      </c>
      <c r="C11091" s="20" t="s">
        <v>497</v>
      </c>
      <c r="D11091" s="20" t="s">
        <v>498</v>
      </c>
      <c r="E11091" s="20" t="s">
        <v>580</v>
      </c>
      <c r="F11091" s="20" t="s">
        <v>581</v>
      </c>
      <c r="G11091" s="20" t="s">
        <v>582</v>
      </c>
      <c r="H11091" s="20" t="s">
        <v>583</v>
      </c>
      <c r="I11091" s="20" t="s">
        <v>584</v>
      </c>
      <c r="J11091" s="20" t="s">
        <v>585</v>
      </c>
      <c r="K11091" s="20" t="s">
        <v>586</v>
      </c>
      <c r="L11091" s="20" t="s">
        <v>587</v>
      </c>
      <c r="M11091" s="20" t="s">
        <v>588</v>
      </c>
      <c r="N11091" s="20" t="s">
        <v>589</v>
      </c>
      <c r="O11091" s="20" t="s">
        <v>590</v>
      </c>
      <c r="P11091" s="6" t="s">
        <v>23</v>
      </c>
      <c r="R11091" s="20" t="n">
        <v>2023</v>
      </c>
      <c r="S11091" s="20" t="n">
        <v>2024</v>
      </c>
      <c r="T11091" s="20" t="n">
        <v>2025</v>
      </c>
      <c r="U11091" s="20" t="n">
        <v>2026</v>
      </c>
      <c r="V11091" s="20" t="n">
        <v>2027</v>
      </c>
      <c r="W11091" s="20" t="n">
        <v>2028</v>
      </c>
      <c r="X11091" s="20" t="n">
        <v>2029</v>
      </c>
      <c r="Y11091" s="20" t="n">
        <v>2030</v>
      </c>
      <c r="Z11091" s="20" t="n">
        <v>2031</v>
      </c>
      <c r="AA11091" s="20" t="n">
        <v>2032</v>
      </c>
    </row>
    <row r="11092" customFormat="false" ht="17.15" hidden="false" customHeight="false" outlineLevel="0" collapsed="false">
      <c r="A11092" s="1" t="s">
        <v>716</v>
      </c>
    </row>
    <row r="11093" customFormat="false" ht="15" hidden="false" customHeight="false" outlineLevel="0" collapsed="false">
      <c r="A11093" s="0" t="s">
        <v>519</v>
      </c>
      <c r="B11093" s="0" t="s">
        <v>86</v>
      </c>
      <c r="C11093" s="38" t="n">
        <f aca="false">Sens!$C$10998</f>
        <v>247.029</v>
      </c>
      <c r="D11093" s="38" t="n">
        <f aca="false">Sens!$D$10998</f>
        <v>269.287</v>
      </c>
      <c r="E11093" s="38" t="n">
        <f aca="false">Sens!$E$10998</f>
        <v>134.686</v>
      </c>
      <c r="F11093" s="38" t="n">
        <f aca="false">Sens!$F$10998</f>
        <v>158.293876822267</v>
      </c>
      <c r="G11093" s="38" t="n">
        <f aca="false">Sens!$G$10998</f>
        <v>292.979876822267</v>
      </c>
      <c r="H11093" s="38" t="n">
        <f aca="false">Sens!$H$10998</f>
        <v>318.184543087396</v>
      </c>
      <c r="I11093" s="38" t="n">
        <f aca="false">Sens!$I$10998</f>
        <v>341.736278761793</v>
      </c>
      <c r="J11093" s="38" t="n">
        <f aca="false">Sens!$J$10998</f>
        <v>362.927192787048</v>
      </c>
      <c r="K11093" s="38" t="n">
        <f aca="false">Sens!$K$10998</f>
        <v>381.0735524264</v>
      </c>
      <c r="L11093" s="38" t="n">
        <f aca="false">Sens!$L$10998</f>
        <v>400.12723004772</v>
      </c>
      <c r="M11093" s="38" t="n">
        <f aca="false">Sens!$M$10998</f>
        <v>420.133591550106</v>
      </c>
      <c r="N11093" s="38" t="n">
        <f aca="false">Sens!$N$10998</f>
        <v>118.892</v>
      </c>
      <c r="O11093" s="38" t="n">
        <f aca="false">Sens!$O$10998</f>
        <v>150.395</v>
      </c>
    </row>
    <row r="11094" customFormat="false" ht="15" hidden="false" customHeight="false" outlineLevel="0" collapsed="false">
      <c r="A11094" s="0" t="s">
        <v>520</v>
      </c>
      <c r="B11094" s="0" t="s">
        <v>86</v>
      </c>
      <c r="C11094" s="38" t="n">
        <f aca="false">Sens!$C$11000</f>
        <v>21.215</v>
      </c>
      <c r="D11094" s="38" t="n">
        <f aca="false">Sens!$D$11000</f>
        <v>22.561</v>
      </c>
      <c r="E11094" s="38" t="n">
        <f aca="false">Sens!$E$11000</f>
        <v>11.579</v>
      </c>
      <c r="F11094" s="38" t="n">
        <f aca="false">Sens!$F$11000</f>
        <v>11.5938724610325</v>
      </c>
      <c r="G11094" s="38" t="n">
        <f aca="false">Sens!$G$11000</f>
        <v>23.1728724610325</v>
      </c>
      <c r="H11094" s="38" t="n">
        <f aca="false">Sens!$H$11000</f>
        <v>24.353392759506</v>
      </c>
      <c r="I11094" s="38" t="n">
        <f aca="false">Sens!$I$11000</f>
        <v>25.4240338872015</v>
      </c>
      <c r="J11094" s="38" t="n">
        <f aca="false">Sens!$J$11000</f>
        <v>26.3642491017174</v>
      </c>
      <c r="K11094" s="38" t="n">
        <f aca="false">Sens!$K$11000</f>
        <v>27.155176574769</v>
      </c>
      <c r="L11094" s="38" t="n">
        <f aca="false">Sens!$L$11000</f>
        <v>27.969831872012</v>
      </c>
      <c r="M11094" s="38" t="n">
        <f aca="false">Sens!$M$11000</f>
        <v>28.8089268281724</v>
      </c>
      <c r="N11094" s="38" t="n">
        <f aca="false">Sens!$N$11000</f>
        <v>11.128</v>
      </c>
      <c r="O11094" s="38" t="n">
        <f aca="false">Sens!$O$11000</f>
        <v>11.433</v>
      </c>
    </row>
    <row r="11095" customFormat="false" ht="15" hidden="false" customHeight="false" outlineLevel="0" collapsed="false">
      <c r="A11095" s="0" t="s">
        <v>521</v>
      </c>
      <c r="B11095" s="0" t="s">
        <v>86</v>
      </c>
      <c r="C11095" s="38" t="n">
        <f aca="false">Sens!$C$11002</f>
        <v>156.146</v>
      </c>
      <c r="D11095" s="38" t="n">
        <f aca="false">Sens!$D$11002</f>
        <v>172.162</v>
      </c>
      <c r="E11095" s="38" t="n">
        <f aca="false">Sens!$E$11002</f>
        <v>88.358</v>
      </c>
      <c r="F11095" s="38" t="n">
        <f aca="false">Sens!$F$11002</f>
        <v>102.004388260171</v>
      </c>
      <c r="G11095" s="38" t="n">
        <f aca="false">Sens!$G$11002</f>
        <v>190.362388260171</v>
      </c>
      <c r="H11095" s="38" t="n">
        <f aca="false">Sens!$H$11002</f>
        <v>210.343106588311</v>
      </c>
      <c r="I11095" s="38" t="n">
        <f aca="false">Sens!$I$11002</f>
        <v>229.969728494648</v>
      </c>
      <c r="J11095" s="38" t="n">
        <f aca="false">Sens!$J$11002</f>
        <v>248.747636972598</v>
      </c>
      <c r="K11095" s="38" t="n">
        <f aca="false">Sens!$K$11002</f>
        <v>266.15997156068</v>
      </c>
      <c r="L11095" s="38" t="n">
        <f aca="false">Sens!$L$11002</f>
        <v>284.791169569927</v>
      </c>
      <c r="M11095" s="38" t="n">
        <f aca="false">Sens!$M$11002</f>
        <v>304.726551439822</v>
      </c>
      <c r="N11095" s="38" t="n">
        <f aca="false">Sens!$N$11002</f>
        <v>76.86</v>
      </c>
      <c r="O11095" s="38" t="n">
        <f aca="false">Sens!$O$11002</f>
        <v>95.302</v>
      </c>
    </row>
    <row r="11096" customFormat="false" ht="15" hidden="false" customHeight="false" outlineLevel="0" collapsed="false">
      <c r="A11096" s="0" t="s">
        <v>522</v>
      </c>
      <c r="B11096" s="0" t="s">
        <v>86</v>
      </c>
      <c r="C11096" s="38" t="n">
        <f aca="false">Sens!$C$11004</f>
        <v>56.214</v>
      </c>
      <c r="D11096" s="38" t="n">
        <f aca="false">Sens!$D$11004</f>
        <v>68.635</v>
      </c>
      <c r="E11096" s="38" t="n">
        <f aca="false">Sens!$E$11004</f>
        <v>37.052</v>
      </c>
      <c r="F11096" s="38" t="n">
        <f aca="false">Sens!$F$11004</f>
        <v>46.1572219944148</v>
      </c>
      <c r="G11096" s="38" t="n">
        <f aca="false">Sens!$G$11004</f>
        <v>83.2092219944148</v>
      </c>
      <c r="H11096" s="38" t="n">
        <f aca="false">Sens!$H$11004</f>
        <v>99.8969223878976</v>
      </c>
      <c r="I11096" s="38" t="n">
        <f aca="false">Sens!$I$11004</f>
        <v>116.583111095496</v>
      </c>
      <c r="J11096" s="38" t="n">
        <f aca="false">Sens!$J$11004</f>
        <v>132.148941941952</v>
      </c>
      <c r="K11096" s="38" t="n">
        <f aca="false">Sens!$K$11004</f>
        <v>145.363836136147</v>
      </c>
      <c r="L11096" s="38" t="n">
        <f aca="false">Sens!$L$11004</f>
        <v>159.900219749762</v>
      </c>
      <c r="M11096" s="38" t="n">
        <f aca="false">Sens!$M$11004</f>
        <v>175.890241724738</v>
      </c>
      <c r="N11096" s="38" t="n">
        <f aca="false">Sens!$N$11004</f>
        <v>29.615</v>
      </c>
      <c r="O11096" s="38" t="n">
        <f aca="false">Sens!$O$11004</f>
        <v>39.02</v>
      </c>
    </row>
    <row r="11097" customFormat="false" ht="15" hidden="false" customHeight="false" outlineLevel="0" collapsed="false">
      <c r="A11097" s="0" t="s">
        <v>523</v>
      </c>
      <c r="B11097" s="0" t="s">
        <v>86</v>
      </c>
      <c r="C11097" s="38" t="n">
        <f aca="false">Sens!$C$11006</f>
        <v>44.374</v>
      </c>
      <c r="D11097" s="38" t="n">
        <f aca="false">Sens!$D$11006</f>
        <v>49.619</v>
      </c>
      <c r="E11097" s="38" t="n">
        <f aca="false">Sens!$E$11006</f>
        <v>27.157</v>
      </c>
      <c r="F11097" s="38" t="n">
        <f aca="false">Sens!$F$11006</f>
        <v>27.7764165988154</v>
      </c>
      <c r="G11097" s="38" t="n">
        <f aca="false">Sens!$G$11006</f>
        <v>54.9334165988154</v>
      </c>
      <c r="H11097" s="38" t="n">
        <f aca="false">Sens!$H$11006</f>
        <v>61.1564112561829</v>
      </c>
      <c r="I11097" s="38" t="n">
        <f aca="false">Sens!$I$11006</f>
        <v>67.2020282103945</v>
      </c>
      <c r="J11097" s="38" t="n">
        <f aca="false">Sens!$J$11006</f>
        <v>72.8757274028885</v>
      </c>
      <c r="K11097" s="38" t="n">
        <f aca="false">Sens!$K$11006</f>
        <v>77.9770283210907</v>
      </c>
      <c r="L11097" s="38" t="n">
        <f aca="false">Sens!$L$11006</f>
        <v>83.4354203035671</v>
      </c>
      <c r="M11097" s="38" t="n">
        <f aca="false">Sens!$M$11006</f>
        <v>89.2758997248168</v>
      </c>
      <c r="N11097" s="38" t="n">
        <f aca="false">Sens!$N$11006</f>
        <v>23.923</v>
      </c>
      <c r="O11097" s="38" t="n">
        <f aca="false">Sens!$O$11006</f>
        <v>25.696</v>
      </c>
    </row>
    <row r="11098" customFormat="false" ht="15" hidden="false" customHeight="false" outlineLevel="0" collapsed="false">
      <c r="A11098" s="0" t="s">
        <v>524</v>
      </c>
      <c r="B11098" s="0" t="s">
        <v>86</v>
      </c>
      <c r="C11098" s="38" t="n">
        <f aca="false">Sens!$C$11008</f>
        <v>5.425</v>
      </c>
      <c r="D11098" s="38" t="n">
        <f aca="false">Sens!$D$11008</f>
        <v>5.935</v>
      </c>
      <c r="E11098" s="38" t="n">
        <f aca="false">Sens!$E$11008</f>
        <v>3.474</v>
      </c>
      <c r="F11098" s="38" t="n">
        <f aca="false">Sens!$F$11008</f>
        <v>3.22246550883619</v>
      </c>
      <c r="G11098" s="38" t="n">
        <f aca="false">Sens!$G$11008</f>
        <v>6.69646550883619</v>
      </c>
      <c r="H11098" s="38" t="n">
        <f aca="false">Sens!$H$11008</f>
        <v>7.16251344209196</v>
      </c>
      <c r="I11098" s="38" t="n">
        <f aca="false">Sens!$I$11008</f>
        <v>7.61421070299826</v>
      </c>
      <c r="J11098" s="38" t="n">
        <f aca="false">Sens!$J$11008</f>
        <v>8.04465753523932</v>
      </c>
      <c r="K11098" s="38" t="n">
        <f aca="false">Sens!$K$11008</f>
        <v>8.44689041200128</v>
      </c>
      <c r="L11098" s="38" t="n">
        <f aca="false">Sens!$L$11008</f>
        <v>8.86923493260135</v>
      </c>
      <c r="M11098" s="38" t="n">
        <f aca="false">Sens!$M$11008</f>
        <v>9.31269667923142</v>
      </c>
      <c r="N11098" s="38" t="n">
        <f aca="false">Sens!$N$11008</f>
        <v>2.811</v>
      </c>
      <c r="O11098" s="38" t="n">
        <f aca="false">Sens!$O$11008</f>
        <v>3.124</v>
      </c>
    </row>
    <row r="11099" customFormat="false" ht="17.15" hidden="false" customHeight="false" outlineLevel="0" collapsed="false">
      <c r="A11099" s="0" t="s">
        <v>717</v>
      </c>
      <c r="B11099" s="0" t="s">
        <v>86</v>
      </c>
      <c r="C11099" s="38" t="n">
        <f aca="false">Sens!$C$11080</f>
        <v>107.556</v>
      </c>
      <c r="D11099" s="38" t="n">
        <f aca="false">Sens!$D$11080</f>
        <v>128.725</v>
      </c>
      <c r="E11099" s="38" t="n">
        <f aca="false">Sens!$E$11080</f>
        <v>79.819</v>
      </c>
      <c r="F11099" s="38" t="n">
        <f aca="false">Sens!$F$11080</f>
        <v>85.9067171025802</v>
      </c>
      <c r="G11099" s="38" t="n">
        <f aca="false">Sens!$G$11080</f>
        <v>165.72571710258</v>
      </c>
      <c r="H11099" s="38" t="n">
        <f aca="false">Sens!$H$11080</f>
        <v>214.439367277066</v>
      </c>
      <c r="I11099" s="38" t="n">
        <f aca="false">Sens!$I$11080</f>
        <v>266.569505776759</v>
      </c>
      <c r="J11099" s="38" t="n">
        <f aca="false">Sens!$J$11080</f>
        <v>318.105675447219</v>
      </c>
      <c r="K11099" s="38" t="n">
        <f aca="false">Sens!$K$11080</f>
        <v>363.226047683737</v>
      </c>
      <c r="L11099" s="38" t="n">
        <f aca="false">Sens!$L$11080</f>
        <v>399.5012130543</v>
      </c>
      <c r="M11099" s="38" t="n">
        <f aca="false">Sens!$M$11080</f>
        <v>427.006534768838</v>
      </c>
      <c r="N11099" s="38" t="n">
        <f aca="false">Sens!$N$11080</f>
        <v>60.14</v>
      </c>
      <c r="O11099" s="38" t="n">
        <f aca="false">Sens!$O$11080</f>
        <v>68.585</v>
      </c>
    </row>
    <row r="11100" customFormat="false" ht="15" hidden="false" customHeight="false" outlineLevel="0" collapsed="false">
      <c r="A11100" s="1" t="s">
        <v>512</v>
      </c>
      <c r="B11100" s="8" t="s">
        <v>86</v>
      </c>
      <c r="C11100" s="38" t="n">
        <f aca="false">Sens!$C$11013</f>
        <v>387.497</v>
      </c>
      <c r="D11100" s="38" t="n">
        <f aca="false">Sens!$D$11013</f>
        <v>426.305</v>
      </c>
      <c r="E11100" s="38" t="n">
        <f aca="false">Sens!$E$11013</f>
        <v>220.32</v>
      </c>
      <c r="F11100" s="38" t="n">
        <f aca="false">Sens!$F$11013</f>
        <v>250.639773480586</v>
      </c>
      <c r="G11100" s="38" t="n">
        <f aca="false">Sens!$G$11013</f>
        <v>470.959773480586</v>
      </c>
      <c r="H11100" s="38" t="n">
        <f aca="false">Sens!$H$11013</f>
        <v>521.386990416437</v>
      </c>
      <c r="I11100" s="38" t="n">
        <f aca="false">Sens!$I$11013</f>
        <v>570.143862887555</v>
      </c>
      <c r="J11100" s="38" t="n">
        <f aca="false">Sens!$J$11013</f>
        <v>615.391435791933</v>
      </c>
      <c r="K11100" s="38" t="n">
        <f aca="false">Sens!$K$11013</f>
        <v>655.208227561543</v>
      </c>
      <c r="L11100" s="38" t="n">
        <f aca="false">Sens!$L$11013</f>
        <v>697.807739249767</v>
      </c>
      <c r="M11100" s="38" t="n">
        <f aca="false">Sens!$M$11013</f>
        <v>743.399328463592</v>
      </c>
      <c r="N11100" s="38" t="n">
        <f aca="false">Sens!$N$11013</f>
        <v>192.955</v>
      </c>
      <c r="O11100" s="38" t="n">
        <f aca="false">Sens!$O$11013</f>
        <v>233.35</v>
      </c>
    </row>
    <row r="11101" customFormat="false" ht="15" hidden="false" customHeight="false" outlineLevel="0" collapsed="false">
      <c r="A11101" s="1" t="s">
        <v>515</v>
      </c>
      <c r="B11101" s="8" t="s">
        <v>86</v>
      </c>
      <c r="C11101" s="38" t="n">
        <f aca="false">Sens!$C$11014</f>
        <v>142.906</v>
      </c>
      <c r="D11101" s="38" t="n">
        <f aca="false">Sens!$D$11014</f>
        <v>161.894</v>
      </c>
      <c r="E11101" s="38" t="n">
        <f aca="false">Sens!$E$11014</f>
        <v>81.986</v>
      </c>
      <c r="F11101" s="38" t="n">
        <f aca="false">Sens!$F$11014</f>
        <v>98.408468164951</v>
      </c>
      <c r="G11101" s="38" t="n">
        <f aca="false">Sens!$G$11014</f>
        <v>180.394468164951</v>
      </c>
      <c r="H11101" s="38" t="n">
        <f aca="false">Sens!$H$11014</f>
        <v>199.709899104949</v>
      </c>
      <c r="I11101" s="38" t="n">
        <f aca="false">Sens!$I$11014</f>
        <v>218.385528264976</v>
      </c>
      <c r="J11101" s="38" t="n">
        <f aca="false">Sens!$J$11014</f>
        <v>235.71696994951</v>
      </c>
      <c r="K11101" s="38" t="n">
        <f aca="false">Sens!$K$11014</f>
        <v>250.968227869545</v>
      </c>
      <c r="L11101" s="38" t="n">
        <f aca="false">Sens!$L$11014</f>
        <v>267.285367225822</v>
      </c>
      <c r="M11101" s="38" t="n">
        <f aca="false">Sens!$M$11014</f>
        <v>284.748579483295</v>
      </c>
      <c r="N11101" s="38" t="n">
        <f aca="false">Sens!$N$11014</f>
        <v>70.274</v>
      </c>
      <c r="O11101" s="38" t="n">
        <f aca="false">Sens!$O$11014</f>
        <v>91.62</v>
      </c>
    </row>
    <row r="11102" customFormat="false" ht="15" hidden="false" customHeight="false" outlineLevel="0" collapsed="false">
      <c r="A11102" s="1" t="s">
        <v>516</v>
      </c>
      <c r="B11102" s="8" t="s">
        <v>86</v>
      </c>
      <c r="C11102" s="38" t="n">
        <f aca="false">Sens!$C$11080</f>
        <v>107.556</v>
      </c>
      <c r="D11102" s="38" t="n">
        <f aca="false">Sens!$D$11080</f>
        <v>128.725</v>
      </c>
      <c r="E11102" s="38" t="n">
        <f aca="false">Sens!$E$11080</f>
        <v>79.819</v>
      </c>
      <c r="F11102" s="38" t="n">
        <f aca="false">Sens!$F$11080</f>
        <v>85.9067171025802</v>
      </c>
      <c r="G11102" s="38" t="n">
        <f aca="false">Sens!$G$11080</f>
        <v>165.72571710258</v>
      </c>
      <c r="H11102" s="38" t="n">
        <f aca="false">Sens!$H$11080</f>
        <v>214.439367277066</v>
      </c>
      <c r="I11102" s="38" t="n">
        <f aca="false">Sens!$I$11080</f>
        <v>266.569505776759</v>
      </c>
      <c r="J11102" s="38" t="n">
        <f aca="false">Sens!$J$11080</f>
        <v>318.105675447219</v>
      </c>
      <c r="K11102" s="38" t="n">
        <f aca="false">Sens!$K$11080</f>
        <v>363.226047683737</v>
      </c>
      <c r="L11102" s="38" t="n">
        <f aca="false">Sens!$L$11080</f>
        <v>399.5012130543</v>
      </c>
      <c r="M11102" s="38" t="n">
        <f aca="false">Sens!$M$11080</f>
        <v>427.006534768838</v>
      </c>
      <c r="N11102" s="38" t="n">
        <f aca="false">Sens!$N$11080</f>
        <v>60.14</v>
      </c>
      <c r="O11102" s="38" t="n">
        <f aca="false">Sens!$O$11080</f>
        <v>68.585</v>
      </c>
    </row>
    <row r="11103" customFormat="false" ht="17.15" hidden="false" customHeight="false" outlineLevel="0" collapsed="false">
      <c r="A11103" s="0" t="s">
        <v>691</v>
      </c>
      <c r="B11103" s="0" t="s">
        <v>86</v>
      </c>
      <c r="C11103" s="38" t="n">
        <f aca="false">Sens!$C$11078</f>
        <v>2.32100535697364</v>
      </c>
      <c r="D11103" s="38" t="n">
        <f aca="false">Sens!$D$11078</f>
        <v>8.70377008865116</v>
      </c>
      <c r="E11103" s="38" t="n">
        <f aca="false">Sens!$E$11078</f>
        <v>8.51035297557002</v>
      </c>
      <c r="F11103" s="38" t="n">
        <f aca="false">Sens!$F$11078</f>
        <v>14.1374173083338</v>
      </c>
      <c r="G11103" s="38" t="n">
        <f aca="false">Sens!$G$11078</f>
        <v>22.6477702839038</v>
      </c>
      <c r="H11103" s="38" t="n">
        <f aca="false">Sens!$H$11078</f>
        <v>53.4222901978634</v>
      </c>
      <c r="I11103" s="38" t="n">
        <f aca="false">Sens!$I$11078</f>
        <v>87.7997462553011</v>
      </c>
      <c r="J11103" s="38" t="n">
        <f aca="false">Sens!$J$11078</f>
        <v>122.330137401312</v>
      </c>
      <c r="K11103" s="38" t="n">
        <f aca="false">Sens!$K$11078</f>
        <v>151.788466594157</v>
      </c>
      <c r="L11103" s="38" t="n">
        <f aca="false">Sens!$L$11078</f>
        <v>171.148625477554</v>
      </c>
      <c r="M11103" s="38" t="n">
        <f aca="false">Sens!$M$11078</f>
        <v>180.385740185952</v>
      </c>
      <c r="N11103" s="38" t="n">
        <f aca="false">Sens!$N$11078</f>
        <v>3.04631953102791</v>
      </c>
      <c r="O11103" s="38" t="n">
        <f aca="false">Sens!$O$11078</f>
        <v>5.65745055762326</v>
      </c>
    </row>
    <row r="11104" customFormat="false" ht="17.15" hidden="false" customHeight="false" outlineLevel="0" collapsed="false">
      <c r="A11104" s="0" t="s">
        <v>693</v>
      </c>
      <c r="B11104" s="0" t="s">
        <v>86</v>
      </c>
      <c r="C11104" s="38" t="n">
        <f aca="false">Sens!$C$11079</f>
        <v>105.234994643026</v>
      </c>
      <c r="D11104" s="38" t="n">
        <f aca="false">Sens!$D$11079</f>
        <v>120.021229911349</v>
      </c>
      <c r="E11104" s="38" t="n">
        <f aca="false">Sens!$E$11079</f>
        <v>71.30864702443</v>
      </c>
      <c r="F11104" s="38" t="n">
        <f aca="false">Sens!$F$11079</f>
        <v>71.7692997942464</v>
      </c>
      <c r="G11104" s="38" t="n">
        <f aca="false">Sens!$G$11079</f>
        <v>143.077946818676</v>
      </c>
      <c r="H11104" s="38" t="n">
        <f aca="false">Sens!$H$11079</f>
        <v>161.017077079203</v>
      </c>
      <c r="I11104" s="38" t="n">
        <f aca="false">Sens!$I$11079</f>
        <v>178.769759521457</v>
      </c>
      <c r="J11104" s="38" t="n">
        <f aca="false">Sens!$J$11079</f>
        <v>195.775538045907</v>
      </c>
      <c r="K11104" s="38" t="n">
        <f aca="false">Sens!$K$11079</f>
        <v>211.43758108958</v>
      </c>
      <c r="L11104" s="38" t="n">
        <f aca="false">Sens!$L$11079</f>
        <v>228.352587576746</v>
      </c>
      <c r="M11104" s="38" t="n">
        <f aca="false">Sens!$M$11079</f>
        <v>246.620794582886</v>
      </c>
      <c r="N11104" s="38" t="n">
        <f aca="false">Sens!$N$11079</f>
        <v>57.0936804689721</v>
      </c>
      <c r="O11104" s="38" t="n">
        <f aca="false">Sens!$O$11079</f>
        <v>62.9275494423768</v>
      </c>
    </row>
    <row r="11105" customFormat="false" ht="15" hidden="false" customHeight="false" outlineLevel="0" collapsed="false">
      <c r="A11105" s="3" t="s">
        <v>517</v>
      </c>
      <c r="B11105" s="8" t="s">
        <v>86</v>
      </c>
      <c r="C11105" s="38" t="n">
        <f aca="false">Sens!$C$11081</f>
        <v>637.959</v>
      </c>
      <c r="D11105" s="38" t="n">
        <f aca="false">Sens!$D$11081</f>
        <v>716.924</v>
      </c>
      <c r="E11105" s="38" t="n">
        <f aca="false">Sens!$E$11081</f>
        <v>382.125</v>
      </c>
      <c r="F11105" s="38" t="n">
        <f aca="false">Sens!$F$11081</f>
        <v>434.954958748117</v>
      </c>
      <c r="G11105" s="38" t="n">
        <f aca="false">Sens!$G$11081</f>
        <v>817.079958748117</v>
      </c>
      <c r="H11105" s="38" t="n">
        <f aca="false">Sens!$H$11081</f>
        <v>935.536256798453</v>
      </c>
      <c r="I11105" s="38" t="n">
        <f aca="false">Sens!$I$11081</f>
        <v>1055.09889692929</v>
      </c>
      <c r="J11105" s="38" t="n">
        <f aca="false">Sens!$J$11081</f>
        <v>1169.21408118866</v>
      </c>
      <c r="K11105" s="38" t="n">
        <f aca="false">Sens!$K$11081</f>
        <v>1269.40250311482</v>
      </c>
      <c r="L11105" s="38" t="n">
        <f aca="false">Sens!$L$11081</f>
        <v>1364.59431952989</v>
      </c>
      <c r="M11105" s="38" t="n">
        <f aca="false">Sens!$M$11081</f>
        <v>1455.15444271572</v>
      </c>
      <c r="N11105" s="38" t="n">
        <f aca="false">Sens!$N$11081</f>
        <v>323.369</v>
      </c>
      <c r="O11105" s="38" t="n">
        <f aca="false">Sens!$O$11081</f>
        <v>393.555</v>
      </c>
    </row>
    <row r="11106" customFormat="false" ht="17.15" hidden="false" customHeight="false" outlineLevel="0" collapsed="false">
      <c r="A11106" s="24" t="s">
        <v>707</v>
      </c>
      <c r="B11106" s="25" t="s">
        <v>86</v>
      </c>
      <c r="C11106" s="41" t="n">
        <f aca="false">Sens!$C$11093+Sens!$C$11094+Sens!$C$11095+Sens!$C$11096+Sens!$C$11097+Sens!$C$11098-(Sens!$C$11100+Sens!$C$11101)</f>
        <v>0</v>
      </c>
      <c r="D11106" s="41" t="n">
        <f aca="false">Sens!$D$11093+Sens!$D$11094+Sens!$D$11095+Sens!$D$11096+Sens!$D$11097+Sens!$D$11098-(Sens!$D$11100+Sens!$D$11101)</f>
        <v>0</v>
      </c>
      <c r="E11106" s="41" t="n">
        <f aca="false">Sens!$E$11093+Sens!$E$11094+Sens!$E$11095+Sens!$E$11096+Sens!$E$11097+Sens!$E$11098-(Sens!$E$11100+Sens!$E$11101)</f>
        <v>0</v>
      </c>
      <c r="F11106" s="41" t="n">
        <f aca="false">Sens!$F$11093+Sens!$F$11094+Sens!$F$11095+Sens!$F$11096+Sens!$F$11097+Sens!$F$11098-(Sens!$F$11100+Sens!$F$11101)</f>
        <v>0</v>
      </c>
      <c r="G11106" s="41" t="n">
        <f aca="false">Sens!$G$11093+Sens!$G$11094+Sens!$G$11095+Sens!$G$11096+Sens!$G$11097+Sens!$G$11098-(Sens!$G$11100+Sens!$G$11101)</f>
        <v>0</v>
      </c>
      <c r="H11106" s="41" t="n">
        <f aca="false">Sens!$H$11093+Sens!$H$11094+Sens!$H$11095+Sens!$H$11096+Sens!$H$11097+Sens!$H$11098-(Sens!$H$11100+Sens!$H$11101)</f>
        <v>0</v>
      </c>
      <c r="I11106" s="41" t="n">
        <f aca="false">Sens!$I$11093+Sens!$I$11094+Sens!$I$11095+Sens!$I$11096+Sens!$I$11097+Sens!$I$11098-(Sens!$I$11100+Sens!$I$11101)</f>
        <v>0</v>
      </c>
      <c r="J11106" s="41" t="n">
        <f aca="false">Sens!$J$11093+Sens!$J$11094+Sens!$J$11095+Sens!$J$11096+Sens!$J$11097+Sens!$J$11098-(Sens!$J$11100+Sens!$J$11101)</f>
        <v>0</v>
      </c>
      <c r="K11106" s="41" t="n">
        <f aca="false">Sens!$K$11093+Sens!$K$11094+Sens!$K$11095+Sens!$K$11096+Sens!$K$11097+Sens!$K$11098-(Sens!$K$11100+Sens!$K$11101)</f>
        <v>0</v>
      </c>
      <c r="L11106" s="41" t="n">
        <f aca="false">Sens!$L$11093+Sens!$L$11094+Sens!$L$11095+Sens!$L$11096+Sens!$L$11097+Sens!$L$11098-(Sens!$L$11100+Sens!$L$11101)</f>
        <v>0</v>
      </c>
      <c r="M11106" s="41" t="n">
        <f aca="false">Sens!$M$11093+Sens!$M$11094+Sens!$M$11095+Sens!$M$11096+Sens!$M$11097+Sens!$M$11098-(Sens!$M$11100+Sens!$M$11101)</f>
        <v>0</v>
      </c>
      <c r="N11106" s="41" t="n">
        <f aca="false">Sens!$N$11093+Sens!$N$11094+Sens!$N$11095+Sens!$N$11096+Sens!$N$11097+Sens!$N$11098-(Sens!$N$11100+Sens!$N$11101)</f>
        <v>0</v>
      </c>
      <c r="O11106" s="41" t="n">
        <f aca="false">Sens!$O$11093+Sens!$O$11094+Sens!$O$11095+Sens!$O$11096+Sens!$O$11097+Sens!$O$11098-(Sens!$O$11100+Sens!$O$11101)</f>
        <v>0</v>
      </c>
    </row>
    <row r="11107" customFormat="false" ht="17.15" hidden="false" customHeight="false" outlineLevel="0" collapsed="false">
      <c r="A11107" s="24" t="s">
        <v>708</v>
      </c>
      <c r="B11107" s="25" t="s">
        <v>86</v>
      </c>
      <c r="C11107" s="41" t="n">
        <f aca="false">Sens!$C$11103+Sens!$C$11104-Sens!$C$11102</f>
        <v>0</v>
      </c>
      <c r="D11107" s="41" t="n">
        <f aca="false">Sens!$D$11103+Sens!$D$11104-Sens!$D$11102</f>
        <v>0</v>
      </c>
      <c r="E11107" s="41" t="n">
        <f aca="false">Sens!$E$11103+Sens!$E$11104-Sens!$E$11102</f>
        <v>0</v>
      </c>
      <c r="F11107" s="41" t="n">
        <f aca="false">Sens!$F$11103+Sens!$F$11104-Sens!$F$11102</f>
        <v>0</v>
      </c>
      <c r="G11107" s="41" t="n">
        <f aca="false">Sens!$G$11103+Sens!$G$11104-Sens!$G$11102</f>
        <v>0</v>
      </c>
      <c r="H11107" s="41" t="n">
        <f aca="false">Sens!$H$11103+Sens!$H$11104-Sens!$H$11102</f>
        <v>0</v>
      </c>
      <c r="I11107" s="41" t="n">
        <f aca="false">Sens!$I$11103+Sens!$I$11104-Sens!$I$11102</f>
        <v>0</v>
      </c>
      <c r="J11107" s="41" t="n">
        <f aca="false">Sens!$J$11103+Sens!$J$11104-Sens!$J$11102</f>
        <v>0</v>
      </c>
      <c r="K11107" s="41" t="n">
        <f aca="false">Sens!$K$11103+Sens!$K$11104-Sens!$K$11102</f>
        <v>0</v>
      </c>
      <c r="L11107" s="41" t="n">
        <f aca="false">Sens!$L$11103+Sens!$L$11104-Sens!$L$11102</f>
        <v>0</v>
      </c>
      <c r="M11107" s="41" t="n">
        <f aca="false">Sens!$M$11103+Sens!$M$11104-Sens!$M$11102</f>
        <v>0</v>
      </c>
      <c r="N11107" s="41" t="n">
        <f aca="false">Sens!$N$11103+Sens!$N$11104-Sens!$N$11102</f>
        <v>0</v>
      </c>
      <c r="O11107" s="41" t="n">
        <f aca="false">Sens!$O$11103+Sens!$O$11104-Sens!$O$11102</f>
        <v>0</v>
      </c>
    </row>
    <row r="11108" customFormat="false" ht="17.15" hidden="false" customHeight="false" outlineLevel="0" collapsed="false">
      <c r="A11108" s="24" t="s">
        <v>766</v>
      </c>
      <c r="B11108" s="25" t="s">
        <v>86</v>
      </c>
      <c r="C11108" s="41" t="n">
        <f aca="false">Sens!$C$11093+Sens!$C$11094+Sens!$C$11095+Sens!$C$11096+Sens!$C$11097+Sens!$C$11098+Sens!$C$11099-Sens!$C$11105</f>
        <v>0</v>
      </c>
      <c r="D11108" s="41" t="n">
        <f aca="false">Sens!$D$11093+Sens!$D$11094+Sens!$D$11095+Sens!$D$11096+Sens!$D$11097+Sens!$D$11098+Sens!$D$11099-Sens!$D$11105</f>
        <v>0</v>
      </c>
      <c r="E11108" s="41" t="n">
        <f aca="false">Sens!$E$11093+Sens!$E$11094+Sens!$E$11095+Sens!$E$11096+Sens!$E$11097+Sens!$E$11098+Sens!$E$11099-Sens!$E$11105</f>
        <v>0</v>
      </c>
      <c r="F11108" s="41" t="n">
        <f aca="false">Sens!$F$11093+Sens!$F$11094+Sens!$F$11095+Sens!$F$11096+Sens!$F$11097+Sens!$F$11098+Sens!$F$11099-Sens!$F$11105</f>
        <v>0</v>
      </c>
      <c r="G11108" s="41" t="n">
        <f aca="false">Sens!$G$11093+Sens!$G$11094+Sens!$G$11095+Sens!$G$11096+Sens!$G$11097+Sens!$G$11098+Sens!$G$11099-Sens!$G$11105</f>
        <v>0</v>
      </c>
      <c r="H11108" s="41" t="n">
        <f aca="false">Sens!$H$11093+Sens!$H$11094+Sens!$H$11095+Sens!$H$11096+Sens!$H$11097+Sens!$H$11098+Sens!$H$11099-Sens!$H$11105</f>
        <v>0</v>
      </c>
      <c r="I11108" s="41" t="n">
        <f aca="false">Sens!$I$11093+Sens!$I$11094+Sens!$I$11095+Sens!$I$11096+Sens!$I$11097+Sens!$I$11098+Sens!$I$11099-Sens!$I$11105</f>
        <v>0</v>
      </c>
      <c r="J11108" s="41" t="n">
        <f aca="false">Sens!$J$11093+Sens!$J$11094+Sens!$J$11095+Sens!$J$11096+Sens!$J$11097+Sens!$J$11098+Sens!$J$11099-Sens!$J$11105</f>
        <v>0</v>
      </c>
      <c r="K11108" s="41" t="n">
        <f aca="false">Sens!$K$11093+Sens!$K$11094+Sens!$K$11095+Sens!$K$11096+Sens!$K$11097+Sens!$K$11098+Sens!$K$11099-Sens!$K$11105</f>
        <v>0</v>
      </c>
      <c r="L11108" s="41" t="n">
        <f aca="false">Sens!$L$11093+Sens!$L$11094+Sens!$L$11095+Sens!$L$11096+Sens!$L$11097+Sens!$L$11098+Sens!$L$11099-Sens!$L$11105</f>
        <v>0</v>
      </c>
      <c r="M11108" s="41" t="n">
        <f aca="false">Sens!$M$11093+Sens!$M$11094+Sens!$M$11095+Sens!$M$11096+Sens!$M$11097+Sens!$M$11098+Sens!$M$11099-Sens!$M$11105</f>
        <v>0</v>
      </c>
      <c r="N11108" s="41" t="n">
        <f aca="false">Sens!$N$11093+Sens!$N$11094+Sens!$N$11095+Sens!$N$11096+Sens!$N$11097+Sens!$N$11098+Sens!$N$11099-Sens!$N$11105</f>
        <v>0</v>
      </c>
      <c r="O11108" s="41" t="n">
        <f aca="false">Sens!$O$11093+Sens!$O$11094+Sens!$O$11095+Sens!$O$11096+Sens!$O$11097+Sens!$O$11098+Sens!$O$11099-Sens!$O$11105</f>
        <v>0</v>
      </c>
    </row>
    <row r="11109" customFormat="false" ht="17.15" hidden="false" customHeight="false" outlineLevel="0" collapsed="false">
      <c r="A11109" s="24" t="s">
        <v>709</v>
      </c>
      <c r="B11109" s="25" t="s">
        <v>86</v>
      </c>
      <c r="C11109" s="41" t="n">
        <f aca="false">Sens!$C$11100+Sens!$C$11101+Sens!$C$11102-Sens!$C$11105</f>
        <v>0</v>
      </c>
      <c r="D11109" s="41" t="n">
        <f aca="false">Sens!$D$11100+Sens!$D$11101+Sens!$D$11102-Sens!$D$11105</f>
        <v>0</v>
      </c>
      <c r="E11109" s="41" t="n">
        <f aca="false">Sens!$E$11100+Sens!$E$11101+Sens!$E$11102-Sens!$E$11105</f>
        <v>0</v>
      </c>
      <c r="F11109" s="41" t="n">
        <f aca="false">Sens!$F$11100+Sens!$F$11101+Sens!$F$11102-Sens!$F$11105</f>
        <v>0</v>
      </c>
      <c r="G11109" s="41" t="n">
        <f aca="false">Sens!$G$11100+Sens!$G$11101+Sens!$G$11102-Sens!$G$11105</f>
        <v>0</v>
      </c>
      <c r="H11109" s="41" t="n">
        <f aca="false">Sens!$H$11100+Sens!$H$11101+Sens!$H$11102-Sens!$H$11105</f>
        <v>0</v>
      </c>
      <c r="I11109" s="41" t="n">
        <f aca="false">Sens!$I$11100+Sens!$I$11101+Sens!$I$11102-Sens!$I$11105</f>
        <v>0</v>
      </c>
      <c r="J11109" s="41" t="n">
        <f aca="false">Sens!$J$11100+Sens!$J$11101+Sens!$J$11102-Sens!$J$11105</f>
        <v>0</v>
      </c>
      <c r="K11109" s="41" t="n">
        <f aca="false">Sens!$K$11100+Sens!$K$11101+Sens!$K$11102-Sens!$K$11105</f>
        <v>0</v>
      </c>
      <c r="L11109" s="41" t="n">
        <f aca="false">Sens!$L$11100+Sens!$L$11101+Sens!$L$11102-Sens!$L$11105</f>
        <v>0</v>
      </c>
      <c r="M11109" s="41" t="n">
        <f aca="false">Sens!$M$11100+Sens!$M$11101+Sens!$M$11102-Sens!$M$11105</f>
        <v>0</v>
      </c>
      <c r="N11109" s="41" t="n">
        <f aca="false">Sens!$N$11100+Sens!$N$11101+Sens!$N$11102-Sens!$N$11105</f>
        <v>0</v>
      </c>
      <c r="O11109" s="41" t="n">
        <f aca="false">Sens!$O$11100+Sens!$O$11101+Sens!$O$11102-Sens!$O$11105</f>
        <v>0</v>
      </c>
    </row>
    <row r="11110" customFormat="false" ht="17.15" hidden="false" customHeight="false" outlineLevel="0" collapsed="false">
      <c r="A11110" s="1" t="s">
        <v>719</v>
      </c>
    </row>
    <row r="11111" customFormat="false" ht="17.15" hidden="false" customHeight="false" outlineLevel="0" collapsed="false">
      <c r="A11111" s="0" t="s">
        <v>720</v>
      </c>
      <c r="B11111" s="0" t="s">
        <v>86</v>
      </c>
      <c r="C11111" s="38" t="n">
        <f aca="false">Sens!$C$11015*m_ad</f>
        <v>20.5341564414228</v>
      </c>
      <c r="D11111" s="38" t="n">
        <f aca="false">Sens!$D$11015*m_ad</f>
        <v>24.8720617299587</v>
      </c>
      <c r="E11111" s="38" t="n">
        <f aca="false">Sens!$E$11015*m_ad</f>
        <v>13.5017112462207</v>
      </c>
      <c r="F11111" s="38" t="n">
        <f aca="false">Sens!$F$11015*m_ad</f>
        <v>16.5719724165257</v>
      </c>
      <c r="G11111" s="38" t="n">
        <f aca="false">Sens!$G$11015*m_ad</f>
        <v>30.0820919220415</v>
      </c>
      <c r="H11111" s="38" t="n">
        <f aca="false">Sens!$H$11015*m_ad</f>
        <v>36.1150883276314</v>
      </c>
      <c r="I11111" s="38" t="n">
        <f aca="false">Sens!$I$11015*m_ad</f>
        <v>42.1475382231996</v>
      </c>
      <c r="J11111" s="38" t="n">
        <f aca="false">Sens!$J$11015*m_ad</f>
        <v>47.7749523864693</v>
      </c>
      <c r="K11111" s="38" t="n">
        <f aca="false">Sens!$K$11015*m_ad</f>
        <v>52.5524476251162</v>
      </c>
      <c r="L11111" s="38" t="n">
        <f aca="false">Sens!$L$11015*m_ad</f>
        <v>57.8076923876279</v>
      </c>
      <c r="M11111" s="38" t="n">
        <f aca="false">Sens!$M$11015*m_ad</f>
        <v>63.5884616263907</v>
      </c>
      <c r="N11111" s="38" t="n">
        <f aca="false">Sens!$N$11015*m_ad</f>
        <v>10.8543555706248</v>
      </c>
      <c r="O11111" s="38" t="n">
        <f aca="false">Sens!$O$11015*m_ad</f>
        <v>14.0094731821399</v>
      </c>
    </row>
    <row r="11112" customFormat="false" ht="17.15" hidden="false" customHeight="false" outlineLevel="0" collapsed="false">
      <c r="A11112" s="0" t="s">
        <v>721</v>
      </c>
      <c r="B11112" s="0" t="s">
        <v>86</v>
      </c>
      <c r="C11112" s="38" t="n">
        <f aca="false">Sens!$C$11013-Sens!$C$11015</f>
        <v>346.428687117154</v>
      </c>
      <c r="D11112" s="38" t="n">
        <f aca="false">Sens!$D$11013-Sens!$D$11015</f>
        <v>376.560876540083</v>
      </c>
      <c r="E11112" s="38" t="n">
        <f aca="false">Sens!$E$11013-Sens!$E$11015</f>
        <v>193.316577507559</v>
      </c>
      <c r="F11112" s="38" t="n">
        <f aca="false">Sens!$F$11013-Sens!$F$11015</f>
        <v>217.495828647535</v>
      </c>
      <c r="G11112" s="38" t="n">
        <f aca="false">Sens!$G$11013-Sens!$G$11015</f>
        <v>410.795589636503</v>
      </c>
      <c r="H11112" s="38" t="n">
        <f aca="false">Sens!$H$11013-Sens!$H$11015</f>
        <v>449.156813761174</v>
      </c>
      <c r="I11112" s="38" t="n">
        <f aca="false">Sens!$I$11013-Sens!$I$11015</f>
        <v>485.848786441156</v>
      </c>
      <c r="J11112" s="38" t="n">
        <f aca="false">Sens!$J$11013-Sens!$J$11015</f>
        <v>519.841531018994</v>
      </c>
      <c r="K11112" s="38" t="n">
        <f aca="false">Sens!$K$11013-Sens!$K$11015</f>
        <v>550.103332311311</v>
      </c>
      <c r="L11112" s="38" t="n">
        <f aca="false">Sens!$L$11013-Sens!$L$11015</f>
        <v>582.192354474511</v>
      </c>
      <c r="M11112" s="38" t="n">
        <f aca="false">Sens!$M$11013-Sens!$M$11015</f>
        <v>616.22240521081</v>
      </c>
      <c r="N11112" s="38" t="n">
        <f aca="false">Sens!$N$11013-Sens!$N$11015</f>
        <v>171.24628885875</v>
      </c>
      <c r="O11112" s="38" t="n">
        <f aca="false">Sens!$O$11013-Sens!$O$11015</f>
        <v>205.33105363572</v>
      </c>
    </row>
    <row r="11113" customFormat="false" ht="17.15" hidden="false" customHeight="false" outlineLevel="0" collapsed="false">
      <c r="A11113" s="0" t="s">
        <v>722</v>
      </c>
      <c r="B11113" s="0" t="s">
        <v>86</v>
      </c>
      <c r="C11113" s="38" t="n">
        <f aca="false">Sens!$C$11064*Sens!$C$11012</f>
        <v>0.123617442257179</v>
      </c>
      <c r="D11113" s="38" t="n">
        <f aca="false">Sens!$D$11064*Sens!$D$11012</f>
        <v>0.600198046024689</v>
      </c>
      <c r="E11113" s="38" t="n">
        <f aca="false">Sens!$E$11064*Sens!$E$11012</f>
        <v>0.970552432202993</v>
      </c>
      <c r="F11113" s="38" t="n">
        <f aca="false">Sens!$F$11064*Sens!$F$11012</f>
        <v>1.20013524388435</v>
      </c>
      <c r="G11113" s="38" t="n">
        <f aca="false">Sens!$G$11064*Sens!$G$11012</f>
        <v>2.17135369594947</v>
      </c>
      <c r="H11113" s="38" t="n">
        <f aca="false">Sens!$H$11064*Sens!$H$11012</f>
        <v>6.14227489656333</v>
      </c>
      <c r="I11113" s="38" t="n">
        <f aca="false">Sens!$I$11064*Sens!$I$11012</f>
        <v>11.6518054969681</v>
      </c>
      <c r="J11113" s="38" t="n">
        <f aca="false">Sens!$J$11064*Sens!$J$11012</f>
        <v>17.3105301010592</v>
      </c>
      <c r="K11113" s="38" t="n">
        <f aca="false">Sens!$K$11064*Sens!$K$11012</f>
        <v>22.8486728059883</v>
      </c>
      <c r="L11113" s="38" t="n">
        <f aca="false">Sens!$L$11064*Sens!$L$11012</f>
        <v>26.6849171332777</v>
      </c>
      <c r="M11113" s="38" t="n">
        <f aca="false">Sens!$M$11064*Sens!$M$11012</f>
        <v>29.0523240317336</v>
      </c>
      <c r="N11113" s="38" t="n">
        <f aca="false">Sens!$N$11064*Sens!$N$11012</f>
        <v>0.25053229484398</v>
      </c>
      <c r="O11113" s="38" t="n">
        <f aca="false">Sens!$O$11064*Sens!$O$11012</f>
        <v>0.349234376756897</v>
      </c>
    </row>
    <row r="11114" customFormat="false" ht="17.15" hidden="false" customHeight="false" outlineLevel="0" collapsed="false">
      <c r="A11114" s="0" t="s">
        <v>723</v>
      </c>
      <c r="B11114" s="0" t="s">
        <v>52</v>
      </c>
      <c r="C11114" s="28" t="n">
        <f aca="false">(Sens!$C$11115-Sens!$C$11111+Sens!$C$11113)/Sens!$C$11112</f>
        <v>0.0131526665379575</v>
      </c>
      <c r="D11114" s="28" t="n">
        <f aca="false">(Sens!$D$11115-Sens!$D$11111+Sens!$D$11113)/Sens!$D$11112</f>
        <v>0.0141999252954702</v>
      </c>
      <c r="E11114" s="28" t="n">
        <f aca="false">(Sens!$E$11115-Sens!$E$11111+Sens!$E$11113)/Sens!$E$11112</f>
        <v>0.0251341154940129</v>
      </c>
      <c r="F11114" s="28" t="n">
        <f aca="false">Sens!$O$11114+(Sens!$E$11114-Sens!$N$11114)</f>
        <v>0.0217171685713677</v>
      </c>
      <c r="G11114" s="28" t="n">
        <f aca="false">(Sens!$G$11115-Sens!$G$11111+Sens!$G$11113)/Sens!$G$11112</f>
        <v>0.0233071940458981</v>
      </c>
      <c r="H11114" s="28" t="n">
        <f aca="false">Sens!$G$11114+step_na</f>
        <v>0.0263071940458981</v>
      </c>
      <c r="I11114" s="28" t="n">
        <f aca="false">Sens!$H$11114+step_na</f>
        <v>0.0293071940458981</v>
      </c>
      <c r="J11114" s="28" t="n">
        <f aca="false">Sens!$I$11114+step_na</f>
        <v>0.0323071940458981</v>
      </c>
      <c r="K11114" s="28" t="n">
        <f aca="false">Sens!$J$11114+step_na</f>
        <v>0.0353071940458981</v>
      </c>
      <c r="L11114" s="28" t="n">
        <f aca="false">Sens!$K$11114</f>
        <v>0.0353071940458981</v>
      </c>
      <c r="M11114" s="28" t="n">
        <f aca="false">Sens!$L$11114</f>
        <v>0.0353071940458981</v>
      </c>
      <c r="N11114" s="28" t="n">
        <f aca="false">(Sens!$N$11115-Sens!$N$11111+Sens!$N$11113)/Sens!$N$11112</f>
        <v>0.0160831323269779</v>
      </c>
      <c r="O11114" s="28" t="n">
        <f aca="false">(Sens!$O$11115-Sens!$O$11111+Sens!$O$11113)/Sens!$O$11112</f>
        <v>0.0126661854043327</v>
      </c>
      <c r="P11114" s="8" t="s">
        <v>724</v>
      </c>
    </row>
    <row r="11115" customFormat="false" ht="17.15" hidden="false" customHeight="false" outlineLevel="0" collapsed="false">
      <c r="A11115" s="1" t="s">
        <v>725</v>
      </c>
      <c r="B11115" s="8" t="s">
        <v>86</v>
      </c>
      <c r="C11115" s="38" t="n">
        <f aca="false">Q!$D$22</f>
        <v>24.967</v>
      </c>
      <c r="D11115" s="38" t="n">
        <f aca="false">Q!$E$22</f>
        <v>29.619</v>
      </c>
      <c r="E11115" s="38" t="n">
        <f aca="false">Q!$P$22</f>
        <v>17.39</v>
      </c>
      <c r="F11115" s="38" t="n">
        <f aca="false">Sens!$F$11111+Sens!$F$11112*Sens!$F$11114-Sens!$F$11113</f>
        <v>20.0952307469491</v>
      </c>
      <c r="G11115" s="38" t="n">
        <f aca="false">Sens!$E$11115+Sens!$F$11115</f>
        <v>37.4852307469491</v>
      </c>
      <c r="H11115" s="38" t="n">
        <f aca="false">Sens!$H$11111+Sens!$H$11112*Sens!$H$11114-Sens!$H$11113</f>
        <v>41.7888688877206</v>
      </c>
      <c r="I11115" s="38" t="n">
        <f aca="false">Sens!$I$11111+Sens!$I$11112*Sens!$I$11114-Sens!$I$11113</f>
        <v>44.7345973874265</v>
      </c>
      <c r="J11115" s="38" t="n">
        <f aca="false">Sens!$J$11111+Sens!$J$11112*Sens!$J$11114-Sens!$J$11113</f>
        <v>47.2590435011574</v>
      </c>
      <c r="K11115" s="38" t="n">
        <f aca="false">Sens!$K$11111+Sens!$K$11112*Sens!$K$11114-Sens!$K$11113</f>
        <v>49.1263799183386</v>
      </c>
      <c r="L11115" s="38" t="n">
        <f aca="false">Sens!$L$11111+Sens!$L$11112*Sens!$L$11114-Sens!$L$11113</f>
        <v>51.67835368582</v>
      </c>
      <c r="M11115" s="38" t="n">
        <f aca="false">Sens!$M$11111+Sens!$M$11112*Sens!$M$11114-Sens!$M$11113</f>
        <v>56.2932216308652</v>
      </c>
      <c r="N11115" s="38" t="n">
        <f aca="false">Q!$N$22</f>
        <v>13.358</v>
      </c>
      <c r="O11115" s="38" t="n">
        <f aca="false">Q!$O$22</f>
        <v>16.261</v>
      </c>
    </row>
    <row r="11116" customFormat="false" ht="17.15" hidden="false" customHeight="false" outlineLevel="0" collapsed="false">
      <c r="A11116" s="0" t="s">
        <v>726</v>
      </c>
      <c r="B11116" s="0" t="s">
        <v>86</v>
      </c>
      <c r="C11116" s="38" t="n">
        <f aca="false">Sens!$C$11016*m_ad</f>
        <v>7.57284355857716</v>
      </c>
      <c r="D11116" s="38" t="n">
        <f aca="false">Sens!$D$11016*m_ad</f>
        <v>9.44543827004127</v>
      </c>
      <c r="E11116" s="38" t="n">
        <f aca="false">Sens!$E$11016*m_ad</f>
        <v>5.02428875377928</v>
      </c>
      <c r="F11116" s="38" t="n">
        <f aca="false">Sens!$F$11016*m_ad</f>
        <v>6.50663858068173</v>
      </c>
      <c r="G11116" s="38" t="n">
        <f aca="false">Sens!$G$11016*m_ad</f>
        <v>11.5225190751659</v>
      </c>
      <c r="H11116" s="38" t="n">
        <f aca="false">Sens!$H$11016*m_ad</f>
        <v>13.8333728663174</v>
      </c>
      <c r="I11116" s="38" t="n">
        <f aca="false">Sens!$I$11016*m_ad</f>
        <v>16.1440173245485</v>
      </c>
      <c r="J11116" s="38" t="n">
        <f aca="false">Sens!$J$11016*m_ad</f>
        <v>18.2995185845066</v>
      </c>
      <c r="K11116" s="38" t="n">
        <f aca="false">Sens!$K$11016*m_ad</f>
        <v>20.1294704429572</v>
      </c>
      <c r="L11116" s="38" t="n">
        <f aca="false">Sens!$L$11016*m_ad</f>
        <v>22.142417487253</v>
      </c>
      <c r="M11116" s="38" t="n">
        <f aca="false">Sens!$M$11016*m_ad</f>
        <v>24.3566592359783</v>
      </c>
      <c r="N11116" s="38" t="n">
        <f aca="false">Sens!$N$11016*m_ad</f>
        <v>3.95314442937518</v>
      </c>
      <c r="O11116" s="38" t="n">
        <f aca="false">Sens!$O$11016*m_ad</f>
        <v>5.50052681786011</v>
      </c>
    </row>
    <row r="11117" customFormat="false" ht="17.15" hidden="false" customHeight="false" outlineLevel="0" collapsed="false">
      <c r="A11117" s="0" t="s">
        <v>727</v>
      </c>
      <c r="B11117" s="0" t="s">
        <v>86</v>
      </c>
      <c r="C11117" s="38" t="n">
        <f aca="false">Sens!$C$11014-Sens!$C$11016</f>
        <v>127.760312882846</v>
      </c>
      <c r="D11117" s="38" t="n">
        <f aca="false">Sens!$D$11014-Sens!$D$11016</f>
        <v>143.003123459917</v>
      </c>
      <c r="E11117" s="38" t="n">
        <f aca="false">Sens!$E$11014-Sens!$E$11016</f>
        <v>71.9374224924414</v>
      </c>
      <c r="F11117" s="38" t="n">
        <f aca="false">Sens!$F$11014-Sens!$F$11016</f>
        <v>85.3951910035875</v>
      </c>
      <c r="G11117" s="38" t="n">
        <f aca="false">Sens!$G$11014-Sens!$G$11016</f>
        <v>157.349430014619</v>
      </c>
      <c r="H11117" s="38" t="n">
        <f aca="false">Sens!$H$11014-Sens!$H$11016</f>
        <v>172.043153372315</v>
      </c>
      <c r="I11117" s="38" t="n">
        <f aca="false">Sens!$I$11014-Sens!$I$11016</f>
        <v>186.097493615879</v>
      </c>
      <c r="J11117" s="38" t="n">
        <f aca="false">Sens!$J$11014-Sens!$J$11016</f>
        <v>199.117932780497</v>
      </c>
      <c r="K11117" s="38" t="n">
        <f aca="false">Sens!$K$11014-Sens!$K$11016</f>
        <v>210.70928698363</v>
      </c>
      <c r="L11117" s="38" t="n">
        <f aca="false">Sens!$L$11014-Sens!$L$11016</f>
        <v>223.000532251316</v>
      </c>
      <c r="M11117" s="38" t="n">
        <f aca="false">Sens!$M$11014-Sens!$M$11016</f>
        <v>236.035261011339</v>
      </c>
      <c r="N11117" s="38" t="n">
        <f aca="false">Sens!$N$11014-Sens!$N$11016</f>
        <v>62.3677111412496</v>
      </c>
      <c r="O11117" s="38" t="n">
        <f aca="false">Sens!$O$11014-Sens!$O$11016</f>
        <v>80.6189463642798</v>
      </c>
    </row>
    <row r="11118" customFormat="false" ht="17.15" hidden="false" customHeight="false" outlineLevel="0" collapsed="false">
      <c r="A11118" s="0" t="s">
        <v>728</v>
      </c>
      <c r="B11118" s="0" t="s">
        <v>86</v>
      </c>
      <c r="C11118" s="38" t="n">
        <f aca="false">Sens!$C$11064*(1-Sens!$C$11012)</f>
        <v>0.0455891896019953</v>
      </c>
      <c r="D11118" s="38" t="n">
        <f aca="false">Sens!$D$11064*(1-Sens!$D$11012)</f>
        <v>0.227931791705753</v>
      </c>
      <c r="E11118" s="38" t="n">
        <f aca="false">Sens!$E$11064*(1-Sens!$E$11012)</f>
        <v>0.361164268820781</v>
      </c>
      <c r="F11118" s="38" t="n">
        <f aca="false">Sens!$F$11064*(1-Sens!$F$11012)</f>
        <v>0.471208018190203</v>
      </c>
      <c r="G11118" s="38" t="n">
        <f aca="false">Sens!$G$11064*(1-Sens!$G$11012)</f>
        <v>0.83170626714885</v>
      </c>
      <c r="H11118" s="38" t="n">
        <f aca="false">Sens!$H$11064*(1-Sens!$H$11012)</f>
        <v>2.35271136874315</v>
      </c>
      <c r="I11118" s="38" t="n">
        <f aca="false">Sens!$I$11064*(1-Sens!$I$11012)</f>
        <v>4.46305900024741</v>
      </c>
      <c r="J11118" s="38" t="n">
        <f aca="false">Sens!$J$11064*(1-Sens!$J$11012)</f>
        <v>6.63055328092195</v>
      </c>
      <c r="K11118" s="38" t="n">
        <f aca="false">Sens!$K$11064*(1-Sens!$K$11012)</f>
        <v>8.75186037365703</v>
      </c>
      <c r="L11118" s="38" t="n">
        <f aca="false">Sens!$L$11064*(1-Sens!$L$11012)</f>
        <v>10.2212794071718</v>
      </c>
      <c r="M11118" s="38" t="n">
        <f aca="false">Sens!$M$11064*(1-Sens!$M$11012)</f>
        <v>11.1280810756472</v>
      </c>
      <c r="N11118" s="38" t="n">
        <f aca="false">Sens!$N$11064*(1-Sens!$N$11012)</f>
        <v>0.0912435878202994</v>
      </c>
      <c r="O11118" s="38" t="n">
        <f aca="false">Sens!$O$11064*(1-Sens!$O$11012)</f>
        <v>0.137119578309265</v>
      </c>
    </row>
    <row r="11119" customFormat="false" ht="17.15" hidden="false" customHeight="false" outlineLevel="0" collapsed="false">
      <c r="A11119" s="0" t="s">
        <v>729</v>
      </c>
      <c r="B11119" s="0" t="s">
        <v>52</v>
      </c>
      <c r="C11119" s="28" t="n">
        <f aca="false">(Sens!$C$11120-Sens!$C$11116+Sens!$C$11118)/Sens!$C$11117</f>
        <v>-0.0292364215826579</v>
      </c>
      <c r="D11119" s="28" t="n">
        <f aca="false">(Sens!$D$11120-Sens!$D$11116+Sens!$D$11118)/Sens!$D$11117</f>
        <v>-0.0312406216748665</v>
      </c>
      <c r="E11119" s="28" t="n">
        <f aca="false">(Sens!$E$11120-Sens!$E$11116+Sens!$E$11118)/Sens!$E$11117</f>
        <v>-0.0211590078184749</v>
      </c>
      <c r="F11119" s="28" t="n">
        <f aca="false">Sens!$O$11119+(Sens!$E$11119-Sens!$N$11119)</f>
        <v>-0.0382539955245511</v>
      </c>
      <c r="G11119" s="28" t="n">
        <f aca="false">(Sens!$G$11120-Sens!$G$11116+Sens!$G$11118)/Sens!$G$11117</f>
        <v>-0.030385172031133</v>
      </c>
      <c r="H11119" s="28" t="n">
        <f aca="false">Sens!$G$11119+step_in</f>
        <v>-0.030385172031133</v>
      </c>
      <c r="I11119" s="28" t="n">
        <f aca="false">Sens!$H$11119+step_in</f>
        <v>-0.030385172031133</v>
      </c>
      <c r="J11119" s="28" t="n">
        <f aca="false">Sens!$I$11119+step_in</f>
        <v>-0.030385172031133</v>
      </c>
      <c r="K11119" s="28" t="n">
        <f aca="false">Sens!$J$11119+step_in</f>
        <v>-0.030385172031133</v>
      </c>
      <c r="L11119" s="28" t="n">
        <f aca="false">Sens!$K$11119</f>
        <v>-0.030385172031133</v>
      </c>
      <c r="M11119" s="28" t="n">
        <f aca="false">Sens!$L$11119</f>
        <v>-0.030385172031133</v>
      </c>
      <c r="N11119" s="28" t="n">
        <f aca="false">(Sens!$N$11120-Sens!$N$11116+Sens!$N$11118)/Sens!$N$11117</f>
        <v>-0.0216602600421776</v>
      </c>
      <c r="O11119" s="28" t="n">
        <f aca="false">(Sens!$O$11120-Sens!$O$11116+Sens!$O$11118)/Sens!$O$11117</f>
        <v>-0.0387552477482538</v>
      </c>
      <c r="P11119" s="8" t="s">
        <v>724</v>
      </c>
    </row>
    <row r="11120" customFormat="false" ht="17.15" hidden="false" customHeight="false" outlineLevel="0" collapsed="false">
      <c r="A11120" s="1" t="s">
        <v>730</v>
      </c>
      <c r="B11120" s="8" t="s">
        <v>86</v>
      </c>
      <c r="C11120" s="38" t="n">
        <f aca="false">Q!$D$23</f>
        <v>3.792</v>
      </c>
      <c r="D11120" s="38" t="n">
        <f aca="false">Q!$E$23</f>
        <v>4.75</v>
      </c>
      <c r="E11120" s="38" t="n">
        <f aca="false">Q!$P$23</f>
        <v>3.141</v>
      </c>
      <c r="F11120" s="38" t="n">
        <f aca="false">Sens!$F$11116+Sens!$F$11117*Sens!$F$11119-Sens!$F$11118</f>
        <v>2.7687233080221</v>
      </c>
      <c r="G11120" s="38" t="n">
        <f aca="false">Sens!$E$11120+Sens!$F$11120</f>
        <v>5.9097233080221</v>
      </c>
      <c r="H11120" s="38" t="n">
        <f aca="false">Sens!$H$11116+Sens!$H$11117*Sens!$H$11119-Sens!$H$11118</f>
        <v>6.25310068557783</v>
      </c>
      <c r="I11120" s="38" t="n">
        <f aca="false">Sens!$I$11116+Sens!$I$11117*Sens!$I$11119-Sens!$I$11118</f>
        <v>6.02635396621997</v>
      </c>
      <c r="J11120" s="38" t="n">
        <f aca="false">Sens!$J$11116+Sens!$J$11117*Sens!$J$11119-Sens!$J$11118</f>
        <v>5.61873266156566</v>
      </c>
      <c r="K11120" s="38" t="n">
        <f aca="false">Sens!$K$11116+Sens!$K$11117*Sens!$K$11119-Sens!$K$11118</f>
        <v>4.97517213574524</v>
      </c>
      <c r="L11120" s="38" t="n">
        <f aca="false">Sens!$L$11116+Sens!$L$11117*Sens!$L$11119-Sens!$L$11118</f>
        <v>5.14522854459066</v>
      </c>
      <c r="M11120" s="38" t="n">
        <f aca="false">Sens!$M$11116+Sens!$M$11117*Sens!$M$11119-Sens!$M$11118</f>
        <v>6.05660614908815</v>
      </c>
      <c r="N11120" s="38" t="n">
        <f aca="false">Q!$N$23</f>
        <v>2.511</v>
      </c>
      <c r="O11120" s="38" t="n">
        <f aca="false">Q!$O$23</f>
        <v>2.239</v>
      </c>
    </row>
    <row r="11121" customFormat="false" ht="17.15" hidden="false" customHeight="false" outlineLevel="0" collapsed="false">
      <c r="A11121" s="0" t="s">
        <v>731</v>
      </c>
      <c r="B11121" s="0" t="s">
        <v>86</v>
      </c>
      <c r="C11121" s="38" t="n">
        <f aca="false">Sens!$C$11061</f>
        <v>1.64417882953695</v>
      </c>
      <c r="D11121" s="38" t="n">
        <f aca="false">Sens!$D$11061</f>
        <v>5.39125073772939</v>
      </c>
      <c r="E11121" s="38" t="n">
        <f aca="false">Sens!$E$11061</f>
        <v>3.18348617147493</v>
      </c>
      <c r="F11121" s="38" t="n">
        <f aca="false">Sens!$F$11061</f>
        <v>7.45204426003557</v>
      </c>
      <c r="G11121" s="38" t="n">
        <f aca="false">Sens!$G$11061</f>
        <v>10.6355304315105</v>
      </c>
      <c r="H11121" s="38" t="n">
        <f aca="false">Sens!$H$11061</f>
        <v>19.4423451366374</v>
      </c>
      <c r="I11121" s="38" t="n">
        <f aca="false">Sens!$I$11061</f>
        <v>23.3402882664391</v>
      </c>
      <c r="J11121" s="38" t="n">
        <f aca="false">Sens!$J$11061</f>
        <v>26.5658038733873</v>
      </c>
      <c r="K11121" s="38" t="n">
        <f aca="false">Sens!$K$11061</f>
        <v>25.3863338755762</v>
      </c>
      <c r="L11121" s="38" t="n">
        <f aca="false">Sens!$L$11061</f>
        <v>23.5238393157556</v>
      </c>
      <c r="M11121" s="38" t="n">
        <f aca="false">Sens!$M$11061</f>
        <v>19.6641197564286</v>
      </c>
      <c r="N11121" s="38" t="n">
        <f aca="false">Sens!$N$11061</f>
        <v>1.67921600037079</v>
      </c>
      <c r="O11121" s="38" t="n">
        <f aca="false">Sens!$O$11061</f>
        <v>3.71203473735861</v>
      </c>
    </row>
    <row r="11122" customFormat="false" ht="17.15" hidden="false" customHeight="false" outlineLevel="0" collapsed="false">
      <c r="A11122" s="0" t="s">
        <v>649</v>
      </c>
      <c r="B11122" s="0" t="s">
        <v>86</v>
      </c>
      <c r="C11122" s="38" t="n">
        <f aca="false">Sens!$C$11066</f>
        <v>38.1898211704631</v>
      </c>
      <c r="D11122" s="38" t="n">
        <f aca="false">Sens!$D$11066</f>
        <v>40.2147492622706</v>
      </c>
      <c r="E11122" s="38" t="n">
        <f aca="false">Sens!$E$11066</f>
        <v>27.5985138285251</v>
      </c>
      <c r="F11122" s="38" t="n">
        <f aca="false">Sens!$F$11066</f>
        <v>25.5484769754606</v>
      </c>
      <c r="G11122" s="38" t="n">
        <f aca="false">Sens!$G$11066</f>
        <v>53.1469908039857</v>
      </c>
      <c r="H11122" s="38" t="n">
        <f aca="false">Sens!$H$11066</f>
        <v>57.3189525076539</v>
      </c>
      <c r="I11122" s="38" t="n">
        <f aca="false">Sens!$I$11066</f>
        <v>63.6385627021087</v>
      </c>
      <c r="J11122" s="38" t="n">
        <f aca="false">Sens!$J$11066</f>
        <v>69.6922896066105</v>
      </c>
      <c r="K11122" s="38" t="n">
        <f aca="false">Sens!$K$11066</f>
        <v>75.2676727751394</v>
      </c>
      <c r="L11122" s="38" t="n">
        <f aca="false">Sens!$L$11066</f>
        <v>81.2890865971505</v>
      </c>
      <c r="M11122" s="38" t="n">
        <f aca="false">Sens!$M$11066</f>
        <v>87.7922135249226</v>
      </c>
      <c r="N11122" s="38" t="n">
        <f aca="false">Sens!$N$11066</f>
        <v>20.0277839996292</v>
      </c>
      <c r="O11122" s="38" t="n">
        <f aca="false">Sens!$O$11066</f>
        <v>20.1869652626414</v>
      </c>
    </row>
    <row r="11123" customFormat="false" ht="17.15" hidden="false" customHeight="false" outlineLevel="0" collapsed="false">
      <c r="A11123" s="1" t="s">
        <v>732</v>
      </c>
      <c r="B11123" s="8" t="s">
        <v>86</v>
      </c>
      <c r="C11123" s="38" t="n">
        <f aca="false">Q!$D$24</f>
        <v>39.834</v>
      </c>
      <c r="D11123" s="38" t="n">
        <f aca="false">Q!$E$24</f>
        <v>45.606</v>
      </c>
      <c r="E11123" s="38" t="n">
        <f aca="false">Q!$P$24</f>
        <v>30.782</v>
      </c>
      <c r="F11123" s="38" t="n">
        <f aca="false">Sens!$F$11121+Sens!$F$11122</f>
        <v>33.0005212354962</v>
      </c>
      <c r="G11123" s="38" t="n">
        <f aca="false">Sens!$G$11121+Sens!$G$11122</f>
        <v>63.7825212354962</v>
      </c>
      <c r="H11123" s="38" t="n">
        <f aca="false">Sens!$H$11121+Sens!$H$11122</f>
        <v>76.7612976442914</v>
      </c>
      <c r="I11123" s="38" t="n">
        <f aca="false">Sens!$I$11121+Sens!$I$11122</f>
        <v>86.9788509685478</v>
      </c>
      <c r="J11123" s="38" t="n">
        <f aca="false">Sens!$J$11121+Sens!$J$11122</f>
        <v>96.2580934799979</v>
      </c>
      <c r="K11123" s="38" t="n">
        <f aca="false">Sens!$K$11121+Sens!$K$11122</f>
        <v>100.654006650716</v>
      </c>
      <c r="L11123" s="38" t="n">
        <f aca="false">Sens!$L$11121+Sens!$L$11122</f>
        <v>104.812925912906</v>
      </c>
      <c r="M11123" s="38" t="n">
        <f aca="false">Sens!$M$11121+Sens!$M$11122</f>
        <v>107.456333281351</v>
      </c>
      <c r="N11123" s="38" t="n">
        <f aca="false">Q!$N$24</f>
        <v>21.707</v>
      </c>
      <c r="O11123" s="38" t="n">
        <f aca="false">Q!$O$24</f>
        <v>23.899</v>
      </c>
    </row>
    <row r="11124" customFormat="false" ht="17.15" hidden="false" customHeight="false" outlineLevel="0" collapsed="false">
      <c r="A11124" s="5" t="s">
        <v>733</v>
      </c>
      <c r="B11124" s="0" t="s">
        <v>86</v>
      </c>
      <c r="C11124" s="38" t="n">
        <f aca="false">Q!$D$26</f>
        <v>0</v>
      </c>
      <c r="D11124" s="38" t="n">
        <f aca="false">Q!$E$26</f>
        <v>0</v>
      </c>
      <c r="E11124" s="38" t="n">
        <f aca="false">Q!$P$26</f>
        <v>0</v>
      </c>
      <c r="F11124" s="39" t="n">
        <v>0</v>
      </c>
      <c r="G11124" s="38" t="n">
        <f aca="false">Sens!$E$11124+Sens!$F$11124</f>
        <v>0</v>
      </c>
      <c r="H11124" s="39" t="n">
        <v>0</v>
      </c>
      <c r="I11124" s="39" t="n">
        <v>0</v>
      </c>
      <c r="J11124" s="39" t="n">
        <v>0</v>
      </c>
      <c r="K11124" s="39" t="n">
        <v>0</v>
      </c>
      <c r="L11124" s="39" t="n">
        <v>0</v>
      </c>
      <c r="M11124" s="39" t="n">
        <v>0</v>
      </c>
      <c r="N11124" s="38" t="n">
        <f aca="false">Q!$N$26</f>
        <v>0</v>
      </c>
      <c r="O11124" s="38" t="n">
        <f aca="false">Q!$O$26</f>
        <v>0</v>
      </c>
    </row>
    <row r="11125" customFormat="false" ht="15" hidden="false" customHeight="false" outlineLevel="0" collapsed="false">
      <c r="A11125" s="3" t="s">
        <v>534</v>
      </c>
      <c r="B11125" s="8" t="s">
        <v>86</v>
      </c>
      <c r="C11125" s="38" t="n">
        <f aca="false">Q!$D$25</f>
        <v>68.593</v>
      </c>
      <c r="D11125" s="38" t="n">
        <f aca="false">Q!$E$25</f>
        <v>79.975</v>
      </c>
      <c r="E11125" s="38" t="n">
        <f aca="false">Q!$P$25</f>
        <v>51.313</v>
      </c>
      <c r="F11125" s="38" t="n">
        <f aca="false">Sens!$F$11115+Sens!$F$11120+Sens!$F$11123+Sens!$F$11124</f>
        <v>55.8644752904674</v>
      </c>
      <c r="G11125" s="38" t="n">
        <f aca="false">Sens!$G$11115+Sens!$G$11120+Sens!$G$11123+Sens!$G$11124</f>
        <v>107.177475290467</v>
      </c>
      <c r="H11125" s="38" t="n">
        <f aca="false">Sens!$H$11115+Sens!$H$11120+Sens!$H$11123+Sens!$H$11124</f>
        <v>124.80326721759</v>
      </c>
      <c r="I11125" s="38" t="n">
        <f aca="false">Sens!$I$11115+Sens!$I$11120+Sens!$I$11123+Sens!$I$11124</f>
        <v>137.739802322194</v>
      </c>
      <c r="J11125" s="38" t="n">
        <f aca="false">Sens!$J$11115+Sens!$J$11120+Sens!$J$11123+Sens!$J$11124</f>
        <v>149.135869642721</v>
      </c>
      <c r="K11125" s="38" t="n">
        <f aca="false">Sens!$K$11115+Sens!$K$11120+Sens!$K$11123+Sens!$K$11124</f>
        <v>154.755558704799</v>
      </c>
      <c r="L11125" s="38" t="n">
        <f aca="false">Sens!$L$11115+Sens!$L$11120+Sens!$L$11123+Sens!$L$11124</f>
        <v>161.636508143317</v>
      </c>
      <c r="M11125" s="38" t="n">
        <f aca="false">Sens!$M$11115+Sens!$M$11120+Sens!$M$11123+Sens!$M$11124</f>
        <v>169.806161061305</v>
      </c>
      <c r="N11125" s="38" t="n">
        <f aca="false">Q!$N$25</f>
        <v>37.576</v>
      </c>
      <c r="O11125" s="38" t="n">
        <f aca="false">Q!$O$25</f>
        <v>42.399</v>
      </c>
    </row>
    <row r="11126" customFormat="false" ht="17.15" hidden="false" customHeight="false" outlineLevel="0" collapsed="false">
      <c r="A11126" s="24" t="s">
        <v>767</v>
      </c>
      <c r="B11126" s="25" t="s">
        <v>86</v>
      </c>
      <c r="C11126" s="41" t="n">
        <f aca="false">Sens!$C$11115+Sens!$C$11120+Sens!$C$11123+Sens!$C$11124-Sens!$C$11125</f>
        <v>0</v>
      </c>
      <c r="D11126" s="41" t="n">
        <f aca="false">Sens!$D$11115+Sens!$D$11120+Sens!$D$11123+Sens!$D$11124-Sens!$D$11125</f>
        <v>0</v>
      </c>
      <c r="E11126" s="41" t="n">
        <f aca="false">Sens!$E$11115+Sens!$E$11120+Sens!$E$11123+Sens!$E$11124-Sens!$E$11125</f>
        <v>0</v>
      </c>
      <c r="F11126" s="41" t="n">
        <f aca="false">Sens!$F$11115+Sens!$F$11120+Sens!$F$11123+Sens!$F$11124-Sens!$F$11125</f>
        <v>0</v>
      </c>
      <c r="G11126" s="41" t="n">
        <f aca="false">Sens!$G$11115+Sens!$G$11120+Sens!$G$11123+Sens!$G$11124-Sens!$G$11125</f>
        <v>0</v>
      </c>
      <c r="H11126" s="41" t="n">
        <f aca="false">Sens!$H$11115+Sens!$H$11120+Sens!$H$11123+Sens!$H$11124-Sens!$H$11125</f>
        <v>0</v>
      </c>
      <c r="I11126" s="41" t="n">
        <f aca="false">Sens!$I$11115+Sens!$I$11120+Sens!$I$11123+Sens!$I$11124-Sens!$I$11125</f>
        <v>0</v>
      </c>
      <c r="J11126" s="41" t="n">
        <f aca="false">Sens!$J$11115+Sens!$J$11120+Sens!$J$11123+Sens!$J$11124-Sens!$J$11125</f>
        <v>0</v>
      </c>
      <c r="K11126" s="41" t="n">
        <f aca="false">Sens!$K$11115+Sens!$K$11120+Sens!$K$11123+Sens!$K$11124-Sens!$K$11125</f>
        <v>0</v>
      </c>
      <c r="L11126" s="41" t="n">
        <f aca="false">Sens!$L$11115+Sens!$L$11120+Sens!$L$11123+Sens!$L$11124-Sens!$L$11125</f>
        <v>0</v>
      </c>
      <c r="M11126" s="41" t="n">
        <f aca="false">Sens!$M$11115+Sens!$M$11120+Sens!$M$11123+Sens!$M$11124-Sens!$M$11125</f>
        <v>0</v>
      </c>
      <c r="N11126" s="41" t="n">
        <f aca="false">Sens!$N$11115+Sens!$N$11120+Sens!$N$11123+Sens!$N$11124-Sens!$N$11125</f>
        <v>0</v>
      </c>
      <c r="O11126" s="41" t="n">
        <f aca="false">Sens!$O$11115+Sens!$O$11120+Sens!$O$11123+Sens!$O$11124-Sens!$O$11125</f>
        <v>0</v>
      </c>
    </row>
    <row r="11127" customFormat="false" ht="17.15" hidden="false" customHeight="false" outlineLevel="0" collapsed="false">
      <c r="A11127" s="5" t="s">
        <v>735</v>
      </c>
      <c r="B11127" s="0" t="s">
        <v>86</v>
      </c>
      <c r="C11127" s="38" t="n">
        <f aca="false">Sens!$C$11063</f>
        <v>0</v>
      </c>
      <c r="D11127" s="38" t="n">
        <f aca="false">Sens!$D$11063</f>
        <v>0</v>
      </c>
      <c r="E11127" s="38" t="n">
        <f aca="false">Sens!$E$11063</f>
        <v>0</v>
      </c>
      <c r="F11127" s="38" t="n">
        <f aca="false">Sens!$F$11063</f>
        <v>0</v>
      </c>
      <c r="G11127" s="38" t="n">
        <f aca="false">Sens!$G$11063</f>
        <v>0</v>
      </c>
      <c r="H11127" s="38" t="n">
        <f aca="false">Sens!$H$11063</f>
        <v>0</v>
      </c>
      <c r="I11127" s="38" t="n">
        <f aca="false">Sens!$I$11063</f>
        <v>0</v>
      </c>
      <c r="J11127" s="38" t="n">
        <f aca="false">Sens!$J$11063</f>
        <v>0</v>
      </c>
      <c r="K11127" s="38" t="n">
        <f aca="false">Sens!$K$11063</f>
        <v>0</v>
      </c>
      <c r="L11127" s="38" t="n">
        <f aca="false">Sens!$L$11063</f>
        <v>0</v>
      </c>
      <c r="M11127" s="38" t="n">
        <f aca="false">Sens!$M$11063</f>
        <v>0</v>
      </c>
      <c r="N11127" s="38" t="n">
        <f aca="false">Sens!$N$11063</f>
        <v>0</v>
      </c>
      <c r="O11127" s="38" t="n">
        <f aca="false">Sens!$O$11063</f>
        <v>0</v>
      </c>
      <c r="P11127" s="5" t="s">
        <v>736</v>
      </c>
    </row>
    <row r="11128" customFormat="false" ht="17.15" hidden="false" customHeight="false" outlineLevel="0" collapsed="false">
      <c r="A11128" s="5" t="s">
        <v>737</v>
      </c>
      <c r="B11128" s="0" t="s">
        <v>86</v>
      </c>
      <c r="C11128" s="38" t="n">
        <f aca="false">Sens!$C$11125+Sens!$C$11127</f>
        <v>68.593</v>
      </c>
      <c r="D11128" s="38" t="n">
        <f aca="false">Sens!$D$11125+Sens!$D$11127</f>
        <v>79.975</v>
      </c>
      <c r="E11128" s="38" t="n">
        <f aca="false">Sens!$E$11125+Sens!$E$11127</f>
        <v>51.313</v>
      </c>
      <c r="F11128" s="38" t="n">
        <f aca="false">Sens!$F$11125+Sens!$F$11127</f>
        <v>55.8644752904674</v>
      </c>
      <c r="G11128" s="38" t="n">
        <f aca="false">Sens!$G$11125+Sens!$G$11127</f>
        <v>107.177475290467</v>
      </c>
      <c r="H11128" s="38" t="n">
        <f aca="false">Sens!$H$11125+Sens!$H$11127</f>
        <v>124.80326721759</v>
      </c>
      <c r="I11128" s="38" t="n">
        <f aca="false">Sens!$I$11125+Sens!$I$11127</f>
        <v>137.739802322194</v>
      </c>
      <c r="J11128" s="38" t="n">
        <f aca="false">Sens!$J$11125+Sens!$J$11127</f>
        <v>149.135869642721</v>
      </c>
      <c r="K11128" s="38" t="n">
        <f aca="false">Sens!$K$11125+Sens!$K$11127</f>
        <v>154.755558704799</v>
      </c>
      <c r="L11128" s="38" t="n">
        <f aca="false">Sens!$L$11125+Sens!$L$11127</f>
        <v>161.636508143317</v>
      </c>
      <c r="M11128" s="38" t="n">
        <f aca="false">Sens!$M$11125+Sens!$M$11127</f>
        <v>169.806161061305</v>
      </c>
      <c r="N11128" s="38" t="n">
        <f aca="false">Sens!$N$11125+Sens!$N$11127</f>
        <v>37.576</v>
      </c>
      <c r="O11128" s="38" t="n">
        <f aca="false">Sens!$O$11125+Sens!$O$11127</f>
        <v>42.399</v>
      </c>
    </row>
    <row r="11129" customFormat="false" ht="17.15" hidden="false" customHeight="false" outlineLevel="0" collapsed="false">
      <c r="A11129" s="0" t="s">
        <v>738</v>
      </c>
      <c r="B11129" s="0" t="s">
        <v>52</v>
      </c>
      <c r="C11129" s="13" t="n">
        <f aca="false">Sens!$C$11115/Sens!$C$11100</f>
        <v>0.0644314665661928</v>
      </c>
      <c r="D11129" s="13" t="n">
        <f aca="false">Sens!$D$11115/Sens!$D$11100</f>
        <v>0.0694784250712518</v>
      </c>
      <c r="E11129" s="13" t="n">
        <f aca="false">Sens!$E$11115/Sens!$E$11100</f>
        <v>0.0789306463326071</v>
      </c>
      <c r="F11129" s="13" t="n">
        <f aca="false">Sens!$F$11115/Sens!$F$11100</f>
        <v>0.0801757457241943</v>
      </c>
      <c r="G11129" s="13" t="n">
        <f aca="false">Sens!$G$11115/Sens!$G$11100</f>
        <v>0.0795932749625682</v>
      </c>
      <c r="H11129" s="13" t="n">
        <f aca="false">Sens!$H$11115/Sens!$H$11100</f>
        <v>0.0801494276915951</v>
      </c>
      <c r="I11129" s="13" t="n">
        <f aca="false">Sens!$I$11115/Sens!$I$11100</f>
        <v>0.0784619467108939</v>
      </c>
      <c r="J11129" s="13" t="n">
        <f aca="false">Sens!$J$11115/Sens!$J$11100</f>
        <v>0.0767950945569155</v>
      </c>
      <c r="K11129" s="13" t="n">
        <f aca="false">Sens!$K$11115/Sens!$K$11100</f>
        <v>0.0749782708028101</v>
      </c>
      <c r="L11129" s="13" t="n">
        <f aca="false">Sens!$L$11115/Sens!$L$11100</f>
        <v>0.0740581549602486</v>
      </c>
      <c r="M11129" s="13" t="n">
        <f aca="false">Sens!$M$11115/Sens!$M$11100</f>
        <v>0.075724068445432</v>
      </c>
      <c r="N11129" s="13" t="n">
        <f aca="false">Sens!$N$11115/Sens!$N$11100</f>
        <v>0.069228576611127</v>
      </c>
      <c r="O11129" s="13" t="n">
        <f aca="false">Sens!$O$11115/Sens!$O$11100</f>
        <v>0.069685022498393</v>
      </c>
    </row>
    <row r="11130" customFormat="false" ht="17.15" hidden="false" customHeight="false" outlineLevel="0" collapsed="false">
      <c r="A11130" s="0" t="s">
        <v>739</v>
      </c>
      <c r="B11130" s="0" t="s">
        <v>52</v>
      </c>
      <c r="C11130" s="13" t="n">
        <f aca="false">Sens!$C$11120/Sens!$C$11101</f>
        <v>0.026534925055631</v>
      </c>
      <c r="D11130" s="13" t="n">
        <f aca="false">Sens!$D$11120/Sens!$D$11101</f>
        <v>0.0293401855535103</v>
      </c>
      <c r="E11130" s="13" t="n">
        <f aca="false">Sens!$E$11120/Sens!$E$11101</f>
        <v>0.03831141902276</v>
      </c>
      <c r="F11130" s="13" t="n">
        <f aca="false">Sens!$F$11120/Sens!$F$11101</f>
        <v>0.0281350107328284</v>
      </c>
      <c r="G11130" s="13" t="n">
        <f aca="false">Sens!$G$11120/Sens!$G$11101</f>
        <v>0.0327600029432073</v>
      </c>
      <c r="H11130" s="13" t="n">
        <f aca="false">Sens!$H$11120/Sens!$H$11101</f>
        <v>0.031310920057557</v>
      </c>
      <c r="I11130" s="13" t="n">
        <f aca="false">Sens!$I$11120/Sens!$I$11101</f>
        <v>0.0275950243319601</v>
      </c>
      <c r="J11130" s="13" t="n">
        <f aca="false">Sens!$J$11120/Sens!$J$11101</f>
        <v>0.0238367762099147</v>
      </c>
      <c r="K11130" s="13" t="n">
        <f aca="false">Sens!$K$11120/Sens!$K$11101</f>
        <v>0.0198239122855479</v>
      </c>
      <c r="L11130" s="13" t="n">
        <f aca="false">Sens!$L$11120/Sens!$L$11101</f>
        <v>0.0192499447238486</v>
      </c>
      <c r="M11130" s="13" t="n">
        <f aca="false">Sens!$M$11120/Sens!$M$11101</f>
        <v>0.0212700135680342</v>
      </c>
      <c r="N11130" s="13" t="n">
        <f aca="false">Sens!$N$11120/Sens!$N$11101</f>
        <v>0.0357315650169337</v>
      </c>
      <c r="O11130" s="13" t="n">
        <f aca="false">Sens!$O$11120/Sens!$O$11101</f>
        <v>0.0244378956559703</v>
      </c>
    </row>
    <row r="11131" customFormat="false" ht="17.15" hidden="false" customHeight="false" outlineLevel="0" collapsed="false">
      <c r="A11131" s="14" t="s">
        <v>740</v>
      </c>
      <c r="B11131" s="14" t="s">
        <v>52</v>
      </c>
      <c r="C11131" s="17" t="n">
        <f aca="false">Sens!$C$11123/Sens!$C$11102</f>
        <v>0.370355907620217</v>
      </c>
      <c r="D11131" s="17" t="n">
        <f aca="false">Sens!$D$11123/Sens!$D$11102</f>
        <v>0.35429015342785</v>
      </c>
      <c r="E11131" s="17" t="n">
        <f aca="false">Sens!$E$11123/Sens!$E$11102</f>
        <v>0.385647527531039</v>
      </c>
      <c r="F11131" s="17" t="n">
        <f aca="false">Sens!$F$11123/Sens!$F$11102</f>
        <v>0.384143665926503</v>
      </c>
      <c r="G11131" s="17" t="n">
        <f aca="false">Sens!$G$11123/Sens!$G$11102</f>
        <v>0.384867975535845</v>
      </c>
      <c r="H11131" s="17" t="n">
        <f aca="false">Sens!$H$11123/Sens!$H$11102</f>
        <v>0.357962712812484</v>
      </c>
      <c r="I11131" s="17" t="n">
        <f aca="false">Sens!$I$11123/Sens!$I$11102</f>
        <v>0.326289575827886</v>
      </c>
      <c r="J11131" s="17" t="n">
        <f aca="false">Sens!$J$11123/Sens!$J$11102</f>
        <v>0.302597850053037</v>
      </c>
      <c r="K11131" s="17" t="n">
        <f aca="false">Sens!$K$11123/Sens!$K$11102</f>
        <v>0.277111201943192</v>
      </c>
      <c r="L11131" s="17" t="n">
        <f aca="false">Sens!$L$11123/Sens!$L$11102</f>
        <v>0.262359468477158</v>
      </c>
      <c r="M11131" s="17" t="n">
        <f aca="false">Sens!$M$11123/Sens!$M$11102</f>
        <v>0.251650325069435</v>
      </c>
      <c r="N11131" s="17" t="n">
        <f aca="false">Sens!$N$11123/Sens!$N$11102</f>
        <v>0.360941137346192</v>
      </c>
      <c r="O11131" s="17" t="n">
        <f aca="false">Sens!$O$11123/Sens!$O$11102</f>
        <v>0.348458117664212</v>
      </c>
    </row>
    <row r="11132" customFormat="false" ht="17.15" hidden="false" customHeight="false" outlineLevel="0" collapsed="false">
      <c r="A11132" s="0" t="s">
        <v>741</v>
      </c>
      <c r="B11132" s="0" t="s">
        <v>52</v>
      </c>
      <c r="C11132" s="13" t="n">
        <f aca="false">Sens!$C$11121/Sens!$C$11103</f>
        <v>0.708390794789371</v>
      </c>
      <c r="D11132" s="13" t="n">
        <f aca="false">Sens!$D$11121/Sens!$D$11103</f>
        <v>0.619415573115729</v>
      </c>
      <c r="E11132" s="13" t="n">
        <f aca="false">Sens!$E$11121/Sens!$E$11103</f>
        <v>0.374072166056273</v>
      </c>
      <c r="F11132" s="13" t="n">
        <f aca="false">Sens!$F$11121/Sens!$F$11103</f>
        <v>0.527114967147693</v>
      </c>
      <c r="G11132" s="13" t="n">
        <f aca="false">Sens!$G$11121/Sens!$G$11103</f>
        <v>0.469606071511127</v>
      </c>
      <c r="H11132" s="13" t="n">
        <f aca="false">Sens!$H$11121/Sens!$H$11103</f>
        <v>0.363936945882096</v>
      </c>
      <c r="I11132" s="13" t="n">
        <f aca="false">Sens!$I$11121/Sens!$I$11103</f>
        <v>0.265835486569301</v>
      </c>
      <c r="J11132" s="13" t="n">
        <f aca="false">Sens!$J$11121/Sens!$J$11103</f>
        <v>0.217164833112518</v>
      </c>
      <c r="K11132" s="13" t="n">
        <f aca="false">Sens!$K$11121/Sens!$K$11103</f>
        <v>0.167248108141527</v>
      </c>
      <c r="L11132" s="13" t="n">
        <f aca="false">Sens!$L$11121/Sens!$L$11103</f>
        <v>0.137446849193894</v>
      </c>
      <c r="M11132" s="13" t="n">
        <f aca="false">Sens!$M$11121/Sens!$M$11103</f>
        <v>0.109011498005096</v>
      </c>
      <c r="N11132" s="13" t="n">
        <f aca="false">Sens!$N$11121/Sens!$N$11103</f>
        <v>0.551227795793364</v>
      </c>
      <c r="O11132" s="13" t="n">
        <f aca="false">Sens!$O$11121/Sens!$O$11103</f>
        <v>0.656132068597002</v>
      </c>
    </row>
    <row r="11133" customFormat="false" ht="15" hidden="false" customHeight="false" outlineLevel="0" collapsed="false">
      <c r="A11133" s="5" t="s">
        <v>742</v>
      </c>
      <c r="B11133" s="0" t="s">
        <v>52</v>
      </c>
      <c r="C11133" s="13" t="n">
        <f aca="false">Sens!$C$11125/Sens!$C$11105</f>
        <v>0.107519448742004</v>
      </c>
      <c r="D11133" s="13" t="n">
        <f aca="false">Sens!$D$11125/Sens!$D$11105</f>
        <v>0.111552967957552</v>
      </c>
      <c r="E11133" s="13" t="n">
        <f aca="false">Sens!$E$11125/Sens!$E$11105</f>
        <v>0.13428328426562</v>
      </c>
      <c r="F11133" s="13" t="n">
        <f aca="false">Sens!$F$11125/Sens!$F$11105</f>
        <v>0.128437379932984</v>
      </c>
      <c r="G11133" s="13" t="n">
        <f aca="false">Sens!$G$11125/Sens!$G$11105</f>
        <v>0.131171342710056</v>
      </c>
      <c r="H11133" s="13" t="n">
        <f aca="false">Sens!$H$11125/Sens!$H$11105</f>
        <v>0.133402918711762</v>
      </c>
      <c r="I11133" s="13" t="n">
        <f aca="false">Sens!$I$11125/Sens!$I$11105</f>
        <v>0.13054681672312</v>
      </c>
      <c r="J11133" s="13" t="n">
        <f aca="false">Sens!$J$11125/Sens!$J$11105</f>
        <v>0.127552235336667</v>
      </c>
      <c r="K11133" s="13" t="n">
        <f aca="false">Sens!$K$11125/Sens!$K$11105</f>
        <v>0.121912126630493</v>
      </c>
      <c r="L11133" s="13" t="n">
        <f aca="false">Sens!$L$11125/Sens!$L$11105</f>
        <v>0.118450227902899</v>
      </c>
      <c r="M11133" s="13" t="n">
        <f aca="false">Sens!$M$11125/Sens!$M$11105</f>
        <v>0.116692878828998</v>
      </c>
      <c r="N11133" s="13" t="n">
        <f aca="false">Sens!$N$11125/Sens!$N$11105</f>
        <v>0.116201614873411</v>
      </c>
      <c r="O11133" s="13" t="n">
        <f aca="false">Sens!$O$11125/Sens!$O$11105</f>
        <v>0.107733353660861</v>
      </c>
    </row>
    <row r="11134" customFormat="false" ht="17.15" hidden="false" customHeight="false" outlineLevel="0" collapsed="false">
      <c r="A11134" s="1" t="s">
        <v>743</v>
      </c>
    </row>
    <row r="11135" customFormat="false" ht="17.15" hidden="false" customHeight="false" outlineLevel="0" collapsed="false">
      <c r="A11135" s="5" t="s">
        <v>744</v>
      </c>
      <c r="B11135" s="0" t="s">
        <v>52</v>
      </c>
      <c r="D11135" s="28" t="n">
        <f aca="false">(Q!$E$29+Q!$E$30-(1-ext_sh)*Sens!$D$11057)/Sens!$D$11011</f>
        <v>0.0341105596409988</v>
      </c>
    </row>
    <row r="11136" customFormat="false" ht="17.15" hidden="false" customHeight="false" outlineLevel="0" collapsed="false">
      <c r="A11136" s="0" t="s">
        <v>538</v>
      </c>
      <c r="B11136" s="0" t="s">
        <v>86</v>
      </c>
      <c r="C11136" s="38" t="n">
        <f aca="false">Q!$D$29</f>
        <v>14.285</v>
      </c>
      <c r="D11136" s="38" t="n">
        <f aca="false">Q!$E$29</f>
        <v>15.503</v>
      </c>
      <c r="E11136" s="38" t="n">
        <f aca="false">Q!$P$29</f>
        <v>8.78</v>
      </c>
      <c r="F11136" s="38" t="n">
        <f aca="false">(Sens!$D$11135*Sens!$F$11011+(1-ext_sh)*Sens!$F$11057)*Sens!$F$11012</f>
        <v>9.16735846116642</v>
      </c>
      <c r="G11136" s="38" t="n">
        <f aca="false">Sens!$E$11136+Sens!$F$11136</f>
        <v>17.9473584611664</v>
      </c>
      <c r="H11136" s="38" t="n">
        <f aca="false">(Sens!$D$11135*Sens!$H$11011+(1-ext_sh)*Sens!$H$11057)*Sens!$H$11012</f>
        <v>21.6406723110177</v>
      </c>
      <c r="I11136" s="38" t="n">
        <f aca="false">(Sens!$D$11135*Sens!$I$11011+(1-ext_sh)*Sens!$I$11057)*Sens!$I$11012</f>
        <v>27.3128215555087</v>
      </c>
      <c r="J11136" s="38" t="n">
        <f aca="false">(Sens!$D$11135*Sens!$J$11011+(1-ext_sh)*Sens!$J$11057)*Sens!$J$11012</f>
        <v>33.0116861885756</v>
      </c>
      <c r="K11136" s="38" t="n">
        <f aca="false">(Sens!$D$11135*Sens!$K$11011+(1-ext_sh)*Sens!$K$11057)*Sens!$K$11012</f>
        <v>38.6250238720245</v>
      </c>
      <c r="L11136" s="38" t="n">
        <f aca="false">(Sens!$D$11135*Sens!$L$11011+(1-ext_sh)*Sens!$L$11057)*Sens!$L$11012</f>
        <v>43.0711535197861</v>
      </c>
      <c r="M11136" s="38" t="n">
        <f aca="false">(Sens!$D$11135*Sens!$M$11011+(1-ext_sh)*Sens!$M$11057)*Sens!$M$11012</f>
        <v>46.590728630326</v>
      </c>
      <c r="N11136" s="38" t="n">
        <f aca="false">Q!$N$29</f>
        <v>7.272</v>
      </c>
      <c r="O11136" s="38" t="n">
        <f aca="false">Q!$O$29</f>
        <v>8.231</v>
      </c>
    </row>
    <row r="11137" customFormat="false" ht="17.15" hidden="false" customHeight="false" outlineLevel="0" collapsed="false">
      <c r="A11137" s="0" t="s">
        <v>540</v>
      </c>
      <c r="B11137" s="0" t="s">
        <v>86</v>
      </c>
      <c r="C11137" s="38" t="n">
        <f aca="false">Q!$D$30</f>
        <v>4.462</v>
      </c>
      <c r="D11137" s="38" t="n">
        <f aca="false">Q!$E$30</f>
        <v>4.907</v>
      </c>
      <c r="E11137" s="38" t="n">
        <f aca="false">Q!$P$30</f>
        <v>2.57</v>
      </c>
      <c r="F11137" s="38" t="n">
        <f aca="false">(Sens!$D$11135*Sens!$F$11011+(1-ext_sh)*Sens!$F$11057)*(1-Sens!$F$11012)</f>
        <v>3.59937168293151</v>
      </c>
      <c r="G11137" s="38" t="n">
        <f aca="false">Sens!$E$11137+Sens!$F$11137</f>
        <v>6.16937168293151</v>
      </c>
      <c r="H11137" s="38" t="n">
        <f aca="false">(Sens!$D$11135*Sens!$H$11011+(1-ext_sh)*Sens!$H$11057)*(1-Sens!$H$11012)</f>
        <v>8.28915290031442</v>
      </c>
      <c r="I11137" s="38" t="n">
        <f aca="false">(Sens!$D$11135*Sens!$I$11011+(1-ext_sh)*Sens!$I$11057)*(1-Sens!$I$11012)</f>
        <v>10.4617892992793</v>
      </c>
      <c r="J11137" s="38" t="n">
        <f aca="false">(Sens!$D$11135*Sens!$J$11011+(1-ext_sh)*Sens!$J$11057)*(1-Sens!$J$11012)</f>
        <v>12.6446586493057</v>
      </c>
      <c r="K11137" s="38" t="n">
        <f aca="false">(Sens!$D$11135*Sens!$K$11011+(1-ext_sh)*Sens!$K$11057)*(1-Sens!$K$11012)</f>
        <v>14.7947681131192</v>
      </c>
      <c r="L11137" s="38" t="n">
        <f aca="false">(Sens!$D$11135*Sens!$L$11011+(1-ext_sh)*Sens!$L$11057)*(1-Sens!$L$11012)</f>
        <v>16.4977950771268</v>
      </c>
      <c r="M11137" s="38" t="n">
        <f aca="false">(Sens!$D$11135*Sens!$M$11011+(1-ext_sh)*Sens!$M$11057)*(1-Sens!$M$11012)</f>
        <v>17.8459184540772</v>
      </c>
      <c r="N11137" s="38" t="n">
        <f aca="false">Q!$N$30</f>
        <v>2.316</v>
      </c>
      <c r="O11137" s="38" t="n">
        <f aca="false">Q!$O$30</f>
        <v>2.591</v>
      </c>
    </row>
    <row r="11138" customFormat="false" ht="17.15" hidden="false" customHeight="false" outlineLevel="0" collapsed="false">
      <c r="A11138" s="0" t="s">
        <v>541</v>
      </c>
      <c r="B11138" s="0" t="s">
        <v>86</v>
      </c>
      <c r="C11138" s="38" t="n">
        <f aca="false">Sens!$C$11069</f>
        <v>13.32</v>
      </c>
      <c r="D11138" s="38" t="n">
        <f aca="false">Sens!$D$11069</f>
        <v>21.45</v>
      </c>
      <c r="E11138" s="38" t="n">
        <f aca="false">Sens!$E$11069</f>
        <v>15.353</v>
      </c>
      <c r="F11138" s="38" t="n">
        <f aca="false">Sens!$F$11069</f>
        <v>15.4404120185306</v>
      </c>
      <c r="G11138" s="38" t="n">
        <f aca="false">Sens!$G$11069</f>
        <v>30.7934120185306</v>
      </c>
      <c r="H11138" s="38" t="n">
        <f aca="false">Sens!$H$11069</f>
        <v>48.250114371455</v>
      </c>
      <c r="I11138" s="38" t="n">
        <f aca="false">Sens!$I$11069</f>
        <v>73.3965146995963</v>
      </c>
      <c r="J11138" s="38" t="n">
        <f aca="false">Sens!$J$11069</f>
        <v>99.22806138309</v>
      </c>
      <c r="K11138" s="38" t="n">
        <f aca="false">Sens!$K$11069</f>
        <v>125.386627452856</v>
      </c>
      <c r="L11138" s="38" t="n">
        <f aca="false">Sens!$L$11069</f>
        <v>144.77239043275</v>
      </c>
      <c r="M11138" s="38" t="n">
        <f aca="false">Sens!$M$11069</f>
        <v>158.693930910983</v>
      </c>
      <c r="N11138" s="38" t="n">
        <f aca="false">Sens!$N$11069</f>
        <v>9.234</v>
      </c>
      <c r="O11138" s="38" t="n">
        <f aca="false">Sens!$O$11069</f>
        <v>12.216</v>
      </c>
    </row>
    <row r="11139" customFormat="false" ht="17.15" hidden="false" customHeight="false" outlineLevel="0" collapsed="false">
      <c r="A11139" s="5" t="s">
        <v>745</v>
      </c>
      <c r="B11139" s="0" t="s">
        <v>86</v>
      </c>
      <c r="C11139" s="38" t="n">
        <f aca="false">Sens!$C$11136+Sens!$C$11137+Sens!$C$11138</f>
        <v>32.067</v>
      </c>
      <c r="D11139" s="38" t="n">
        <f aca="false">Sens!$D$11136+Sens!$D$11137+Sens!$D$11138</f>
        <v>41.86</v>
      </c>
      <c r="E11139" s="38" t="n">
        <f aca="false">Sens!$E$11136+Sens!$E$11137+Sens!$E$11138</f>
        <v>26.703</v>
      </c>
      <c r="F11139" s="38" t="n">
        <f aca="false">Sens!$F$11136+Sens!$F$11137+Sens!$F$11138</f>
        <v>28.2071421626285</v>
      </c>
      <c r="G11139" s="38" t="n">
        <f aca="false">Sens!$G$11136+Sens!$G$11137+Sens!$G$11138</f>
        <v>54.9101421626285</v>
      </c>
      <c r="H11139" s="38" t="n">
        <f aca="false">Sens!$H$11136+Sens!$H$11137+Sens!$H$11138</f>
        <v>78.1799395827871</v>
      </c>
      <c r="I11139" s="38" t="n">
        <f aca="false">Sens!$I$11136+Sens!$I$11137+Sens!$I$11138</f>
        <v>111.171125554384</v>
      </c>
      <c r="J11139" s="38" t="n">
        <f aca="false">Sens!$J$11136+Sens!$J$11137+Sens!$J$11138</f>
        <v>144.884406220971</v>
      </c>
      <c r="K11139" s="38" t="n">
        <f aca="false">Sens!$K$11136+Sens!$K$11137+Sens!$K$11138</f>
        <v>178.806419437999</v>
      </c>
      <c r="L11139" s="38" t="n">
        <f aca="false">Sens!$L$11136+Sens!$L$11137+Sens!$L$11138</f>
        <v>204.341339029663</v>
      </c>
      <c r="M11139" s="38" t="n">
        <f aca="false">Sens!$M$11136+Sens!$M$11137+Sens!$M$11138</f>
        <v>223.130577995387</v>
      </c>
      <c r="N11139" s="38" t="n">
        <f aca="false">Sens!$N$11136+Sens!$N$11137+Sens!$N$11138</f>
        <v>18.822</v>
      </c>
      <c r="O11139" s="38" t="n">
        <f aca="false">Sens!$O$11136+Sens!$O$11137+Sens!$O$11138</f>
        <v>23.038</v>
      </c>
    </row>
    <row r="11140" customFormat="false" ht="17.15" hidden="false" customHeight="false" outlineLevel="0" collapsed="false">
      <c r="A11140" s="0" t="s">
        <v>746</v>
      </c>
      <c r="B11140" s="0" t="s">
        <v>86</v>
      </c>
      <c r="C11140" s="38" t="n">
        <f aca="false">Sens!$C$11111+Sens!$C$11116</f>
        <v>28.107</v>
      </c>
      <c r="D11140" s="38" t="n">
        <f aca="false">Sens!$D$11111+Sens!$D$11116</f>
        <v>34.3175</v>
      </c>
      <c r="E11140" s="38" t="n">
        <f aca="false">Sens!$E$11111+Sens!$E$11116</f>
        <v>18.526</v>
      </c>
      <c r="F11140" s="38" t="n">
        <f aca="false">Sens!$F$11111+Sens!$F$11116</f>
        <v>23.0786109972074</v>
      </c>
      <c r="G11140" s="38" t="n">
        <f aca="false">Sens!$G$11111+Sens!$G$11116</f>
        <v>41.6046109972074</v>
      </c>
      <c r="H11140" s="38" t="n">
        <f aca="false">Sens!$H$11111+Sens!$H$11116</f>
        <v>49.9484611939488</v>
      </c>
      <c r="I11140" s="38" t="n">
        <f aca="false">Sens!$I$11111+Sens!$I$11116</f>
        <v>58.2915555477481</v>
      </c>
      <c r="J11140" s="38" t="n">
        <f aca="false">Sens!$J$11111+Sens!$J$11116</f>
        <v>66.0744709709759</v>
      </c>
      <c r="K11140" s="38" t="n">
        <f aca="false">Sens!$K$11111+Sens!$K$11116</f>
        <v>72.6819180680735</v>
      </c>
      <c r="L11140" s="38" t="n">
        <f aca="false">Sens!$L$11111+Sens!$L$11116</f>
        <v>79.9501098748808</v>
      </c>
      <c r="M11140" s="38" t="n">
        <f aca="false">Sens!$M$11111+Sens!$M$11116</f>
        <v>87.9451208623689</v>
      </c>
      <c r="N11140" s="38" t="n">
        <f aca="false">Sens!$N$11111+Sens!$N$11116</f>
        <v>14.8075</v>
      </c>
      <c r="O11140" s="38" t="n">
        <f aca="false">Sens!$O$11111+Sens!$O$11116</f>
        <v>19.51</v>
      </c>
    </row>
    <row r="11141" customFormat="false" ht="17.15" hidden="false" customHeight="false" outlineLevel="0" collapsed="false">
      <c r="A11141" s="0" t="s">
        <v>747</v>
      </c>
      <c r="B11141" s="0" t="s">
        <v>86</v>
      </c>
      <c r="C11141" s="38" t="n">
        <f aca="false">Sens!$C$11115+Sens!$C$11120+Sens!$C$11136+Sens!$C$11137-Sens!$C$11140</f>
        <v>19.399</v>
      </c>
      <c r="D11141" s="38" t="n">
        <f aca="false">Sens!$D$11115+Sens!$D$11120+Sens!$D$11136+Sens!$D$11137-Sens!$D$11140</f>
        <v>20.4615</v>
      </c>
      <c r="E11141" s="38" t="n">
        <f aca="false">Sens!$E$11115+Sens!$E$11120+Sens!$E$11136+Sens!$E$11137-Sens!$E$11140</f>
        <v>13.355</v>
      </c>
      <c r="F11141" s="38" t="n">
        <f aca="false">Sens!$F$11115+Sens!$F$11120+Sens!$F$11136+Sens!$F$11137-Sens!$F$11140</f>
        <v>12.5520732018618</v>
      </c>
      <c r="G11141" s="38" t="n">
        <f aca="false">Sens!$G$11115+Sens!$G$11120+Sens!$G$11136+Sens!$G$11137-Sens!$G$11140</f>
        <v>25.9070732018618</v>
      </c>
      <c r="H11141" s="38" t="n">
        <f aca="false">Sens!$H$11115+Sens!$H$11120+Sens!$H$11136+Sens!$H$11137-Sens!$H$11140</f>
        <v>28.0233335906818</v>
      </c>
      <c r="I11141" s="38" t="n">
        <f aca="false">Sens!$I$11115+Sens!$I$11120+Sens!$I$11136+Sens!$I$11137-Sens!$I$11140</f>
        <v>30.2440066606864</v>
      </c>
      <c r="J11141" s="38" t="n">
        <f aca="false">Sens!$J$11115+Sens!$J$11120+Sens!$J$11136+Sens!$J$11137-Sens!$J$11140</f>
        <v>32.4596500296286</v>
      </c>
      <c r="K11141" s="38" t="n">
        <f aca="false">Sens!$K$11115+Sens!$K$11120+Sens!$K$11136+Sens!$K$11137-Sens!$K$11140</f>
        <v>34.839425971154</v>
      </c>
      <c r="L11141" s="38" t="n">
        <f aca="false">Sens!$L$11115+Sens!$L$11120+Sens!$L$11136+Sens!$L$11137-Sens!$L$11140</f>
        <v>36.4424209524427</v>
      </c>
      <c r="M11141" s="38" t="n">
        <f aca="false">Sens!$M$11115+Sens!$M$11120+Sens!$M$11136+Sens!$M$11137-Sens!$M$11140</f>
        <v>38.8413540019876</v>
      </c>
      <c r="N11141" s="38" t="n">
        <f aca="false">Sens!$N$11115+Sens!$N$11120+Sens!$N$11136+Sens!$N$11137-Sens!$N$11140</f>
        <v>10.6495</v>
      </c>
      <c r="O11141" s="38" t="n">
        <f aca="false">Sens!$O$11115+Sens!$O$11120+Sens!$O$11136+Sens!$O$11137-Sens!$O$11140</f>
        <v>9.81200000000001</v>
      </c>
    </row>
    <row r="11142" customFormat="false" ht="17.15" hidden="false" customHeight="false" outlineLevel="0" collapsed="false">
      <c r="A11142" s="0" t="s">
        <v>748</v>
      </c>
      <c r="B11142" s="0" t="s">
        <v>86</v>
      </c>
      <c r="C11142" s="38" t="n">
        <f aca="false">Sens!$C$11122+Sens!$C$11138-ext_sh*Sens!$C$11057</f>
        <v>51.3470500115664</v>
      </c>
      <c r="D11142" s="38" t="n">
        <f aca="false">Sens!$D$11122+Sens!$D$11138-ext_sh*Sens!$D$11057</f>
        <v>60.2799375433739</v>
      </c>
      <c r="E11142" s="38" t="n">
        <f aca="false">Sens!$E$11122+Sens!$E$11138-ext_sh*Sens!$E$11057</f>
        <v>39.5095167090767</v>
      </c>
      <c r="F11142" s="38" t="n">
        <f aca="false">Sens!$F$11122+Sens!$F$11138-ext_sh*Sens!$F$11057</f>
        <v>37.5468918745429</v>
      </c>
      <c r="G11142" s="38" t="n">
        <f aca="false">Sens!$G$11122+Sens!$G$11138-ext_sh*Sens!$G$11057</f>
        <v>77.0564085836196</v>
      </c>
      <c r="H11142" s="38" t="n">
        <f aca="false">Sens!$H$11122+Sens!$H$11138-ext_sh*Sens!$H$11057</f>
        <v>84.2378398616123</v>
      </c>
      <c r="I11142" s="38" t="n">
        <f aca="false">Sens!$I$11122+Sens!$I$11138-ext_sh*Sens!$I$11057</f>
        <v>93.5253492849083</v>
      </c>
      <c r="J11142" s="38" t="n">
        <f aca="false">Sens!$J$11122+Sens!$J$11138-ext_sh*Sens!$J$11057</f>
        <v>102.42210777817</v>
      </c>
      <c r="K11142" s="38" t="n">
        <f aca="false">Sens!$K$11122+Sens!$K$11138-ext_sh*Sens!$K$11057</f>
        <v>110.615876400424</v>
      </c>
      <c r="L11142" s="38" t="n">
        <f aca="false">Sens!$L$11122+Sens!$L$11138-ext_sh*Sens!$L$11057</f>
        <v>119.465146512458</v>
      </c>
      <c r="M11142" s="38" t="n">
        <f aca="false">Sens!$M$11122+Sens!$M$11138-ext_sh*Sens!$M$11057</f>
        <v>129.022358233455</v>
      </c>
      <c r="N11142" s="38" t="n">
        <f aca="false">Sens!$N$11122+Sens!$N$11138-ext_sh*Sens!$N$11057</f>
        <v>28.5693781401809</v>
      </c>
      <c r="O11142" s="38" t="n">
        <f aca="false">Sens!$O$11122+Sens!$O$11138-ext_sh*Sens!$O$11057</f>
        <v>31.7105594031931</v>
      </c>
    </row>
    <row r="11143" customFormat="false" ht="17.15" hidden="false" customHeight="false" outlineLevel="0" collapsed="false">
      <c r="A11143" s="0" t="s">
        <v>749</v>
      </c>
      <c r="B11143" s="0" t="s">
        <v>86</v>
      </c>
      <c r="C11143" s="38" t="n">
        <f aca="false">Sens!$C$11060</f>
        <v>1.80694998843362</v>
      </c>
      <c r="D11143" s="38" t="n">
        <f aca="false">Sens!$D$11060</f>
        <v>6.77606245662607</v>
      </c>
      <c r="E11143" s="38" t="n">
        <f aca="false">Sens!$E$11060</f>
        <v>6.62548329092326</v>
      </c>
      <c r="F11143" s="38" t="n">
        <f aca="false">Sens!$F$11060</f>
        <v>10.8940413794839</v>
      </c>
      <c r="G11143" s="38" t="n">
        <f aca="false">Sens!$G$11060</f>
        <v>17.5195246704072</v>
      </c>
      <c r="H11143" s="38" t="n">
        <f aca="false">Sens!$H$11060</f>
        <v>40.7735721541341</v>
      </c>
      <c r="I11143" s="38" t="n">
        <f aca="false">Sens!$I$11060</f>
        <v>66.8500163832358</v>
      </c>
      <c r="J11143" s="38" t="n">
        <f aca="false">Sens!$J$11060</f>
        <v>93.0640470849174</v>
      </c>
      <c r="K11143" s="38" t="n">
        <f aca="false">Sens!$K$11060</f>
        <v>115.424757703147</v>
      </c>
      <c r="L11143" s="38" t="n">
        <f aca="false">Sens!$L$11060</f>
        <v>130.120169833198</v>
      </c>
      <c r="M11143" s="38" t="n">
        <f aca="false">Sens!$M$11060</f>
        <v>137.12790595888</v>
      </c>
      <c r="N11143" s="38" t="n">
        <f aca="false">Sens!$N$11060</f>
        <v>2.37162185981912</v>
      </c>
      <c r="O11143" s="38" t="n">
        <f aca="false">Sens!$O$11060</f>
        <v>4.40444059680694</v>
      </c>
    </row>
    <row r="11144" customFormat="false" ht="17.15" hidden="false" customHeight="false" outlineLevel="0" collapsed="false">
      <c r="A11144" s="0" t="s">
        <v>750</v>
      </c>
      <c r="B11144" s="0" t="s">
        <v>86</v>
      </c>
      <c r="C11144" s="38" t="n">
        <f aca="false">Sens!$C$11125+Sens!$C$11139</f>
        <v>100.66</v>
      </c>
      <c r="D11144" s="38" t="n">
        <f aca="false">Sens!$D$11125+Sens!$D$11139</f>
        <v>121.835</v>
      </c>
      <c r="E11144" s="38" t="n">
        <f aca="false">Sens!$E$11125+Sens!$E$11139</f>
        <v>78.016</v>
      </c>
      <c r="F11144" s="38" t="n">
        <f aca="false">Sens!$F$11125+Sens!$F$11139</f>
        <v>84.0716174530959</v>
      </c>
      <c r="G11144" s="38" t="n">
        <f aca="false">Sens!$G$11125+Sens!$G$11139</f>
        <v>162.087617453096</v>
      </c>
      <c r="H11144" s="38" t="n">
        <f aca="false">Sens!$H$11125+Sens!$H$11139</f>
        <v>202.983206800377</v>
      </c>
      <c r="I11144" s="38" t="n">
        <f aca="false">Sens!$I$11125+Sens!$I$11139</f>
        <v>248.910927876579</v>
      </c>
      <c r="J11144" s="38" t="n">
        <f aca="false">Sens!$J$11125+Sens!$J$11139</f>
        <v>294.020275863692</v>
      </c>
      <c r="K11144" s="38" t="n">
        <f aca="false">Sens!$K$11125+Sens!$K$11139</f>
        <v>333.561978142799</v>
      </c>
      <c r="L11144" s="38" t="n">
        <f aca="false">Sens!$L$11125+Sens!$L$11139</f>
        <v>365.977847172979</v>
      </c>
      <c r="M11144" s="38" t="n">
        <f aca="false">Sens!$M$11125+Sens!$M$11139</f>
        <v>392.936739056691</v>
      </c>
      <c r="N11144" s="38" t="n">
        <f aca="false">Sens!$N$11125+Sens!$N$11139</f>
        <v>56.398</v>
      </c>
      <c r="O11144" s="38" t="n">
        <f aca="false">Sens!$O$11125+Sens!$O$11139</f>
        <v>65.437</v>
      </c>
    </row>
    <row r="11145" customFormat="false" ht="17.15" hidden="false" customHeight="false" outlineLevel="0" collapsed="false">
      <c r="A11145" s="1" t="s">
        <v>751</v>
      </c>
    </row>
    <row r="11146" customFormat="false" ht="15" hidden="false" customHeight="false" outlineLevel="0" collapsed="false">
      <c r="A11146" s="5" t="s">
        <v>544</v>
      </c>
      <c r="B11146" s="0" t="s">
        <v>86</v>
      </c>
      <c r="C11146" s="38" t="n">
        <f aca="false">Q!$D$34</f>
        <v>2.406</v>
      </c>
      <c r="D11146" s="38" t="n">
        <f aca="false">Q!$E$34</f>
        <v>2.274</v>
      </c>
      <c r="E11146" s="38" t="n">
        <f aca="false">Q!$P$34</f>
        <v>2.114</v>
      </c>
      <c r="F11146" s="38" t="n">
        <f aca="false">Sens!$F$11184</f>
        <v>3.24888962733561</v>
      </c>
      <c r="G11146" s="38" t="n">
        <f aca="false">Sens!$E$11146+Sens!$F$11146</f>
        <v>5.36288962733561</v>
      </c>
      <c r="H11146" s="38" t="n">
        <f aca="false">Sens!$H$11184</f>
        <v>7.42354172302123</v>
      </c>
      <c r="I11146" s="38" t="n">
        <f aca="false">Sens!$I$11184</f>
        <v>8.90490718570369</v>
      </c>
      <c r="J11146" s="38" t="n">
        <f aca="false">Sens!$J$11184</f>
        <v>10.8218145638744</v>
      </c>
      <c r="K11146" s="38" t="n">
        <f aca="false">Sens!$K$11184</f>
        <v>10.8218145638744</v>
      </c>
      <c r="L11146" s="38" t="n">
        <f aca="false">Sens!$L$11184</f>
        <v>10.8218145638744</v>
      </c>
      <c r="M11146" s="38" t="n">
        <f aca="false">Sens!$M$11184</f>
        <v>10.8218145638744</v>
      </c>
      <c r="N11146" s="38" t="n">
        <f aca="false">Q!$N$34</f>
        <v>1.057</v>
      </c>
      <c r="O11146" s="38" t="n">
        <f aca="false">Q!$O$34</f>
        <v>1.217</v>
      </c>
    </row>
    <row r="11147" customFormat="false" ht="15" hidden="false" customHeight="false" outlineLevel="0" collapsed="false">
      <c r="A11147" s="5" t="s">
        <v>752</v>
      </c>
      <c r="B11147" s="0" t="s">
        <v>86</v>
      </c>
      <c r="F11147" s="38" t="n">
        <f aca="false">Sens!$F$11185</f>
        <v>2.59</v>
      </c>
      <c r="H11147" s="38" t="n">
        <f aca="false">Sens!$H$11185</f>
        <v>3.73961737597883</v>
      </c>
      <c r="I11147" s="38" t="n">
        <f aca="false">Sens!$I$11185</f>
        <v>2.10589651022864</v>
      </c>
      <c r="J11147" s="38" t="n">
        <f aca="false">Sens!$J$11185</f>
        <v>2.10589651022864</v>
      </c>
      <c r="K11147" s="38" t="n">
        <f aca="false">Sens!$K$11185</f>
        <v>2.23808086414032</v>
      </c>
      <c r="L11147" s="38" t="n">
        <f aca="false">Sens!$L$11185</f>
        <v>6.18742041223063</v>
      </c>
      <c r="M11147" s="38" t="n">
        <f aca="false">Sens!$M$11185</f>
        <v>12.4261689219062</v>
      </c>
    </row>
    <row r="11148" customFormat="false" ht="17.15" hidden="false" customHeight="false" outlineLevel="0" collapsed="false">
      <c r="A11148" s="5" t="s">
        <v>753</v>
      </c>
      <c r="B11148" s="0" t="s">
        <v>86</v>
      </c>
      <c r="C11148" s="38" t="n">
        <f aca="false">Q!$D$39</f>
        <v>2.427</v>
      </c>
      <c r="D11148" s="38" t="n">
        <f aca="false">Q!$E$39</f>
        <v>19.61</v>
      </c>
      <c r="E11148" s="38" t="n">
        <f aca="false">Q!$P$39</f>
        <v>71.492</v>
      </c>
      <c r="F11148" s="39" t="n">
        <v>0</v>
      </c>
      <c r="G11148" s="38" t="n">
        <f aca="false">Sens!$E$11148+Sens!$F$11148</f>
        <v>71.492</v>
      </c>
      <c r="H11148" s="39" t="n">
        <v>0</v>
      </c>
      <c r="I11148" s="39" t="n">
        <v>0</v>
      </c>
      <c r="J11148" s="39" t="n">
        <v>0</v>
      </c>
      <c r="K11148" s="39" t="n">
        <v>0</v>
      </c>
      <c r="L11148" s="39" t="n">
        <v>0</v>
      </c>
      <c r="M11148" s="39" t="n">
        <v>0</v>
      </c>
      <c r="N11148" s="38" t="n">
        <f aca="false">Q!$N$39</f>
        <v>6.017</v>
      </c>
      <c r="O11148" s="38" t="n">
        <f aca="false">Q!$O$39</f>
        <v>13.593</v>
      </c>
      <c r="P11148" s="5" t="s">
        <v>754</v>
      </c>
    </row>
    <row r="11149" customFormat="false" ht="15" hidden="false" customHeight="false" outlineLevel="0" collapsed="false">
      <c r="A11149" s="5" t="s">
        <v>547</v>
      </c>
      <c r="B11149" s="0" t="s">
        <v>86</v>
      </c>
      <c r="C11149" s="38" t="n">
        <f aca="false">Q!$D$36</f>
        <v>68.614</v>
      </c>
      <c r="D11149" s="38" t="n">
        <f aca="false">Q!$E$36</f>
        <v>97.311</v>
      </c>
      <c r="E11149" s="38" t="n">
        <f aca="false">Q!$P$36</f>
        <v>120.691</v>
      </c>
      <c r="F11149" s="38" t="n">
        <f aca="false">Sens!$F$11125-Sens!$F$11146+Sens!$F$11147+Sens!$F$11148</f>
        <v>55.2055856631318</v>
      </c>
      <c r="G11149" s="38" t="n">
        <f aca="false">Sens!$E$11149+Sens!$F$11149</f>
        <v>175.896585663132</v>
      </c>
      <c r="H11149" s="38" t="n">
        <f aca="false">Sens!$H$11125-Sens!$H$11146+Sens!$H$11147+Sens!$H$11148</f>
        <v>121.119342870547</v>
      </c>
      <c r="I11149" s="38" t="n">
        <f aca="false">Sens!$I$11125-Sens!$I$11146+Sens!$I$11147+Sens!$I$11148</f>
        <v>130.940791646719</v>
      </c>
      <c r="J11149" s="38" t="n">
        <f aca="false">Sens!$J$11125-Sens!$J$11146+Sens!$J$11147+Sens!$J$11148</f>
        <v>140.419951589075</v>
      </c>
      <c r="K11149" s="38" t="n">
        <f aca="false">Sens!$K$11125-Sens!$K$11146+Sens!$K$11147+Sens!$K$11148</f>
        <v>146.171825005065</v>
      </c>
      <c r="L11149" s="38" t="n">
        <f aca="false">Sens!$L$11125-Sens!$L$11146+Sens!$L$11147+Sens!$L$11148</f>
        <v>157.002113991673</v>
      </c>
      <c r="M11149" s="38" t="n">
        <f aca="false">Sens!$M$11125-Sens!$M$11146+Sens!$M$11147+Sens!$M$11148</f>
        <v>171.410515419336</v>
      </c>
      <c r="N11149" s="38" t="n">
        <f aca="false">Q!$N$36</f>
        <v>42.536</v>
      </c>
      <c r="O11149" s="38" t="n">
        <f aca="false">Q!$O$36</f>
        <v>54.775</v>
      </c>
    </row>
    <row r="11150" customFormat="false" ht="15" hidden="false" customHeight="false" outlineLevel="0" collapsed="false">
      <c r="A11150" s="5" t="s">
        <v>548</v>
      </c>
      <c r="B11150" s="0" t="s">
        <v>86</v>
      </c>
      <c r="C11150" s="38" t="n">
        <f aca="false">Q!$D$37</f>
        <v>9.265</v>
      </c>
      <c r="D11150" s="38" t="n">
        <f aca="false">Q!$E$37</f>
        <v>19.087</v>
      </c>
      <c r="E11150" s="38" t="n">
        <f aca="false">Q!$P$37</f>
        <v>27.759</v>
      </c>
      <c r="F11150" s="38" t="n">
        <f aca="false">Sens!$F$11149*tax</f>
        <v>9.58283545417122</v>
      </c>
      <c r="G11150" s="38" t="n">
        <f aca="false">Sens!$E$11150+Sens!$F$11150</f>
        <v>37.3418354541712</v>
      </c>
      <c r="H11150" s="38" t="n">
        <f aca="false">Sens!$H$11149*tax</f>
        <v>21.0244437968337</v>
      </c>
      <c r="I11150" s="38" t="n">
        <f aca="false">Sens!$I$11149*tax</f>
        <v>22.7292953333781</v>
      </c>
      <c r="J11150" s="38" t="n">
        <f aca="false">Sens!$J$11149*tax</f>
        <v>24.374730824737</v>
      </c>
      <c r="K11150" s="38" t="n">
        <f aca="false">Sens!$K$11149*tax</f>
        <v>25.3731670488357</v>
      </c>
      <c r="L11150" s="38" t="n">
        <f aca="false">Sens!$L$11149*tax</f>
        <v>27.2531376357449</v>
      </c>
      <c r="M11150" s="38" t="n">
        <f aca="false">Sens!$M$11149*tax</f>
        <v>29.7542131769315</v>
      </c>
      <c r="N11150" s="38" t="n">
        <f aca="false">Q!$N$37</f>
        <v>7.231</v>
      </c>
      <c r="O11150" s="38" t="n">
        <f aca="false">Q!$O$37</f>
        <v>11.856</v>
      </c>
    </row>
    <row r="11151" customFormat="false" ht="15" hidden="false" customHeight="false" outlineLevel="0" collapsed="false">
      <c r="A11151" s="3" t="s">
        <v>549</v>
      </c>
      <c r="B11151" s="8" t="s">
        <v>86</v>
      </c>
      <c r="C11151" s="38" t="n">
        <f aca="false">Q!$D$38</f>
        <v>59.248</v>
      </c>
      <c r="D11151" s="38" t="n">
        <f aca="false">Q!$E$38</f>
        <v>77.67</v>
      </c>
      <c r="E11151" s="38" t="n">
        <f aca="false">Q!$P$38</f>
        <v>92.902</v>
      </c>
      <c r="F11151" s="38" t="n">
        <f aca="false">Sens!$F$11149-Sens!$F$11150</f>
        <v>45.6227502089606</v>
      </c>
      <c r="G11151" s="38" t="n">
        <f aca="false">Sens!$E$11151+Sens!$F$11151</f>
        <v>138.524750208961</v>
      </c>
      <c r="H11151" s="38" t="n">
        <f aca="false">Sens!$H$11149-Sens!$H$11150</f>
        <v>100.094899073714</v>
      </c>
      <c r="I11151" s="38" t="n">
        <f aca="false">Sens!$I$11149-Sens!$I$11150</f>
        <v>108.211496313341</v>
      </c>
      <c r="J11151" s="38" t="n">
        <f aca="false">Sens!$J$11149-Sens!$J$11150</f>
        <v>116.045220764338</v>
      </c>
      <c r="K11151" s="38" t="n">
        <f aca="false">Sens!$K$11149-Sens!$K$11150</f>
        <v>120.79865795623</v>
      </c>
      <c r="L11151" s="38" t="n">
        <f aca="false">Sens!$L$11149-Sens!$L$11150</f>
        <v>129.748976355928</v>
      </c>
      <c r="M11151" s="38" t="n">
        <f aca="false">Sens!$M$11149-Sens!$M$11150</f>
        <v>141.656302242405</v>
      </c>
      <c r="N11151" s="38" t="n">
        <f aca="false">Q!$N$38</f>
        <v>35.291</v>
      </c>
      <c r="O11151" s="38" t="n">
        <f aca="false">Q!$O$38</f>
        <v>42.379</v>
      </c>
    </row>
    <row r="11152" customFormat="false" ht="17.15" hidden="false" customHeight="false" outlineLevel="0" collapsed="false">
      <c r="A11152" s="5" t="s">
        <v>552</v>
      </c>
      <c r="B11152" s="5" t="s">
        <v>33</v>
      </c>
      <c r="C11152" s="22" t="n">
        <f aca="false">Q!$D$41</f>
        <v>10.721</v>
      </c>
      <c r="D11152" s="22" t="n">
        <f aca="false">Q!$E$41</f>
        <v>10.827</v>
      </c>
      <c r="E11152" s="22" t="n">
        <f aca="false">(Q!$L$41+Q!$M$41)/2</f>
        <v>10.8885</v>
      </c>
      <c r="F11152" s="22" t="n">
        <f aca="false">Sens!$G$11152</f>
        <v>10.924806</v>
      </c>
      <c r="G11152" s="22" t="n">
        <f aca="false">Q!$M$41*(1+sh_g*0.25)</f>
        <v>10.924806</v>
      </c>
      <c r="H11152" s="22" t="n">
        <f aca="false">Sens!$G$11152*(1+sh_g)</f>
        <v>11.012204448</v>
      </c>
      <c r="I11152" s="22" t="n">
        <f aca="false">Sens!$H$11152*(1+sh_g)</f>
        <v>11.100302083584</v>
      </c>
      <c r="J11152" s="22" t="n">
        <f aca="false">Sens!$I$11152*(1+sh_g)</f>
        <v>11.1891045002527</v>
      </c>
      <c r="K11152" s="22" t="n">
        <f aca="false">Sens!$J$11152*(1+sh_g)</f>
        <v>11.2786173362547</v>
      </c>
      <c r="L11152" s="22" t="n">
        <f aca="false">Sens!$K$11152*(1+sh_g)</f>
        <v>11.3688462749447</v>
      </c>
      <c r="M11152" s="22" t="n">
        <f aca="false">Sens!$L$11152*(1+sh_g)</f>
        <v>11.4597970451443</v>
      </c>
      <c r="P11152" s="5" t="s">
        <v>755</v>
      </c>
    </row>
    <row r="11153" customFormat="false" ht="17.15" hidden="false" customHeight="false" outlineLevel="0" collapsed="false">
      <c r="A11153" s="5" t="s">
        <v>756</v>
      </c>
      <c r="B11153" s="0" t="s">
        <v>86</v>
      </c>
      <c r="C11153" s="38" t="n">
        <f aca="false">Sens!$C$11151+Sens!$C$11127*(1-tax)</f>
        <v>59.248</v>
      </c>
      <c r="D11153" s="38" t="n">
        <f aca="false">Sens!$D$11151+Sens!$D$11127*(1-tax)</f>
        <v>77.67</v>
      </c>
      <c r="E11153" s="38" t="n">
        <f aca="false">Sens!$E$11151+Sens!$E$11127*(1-tax)</f>
        <v>92.902</v>
      </c>
      <c r="F11153" s="38" t="n">
        <f aca="false">Sens!$F$11151+Sens!$F$11127*(1-tax)</f>
        <v>45.6227502089606</v>
      </c>
      <c r="G11153" s="38" t="n">
        <f aca="false">Sens!$G$11151+Sens!$G$11127*(1-tax)</f>
        <v>138.524750208961</v>
      </c>
      <c r="H11153" s="38" t="n">
        <f aca="false">Sens!$H$11151+Sens!$H$11127*(1-tax)</f>
        <v>100.094899073714</v>
      </c>
      <c r="I11153" s="38" t="n">
        <f aca="false">Sens!$I$11151+Sens!$I$11127*(1-tax)</f>
        <v>108.211496313341</v>
      </c>
      <c r="J11153" s="38" t="n">
        <f aca="false">Sens!$J$11151+Sens!$J$11127*(1-tax)</f>
        <v>116.045220764338</v>
      </c>
      <c r="K11153" s="38" t="n">
        <f aca="false">Sens!$K$11151+Sens!$K$11127*(1-tax)</f>
        <v>120.79865795623</v>
      </c>
      <c r="L11153" s="38" t="n">
        <f aca="false">Sens!$L$11151+Sens!$L$11127*(1-tax)</f>
        <v>129.748976355928</v>
      </c>
      <c r="M11153" s="38" t="n">
        <f aca="false">Sens!$M$11151+Sens!$M$11127*(1-tax)</f>
        <v>141.656302242405</v>
      </c>
      <c r="N11153" s="38" t="n">
        <f aca="false">Sens!$N$11151+Sens!$N$11127*(1-tax)</f>
        <v>35.291</v>
      </c>
      <c r="O11153" s="38" t="n">
        <f aca="false">Sens!$O$11151+Sens!$O$11127*(1-tax)</f>
        <v>42.379</v>
      </c>
    </row>
    <row r="11154" customFormat="false" ht="17.15" hidden="false" customHeight="false" outlineLevel="0" collapsed="false">
      <c r="A11154" s="43" t="s">
        <v>757</v>
      </c>
      <c r="B11154" s="14" t="s">
        <v>27</v>
      </c>
      <c r="C11154" s="44" t="n">
        <f aca="false">Sens!$C$11153/Sens!$C$11152</f>
        <v>5.52635015390355</v>
      </c>
      <c r="D11154" s="44" t="n">
        <f aca="false">Sens!$D$11153/Sens!$D$11152</f>
        <v>7.1737323358271</v>
      </c>
      <c r="E11154" s="44" t="n">
        <f aca="false">Sens!$E$11153/Sens!$E$11152</f>
        <v>8.53212104513937</v>
      </c>
      <c r="F11154" s="14"/>
      <c r="G11154" s="44" t="n">
        <f aca="false">Sens!$G$11153/Sens!$G$11152</f>
        <v>12.6798361645013</v>
      </c>
      <c r="H11154" s="44" t="n">
        <f aca="false">Sens!$H$11153/Sens!$H$11152</f>
        <v>9.0894515758734</v>
      </c>
      <c r="I11154" s="44" t="n">
        <f aca="false">Sens!$I$11153/Sens!$I$11152</f>
        <v>9.74851814829191</v>
      </c>
      <c r="J11154" s="44" t="n">
        <f aca="false">Sens!$J$11153/Sens!$J$11152</f>
        <v>10.3712697259837</v>
      </c>
      <c r="K11154" s="44" t="n">
        <f aca="false">Sens!$K$11153/Sens!$K$11152</f>
        <v>10.7104137284565</v>
      </c>
      <c r="L11154" s="44" t="n">
        <f aca="false">Sens!$L$11153/Sens!$L$11152</f>
        <v>11.4126775240049</v>
      </c>
      <c r="M11154" s="44" t="n">
        <f aca="false">Sens!$M$11153/Sens!$M$11152</f>
        <v>12.3611527921803</v>
      </c>
      <c r="N11154" s="14"/>
      <c r="O11154" s="14"/>
    </row>
    <row r="11155" customFormat="false" ht="17.15" hidden="false" customHeight="false" outlineLevel="0" collapsed="false">
      <c r="A11155" s="0" t="s">
        <v>758</v>
      </c>
      <c r="B11155" s="0" t="s">
        <v>27</v>
      </c>
      <c r="C11155" s="30" t="n">
        <f aca="false">Sens!$C$11151/Sens!$C$11152</f>
        <v>5.52635015390355</v>
      </c>
      <c r="D11155" s="30" t="n">
        <f aca="false">Sens!$D$11151/Sens!$D$11152</f>
        <v>7.1737323358271</v>
      </c>
      <c r="E11155" s="30" t="n">
        <f aca="false">Sens!$E$11151/Sens!$E$11152</f>
        <v>8.53212104513937</v>
      </c>
      <c r="G11155" s="30" t="n">
        <f aca="false">Sens!$G$11151/Sens!$G$11152</f>
        <v>12.6798361645013</v>
      </c>
      <c r="H11155" s="30" t="n">
        <f aca="false">Sens!$H$11151/Sens!$H$11152</f>
        <v>9.0894515758734</v>
      </c>
      <c r="I11155" s="30" t="n">
        <f aca="false">Sens!$I$11151/Sens!$I$11152</f>
        <v>9.74851814829191</v>
      </c>
      <c r="J11155" s="30" t="n">
        <f aca="false">Sens!$J$11151/Sens!$J$11152</f>
        <v>10.3712697259837</v>
      </c>
      <c r="K11155" s="30" t="n">
        <f aca="false">Sens!$K$11151/Sens!$K$11152</f>
        <v>10.7104137284565</v>
      </c>
      <c r="L11155" s="30" t="n">
        <f aca="false">Sens!$L$11151/Sens!$L$11152</f>
        <v>11.4126775240049</v>
      </c>
      <c r="M11155" s="30" t="n">
        <f aca="false">Sens!$M$11151/Sens!$M$11152</f>
        <v>12.3611527921803</v>
      </c>
    </row>
    <row r="11156" customFormat="false" ht="17.15" hidden="false" customHeight="false" outlineLevel="0" collapsed="false">
      <c r="A11156" s="0" t="s">
        <v>759</v>
      </c>
      <c r="B11156" s="0" t="s">
        <v>27</v>
      </c>
      <c r="C11156" s="30" t="n">
        <f aca="false">(Sens!$C$11151-Sens!$C$11148*(1-tax))/Sens!$C$11152</f>
        <v>5.33926775917445</v>
      </c>
      <c r="D11156" s="30" t="n">
        <f aca="false">(Sens!$D$11151-Sens!$D$11148*(1-tax))/Sens!$D$11152</f>
        <v>5.67691812755503</v>
      </c>
      <c r="E11156" s="30" t="n">
        <f aca="false">(Sens!$E$11151-Sens!$E$11148*(1-tax))/Sens!$E$11152</f>
        <v>3.10602057006846</v>
      </c>
      <c r="G11156" s="30" t="n">
        <f aca="false">(Sens!$G$11151-Sens!$G$11148*(1-tax))/Sens!$G$11152</f>
        <v>7.2717680466043</v>
      </c>
      <c r="H11156" s="30" t="n">
        <f aca="false">(Sens!$H$11151-Sens!$H$11148*(1-tax))/Sens!$H$11152</f>
        <v>9.0894515758734</v>
      </c>
      <c r="I11156" s="30" t="n">
        <f aca="false">(Sens!$I$11151-Sens!$I$11148*(1-tax))/Sens!$I$11152</f>
        <v>9.74851814829191</v>
      </c>
      <c r="J11156" s="30" t="n">
        <f aca="false">(Sens!$J$11151-Sens!$J$11148*(1-tax))/Sens!$J$11152</f>
        <v>10.3712697259837</v>
      </c>
      <c r="K11156" s="30" t="n">
        <f aca="false">(Sens!$K$11151-Sens!$K$11148*(1-tax))/Sens!$K$11152</f>
        <v>10.7104137284565</v>
      </c>
      <c r="L11156" s="30" t="n">
        <f aca="false">(Sens!$L$11151-Sens!$L$11148*(1-tax))/Sens!$L$11152</f>
        <v>11.4126775240049</v>
      </c>
      <c r="M11156" s="30" t="n">
        <f aca="false">(Sens!$M$11151-Sens!$M$11148*(1-tax))/Sens!$M$11152</f>
        <v>12.3611527921803</v>
      </c>
      <c r="P11156" s="5" t="s">
        <v>760</v>
      </c>
    </row>
    <row r="11157" customFormat="false" ht="17.15" hidden="false" customHeight="false" outlineLevel="0" collapsed="false">
      <c r="A11157" s="0" t="s">
        <v>761</v>
      </c>
      <c r="B11157" s="0" t="s">
        <v>52</v>
      </c>
      <c r="H11157" s="13" t="n">
        <f aca="false">Sens!$H$11154/Sens!$G$11154-1</f>
        <v>-0.283157017334308</v>
      </c>
      <c r="I11157" s="13" t="n">
        <f aca="false">Sens!$I$11154/Sens!$H$11154-1</f>
        <v>0.0725089480830619</v>
      </c>
      <c r="J11157" s="13" t="n">
        <f aca="false">Sens!$J$11154/Sens!$I$11154-1</f>
        <v>0.0638816657279213</v>
      </c>
      <c r="K11157" s="13" t="n">
        <f aca="false">Sens!$K$11154/Sens!$J$11154-1</f>
        <v>0.032700335776934</v>
      </c>
      <c r="L11157" s="13" t="n">
        <f aca="false">Sens!$L$11154/Sens!$K$11154-1</f>
        <v>0.0655683163464105</v>
      </c>
      <c r="M11157" s="13" t="n">
        <f aca="false">Sens!$M$11154/Sens!$L$11154-1</f>
        <v>0.0831071644826948</v>
      </c>
    </row>
    <row r="11160" customFormat="false" ht="19.4" hidden="false" customHeight="false" outlineLevel="0" collapsed="false">
      <c r="A11160" s="31" t="s">
        <v>1363</v>
      </c>
    </row>
    <row r="11161" customFormat="false" ht="17.15" hidden="false" customHeight="false" outlineLevel="0" collapsed="false">
      <c r="A11161" s="6" t="s">
        <v>16</v>
      </c>
      <c r="B11161" s="6" t="s">
        <v>17</v>
      </c>
      <c r="C11161" s="20" t="s">
        <v>497</v>
      </c>
      <c r="D11161" s="20" t="s">
        <v>498</v>
      </c>
      <c r="E11161" s="20" t="s">
        <v>580</v>
      </c>
      <c r="F11161" s="20" t="s">
        <v>581</v>
      </c>
      <c r="G11161" s="20" t="s">
        <v>582</v>
      </c>
      <c r="H11161" s="20" t="s">
        <v>583</v>
      </c>
      <c r="I11161" s="20" t="s">
        <v>584</v>
      </c>
      <c r="J11161" s="20" t="s">
        <v>585</v>
      </c>
      <c r="K11161" s="20" t="s">
        <v>586</v>
      </c>
      <c r="L11161" s="20" t="s">
        <v>587</v>
      </c>
      <c r="M11161" s="20" t="s">
        <v>588</v>
      </c>
      <c r="N11161" s="20" t="s">
        <v>589</v>
      </c>
      <c r="O11161" s="20" t="s">
        <v>590</v>
      </c>
      <c r="P11161" s="6" t="s">
        <v>23</v>
      </c>
      <c r="R11161" s="20" t="n">
        <v>2023</v>
      </c>
      <c r="S11161" s="20" t="n">
        <v>2024</v>
      </c>
      <c r="T11161" s="20" t="n">
        <v>2025</v>
      </c>
      <c r="U11161" s="20" t="n">
        <v>2026</v>
      </c>
      <c r="V11161" s="20" t="n">
        <v>2027</v>
      </c>
      <c r="W11161" s="20" t="n">
        <v>2028</v>
      </c>
      <c r="X11161" s="20" t="n">
        <v>2029</v>
      </c>
      <c r="Y11161" s="20" t="n">
        <v>2030</v>
      </c>
      <c r="Z11161" s="20" t="n">
        <v>2031</v>
      </c>
      <c r="AA11161" s="20" t="n">
        <v>2032</v>
      </c>
    </row>
    <row r="11162" customFormat="false" ht="15" hidden="false" customHeight="false" outlineLevel="0" collapsed="false">
      <c r="A11162" s="5" t="s">
        <v>549</v>
      </c>
      <c r="B11162" s="0" t="s">
        <v>86</v>
      </c>
      <c r="C11162" s="38" t="n">
        <f aca="false">Sens!$C$11151</f>
        <v>59.248</v>
      </c>
      <c r="D11162" s="38" t="n">
        <f aca="false">Sens!$D$11151</f>
        <v>77.67</v>
      </c>
      <c r="E11162" s="38" t="n">
        <f aca="false">Sens!$E$11151</f>
        <v>92.902</v>
      </c>
      <c r="F11162" s="38" t="n">
        <f aca="false">Sens!$F$11151</f>
        <v>45.6227502089606</v>
      </c>
      <c r="G11162" s="38" t="n">
        <f aca="false">Sens!$G$11151</f>
        <v>138.524750208961</v>
      </c>
      <c r="H11162" s="38" t="n">
        <f aca="false">Sens!$H$11151</f>
        <v>100.094899073714</v>
      </c>
      <c r="I11162" s="38" t="n">
        <f aca="false">Sens!$I$11151</f>
        <v>108.211496313341</v>
      </c>
      <c r="J11162" s="38" t="n">
        <f aca="false">Sens!$J$11151</f>
        <v>116.045220764338</v>
      </c>
      <c r="K11162" s="38" t="n">
        <f aca="false">Sens!$K$11151</f>
        <v>120.79865795623</v>
      </c>
      <c r="L11162" s="38" t="n">
        <f aca="false">Sens!$L$11151</f>
        <v>129.748976355928</v>
      </c>
      <c r="M11162" s="38" t="n">
        <f aca="false">Sens!$M$11151</f>
        <v>141.656302242405</v>
      </c>
    </row>
    <row r="11163" customFormat="false" ht="17.15" hidden="false" customHeight="false" outlineLevel="0" collapsed="false">
      <c r="A11163" s="5" t="s">
        <v>784</v>
      </c>
      <c r="B11163" s="0" t="s">
        <v>86</v>
      </c>
      <c r="C11163" s="38" t="n">
        <f aca="false">Sens!$C$11139</f>
        <v>32.067</v>
      </c>
      <c r="D11163" s="38" t="n">
        <f aca="false">Sens!$D$11139</f>
        <v>41.86</v>
      </c>
      <c r="E11163" s="38" t="n">
        <f aca="false">Sens!$E$11139</f>
        <v>26.703</v>
      </c>
      <c r="F11163" s="38" t="n">
        <f aca="false">Sens!$F$11139</f>
        <v>28.2071421626285</v>
      </c>
      <c r="G11163" s="38" t="n">
        <f aca="false">Sens!$G$11139</f>
        <v>54.9101421626285</v>
      </c>
      <c r="H11163" s="38" t="n">
        <f aca="false">Sens!$H$11139</f>
        <v>78.1799395827871</v>
      </c>
      <c r="I11163" s="38" t="n">
        <f aca="false">Sens!$I$11139</f>
        <v>111.171125554384</v>
      </c>
      <c r="J11163" s="38" t="n">
        <f aca="false">Sens!$J$11139</f>
        <v>144.884406220971</v>
      </c>
      <c r="K11163" s="38" t="n">
        <f aca="false">Sens!$K$11139</f>
        <v>178.806419437999</v>
      </c>
      <c r="L11163" s="38" t="n">
        <f aca="false">Sens!$L$11139</f>
        <v>204.341339029663</v>
      </c>
      <c r="M11163" s="38" t="n">
        <f aca="false">Sens!$M$11139</f>
        <v>223.130577995387</v>
      </c>
    </row>
    <row r="11164" customFormat="false" ht="15" hidden="false" customHeight="false" outlineLevel="0" collapsed="false">
      <c r="A11164" s="5" t="s">
        <v>785</v>
      </c>
      <c r="B11164" s="0" t="s">
        <v>86</v>
      </c>
      <c r="C11164" s="38" t="n">
        <f aca="false">Q!$D$48</f>
        <v>22.011</v>
      </c>
      <c r="D11164" s="38" t="n">
        <f aca="false">Q!$E$48</f>
        <v>19.467</v>
      </c>
      <c r="E11164" s="38" t="n">
        <f aca="false">Q!$P$48</f>
        <v>10.07</v>
      </c>
      <c r="F11164" s="38" t="n">
        <f aca="false">sbc_r*Sens!$F$11081</f>
        <v>10.8301362330615</v>
      </c>
      <c r="G11164" s="38" t="n">
        <f aca="false">Sens!$E$11164+Sens!$F$11164</f>
        <v>20.9001362330615</v>
      </c>
      <c r="H11164" s="38" t="n">
        <f aca="false">sbc_r*Sens!$H$11081</f>
        <v>23.2943317654256</v>
      </c>
      <c r="I11164" s="38" t="n">
        <f aca="false">sbc_r*Sens!$I$11081</f>
        <v>26.2713749165794</v>
      </c>
      <c r="J11164" s="38" t="n">
        <f aca="false">sbc_r*Sens!$J$11081</f>
        <v>29.1127794503891</v>
      </c>
      <c r="K11164" s="38" t="n">
        <f aca="false">sbc_r*Sens!$K$11081</f>
        <v>31.6074153583433</v>
      </c>
      <c r="L11164" s="38" t="n">
        <f aca="false">sbc_r*Sens!$L$11081</f>
        <v>33.9776385718341</v>
      </c>
      <c r="M11164" s="38" t="n">
        <f aca="false">sbc_r*Sens!$M$11081</f>
        <v>36.2325352034492</v>
      </c>
    </row>
    <row r="11165" customFormat="false" ht="17.15" hidden="false" customHeight="false" outlineLevel="0" collapsed="false">
      <c r="A11165" s="5" t="s">
        <v>786</v>
      </c>
      <c r="B11165" s="0" t="s">
        <v>86</v>
      </c>
      <c r="C11165" s="38" t="n">
        <f aca="false">Q!$D$44-Sens!$C$11162-Sens!$C$11163-Sens!$C$11164</f>
        <v>2.551</v>
      </c>
      <c r="D11165" s="38" t="n">
        <f aca="false">Q!$E$44-Sens!$D$11162-Sens!$D$11163-Sens!$D$11164</f>
        <v>0.51700000000001</v>
      </c>
      <c r="E11165" s="38" t="n">
        <f aca="false">Q!$P$44-Sens!$E$11162-Sens!$E$11163-Sens!$E$11164</f>
        <v>-58.256</v>
      </c>
      <c r="F11165" s="38" t="n">
        <f aca="false">oth_r*Sens!$F$11081</f>
        <v>5.21275305044778</v>
      </c>
      <c r="G11165" s="38" t="n">
        <f aca="false">Sens!$E$11165+Sens!$F$11165</f>
        <v>-53.0432469495522</v>
      </c>
      <c r="H11165" s="38" t="n">
        <f aca="false">oth_r*Sens!$H$11081</f>
        <v>11.2120102974955</v>
      </c>
      <c r="I11165" s="38" t="n">
        <f aca="false">oth_r*Sens!$I$11081</f>
        <v>12.6449184745984</v>
      </c>
      <c r="J11165" s="38" t="n">
        <f aca="false">oth_r*Sens!$J$11081</f>
        <v>14.0125411741132</v>
      </c>
      <c r="K11165" s="38" t="n">
        <f aca="false">oth_r*Sens!$K$11081</f>
        <v>15.2132574586644</v>
      </c>
      <c r="L11165" s="38" t="n">
        <f aca="false">oth_r*Sens!$L$11081</f>
        <v>16.3540915184104</v>
      </c>
      <c r="M11165" s="38" t="n">
        <f aca="false">oth_r*Sens!$M$11081</f>
        <v>17.4394166742486</v>
      </c>
      <c r="P11165" s="8" t="s">
        <v>787</v>
      </c>
    </row>
    <row r="11166" customFormat="false" ht="15" hidden="false" customHeight="false" outlineLevel="0" collapsed="false">
      <c r="A11166" s="3" t="s">
        <v>555</v>
      </c>
      <c r="B11166" s="8" t="s">
        <v>86</v>
      </c>
      <c r="C11166" s="38" t="n">
        <f aca="false">Q!$D$44</f>
        <v>115.877</v>
      </c>
      <c r="D11166" s="38" t="n">
        <f aca="false">Q!$E$44</f>
        <v>139.514</v>
      </c>
      <c r="E11166" s="38" t="n">
        <f aca="false">Q!$P$44</f>
        <v>71.419</v>
      </c>
      <c r="F11166" s="38" t="n">
        <f aca="false">Sens!$F$11162+Sens!$F$11163+Sens!$F$11164+Sens!$F$11165</f>
        <v>89.8727816550984</v>
      </c>
      <c r="G11166" s="38" t="n">
        <f aca="false">Sens!$E$11166+Sens!$F$11166</f>
        <v>161.291781655098</v>
      </c>
      <c r="H11166" s="38" t="n">
        <f aca="false">Sens!$H$11162+Sens!$H$11163+Sens!$H$11164+Sens!$H$11165</f>
        <v>212.781180719422</v>
      </c>
      <c r="I11166" s="38" t="n">
        <f aca="false">Sens!$I$11162+Sens!$I$11163+Sens!$I$11164+Sens!$I$11165</f>
        <v>258.298915258903</v>
      </c>
      <c r="J11166" s="38" t="n">
        <f aca="false">Sens!$J$11162+Sens!$J$11163+Sens!$J$11164+Sens!$J$11165</f>
        <v>304.054947609812</v>
      </c>
      <c r="K11166" s="38" t="n">
        <f aca="false">Sens!$K$11162+Sens!$K$11163+Sens!$K$11164+Sens!$K$11165</f>
        <v>346.425750211237</v>
      </c>
      <c r="L11166" s="38" t="n">
        <f aca="false">Sens!$L$11162+Sens!$L$11163+Sens!$L$11164+Sens!$L$11165</f>
        <v>384.422045475835</v>
      </c>
      <c r="M11166" s="38" t="n">
        <f aca="false">Sens!$M$11162+Sens!$M$11163+Sens!$M$11164+Sens!$M$11165</f>
        <v>418.458832115489</v>
      </c>
    </row>
    <row r="11167" customFormat="false" ht="17.15" hidden="false" customHeight="false" outlineLevel="0" collapsed="false">
      <c r="A11167" s="5" t="s">
        <v>788</v>
      </c>
      <c r="B11167" s="0" t="s">
        <v>86</v>
      </c>
      <c r="C11167" s="38" t="n">
        <f aca="false">Sens!$C$11048</f>
        <v>25.2781053077374</v>
      </c>
      <c r="D11167" s="38" t="n">
        <f aca="false">Sens!$D$11048</f>
        <v>69.5686316310026</v>
      </c>
      <c r="E11167" s="38" t="n">
        <f aca="false">Sens!$E$11048</f>
        <v>64.1899206485108</v>
      </c>
      <c r="F11167" s="38" t="n">
        <f aca="false">Sens!$F$11048</f>
        <v>96.2481299895</v>
      </c>
      <c r="G11167" s="38" t="n">
        <f aca="false">Sens!$G$11048</f>
        <v>160.438050638011</v>
      </c>
      <c r="H11167" s="38" t="n">
        <f aca="false">Sens!$H$11048</f>
        <v>198.57136494475</v>
      </c>
      <c r="I11167" s="38" t="n">
        <f aca="false">Sens!$I$11048</f>
        <v>204.6464699105</v>
      </c>
      <c r="J11167" s="38" t="n">
        <f aca="false">Sens!$J$11048</f>
        <v>209.8832381105</v>
      </c>
      <c r="K11167" s="38" t="n">
        <f aca="false">Sens!$K$11048</f>
        <v>155.238385275201</v>
      </c>
      <c r="L11167" s="38" t="n">
        <f aca="false">Sens!$L$11048</f>
        <v>132.014141639902</v>
      </c>
      <c r="M11167" s="38" t="n">
        <f aca="false">Sens!$M$11048</f>
        <v>132.230981659852</v>
      </c>
    </row>
    <row r="11168" customFormat="false" ht="17.15" hidden="false" customHeight="false" outlineLevel="0" collapsed="false">
      <c r="A11168" s="5" t="s">
        <v>789</v>
      </c>
      <c r="B11168" s="0" t="s">
        <v>86</v>
      </c>
      <c r="C11168" s="38" t="n">
        <f aca="false">cx_awso*Sens!$C$11079</f>
        <v>21.0469989286053</v>
      </c>
      <c r="D11168" s="38" t="n">
        <f aca="false">cx_awso*Sens!$D$11079</f>
        <v>24.0042459822698</v>
      </c>
      <c r="E11168" s="38" t="n">
        <f aca="false">cx_awso*Sens!$E$11079</f>
        <v>14.261729404886</v>
      </c>
      <c r="F11168" s="38" t="n">
        <f aca="false">cx_awso*Sens!$F$11079</f>
        <v>14.3538599588493</v>
      </c>
      <c r="G11168" s="38" t="n">
        <f aca="false">Sens!$E$11168+Sens!$F$11168</f>
        <v>28.6155893637353</v>
      </c>
      <c r="H11168" s="38" t="n">
        <f aca="false">cx_awso*Sens!$H$11079</f>
        <v>32.2034154158406</v>
      </c>
      <c r="I11168" s="38" t="n">
        <f aca="false">cx_awso*Sens!$I$11079</f>
        <v>35.7539519042915</v>
      </c>
      <c r="J11168" s="38" t="n">
        <f aca="false">cx_awso*Sens!$J$11079</f>
        <v>39.1551076091815</v>
      </c>
      <c r="K11168" s="38" t="n">
        <f aca="false">cx_awso*Sens!$K$11079</f>
        <v>42.287516217916</v>
      </c>
      <c r="L11168" s="38" t="n">
        <f aca="false">cx_awso*Sens!$L$11079</f>
        <v>45.6705175153492</v>
      </c>
      <c r="M11168" s="38" t="n">
        <f aca="false">cx_awso*Sens!$M$11079</f>
        <v>49.3241589165772</v>
      </c>
    </row>
    <row r="11169" customFormat="false" ht="17.15" hidden="false" customHeight="false" outlineLevel="0" collapsed="false">
      <c r="A11169" s="5" t="s">
        <v>790</v>
      </c>
      <c r="B11169" s="0" t="s">
        <v>86</v>
      </c>
      <c r="C11169" s="38" t="n">
        <f aca="false">Q!$D$46-Sens!$C$11167-Sens!$C$11168</f>
        <v>31.3328957636573</v>
      </c>
      <c r="D11169" s="38" t="n">
        <f aca="false">Q!$E$46-Sens!$D$11167-Sens!$D$11168</f>
        <v>34.7471223867276</v>
      </c>
      <c r="E11169" s="38" t="n">
        <f aca="false">Q!$P$46-Sens!$E$11167-Sens!$E$11168</f>
        <v>17.8583499466032</v>
      </c>
      <c r="F11169" s="38" t="n">
        <f aca="false">cx_rt*Sens!$F$11011</f>
        <v>20.6195895799373</v>
      </c>
      <c r="G11169" s="38" t="n">
        <f aca="false">Sens!$E$11169+Sens!$F$11169</f>
        <v>38.4779395265405</v>
      </c>
      <c r="H11169" s="38" t="n">
        <f aca="false">cx_rt*Sens!$H$11011</f>
        <v>42.5978994743075</v>
      </c>
      <c r="I11169" s="38" t="n">
        <f aca="false">cx_rt*Sens!$I$11011</f>
        <v>46.5813904136335</v>
      </c>
      <c r="J11169" s="38" t="n">
        <f aca="false">cx_rt*Sens!$J$11011</f>
        <v>50.2781676586844</v>
      </c>
      <c r="K11169" s="38" t="n">
        <f aca="false">cx_rt*Sens!$K$11011</f>
        <v>53.5312440191755</v>
      </c>
      <c r="L11169" s="38" t="n">
        <f aca="false">cx_rt*Sens!$L$11011</f>
        <v>57.0116717051447</v>
      </c>
      <c r="M11169" s="38" t="n">
        <f aca="false">cx_rt*Sens!$M$11011</f>
        <v>60.7365554669226</v>
      </c>
    </row>
    <row r="11170" customFormat="false" ht="15" hidden="false" customHeight="false" outlineLevel="0" collapsed="false">
      <c r="A11170" s="3" t="s">
        <v>791</v>
      </c>
      <c r="B11170" s="8" t="s">
        <v>86</v>
      </c>
      <c r="C11170" s="38" t="n">
        <f aca="false">Q!$D$46</f>
        <v>77.658</v>
      </c>
      <c r="D11170" s="38" t="n">
        <f aca="false">Q!$E$46</f>
        <v>128.32</v>
      </c>
      <c r="E11170" s="38" t="n">
        <f aca="false">Q!$P$46</f>
        <v>96.31</v>
      </c>
      <c r="F11170" s="38" t="n">
        <f aca="false">Sens!$F$11167+Sens!$F$11168+Sens!$F$11169</f>
        <v>131.221579528287</v>
      </c>
      <c r="G11170" s="38" t="n">
        <f aca="false">Sens!$E$11170+Sens!$F$11170</f>
        <v>227.531579528287</v>
      </c>
      <c r="H11170" s="38" t="n">
        <f aca="false">Sens!$H$11167+Sens!$H$11168+Sens!$H$11169</f>
        <v>273.372679834898</v>
      </c>
      <c r="I11170" s="38" t="n">
        <f aca="false">Sens!$I$11167+Sens!$I$11168+Sens!$I$11169</f>
        <v>286.981812228425</v>
      </c>
      <c r="J11170" s="38" t="n">
        <f aca="false">Sens!$J$11167+Sens!$J$11168+Sens!$J$11169</f>
        <v>299.316513378366</v>
      </c>
      <c r="K11170" s="38" t="n">
        <f aca="false">Sens!$K$11167+Sens!$K$11168+Sens!$K$11169</f>
        <v>251.057145512292</v>
      </c>
      <c r="L11170" s="38" t="n">
        <f aca="false">Sens!$L$11167+Sens!$L$11168+Sens!$L$11169</f>
        <v>234.696330860396</v>
      </c>
      <c r="M11170" s="38" t="n">
        <f aca="false">Sens!$M$11167+Sens!$M$11168+Sens!$M$11169</f>
        <v>242.291696043352</v>
      </c>
    </row>
    <row r="11171" customFormat="false" ht="17.15" hidden="false" customHeight="false" outlineLevel="0" collapsed="false">
      <c r="A11171" s="5" t="s">
        <v>563</v>
      </c>
      <c r="B11171" s="0" t="s">
        <v>86</v>
      </c>
      <c r="C11171" s="38" t="n">
        <f aca="false">Q!$D$50</f>
        <v>2.043</v>
      </c>
      <c r="D11171" s="38" t="n">
        <f aca="false">Q!$E$50</f>
        <v>1.557</v>
      </c>
      <c r="E11171" s="38" t="n">
        <f aca="false">lease_pr/2</f>
        <v>0.8</v>
      </c>
      <c r="F11171" s="38" t="n">
        <f aca="false">lease_pr/2</f>
        <v>0.8</v>
      </c>
      <c r="G11171" s="38" t="n">
        <f aca="false">Sens!$E$11171+Sens!$F$11171</f>
        <v>1.6</v>
      </c>
      <c r="H11171" s="38" t="n">
        <f aca="false">lease_pr</f>
        <v>1.6</v>
      </c>
      <c r="I11171" s="38" t="n">
        <f aca="false">lease_pr</f>
        <v>1.6</v>
      </c>
      <c r="J11171" s="38" t="n">
        <f aca="false">lease_pr</f>
        <v>1.6</v>
      </c>
      <c r="K11171" s="38" t="n">
        <f aca="false">lease_pr</f>
        <v>1.6</v>
      </c>
      <c r="L11171" s="38" t="n">
        <f aca="false">lease_pr</f>
        <v>1.6</v>
      </c>
      <c r="M11171" s="38" t="n">
        <f aca="false">lease_pr</f>
        <v>1.6</v>
      </c>
      <c r="P11171" s="8" t="s">
        <v>792</v>
      </c>
    </row>
    <row r="11172" customFormat="false" ht="15" hidden="false" customHeight="false" outlineLevel="0" collapsed="false">
      <c r="A11172" s="47" t="s">
        <v>793</v>
      </c>
      <c r="B11172" s="14" t="s">
        <v>86</v>
      </c>
      <c r="C11172" s="48" t="n">
        <f aca="false">Sens!$C$11166-Sens!$C$11170-Sens!$C$11171</f>
        <v>36.176</v>
      </c>
      <c r="D11172" s="48" t="n">
        <f aca="false">Sens!$D$11166-Sens!$D$11170-Sens!$D$11171</f>
        <v>9.63700000000002</v>
      </c>
      <c r="E11172" s="48" t="n">
        <f aca="false">Sens!$E$11166-Sens!$E$11170-Sens!$E$11171</f>
        <v>-25.691</v>
      </c>
      <c r="F11172" s="48" t="n">
        <f aca="false">Sens!$F$11166-Sens!$F$11170-Sens!$F$11171</f>
        <v>-42.1487978731882</v>
      </c>
      <c r="G11172" s="48" t="n">
        <f aca="false">Sens!$G$11166-Sens!$G$11170-Sens!$G$11171</f>
        <v>-67.8397978731883</v>
      </c>
      <c r="H11172" s="48" t="n">
        <f aca="false">Sens!$H$11166-Sens!$H$11170-Sens!$H$11171</f>
        <v>-62.1914991154763</v>
      </c>
      <c r="I11172" s="48" t="n">
        <f aca="false">Sens!$I$11166-Sens!$I$11170-Sens!$I$11171</f>
        <v>-30.2828969695217</v>
      </c>
      <c r="J11172" s="48" t="n">
        <f aca="false">Sens!$J$11166-Sens!$J$11170-Sens!$J$11171</f>
        <v>3.13843423144587</v>
      </c>
      <c r="K11172" s="48" t="n">
        <f aca="false">Sens!$K$11166-Sens!$K$11170-Sens!$K$11171</f>
        <v>93.7686046989443</v>
      </c>
      <c r="L11172" s="48" t="n">
        <f aca="false">Sens!$L$11166-Sens!$L$11170-Sens!$L$11171</f>
        <v>148.125714615439</v>
      </c>
      <c r="M11172" s="48" t="n">
        <f aca="false">Sens!$M$11166-Sens!$M$11170-Sens!$M$11171</f>
        <v>174.567136072137</v>
      </c>
      <c r="N11172" s="14"/>
      <c r="O11172" s="14"/>
    </row>
    <row r="11173" customFormat="false" ht="17.15" hidden="false" customHeight="false" outlineLevel="0" collapsed="false">
      <c r="A11173" s="5" t="s">
        <v>794</v>
      </c>
      <c r="B11173" s="0" t="s">
        <v>86</v>
      </c>
      <c r="C11173" s="38" t="n">
        <f aca="false">dps*Sens!$C$11152</f>
        <v>0</v>
      </c>
      <c r="D11173" s="38" t="n">
        <f aca="false">dps*Sens!$D$11152</f>
        <v>0</v>
      </c>
      <c r="E11173" s="38" t="n">
        <f aca="false">dps*Sens!$E$11152</f>
        <v>0</v>
      </c>
      <c r="F11173" s="38" t="n">
        <f aca="false">0</f>
        <v>0</v>
      </c>
      <c r="G11173" s="38" t="n">
        <f aca="false">dps*Sens!$G$11152</f>
        <v>0</v>
      </c>
      <c r="H11173" s="38" t="n">
        <f aca="false">dps*Sens!$H$11152</f>
        <v>0</v>
      </c>
      <c r="I11173" s="38" t="n">
        <f aca="false">dps*Sens!$I$11152</f>
        <v>0</v>
      </c>
      <c r="J11173" s="38" t="n">
        <f aca="false">dps*Sens!$J$11152</f>
        <v>0</v>
      </c>
      <c r="K11173" s="38" t="n">
        <f aca="false">dps*Sens!$K$11152</f>
        <v>0</v>
      </c>
      <c r="L11173" s="38" t="n">
        <f aca="false">dps*Sens!$L$11152</f>
        <v>0</v>
      </c>
      <c r="M11173" s="38" t="n">
        <f aca="false">dps*Sens!$M$11152</f>
        <v>0</v>
      </c>
      <c r="P11173" s="8" t="s">
        <v>795</v>
      </c>
    </row>
    <row r="11174" customFormat="false" ht="17.15" hidden="false" customHeight="false" outlineLevel="0" collapsed="false">
      <c r="A11174" s="5" t="s">
        <v>796</v>
      </c>
      <c r="B11174" s="0" t="s">
        <v>86</v>
      </c>
      <c r="C11174" s="38" t="n">
        <f aca="false">0</f>
        <v>0</v>
      </c>
      <c r="D11174" s="38" t="n">
        <f aca="false">0</f>
        <v>0</v>
      </c>
      <c r="E11174" s="38" t="n">
        <f aca="false">0</f>
        <v>0</v>
      </c>
      <c r="F11174" s="38" t="n">
        <f aca="false">0</f>
        <v>0</v>
      </c>
      <c r="G11174" s="38" t="n">
        <f aca="false">0</f>
        <v>0</v>
      </c>
      <c r="H11174" s="38" t="n">
        <f aca="false">0</f>
        <v>0</v>
      </c>
      <c r="I11174" s="38" t="n">
        <f aca="false">0</f>
        <v>0</v>
      </c>
      <c r="J11174" s="38" t="n">
        <f aca="false">0</f>
        <v>0</v>
      </c>
      <c r="K11174" s="38" t="n">
        <f aca="false">0</f>
        <v>0</v>
      </c>
      <c r="L11174" s="38" t="n">
        <f aca="false">0</f>
        <v>0</v>
      </c>
      <c r="M11174" s="38" t="n">
        <f aca="false">0</f>
        <v>0</v>
      </c>
      <c r="P11174" s="8" t="s">
        <v>797</v>
      </c>
    </row>
    <row r="11175" customFormat="false" ht="15" hidden="false" customHeight="false" outlineLevel="0" collapsed="false">
      <c r="A11175" s="3" t="s">
        <v>798</v>
      </c>
      <c r="B11175" s="8" t="s">
        <v>86</v>
      </c>
      <c r="C11175" s="38" t="n">
        <f aca="false">Sens!$C$11172-Sens!$C$11173</f>
        <v>36.176</v>
      </c>
      <c r="D11175" s="38" t="n">
        <f aca="false">Sens!$D$11172-Sens!$D$11173</f>
        <v>9.63700000000002</v>
      </c>
      <c r="E11175" s="38" t="n">
        <f aca="false">Sens!$E$11172-Sens!$E$11173</f>
        <v>-25.691</v>
      </c>
      <c r="F11175" s="38" t="n">
        <f aca="false">Sens!$F$11172-Sens!$F$11173</f>
        <v>-42.1487978731882</v>
      </c>
      <c r="G11175" s="38" t="n">
        <f aca="false">Sens!$G$11172-Sens!$G$11173</f>
        <v>-67.8397978731883</v>
      </c>
      <c r="H11175" s="38" t="n">
        <f aca="false">Sens!$H$11172-Sens!$H$11173</f>
        <v>-62.1914991154763</v>
      </c>
      <c r="I11175" s="38" t="n">
        <f aca="false">Sens!$I$11172-Sens!$I$11173</f>
        <v>-30.2828969695217</v>
      </c>
      <c r="J11175" s="38" t="n">
        <f aca="false">Sens!$J$11172-Sens!$J$11173</f>
        <v>3.13843423144587</v>
      </c>
      <c r="K11175" s="38" t="n">
        <f aca="false">Sens!$K$11172-Sens!$K$11173</f>
        <v>93.7686046989443</v>
      </c>
      <c r="L11175" s="38" t="n">
        <f aca="false">Sens!$L$11172-Sens!$L$11173</f>
        <v>148.125714615439</v>
      </c>
      <c r="M11175" s="38" t="n">
        <f aca="false">Sens!$M$11172-Sens!$M$11173</f>
        <v>174.567136072137</v>
      </c>
    </row>
    <row r="11176" customFormat="false" ht="17.15" hidden="false" customHeight="false" outlineLevel="0" collapsed="false">
      <c r="A11176" s="5" t="s">
        <v>799</v>
      </c>
      <c r="B11176" s="0" t="s">
        <v>86</v>
      </c>
      <c r="E11176" s="38" t="n">
        <f aca="false">Q!$P$53</f>
        <v>39.767</v>
      </c>
      <c r="F11176" s="38" t="n">
        <f aca="false">inv_2h26</f>
        <v>21.3</v>
      </c>
      <c r="G11176" s="38" t="n">
        <f aca="false">Sens!$E$11176+Sens!$F$11176</f>
        <v>61.067</v>
      </c>
      <c r="H11176" s="39" t="n">
        <v>0</v>
      </c>
      <c r="I11176" s="39" t="n">
        <v>0</v>
      </c>
      <c r="J11176" s="39" t="n">
        <v>0</v>
      </c>
      <c r="K11176" s="39" t="n">
        <v>0</v>
      </c>
      <c r="L11176" s="39" t="n">
        <v>0</v>
      </c>
      <c r="M11176" s="39" t="n">
        <v>0</v>
      </c>
    </row>
    <row r="11177" customFormat="false" ht="17.15" hidden="false" customHeight="false" outlineLevel="0" collapsed="false">
      <c r="A11177" s="5" t="s">
        <v>800</v>
      </c>
      <c r="B11177" s="0" t="s">
        <v>86</v>
      </c>
      <c r="F11177" s="38" t="n">
        <f aca="false">iss_2h26</f>
        <v>29.249999</v>
      </c>
      <c r="G11177" s="38" t="n">
        <f aca="false">Sens!$F$11177</f>
        <v>29.249999</v>
      </c>
      <c r="H11177" s="39" t="n">
        <v>0</v>
      </c>
      <c r="I11177" s="39" t="n">
        <v>0</v>
      </c>
      <c r="J11177" s="39" t="n">
        <v>0</v>
      </c>
      <c r="K11177" s="39" t="n">
        <v>0</v>
      </c>
      <c r="L11177" s="39" t="n">
        <v>0</v>
      </c>
      <c r="M11177" s="39" t="n">
        <v>0</v>
      </c>
    </row>
    <row r="11178" customFormat="false" ht="17.15" hidden="false" customHeight="false" outlineLevel="0" collapsed="false">
      <c r="A11178" s="5" t="s">
        <v>801</v>
      </c>
      <c r="B11178" s="0" t="s">
        <v>86</v>
      </c>
      <c r="F11178" s="38" t="n">
        <f aca="false">cash_q2</f>
        <v>122.988</v>
      </c>
      <c r="G11178" s="38" t="n">
        <f aca="false">cash_q2</f>
        <v>122.988</v>
      </c>
      <c r="H11178" s="38" t="n">
        <f aca="false">Sens!$G$11181</f>
        <v>88.7892011268118</v>
      </c>
      <c r="I11178" s="38" t="n">
        <f aca="false">Sens!$H$11181</f>
        <v>50</v>
      </c>
      <c r="J11178" s="38" t="n">
        <f aca="false">Sens!$I$11181</f>
        <v>50</v>
      </c>
      <c r="K11178" s="38" t="n">
        <f aca="false">Sens!$J$11181</f>
        <v>53.1384342314459</v>
      </c>
      <c r="L11178" s="38" t="n">
        <f aca="false">Sens!$K$11181</f>
        <v>146.90703893039</v>
      </c>
      <c r="M11178" s="38" t="n">
        <f aca="false">Sens!$L$11181</f>
        <v>295.03275354583</v>
      </c>
    </row>
    <row r="11179" customFormat="false" ht="15" hidden="false" customHeight="false" outlineLevel="0" collapsed="false">
      <c r="A11179" s="5" t="s">
        <v>802</v>
      </c>
      <c r="B11179" s="0" t="s">
        <v>86</v>
      </c>
      <c r="F11179" s="38" t="n">
        <f aca="false">Sens!$F$11178+Sens!$F$11175-Sens!$F$11174-Sens!$F$11176+Sens!$F$11177</f>
        <v>88.7892011268118</v>
      </c>
      <c r="H11179" s="38" t="n">
        <f aca="false">Sens!$H$11178+Sens!$H$11175-Sens!$H$11174-Sens!$H$11176+Sens!$H$11177</f>
        <v>26.5977020113355</v>
      </c>
      <c r="I11179" s="38" t="n">
        <f aca="false">Sens!$I$11178+Sens!$I$11175-Sens!$I$11174-Sens!$I$11176+Sens!$I$11177</f>
        <v>19.7171030304783</v>
      </c>
      <c r="J11179" s="38" t="n">
        <f aca="false">Sens!$J$11178+Sens!$J$11175-Sens!$J$11174-Sens!$J$11176+Sens!$J$11177</f>
        <v>53.1384342314459</v>
      </c>
      <c r="K11179" s="38" t="n">
        <f aca="false">Sens!$K$11178+Sens!$K$11175-Sens!$K$11174-Sens!$K$11176+Sens!$K$11177</f>
        <v>146.90703893039</v>
      </c>
      <c r="L11179" s="38" t="n">
        <f aca="false">Sens!$L$11178+Sens!$L$11175-Sens!$L$11174-Sens!$L$11176+Sens!$L$11177</f>
        <v>295.03275354583</v>
      </c>
      <c r="M11179" s="38" t="n">
        <f aca="false">Sens!$M$11178+Sens!$M$11175-Sens!$M$11174-Sens!$M$11176+Sens!$M$11177</f>
        <v>469.599889617967</v>
      </c>
    </row>
    <row r="11180" customFormat="false" ht="17.15" hidden="false" customHeight="false" outlineLevel="0" collapsed="false">
      <c r="A11180" s="5" t="s">
        <v>803</v>
      </c>
      <c r="B11180" s="0" t="s">
        <v>86</v>
      </c>
      <c r="F11180" s="38" t="n">
        <f aca="false">MAX(0,min_cash-Sens!$F$11179)</f>
        <v>0</v>
      </c>
      <c r="G11180" s="38" t="n">
        <f aca="false">Sens!$F$11180</f>
        <v>0</v>
      </c>
      <c r="H11180" s="38" t="n">
        <f aca="false">MAX(0,min_cash-Sens!$H$11179)</f>
        <v>23.4022979886645</v>
      </c>
      <c r="I11180" s="38" t="n">
        <f aca="false">MAX(0,min_cash-Sens!$I$11179)</f>
        <v>30.2828969695217</v>
      </c>
      <c r="J11180" s="38" t="n">
        <f aca="false">MAX(0,min_cash-Sens!$J$11179)</f>
        <v>0</v>
      </c>
      <c r="K11180" s="38" t="n">
        <f aca="false">MAX(0,min_cash-Sens!$K$11179)</f>
        <v>0</v>
      </c>
      <c r="L11180" s="38" t="n">
        <f aca="false">MAX(0,min_cash-Sens!$L$11179)</f>
        <v>0</v>
      </c>
      <c r="M11180" s="38" t="n">
        <f aca="false">MAX(0,min_cash-Sens!$M$11179)</f>
        <v>0</v>
      </c>
      <c r="P11180" s="5" t="s">
        <v>804</v>
      </c>
    </row>
    <row r="11181" customFormat="false" ht="15" hidden="false" customHeight="false" outlineLevel="0" collapsed="false">
      <c r="A11181" s="5" t="s">
        <v>805</v>
      </c>
      <c r="B11181" s="0" t="s">
        <v>86</v>
      </c>
      <c r="D11181" s="38" t="n">
        <f aca="false">Q!$E$61</f>
        <v>123.029</v>
      </c>
      <c r="E11181" s="38" t="n">
        <f aca="false">Q!$M$61</f>
        <v>122.988</v>
      </c>
      <c r="F11181" s="38" t="n">
        <f aca="false">Sens!$F$11179+Sens!$F$11180</f>
        <v>88.7892011268118</v>
      </c>
      <c r="G11181" s="38" t="n">
        <f aca="false">Sens!$F$11181</f>
        <v>88.7892011268118</v>
      </c>
      <c r="H11181" s="38" t="n">
        <f aca="false">Sens!$H$11179+Sens!$H$11180</f>
        <v>50</v>
      </c>
      <c r="I11181" s="38" t="n">
        <f aca="false">Sens!$I$11179+Sens!$I$11180</f>
        <v>50</v>
      </c>
      <c r="J11181" s="38" t="n">
        <f aca="false">Sens!$J$11179+Sens!$J$11180</f>
        <v>53.1384342314459</v>
      </c>
      <c r="K11181" s="38" t="n">
        <f aca="false">Sens!$K$11179+Sens!$K$11180</f>
        <v>146.90703893039</v>
      </c>
      <c r="L11181" s="38" t="n">
        <f aca="false">Sens!$L$11179+Sens!$L$11180</f>
        <v>295.03275354583</v>
      </c>
      <c r="M11181" s="38" t="n">
        <f aca="false">Sens!$M$11179+Sens!$M$11180</f>
        <v>469.599889617967</v>
      </c>
    </row>
    <row r="11182" customFormat="false" ht="15" hidden="false" customHeight="false" outlineLevel="0" collapsed="false">
      <c r="A11182" s="5" t="s">
        <v>806</v>
      </c>
      <c r="B11182" s="0" t="s">
        <v>86</v>
      </c>
      <c r="D11182" s="38" t="n">
        <f aca="false">Q!$E$62</f>
        <v>68.836</v>
      </c>
      <c r="E11182" s="38" t="n">
        <f aca="false">Q!$M$62</f>
        <v>132.995</v>
      </c>
      <c r="F11182" s="38" t="n">
        <f aca="false">debt_q2+Sens!$F$11177+Sens!$F$11180</f>
        <v>162.244999</v>
      </c>
      <c r="G11182" s="38" t="n">
        <f aca="false">Sens!$F$11182</f>
        <v>162.244999</v>
      </c>
      <c r="H11182" s="38" t="n">
        <f aca="false">Sens!$G$11182+Sens!$H$11180</f>
        <v>185.647296988665</v>
      </c>
      <c r="I11182" s="38" t="n">
        <f aca="false">Sens!$H$11182+Sens!$I$11180</f>
        <v>215.930193958186</v>
      </c>
      <c r="J11182" s="38" t="n">
        <f aca="false">Sens!$I$11182+Sens!$J$11180</f>
        <v>215.930193958186</v>
      </c>
      <c r="K11182" s="38" t="n">
        <f aca="false">Sens!$J$11182+Sens!$K$11180</f>
        <v>215.930193958186</v>
      </c>
      <c r="L11182" s="38" t="n">
        <f aca="false">Sens!$K$11182+Sens!$L$11180</f>
        <v>215.930193958186</v>
      </c>
      <c r="M11182" s="38" t="n">
        <f aca="false">Sens!$L$11182+Sens!$M$11180</f>
        <v>215.930193958186</v>
      </c>
    </row>
    <row r="11183" customFormat="false" ht="15" hidden="false" customHeight="false" outlineLevel="0" collapsed="false">
      <c r="A11183" s="5" t="s">
        <v>807</v>
      </c>
      <c r="B11183" s="0" t="s">
        <v>86</v>
      </c>
      <c r="D11183" s="38" t="n">
        <f aca="false">Sens!$D$11182-Sens!$D$11181</f>
        <v>-54.193</v>
      </c>
      <c r="E11183" s="38" t="n">
        <f aca="false">Sens!$E$11182-Sens!$E$11181</f>
        <v>10.007</v>
      </c>
      <c r="F11183" s="38" t="n">
        <f aca="false">Sens!$F$11182-Sens!$F$11181</f>
        <v>73.4557978731883</v>
      </c>
      <c r="G11183" s="38" t="n">
        <f aca="false">Sens!$G$11182-Sens!$G$11181</f>
        <v>73.4557978731883</v>
      </c>
      <c r="H11183" s="38" t="n">
        <f aca="false">Sens!$H$11182-Sens!$H$11181</f>
        <v>135.647296988665</v>
      </c>
      <c r="I11183" s="38" t="n">
        <f aca="false">Sens!$I$11182-Sens!$I$11181</f>
        <v>165.930193958186</v>
      </c>
      <c r="J11183" s="38" t="n">
        <f aca="false">Sens!$J$11182-Sens!$J$11181</f>
        <v>162.79175972674</v>
      </c>
      <c r="K11183" s="38" t="n">
        <f aca="false">Sens!$K$11182-Sens!$K$11181</f>
        <v>69.0231550277961</v>
      </c>
      <c r="L11183" s="38" t="n">
        <f aca="false">Sens!$L$11182-Sens!$L$11181</f>
        <v>-79.1025595876434</v>
      </c>
      <c r="M11183" s="38" t="n">
        <f aca="false">Sens!$M$11182-Sens!$M$11181</f>
        <v>-253.66969565978</v>
      </c>
    </row>
    <row r="11184" customFormat="false" ht="17.15" hidden="false" customHeight="false" outlineLevel="0" collapsed="false">
      <c r="A11184" s="5" t="s">
        <v>808</v>
      </c>
      <c r="B11184" s="0" t="s">
        <v>86</v>
      </c>
      <c r="F11184" s="38" t="n">
        <f aca="false">debt_q2*kd_book*0.5+iss_2h26*kd_new*iss_t</f>
        <v>3.24888962733561</v>
      </c>
      <c r="H11184" s="38" t="n">
        <f aca="false">debt_q2*kd_book+(Sens!$G$11182-debt_q2)*kd_new</f>
        <v>7.42354172302123</v>
      </c>
      <c r="I11184" s="38" t="n">
        <f aca="false">debt_q2*kd_book+(Sens!$H$11182-debt_q2)*kd_new</f>
        <v>8.90490718570369</v>
      </c>
      <c r="J11184" s="38" t="n">
        <f aca="false">debt_q2*kd_book+(Sens!$I$11182-debt_q2)*kd_new</f>
        <v>10.8218145638744</v>
      </c>
      <c r="K11184" s="38" t="n">
        <f aca="false">debt_q2*kd_book+(Sens!$J$11182-debt_q2)*kd_new</f>
        <v>10.8218145638744</v>
      </c>
      <c r="L11184" s="38" t="n">
        <f aca="false">debt_q2*kd_book+(Sens!$K$11182-debt_q2)*kd_new</f>
        <v>10.8218145638744</v>
      </c>
      <c r="M11184" s="38" t="n">
        <f aca="false">debt_q2*kd_book+(Sens!$L$11182-debt_q2)*kd_new</f>
        <v>10.8218145638744</v>
      </c>
    </row>
    <row r="11185" customFormat="false" ht="17.15" hidden="false" customHeight="false" outlineLevel="0" collapsed="false">
      <c r="A11185" s="5" t="s">
        <v>809</v>
      </c>
      <c r="B11185" s="0" t="s">
        <v>86</v>
      </c>
      <c r="F11185" s="38" t="n">
        <f aca="false">cash_q2*y_cash*0.5</f>
        <v>2.59</v>
      </c>
      <c r="H11185" s="38" t="n">
        <f aca="false">Sens!$G$11181*y_cash</f>
        <v>3.73961737597883</v>
      </c>
      <c r="I11185" s="38" t="n">
        <f aca="false">Sens!$H$11181*y_cash</f>
        <v>2.10589651022864</v>
      </c>
      <c r="J11185" s="38" t="n">
        <f aca="false">Sens!$I$11181*y_cash</f>
        <v>2.10589651022864</v>
      </c>
      <c r="K11185" s="38" t="n">
        <f aca="false">Sens!$J$11181*y_cash</f>
        <v>2.23808086414032</v>
      </c>
      <c r="L11185" s="38" t="n">
        <f aca="false">Sens!$K$11181*y_cash</f>
        <v>6.18742041223063</v>
      </c>
      <c r="M11185" s="38" t="n">
        <f aca="false">Sens!$L$11181*y_cash</f>
        <v>12.4261689219062</v>
      </c>
    </row>
    <row r="11186" customFormat="false" ht="17.15" hidden="false" customHeight="false" outlineLevel="0" collapsed="false">
      <c r="A11186" s="47" t="s">
        <v>810</v>
      </c>
      <c r="B11186" s="14" t="s">
        <v>86</v>
      </c>
      <c r="C11186" s="14"/>
      <c r="D11186" s="14"/>
      <c r="E11186" s="14"/>
      <c r="F11186" s="14"/>
      <c r="G11186" s="48" t="n">
        <f aca="false">SUM(Sens!$G$11175:$K$11175)</f>
        <v>-63.4071550277961</v>
      </c>
      <c r="H11186" s="14"/>
      <c r="I11186" s="14"/>
      <c r="J11186" s="14"/>
      <c r="K11186" s="14"/>
      <c r="L11186" s="14"/>
      <c r="M11186" s="14"/>
      <c r="N11186" s="14"/>
      <c r="O11186" s="14"/>
    </row>
    <row r="11187" customFormat="false" ht="17.15" hidden="false" customHeight="false" outlineLevel="0" collapsed="false">
      <c r="A11187" s="0" t="s">
        <v>776</v>
      </c>
      <c r="B11187" s="0" t="s">
        <v>86</v>
      </c>
      <c r="G11187" s="38" t="n">
        <f aca="false">SUM(Sens!$G$11180:$K$11180)</f>
        <v>53.6851949581862</v>
      </c>
    </row>
    <row r="11188" customFormat="false" ht="17.15" hidden="false" customHeight="false" outlineLevel="0" collapsed="false">
      <c r="A11188" s="24" t="s">
        <v>815</v>
      </c>
      <c r="B11188" s="25" t="s">
        <v>86</v>
      </c>
      <c r="C11188" s="25"/>
      <c r="D11188" s="25"/>
      <c r="E11188" s="25"/>
      <c r="F11188" s="25"/>
      <c r="G11188" s="41" t="n">
        <f aca="false">Sens!$G$11186-(Sens!$G$11175+Sens!$H$11175+Sens!$I$11175+Sens!$J$11175+Sens!$K$11175)</f>
        <v>0</v>
      </c>
      <c r="H11188" s="25"/>
      <c r="I11188" s="25"/>
      <c r="J11188" s="25"/>
      <c r="K11188" s="25"/>
      <c r="L11188" s="25"/>
      <c r="M11188" s="25"/>
      <c r="N11188" s="25"/>
      <c r="O11188" s="25"/>
    </row>
    <row r="11191" customFormat="false" ht="19.4" hidden="false" customHeight="false" outlineLevel="0" collapsed="false">
      <c r="A11191" s="31" t="s">
        <v>1364</v>
      </c>
    </row>
    <row r="11192" customFormat="false" ht="17.15" hidden="false" customHeight="false" outlineLevel="0" collapsed="false">
      <c r="A11192" s="6" t="s">
        <v>16</v>
      </c>
      <c r="B11192" s="6" t="s">
        <v>17</v>
      </c>
      <c r="C11192" s="20" t="s">
        <v>497</v>
      </c>
      <c r="D11192" s="20" t="s">
        <v>498</v>
      </c>
      <c r="E11192" s="20" t="s">
        <v>580</v>
      </c>
      <c r="F11192" s="20" t="s">
        <v>581</v>
      </c>
      <c r="G11192" s="20" t="s">
        <v>582</v>
      </c>
      <c r="H11192" s="20" t="s">
        <v>583</v>
      </c>
      <c r="I11192" s="20" t="s">
        <v>584</v>
      </c>
      <c r="J11192" s="20" t="s">
        <v>585</v>
      </c>
      <c r="K11192" s="20" t="s">
        <v>586</v>
      </c>
      <c r="L11192" s="20" t="s">
        <v>587</v>
      </c>
      <c r="M11192" s="20" t="s">
        <v>588</v>
      </c>
      <c r="N11192" s="20" t="s">
        <v>589</v>
      </c>
      <c r="O11192" s="20" t="s">
        <v>590</v>
      </c>
      <c r="P11192" s="6" t="s">
        <v>23</v>
      </c>
      <c r="R11192" s="20" t="n">
        <v>2023</v>
      </c>
      <c r="S11192" s="20" t="n">
        <v>2024</v>
      </c>
      <c r="T11192" s="20" t="n">
        <v>2025</v>
      </c>
      <c r="U11192" s="20" t="n">
        <v>2026</v>
      </c>
      <c r="V11192" s="20" t="n">
        <v>2027</v>
      </c>
      <c r="W11192" s="20" t="n">
        <v>2028</v>
      </c>
      <c r="X11192" s="20" t="n">
        <v>2029</v>
      </c>
      <c r="Y11192" s="20" t="n">
        <v>2030</v>
      </c>
      <c r="Z11192" s="20" t="n">
        <v>2031</v>
      </c>
      <c r="AA11192" s="20" t="n">
        <v>2032</v>
      </c>
    </row>
    <row r="11193" customFormat="false" ht="17.15" hidden="false" customHeight="false" outlineLevel="0" collapsed="false">
      <c r="A11193" s="1" t="s">
        <v>915</v>
      </c>
    </row>
    <row r="11194" customFormat="false" ht="17.15" hidden="false" customHeight="false" outlineLevel="0" collapsed="false">
      <c r="A11194" s="0" t="s">
        <v>916</v>
      </c>
      <c r="B11194" s="0" t="s">
        <v>86</v>
      </c>
      <c r="H11194" s="38" t="n">
        <f aca="false">Sens!$H$11128*(1-tax)</f>
        <v>103.139351156867</v>
      </c>
      <c r="I11194" s="38" t="n">
        <f aca="false">Sens!$I$11128*(1-tax)</f>
        <v>113.830303939223</v>
      </c>
      <c r="J11194" s="38" t="n">
        <f aca="false">Sens!$J$11128*(1-tax)</f>
        <v>123.248190308574</v>
      </c>
      <c r="K11194" s="38" t="n">
        <f aca="false">Sens!$K$11128*(1-tax)</f>
        <v>127.892388305054</v>
      </c>
      <c r="L11194" s="38" t="n">
        <f aca="false">Sens!$L$11128*(1-tax)</f>
        <v>133.578911392584</v>
      </c>
      <c r="M11194" s="38" t="n">
        <f aca="false">Sens!$M$11128*(1-tax)</f>
        <v>140.330438976144</v>
      </c>
    </row>
    <row r="11195" customFormat="false" ht="15" hidden="false" customHeight="false" outlineLevel="0" collapsed="false">
      <c r="A11195" s="5" t="s">
        <v>917</v>
      </c>
      <c r="B11195" s="0" t="s">
        <v>86</v>
      </c>
      <c r="H11195" s="38" t="n">
        <f aca="false">Sens!$H$11139</f>
        <v>78.1799395827871</v>
      </c>
      <c r="I11195" s="38" t="n">
        <f aca="false">Sens!$I$11139</f>
        <v>111.171125554384</v>
      </c>
      <c r="J11195" s="38" t="n">
        <f aca="false">Sens!$J$11139</f>
        <v>144.884406220971</v>
      </c>
      <c r="K11195" s="38" t="n">
        <f aca="false">Sens!$K$11139</f>
        <v>178.806419437999</v>
      </c>
      <c r="L11195" s="38" t="n">
        <f aca="false">Sens!$L$11139</f>
        <v>204.341339029663</v>
      </c>
      <c r="M11195" s="38" t="n">
        <f aca="false">Sens!$M$11139</f>
        <v>223.130577995387</v>
      </c>
    </row>
    <row r="11196" customFormat="false" ht="15" hidden="false" customHeight="false" outlineLevel="0" collapsed="false">
      <c r="A11196" s="5" t="s">
        <v>918</v>
      </c>
      <c r="B11196" s="0" t="s">
        <v>86</v>
      </c>
      <c r="H11196" s="38" t="n">
        <f aca="false">Sens!$H$11170</f>
        <v>273.372679834898</v>
      </c>
      <c r="I11196" s="38" t="n">
        <f aca="false">Sens!$I$11170</f>
        <v>286.981812228425</v>
      </c>
      <c r="J11196" s="38" t="n">
        <f aca="false">Sens!$J$11170</f>
        <v>299.316513378366</v>
      </c>
      <c r="K11196" s="38" t="n">
        <f aca="false">Sens!$K$11170</f>
        <v>251.057145512292</v>
      </c>
      <c r="L11196" s="38" t="n">
        <f aca="false">Sens!$L$11170</f>
        <v>234.696330860396</v>
      </c>
      <c r="M11196" s="38" t="n">
        <f aca="false">Sens!$M$11170</f>
        <v>242.291696043352</v>
      </c>
    </row>
    <row r="11197" customFormat="false" ht="15" hidden="false" customHeight="false" outlineLevel="0" collapsed="false">
      <c r="A11197" s="5" t="s">
        <v>919</v>
      </c>
      <c r="B11197" s="0" t="s">
        <v>86</v>
      </c>
      <c r="H11197" s="38" t="n">
        <f aca="false">Sens!$H$11171</f>
        <v>1.6</v>
      </c>
      <c r="I11197" s="38" t="n">
        <f aca="false">Sens!$I$11171</f>
        <v>1.6</v>
      </c>
      <c r="J11197" s="38" t="n">
        <f aca="false">Sens!$J$11171</f>
        <v>1.6</v>
      </c>
      <c r="K11197" s="38" t="n">
        <f aca="false">Sens!$K$11171</f>
        <v>1.6</v>
      </c>
      <c r="L11197" s="38" t="n">
        <f aca="false">Sens!$L$11171</f>
        <v>1.6</v>
      </c>
      <c r="M11197" s="38" t="n">
        <f aca="false">Sens!$M$11171</f>
        <v>1.6</v>
      </c>
    </row>
    <row r="11198" customFormat="false" ht="15" hidden="false" customHeight="false" outlineLevel="0" collapsed="false">
      <c r="A11198" s="5" t="s">
        <v>920</v>
      </c>
      <c r="B11198" s="0" t="s">
        <v>86</v>
      </c>
      <c r="H11198" s="38" t="n">
        <f aca="false">Sens!$H$11165</f>
        <v>11.2120102974955</v>
      </c>
      <c r="I11198" s="38" t="n">
        <f aca="false">Sens!$I$11165</f>
        <v>12.6449184745984</v>
      </c>
      <c r="J11198" s="38" t="n">
        <f aca="false">Sens!$J$11165</f>
        <v>14.0125411741132</v>
      </c>
      <c r="K11198" s="38" t="n">
        <f aca="false">Sens!$K$11165</f>
        <v>15.2132574586644</v>
      </c>
      <c r="L11198" s="38" t="n">
        <f aca="false">Sens!$L$11165</f>
        <v>16.3540915184104</v>
      </c>
      <c r="M11198" s="38" t="n">
        <f aca="false">Sens!$M$11165</f>
        <v>17.4394166742486</v>
      </c>
    </row>
    <row r="11199" customFormat="false" ht="17.15" hidden="false" customHeight="false" outlineLevel="0" collapsed="false">
      <c r="A11199" s="1" t="s">
        <v>921</v>
      </c>
      <c r="B11199" s="8" t="s">
        <v>86</v>
      </c>
      <c r="H11199" s="38" t="n">
        <f aca="false">Sens!$H$11194+Sens!$H$11195-Sens!$H$11196+Sens!$H$11198</f>
        <v>-80.8413787977485</v>
      </c>
      <c r="I11199" s="38" t="n">
        <f aca="false">Sens!$I$11194+Sens!$I$11195-Sens!$I$11196+Sens!$I$11198</f>
        <v>-49.3354642602197</v>
      </c>
      <c r="J11199" s="38" t="n">
        <f aca="false">Sens!$J$11194+Sens!$J$11195-Sens!$J$11196+Sens!$J$11198</f>
        <v>-17.1713756747072</v>
      </c>
      <c r="K11199" s="38" t="n">
        <f aca="false">Sens!$K$11194+Sens!$K$11195-Sens!$K$11196+Sens!$K$11198</f>
        <v>70.8549196894258</v>
      </c>
      <c r="L11199" s="38" t="n">
        <f aca="false">Sens!$L$11194+Sens!$L$11195-Sens!$L$11196+Sens!$L$11198</f>
        <v>119.578011080261</v>
      </c>
      <c r="M11199" s="38" t="n">
        <f aca="false">Sens!$M$11194+Sens!$M$11195-Sens!$M$11196+Sens!$M$11198</f>
        <v>138.608737602427</v>
      </c>
    </row>
    <row r="11200" customFormat="false" ht="15" hidden="false" customHeight="false" outlineLevel="0" collapsed="false">
      <c r="A11200" s="5" t="s">
        <v>922</v>
      </c>
      <c r="B11200" s="0" t="s">
        <v>57</v>
      </c>
      <c r="H11200" s="40" t="n">
        <f aca="false">1/(1+wacc)^(2027-2026-0.5)</f>
        <v>0.947751320380232</v>
      </c>
      <c r="I11200" s="40" t="n">
        <f aca="false">1/(1+wacc)^(2028-2026-0.5)</f>
        <v>0.851301099754987</v>
      </c>
      <c r="J11200" s="40" t="n">
        <f aca="false">1/(1+wacc)^(2029-2026-0.5)</f>
        <v>0.764666370660713</v>
      </c>
      <c r="K11200" s="40" t="n">
        <f aca="false">1/(1+wacc)^(2030-2026-0.5)</f>
        <v>0.686848235703811</v>
      </c>
      <c r="L11200" s="40" t="n">
        <f aca="false">1/(1+wacc)^(2031-2026-0.5)</f>
        <v>0.616949452715975</v>
      </c>
      <c r="M11200" s="40" t="n">
        <f aca="false">1/(1+wacc)^(2032-2026-0.5)</f>
        <v>0.554164089562688</v>
      </c>
    </row>
    <row r="11201" customFormat="false" ht="15" hidden="false" customHeight="false" outlineLevel="0" collapsed="false">
      <c r="A11201" s="5" t="s">
        <v>923</v>
      </c>
      <c r="B11201" s="0" t="s">
        <v>86</v>
      </c>
      <c r="H11201" s="38" t="n">
        <f aca="false">Sens!$H$11199*Sens!$H$11200</f>
        <v>-76.6175234969246</v>
      </c>
      <c r="I11201" s="38" t="n">
        <f aca="false">Sens!$I$11199*Sens!$I$11200</f>
        <v>-41.9993349816479</v>
      </c>
      <c r="J11201" s="38" t="n">
        <f aca="false">Sens!$J$11199*Sens!$J$11200</f>
        <v>-13.13037351643</v>
      </c>
      <c r="K11201" s="38" t="n">
        <f aca="false">Sens!$K$11199*Sens!$K$11200</f>
        <v>48.6665765796173</v>
      </c>
      <c r="L11201" s="38" t="n">
        <f aca="false">Sens!$L$11199*Sens!$L$11200</f>
        <v>73.7735884928317</v>
      </c>
      <c r="M11201" s="38" t="n">
        <f aca="false">Sens!$M$11199*Sens!$M$11200</f>
        <v>76.8119848788827</v>
      </c>
    </row>
    <row r="11202" customFormat="false" ht="15" hidden="false" customHeight="false" outlineLevel="0" collapsed="false">
      <c r="A11202" s="5" t="s">
        <v>924</v>
      </c>
      <c r="B11202" s="0" t="s">
        <v>86</v>
      </c>
      <c r="C11202" s="38" t="n">
        <f aca="false">SUM(Sens!$H$11201:$M$11201)</f>
        <v>67.5049179563292</v>
      </c>
    </row>
    <row r="11203" customFormat="false" ht="17.15" hidden="false" customHeight="false" outlineLevel="0" collapsed="false">
      <c r="A11203" s="5" t="s">
        <v>925</v>
      </c>
      <c r="B11203" s="0" t="s">
        <v>86</v>
      </c>
      <c r="C11203" s="38" t="n">
        <f aca="false">Sens!$M$11194*(1+tg)*(1-tg/ronic)/(wacc-tg)</f>
        <v>1275.76028279369</v>
      </c>
    </row>
    <row r="11204" customFormat="false" ht="15" hidden="false" customHeight="false" outlineLevel="0" collapsed="false">
      <c r="A11204" s="5" t="s">
        <v>926</v>
      </c>
      <c r="B11204" s="0" t="s">
        <v>86</v>
      </c>
      <c r="C11204" s="38" t="n">
        <f aca="false">Sens!$C$11203/(1+wacc)^6</f>
        <v>670.041736111865</v>
      </c>
    </row>
    <row r="11205" customFormat="false" ht="17.15" hidden="false" customHeight="false" outlineLevel="0" collapsed="false">
      <c r="A11205" s="5" t="s">
        <v>927</v>
      </c>
      <c r="B11205" s="0" t="s">
        <v>86</v>
      </c>
      <c r="C11205" s="38" t="n">
        <f aca="false">Sens!$C$11202+Sens!$C$11204</f>
        <v>737.546654068194</v>
      </c>
    </row>
    <row r="11206" customFormat="false" ht="17.15" hidden="false" customHeight="false" outlineLevel="0" collapsed="false">
      <c r="A11206" s="5" t="s">
        <v>928</v>
      </c>
      <c r="B11206" s="0" t="s">
        <v>52</v>
      </c>
      <c r="C11206" s="13" t="n">
        <f aca="false">Sens!$C$11204/Sens!$C$11205</f>
        <v>0.90847369778714</v>
      </c>
    </row>
    <row r="11207" customFormat="false" ht="17.15" hidden="false" customHeight="false" outlineLevel="0" collapsed="false">
      <c r="A11207" s="5" t="s">
        <v>929</v>
      </c>
      <c r="B11207" s="0" t="s">
        <v>86</v>
      </c>
      <c r="C11207" s="38" t="n">
        <f aca="false">Sens!$G$11183+fin_debt</f>
        <v>97.9767978731883</v>
      </c>
    </row>
    <row r="11208" customFormat="false" ht="17.15" hidden="false" customHeight="false" outlineLevel="0" collapsed="false">
      <c r="A11208" s="5" t="s">
        <v>930</v>
      </c>
      <c r="B11208" s="0" t="s">
        <v>86</v>
      </c>
      <c r="C11208" s="38" t="n">
        <f aca="false">(ant_val*ant_sh+oai_val*oai_sh)*(1-liq_disc)</f>
        <v>178.944</v>
      </c>
    </row>
    <row r="11209" customFormat="false" ht="15" hidden="false" customHeight="false" outlineLevel="0" collapsed="false">
      <c r="A11209" s="5" t="s">
        <v>931</v>
      </c>
      <c r="B11209" s="0" t="s">
        <v>86</v>
      </c>
      <c r="C11209" s="38" t="n">
        <f aca="false">Sens!$C$11205-Sens!$C$11207+Sens!$C$11208</f>
        <v>818.513856195006</v>
      </c>
    </row>
    <row r="11210" customFormat="false" ht="17.15" hidden="false" customHeight="false" outlineLevel="0" collapsed="false">
      <c r="A11210" s="5" t="s">
        <v>932</v>
      </c>
      <c r="B11210" s="0" t="s">
        <v>27</v>
      </c>
      <c r="C11210" s="30" t="n">
        <f aca="false">Sens!$C$11209/sh_out</f>
        <v>75.8844825206281</v>
      </c>
    </row>
    <row r="11211" customFormat="false" ht="17.15" hidden="false" customHeight="false" outlineLevel="0" collapsed="false">
      <c r="A11211" s="1" t="s">
        <v>933</v>
      </c>
      <c r="B11211" s="8" t="s">
        <v>27</v>
      </c>
      <c r="C11211" s="30" t="n">
        <f aca="false">Sens!$C$11210*(1+ke)^tp_yf-dps*tp_yf</f>
        <v>83.121498083945</v>
      </c>
    </row>
    <row r="11212" customFormat="false" ht="17.15" hidden="false" customHeight="false" outlineLevel="0" collapsed="false">
      <c r="A11212" s="3" t="s">
        <v>934</v>
      </c>
    </row>
    <row r="11213" customFormat="false" ht="17.15" hidden="false" customHeight="false" outlineLevel="0" collapsed="false">
      <c r="A11213" s="5" t="s">
        <v>935</v>
      </c>
      <c r="B11213" s="0" t="s">
        <v>86</v>
      </c>
      <c r="C11213" s="38" t="n">
        <f aca="false">(1-tp_yf)*(Sens!$H$11140+sbc_ab*Sens!$H$11164*Sens!$H$11004/Sens!$H$11081)+tp_yf*(Sens!$I$11140+sbc_ab*Sens!$I$11164*Sens!$I$11004/Sens!$I$11081)</f>
        <v>59.634664536349</v>
      </c>
    </row>
    <row r="11214" customFormat="false" ht="15" hidden="false" customHeight="false" outlineLevel="0" collapsed="false">
      <c r="A11214" s="5" t="s">
        <v>936</v>
      </c>
      <c r="B11214" s="0" t="s">
        <v>57</v>
      </c>
      <c r="C11214" s="30" t="n">
        <f aca="false">m_ads*m_x</f>
        <v>9.11</v>
      </c>
    </row>
    <row r="11215" customFormat="false" ht="17.15" hidden="false" customHeight="false" outlineLevel="0" collapsed="false">
      <c r="A11215" s="5" t="s">
        <v>937</v>
      </c>
      <c r="B11215" s="0" t="s">
        <v>86</v>
      </c>
      <c r="C11215" s="38" t="n">
        <f aca="false">Sens!$C$11213*Sens!$C$11214</f>
        <v>543.271793926139</v>
      </c>
    </row>
    <row r="11216" customFormat="false" ht="17.15" hidden="false" customHeight="false" outlineLevel="0" collapsed="false">
      <c r="A11216" s="5" t="s">
        <v>938</v>
      </c>
      <c r="B11216" s="0" t="s">
        <v>86</v>
      </c>
      <c r="C11216" s="38" t="n">
        <f aca="false">(1-tp_yf)*(Sens!$H$11141+sbc_ab*Sens!$H$11164*(Sens!$H$11011-Sens!$H$11004)/Sens!$H$11081+IF(1=2,1,0)*(1-ext_sh)*Sens!$H$11041)+tp_yf*(Sens!$I$11141+sbc_ab*Sens!$I$11164*(Sens!$I$11011-Sens!$I$11004)/Sens!$I$11081+IF(1=2,1,0)*(1-ext_sh)*Sens!$I$11041)</f>
        <v>46.3546158477624</v>
      </c>
    </row>
    <row r="11217" customFormat="false" ht="17.15" hidden="false" customHeight="false" outlineLevel="0" collapsed="false">
      <c r="A11217" s="5" t="s">
        <v>939</v>
      </c>
      <c r="B11217" s="0" t="s">
        <v>57</v>
      </c>
      <c r="C11217" s="30" t="n">
        <f aca="false">m_retail*m_x</f>
        <v>17.72</v>
      </c>
    </row>
    <row r="11218" customFormat="false" ht="17.15" hidden="false" customHeight="false" outlineLevel="0" collapsed="false">
      <c r="A11218" s="5" t="s">
        <v>940</v>
      </c>
      <c r="B11218" s="0" t="s">
        <v>86</v>
      </c>
      <c r="C11218" s="38" t="n">
        <f aca="false">Sens!$C$11216*Sens!$C$11217</f>
        <v>821.40379282235</v>
      </c>
    </row>
    <row r="11219" customFormat="false" ht="17.15" hidden="false" customHeight="false" outlineLevel="0" collapsed="false">
      <c r="A11219" s="0" t="s">
        <v>941</v>
      </c>
      <c r="B11219" s="0" t="s">
        <v>86</v>
      </c>
      <c r="C11219" s="38" t="n">
        <f aca="false">(1-tp_yf)*(Sens!$H$11142+sbc_ab*Sens!$H$11164*Sens!$H$11079/Sens!$H$11081)+tp_yf*(Sens!$I$11142+sbc_ab*Sens!$I$11164*Sens!$I$11079/Sens!$I$11081)</f>
        <v>96.2439586897193</v>
      </c>
    </row>
    <row r="11220" customFormat="false" ht="17.15" hidden="false" customHeight="false" outlineLevel="0" collapsed="false">
      <c r="A11220" s="0" t="s">
        <v>942</v>
      </c>
      <c r="B11220" s="0" t="s">
        <v>57</v>
      </c>
      <c r="C11220" s="30" t="n">
        <f aca="false">m_cloud*m_x</f>
        <v>13.82</v>
      </c>
    </row>
    <row r="11221" customFormat="false" ht="17.15" hidden="false" customHeight="false" outlineLevel="0" collapsed="false">
      <c r="A11221" s="0" t="s">
        <v>943</v>
      </c>
      <c r="B11221" s="0" t="s">
        <v>86</v>
      </c>
      <c r="C11221" s="38" t="n">
        <f aca="false">Sens!$C$11219*Sens!$C$11220</f>
        <v>1330.09150909192</v>
      </c>
    </row>
    <row r="11222" customFormat="false" ht="17.15" hidden="false" customHeight="false" outlineLevel="0" collapsed="false">
      <c r="A11222" s="0" t="s">
        <v>944</v>
      </c>
      <c r="B11222" s="0" t="s">
        <v>86</v>
      </c>
      <c r="H11222" s="38" t="n">
        <f aca="false">Sens!$H$11060-tax*Sens!$H$11061-ext_sh*Sens!$H$11048</f>
        <v>-121.458410078612</v>
      </c>
      <c r="I11222" s="38" t="n">
        <f aca="false">Sens!$I$11060-tax*Sens!$I$11061-ext_sh*Sens!$I$11048</f>
        <v>-100.918672435092</v>
      </c>
      <c r="J11222" s="38" t="n">
        <f aca="false">Sens!$J$11060-tax*Sens!$J$11061-ext_sh*Sens!$J$11048</f>
        <v>-79.4539558931516</v>
      </c>
      <c r="K11222" s="38" t="n">
        <f aca="false">Sens!$K$11060-tax*Sens!$K$11061-ext_sh*Sens!$K$11048</f>
        <v>-13.1726252654488</v>
      </c>
      <c r="L11222" s="38" t="n">
        <f aca="false">Sens!$L$11060-tax*Sens!$L$11061-ext_sh*Sens!$L$11048</f>
        <v>20.4254820093419</v>
      </c>
      <c r="M11222" s="38" t="n">
        <f aca="false">Sens!$M$11060-tax*Sens!$M$11061-ext_sh*Sens!$M$11048</f>
        <v>27.9297337116591</v>
      </c>
    </row>
    <row r="11223" customFormat="false" ht="17.15" hidden="false" customHeight="false" outlineLevel="0" collapsed="false">
      <c r="A11223" s="5" t="s">
        <v>945</v>
      </c>
      <c r="B11223" s="0" t="s">
        <v>86</v>
      </c>
      <c r="H11223" s="38" t="n">
        <f aca="false">Sens!$H$11222*Sens!$H$11200</f>
        <v>-115.112368523288</v>
      </c>
      <c r="I11223" s="38" t="n">
        <f aca="false">Sens!$I$11222*Sens!$I$11200</f>
        <v>-85.9121768298074</v>
      </c>
      <c r="J11223" s="38" t="n">
        <f aca="false">Sens!$J$11222*Sens!$J$11200</f>
        <v>-60.7557680874526</v>
      </c>
      <c r="K11223" s="38" t="n">
        <f aca="false">Sens!$K$11222*Sens!$K$11200</f>
        <v>-9.04759442316094</v>
      </c>
      <c r="L11223" s="38" t="n">
        <f aca="false">Sens!$L$11222*Sens!$L$11200</f>
        <v>12.6014899471235</v>
      </c>
      <c r="M11223" s="38" t="n">
        <f aca="false">Sens!$M$11222*Sens!$M$11200</f>
        <v>15.4776554540499</v>
      </c>
    </row>
    <row r="11224" customFormat="false" ht="17.15" hidden="false" customHeight="false" outlineLevel="0" collapsed="false">
      <c r="A11224" s="5" t="s">
        <v>946</v>
      </c>
      <c r="B11224" s="0" t="s">
        <v>86</v>
      </c>
      <c r="C11224" s="38" t="n">
        <f aca="false">Sens!$M$11061*(1-tax)*(1+tg)*(1-tg/ronic)/(wacc-tg)</f>
        <v>147.737295422946</v>
      </c>
    </row>
    <row r="11225" customFormat="false" ht="17.15" hidden="false" customHeight="false" outlineLevel="0" collapsed="false">
      <c r="A11225" s="0" t="s">
        <v>947</v>
      </c>
      <c r="B11225" s="0" t="s">
        <v>86</v>
      </c>
      <c r="C11225" s="38" t="n">
        <f aca="false">(SUM(Sens!$I$11223:$M$11223)+Sens!$C$11224/(1+wacc)^6)*(1+wacc)^tp_yf</f>
        <v>-54.6583789411211</v>
      </c>
    </row>
    <row r="11226" customFormat="false" ht="17.15" hidden="false" customHeight="false" outlineLevel="0" collapsed="false">
      <c r="A11226" s="5" t="s">
        <v>948</v>
      </c>
      <c r="B11226" s="0" t="s">
        <v>86</v>
      </c>
      <c r="C11226" s="38" t="n">
        <f aca="false">(1-tp_yf)*(Sens!$H$11143)+tp_yf*(Sens!$I$11143)</f>
        <v>62.206266041067</v>
      </c>
    </row>
    <row r="11227" customFormat="false" ht="17.15" hidden="false" customHeight="false" outlineLevel="0" collapsed="false">
      <c r="A11227" s="5" t="s">
        <v>949</v>
      </c>
      <c r="B11227" s="0" t="s">
        <v>86</v>
      </c>
      <c r="C11227" s="38" t="n">
        <f aca="false">Sens!$C$11226*m_ai</f>
        <v>373.237596246402</v>
      </c>
    </row>
    <row r="11228" customFormat="false" ht="17.15" hidden="false" customHeight="false" outlineLevel="0" collapsed="false">
      <c r="A11228" s="0" t="s">
        <v>950</v>
      </c>
      <c r="B11228" s="0" t="s">
        <v>86</v>
      </c>
      <c r="C11228" s="38" t="n">
        <f aca="false">IF(ai_leg=1,Sens!$C$11225,Sens!$C$11227)</f>
        <v>-54.6583789411211</v>
      </c>
    </row>
    <row r="11229" customFormat="false" ht="17.15" hidden="false" customHeight="false" outlineLevel="0" collapsed="false">
      <c r="A11229" s="5" t="s">
        <v>951</v>
      </c>
      <c r="B11229" s="0" t="s">
        <v>86</v>
      </c>
      <c r="C11229" s="38" t="n">
        <f aca="false">Sens!$C$11215+Sens!$C$11218+Sens!$C$11221+Sens!$C$11228</f>
        <v>2640.10871689929</v>
      </c>
    </row>
    <row r="11230" customFormat="false" ht="17.15" hidden="false" customHeight="false" outlineLevel="0" collapsed="false">
      <c r="A11230" s="5" t="s">
        <v>952</v>
      </c>
      <c r="B11230" s="0" t="s">
        <v>86</v>
      </c>
      <c r="C11230" s="38" t="n">
        <f aca="false">Sens!$H$11183+fin_debt</f>
        <v>160.168296988665</v>
      </c>
    </row>
    <row r="11231" customFormat="false" ht="15" hidden="false" customHeight="false" outlineLevel="0" collapsed="false">
      <c r="A11231" s="5" t="s">
        <v>953</v>
      </c>
      <c r="B11231" s="0" t="s">
        <v>86</v>
      </c>
      <c r="C11231" s="38" t="n">
        <f aca="false">Sens!$C$11229-Sens!$C$11230+Sens!$C$11208</f>
        <v>2658.88441991062</v>
      </c>
    </row>
    <row r="11232" customFormat="false" ht="15" hidden="false" customHeight="false" outlineLevel="0" collapsed="false">
      <c r="A11232" s="3" t="s">
        <v>954</v>
      </c>
      <c r="B11232" s="8" t="s">
        <v>27</v>
      </c>
      <c r="C11232" s="30" t="n">
        <f aca="false">Sens!$C$11231/sh_val</f>
        <v>241.052468670486</v>
      </c>
    </row>
    <row r="11233" customFormat="false" ht="17.15" hidden="false" customHeight="false" outlineLevel="0" collapsed="false">
      <c r="A11233" s="47" t="s">
        <v>955</v>
      </c>
      <c r="B11233" s="14" t="s">
        <v>27</v>
      </c>
      <c r="C11233" s="44" t="n">
        <f aca="false">w_dcf*Sens!$C$11211+(1-w_dcf)*Sens!$C$11232</f>
        <v>162.086983377216</v>
      </c>
      <c r="D11233" s="14"/>
      <c r="E11233" s="14"/>
      <c r="F11233" s="14"/>
      <c r="G11233" s="14"/>
      <c r="H11233" s="14"/>
      <c r="I11233" s="14"/>
      <c r="J11233" s="14"/>
      <c r="K11233" s="14"/>
      <c r="L11233" s="14"/>
      <c r="M11233" s="14"/>
      <c r="N11233" s="14"/>
      <c r="O11233" s="14"/>
    </row>
    <row r="11234" customFormat="false" ht="17.15" hidden="false" customHeight="false" outlineLevel="0" collapsed="false">
      <c r="A11234" s="5" t="s">
        <v>956</v>
      </c>
      <c r="B11234" s="0" t="s">
        <v>27</v>
      </c>
      <c r="C11234" s="30" t="n">
        <f aca="false">v022_wdcf*Sens!$C$11211+(1-v022_wdcf)*Sens!$C$11232</f>
        <v>169.983531906543</v>
      </c>
    </row>
    <row r="11235" customFormat="false" ht="17.15" hidden="false" customHeight="false" outlineLevel="0" collapsed="false">
      <c r="A11235" s="5" t="s">
        <v>957</v>
      </c>
      <c r="B11235" s="0" t="s">
        <v>27</v>
      </c>
      <c r="C11235" s="30" t="n">
        <f aca="false">(Sens!$C$11231-Sens!$C$11228+Sens!$C$11227)/sh_val</f>
        <v>279.845197072191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0"/>
    <col collapsed="false" customWidth="true" hidden="false" outlineLevel="0" max="3" min="3" style="0" width="12"/>
    <col collapsed="false" customWidth="true" hidden="false" outlineLevel="0" max="4" min="4" style="0" width="100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1" t="s">
        <v>1365</v>
      </c>
    </row>
    <row r="2" customFormat="false" ht="15" hidden="false" customHeight="false" outlineLevel="0" collapsed="false">
      <c r="A2" s="6" t="s">
        <v>1366</v>
      </c>
      <c r="B2" s="6" t="s">
        <v>1367</v>
      </c>
      <c r="C2" s="6" t="s">
        <v>1368</v>
      </c>
      <c r="D2" s="6" t="s">
        <v>1369</v>
      </c>
      <c r="E2" s="6" t="s">
        <v>21</v>
      </c>
    </row>
    <row r="3" customFormat="false" ht="17.15" hidden="false" customHeight="false" outlineLevel="0" collapsed="false">
      <c r="A3" s="0" t="s">
        <v>82</v>
      </c>
      <c r="B3" s="0" t="s">
        <v>1370</v>
      </c>
      <c r="C3" s="0" t="s">
        <v>1371</v>
      </c>
      <c r="D3" s="0" t="s">
        <v>1372</v>
      </c>
      <c r="E3" s="0" t="s">
        <v>28</v>
      </c>
    </row>
    <row r="4" customFormat="false" ht="17.15" hidden="false" customHeight="false" outlineLevel="0" collapsed="false">
      <c r="A4" s="0" t="s">
        <v>34</v>
      </c>
      <c r="B4" s="0" t="s">
        <v>1373</v>
      </c>
      <c r="C4" s="0" t="s">
        <v>1374</v>
      </c>
      <c r="D4" s="0" t="s">
        <v>1375</v>
      </c>
      <c r="E4" s="0" t="s">
        <v>28</v>
      </c>
    </row>
    <row r="5" customFormat="false" ht="17.15" hidden="false" customHeight="false" outlineLevel="0" collapsed="false">
      <c r="A5" s="0" t="s">
        <v>1376</v>
      </c>
      <c r="B5" s="0" t="s">
        <v>1377</v>
      </c>
      <c r="C5" s="0" t="s">
        <v>1378</v>
      </c>
      <c r="D5" s="0" t="s">
        <v>1379</v>
      </c>
      <c r="E5" s="0" t="s">
        <v>28</v>
      </c>
    </row>
    <row r="6" customFormat="false" ht="17.15" hidden="false" customHeight="false" outlineLevel="0" collapsed="false">
      <c r="A6" s="0" t="s">
        <v>298</v>
      </c>
      <c r="B6" s="0" t="s">
        <v>1380</v>
      </c>
      <c r="C6" s="0" t="s">
        <v>1381</v>
      </c>
      <c r="D6" s="0" t="s">
        <v>1382</v>
      </c>
      <c r="E6" s="0" t="s">
        <v>46</v>
      </c>
    </row>
    <row r="7" customFormat="false" ht="17.15" hidden="false" customHeight="false" outlineLevel="0" collapsed="false">
      <c r="A7" s="0" t="s">
        <v>1383</v>
      </c>
      <c r="B7" s="0" t="s">
        <v>1384</v>
      </c>
      <c r="C7" s="0" t="s">
        <v>1385</v>
      </c>
      <c r="D7" s="0" t="s">
        <v>1386</v>
      </c>
      <c r="E7" s="0" t="s">
        <v>46</v>
      </c>
    </row>
    <row r="8" customFormat="false" ht="17.15" hidden="false" customHeight="false" outlineLevel="0" collapsed="false">
      <c r="A8" s="0" t="s">
        <v>1387</v>
      </c>
      <c r="B8" s="0" t="s">
        <v>1388</v>
      </c>
      <c r="C8" s="0" t="s">
        <v>1389</v>
      </c>
      <c r="D8" s="0" t="s">
        <v>1390</v>
      </c>
      <c r="E8" s="0" t="s">
        <v>46</v>
      </c>
    </row>
    <row r="9" customFormat="false" ht="17.15" hidden="false" customHeight="false" outlineLevel="0" collapsed="false">
      <c r="A9" s="0" t="s">
        <v>1391</v>
      </c>
      <c r="B9" s="0" t="s">
        <v>1392</v>
      </c>
      <c r="C9" s="0" t="s">
        <v>1393</v>
      </c>
      <c r="D9" s="0" t="s">
        <v>1394</v>
      </c>
      <c r="E9" s="0" t="s">
        <v>46</v>
      </c>
    </row>
    <row r="10" customFormat="false" ht="17.15" hidden="false" customHeight="false" outlineLevel="0" collapsed="false">
      <c r="A10" s="0" t="s">
        <v>1395</v>
      </c>
      <c r="B10" s="0" t="s">
        <v>1396</v>
      </c>
      <c r="C10" s="0" t="s">
        <v>1397</v>
      </c>
      <c r="D10" s="0" t="s">
        <v>1398</v>
      </c>
      <c r="E10" s="0" t="s">
        <v>46</v>
      </c>
    </row>
    <row r="11" customFormat="false" ht="17.15" hidden="false" customHeight="false" outlineLevel="0" collapsed="false">
      <c r="A11" s="0" t="s">
        <v>1399</v>
      </c>
      <c r="B11" s="0" t="s">
        <v>1400</v>
      </c>
      <c r="C11" s="0" t="s">
        <v>1401</v>
      </c>
      <c r="D11" s="0" t="s">
        <v>1402</v>
      </c>
      <c r="E11" s="0" t="s">
        <v>46</v>
      </c>
    </row>
    <row r="12" customFormat="false" ht="17.15" hidden="false" customHeight="false" outlineLevel="0" collapsed="false">
      <c r="A12" s="0" t="s">
        <v>349</v>
      </c>
      <c r="B12" s="0" t="s">
        <v>1403</v>
      </c>
      <c r="C12" s="0" t="s">
        <v>1404</v>
      </c>
      <c r="D12" s="0" t="s">
        <v>1405</v>
      </c>
      <c r="E12" s="0" t="s">
        <v>28</v>
      </c>
    </row>
    <row r="13" customFormat="false" ht="17.15" hidden="false" customHeight="false" outlineLevel="0" collapsed="false">
      <c r="A13" s="0" t="s">
        <v>289</v>
      </c>
      <c r="B13" s="0" t="s">
        <v>1406</v>
      </c>
      <c r="C13" s="0" t="s">
        <v>1381</v>
      </c>
      <c r="D13" s="0" t="s">
        <v>1407</v>
      </c>
      <c r="E13" s="0" t="s">
        <v>46</v>
      </c>
    </row>
    <row r="14" customFormat="false" ht="17.15" hidden="false" customHeight="false" outlineLevel="0" collapsed="false">
      <c r="A14" s="0" t="s">
        <v>367</v>
      </c>
      <c r="B14" s="0" t="s">
        <v>1408</v>
      </c>
      <c r="C14" s="0" t="s">
        <v>1409</v>
      </c>
      <c r="D14" s="0" t="s">
        <v>1410</v>
      </c>
      <c r="E14" s="0" t="s">
        <v>46</v>
      </c>
    </row>
    <row r="15" customFormat="false" ht="17.15" hidden="false" customHeight="false" outlineLevel="0" collapsed="false">
      <c r="A15" s="0" t="s">
        <v>1411</v>
      </c>
      <c r="B15" s="0" t="s">
        <v>1412</v>
      </c>
      <c r="C15" s="0" t="s">
        <v>1413</v>
      </c>
      <c r="D15" s="0" t="s">
        <v>1414</v>
      </c>
      <c r="E15" s="0" t="s">
        <v>28</v>
      </c>
    </row>
    <row r="16" customFormat="false" ht="17.15" hidden="false" customHeight="false" outlineLevel="0" collapsed="false">
      <c r="A16" s="0" t="s">
        <v>1415</v>
      </c>
      <c r="B16" s="0" t="s">
        <v>1416</v>
      </c>
      <c r="C16" s="0" t="s">
        <v>1413</v>
      </c>
      <c r="D16" s="0" t="s">
        <v>1417</v>
      </c>
      <c r="E16" s="0" t="s">
        <v>28</v>
      </c>
    </row>
    <row r="17" customFormat="false" ht="17.15" hidden="false" customHeight="false" outlineLevel="0" collapsed="false">
      <c r="A17" s="0" t="s">
        <v>47</v>
      </c>
      <c r="B17" s="0" t="s">
        <v>1418</v>
      </c>
      <c r="C17" s="0" t="s">
        <v>1413</v>
      </c>
      <c r="D17" s="0" t="s">
        <v>1419</v>
      </c>
      <c r="E17" s="0" t="s">
        <v>46</v>
      </c>
    </row>
    <row r="18" customFormat="false" ht="17.15" hidden="false" customHeight="false" outlineLevel="0" collapsed="false">
      <c r="A18" s="0" t="s">
        <v>419</v>
      </c>
      <c r="B18" s="0" t="s">
        <v>1420</v>
      </c>
      <c r="C18" s="0" t="s">
        <v>1404</v>
      </c>
      <c r="D18" s="0" t="s">
        <v>1421</v>
      </c>
      <c r="E18" s="0" t="s">
        <v>46</v>
      </c>
    </row>
    <row r="19" customFormat="false" ht="17.15" hidden="false" customHeight="false" outlineLevel="0" collapsed="false">
      <c r="A19" s="0" t="s">
        <v>182</v>
      </c>
      <c r="B19" s="0" t="s">
        <v>1422</v>
      </c>
      <c r="C19" s="0" t="s">
        <v>1423</v>
      </c>
      <c r="D19" s="0" t="s">
        <v>1424</v>
      </c>
      <c r="E19" s="0" t="s">
        <v>41</v>
      </c>
    </row>
    <row r="20" customFormat="false" ht="17.15" hidden="false" customHeight="false" outlineLevel="0" collapsed="false">
      <c r="A20" s="0" t="s">
        <v>166</v>
      </c>
      <c r="B20" s="0" t="s">
        <v>1425</v>
      </c>
      <c r="C20" s="0" t="s">
        <v>1404</v>
      </c>
      <c r="D20" s="0" t="s">
        <v>1426</v>
      </c>
      <c r="E20" s="0" t="s">
        <v>28</v>
      </c>
    </row>
    <row r="21" customFormat="false" ht="17.15" hidden="false" customHeight="false" outlineLevel="0" collapsed="false">
      <c r="A21" s="0" t="s">
        <v>1427</v>
      </c>
      <c r="B21" s="0" t="s">
        <v>1428</v>
      </c>
      <c r="C21" s="0" t="s">
        <v>1429</v>
      </c>
      <c r="D21" s="0" t="s">
        <v>1430</v>
      </c>
      <c r="E21" s="0" t="s">
        <v>1431</v>
      </c>
    </row>
    <row r="22" customFormat="false" ht="17.15" hidden="false" customHeight="false" outlineLevel="0" collapsed="false">
      <c r="A22" s="0" t="s">
        <v>242</v>
      </c>
      <c r="B22" s="0" t="s">
        <v>1432</v>
      </c>
      <c r="C22" s="0" t="s">
        <v>1404</v>
      </c>
      <c r="D22" s="0" t="s">
        <v>1433</v>
      </c>
      <c r="E22" s="0" t="s">
        <v>41</v>
      </c>
    </row>
    <row r="23" customFormat="false" ht="17.15" hidden="false" customHeight="false" outlineLevel="0" collapsed="false">
      <c r="A23" s="0" t="s">
        <v>1434</v>
      </c>
      <c r="B23" s="0" t="s">
        <v>1435</v>
      </c>
      <c r="C23" s="0" t="s">
        <v>1423</v>
      </c>
      <c r="D23" s="0" t="s">
        <v>1436</v>
      </c>
      <c r="E23" s="0" t="s">
        <v>41</v>
      </c>
    </row>
    <row r="24" customFormat="false" ht="17.15" hidden="false" customHeight="false" outlineLevel="0" collapsed="false">
      <c r="A24" s="0" t="s">
        <v>894</v>
      </c>
      <c r="B24" s="5" t="s">
        <v>1437</v>
      </c>
      <c r="C24" s="0" t="s">
        <v>1438</v>
      </c>
      <c r="D24" s="0" t="s">
        <v>1439</v>
      </c>
      <c r="E24" s="0" t="s">
        <v>41</v>
      </c>
    </row>
    <row r="25" customFormat="false" ht="17.15" hidden="false" customHeight="false" outlineLevel="0" collapsed="false">
      <c r="A25" s="0" t="s">
        <v>880</v>
      </c>
      <c r="B25" s="5" t="s">
        <v>1440</v>
      </c>
      <c r="C25" s="0" t="s">
        <v>1438</v>
      </c>
      <c r="D25" s="0" t="s">
        <v>1441</v>
      </c>
      <c r="E25" s="0" t="s">
        <v>41</v>
      </c>
    </row>
    <row r="26" customFormat="false" ht="17.15" hidden="false" customHeight="false" outlineLevel="0" collapsed="false">
      <c r="A26" s="0" t="s">
        <v>872</v>
      </c>
      <c r="B26" s="5" t="s">
        <v>1442</v>
      </c>
      <c r="C26" s="0" t="s">
        <v>1438</v>
      </c>
      <c r="D26" s="0" t="s">
        <v>1443</v>
      </c>
      <c r="E26" s="0" t="s">
        <v>41</v>
      </c>
    </row>
    <row r="27" customFormat="false" ht="17.15" hidden="false" customHeight="false" outlineLevel="0" collapsed="false">
      <c r="A27" s="0" t="s">
        <v>386</v>
      </c>
      <c r="B27" s="0" t="s">
        <v>1444</v>
      </c>
      <c r="C27" s="0" t="s">
        <v>1445</v>
      </c>
      <c r="D27" s="0" t="s">
        <v>1446</v>
      </c>
      <c r="E27" s="0" t="s">
        <v>46</v>
      </c>
    </row>
    <row r="28" customFormat="false" ht="17.15" hidden="false" customHeight="false" outlineLevel="0" collapsed="false">
      <c r="A28" s="0" t="s">
        <v>1447</v>
      </c>
      <c r="B28" s="0" t="s">
        <v>1448</v>
      </c>
      <c r="C28" s="0" t="s">
        <v>1449</v>
      </c>
      <c r="D28" s="0" t="s">
        <v>1450</v>
      </c>
      <c r="E28" s="0" t="s">
        <v>1431</v>
      </c>
    </row>
    <row r="29" customFormat="false" ht="17.15" hidden="false" customHeight="false" outlineLevel="0" collapsed="false">
      <c r="A29" s="0" t="s">
        <v>394</v>
      </c>
      <c r="B29" s="0" t="s">
        <v>1451</v>
      </c>
      <c r="C29" s="0" t="s">
        <v>1452</v>
      </c>
      <c r="D29" s="0" t="s">
        <v>1453</v>
      </c>
      <c r="E29" s="0" t="s">
        <v>46</v>
      </c>
    </row>
    <row r="30" customFormat="false" ht="17.15" hidden="false" customHeight="false" outlineLevel="0" collapsed="false">
      <c r="A30" s="0" t="s">
        <v>53</v>
      </c>
      <c r="B30" s="5" t="s">
        <v>1454</v>
      </c>
      <c r="C30" s="0" t="s">
        <v>1438</v>
      </c>
      <c r="D30" s="0" t="s">
        <v>1455</v>
      </c>
      <c r="E30" s="0" t="s">
        <v>28</v>
      </c>
    </row>
    <row r="31" customFormat="false" ht="17.15" hidden="false" customHeight="false" outlineLevel="0" collapsed="false">
      <c r="A31" s="0" t="s">
        <v>279</v>
      </c>
      <c r="B31" s="0" t="s">
        <v>1456</v>
      </c>
      <c r="C31" s="0" t="s">
        <v>1457</v>
      </c>
      <c r="D31" s="0" t="s">
        <v>1458</v>
      </c>
      <c r="E31" s="0" t="s">
        <v>46</v>
      </c>
    </row>
    <row r="32" customFormat="false" ht="17.15" hidden="false" customHeight="false" outlineLevel="0" collapsed="false">
      <c r="A32" s="0" t="s">
        <v>1459</v>
      </c>
      <c r="B32" s="0" t="s">
        <v>1460</v>
      </c>
      <c r="C32" s="0" t="s">
        <v>1461</v>
      </c>
      <c r="D32" s="0" t="s">
        <v>1462</v>
      </c>
      <c r="E32" s="0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2026-10-27T07:12:35Z</dcterms:created>
  <dc:creator>openpyxl</dc:creator>
  <dc:description/>
  <dc:language>en-US</dc:language>
  <cp:lastModifiedBy/>
  <dcterms:modified xsi:type="dcterms:W3CDTF">2026-10-27T07:12:37Z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